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g_ri\Dropbox\Postdoc\UNIOESTE\Relatórios Itaipu\R rendimento\Anual 2025\"/>
    </mc:Choice>
  </mc:AlternateContent>
  <xr:revisionPtr revIDLastSave="0" documentId="13_ncr:1_{7F5C6A17-1FD7-4A42-B43C-607B3DCBF06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Nomes" sheetId="1" r:id="rId1"/>
    <sheet name="Colônias e Associações" sheetId="2" r:id="rId2"/>
    <sheet name="Banco de dados" sheetId="3" r:id="rId3"/>
    <sheet name="_56F9DC9755BA473782653E2940F9" sheetId="4" state="hidden" r:id="rId4"/>
  </sheets>
  <externalReferences>
    <externalReference r:id="rId5"/>
    <externalReference r:id="rId6"/>
  </externalReferences>
  <definedNames>
    <definedName name="_56F9DC9755BA473782653E2940F9FormId">"FvgnP-mZ4kiWuHGXpmMCW9CRJRZNqwdEhdCYhq82GWJUQ0NOQUJIR000VTlJR1RSM1QyRVJNSjI5US4u"</definedName>
    <definedName name="_56F9DC9755BA473782653E2940F9ResponseSheet">"Form1"</definedName>
    <definedName name="_56F9DC9755BA473782653E2940F9SourceDocId">"{88e52670-8280-4a49-9867-70abb567d987}"</definedName>
    <definedName name="_xlnm._FilterDatabase" localSheetId="2" hidden="1">'Banco de dados'!$A$1:$AG$16395</definedName>
    <definedName name="Lista">Nomes!$A$1</definedName>
    <definedName name="Listasp" localSheetId="1">[1]Nomes!#REF!</definedName>
    <definedName name="Listasp">Nomes!#REF!</definedName>
    <definedName name="listsp">Nomes!$A$1:$A$270</definedName>
    <definedName name="solver_eng" localSheetId="2">1</definedName>
    <definedName name="solver_neg" localSheetId="2">1</definedName>
    <definedName name="solver_num" localSheetId="2">0</definedName>
    <definedName name="solver_opt" localSheetId="2">'[2]Banco de dados 2021'!#REF!</definedName>
    <definedName name="solver_typ" localSheetId="2">1</definedName>
    <definedName name="solver_val" localSheetId="2">0</definedName>
    <definedName name="solver_ver" localSheetId="2">3</definedName>
  </definedNames>
  <calcPr calcId="181029"/>
  <extLst>
    <ext uri="GoogleSheetsCustomDataVersion2">
      <go:sheetsCustomData xmlns:go="http://customooxmlschemas.google.com/" r:id="rId10" roundtripDataChecksum="/FIRr/rxSYT5k5vJJmoz/DsFVu8+YIV5da4xXYFT770="/>
    </ext>
  </extLst>
</workbook>
</file>

<file path=xl/calcChain.xml><?xml version="1.0" encoding="utf-8"?>
<calcChain xmlns="http://schemas.openxmlformats.org/spreadsheetml/2006/main">
  <c r="Y3" i="3" l="1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2" i="3"/>
  <c r="W3" i="3" l="1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2" i="3"/>
  <c r="V746" i="3"/>
  <c r="O743" i="3"/>
  <c r="V743" i="3" s="1"/>
  <c r="O747" i="3"/>
  <c r="V747" i="3" s="1"/>
  <c r="O745" i="3"/>
  <c r="V745" i="3" s="1"/>
  <c r="O744" i="3"/>
  <c r="V744" i="3" s="1"/>
  <c r="AA1315" i="3"/>
  <c r="U1315" i="3"/>
  <c r="X1315" i="3" s="1"/>
  <c r="O1315" i="3"/>
  <c r="AA1314" i="3"/>
  <c r="U1314" i="3"/>
  <c r="X1314" i="3" s="1"/>
  <c r="O1314" i="3"/>
  <c r="AA1313" i="3"/>
  <c r="U1313" i="3"/>
  <c r="X1313" i="3" s="1"/>
  <c r="M1313" i="3"/>
  <c r="O1313" i="3" s="1"/>
  <c r="AA1312" i="3"/>
  <c r="U1312" i="3"/>
  <c r="X1312" i="3" s="1"/>
  <c r="O1312" i="3"/>
  <c r="AA1311" i="3"/>
  <c r="U1311" i="3"/>
  <c r="X1311" i="3" s="1"/>
  <c r="O1311" i="3"/>
  <c r="AA1310" i="3"/>
  <c r="U1310" i="3"/>
  <c r="X1310" i="3" s="1"/>
  <c r="O1310" i="3"/>
  <c r="AA1309" i="3"/>
  <c r="U1309" i="3"/>
  <c r="X1309" i="3" s="1"/>
  <c r="O1309" i="3"/>
  <c r="AA1308" i="3"/>
  <c r="U1308" i="3"/>
  <c r="X1308" i="3" s="1"/>
  <c r="O1308" i="3"/>
  <c r="AA1307" i="3"/>
  <c r="U1307" i="3"/>
  <c r="X1307" i="3" s="1"/>
  <c r="O1307" i="3"/>
  <c r="AA1306" i="3"/>
  <c r="U1306" i="3"/>
  <c r="X1306" i="3" s="1"/>
  <c r="O1306" i="3"/>
  <c r="AA1305" i="3"/>
  <c r="U1305" i="3"/>
  <c r="X1305" i="3" s="1"/>
  <c r="L1305" i="3"/>
  <c r="O1305" i="3" s="1"/>
  <c r="AA1304" i="3"/>
  <c r="U1304" i="3"/>
  <c r="X1304" i="3" s="1"/>
  <c r="O1304" i="3"/>
  <c r="AA1303" i="3"/>
  <c r="U1303" i="3"/>
  <c r="X1303" i="3" s="1"/>
  <c r="O1303" i="3"/>
  <c r="K1303" i="3"/>
  <c r="AA1302" i="3"/>
  <c r="U1302" i="3"/>
  <c r="X1302" i="3" s="1"/>
  <c r="M1302" i="3"/>
  <c r="L1302" i="3"/>
  <c r="O1302" i="3" s="1"/>
  <c r="AA1301" i="3"/>
  <c r="U1301" i="3"/>
  <c r="X1301" i="3" s="1"/>
  <c r="O1301" i="3"/>
  <c r="AB1300" i="3"/>
  <c r="AA1300" i="3"/>
  <c r="X1300" i="3"/>
  <c r="K1300" i="3"/>
  <c r="J1300" i="3"/>
  <c r="O1300" i="3" s="1"/>
  <c r="V1300" i="3" s="1"/>
  <c r="AB1299" i="3"/>
  <c r="AA1299" i="3"/>
  <c r="X1299" i="3"/>
  <c r="K1299" i="3"/>
  <c r="O1299" i="3" s="1"/>
  <c r="V1299" i="3" s="1"/>
  <c r="AB1298" i="3"/>
  <c r="AA1298" i="3"/>
  <c r="X1298" i="3"/>
  <c r="O1298" i="3"/>
  <c r="V1298" i="3" s="1"/>
  <c r="AB1297" i="3"/>
  <c r="AA1297" i="3"/>
  <c r="X1297" i="3"/>
  <c r="K1297" i="3"/>
  <c r="O1297" i="3" s="1"/>
  <c r="V1297" i="3" s="1"/>
  <c r="AB1296" i="3"/>
  <c r="AA1296" i="3"/>
  <c r="X1296" i="3"/>
  <c r="K1296" i="3"/>
  <c r="O1296" i="3" s="1"/>
  <c r="V1296" i="3" s="1"/>
  <c r="AB1295" i="3"/>
  <c r="AA1295" i="3"/>
  <c r="X1295" i="3"/>
  <c r="K1295" i="3"/>
  <c r="J1295" i="3"/>
  <c r="O1295" i="3" s="1"/>
  <c r="V1295" i="3" s="1"/>
  <c r="AB1294" i="3"/>
  <c r="AA1294" i="3"/>
  <c r="X1294" i="3"/>
  <c r="M1294" i="3"/>
  <c r="K1294" i="3"/>
  <c r="J1294" i="3"/>
  <c r="O1294" i="3" s="1"/>
  <c r="V1294" i="3" s="1"/>
  <c r="U1293" i="3"/>
  <c r="X1293" i="3" s="1"/>
  <c r="O1293" i="3"/>
  <c r="K1293" i="3"/>
  <c r="U1292" i="3"/>
  <c r="X1292" i="3" s="1"/>
  <c r="K1292" i="3"/>
  <c r="O1292" i="3" s="1"/>
  <c r="U1291" i="3"/>
  <c r="X1291" i="3" s="1"/>
  <c r="K1291" i="3"/>
  <c r="O1291" i="3" s="1"/>
  <c r="U1290" i="3"/>
  <c r="X1290" i="3" s="1"/>
  <c r="O1290" i="3"/>
  <c r="K1290" i="3"/>
  <c r="U1289" i="3"/>
  <c r="X1289" i="3" s="1"/>
  <c r="K1289" i="3"/>
  <c r="O1289" i="3" s="1"/>
  <c r="AA1288" i="3"/>
  <c r="U1288" i="3"/>
  <c r="X1288" i="3" s="1"/>
  <c r="M1288" i="3"/>
  <c r="O1288" i="3" s="1"/>
  <c r="L1288" i="3"/>
  <c r="K1288" i="3"/>
  <c r="AA1287" i="3"/>
  <c r="U1287" i="3"/>
  <c r="X1287" i="3" s="1"/>
  <c r="M1287" i="3"/>
  <c r="L1287" i="3"/>
  <c r="O1287" i="3" s="1"/>
  <c r="AA1286" i="3"/>
  <c r="U1286" i="3"/>
  <c r="X1286" i="3" s="1"/>
  <c r="M1286" i="3"/>
  <c r="L1286" i="3"/>
  <c r="K1286" i="3"/>
  <c r="O1286" i="3" s="1"/>
  <c r="AA1285" i="3"/>
  <c r="U1285" i="3"/>
  <c r="X1285" i="3" s="1"/>
  <c r="J1285" i="3"/>
  <c r="O1285" i="3" s="1"/>
  <c r="AB1284" i="3"/>
  <c r="X1284" i="3"/>
  <c r="O1284" i="3"/>
  <c r="V1284" i="3" s="1"/>
  <c r="AB1283" i="3"/>
  <c r="X1283" i="3"/>
  <c r="K1283" i="3"/>
  <c r="O1283" i="3" s="1"/>
  <c r="V1283" i="3" s="1"/>
  <c r="AB1282" i="3"/>
  <c r="X1282" i="3"/>
  <c r="O1282" i="3"/>
  <c r="V1282" i="3" s="1"/>
  <c r="AB1281" i="3"/>
  <c r="X1281" i="3"/>
  <c r="L1281" i="3"/>
  <c r="K1281" i="3"/>
  <c r="O1281" i="3" s="1"/>
  <c r="V1281" i="3" s="1"/>
  <c r="AB1280" i="3"/>
  <c r="X1280" i="3"/>
  <c r="M1280" i="3"/>
  <c r="J1280" i="3"/>
  <c r="O1280" i="3" s="1"/>
  <c r="V1280" i="3" s="1"/>
  <c r="AB1279" i="3"/>
  <c r="X1279" i="3"/>
  <c r="K1279" i="3"/>
  <c r="O1279" i="3" s="1"/>
  <c r="V1279" i="3" s="1"/>
  <c r="AA1278" i="3"/>
  <c r="U1278" i="3"/>
  <c r="X1278" i="3" s="1"/>
  <c r="M1278" i="3"/>
  <c r="L1278" i="3"/>
  <c r="O1278" i="3" s="1"/>
  <c r="J1278" i="3"/>
  <c r="AA1277" i="3"/>
  <c r="U1277" i="3"/>
  <c r="X1277" i="3" s="1"/>
  <c r="M1277" i="3"/>
  <c r="K1277" i="3"/>
  <c r="O1277" i="3" s="1"/>
  <c r="AA1276" i="3"/>
  <c r="U1276" i="3"/>
  <c r="X1276" i="3" s="1"/>
  <c r="M1276" i="3"/>
  <c r="K1276" i="3"/>
  <c r="J1276" i="3"/>
  <c r="O1276" i="3" s="1"/>
  <c r="AA1275" i="3"/>
  <c r="X1275" i="3"/>
  <c r="L1275" i="3"/>
  <c r="K1275" i="3"/>
  <c r="O1275" i="3" s="1"/>
  <c r="V1275" i="3" s="1"/>
  <c r="J1275" i="3"/>
  <c r="AA1274" i="3"/>
  <c r="X1274" i="3"/>
  <c r="M1274" i="3"/>
  <c r="K1274" i="3"/>
  <c r="J1274" i="3"/>
  <c r="O1274" i="3" s="1"/>
  <c r="V1274" i="3" s="1"/>
  <c r="AA1273" i="3"/>
  <c r="X1273" i="3"/>
  <c r="L1273" i="3"/>
  <c r="K1273" i="3"/>
  <c r="O1273" i="3" s="1"/>
  <c r="V1273" i="3" s="1"/>
  <c r="J1273" i="3"/>
  <c r="AA1272" i="3"/>
  <c r="U1272" i="3"/>
  <c r="X1272" i="3" s="1"/>
  <c r="M1272" i="3"/>
  <c r="K1272" i="3"/>
  <c r="O1272" i="3" s="1"/>
  <c r="AA1271" i="3"/>
  <c r="U1271" i="3"/>
  <c r="X1271" i="3" s="1"/>
  <c r="L1271" i="3"/>
  <c r="K1271" i="3"/>
  <c r="J1271" i="3"/>
  <c r="O1271" i="3" s="1"/>
  <c r="AA1270" i="3"/>
  <c r="U1270" i="3"/>
  <c r="X1270" i="3" s="1"/>
  <c r="M1270" i="3"/>
  <c r="K1270" i="3"/>
  <c r="J1270" i="3"/>
  <c r="O1270" i="3" s="1"/>
  <c r="AA1269" i="3"/>
  <c r="X1269" i="3"/>
  <c r="M1269" i="3"/>
  <c r="J1269" i="3"/>
  <c r="O1269" i="3" s="1"/>
  <c r="V1269" i="3" s="1"/>
  <c r="AA1268" i="3"/>
  <c r="X1268" i="3"/>
  <c r="M1268" i="3"/>
  <c r="L1268" i="3"/>
  <c r="O1268" i="3" s="1"/>
  <c r="V1268" i="3" s="1"/>
  <c r="K1268" i="3"/>
  <c r="J1268" i="3"/>
  <c r="AA1267" i="3"/>
  <c r="X1267" i="3"/>
  <c r="O1267" i="3"/>
  <c r="V1267" i="3" s="1"/>
  <c r="AA1266" i="3"/>
  <c r="X1266" i="3"/>
  <c r="M1266" i="3"/>
  <c r="L1266" i="3"/>
  <c r="O1266" i="3" s="1"/>
  <c r="V1266" i="3" s="1"/>
  <c r="K1266" i="3"/>
  <c r="J1266" i="3"/>
  <c r="AA1265" i="3"/>
  <c r="X1265" i="3"/>
  <c r="M1265" i="3"/>
  <c r="L1265" i="3"/>
  <c r="O1265" i="3" s="1"/>
  <c r="V1265" i="3" s="1"/>
  <c r="AA1264" i="3"/>
  <c r="X1264" i="3"/>
  <c r="O1264" i="3"/>
  <c r="V1264" i="3" s="1"/>
  <c r="L1264" i="3"/>
  <c r="K1264" i="3"/>
  <c r="AA1263" i="3"/>
  <c r="X1263" i="3"/>
  <c r="L1263" i="3"/>
  <c r="O1263" i="3" s="1"/>
  <c r="V1263" i="3" s="1"/>
  <c r="AA1262" i="3"/>
  <c r="X1262" i="3"/>
  <c r="M1262" i="3"/>
  <c r="O1262" i="3" s="1"/>
  <c r="V1262" i="3" s="1"/>
  <c r="L1262" i="3"/>
  <c r="J1262" i="3"/>
  <c r="U1261" i="3"/>
  <c r="X1261" i="3" s="1"/>
  <c r="M1261" i="3"/>
  <c r="L1261" i="3"/>
  <c r="K1261" i="3"/>
  <c r="O1261" i="3" s="1"/>
  <c r="U1260" i="3"/>
  <c r="O1260" i="3"/>
  <c r="U1259" i="3"/>
  <c r="X1259" i="3" s="1"/>
  <c r="M1259" i="3"/>
  <c r="O1259" i="3" s="1"/>
  <c r="L1259" i="3"/>
  <c r="K1259" i="3"/>
  <c r="J1259" i="3"/>
  <c r="AA1258" i="3"/>
  <c r="U1258" i="3"/>
  <c r="X1258" i="3" s="1"/>
  <c r="M1258" i="3"/>
  <c r="L1258" i="3"/>
  <c r="K1258" i="3"/>
  <c r="J1258" i="3"/>
  <c r="AA1257" i="3"/>
  <c r="U1257" i="3"/>
  <c r="X1257" i="3" s="1"/>
  <c r="M1257" i="3"/>
  <c r="O1257" i="3" s="1"/>
  <c r="L1257" i="3"/>
  <c r="K1257" i="3"/>
  <c r="J1257" i="3"/>
  <c r="U1256" i="3"/>
  <c r="X1256" i="3" s="1"/>
  <c r="O1256" i="3"/>
  <c r="U1255" i="3"/>
  <c r="X1255" i="3" s="1"/>
  <c r="J1255" i="3"/>
  <c r="O1255" i="3" s="1"/>
  <c r="U1254" i="3"/>
  <c r="X1254" i="3" s="1"/>
  <c r="J1254" i="3"/>
  <c r="O1254" i="3" s="1"/>
  <c r="U1253" i="3"/>
  <c r="X1253" i="3" s="1"/>
  <c r="O1253" i="3"/>
  <c r="M1253" i="3"/>
  <c r="L1253" i="3"/>
  <c r="K1253" i="3"/>
  <c r="J1253" i="3"/>
  <c r="U1252" i="3"/>
  <c r="X1252" i="3" s="1"/>
  <c r="N1252" i="3"/>
  <c r="M1252" i="3"/>
  <c r="O1252" i="3" s="1"/>
  <c r="U1251" i="3"/>
  <c r="X1251" i="3" s="1"/>
  <c r="O1251" i="3"/>
  <c r="U1250" i="3"/>
  <c r="X1250" i="3" s="1"/>
  <c r="O1250" i="3"/>
  <c r="U1249" i="3"/>
  <c r="X1249" i="3" s="1"/>
  <c r="O1249" i="3"/>
  <c r="AA1248" i="3"/>
  <c r="U1248" i="3"/>
  <c r="X1248" i="3" s="1"/>
  <c r="O1248" i="3"/>
  <c r="AA1247" i="3"/>
  <c r="U1247" i="3"/>
  <c r="X1247" i="3" s="1"/>
  <c r="O1247" i="3"/>
  <c r="AA1246" i="3"/>
  <c r="U1246" i="3"/>
  <c r="X1246" i="3" s="1"/>
  <c r="O1246" i="3"/>
  <c r="AA1245" i="3"/>
  <c r="U1245" i="3"/>
  <c r="X1245" i="3" s="1"/>
  <c r="O1245" i="3"/>
  <c r="AA1244" i="3"/>
  <c r="U1244" i="3"/>
  <c r="X1244" i="3" s="1"/>
  <c r="O1244" i="3"/>
  <c r="AA1243" i="3"/>
  <c r="U1243" i="3"/>
  <c r="X1243" i="3" s="1"/>
  <c r="O1243" i="3"/>
  <c r="AA1242" i="3"/>
  <c r="U1242" i="3"/>
  <c r="X1242" i="3" s="1"/>
  <c r="O1242" i="3"/>
  <c r="U1241" i="3"/>
  <c r="X1241" i="3" s="1"/>
  <c r="O1241" i="3"/>
  <c r="U1240" i="3"/>
  <c r="X1240" i="3" s="1"/>
  <c r="O1240" i="3"/>
  <c r="U1239" i="3"/>
  <c r="X1239" i="3" s="1"/>
  <c r="O1239" i="3"/>
  <c r="U1238" i="3"/>
  <c r="X1238" i="3" s="1"/>
  <c r="O1238" i="3"/>
  <c r="U1237" i="3"/>
  <c r="X1237" i="3" s="1"/>
  <c r="O1237" i="3"/>
  <c r="U1236" i="3"/>
  <c r="X1236" i="3" s="1"/>
  <c r="O1236" i="3"/>
  <c r="U1235" i="3"/>
  <c r="X1235" i="3" s="1"/>
  <c r="O1235" i="3"/>
  <c r="U1234" i="3"/>
  <c r="X1234" i="3" s="1"/>
  <c r="O1234" i="3"/>
  <c r="U1233" i="3"/>
  <c r="X1233" i="3" s="1"/>
  <c r="O1233" i="3"/>
  <c r="AA1232" i="3"/>
  <c r="U1232" i="3"/>
  <c r="X1232" i="3" s="1"/>
  <c r="O1232" i="3"/>
  <c r="AA1231" i="3"/>
  <c r="U1231" i="3"/>
  <c r="X1231" i="3" s="1"/>
  <c r="O1231" i="3"/>
  <c r="AA1230" i="3"/>
  <c r="U1230" i="3"/>
  <c r="X1230" i="3" s="1"/>
  <c r="O1230" i="3"/>
  <c r="AA1229" i="3"/>
  <c r="U1229" i="3"/>
  <c r="X1229" i="3" s="1"/>
  <c r="O1229" i="3"/>
  <c r="AA1228" i="3"/>
  <c r="U1228" i="3"/>
  <c r="X1228" i="3" s="1"/>
  <c r="O1228" i="3"/>
  <c r="AA1227" i="3"/>
  <c r="U1227" i="3"/>
  <c r="X1227" i="3" s="1"/>
  <c r="O1227" i="3"/>
  <c r="AA1226" i="3"/>
  <c r="U1226" i="3"/>
  <c r="X1226" i="3" s="1"/>
  <c r="O1226" i="3"/>
  <c r="AA1225" i="3"/>
  <c r="U1225" i="3"/>
  <c r="X1225" i="3" s="1"/>
  <c r="O1225" i="3"/>
  <c r="AA1224" i="3"/>
  <c r="U1224" i="3"/>
  <c r="X1224" i="3" s="1"/>
  <c r="O1224" i="3"/>
  <c r="AA1223" i="3"/>
  <c r="U1223" i="3"/>
  <c r="X1223" i="3" s="1"/>
  <c r="O1223" i="3"/>
  <c r="AA1222" i="3"/>
  <c r="U1222" i="3"/>
  <c r="X1222" i="3" s="1"/>
  <c r="O1222" i="3"/>
  <c r="AA1221" i="3"/>
  <c r="U1221" i="3"/>
  <c r="X1221" i="3" s="1"/>
  <c r="O1221" i="3"/>
  <c r="U1220" i="3"/>
  <c r="X1220" i="3" s="1"/>
  <c r="O1220" i="3"/>
  <c r="U1219" i="3"/>
  <c r="X1219" i="3" s="1"/>
  <c r="O1219" i="3"/>
  <c r="AA1218" i="3"/>
  <c r="U1218" i="3"/>
  <c r="X1218" i="3" s="1"/>
  <c r="O1218" i="3"/>
  <c r="AA1217" i="3"/>
  <c r="U1217" i="3"/>
  <c r="X1217" i="3" s="1"/>
  <c r="O1217" i="3"/>
  <c r="AA1216" i="3"/>
  <c r="U1216" i="3"/>
  <c r="X1216" i="3" s="1"/>
  <c r="O1216" i="3"/>
  <c r="AA1215" i="3"/>
  <c r="U1215" i="3"/>
  <c r="X1215" i="3" s="1"/>
  <c r="O1215" i="3"/>
  <c r="AA1214" i="3"/>
  <c r="U1214" i="3"/>
  <c r="X1214" i="3" s="1"/>
  <c r="O1214" i="3"/>
  <c r="U1213" i="3"/>
  <c r="X1213" i="3" s="1"/>
  <c r="O1213" i="3"/>
  <c r="U1212" i="3"/>
  <c r="X1212" i="3" s="1"/>
  <c r="M1212" i="3"/>
  <c r="O1212" i="3" s="1"/>
  <c r="L1212" i="3"/>
  <c r="U1211" i="3"/>
  <c r="X1211" i="3" s="1"/>
  <c r="M1211" i="3"/>
  <c r="J1211" i="3"/>
  <c r="O1211" i="3" s="1"/>
  <c r="AA1210" i="3"/>
  <c r="U1210" i="3"/>
  <c r="X1210" i="3" s="1"/>
  <c r="O1210" i="3"/>
  <c r="AA1209" i="3"/>
  <c r="U1209" i="3"/>
  <c r="X1209" i="3" s="1"/>
  <c r="O1209" i="3"/>
  <c r="AA1208" i="3"/>
  <c r="U1208" i="3"/>
  <c r="X1208" i="3" s="1"/>
  <c r="O1208" i="3"/>
  <c r="AA1207" i="3"/>
  <c r="U1207" i="3"/>
  <c r="X1207" i="3" s="1"/>
  <c r="O1207" i="3"/>
  <c r="AA1206" i="3"/>
  <c r="U1206" i="3"/>
  <c r="X1206" i="3" s="1"/>
  <c r="O1206" i="3"/>
  <c r="AA1205" i="3"/>
  <c r="U1205" i="3"/>
  <c r="O1205" i="3"/>
  <c r="U1204" i="3"/>
  <c r="X1204" i="3" s="1"/>
  <c r="O1204" i="3"/>
  <c r="U1203" i="3"/>
  <c r="X1203" i="3" s="1"/>
  <c r="O1203" i="3"/>
  <c r="U1202" i="3"/>
  <c r="X1202" i="3" s="1"/>
  <c r="O1202" i="3"/>
  <c r="U1201" i="3"/>
  <c r="X1201" i="3" s="1"/>
  <c r="O1201" i="3"/>
  <c r="U1200" i="3"/>
  <c r="X1200" i="3" s="1"/>
  <c r="O1200" i="3"/>
  <c r="AA1199" i="3"/>
  <c r="U1199" i="3"/>
  <c r="X1199" i="3" s="1"/>
  <c r="O1199" i="3"/>
  <c r="AA1198" i="3"/>
  <c r="U1198" i="3"/>
  <c r="X1198" i="3" s="1"/>
  <c r="O1198" i="3"/>
  <c r="AA1197" i="3"/>
  <c r="U1197" i="3"/>
  <c r="X1197" i="3" s="1"/>
  <c r="O1197" i="3"/>
  <c r="K1197" i="3"/>
  <c r="AA1196" i="3"/>
  <c r="U1196" i="3"/>
  <c r="X1196" i="3" s="1"/>
  <c r="O1196" i="3"/>
  <c r="AA1195" i="3"/>
  <c r="U1195" i="3"/>
  <c r="X1195" i="3" s="1"/>
  <c r="K1195" i="3"/>
  <c r="O1195" i="3" s="1"/>
  <c r="AA1194" i="3"/>
  <c r="U1194" i="3"/>
  <c r="X1194" i="3" s="1"/>
  <c r="O1194" i="3"/>
  <c r="AA1193" i="3"/>
  <c r="U1193" i="3"/>
  <c r="X1193" i="3" s="1"/>
  <c r="O1193" i="3"/>
  <c r="AA1192" i="3"/>
  <c r="U1192" i="3"/>
  <c r="X1192" i="3" s="1"/>
  <c r="O1192" i="3"/>
  <c r="AA1191" i="3"/>
  <c r="U1191" i="3"/>
  <c r="X1191" i="3" s="1"/>
  <c r="O1191" i="3"/>
  <c r="AA1190" i="3"/>
  <c r="U1190" i="3"/>
  <c r="X1190" i="3" s="1"/>
  <c r="O1190" i="3"/>
  <c r="AA1189" i="3"/>
  <c r="U1189" i="3"/>
  <c r="X1189" i="3" s="1"/>
  <c r="O1189" i="3"/>
  <c r="AA1188" i="3"/>
  <c r="U1188" i="3"/>
  <c r="X1188" i="3" s="1"/>
  <c r="O1188" i="3"/>
  <c r="AA1187" i="3"/>
  <c r="U1187" i="3"/>
  <c r="X1187" i="3" s="1"/>
  <c r="O1187" i="3"/>
  <c r="AA1186" i="3"/>
  <c r="U1186" i="3"/>
  <c r="X1186" i="3" s="1"/>
  <c r="O1186" i="3"/>
  <c r="AA1185" i="3"/>
  <c r="U1185" i="3"/>
  <c r="X1185" i="3" s="1"/>
  <c r="O1185" i="3"/>
  <c r="AA1184" i="3"/>
  <c r="U1184" i="3"/>
  <c r="X1184" i="3" s="1"/>
  <c r="O1184" i="3"/>
  <c r="AA1183" i="3"/>
  <c r="U1183" i="3"/>
  <c r="O1183" i="3"/>
  <c r="J1183" i="3"/>
  <c r="AA1182" i="3"/>
  <c r="U1182" i="3"/>
  <c r="X1182" i="3" s="1"/>
  <c r="O1182" i="3"/>
  <c r="AA1181" i="3"/>
  <c r="U1181" i="3"/>
  <c r="X1181" i="3" s="1"/>
  <c r="O1181" i="3"/>
  <c r="J1181" i="3"/>
  <c r="AA1180" i="3"/>
  <c r="U1180" i="3"/>
  <c r="X1180" i="3" s="1"/>
  <c r="J1180" i="3"/>
  <c r="O1180" i="3" s="1"/>
  <c r="U1179" i="3"/>
  <c r="X1179" i="3" s="1"/>
  <c r="O1179" i="3"/>
  <c r="U1178" i="3"/>
  <c r="X1178" i="3" s="1"/>
  <c r="O1178" i="3"/>
  <c r="AA1177" i="3"/>
  <c r="U1177" i="3"/>
  <c r="X1177" i="3" s="1"/>
  <c r="M1177" i="3"/>
  <c r="L1177" i="3"/>
  <c r="K1177" i="3"/>
  <c r="J1177" i="3"/>
  <c r="O1177" i="3" s="1"/>
  <c r="AA1176" i="3"/>
  <c r="U1176" i="3"/>
  <c r="X1176" i="3" s="1"/>
  <c r="M1176" i="3"/>
  <c r="L1176" i="3"/>
  <c r="K1176" i="3"/>
  <c r="J1176" i="3"/>
  <c r="O1176" i="3" s="1"/>
  <c r="AA1175" i="3"/>
  <c r="U1175" i="3"/>
  <c r="X1175" i="3" s="1"/>
  <c r="M1175" i="3"/>
  <c r="L1175" i="3"/>
  <c r="K1175" i="3"/>
  <c r="J1175" i="3"/>
  <c r="AA1174" i="3"/>
  <c r="U1174" i="3"/>
  <c r="X1174" i="3" s="1"/>
  <c r="O1174" i="3"/>
  <c r="M1174" i="3"/>
  <c r="L1174" i="3"/>
  <c r="K1174" i="3"/>
  <c r="J1174" i="3"/>
  <c r="AA1173" i="3"/>
  <c r="U1173" i="3"/>
  <c r="X1173" i="3" s="1"/>
  <c r="M1173" i="3"/>
  <c r="L1173" i="3"/>
  <c r="K1173" i="3"/>
  <c r="J1173" i="3"/>
  <c r="O1173" i="3" s="1"/>
  <c r="AA1172" i="3"/>
  <c r="U1172" i="3"/>
  <c r="X1172" i="3" s="1"/>
  <c r="J1172" i="3"/>
  <c r="O1172" i="3" s="1"/>
  <c r="AA1171" i="3"/>
  <c r="U1171" i="3"/>
  <c r="X1171" i="3" s="1"/>
  <c r="M1171" i="3"/>
  <c r="J1171" i="3"/>
  <c r="O1171" i="3" s="1"/>
  <c r="AA1170" i="3"/>
  <c r="U1170" i="3"/>
  <c r="X1170" i="3" s="1"/>
  <c r="M1170" i="3"/>
  <c r="O1170" i="3" s="1"/>
  <c r="L1170" i="3"/>
  <c r="K1170" i="3"/>
  <c r="J1170" i="3"/>
  <c r="AA1169" i="3"/>
  <c r="U1169" i="3"/>
  <c r="X1169" i="3" s="1"/>
  <c r="L1169" i="3"/>
  <c r="K1169" i="3"/>
  <c r="J1169" i="3"/>
  <c r="O1169" i="3" s="1"/>
  <c r="AA1168" i="3"/>
  <c r="U1168" i="3"/>
  <c r="X1168" i="3" s="1"/>
  <c r="M1168" i="3"/>
  <c r="L1168" i="3"/>
  <c r="O1168" i="3" s="1"/>
  <c r="J1168" i="3"/>
  <c r="AA1167" i="3"/>
  <c r="U1167" i="3"/>
  <c r="X1167" i="3" s="1"/>
  <c r="M1167" i="3"/>
  <c r="O1167" i="3" s="1"/>
  <c r="L1167" i="3"/>
  <c r="K1167" i="3"/>
  <c r="J1167" i="3"/>
  <c r="AA1166" i="3"/>
  <c r="U1166" i="3"/>
  <c r="X1166" i="3" s="1"/>
  <c r="M1166" i="3"/>
  <c r="L1166" i="3"/>
  <c r="K1166" i="3"/>
  <c r="J1166" i="3"/>
  <c r="O1166" i="3" s="1"/>
  <c r="AA1165" i="3"/>
  <c r="U1165" i="3"/>
  <c r="X1165" i="3" s="1"/>
  <c r="M1165" i="3"/>
  <c r="L1165" i="3"/>
  <c r="K1165" i="3"/>
  <c r="J1165" i="3"/>
  <c r="AA1164" i="3"/>
  <c r="U1164" i="3"/>
  <c r="X1164" i="3" s="1"/>
  <c r="J1164" i="3"/>
  <c r="O1164" i="3" s="1"/>
  <c r="AA1163" i="3"/>
  <c r="U1163" i="3"/>
  <c r="X1163" i="3" s="1"/>
  <c r="M1163" i="3"/>
  <c r="L1163" i="3"/>
  <c r="O1163" i="3" s="1"/>
  <c r="AA1162" i="3"/>
  <c r="U1162" i="3"/>
  <c r="X1162" i="3" s="1"/>
  <c r="M1162" i="3"/>
  <c r="K1162" i="3"/>
  <c r="O1162" i="3" s="1"/>
  <c r="J1162" i="3"/>
  <c r="U1161" i="3"/>
  <c r="X1161" i="3" s="1"/>
  <c r="O1161" i="3"/>
  <c r="U1160" i="3"/>
  <c r="X1160" i="3" s="1"/>
  <c r="O1160" i="3"/>
  <c r="K1160" i="3"/>
  <c r="J1160" i="3"/>
  <c r="U1159" i="3"/>
  <c r="X1159" i="3" s="1"/>
  <c r="O1159" i="3"/>
  <c r="U1158" i="3"/>
  <c r="X1158" i="3" s="1"/>
  <c r="J1158" i="3"/>
  <c r="O1158" i="3" s="1"/>
  <c r="U1157" i="3"/>
  <c r="X1157" i="3" s="1"/>
  <c r="L1157" i="3"/>
  <c r="K1157" i="3"/>
  <c r="J1157" i="3"/>
  <c r="O1157" i="3" s="1"/>
  <c r="X1156" i="3"/>
  <c r="V1156" i="3"/>
  <c r="X1155" i="3"/>
  <c r="V1155" i="3"/>
  <c r="X1154" i="3"/>
  <c r="V1154" i="3"/>
  <c r="X1153" i="3"/>
  <c r="V1153" i="3"/>
  <c r="X1152" i="3"/>
  <c r="V1152" i="3"/>
  <c r="X1151" i="3"/>
  <c r="V1151" i="3"/>
  <c r="U1150" i="3"/>
  <c r="X1150" i="3" s="1"/>
  <c r="O1150" i="3"/>
  <c r="U1149" i="3"/>
  <c r="X1149" i="3" s="1"/>
  <c r="O1149" i="3"/>
  <c r="U1148" i="3"/>
  <c r="X1148" i="3" s="1"/>
  <c r="O1148" i="3"/>
  <c r="U1147" i="3"/>
  <c r="X1147" i="3" s="1"/>
  <c r="L1147" i="3"/>
  <c r="J1147" i="3"/>
  <c r="O1147" i="3" s="1"/>
  <c r="U1146" i="3"/>
  <c r="X1146" i="3" s="1"/>
  <c r="M1146" i="3"/>
  <c r="O1146" i="3" s="1"/>
  <c r="U1145" i="3"/>
  <c r="X1145" i="3" s="1"/>
  <c r="O1145" i="3"/>
  <c r="AA1144" i="3"/>
  <c r="U1144" i="3"/>
  <c r="X1144" i="3" s="1"/>
  <c r="O1144" i="3"/>
  <c r="AA1143" i="3"/>
  <c r="U1143" i="3"/>
  <c r="X1143" i="3" s="1"/>
  <c r="O1143" i="3"/>
  <c r="AA1142" i="3"/>
  <c r="U1142" i="3"/>
  <c r="X1142" i="3" s="1"/>
  <c r="J1142" i="3"/>
  <c r="O1142" i="3" s="1"/>
  <c r="AA1141" i="3"/>
  <c r="U1141" i="3"/>
  <c r="X1141" i="3" s="1"/>
  <c r="O1141" i="3"/>
  <c r="L1141" i="3"/>
  <c r="K1141" i="3"/>
  <c r="J1141" i="3"/>
  <c r="AA1140" i="3"/>
  <c r="U1140" i="3"/>
  <c r="X1140" i="3" s="1"/>
  <c r="O1140" i="3"/>
  <c r="AA1139" i="3"/>
  <c r="U1139" i="3"/>
  <c r="X1139" i="3" s="1"/>
  <c r="J1139" i="3"/>
  <c r="O1139" i="3" s="1"/>
  <c r="AA1138" i="3"/>
  <c r="U1138" i="3"/>
  <c r="X1138" i="3" s="1"/>
  <c r="J1138" i="3"/>
  <c r="O1138" i="3" s="1"/>
  <c r="AA1137" i="3"/>
  <c r="U1137" i="3"/>
  <c r="X1137" i="3" s="1"/>
  <c r="O1137" i="3"/>
  <c r="AA1136" i="3"/>
  <c r="U1136" i="3"/>
  <c r="X1136" i="3" s="1"/>
  <c r="O1136" i="3"/>
  <c r="AA1135" i="3"/>
  <c r="U1135" i="3"/>
  <c r="X1135" i="3" s="1"/>
  <c r="O1135" i="3"/>
  <c r="AA1134" i="3"/>
  <c r="U1134" i="3"/>
  <c r="X1134" i="3" s="1"/>
  <c r="O1134" i="3"/>
  <c r="AA1133" i="3"/>
  <c r="U1133" i="3"/>
  <c r="X1133" i="3" s="1"/>
  <c r="O1133" i="3"/>
  <c r="AA1132" i="3"/>
  <c r="U1132" i="3"/>
  <c r="X1132" i="3" s="1"/>
  <c r="O1132" i="3"/>
  <c r="AA1131" i="3"/>
  <c r="U1131" i="3"/>
  <c r="X1131" i="3" s="1"/>
  <c r="O1131" i="3"/>
  <c r="AA1130" i="3"/>
  <c r="U1130" i="3"/>
  <c r="X1130" i="3" s="1"/>
  <c r="O1130" i="3"/>
  <c r="X1129" i="3"/>
  <c r="O1129" i="3"/>
  <c r="V1129" i="3" s="1"/>
  <c r="X1128" i="3"/>
  <c r="O1128" i="3"/>
  <c r="V1128" i="3" s="1"/>
  <c r="X1127" i="3"/>
  <c r="O1127" i="3"/>
  <c r="V1127" i="3" s="1"/>
  <c r="X1126" i="3"/>
  <c r="O1126" i="3"/>
  <c r="V1126" i="3" s="1"/>
  <c r="X1125" i="3"/>
  <c r="O1125" i="3"/>
  <c r="V1125" i="3" s="1"/>
  <c r="X1124" i="3"/>
  <c r="O1124" i="3"/>
  <c r="V1124" i="3" s="1"/>
  <c r="U1123" i="3"/>
  <c r="X1123" i="3" s="1"/>
  <c r="O1123" i="3"/>
  <c r="U1122" i="3"/>
  <c r="X1122" i="3" s="1"/>
  <c r="O1122" i="3"/>
  <c r="U1121" i="3"/>
  <c r="X1121" i="3" s="1"/>
  <c r="O1121" i="3"/>
  <c r="U1120" i="3"/>
  <c r="X1120" i="3" s="1"/>
  <c r="O1120" i="3"/>
  <c r="U1119" i="3"/>
  <c r="X1119" i="3" s="1"/>
  <c r="O1119" i="3"/>
  <c r="AA1118" i="3"/>
  <c r="X1118" i="3"/>
  <c r="V1118" i="3"/>
  <c r="AA1117" i="3"/>
  <c r="X1117" i="3"/>
  <c r="V1117" i="3"/>
  <c r="AA1116" i="3"/>
  <c r="X1116" i="3"/>
  <c r="V1116" i="3"/>
  <c r="AA1115" i="3"/>
  <c r="X1115" i="3"/>
  <c r="V1115" i="3"/>
  <c r="AA1114" i="3"/>
  <c r="X1114" i="3"/>
  <c r="V1114" i="3"/>
  <c r="AA1113" i="3"/>
  <c r="X1113" i="3"/>
  <c r="V1113" i="3"/>
  <c r="AA1112" i="3"/>
  <c r="X1112" i="3"/>
  <c r="V1112" i="3"/>
  <c r="AA1111" i="3"/>
  <c r="X1111" i="3"/>
  <c r="V1111" i="3"/>
  <c r="AA1110" i="3"/>
  <c r="X1110" i="3"/>
  <c r="V1110" i="3"/>
  <c r="AA1109" i="3"/>
  <c r="X1109" i="3"/>
  <c r="V1109" i="3"/>
  <c r="AA1108" i="3"/>
  <c r="X1108" i="3"/>
  <c r="V1108" i="3"/>
  <c r="AA1107" i="3"/>
  <c r="X1107" i="3"/>
  <c r="V1107" i="3"/>
  <c r="AA1106" i="3"/>
  <c r="X1106" i="3"/>
  <c r="V1106" i="3"/>
  <c r="AA1105" i="3"/>
  <c r="X1105" i="3"/>
  <c r="V1105" i="3"/>
  <c r="AA1104" i="3"/>
  <c r="X1104" i="3"/>
  <c r="V1104" i="3"/>
  <c r="AA1103" i="3"/>
  <c r="X1103" i="3"/>
  <c r="V1103" i="3"/>
  <c r="AA1102" i="3"/>
  <c r="X1102" i="3"/>
  <c r="V1102" i="3"/>
  <c r="AA1101" i="3"/>
  <c r="X1101" i="3"/>
  <c r="V1101" i="3"/>
  <c r="AA1100" i="3"/>
  <c r="X1100" i="3"/>
  <c r="V1100" i="3"/>
  <c r="AA1099" i="3"/>
  <c r="X1099" i="3"/>
  <c r="V1099" i="3"/>
  <c r="AA1098" i="3"/>
  <c r="X1098" i="3"/>
  <c r="V1098" i="3"/>
  <c r="AA1097" i="3"/>
  <c r="X1097" i="3"/>
  <c r="V1097" i="3"/>
  <c r="AA1096" i="3"/>
  <c r="X1096" i="3"/>
  <c r="V1096" i="3"/>
  <c r="AA1095" i="3"/>
  <c r="X1095" i="3"/>
  <c r="V1095" i="3"/>
  <c r="AA1094" i="3"/>
  <c r="X1094" i="3"/>
  <c r="V1094" i="3"/>
  <c r="AA1093" i="3"/>
  <c r="X1093" i="3"/>
  <c r="V1093" i="3"/>
  <c r="AA1092" i="3"/>
  <c r="X1092" i="3"/>
  <c r="V1092" i="3"/>
  <c r="AA1091" i="3"/>
  <c r="X1091" i="3"/>
  <c r="V1091" i="3"/>
  <c r="AA1090" i="3"/>
  <c r="X1090" i="3"/>
  <c r="V1090" i="3"/>
  <c r="AA1089" i="3"/>
  <c r="X1089" i="3"/>
  <c r="V1089" i="3"/>
  <c r="AA1088" i="3"/>
  <c r="X1088" i="3"/>
  <c r="V1088" i="3"/>
  <c r="AA1087" i="3"/>
  <c r="X1087" i="3"/>
  <c r="V1087" i="3"/>
  <c r="AA1086" i="3"/>
  <c r="X1086" i="3"/>
  <c r="V1086" i="3"/>
  <c r="V1203" i="3" l="1"/>
  <c r="V1178" i="3"/>
  <c r="V1181" i="3"/>
  <c r="V1303" i="3"/>
  <c r="V1315" i="3"/>
  <c r="V1140" i="3"/>
  <c r="V1195" i="3"/>
  <c r="V1200" i="3"/>
  <c r="V1229" i="3"/>
  <c r="V1288" i="3"/>
  <c r="V1291" i="3"/>
  <c r="V1191" i="3"/>
  <c r="V1219" i="3"/>
  <c r="V1144" i="3"/>
  <c r="V1158" i="3"/>
  <c r="V1130" i="3"/>
  <c r="V1138" i="3"/>
  <c r="V1145" i="3"/>
  <c r="V1164" i="3"/>
  <c r="V1185" i="3"/>
  <c r="V1119" i="3"/>
  <c r="V1123" i="3"/>
  <c r="V1142" i="3"/>
  <c r="V1187" i="3"/>
  <c r="V1220" i="3"/>
  <c r="V1223" i="3"/>
  <c r="V1234" i="3"/>
  <c r="V1242" i="3"/>
  <c r="V1188" i="3"/>
  <c r="V1204" i="3"/>
  <c r="V1224" i="3"/>
  <c r="V1232" i="3"/>
  <c r="V1252" i="3"/>
  <c r="V1309" i="3"/>
  <c r="V1276" i="3"/>
  <c r="V1160" i="3"/>
  <c r="V1170" i="3"/>
  <c r="V1236" i="3"/>
  <c r="V1240" i="3"/>
  <c r="V1254" i="3"/>
  <c r="V1285" i="3"/>
  <c r="V1302" i="3"/>
  <c r="V1304" i="3"/>
  <c r="V1173" i="3"/>
  <c r="V1122" i="3"/>
  <c r="V1184" i="3"/>
  <c r="V1211" i="3"/>
  <c r="V1214" i="3"/>
  <c r="V1272" i="3"/>
  <c r="V1277" i="3"/>
  <c r="V1286" i="3"/>
  <c r="V1183" i="3"/>
  <c r="V1120" i="3"/>
  <c r="V1159" i="3"/>
  <c r="V1168" i="3"/>
  <c r="V1174" i="3"/>
  <c r="V1177" i="3"/>
  <c r="V1186" i="3"/>
  <c r="V1193" i="3"/>
  <c r="V1198" i="3"/>
  <c r="V1307" i="3"/>
  <c r="V1139" i="3"/>
  <c r="V1182" i="3"/>
  <c r="V1237" i="3"/>
  <c r="V1287" i="3"/>
  <c r="V1121" i="3"/>
  <c r="V1141" i="3"/>
  <c r="V1166" i="3"/>
  <c r="V1172" i="3"/>
  <c r="V1180" i="3"/>
  <c r="V1199" i="3"/>
  <c r="V1292" i="3"/>
  <c r="V1133" i="3"/>
  <c r="V1135" i="3"/>
  <c r="V1147" i="3"/>
  <c r="V1171" i="3"/>
  <c r="V1210" i="3"/>
  <c r="V1212" i="3"/>
  <c r="V1215" i="3"/>
  <c r="V1225" i="3"/>
  <c r="V1251" i="3"/>
  <c r="V1256" i="3"/>
  <c r="V1278" i="3"/>
  <c r="V1301" i="3"/>
  <c r="V1311" i="3"/>
  <c r="V1131" i="3"/>
  <c r="V1163" i="3"/>
  <c r="X1183" i="3"/>
  <c r="V1196" i="3"/>
  <c r="V1206" i="3"/>
  <c r="V1208" i="3"/>
  <c r="V1213" i="3"/>
  <c r="V1218" i="3"/>
  <c r="V1228" i="3"/>
  <c r="V1230" i="3"/>
  <c r="V1235" i="3"/>
  <c r="V1238" i="3"/>
  <c r="V1241" i="3"/>
  <c r="V1246" i="3"/>
  <c r="V1253" i="3"/>
  <c r="V1259" i="3"/>
  <c r="V1310" i="3"/>
  <c r="V1314" i="3"/>
  <c r="V1134" i="3"/>
  <c r="V1148" i="3"/>
  <c r="V1161" i="3"/>
  <c r="V1167" i="3"/>
  <c r="V1176" i="3"/>
  <c r="V1179" i="3"/>
  <c r="V1192" i="3"/>
  <c r="V1216" i="3"/>
  <c r="V1221" i="3"/>
  <c r="V1226" i="3"/>
  <c r="V1244" i="3"/>
  <c r="V1249" i="3"/>
  <c r="V1312" i="3"/>
  <c r="V1201" i="3"/>
  <c r="V1247" i="3"/>
  <c r="V1250" i="3"/>
  <c r="V1257" i="3"/>
  <c r="V1306" i="3"/>
  <c r="V1169" i="3"/>
  <c r="V1149" i="3"/>
  <c r="V1197" i="3"/>
  <c r="V1207" i="3"/>
  <c r="V1217" i="3"/>
  <c r="V1227" i="3"/>
  <c r="V1231" i="3"/>
  <c r="V1245" i="3"/>
  <c r="V1255" i="3"/>
  <c r="V1261" i="3"/>
  <c r="V1270" i="3"/>
  <c r="V1293" i="3"/>
  <c r="V1313" i="3"/>
  <c r="V1222" i="3"/>
  <c r="V1239" i="3"/>
  <c r="V1136" i="3"/>
  <c r="V1209" i="3"/>
  <c r="V1243" i="3"/>
  <c r="V1271" i="3"/>
  <c r="V1146" i="3"/>
  <c r="X1260" i="3"/>
  <c r="V1260" i="3"/>
  <c r="V1137" i="3"/>
  <c r="V1150" i="3"/>
  <c r="V1289" i="3"/>
  <c r="V1308" i="3"/>
  <c r="V1189" i="3"/>
  <c r="V1290" i="3"/>
  <c r="V1157" i="3"/>
  <c r="X1205" i="3"/>
  <c r="V1205" i="3"/>
  <c r="V1162" i="3"/>
  <c r="V1194" i="3"/>
  <c r="V1233" i="3"/>
  <c r="V1248" i="3"/>
  <c r="V1305" i="3"/>
  <c r="V1132" i="3"/>
  <c r="O1165" i="3"/>
  <c r="V1165" i="3" s="1"/>
  <c r="O1258" i="3"/>
  <c r="V1258" i="3" s="1"/>
  <c r="V1202" i="3"/>
  <c r="O1175" i="3"/>
  <c r="V1175" i="3" s="1"/>
  <c r="V1190" i="3"/>
  <c r="V1143" i="3"/>
  <c r="AA1085" i="3" l="1"/>
  <c r="X1085" i="3"/>
  <c r="V1085" i="3"/>
  <c r="AA1084" i="3"/>
  <c r="X1084" i="3"/>
  <c r="V1084" i="3"/>
  <c r="AA1083" i="3"/>
  <c r="X1083" i="3"/>
  <c r="V1083" i="3"/>
  <c r="AA1082" i="3"/>
  <c r="X1082" i="3"/>
  <c r="V1082" i="3"/>
  <c r="AA1081" i="3"/>
  <c r="X1081" i="3"/>
  <c r="V1081" i="3"/>
  <c r="AA1080" i="3"/>
  <c r="X1080" i="3"/>
  <c r="V1080" i="3"/>
  <c r="AA1079" i="3"/>
  <c r="X1079" i="3"/>
  <c r="V1079" i="3"/>
  <c r="AA1078" i="3"/>
  <c r="X1078" i="3"/>
  <c r="V1078" i="3"/>
  <c r="AA1077" i="3"/>
  <c r="X1077" i="3"/>
  <c r="V1077" i="3"/>
  <c r="AA1076" i="3"/>
  <c r="X1076" i="3"/>
  <c r="V1076" i="3"/>
  <c r="AA1075" i="3"/>
  <c r="X1075" i="3"/>
  <c r="V1075" i="3"/>
  <c r="AA1074" i="3"/>
  <c r="X1074" i="3"/>
  <c r="V1074" i="3"/>
  <c r="AA1073" i="3"/>
  <c r="X1073" i="3"/>
  <c r="V1073" i="3"/>
  <c r="AA1072" i="3"/>
  <c r="X1072" i="3"/>
  <c r="V1072" i="3"/>
  <c r="AA1071" i="3"/>
  <c r="X1071" i="3"/>
  <c r="V1071" i="3"/>
  <c r="AA1070" i="3"/>
  <c r="X1070" i="3"/>
  <c r="V1070" i="3"/>
  <c r="AA1069" i="3"/>
  <c r="X1069" i="3"/>
  <c r="V1069" i="3"/>
  <c r="AA1068" i="3"/>
  <c r="X1068" i="3"/>
  <c r="V1068" i="3"/>
  <c r="AA1067" i="3"/>
  <c r="X1067" i="3"/>
  <c r="V1067" i="3"/>
  <c r="AB1066" i="3"/>
  <c r="X1066" i="3"/>
  <c r="V1066" i="3"/>
  <c r="AB1065" i="3"/>
  <c r="X1065" i="3"/>
  <c r="V1065" i="3"/>
  <c r="AB1064" i="3"/>
  <c r="X1064" i="3"/>
  <c r="V1064" i="3"/>
  <c r="AB1063" i="3"/>
  <c r="X1063" i="3"/>
  <c r="V1063" i="3"/>
  <c r="AB1062" i="3"/>
  <c r="X1062" i="3"/>
  <c r="V1062" i="3"/>
  <c r="X1061" i="3"/>
  <c r="V1061" i="3"/>
  <c r="X1060" i="3"/>
  <c r="V1060" i="3"/>
  <c r="X1059" i="3"/>
  <c r="V1059" i="3"/>
  <c r="X1058" i="3"/>
  <c r="V1058" i="3"/>
  <c r="AA1057" i="3"/>
  <c r="X1057" i="3"/>
  <c r="V1057" i="3"/>
  <c r="AA1056" i="3"/>
  <c r="X1056" i="3"/>
  <c r="V1056" i="3"/>
  <c r="AA1055" i="3"/>
  <c r="X1055" i="3"/>
  <c r="V1055" i="3"/>
  <c r="AA1054" i="3"/>
  <c r="X1054" i="3"/>
  <c r="V1054" i="3"/>
  <c r="X1053" i="3"/>
  <c r="V1053" i="3"/>
  <c r="X1052" i="3"/>
  <c r="V1052" i="3"/>
  <c r="X1051" i="3"/>
  <c r="V1051" i="3"/>
  <c r="X1050" i="3"/>
  <c r="V1050" i="3"/>
  <c r="X1049" i="3"/>
  <c r="V1049" i="3"/>
  <c r="X1048" i="3"/>
  <c r="V1048" i="3"/>
  <c r="X1047" i="3"/>
  <c r="V1047" i="3"/>
  <c r="X1046" i="3"/>
  <c r="V1046" i="3"/>
  <c r="X1045" i="3"/>
  <c r="V1045" i="3"/>
  <c r="X1044" i="3"/>
  <c r="V1044" i="3"/>
  <c r="X1043" i="3"/>
  <c r="V1043" i="3"/>
  <c r="X1042" i="3"/>
  <c r="V1042" i="3"/>
  <c r="X1041" i="3"/>
  <c r="V1041" i="3"/>
  <c r="X1040" i="3"/>
  <c r="V1040" i="3"/>
  <c r="X1039" i="3"/>
  <c r="V1039" i="3"/>
  <c r="X1038" i="3"/>
  <c r="V1038" i="3"/>
  <c r="AA1037" i="3"/>
  <c r="U1037" i="3"/>
  <c r="V1037" i="3" s="1"/>
  <c r="M1037" i="3"/>
  <c r="AA1036" i="3"/>
  <c r="U1036" i="3"/>
  <c r="X1036" i="3" s="1"/>
  <c r="M1036" i="3"/>
  <c r="AA1035" i="3"/>
  <c r="U1035" i="3"/>
  <c r="X1035" i="3" s="1"/>
  <c r="M1035" i="3"/>
  <c r="O1035" i="3" s="1"/>
  <c r="AA1034" i="3"/>
  <c r="U1034" i="3"/>
  <c r="X1034" i="3" s="1"/>
  <c r="O1034" i="3"/>
  <c r="AA1033" i="3"/>
  <c r="U1033" i="3"/>
  <c r="X1033" i="3" s="1"/>
  <c r="O1033" i="3"/>
  <c r="AA1032" i="3"/>
  <c r="U1032" i="3"/>
  <c r="X1032" i="3" s="1"/>
  <c r="O1032" i="3"/>
  <c r="AA1031" i="3"/>
  <c r="U1031" i="3"/>
  <c r="X1031" i="3" s="1"/>
  <c r="O1031" i="3"/>
  <c r="AA1030" i="3"/>
  <c r="U1030" i="3"/>
  <c r="X1030" i="3" s="1"/>
  <c r="O1030" i="3"/>
  <c r="AA1029" i="3"/>
  <c r="U1029" i="3"/>
  <c r="X1029" i="3" s="1"/>
  <c r="L1029" i="3"/>
  <c r="K1029" i="3"/>
  <c r="O1029" i="3" s="1"/>
  <c r="X1028" i="3"/>
  <c r="V1028" i="3"/>
  <c r="X1027" i="3"/>
  <c r="V1027" i="3"/>
  <c r="X1026" i="3"/>
  <c r="V1026" i="3"/>
  <c r="X1025" i="3"/>
  <c r="V1025" i="3"/>
  <c r="X1024" i="3"/>
  <c r="V1024" i="3"/>
  <c r="X1023" i="3"/>
  <c r="V1023" i="3"/>
  <c r="X1022" i="3"/>
  <c r="V1022" i="3"/>
  <c r="X1021" i="3"/>
  <c r="V1021" i="3"/>
  <c r="AA1020" i="3"/>
  <c r="U1020" i="3"/>
  <c r="X1020" i="3" s="1"/>
  <c r="J1020" i="3"/>
  <c r="O1020" i="3" s="1"/>
  <c r="AA1019" i="3"/>
  <c r="U1019" i="3"/>
  <c r="X1019" i="3" s="1"/>
  <c r="M1019" i="3"/>
  <c r="O1019" i="3" s="1"/>
  <c r="AA1018" i="3"/>
  <c r="U1018" i="3"/>
  <c r="X1018" i="3" s="1"/>
  <c r="K1018" i="3"/>
  <c r="J1018" i="3"/>
  <c r="O1018" i="3" s="1"/>
  <c r="AA1017" i="3"/>
  <c r="U1017" i="3"/>
  <c r="X1017" i="3" s="1"/>
  <c r="M1017" i="3"/>
  <c r="O1017" i="3" s="1"/>
  <c r="AA1016" i="3"/>
  <c r="U1016" i="3"/>
  <c r="X1016" i="3" s="1"/>
  <c r="M1016" i="3"/>
  <c r="L1016" i="3"/>
  <c r="K1016" i="3"/>
  <c r="J1016" i="3"/>
  <c r="O1016" i="3" s="1"/>
  <c r="AA1015" i="3"/>
  <c r="U1015" i="3"/>
  <c r="X1015" i="3" s="1"/>
  <c r="N1015" i="3"/>
  <c r="O1015" i="3" s="1"/>
  <c r="M1015" i="3"/>
  <c r="L1015" i="3"/>
  <c r="K1015" i="3"/>
  <c r="J1015" i="3"/>
  <c r="AA1014" i="3"/>
  <c r="U1014" i="3"/>
  <c r="X1014" i="3" s="1"/>
  <c r="M1014" i="3"/>
  <c r="L1014" i="3"/>
  <c r="K1014" i="3"/>
  <c r="O1014" i="3" s="1"/>
  <c r="J1014" i="3"/>
  <c r="AA1013" i="3"/>
  <c r="U1013" i="3"/>
  <c r="X1013" i="3" s="1"/>
  <c r="J1013" i="3"/>
  <c r="O1013" i="3" s="1"/>
  <c r="AA1012" i="3"/>
  <c r="U1012" i="3"/>
  <c r="X1012" i="3" s="1"/>
  <c r="O1012" i="3"/>
  <c r="M1012" i="3"/>
  <c r="AA1011" i="3"/>
  <c r="U1011" i="3"/>
  <c r="X1011" i="3" s="1"/>
  <c r="K1011" i="3"/>
  <c r="J1011" i="3"/>
  <c r="O1011" i="3" s="1"/>
  <c r="AA1010" i="3"/>
  <c r="U1010" i="3"/>
  <c r="X1010" i="3" s="1"/>
  <c r="M1010" i="3"/>
  <c r="O1010" i="3" s="1"/>
  <c r="AA1009" i="3"/>
  <c r="U1009" i="3"/>
  <c r="X1009" i="3" s="1"/>
  <c r="M1009" i="3"/>
  <c r="L1009" i="3"/>
  <c r="K1009" i="3"/>
  <c r="J1009" i="3"/>
  <c r="O1009" i="3" s="1"/>
  <c r="AA1008" i="3"/>
  <c r="U1008" i="3"/>
  <c r="X1008" i="3" s="1"/>
  <c r="N1008" i="3"/>
  <c r="M1008" i="3"/>
  <c r="L1008" i="3"/>
  <c r="K1008" i="3"/>
  <c r="J1008" i="3"/>
  <c r="O1008" i="3" s="1"/>
  <c r="AA1007" i="3"/>
  <c r="U1007" i="3"/>
  <c r="X1007" i="3" s="1"/>
  <c r="M1007" i="3"/>
  <c r="L1007" i="3"/>
  <c r="K1007" i="3"/>
  <c r="J1007" i="3"/>
  <c r="O1007" i="3" s="1"/>
  <c r="AA1006" i="3"/>
  <c r="U1006" i="3"/>
  <c r="X1006" i="3" s="1"/>
  <c r="O1006" i="3"/>
  <c r="AA1005" i="3"/>
  <c r="U1005" i="3"/>
  <c r="X1005" i="3" s="1"/>
  <c r="M1005" i="3"/>
  <c r="O1005" i="3" s="1"/>
  <c r="AA1004" i="3"/>
  <c r="U1004" i="3"/>
  <c r="X1004" i="3" s="1"/>
  <c r="M1004" i="3"/>
  <c r="L1004" i="3"/>
  <c r="O1004" i="3" s="1"/>
  <c r="K1004" i="3"/>
  <c r="J1004" i="3"/>
  <c r="AA1003" i="3"/>
  <c r="U1003" i="3"/>
  <c r="X1003" i="3" s="1"/>
  <c r="M1003" i="3"/>
  <c r="J1003" i="3"/>
  <c r="O1003" i="3" s="1"/>
  <c r="AA1002" i="3"/>
  <c r="U1002" i="3"/>
  <c r="X1002" i="3" s="1"/>
  <c r="M1002" i="3"/>
  <c r="L1002" i="3"/>
  <c r="K1002" i="3"/>
  <c r="J1002" i="3"/>
  <c r="O1002" i="3" s="1"/>
  <c r="AA1001" i="3"/>
  <c r="U1001" i="3"/>
  <c r="X1001" i="3" s="1"/>
  <c r="M1001" i="3"/>
  <c r="O1001" i="3" s="1"/>
  <c r="AA1000" i="3"/>
  <c r="U1000" i="3"/>
  <c r="X1000" i="3" s="1"/>
  <c r="M1000" i="3"/>
  <c r="K1000" i="3"/>
  <c r="J1000" i="3"/>
  <c r="O1000" i="3" s="1"/>
  <c r="AA999" i="3"/>
  <c r="U999" i="3"/>
  <c r="X999" i="3" s="1"/>
  <c r="M999" i="3"/>
  <c r="O999" i="3" s="1"/>
  <c r="AA998" i="3"/>
  <c r="U998" i="3"/>
  <c r="X998" i="3" s="1"/>
  <c r="K998" i="3"/>
  <c r="J998" i="3"/>
  <c r="O998" i="3" s="1"/>
  <c r="AA997" i="3"/>
  <c r="U997" i="3"/>
  <c r="X997" i="3" s="1"/>
  <c r="M997" i="3"/>
  <c r="L997" i="3"/>
  <c r="K997" i="3"/>
  <c r="J997" i="3"/>
  <c r="O997" i="3" s="1"/>
  <c r="AA996" i="3"/>
  <c r="U996" i="3"/>
  <c r="X996" i="3" s="1"/>
  <c r="O996" i="3"/>
  <c r="AA995" i="3"/>
  <c r="U995" i="3"/>
  <c r="X995" i="3" s="1"/>
  <c r="O995" i="3"/>
  <c r="AA994" i="3"/>
  <c r="U994" i="3"/>
  <c r="X994" i="3" s="1"/>
  <c r="J994" i="3"/>
  <c r="O994" i="3" s="1"/>
  <c r="AA993" i="3"/>
  <c r="U993" i="3"/>
  <c r="X993" i="3" s="1"/>
  <c r="O993" i="3"/>
  <c r="AA992" i="3"/>
  <c r="U992" i="3"/>
  <c r="X992" i="3" s="1"/>
  <c r="J992" i="3"/>
  <c r="O992" i="3" s="1"/>
  <c r="AA991" i="3"/>
  <c r="U991" i="3"/>
  <c r="X991" i="3" s="1"/>
  <c r="O991" i="3"/>
  <c r="U990" i="3"/>
  <c r="X990" i="3" s="1"/>
  <c r="O990" i="3"/>
  <c r="U989" i="3"/>
  <c r="X989" i="3" s="1"/>
  <c r="O989" i="3"/>
  <c r="U988" i="3"/>
  <c r="X988" i="3" s="1"/>
  <c r="J988" i="3"/>
  <c r="O988" i="3" s="1"/>
  <c r="U987" i="3"/>
  <c r="X987" i="3" s="1"/>
  <c r="O987" i="3"/>
  <c r="U986" i="3"/>
  <c r="X986" i="3" s="1"/>
  <c r="O986" i="3"/>
  <c r="U985" i="3"/>
  <c r="X985" i="3" s="1"/>
  <c r="O985" i="3"/>
  <c r="U984" i="3"/>
  <c r="X984" i="3" s="1"/>
  <c r="O984" i="3"/>
  <c r="U983" i="3"/>
  <c r="X983" i="3" s="1"/>
  <c r="M983" i="3"/>
  <c r="O983" i="3" s="1"/>
  <c r="K983" i="3"/>
  <c r="J983" i="3"/>
  <c r="U982" i="3"/>
  <c r="X982" i="3" s="1"/>
  <c r="O982" i="3"/>
  <c r="U981" i="3"/>
  <c r="X981" i="3" s="1"/>
  <c r="M981" i="3"/>
  <c r="O981" i="3" s="1"/>
  <c r="AA980" i="3"/>
  <c r="U980" i="3"/>
  <c r="X980" i="3" s="1"/>
  <c r="O980" i="3"/>
  <c r="AA979" i="3"/>
  <c r="U979" i="3"/>
  <c r="X979" i="3" s="1"/>
  <c r="O979" i="3"/>
  <c r="AA978" i="3"/>
  <c r="U978" i="3"/>
  <c r="X978" i="3" s="1"/>
  <c r="K978" i="3"/>
  <c r="O978" i="3" s="1"/>
  <c r="AA977" i="3"/>
  <c r="U977" i="3"/>
  <c r="X977" i="3" s="1"/>
  <c r="O977" i="3"/>
  <c r="AA976" i="3"/>
  <c r="U976" i="3"/>
  <c r="O976" i="3"/>
  <c r="AA975" i="3"/>
  <c r="U975" i="3"/>
  <c r="X975" i="3" s="1"/>
  <c r="M975" i="3"/>
  <c r="K975" i="3"/>
  <c r="J975" i="3"/>
  <c r="O975" i="3" s="1"/>
  <c r="AA974" i="3"/>
  <c r="U974" i="3"/>
  <c r="X974" i="3" s="1"/>
  <c r="O974" i="3"/>
  <c r="AA973" i="3"/>
  <c r="U973" i="3"/>
  <c r="X973" i="3" s="1"/>
  <c r="O973" i="3"/>
  <c r="AA972" i="3"/>
  <c r="U972" i="3"/>
  <c r="X972" i="3" s="1"/>
  <c r="O972" i="3"/>
  <c r="AA971" i="3"/>
  <c r="U971" i="3"/>
  <c r="X971" i="3" s="1"/>
  <c r="O971" i="3"/>
  <c r="AA970" i="3"/>
  <c r="U970" i="3"/>
  <c r="X970" i="3" s="1"/>
  <c r="O970" i="3"/>
  <c r="AA969" i="3"/>
  <c r="U969" i="3"/>
  <c r="X969" i="3" s="1"/>
  <c r="M969" i="3"/>
  <c r="J969" i="3"/>
  <c r="O969" i="3" s="1"/>
  <c r="AA968" i="3"/>
  <c r="U968" i="3"/>
  <c r="X968" i="3" s="1"/>
  <c r="O968" i="3"/>
  <c r="AA967" i="3"/>
  <c r="U967" i="3"/>
  <c r="X967" i="3" s="1"/>
  <c r="K967" i="3"/>
  <c r="O967" i="3" s="1"/>
  <c r="AA966" i="3"/>
  <c r="U966" i="3"/>
  <c r="X966" i="3" s="1"/>
  <c r="O966" i="3"/>
  <c r="AA965" i="3"/>
  <c r="U965" i="3"/>
  <c r="X965" i="3" s="1"/>
  <c r="O965" i="3"/>
  <c r="AA964" i="3"/>
  <c r="U964" i="3"/>
  <c r="X964" i="3" s="1"/>
  <c r="O964" i="3"/>
  <c r="AA963" i="3"/>
  <c r="U963" i="3"/>
  <c r="X963" i="3" s="1"/>
  <c r="O963" i="3"/>
  <c r="J963" i="3"/>
  <c r="U962" i="3"/>
  <c r="X962" i="3" s="1"/>
  <c r="O962" i="3"/>
  <c r="U961" i="3"/>
  <c r="X961" i="3" s="1"/>
  <c r="O961" i="3"/>
  <c r="U960" i="3"/>
  <c r="X960" i="3" s="1"/>
  <c r="O960" i="3"/>
  <c r="U959" i="3"/>
  <c r="X959" i="3" s="1"/>
  <c r="O959" i="3"/>
  <c r="U958" i="3"/>
  <c r="X958" i="3" s="1"/>
  <c r="O958" i="3"/>
  <c r="M958" i="3"/>
  <c r="J958" i="3"/>
  <c r="AA957" i="3"/>
  <c r="U957" i="3"/>
  <c r="X957" i="3" s="1"/>
  <c r="M957" i="3"/>
  <c r="J957" i="3"/>
  <c r="O957" i="3" s="1"/>
  <c r="AA956" i="3"/>
  <c r="U956" i="3"/>
  <c r="X956" i="3" s="1"/>
  <c r="O956" i="3"/>
  <c r="AA955" i="3"/>
  <c r="U955" i="3"/>
  <c r="X955" i="3" s="1"/>
  <c r="K955" i="3"/>
  <c r="J955" i="3"/>
  <c r="O955" i="3" s="1"/>
  <c r="AA954" i="3"/>
  <c r="U954" i="3"/>
  <c r="X954" i="3" s="1"/>
  <c r="M954" i="3"/>
  <c r="O954" i="3" s="1"/>
  <c r="U953" i="3"/>
  <c r="X953" i="3" s="1"/>
  <c r="K953" i="3"/>
  <c r="O953" i="3" s="1"/>
  <c r="U952" i="3"/>
  <c r="X952" i="3" s="1"/>
  <c r="M952" i="3"/>
  <c r="O952" i="3" s="1"/>
  <c r="U951" i="3"/>
  <c r="X951" i="3" s="1"/>
  <c r="M951" i="3"/>
  <c r="O951" i="3" s="1"/>
  <c r="U950" i="3"/>
  <c r="X950" i="3" s="1"/>
  <c r="M950" i="3"/>
  <c r="L950" i="3"/>
  <c r="K950" i="3"/>
  <c r="J950" i="3"/>
  <c r="U949" i="3"/>
  <c r="X949" i="3" s="1"/>
  <c r="O949" i="3"/>
  <c r="U948" i="3"/>
  <c r="X948" i="3" s="1"/>
  <c r="M948" i="3"/>
  <c r="L948" i="3"/>
  <c r="K948" i="3"/>
  <c r="J948" i="3"/>
  <c r="O948" i="3" s="1"/>
  <c r="U947" i="3"/>
  <c r="X947" i="3" s="1"/>
  <c r="M947" i="3"/>
  <c r="L947" i="3"/>
  <c r="K947" i="3"/>
  <c r="J947" i="3"/>
  <c r="O947" i="3" s="1"/>
  <c r="U946" i="3"/>
  <c r="X946" i="3" s="1"/>
  <c r="O946" i="3"/>
  <c r="U945" i="3"/>
  <c r="X945" i="3" s="1"/>
  <c r="O945" i="3"/>
  <c r="U944" i="3"/>
  <c r="X944" i="3" s="1"/>
  <c r="M944" i="3"/>
  <c r="L944" i="3"/>
  <c r="J944" i="3"/>
  <c r="U943" i="3"/>
  <c r="X943" i="3" s="1"/>
  <c r="N943" i="3"/>
  <c r="M943" i="3"/>
  <c r="L943" i="3"/>
  <c r="J943" i="3"/>
  <c r="O943" i="3" s="1"/>
  <c r="U942" i="3"/>
  <c r="X942" i="3" s="1"/>
  <c r="O942" i="3"/>
  <c r="U941" i="3"/>
  <c r="X941" i="3" s="1"/>
  <c r="O941" i="3"/>
  <c r="U940" i="3"/>
  <c r="X940" i="3" s="1"/>
  <c r="O940" i="3"/>
  <c r="U939" i="3"/>
  <c r="X939" i="3" s="1"/>
  <c r="O939" i="3"/>
  <c r="U938" i="3"/>
  <c r="X938" i="3" s="1"/>
  <c r="L938" i="3"/>
  <c r="J938" i="3"/>
  <c r="O938" i="3" s="1"/>
  <c r="AA937" i="3"/>
  <c r="U937" i="3"/>
  <c r="X937" i="3" s="1"/>
  <c r="J937" i="3"/>
  <c r="O937" i="3" s="1"/>
  <c r="AA936" i="3"/>
  <c r="U936" i="3"/>
  <c r="X936" i="3" s="1"/>
  <c r="O936" i="3"/>
  <c r="AA935" i="3"/>
  <c r="U935" i="3"/>
  <c r="X935" i="3" s="1"/>
  <c r="M935" i="3"/>
  <c r="J935" i="3"/>
  <c r="O935" i="3" s="1"/>
  <c r="AA934" i="3"/>
  <c r="U934" i="3"/>
  <c r="X934" i="3" s="1"/>
  <c r="M934" i="3"/>
  <c r="L934" i="3"/>
  <c r="K934" i="3"/>
  <c r="J934" i="3"/>
  <c r="O934" i="3" s="1"/>
  <c r="X933" i="3"/>
  <c r="O933" i="3"/>
  <c r="V933" i="3" s="1"/>
  <c r="X932" i="3"/>
  <c r="O932" i="3"/>
  <c r="V932" i="3" s="1"/>
  <c r="X931" i="3"/>
  <c r="O931" i="3"/>
  <c r="V931" i="3" s="1"/>
  <c r="X930" i="3"/>
  <c r="O930" i="3"/>
  <c r="V930" i="3" s="1"/>
  <c r="AA929" i="3"/>
  <c r="X929" i="3"/>
  <c r="O929" i="3"/>
  <c r="V929" i="3" s="1"/>
  <c r="AA928" i="3"/>
  <c r="X928" i="3"/>
  <c r="O928" i="3"/>
  <c r="V928" i="3" s="1"/>
  <c r="AA927" i="3"/>
  <c r="X927" i="3"/>
  <c r="O927" i="3"/>
  <c r="V927" i="3" s="1"/>
  <c r="AA926" i="3"/>
  <c r="X926" i="3"/>
  <c r="O926" i="3"/>
  <c r="V926" i="3" s="1"/>
  <c r="AA925" i="3"/>
  <c r="X925" i="3"/>
  <c r="O925" i="3"/>
  <c r="V925" i="3" s="1"/>
  <c r="AA924" i="3"/>
  <c r="X924" i="3"/>
  <c r="O924" i="3"/>
  <c r="V924" i="3" s="1"/>
  <c r="AB923" i="3"/>
  <c r="U923" i="3"/>
  <c r="X923" i="3" s="1"/>
  <c r="O923" i="3"/>
  <c r="J923" i="3"/>
  <c r="AB922" i="3"/>
  <c r="U922" i="3"/>
  <c r="X922" i="3" s="1"/>
  <c r="O922" i="3"/>
  <c r="AA921" i="3"/>
  <c r="X921" i="3"/>
  <c r="L921" i="3"/>
  <c r="K921" i="3"/>
  <c r="O921" i="3" s="1"/>
  <c r="V921" i="3" s="1"/>
  <c r="J921" i="3"/>
  <c r="AA920" i="3"/>
  <c r="X920" i="3"/>
  <c r="J920" i="3"/>
  <c r="O920" i="3" s="1"/>
  <c r="V920" i="3" s="1"/>
  <c r="AA919" i="3"/>
  <c r="X919" i="3"/>
  <c r="M919" i="3"/>
  <c r="O919" i="3" s="1"/>
  <c r="V919" i="3" s="1"/>
  <c r="K919" i="3"/>
  <c r="J919" i="3"/>
  <c r="AA918" i="3"/>
  <c r="X918" i="3"/>
  <c r="M918" i="3"/>
  <c r="L918" i="3"/>
  <c r="K918" i="3"/>
  <c r="J918" i="3"/>
  <c r="O918" i="3" s="1"/>
  <c r="V918" i="3" s="1"/>
  <c r="AA917" i="3"/>
  <c r="X917" i="3"/>
  <c r="O917" i="3"/>
  <c r="V917" i="3" s="1"/>
  <c r="AA916" i="3"/>
  <c r="X916" i="3"/>
  <c r="O916" i="3"/>
  <c r="V916" i="3" s="1"/>
  <c r="AB915" i="3"/>
  <c r="X915" i="3"/>
  <c r="M915" i="3"/>
  <c r="L915" i="3"/>
  <c r="J915" i="3"/>
  <c r="O915" i="3" s="1"/>
  <c r="V915" i="3" s="1"/>
  <c r="AB914" i="3"/>
  <c r="X914" i="3"/>
  <c r="L914" i="3"/>
  <c r="K914" i="3"/>
  <c r="O914" i="3" s="1"/>
  <c r="V914" i="3" s="1"/>
  <c r="AB913" i="3"/>
  <c r="X913" i="3"/>
  <c r="L913" i="3"/>
  <c r="K913" i="3"/>
  <c r="O913" i="3" s="1"/>
  <c r="V913" i="3" s="1"/>
  <c r="J913" i="3"/>
  <c r="AA912" i="3"/>
  <c r="X912" i="3"/>
  <c r="M912" i="3"/>
  <c r="K912" i="3"/>
  <c r="J912" i="3"/>
  <c r="O912" i="3" s="1"/>
  <c r="V912" i="3" s="1"/>
  <c r="AA911" i="3"/>
  <c r="X911" i="3"/>
  <c r="O911" i="3"/>
  <c r="V911" i="3" s="1"/>
  <c r="L911" i="3"/>
  <c r="J911" i="3"/>
  <c r="V1030" i="3" l="1"/>
  <c r="V939" i="3"/>
  <c r="V940" i="3"/>
  <c r="V953" i="3"/>
  <c r="V961" i="3"/>
  <c r="V979" i="3"/>
  <c r="V982" i="3"/>
  <c r="V995" i="3"/>
  <c r="V999" i="3"/>
  <c r="V952" i="3"/>
  <c r="V985" i="3"/>
  <c r="V934" i="3"/>
  <c r="V964" i="3"/>
  <c r="V938" i="3"/>
  <c r="V941" i="3"/>
  <c r="V986" i="3"/>
  <c r="V1001" i="3"/>
  <c r="V949" i="3"/>
  <c r="V955" i="3"/>
  <c r="V963" i="3"/>
  <c r="V966" i="3"/>
  <c r="V943" i="3"/>
  <c r="V922" i="3"/>
  <c r="V1016" i="3"/>
  <c r="V946" i="3"/>
  <c r="V956" i="3"/>
  <c r="V1018" i="3"/>
  <c r="V945" i="3"/>
  <c r="V974" i="3"/>
  <c r="V988" i="3"/>
  <c r="V1006" i="3"/>
  <c r="V1017" i="3"/>
  <c r="V1019" i="3"/>
  <c r="V976" i="3"/>
  <c r="V947" i="3"/>
  <c r="V965" i="3"/>
  <c r="V970" i="3"/>
  <c r="V942" i="3"/>
  <c r="V951" i="3"/>
  <c r="V957" i="3"/>
  <c r="V968" i="3"/>
  <c r="V973" i="3"/>
  <c r="V954" i="3"/>
  <c r="V992" i="3"/>
  <c r="V1004" i="3"/>
  <c r="V1011" i="3"/>
  <c r="V1032" i="3"/>
  <c r="V975" i="3"/>
  <c r="V977" i="3"/>
  <c r="V948" i="3"/>
  <c r="V980" i="3"/>
  <c r="V1005" i="3"/>
  <c r="V987" i="3"/>
  <c r="V1010" i="3"/>
  <c r="V1012" i="3"/>
  <c r="V1015" i="3"/>
  <c r="V1029" i="3"/>
  <c r="V935" i="3"/>
  <c r="V937" i="3"/>
  <c r="V981" i="3"/>
  <c r="V984" i="3"/>
  <c r="V993" i="3"/>
  <c r="V1020" i="3"/>
  <c r="V1035" i="3"/>
  <c r="V1014" i="3"/>
  <c r="V1033" i="3"/>
  <c r="V936" i="3"/>
  <c r="V958" i="3"/>
  <c r="V962" i="3"/>
  <c r="V989" i="3"/>
  <c r="V994" i="3"/>
  <c r="V1008" i="3"/>
  <c r="V1031" i="3"/>
  <c r="V991" i="3"/>
  <c r="V997" i="3"/>
  <c r="V969" i="3"/>
  <c r="V971" i="3"/>
  <c r="V998" i="3"/>
  <c r="V1003" i="3"/>
  <c r="V1007" i="3"/>
  <c r="V1036" i="3"/>
  <c r="V1009" i="3"/>
  <c r="V959" i="3"/>
  <c r="V967" i="3"/>
  <c r="V978" i="3"/>
  <c r="V983" i="3"/>
  <c r="V990" i="3"/>
  <c r="V1000" i="3"/>
  <c r="V1002" i="3"/>
  <c r="V1013" i="3"/>
  <c r="X976" i="3"/>
  <c r="V1034" i="3"/>
  <c r="V996" i="3"/>
  <c r="V960" i="3"/>
  <c r="V923" i="3"/>
  <c r="V972" i="3"/>
  <c r="O944" i="3"/>
  <c r="V944" i="3" s="1"/>
  <c r="O950" i="3"/>
  <c r="V950" i="3" s="1"/>
  <c r="X1037" i="3"/>
  <c r="AA910" i="3"/>
  <c r="U910" i="3"/>
  <c r="X910" i="3" s="1"/>
  <c r="O910" i="3"/>
  <c r="AA909" i="3"/>
  <c r="U909" i="3"/>
  <c r="X909" i="3" s="1"/>
  <c r="M909" i="3"/>
  <c r="O909" i="3" s="1"/>
  <c r="AA908" i="3"/>
  <c r="U908" i="3"/>
  <c r="X908" i="3" s="1"/>
  <c r="K908" i="3"/>
  <c r="J908" i="3"/>
  <c r="O908" i="3" s="1"/>
  <c r="AA907" i="3"/>
  <c r="U907" i="3"/>
  <c r="X907" i="3" s="1"/>
  <c r="M907" i="3"/>
  <c r="O907" i="3" s="1"/>
  <c r="K907" i="3"/>
  <c r="J907" i="3"/>
  <c r="AA906" i="3"/>
  <c r="U906" i="3"/>
  <c r="X906" i="3" s="1"/>
  <c r="M906" i="3"/>
  <c r="O906" i="3" s="1"/>
  <c r="AA905" i="3"/>
  <c r="U905" i="3"/>
  <c r="X905" i="3" s="1"/>
  <c r="M905" i="3"/>
  <c r="K905" i="3"/>
  <c r="O905" i="3" s="1"/>
  <c r="AA904" i="3"/>
  <c r="U904" i="3"/>
  <c r="X904" i="3" s="1"/>
  <c r="O904" i="3"/>
  <c r="AA903" i="3"/>
  <c r="U903" i="3"/>
  <c r="X903" i="3" s="1"/>
  <c r="K903" i="3"/>
  <c r="O903" i="3" s="1"/>
  <c r="AA902" i="3"/>
  <c r="U902" i="3"/>
  <c r="X902" i="3" s="1"/>
  <c r="M902" i="3"/>
  <c r="L902" i="3"/>
  <c r="K902" i="3"/>
  <c r="J902" i="3"/>
  <c r="AA901" i="3"/>
  <c r="U901" i="3"/>
  <c r="X901" i="3" s="1"/>
  <c r="N901" i="3"/>
  <c r="M901" i="3"/>
  <c r="L901" i="3"/>
  <c r="K901" i="3"/>
  <c r="J901" i="3"/>
  <c r="O901" i="3" s="1"/>
  <c r="AB900" i="3"/>
  <c r="AA900" i="3"/>
  <c r="U900" i="3"/>
  <c r="X900" i="3" s="1"/>
  <c r="O900" i="3"/>
  <c r="AB899" i="3"/>
  <c r="AA899" i="3"/>
  <c r="U899" i="3"/>
  <c r="X899" i="3" s="1"/>
  <c r="O899" i="3"/>
  <c r="AB898" i="3"/>
  <c r="AA898" i="3"/>
  <c r="U898" i="3"/>
  <c r="X898" i="3" s="1"/>
  <c r="O898" i="3"/>
  <c r="AB897" i="3"/>
  <c r="AA897" i="3"/>
  <c r="U897" i="3"/>
  <c r="X897" i="3" s="1"/>
  <c r="O897" i="3"/>
  <c r="AB896" i="3"/>
  <c r="AA896" i="3"/>
  <c r="U896" i="3"/>
  <c r="X896" i="3" s="1"/>
  <c r="O896" i="3"/>
  <c r="AB895" i="3"/>
  <c r="AA895" i="3"/>
  <c r="U895" i="3"/>
  <c r="X895" i="3" s="1"/>
  <c r="O895" i="3"/>
  <c r="AB894" i="3"/>
  <c r="AA894" i="3"/>
  <c r="U894" i="3"/>
  <c r="X894" i="3" s="1"/>
  <c r="O894" i="3"/>
  <c r="AA893" i="3"/>
  <c r="U893" i="3"/>
  <c r="X893" i="3" s="1"/>
  <c r="O893" i="3"/>
  <c r="AA892" i="3"/>
  <c r="U892" i="3"/>
  <c r="X892" i="3" s="1"/>
  <c r="O892" i="3"/>
  <c r="AA891" i="3"/>
  <c r="U891" i="3"/>
  <c r="X891" i="3" s="1"/>
  <c r="M891" i="3"/>
  <c r="L891" i="3"/>
  <c r="K891" i="3"/>
  <c r="O891" i="3" s="1"/>
  <c r="AA890" i="3"/>
  <c r="U890" i="3"/>
  <c r="X890" i="3" s="1"/>
  <c r="K890" i="3"/>
  <c r="O890" i="3" s="1"/>
  <c r="AA889" i="3"/>
  <c r="U889" i="3"/>
  <c r="X889" i="3" s="1"/>
  <c r="J889" i="3"/>
  <c r="O889" i="3" s="1"/>
  <c r="U888" i="3"/>
  <c r="X888" i="3" s="1"/>
  <c r="M888" i="3"/>
  <c r="L888" i="3"/>
  <c r="K888" i="3"/>
  <c r="J888" i="3"/>
  <c r="O888" i="3" s="1"/>
  <c r="AA887" i="3"/>
  <c r="U887" i="3"/>
  <c r="X887" i="3" s="1"/>
  <c r="L887" i="3"/>
  <c r="O887" i="3" s="1"/>
  <c r="AA886" i="3"/>
  <c r="U886" i="3"/>
  <c r="X886" i="3" s="1"/>
  <c r="M886" i="3"/>
  <c r="K886" i="3"/>
  <c r="J886" i="3"/>
  <c r="O886" i="3" s="1"/>
  <c r="AA885" i="3"/>
  <c r="U885" i="3"/>
  <c r="X885" i="3" s="1"/>
  <c r="O885" i="3"/>
  <c r="AA884" i="3"/>
  <c r="U884" i="3"/>
  <c r="X884" i="3" s="1"/>
  <c r="O884" i="3"/>
  <c r="AA883" i="3"/>
  <c r="U883" i="3"/>
  <c r="X883" i="3" s="1"/>
  <c r="M883" i="3"/>
  <c r="L883" i="3"/>
  <c r="O883" i="3" s="1"/>
  <c r="K883" i="3"/>
  <c r="J883" i="3"/>
  <c r="AA882" i="3"/>
  <c r="U882" i="3"/>
  <c r="X882" i="3" s="1"/>
  <c r="M882" i="3"/>
  <c r="J882" i="3"/>
  <c r="O882" i="3" s="1"/>
  <c r="AA881" i="3"/>
  <c r="U881" i="3"/>
  <c r="X881" i="3" s="1"/>
  <c r="M881" i="3"/>
  <c r="L881" i="3"/>
  <c r="K881" i="3"/>
  <c r="J881" i="3"/>
  <c r="O881" i="3" s="1"/>
  <c r="AA880" i="3"/>
  <c r="U880" i="3"/>
  <c r="X880" i="3" s="1"/>
  <c r="J880" i="3"/>
  <c r="O880" i="3" s="1"/>
  <c r="AA879" i="3"/>
  <c r="U879" i="3"/>
  <c r="X879" i="3" s="1"/>
  <c r="L879" i="3"/>
  <c r="J879" i="3"/>
  <c r="O879" i="3" s="1"/>
  <c r="AA878" i="3"/>
  <c r="U878" i="3"/>
  <c r="X878" i="3" s="1"/>
  <c r="O878" i="3"/>
  <c r="AA877" i="3"/>
  <c r="U877" i="3"/>
  <c r="X877" i="3" s="1"/>
  <c r="L877" i="3"/>
  <c r="O877" i="3" s="1"/>
  <c r="AA876" i="3"/>
  <c r="U876" i="3"/>
  <c r="X876" i="3" s="1"/>
  <c r="M876" i="3"/>
  <c r="O876" i="3" s="1"/>
  <c r="AA875" i="3"/>
  <c r="U875" i="3"/>
  <c r="X875" i="3" s="1"/>
  <c r="M875" i="3"/>
  <c r="O875" i="3" s="1"/>
  <c r="AA874" i="3"/>
  <c r="U874" i="3"/>
  <c r="X874" i="3" s="1"/>
  <c r="M874" i="3"/>
  <c r="O874" i="3" s="1"/>
  <c r="AA873" i="3"/>
  <c r="U873" i="3"/>
  <c r="X873" i="3" s="1"/>
  <c r="M873" i="3"/>
  <c r="O873" i="3" s="1"/>
  <c r="AA872" i="3"/>
  <c r="U872" i="3"/>
  <c r="X872" i="3" s="1"/>
  <c r="O872" i="3"/>
  <c r="AA871" i="3"/>
  <c r="U871" i="3"/>
  <c r="X871" i="3" s="1"/>
  <c r="M871" i="3"/>
  <c r="K871" i="3"/>
  <c r="O871" i="3" s="1"/>
  <c r="AA870" i="3"/>
  <c r="U870" i="3"/>
  <c r="X870" i="3" s="1"/>
  <c r="O870" i="3"/>
  <c r="M870" i="3"/>
  <c r="K870" i="3"/>
  <c r="AA869" i="3"/>
  <c r="U869" i="3"/>
  <c r="X869" i="3" s="1"/>
  <c r="O869" i="3"/>
  <c r="AA868" i="3"/>
  <c r="U868" i="3"/>
  <c r="X868" i="3" s="1"/>
  <c r="M868" i="3"/>
  <c r="O868" i="3" s="1"/>
  <c r="K868" i="3"/>
  <c r="AA867" i="3"/>
  <c r="U867" i="3"/>
  <c r="X867" i="3" s="1"/>
  <c r="M867" i="3"/>
  <c r="K867" i="3"/>
  <c r="O867" i="3" s="1"/>
  <c r="AA866" i="3"/>
  <c r="U866" i="3"/>
  <c r="X866" i="3" s="1"/>
  <c r="O866" i="3"/>
  <c r="AA865" i="3"/>
  <c r="U865" i="3"/>
  <c r="X865" i="3" s="1"/>
  <c r="M865" i="3"/>
  <c r="L865" i="3"/>
  <c r="K865" i="3"/>
  <c r="O865" i="3" s="1"/>
  <c r="AA864" i="3"/>
  <c r="U864" i="3"/>
  <c r="X864" i="3" s="1"/>
  <c r="M864" i="3"/>
  <c r="L864" i="3"/>
  <c r="K864" i="3"/>
  <c r="O864" i="3" s="1"/>
  <c r="AA863" i="3"/>
  <c r="U863" i="3"/>
  <c r="X863" i="3" s="1"/>
  <c r="O863" i="3"/>
  <c r="AA862" i="3"/>
  <c r="U862" i="3"/>
  <c r="X862" i="3" s="1"/>
  <c r="O862" i="3"/>
  <c r="K862" i="3"/>
  <c r="AA861" i="3"/>
  <c r="U861" i="3"/>
  <c r="X861" i="3" s="1"/>
  <c r="K861" i="3"/>
  <c r="O861" i="3" s="1"/>
  <c r="AA860" i="3"/>
  <c r="U860" i="3"/>
  <c r="X860" i="3" s="1"/>
  <c r="O860" i="3"/>
  <c r="K860" i="3"/>
  <c r="AA859" i="3"/>
  <c r="U859" i="3"/>
  <c r="X859" i="3" s="1"/>
  <c r="O859" i="3"/>
  <c r="AA858" i="3"/>
  <c r="U858" i="3"/>
  <c r="X858" i="3" s="1"/>
  <c r="N858" i="3"/>
  <c r="K858" i="3"/>
  <c r="O858" i="3" s="1"/>
  <c r="AA857" i="3"/>
  <c r="U857" i="3"/>
  <c r="X857" i="3" s="1"/>
  <c r="O857" i="3"/>
  <c r="AA856" i="3"/>
  <c r="U856" i="3"/>
  <c r="K856" i="3"/>
  <c r="O856" i="3" s="1"/>
  <c r="AA855" i="3"/>
  <c r="U855" i="3"/>
  <c r="X855" i="3" s="1"/>
  <c r="N855" i="3"/>
  <c r="K855" i="3"/>
  <c r="O855" i="3" s="1"/>
  <c r="U854" i="3"/>
  <c r="O854" i="3"/>
  <c r="U853" i="3"/>
  <c r="X853" i="3" s="1"/>
  <c r="O853" i="3"/>
  <c r="U852" i="3"/>
  <c r="X852" i="3" s="1"/>
  <c r="O852" i="3"/>
  <c r="U851" i="3"/>
  <c r="X851" i="3" s="1"/>
  <c r="M851" i="3"/>
  <c r="K851" i="3"/>
  <c r="O851" i="3" s="1"/>
  <c r="U850" i="3"/>
  <c r="X850" i="3" s="1"/>
  <c r="K850" i="3"/>
  <c r="O850" i="3" s="1"/>
  <c r="AB849" i="3"/>
  <c r="AA849" i="3"/>
  <c r="U849" i="3"/>
  <c r="X849" i="3" s="1"/>
  <c r="O849" i="3"/>
  <c r="L849" i="3"/>
  <c r="K849" i="3"/>
  <c r="J849" i="3"/>
  <c r="AB848" i="3"/>
  <c r="AA848" i="3"/>
  <c r="U848" i="3"/>
  <c r="X848" i="3" s="1"/>
  <c r="O848" i="3"/>
  <c r="L848" i="3"/>
  <c r="K848" i="3"/>
  <c r="AB847" i="3"/>
  <c r="AA847" i="3"/>
  <c r="U847" i="3"/>
  <c r="X847" i="3" s="1"/>
  <c r="J847" i="3"/>
  <c r="O847" i="3" s="1"/>
  <c r="AB846" i="3"/>
  <c r="AA846" i="3"/>
  <c r="U846" i="3"/>
  <c r="X846" i="3" s="1"/>
  <c r="O846" i="3"/>
  <c r="M846" i="3"/>
  <c r="K846" i="3"/>
  <c r="J846" i="3"/>
  <c r="AB845" i="3"/>
  <c r="AA845" i="3"/>
  <c r="U845" i="3"/>
  <c r="X845" i="3" s="1"/>
  <c r="O845" i="3"/>
  <c r="M845" i="3"/>
  <c r="L845" i="3"/>
  <c r="K845" i="3"/>
  <c r="J845" i="3"/>
  <c r="AB844" i="3"/>
  <c r="AA844" i="3"/>
  <c r="U844" i="3"/>
  <c r="X844" i="3" s="1"/>
  <c r="M844" i="3"/>
  <c r="L844" i="3"/>
  <c r="O844" i="3" s="1"/>
  <c r="K844" i="3"/>
  <c r="J844" i="3"/>
  <c r="AA843" i="3"/>
  <c r="U843" i="3"/>
  <c r="X843" i="3" s="1"/>
  <c r="O843" i="3"/>
  <c r="AA842" i="3"/>
  <c r="U842" i="3"/>
  <c r="X842" i="3" s="1"/>
  <c r="O842" i="3"/>
  <c r="M842" i="3"/>
  <c r="J842" i="3"/>
  <c r="AA841" i="3"/>
  <c r="U841" i="3"/>
  <c r="X841" i="3" s="1"/>
  <c r="M841" i="3"/>
  <c r="L841" i="3"/>
  <c r="K841" i="3"/>
  <c r="J841" i="3"/>
  <c r="O841" i="3" s="1"/>
  <c r="AA840" i="3"/>
  <c r="U840" i="3"/>
  <c r="X840" i="3" s="1"/>
  <c r="L840" i="3"/>
  <c r="K840" i="3"/>
  <c r="J840" i="3"/>
  <c r="O840" i="3" s="1"/>
  <c r="AB839" i="3"/>
  <c r="AA839" i="3"/>
  <c r="U839" i="3"/>
  <c r="X839" i="3" s="1"/>
  <c r="M839" i="3"/>
  <c r="L839" i="3"/>
  <c r="K839" i="3"/>
  <c r="J839" i="3"/>
  <c r="O839" i="3" s="1"/>
  <c r="AA838" i="3"/>
  <c r="U838" i="3"/>
  <c r="X838" i="3" s="1"/>
  <c r="O838" i="3"/>
  <c r="AA837" i="3"/>
  <c r="U837" i="3"/>
  <c r="X837" i="3" s="1"/>
  <c r="O837" i="3"/>
  <c r="AA836" i="3"/>
  <c r="U836" i="3"/>
  <c r="X836" i="3" s="1"/>
  <c r="O836" i="3"/>
  <c r="AA835" i="3"/>
  <c r="U835" i="3"/>
  <c r="X835" i="3" s="1"/>
  <c r="O835" i="3"/>
  <c r="AA834" i="3"/>
  <c r="U834" i="3"/>
  <c r="X834" i="3" s="1"/>
  <c r="L834" i="3"/>
  <c r="O834" i="3" s="1"/>
  <c r="AA833" i="3"/>
  <c r="U833" i="3"/>
  <c r="X833" i="3" s="1"/>
  <c r="O833" i="3"/>
  <c r="AA832" i="3"/>
  <c r="U832" i="3"/>
  <c r="X832" i="3" s="1"/>
  <c r="L832" i="3"/>
  <c r="O832" i="3" s="1"/>
  <c r="AA831" i="3"/>
  <c r="U831" i="3"/>
  <c r="X831" i="3" s="1"/>
  <c r="O831" i="3"/>
  <c r="AA830" i="3"/>
  <c r="U830" i="3"/>
  <c r="X830" i="3" s="1"/>
  <c r="O830" i="3"/>
  <c r="L830" i="3"/>
  <c r="AA829" i="3"/>
  <c r="U829" i="3"/>
  <c r="X829" i="3" s="1"/>
  <c r="L829" i="3"/>
  <c r="O829" i="3" s="1"/>
  <c r="AA828" i="3"/>
  <c r="U828" i="3"/>
  <c r="X828" i="3" s="1"/>
  <c r="O828" i="3"/>
  <c r="AA827" i="3"/>
  <c r="U827" i="3"/>
  <c r="X827" i="3" s="1"/>
  <c r="O827" i="3"/>
  <c r="AA826" i="3"/>
  <c r="U826" i="3"/>
  <c r="X826" i="3" s="1"/>
  <c r="M826" i="3"/>
  <c r="O826" i="3" s="1"/>
  <c r="AA825" i="3"/>
  <c r="U825" i="3"/>
  <c r="X825" i="3" s="1"/>
  <c r="O825" i="3"/>
  <c r="AA824" i="3"/>
  <c r="U824" i="3"/>
  <c r="X824" i="3" s="1"/>
  <c r="M824" i="3"/>
  <c r="O824" i="3" s="1"/>
  <c r="AA823" i="3"/>
  <c r="U823" i="3"/>
  <c r="X823" i="3" s="1"/>
  <c r="O823" i="3"/>
  <c r="AA822" i="3"/>
  <c r="U822" i="3"/>
  <c r="X822" i="3" s="1"/>
  <c r="O822" i="3"/>
  <c r="AA821" i="3"/>
  <c r="U821" i="3"/>
  <c r="X821" i="3" s="1"/>
  <c r="O821" i="3"/>
  <c r="AA820" i="3"/>
  <c r="U820" i="3"/>
  <c r="X820" i="3" s="1"/>
  <c r="M820" i="3"/>
  <c r="O820" i="3" s="1"/>
  <c r="AA819" i="3"/>
  <c r="U819" i="3"/>
  <c r="X819" i="3" s="1"/>
  <c r="O819" i="3"/>
  <c r="M819" i="3"/>
  <c r="AA818" i="3"/>
  <c r="U818" i="3"/>
  <c r="X818" i="3" s="1"/>
  <c r="M818" i="3"/>
  <c r="O818" i="3" s="1"/>
  <c r="AA817" i="3"/>
  <c r="U817" i="3"/>
  <c r="X817" i="3" s="1"/>
  <c r="O817" i="3"/>
  <c r="AA816" i="3"/>
  <c r="U816" i="3"/>
  <c r="X816" i="3" s="1"/>
  <c r="O816" i="3"/>
  <c r="AA815" i="3"/>
  <c r="U815" i="3"/>
  <c r="X815" i="3" s="1"/>
  <c r="K815" i="3"/>
  <c r="O815" i="3" s="1"/>
  <c r="AA814" i="3"/>
  <c r="U814" i="3"/>
  <c r="X814" i="3" s="1"/>
  <c r="K814" i="3"/>
  <c r="O814" i="3" s="1"/>
  <c r="AA813" i="3"/>
  <c r="U813" i="3"/>
  <c r="X813" i="3" s="1"/>
  <c r="M813" i="3"/>
  <c r="K813" i="3"/>
  <c r="O813" i="3" s="1"/>
  <c r="AA812" i="3"/>
  <c r="U812" i="3"/>
  <c r="X812" i="3" s="1"/>
  <c r="M812" i="3"/>
  <c r="K812" i="3"/>
  <c r="O812" i="3" s="1"/>
  <c r="AA811" i="3"/>
  <c r="U811" i="3"/>
  <c r="X811" i="3" s="1"/>
  <c r="O811" i="3"/>
  <c r="AA810" i="3"/>
  <c r="U810" i="3"/>
  <c r="X810" i="3" s="1"/>
  <c r="O810" i="3"/>
  <c r="AA809" i="3"/>
  <c r="U809" i="3"/>
  <c r="X809" i="3" s="1"/>
  <c r="O809" i="3"/>
  <c r="AA808" i="3"/>
  <c r="U808" i="3"/>
  <c r="X808" i="3" s="1"/>
  <c r="O808" i="3"/>
  <c r="AA807" i="3"/>
  <c r="U807" i="3"/>
  <c r="X807" i="3" s="1"/>
  <c r="O807" i="3"/>
  <c r="AA806" i="3"/>
  <c r="U806" i="3"/>
  <c r="X806" i="3" s="1"/>
  <c r="O806" i="3"/>
  <c r="AA805" i="3"/>
  <c r="U805" i="3"/>
  <c r="X805" i="3" s="1"/>
  <c r="K805" i="3"/>
  <c r="J805" i="3"/>
  <c r="O805" i="3" s="1"/>
  <c r="U804" i="3"/>
  <c r="X804" i="3" s="1"/>
  <c r="M804" i="3"/>
  <c r="L804" i="3"/>
  <c r="K804" i="3"/>
  <c r="J804" i="3"/>
  <c r="O804" i="3" s="1"/>
  <c r="U803" i="3"/>
  <c r="X803" i="3" s="1"/>
  <c r="O803" i="3"/>
  <c r="M803" i="3"/>
  <c r="K803" i="3"/>
  <c r="J803" i="3"/>
  <c r="U802" i="3"/>
  <c r="X802" i="3" s="1"/>
  <c r="O802" i="3"/>
  <c r="U801" i="3"/>
  <c r="X801" i="3" s="1"/>
  <c r="K801" i="3"/>
  <c r="O801" i="3" s="1"/>
  <c r="J801" i="3"/>
  <c r="U800" i="3"/>
  <c r="X800" i="3" s="1"/>
  <c r="O800" i="3"/>
  <c r="U799" i="3"/>
  <c r="X799" i="3" s="1"/>
  <c r="O799" i="3"/>
  <c r="U798" i="3"/>
  <c r="X798" i="3" s="1"/>
  <c r="O798" i="3"/>
  <c r="N798" i="3"/>
  <c r="AA797" i="3"/>
  <c r="U797" i="3"/>
  <c r="X797" i="3" s="1"/>
  <c r="O797" i="3"/>
  <c r="AA796" i="3"/>
  <c r="U796" i="3"/>
  <c r="X796" i="3" s="1"/>
  <c r="O796" i="3"/>
  <c r="AA795" i="3"/>
  <c r="U795" i="3"/>
  <c r="X795" i="3" s="1"/>
  <c r="L795" i="3"/>
  <c r="J795" i="3"/>
  <c r="O795" i="3" s="1"/>
  <c r="AA794" i="3"/>
  <c r="U794" i="3"/>
  <c r="X794" i="3" s="1"/>
  <c r="O794" i="3"/>
  <c r="K794" i="3"/>
  <c r="J794" i="3"/>
  <c r="U793" i="3"/>
  <c r="X793" i="3" s="1"/>
  <c r="O793" i="3"/>
  <c r="U792" i="3"/>
  <c r="X792" i="3" s="1"/>
  <c r="M792" i="3"/>
  <c r="O792" i="3" s="1"/>
  <c r="K792" i="3"/>
  <c r="J792" i="3"/>
  <c r="U791" i="3"/>
  <c r="X791" i="3" s="1"/>
  <c r="M791" i="3"/>
  <c r="O791" i="3" s="1"/>
  <c r="U790" i="3"/>
  <c r="X790" i="3" s="1"/>
  <c r="O790" i="3"/>
  <c r="M790" i="3"/>
  <c r="AA789" i="3"/>
  <c r="U789" i="3"/>
  <c r="X789" i="3" s="1"/>
  <c r="O789" i="3"/>
  <c r="K789" i="3"/>
  <c r="AA788" i="3"/>
  <c r="U788" i="3"/>
  <c r="X788" i="3" s="1"/>
  <c r="O788" i="3"/>
  <c r="AA787" i="3"/>
  <c r="U787" i="3"/>
  <c r="X787" i="3" s="1"/>
  <c r="O787" i="3"/>
  <c r="AA786" i="3"/>
  <c r="U786" i="3"/>
  <c r="X786" i="3" s="1"/>
  <c r="O786" i="3"/>
  <c r="AA785" i="3"/>
  <c r="U785" i="3"/>
  <c r="X785" i="3" s="1"/>
  <c r="K785" i="3"/>
  <c r="J785" i="3"/>
  <c r="O785" i="3" s="1"/>
  <c r="U784" i="3"/>
  <c r="X784" i="3" s="1"/>
  <c r="O784" i="3"/>
  <c r="U783" i="3"/>
  <c r="X783" i="3" s="1"/>
  <c r="M783" i="3"/>
  <c r="O783" i="3" s="1"/>
  <c r="K783" i="3"/>
  <c r="J783" i="3"/>
  <c r="U782" i="3"/>
  <c r="X782" i="3" s="1"/>
  <c r="M782" i="3"/>
  <c r="J782" i="3"/>
  <c r="O782" i="3" s="1"/>
  <c r="U781" i="3"/>
  <c r="X781" i="3" s="1"/>
  <c r="O781" i="3"/>
  <c r="J781" i="3"/>
  <c r="U780" i="3"/>
  <c r="X780" i="3" s="1"/>
  <c r="O780" i="3"/>
  <c r="AA779" i="3"/>
  <c r="U779" i="3"/>
  <c r="X779" i="3" s="1"/>
  <c r="O779" i="3"/>
  <c r="AA778" i="3"/>
  <c r="U778" i="3"/>
  <c r="X778" i="3" s="1"/>
  <c r="O778" i="3"/>
  <c r="AA777" i="3"/>
  <c r="U777" i="3"/>
  <c r="X777" i="3" s="1"/>
  <c r="O777" i="3"/>
  <c r="AA776" i="3"/>
  <c r="U776" i="3"/>
  <c r="X776" i="3" s="1"/>
  <c r="O776" i="3"/>
  <c r="AA775" i="3"/>
  <c r="U775" i="3"/>
  <c r="X775" i="3" s="1"/>
  <c r="O775" i="3"/>
  <c r="AA774" i="3"/>
  <c r="U774" i="3"/>
  <c r="X774" i="3" s="1"/>
  <c r="M774" i="3"/>
  <c r="O774" i="3" s="1"/>
  <c r="J774" i="3"/>
  <c r="AA773" i="3"/>
  <c r="U773" i="3"/>
  <c r="X773" i="3" s="1"/>
  <c r="O773" i="3"/>
  <c r="AA772" i="3"/>
  <c r="U772" i="3"/>
  <c r="X772" i="3" s="1"/>
  <c r="O772" i="3"/>
  <c r="AA771" i="3"/>
  <c r="U771" i="3"/>
  <c r="X771" i="3" s="1"/>
  <c r="M771" i="3"/>
  <c r="L771" i="3"/>
  <c r="J771" i="3"/>
  <c r="O771" i="3" s="1"/>
  <c r="AA770" i="3"/>
  <c r="U770" i="3"/>
  <c r="X770" i="3" s="1"/>
  <c r="O770" i="3"/>
  <c r="U769" i="3"/>
  <c r="X769" i="3" s="1"/>
  <c r="O769" i="3"/>
  <c r="U768" i="3"/>
  <c r="X768" i="3" s="1"/>
  <c r="M768" i="3"/>
  <c r="L768" i="3"/>
  <c r="O768" i="3" s="1"/>
  <c r="U767" i="3"/>
  <c r="X767" i="3" s="1"/>
  <c r="O767" i="3"/>
  <c r="U766" i="3"/>
  <c r="X766" i="3" s="1"/>
  <c r="O766" i="3"/>
  <c r="AA765" i="3"/>
  <c r="U765" i="3"/>
  <c r="X765" i="3" s="1"/>
  <c r="O765" i="3"/>
  <c r="AA764" i="3"/>
  <c r="U764" i="3"/>
  <c r="X764" i="3" s="1"/>
  <c r="O764" i="3"/>
  <c r="AA763" i="3"/>
  <c r="U763" i="3"/>
  <c r="X763" i="3" s="1"/>
  <c r="O763" i="3"/>
  <c r="AA762" i="3"/>
  <c r="U762" i="3"/>
  <c r="O762" i="3"/>
  <c r="AA761" i="3"/>
  <c r="U761" i="3"/>
  <c r="X761" i="3" s="1"/>
  <c r="O761" i="3"/>
  <c r="AA760" i="3"/>
  <c r="U760" i="3"/>
  <c r="X760" i="3" s="1"/>
  <c r="O760" i="3"/>
  <c r="M760" i="3"/>
  <c r="L760" i="3"/>
  <c r="AA759" i="3"/>
  <c r="U759" i="3"/>
  <c r="X759" i="3" s="1"/>
  <c r="M759" i="3"/>
  <c r="K759" i="3"/>
  <c r="J759" i="3"/>
  <c r="O759" i="3" s="1"/>
  <c r="AA758" i="3"/>
  <c r="U758" i="3"/>
  <c r="X758" i="3" s="1"/>
  <c r="O758" i="3"/>
  <c r="AA757" i="3"/>
  <c r="U757" i="3"/>
  <c r="X757" i="3" s="1"/>
  <c r="M757" i="3"/>
  <c r="O757" i="3" s="1"/>
  <c r="AA756" i="3"/>
  <c r="U756" i="3"/>
  <c r="X756" i="3" s="1"/>
  <c r="O756" i="3"/>
  <c r="AA755" i="3"/>
  <c r="U755" i="3"/>
  <c r="X755" i="3" s="1"/>
  <c r="O755" i="3"/>
  <c r="AA754" i="3"/>
  <c r="U754" i="3"/>
  <c r="X754" i="3" s="1"/>
  <c r="O754" i="3"/>
  <c r="L754" i="3"/>
  <c r="J754" i="3"/>
  <c r="AA753" i="3"/>
  <c r="U753" i="3"/>
  <c r="X753" i="3" s="1"/>
  <c r="M753" i="3"/>
  <c r="K753" i="3"/>
  <c r="J753" i="3"/>
  <c r="O753" i="3" s="1"/>
  <c r="AA752" i="3"/>
  <c r="U752" i="3"/>
  <c r="X752" i="3" s="1"/>
  <c r="O752" i="3"/>
  <c r="AA751" i="3"/>
  <c r="U751" i="3"/>
  <c r="X751" i="3" s="1"/>
  <c r="O751" i="3"/>
  <c r="AA750" i="3"/>
  <c r="U750" i="3"/>
  <c r="X750" i="3" s="1"/>
  <c r="O750" i="3"/>
  <c r="M750" i="3"/>
  <c r="K750" i="3"/>
  <c r="AA749" i="3"/>
  <c r="U749" i="3"/>
  <c r="X749" i="3" s="1"/>
  <c r="M749" i="3"/>
  <c r="K749" i="3"/>
  <c r="O749" i="3" s="1"/>
  <c r="AA748" i="3"/>
  <c r="U748" i="3"/>
  <c r="X748" i="3" s="1"/>
  <c r="M748" i="3"/>
  <c r="K748" i="3"/>
  <c r="O748" i="3" s="1"/>
  <c r="AA742" i="3"/>
  <c r="U742" i="3"/>
  <c r="X742" i="3" s="1"/>
  <c r="O742" i="3"/>
  <c r="M742" i="3"/>
  <c r="L742" i="3"/>
  <c r="J742" i="3"/>
  <c r="AA741" i="3"/>
  <c r="U741" i="3"/>
  <c r="X741" i="3" s="1"/>
  <c r="M741" i="3"/>
  <c r="K741" i="3"/>
  <c r="J741" i="3"/>
  <c r="O741" i="3" s="1"/>
  <c r="AA740" i="3"/>
  <c r="U740" i="3"/>
  <c r="X740" i="3" s="1"/>
  <c r="M740" i="3"/>
  <c r="K740" i="3"/>
  <c r="J740" i="3"/>
  <c r="O740" i="3" s="1"/>
  <c r="U739" i="3"/>
  <c r="X739" i="3" s="1"/>
  <c r="O739" i="3"/>
  <c r="U738" i="3"/>
  <c r="X738" i="3" s="1"/>
  <c r="O738" i="3"/>
  <c r="AA737" i="3"/>
  <c r="U737" i="3"/>
  <c r="X737" i="3" s="1"/>
  <c r="O737" i="3"/>
  <c r="AA736" i="3"/>
  <c r="U736" i="3"/>
  <c r="X736" i="3" s="1"/>
  <c r="O736" i="3"/>
  <c r="AA735" i="3"/>
  <c r="U735" i="3"/>
  <c r="X735" i="3" s="1"/>
  <c r="O735" i="3"/>
  <c r="AA734" i="3"/>
  <c r="U734" i="3"/>
  <c r="X734" i="3" s="1"/>
  <c r="J734" i="3"/>
  <c r="O734" i="3" s="1"/>
  <c r="AA733" i="3"/>
  <c r="U733" i="3"/>
  <c r="X733" i="3" s="1"/>
  <c r="J733" i="3"/>
  <c r="O733" i="3" s="1"/>
  <c r="X732" i="3"/>
  <c r="O732" i="3"/>
  <c r="V732" i="3" s="1"/>
  <c r="X731" i="3"/>
  <c r="O731" i="3"/>
  <c r="V731" i="3" s="1"/>
  <c r="X730" i="3"/>
  <c r="O730" i="3"/>
  <c r="V730" i="3" s="1"/>
  <c r="AB729" i="3"/>
  <c r="X729" i="3"/>
  <c r="K729" i="3"/>
  <c r="O729" i="3" s="1"/>
  <c r="V729" i="3" s="1"/>
  <c r="AB728" i="3"/>
  <c r="AA728" i="3"/>
  <c r="X728" i="3"/>
  <c r="O728" i="3"/>
  <c r="V728" i="3" s="1"/>
  <c r="AB727" i="3"/>
  <c r="AA727" i="3"/>
  <c r="X727" i="3"/>
  <c r="O727" i="3"/>
  <c r="V727" i="3" s="1"/>
  <c r="AB726" i="3"/>
  <c r="AA726" i="3"/>
  <c r="X726" i="3"/>
  <c r="O726" i="3"/>
  <c r="V726" i="3" s="1"/>
  <c r="L726" i="3"/>
  <c r="K726" i="3"/>
  <c r="J726" i="3"/>
  <c r="AB725" i="3"/>
  <c r="AA725" i="3"/>
  <c r="X725" i="3"/>
  <c r="K725" i="3"/>
  <c r="J725" i="3"/>
  <c r="O725" i="3" s="1"/>
  <c r="V725" i="3" s="1"/>
  <c r="U724" i="3"/>
  <c r="V724" i="3" s="1"/>
  <c r="O724" i="3"/>
  <c r="U723" i="3"/>
  <c r="X723" i="3" s="1"/>
  <c r="O723" i="3"/>
  <c r="U722" i="3"/>
  <c r="X722" i="3" s="1"/>
  <c r="O722" i="3"/>
  <c r="U721" i="3"/>
  <c r="V721" i="3" s="1"/>
  <c r="O721" i="3"/>
  <c r="U720" i="3"/>
  <c r="X720" i="3" s="1"/>
  <c r="N720" i="3"/>
  <c r="M720" i="3"/>
  <c r="K720" i="3"/>
  <c r="O720" i="3" s="1"/>
  <c r="AA719" i="3"/>
  <c r="U719" i="3"/>
  <c r="X719" i="3" s="1"/>
  <c r="L719" i="3"/>
  <c r="J719" i="3"/>
  <c r="O719" i="3" s="1"/>
  <c r="AA718" i="3"/>
  <c r="U718" i="3"/>
  <c r="V718" i="3" s="1"/>
  <c r="L718" i="3"/>
  <c r="J718" i="3"/>
  <c r="O718" i="3" s="1"/>
  <c r="U717" i="3"/>
  <c r="M717" i="3"/>
  <c r="J717" i="3"/>
  <c r="O717" i="3" s="1"/>
  <c r="U716" i="3"/>
  <c r="V716" i="3" s="1"/>
  <c r="M716" i="3"/>
  <c r="J716" i="3"/>
  <c r="O716" i="3" s="1"/>
  <c r="U715" i="3"/>
  <c r="O715" i="3"/>
  <c r="U714" i="3"/>
  <c r="O714" i="3"/>
  <c r="U713" i="3"/>
  <c r="X713" i="3" s="1"/>
  <c r="O713" i="3"/>
  <c r="U712" i="3"/>
  <c r="V712" i="3" s="1"/>
  <c r="N712" i="3"/>
  <c r="M712" i="3"/>
  <c r="L712" i="3"/>
  <c r="K712" i="3"/>
  <c r="J712" i="3"/>
  <c r="O712" i="3" s="1"/>
  <c r="AA711" i="3"/>
  <c r="U711" i="3"/>
  <c r="X711" i="3" s="1"/>
  <c r="O711" i="3"/>
  <c r="N711" i="3"/>
  <c r="L711" i="3"/>
  <c r="J711" i="3"/>
  <c r="AA710" i="3"/>
  <c r="U710" i="3"/>
  <c r="V710" i="3" s="1"/>
  <c r="O710" i="3"/>
  <c r="AA709" i="3"/>
  <c r="U709" i="3"/>
  <c r="X709" i="3" s="1"/>
  <c r="N709" i="3"/>
  <c r="K709" i="3"/>
  <c r="J709" i="3"/>
  <c r="O709" i="3" s="1"/>
  <c r="AA708" i="3"/>
  <c r="U708" i="3"/>
  <c r="X708" i="3" s="1"/>
  <c r="N708" i="3"/>
  <c r="K708" i="3"/>
  <c r="J708" i="3"/>
  <c r="U707" i="3"/>
  <c r="X707" i="3" s="1"/>
  <c r="O707" i="3"/>
  <c r="U706" i="3"/>
  <c r="V706" i="3" s="1"/>
  <c r="O706" i="3"/>
  <c r="U705" i="3"/>
  <c r="X705" i="3" s="1"/>
  <c r="O705" i="3"/>
  <c r="M705" i="3"/>
  <c r="L705" i="3"/>
  <c r="K705" i="3"/>
  <c r="J705" i="3"/>
  <c r="AA704" i="3"/>
  <c r="U704" i="3"/>
  <c r="X704" i="3" s="1"/>
  <c r="O704" i="3"/>
  <c r="AA703" i="3"/>
  <c r="U703" i="3"/>
  <c r="X703" i="3" s="1"/>
  <c r="O703" i="3"/>
  <c r="AA702" i="3"/>
  <c r="U702" i="3"/>
  <c r="X702" i="3" s="1"/>
  <c r="O702" i="3"/>
  <c r="AA701" i="3"/>
  <c r="U701" i="3"/>
  <c r="X701" i="3" s="1"/>
  <c r="O701" i="3"/>
  <c r="N701" i="3"/>
  <c r="M701" i="3"/>
  <c r="L701" i="3"/>
  <c r="K701" i="3"/>
  <c r="J701" i="3"/>
  <c r="AA700" i="3"/>
  <c r="U700" i="3"/>
  <c r="X700" i="3" s="1"/>
  <c r="O700" i="3"/>
  <c r="N700" i="3"/>
  <c r="M700" i="3"/>
  <c r="L700" i="3"/>
  <c r="K700" i="3"/>
  <c r="J700" i="3"/>
  <c r="AA699" i="3"/>
  <c r="U699" i="3"/>
  <c r="V699" i="3" s="1"/>
  <c r="O699" i="3"/>
  <c r="AA698" i="3"/>
  <c r="U698" i="3"/>
  <c r="X698" i="3" s="1"/>
  <c r="L698" i="3"/>
  <c r="J698" i="3"/>
  <c r="O698" i="3" s="1"/>
  <c r="AA697" i="3"/>
  <c r="U697" i="3"/>
  <c r="V697" i="3" s="1"/>
  <c r="N697" i="3"/>
  <c r="M697" i="3"/>
  <c r="L697" i="3"/>
  <c r="K697" i="3"/>
  <c r="O697" i="3" s="1"/>
  <c r="J697" i="3"/>
  <c r="AA696" i="3"/>
  <c r="U696" i="3"/>
  <c r="V696" i="3" s="1"/>
  <c r="N696" i="3"/>
  <c r="M696" i="3"/>
  <c r="L696" i="3"/>
  <c r="K696" i="3"/>
  <c r="J696" i="3"/>
  <c r="O696" i="3" s="1"/>
  <c r="AA695" i="3"/>
  <c r="U695" i="3"/>
  <c r="X695" i="3" s="1"/>
  <c r="M695" i="3"/>
  <c r="K695" i="3"/>
  <c r="J695" i="3"/>
  <c r="O695" i="3" s="1"/>
  <c r="AA694" i="3"/>
  <c r="U694" i="3"/>
  <c r="X694" i="3" s="1"/>
  <c r="O694" i="3"/>
  <c r="M694" i="3"/>
  <c r="J694" i="3"/>
  <c r="AA693" i="3"/>
  <c r="U693" i="3"/>
  <c r="X693" i="3" s="1"/>
  <c r="L693" i="3"/>
  <c r="O693" i="3" s="1"/>
  <c r="U692" i="3"/>
  <c r="X692" i="3" s="1"/>
  <c r="O692" i="3"/>
  <c r="K692" i="3"/>
  <c r="U691" i="3"/>
  <c r="X691" i="3" s="1"/>
  <c r="M691" i="3"/>
  <c r="K691" i="3"/>
  <c r="J691" i="3"/>
  <c r="O691" i="3" s="1"/>
  <c r="U690" i="3"/>
  <c r="X690" i="3" s="1"/>
  <c r="O690" i="3"/>
  <c r="U689" i="3"/>
  <c r="X689" i="3" s="1"/>
  <c r="K689" i="3"/>
  <c r="J689" i="3"/>
  <c r="O689" i="3" s="1"/>
  <c r="U688" i="3"/>
  <c r="X688" i="3" s="1"/>
  <c r="O688" i="3"/>
  <c r="AA687" i="3"/>
  <c r="U687" i="3"/>
  <c r="V687" i="3" s="1"/>
  <c r="O687" i="3"/>
  <c r="AA686" i="3"/>
  <c r="U686" i="3"/>
  <c r="V686" i="3" s="1"/>
  <c r="M686" i="3"/>
  <c r="K686" i="3"/>
  <c r="O686" i="3" s="1"/>
  <c r="AA685" i="3"/>
  <c r="U685" i="3"/>
  <c r="V685" i="3" s="1"/>
  <c r="M685" i="3"/>
  <c r="K685" i="3"/>
  <c r="J685" i="3"/>
  <c r="O685" i="3" s="1"/>
  <c r="AA684" i="3"/>
  <c r="U684" i="3"/>
  <c r="J684" i="3"/>
  <c r="O684" i="3" s="1"/>
  <c r="AA683" i="3"/>
  <c r="U683" i="3"/>
  <c r="X683" i="3" s="1"/>
  <c r="O683" i="3"/>
  <c r="AA682" i="3"/>
  <c r="U682" i="3"/>
  <c r="X682" i="3" s="1"/>
  <c r="O682" i="3"/>
  <c r="AA681" i="3"/>
  <c r="U681" i="3"/>
  <c r="X681" i="3" s="1"/>
  <c r="O681" i="3"/>
  <c r="AA680" i="3"/>
  <c r="U680" i="3"/>
  <c r="V680" i="3" s="1"/>
  <c r="O680" i="3"/>
  <c r="AA679" i="3"/>
  <c r="U679" i="3"/>
  <c r="X679" i="3" s="1"/>
  <c r="O679" i="3"/>
  <c r="AA678" i="3"/>
  <c r="U678" i="3"/>
  <c r="M678" i="3"/>
  <c r="J678" i="3"/>
  <c r="O678" i="3" s="1"/>
  <c r="AA677" i="3"/>
  <c r="U677" i="3"/>
  <c r="O677" i="3"/>
  <c r="U676" i="3"/>
  <c r="X676" i="3" s="1"/>
  <c r="N676" i="3"/>
  <c r="M676" i="3"/>
  <c r="L676" i="3"/>
  <c r="K676" i="3"/>
  <c r="J676" i="3"/>
  <c r="O676" i="3" s="1"/>
  <c r="U675" i="3"/>
  <c r="X675" i="3" s="1"/>
  <c r="K675" i="3"/>
  <c r="O675" i="3" s="1"/>
  <c r="U674" i="3"/>
  <c r="X674" i="3" s="1"/>
  <c r="N674" i="3"/>
  <c r="M674" i="3"/>
  <c r="L674" i="3"/>
  <c r="K674" i="3"/>
  <c r="O674" i="3" s="1"/>
  <c r="U673" i="3"/>
  <c r="O673" i="3"/>
  <c r="U672" i="3"/>
  <c r="X672" i="3" s="1"/>
  <c r="M672" i="3"/>
  <c r="L672" i="3"/>
  <c r="J672" i="3"/>
  <c r="O672" i="3" s="1"/>
  <c r="U671" i="3"/>
  <c r="O671" i="3"/>
  <c r="U670" i="3"/>
  <c r="O670" i="3"/>
  <c r="AA669" i="3"/>
  <c r="U669" i="3"/>
  <c r="O669" i="3"/>
  <c r="AA668" i="3"/>
  <c r="U668" i="3"/>
  <c r="X668" i="3" s="1"/>
  <c r="O668" i="3"/>
  <c r="AA667" i="3"/>
  <c r="U667" i="3"/>
  <c r="X667" i="3" s="1"/>
  <c r="O667" i="3"/>
  <c r="M667" i="3"/>
  <c r="K667" i="3"/>
  <c r="AA666" i="3"/>
  <c r="U666" i="3"/>
  <c r="X666" i="3" s="1"/>
  <c r="O666" i="3"/>
  <c r="AA665" i="3"/>
  <c r="U665" i="3"/>
  <c r="X665" i="3" s="1"/>
  <c r="M665" i="3"/>
  <c r="K665" i="3"/>
  <c r="J665" i="3"/>
  <c r="O665" i="3" s="1"/>
  <c r="U664" i="3"/>
  <c r="X664" i="3" s="1"/>
  <c r="O664" i="3"/>
  <c r="U663" i="3"/>
  <c r="V663" i="3" s="1"/>
  <c r="M663" i="3"/>
  <c r="L663" i="3"/>
  <c r="K663" i="3"/>
  <c r="J663" i="3"/>
  <c r="AB662" i="3"/>
  <c r="AA662" i="3"/>
  <c r="U662" i="3"/>
  <c r="X662" i="3" s="1"/>
  <c r="J662" i="3"/>
  <c r="O662" i="3" s="1"/>
  <c r="AB661" i="3"/>
  <c r="AA661" i="3"/>
  <c r="U661" i="3"/>
  <c r="X661" i="3" s="1"/>
  <c r="M661" i="3"/>
  <c r="O661" i="3" s="1"/>
  <c r="AB660" i="3"/>
  <c r="AA660" i="3"/>
  <c r="U660" i="3"/>
  <c r="X660" i="3" s="1"/>
  <c r="O660" i="3"/>
  <c r="AB659" i="3"/>
  <c r="AA659" i="3"/>
  <c r="U659" i="3"/>
  <c r="X659" i="3" s="1"/>
  <c r="K659" i="3"/>
  <c r="J659" i="3"/>
  <c r="O659" i="3" s="1"/>
  <c r="AB658" i="3"/>
  <c r="AA658" i="3"/>
  <c r="U658" i="3"/>
  <c r="X658" i="3" s="1"/>
  <c r="M658" i="3"/>
  <c r="L658" i="3"/>
  <c r="O658" i="3" s="1"/>
  <c r="K658" i="3"/>
  <c r="J658" i="3"/>
  <c r="AA657" i="3"/>
  <c r="U657" i="3"/>
  <c r="X657" i="3" s="1"/>
  <c r="O657" i="3"/>
  <c r="AA656" i="3"/>
  <c r="U656" i="3"/>
  <c r="X656" i="3" s="1"/>
  <c r="O656" i="3"/>
  <c r="M656" i="3"/>
  <c r="L656" i="3"/>
  <c r="AA655" i="3"/>
  <c r="U655" i="3"/>
  <c r="X655" i="3" s="1"/>
  <c r="O655" i="3"/>
  <c r="AA654" i="3"/>
  <c r="U654" i="3"/>
  <c r="X654" i="3" s="1"/>
  <c r="O654" i="3"/>
  <c r="AA653" i="3"/>
  <c r="U653" i="3"/>
  <c r="X653" i="3" s="1"/>
  <c r="M653" i="3"/>
  <c r="O653" i="3" s="1"/>
  <c r="AA652" i="3"/>
  <c r="U652" i="3"/>
  <c r="X652" i="3" s="1"/>
  <c r="M652" i="3"/>
  <c r="O652" i="3" s="1"/>
  <c r="L652" i="3"/>
  <c r="K652" i="3"/>
  <c r="U651" i="3"/>
  <c r="O651" i="3"/>
  <c r="U650" i="3"/>
  <c r="X650" i="3" s="1"/>
  <c r="O650" i="3"/>
  <c r="U649" i="3"/>
  <c r="X649" i="3" s="1"/>
  <c r="J649" i="3"/>
  <c r="O649" i="3" s="1"/>
  <c r="U648" i="3"/>
  <c r="X648" i="3" s="1"/>
  <c r="N648" i="3"/>
  <c r="M648" i="3"/>
  <c r="L648" i="3"/>
  <c r="K648" i="3"/>
  <c r="J648" i="3"/>
  <c r="O648" i="3" s="1"/>
  <c r="U647" i="3"/>
  <c r="X647" i="3" s="1"/>
  <c r="N647" i="3"/>
  <c r="M647" i="3"/>
  <c r="L647" i="3"/>
  <c r="K647" i="3"/>
  <c r="J647" i="3"/>
  <c r="O647" i="3" s="1"/>
  <c r="U646" i="3"/>
  <c r="X646" i="3" s="1"/>
  <c r="M646" i="3"/>
  <c r="L646" i="3"/>
  <c r="K646" i="3"/>
  <c r="J646" i="3"/>
  <c r="O646" i="3" s="1"/>
  <c r="U645" i="3"/>
  <c r="X645" i="3" s="1"/>
  <c r="O645" i="3"/>
  <c r="U644" i="3"/>
  <c r="X644" i="3" s="1"/>
  <c r="N644" i="3"/>
  <c r="M644" i="3"/>
  <c r="L644" i="3"/>
  <c r="K644" i="3"/>
  <c r="J644" i="3"/>
  <c r="O644" i="3" s="1"/>
  <c r="U643" i="3"/>
  <c r="X643" i="3" s="1"/>
  <c r="M643" i="3"/>
  <c r="K643" i="3"/>
  <c r="O643" i="3" s="1"/>
  <c r="J643" i="3"/>
  <c r="U642" i="3"/>
  <c r="X642" i="3" s="1"/>
  <c r="O642" i="3"/>
  <c r="AA641" i="3"/>
  <c r="U641" i="3"/>
  <c r="X641" i="3" s="1"/>
  <c r="O641" i="3"/>
  <c r="AA640" i="3"/>
  <c r="U640" i="3"/>
  <c r="X640" i="3" s="1"/>
  <c r="O640" i="3"/>
  <c r="AA639" i="3"/>
  <c r="U639" i="3"/>
  <c r="X639" i="3" s="1"/>
  <c r="O639" i="3"/>
  <c r="AA638" i="3"/>
  <c r="U638" i="3"/>
  <c r="X638" i="3" s="1"/>
  <c r="O638" i="3"/>
  <c r="AA637" i="3"/>
  <c r="U637" i="3"/>
  <c r="X637" i="3" s="1"/>
  <c r="M637" i="3"/>
  <c r="K637" i="3"/>
  <c r="O637" i="3" s="1"/>
  <c r="U636" i="3"/>
  <c r="X636" i="3" s="1"/>
  <c r="O636" i="3"/>
  <c r="U635" i="3"/>
  <c r="X635" i="3" s="1"/>
  <c r="M635" i="3"/>
  <c r="L635" i="3"/>
  <c r="K635" i="3"/>
  <c r="O635" i="3" s="1"/>
  <c r="U634" i="3"/>
  <c r="X634" i="3" s="1"/>
  <c r="M634" i="3"/>
  <c r="O634" i="3" s="1"/>
  <c r="L634" i="3"/>
  <c r="K634" i="3"/>
  <c r="U633" i="3"/>
  <c r="X633" i="3" s="1"/>
  <c r="O633" i="3"/>
  <c r="AB632" i="3"/>
  <c r="AA632" i="3"/>
  <c r="U632" i="3"/>
  <c r="X632" i="3" s="1"/>
  <c r="O632" i="3"/>
  <c r="AB631" i="3"/>
  <c r="AA631" i="3"/>
  <c r="U631" i="3"/>
  <c r="O631" i="3"/>
  <c r="AB630" i="3"/>
  <c r="AA630" i="3"/>
  <c r="U630" i="3"/>
  <c r="X630" i="3" s="1"/>
  <c r="O630" i="3"/>
  <c r="K630" i="3"/>
  <c r="AB629" i="3"/>
  <c r="AA629" i="3"/>
  <c r="U629" i="3"/>
  <c r="X629" i="3" s="1"/>
  <c r="O629" i="3"/>
  <c r="AB628" i="3"/>
  <c r="AA628" i="3"/>
  <c r="U628" i="3"/>
  <c r="X628" i="3" s="1"/>
  <c r="O628" i="3"/>
  <c r="AB627" i="3"/>
  <c r="AA627" i="3"/>
  <c r="U627" i="3"/>
  <c r="X627" i="3" s="1"/>
  <c r="O627" i="3"/>
  <c r="AB626" i="3"/>
  <c r="AA626" i="3"/>
  <c r="U626" i="3"/>
  <c r="X626" i="3" s="1"/>
  <c r="M626" i="3"/>
  <c r="J626" i="3"/>
  <c r="O626" i="3" s="1"/>
  <c r="U625" i="3"/>
  <c r="X625" i="3" s="1"/>
  <c r="M625" i="3"/>
  <c r="K625" i="3"/>
  <c r="J625" i="3"/>
  <c r="O625" i="3" s="1"/>
  <c r="U624" i="3"/>
  <c r="X624" i="3" s="1"/>
  <c r="O624" i="3"/>
  <c r="U623" i="3"/>
  <c r="X623" i="3" s="1"/>
  <c r="O623" i="3"/>
  <c r="U622" i="3"/>
  <c r="X622" i="3" s="1"/>
  <c r="O622" i="3"/>
  <c r="U621" i="3"/>
  <c r="X621" i="3" s="1"/>
  <c r="O621" i="3"/>
  <c r="U620" i="3"/>
  <c r="X620" i="3" s="1"/>
  <c r="O620" i="3"/>
  <c r="U619" i="3"/>
  <c r="X619" i="3" s="1"/>
  <c r="M619" i="3"/>
  <c r="K619" i="3"/>
  <c r="O619" i="3" s="1"/>
  <c r="J619" i="3"/>
  <c r="U618" i="3"/>
  <c r="X618" i="3" s="1"/>
  <c r="O618" i="3"/>
  <c r="U617" i="3"/>
  <c r="X617" i="3" s="1"/>
  <c r="O617" i="3"/>
  <c r="U616" i="3"/>
  <c r="X616" i="3" s="1"/>
  <c r="O616" i="3"/>
  <c r="U615" i="3"/>
  <c r="X615" i="3" s="1"/>
  <c r="M615" i="3"/>
  <c r="K615" i="3"/>
  <c r="J615" i="3"/>
  <c r="O615" i="3" s="1"/>
  <c r="AB614" i="3"/>
  <c r="AA614" i="3"/>
  <c r="U614" i="3"/>
  <c r="O614" i="3"/>
  <c r="AB613" i="3"/>
  <c r="AA613" i="3"/>
  <c r="U613" i="3"/>
  <c r="X613" i="3" s="1"/>
  <c r="O613" i="3"/>
  <c r="AB612" i="3"/>
  <c r="AA612" i="3"/>
  <c r="U612" i="3"/>
  <c r="X612" i="3" s="1"/>
  <c r="O612" i="3"/>
  <c r="AB611" i="3"/>
  <c r="AA611" i="3"/>
  <c r="U611" i="3"/>
  <c r="X611" i="3" s="1"/>
  <c r="M611" i="3"/>
  <c r="K611" i="3"/>
  <c r="O611" i="3" s="1"/>
  <c r="AB610" i="3"/>
  <c r="AA610" i="3"/>
  <c r="U610" i="3"/>
  <c r="X610" i="3" s="1"/>
  <c r="M610" i="3"/>
  <c r="K610" i="3"/>
  <c r="J610" i="3"/>
  <c r="O610" i="3" s="1"/>
  <c r="AB609" i="3"/>
  <c r="U609" i="3"/>
  <c r="X609" i="3" s="1"/>
  <c r="O609" i="3"/>
  <c r="AB608" i="3"/>
  <c r="U608" i="3"/>
  <c r="O608" i="3"/>
  <c r="AB607" i="3"/>
  <c r="U607" i="3"/>
  <c r="X607" i="3" s="1"/>
  <c r="M607" i="3"/>
  <c r="L607" i="3"/>
  <c r="O607" i="3" s="1"/>
  <c r="K607" i="3"/>
  <c r="J607" i="3"/>
  <c r="AB606" i="3"/>
  <c r="U606" i="3"/>
  <c r="X606" i="3" s="1"/>
  <c r="O606" i="3"/>
  <c r="AB605" i="3"/>
  <c r="U605" i="3"/>
  <c r="X605" i="3" s="1"/>
  <c r="O605" i="3"/>
  <c r="M605" i="3"/>
  <c r="K605" i="3"/>
  <c r="J605" i="3"/>
  <c r="AB604" i="3"/>
  <c r="U604" i="3"/>
  <c r="X604" i="3" s="1"/>
  <c r="M604" i="3"/>
  <c r="O604" i="3" s="1"/>
  <c r="AB603" i="3"/>
  <c r="U603" i="3"/>
  <c r="X603" i="3" s="1"/>
  <c r="M603" i="3"/>
  <c r="K603" i="3"/>
  <c r="J603" i="3"/>
  <c r="O603" i="3" s="1"/>
  <c r="AB602" i="3"/>
  <c r="AA602" i="3"/>
  <c r="U602" i="3"/>
  <c r="X602" i="3" s="1"/>
  <c r="J602" i="3"/>
  <c r="O602" i="3" s="1"/>
  <c r="AB601" i="3"/>
  <c r="AA601" i="3"/>
  <c r="U601" i="3"/>
  <c r="X601" i="3" s="1"/>
  <c r="O601" i="3"/>
  <c r="AB600" i="3"/>
  <c r="AA600" i="3"/>
  <c r="U600" i="3"/>
  <c r="X600" i="3" s="1"/>
  <c r="O600" i="3"/>
  <c r="AB599" i="3"/>
  <c r="AA599" i="3"/>
  <c r="U599" i="3"/>
  <c r="X599" i="3" s="1"/>
  <c r="M599" i="3"/>
  <c r="K599" i="3"/>
  <c r="O599" i="3" s="1"/>
  <c r="AB598" i="3"/>
  <c r="AA598" i="3"/>
  <c r="U598" i="3"/>
  <c r="X598" i="3" s="1"/>
  <c r="O598" i="3"/>
  <c r="AB597" i="3"/>
  <c r="AA597" i="3"/>
  <c r="U597" i="3"/>
  <c r="X597" i="3" s="1"/>
  <c r="J597" i="3"/>
  <c r="O597" i="3" s="1"/>
  <c r="AB596" i="3"/>
  <c r="AA596" i="3"/>
  <c r="U596" i="3"/>
  <c r="X596" i="3" s="1"/>
  <c r="O596" i="3"/>
  <c r="M596" i="3"/>
  <c r="K596" i="3"/>
  <c r="J596" i="3"/>
  <c r="AA595" i="3"/>
  <c r="U595" i="3"/>
  <c r="X595" i="3" s="1"/>
  <c r="J595" i="3"/>
  <c r="O595" i="3" s="1"/>
  <c r="AA594" i="3"/>
  <c r="U594" i="3"/>
  <c r="X594" i="3" s="1"/>
  <c r="O594" i="3"/>
  <c r="AA593" i="3"/>
  <c r="U593" i="3"/>
  <c r="X593" i="3" s="1"/>
  <c r="O593" i="3"/>
  <c r="AA592" i="3"/>
  <c r="U592" i="3"/>
  <c r="X592" i="3" s="1"/>
  <c r="O592" i="3"/>
  <c r="M592" i="3"/>
  <c r="J592" i="3"/>
  <c r="AA591" i="3"/>
  <c r="U591" i="3"/>
  <c r="X591" i="3" s="1"/>
  <c r="O591" i="3"/>
  <c r="AA590" i="3"/>
  <c r="U590" i="3"/>
  <c r="X590" i="3" s="1"/>
  <c r="O590" i="3"/>
  <c r="AA589" i="3"/>
  <c r="U589" i="3"/>
  <c r="X589" i="3" s="1"/>
  <c r="M589" i="3"/>
  <c r="K589" i="3"/>
  <c r="J589" i="3"/>
  <c r="O589" i="3" s="1"/>
  <c r="AA588" i="3"/>
  <c r="U588" i="3"/>
  <c r="X588" i="3" s="1"/>
  <c r="O588" i="3"/>
  <c r="AA587" i="3"/>
  <c r="U587" i="3"/>
  <c r="X587" i="3" s="1"/>
  <c r="J587" i="3"/>
  <c r="O587" i="3" s="1"/>
  <c r="AA586" i="3"/>
  <c r="U586" i="3"/>
  <c r="X586" i="3" s="1"/>
  <c r="O586" i="3"/>
  <c r="AA585" i="3"/>
  <c r="U585" i="3"/>
  <c r="X585" i="3" s="1"/>
  <c r="O585" i="3"/>
  <c r="AA584" i="3"/>
  <c r="U584" i="3"/>
  <c r="X584" i="3" s="1"/>
  <c r="M584" i="3"/>
  <c r="L584" i="3"/>
  <c r="K584" i="3"/>
  <c r="J584" i="3"/>
  <c r="O584" i="3" s="1"/>
  <c r="AB583" i="3"/>
  <c r="U583" i="3"/>
  <c r="X583" i="3" s="1"/>
  <c r="O583" i="3"/>
  <c r="AB582" i="3"/>
  <c r="U582" i="3"/>
  <c r="X582" i="3" s="1"/>
  <c r="O582" i="3"/>
  <c r="AB581" i="3"/>
  <c r="U581" i="3"/>
  <c r="X581" i="3" s="1"/>
  <c r="K581" i="3"/>
  <c r="J581" i="3"/>
  <c r="O581" i="3" s="1"/>
  <c r="AB580" i="3"/>
  <c r="U580" i="3"/>
  <c r="X580" i="3" s="1"/>
  <c r="O580" i="3"/>
  <c r="AB579" i="3"/>
  <c r="U579" i="3"/>
  <c r="X579" i="3" s="1"/>
  <c r="K579" i="3"/>
  <c r="J579" i="3"/>
  <c r="O579" i="3" s="1"/>
  <c r="U578" i="3"/>
  <c r="X578" i="3" s="1"/>
  <c r="M578" i="3"/>
  <c r="L578" i="3"/>
  <c r="K578" i="3"/>
  <c r="J578" i="3"/>
  <c r="O578" i="3" s="1"/>
  <c r="U577" i="3"/>
  <c r="X577" i="3" s="1"/>
  <c r="M577" i="3"/>
  <c r="O577" i="3" s="1"/>
  <c r="U576" i="3"/>
  <c r="X576" i="3" s="1"/>
  <c r="O576" i="3"/>
  <c r="AB575" i="3"/>
  <c r="X575" i="3"/>
  <c r="N575" i="3"/>
  <c r="M575" i="3"/>
  <c r="L575" i="3"/>
  <c r="O575" i="3" s="1"/>
  <c r="V575" i="3" s="1"/>
  <c r="AB574" i="3"/>
  <c r="X574" i="3"/>
  <c r="O574" i="3"/>
  <c r="V574" i="3" s="1"/>
  <c r="AB573" i="3"/>
  <c r="X573" i="3"/>
  <c r="M573" i="3"/>
  <c r="L573" i="3"/>
  <c r="O573" i="3" s="1"/>
  <c r="V573" i="3" s="1"/>
  <c r="U569" i="3"/>
  <c r="X569" i="3" s="1"/>
  <c r="O569" i="3"/>
  <c r="U568" i="3"/>
  <c r="X568" i="3" s="1"/>
  <c r="O568" i="3"/>
  <c r="U567" i="3"/>
  <c r="X567" i="3" s="1"/>
  <c r="O567" i="3"/>
  <c r="U566" i="3"/>
  <c r="X566" i="3" s="1"/>
  <c r="O566" i="3"/>
  <c r="U565" i="3"/>
  <c r="X565" i="3" s="1"/>
  <c r="O565" i="3"/>
  <c r="J565" i="3"/>
  <c r="U564" i="3"/>
  <c r="X564" i="3" s="1"/>
  <c r="L564" i="3"/>
  <c r="K564" i="3"/>
  <c r="J564" i="3"/>
  <c r="O564" i="3" s="1"/>
  <c r="AB563" i="3"/>
  <c r="U563" i="3"/>
  <c r="X563" i="3" s="1"/>
  <c r="O563" i="3"/>
  <c r="K563" i="3"/>
  <c r="AB562" i="3"/>
  <c r="U562" i="3"/>
  <c r="X562" i="3" s="1"/>
  <c r="O562" i="3"/>
  <c r="AB561" i="3"/>
  <c r="U561" i="3"/>
  <c r="X561" i="3" s="1"/>
  <c r="O561" i="3"/>
  <c r="AB560" i="3"/>
  <c r="U560" i="3"/>
  <c r="X560" i="3" s="1"/>
  <c r="O560" i="3"/>
  <c r="AB559" i="3"/>
  <c r="U559" i="3"/>
  <c r="X559" i="3" s="1"/>
  <c r="O559" i="3"/>
  <c r="AB558" i="3"/>
  <c r="U558" i="3"/>
  <c r="X558" i="3" s="1"/>
  <c r="O558" i="3"/>
  <c r="AB557" i="3"/>
  <c r="U557" i="3"/>
  <c r="X557" i="3" s="1"/>
  <c r="O557" i="3"/>
  <c r="AB556" i="3"/>
  <c r="U556" i="3"/>
  <c r="X556" i="3" s="1"/>
  <c r="O556" i="3"/>
  <c r="AB555" i="3"/>
  <c r="U555" i="3"/>
  <c r="X555" i="3" s="1"/>
  <c r="O555" i="3"/>
  <c r="AB554" i="3"/>
  <c r="U554" i="3"/>
  <c r="X554" i="3" s="1"/>
  <c r="N554" i="3"/>
  <c r="M554" i="3"/>
  <c r="O554" i="3" s="1"/>
  <c r="AB553" i="3"/>
  <c r="U553" i="3"/>
  <c r="X553" i="3" s="1"/>
  <c r="K553" i="3"/>
  <c r="O553" i="3" s="1"/>
  <c r="AB552" i="3"/>
  <c r="U552" i="3"/>
  <c r="X552" i="3" s="1"/>
  <c r="K552" i="3"/>
  <c r="O552" i="3" s="1"/>
  <c r="AB551" i="3"/>
  <c r="U551" i="3"/>
  <c r="X551" i="3" s="1"/>
  <c r="O551" i="3"/>
  <c r="AB550" i="3"/>
  <c r="U550" i="3"/>
  <c r="X550" i="3" s="1"/>
  <c r="K550" i="3"/>
  <c r="O550" i="3" s="1"/>
  <c r="AB549" i="3"/>
  <c r="U549" i="3"/>
  <c r="X549" i="3" s="1"/>
  <c r="O549" i="3"/>
  <c r="K549" i="3"/>
  <c r="AB548" i="3"/>
  <c r="U548" i="3"/>
  <c r="X548" i="3" s="1"/>
  <c r="K548" i="3"/>
  <c r="O548" i="3" s="1"/>
  <c r="AB547" i="3"/>
  <c r="U547" i="3"/>
  <c r="X547" i="3" s="1"/>
  <c r="O547" i="3"/>
  <c r="AB546" i="3"/>
  <c r="U546" i="3"/>
  <c r="X546" i="3" s="1"/>
  <c r="O546" i="3"/>
  <c r="AB545" i="3"/>
  <c r="U545" i="3"/>
  <c r="X545" i="3" s="1"/>
  <c r="O545" i="3"/>
  <c r="AB544" i="3"/>
  <c r="U544" i="3"/>
  <c r="X544" i="3" s="1"/>
  <c r="N544" i="3"/>
  <c r="M544" i="3"/>
  <c r="O544" i="3" s="1"/>
  <c r="U543" i="3"/>
  <c r="X543" i="3" s="1"/>
  <c r="N543" i="3"/>
  <c r="M543" i="3"/>
  <c r="O543" i="3" s="1"/>
  <c r="L543" i="3"/>
  <c r="K543" i="3"/>
  <c r="U542" i="3"/>
  <c r="X542" i="3" s="1"/>
  <c r="K542" i="3"/>
  <c r="J542" i="3"/>
  <c r="O542" i="3" s="1"/>
  <c r="U541" i="3"/>
  <c r="X541" i="3" s="1"/>
  <c r="O541" i="3"/>
  <c r="J541" i="3"/>
  <c r="U540" i="3"/>
  <c r="X540" i="3" s="1"/>
  <c r="L540" i="3"/>
  <c r="K540" i="3"/>
  <c r="J540" i="3"/>
  <c r="O540" i="3" s="1"/>
  <c r="U539" i="3"/>
  <c r="X539" i="3" s="1"/>
  <c r="O539" i="3"/>
  <c r="L539" i="3"/>
  <c r="U538" i="3"/>
  <c r="X538" i="3" s="1"/>
  <c r="N538" i="3"/>
  <c r="M538" i="3"/>
  <c r="L538" i="3"/>
  <c r="K538" i="3"/>
  <c r="J538" i="3"/>
  <c r="O538" i="3" s="1"/>
  <c r="U537" i="3"/>
  <c r="X537" i="3" s="1"/>
  <c r="M537" i="3"/>
  <c r="L537" i="3"/>
  <c r="K537" i="3"/>
  <c r="J537" i="3"/>
  <c r="O537" i="3" s="1"/>
  <c r="U536" i="3"/>
  <c r="X536" i="3" s="1"/>
  <c r="N536" i="3"/>
  <c r="M536" i="3"/>
  <c r="O536" i="3" s="1"/>
  <c r="L536" i="3"/>
  <c r="K536" i="3"/>
  <c r="J536" i="3"/>
  <c r="U535" i="3"/>
  <c r="X535" i="3" s="1"/>
  <c r="M535" i="3"/>
  <c r="J535" i="3"/>
  <c r="O535" i="3" s="1"/>
  <c r="U534" i="3"/>
  <c r="X534" i="3" s="1"/>
  <c r="M534" i="3"/>
  <c r="K534" i="3"/>
  <c r="J534" i="3"/>
  <c r="O534" i="3" s="1"/>
  <c r="U533" i="3"/>
  <c r="X533" i="3" s="1"/>
  <c r="M533" i="3"/>
  <c r="O533" i="3" s="1"/>
  <c r="L533" i="3"/>
  <c r="K533" i="3"/>
  <c r="J533" i="3"/>
  <c r="U532" i="3"/>
  <c r="X532" i="3" s="1"/>
  <c r="O532" i="3"/>
  <c r="U531" i="3"/>
  <c r="X531" i="3" s="1"/>
  <c r="O531" i="3"/>
  <c r="U530" i="3"/>
  <c r="X530" i="3" s="1"/>
  <c r="O530" i="3"/>
  <c r="M530" i="3"/>
  <c r="L530" i="3"/>
  <c r="K530" i="3"/>
  <c r="U529" i="3"/>
  <c r="X529" i="3" s="1"/>
  <c r="O529" i="3"/>
  <c r="U528" i="3"/>
  <c r="X528" i="3" s="1"/>
  <c r="M528" i="3"/>
  <c r="O528" i="3" s="1"/>
  <c r="L528" i="3"/>
  <c r="K528" i="3"/>
  <c r="J528" i="3"/>
  <c r="AA527" i="3"/>
  <c r="U527" i="3"/>
  <c r="X527" i="3" s="1"/>
  <c r="O527" i="3"/>
  <c r="J527" i="3"/>
  <c r="AA526" i="3"/>
  <c r="U526" i="3"/>
  <c r="X526" i="3" s="1"/>
  <c r="J526" i="3"/>
  <c r="O526" i="3" s="1"/>
  <c r="AA525" i="3"/>
  <c r="U525" i="3"/>
  <c r="X525" i="3" s="1"/>
  <c r="O525" i="3"/>
  <c r="J525" i="3"/>
  <c r="AA524" i="3"/>
  <c r="U524" i="3"/>
  <c r="X524" i="3" s="1"/>
  <c r="M524" i="3"/>
  <c r="L524" i="3"/>
  <c r="J524" i="3"/>
  <c r="O524" i="3" s="1"/>
  <c r="AA523" i="3"/>
  <c r="U523" i="3"/>
  <c r="X523" i="3" s="1"/>
  <c r="N523" i="3"/>
  <c r="M523" i="3"/>
  <c r="O523" i="3" s="1"/>
  <c r="L523" i="3"/>
  <c r="K523" i="3"/>
  <c r="J523" i="3"/>
  <c r="AA522" i="3"/>
  <c r="U522" i="3"/>
  <c r="X522" i="3" s="1"/>
  <c r="M522" i="3"/>
  <c r="J522" i="3"/>
  <c r="O522" i="3" s="1"/>
  <c r="AA521" i="3"/>
  <c r="U521" i="3"/>
  <c r="X521" i="3" s="1"/>
  <c r="O521" i="3"/>
  <c r="M521" i="3"/>
  <c r="AA520" i="3"/>
  <c r="U520" i="3"/>
  <c r="X520" i="3" s="1"/>
  <c r="M520" i="3"/>
  <c r="O520" i="3" s="1"/>
  <c r="AA519" i="3"/>
  <c r="U519" i="3"/>
  <c r="X519" i="3" s="1"/>
  <c r="M519" i="3"/>
  <c r="L519" i="3"/>
  <c r="K519" i="3"/>
  <c r="J519" i="3"/>
  <c r="O519" i="3" s="1"/>
  <c r="AA518" i="3"/>
  <c r="U518" i="3"/>
  <c r="X518" i="3" s="1"/>
  <c r="O518" i="3"/>
  <c r="M518" i="3"/>
  <c r="L518" i="3"/>
  <c r="K518" i="3"/>
  <c r="J518" i="3"/>
  <c r="AA517" i="3"/>
  <c r="U517" i="3"/>
  <c r="X517" i="3" s="1"/>
  <c r="N517" i="3"/>
  <c r="M517" i="3"/>
  <c r="L517" i="3"/>
  <c r="O517" i="3" s="1"/>
  <c r="K517" i="3"/>
  <c r="J517" i="3"/>
  <c r="AA516" i="3"/>
  <c r="U516" i="3"/>
  <c r="X516" i="3" s="1"/>
  <c r="O516" i="3"/>
  <c r="K516" i="3"/>
  <c r="AA515" i="3"/>
  <c r="U515" i="3"/>
  <c r="X515" i="3" s="1"/>
  <c r="O515" i="3"/>
  <c r="AA514" i="3"/>
  <c r="U514" i="3"/>
  <c r="X514" i="3" s="1"/>
  <c r="N514" i="3"/>
  <c r="M514" i="3"/>
  <c r="K514" i="3"/>
  <c r="O514" i="3" s="1"/>
  <c r="U513" i="3"/>
  <c r="X513" i="3" s="1"/>
  <c r="O513" i="3"/>
  <c r="U512" i="3"/>
  <c r="X512" i="3" s="1"/>
  <c r="M512" i="3"/>
  <c r="L512" i="3"/>
  <c r="K512" i="3"/>
  <c r="J512" i="3"/>
  <c r="O512" i="3" s="1"/>
  <c r="U511" i="3"/>
  <c r="X511" i="3" s="1"/>
  <c r="O511" i="3"/>
  <c r="M511" i="3"/>
  <c r="U510" i="3"/>
  <c r="X510" i="3" s="1"/>
  <c r="M510" i="3"/>
  <c r="O510" i="3" s="1"/>
  <c r="U509" i="3"/>
  <c r="X509" i="3" s="1"/>
  <c r="M509" i="3"/>
  <c r="O509" i="3" s="1"/>
  <c r="L509" i="3"/>
  <c r="K509" i="3"/>
  <c r="J509" i="3"/>
  <c r="U508" i="3"/>
  <c r="X508" i="3" s="1"/>
  <c r="O508" i="3"/>
  <c r="U507" i="3"/>
  <c r="X507" i="3" s="1"/>
  <c r="M507" i="3"/>
  <c r="O507" i="3" s="1"/>
  <c r="K507" i="3"/>
  <c r="J507" i="3"/>
  <c r="AB506" i="3"/>
  <c r="AA506" i="3"/>
  <c r="U506" i="3"/>
  <c r="X506" i="3" s="1"/>
  <c r="L506" i="3"/>
  <c r="J506" i="3"/>
  <c r="O506" i="3" s="1"/>
  <c r="AB505" i="3"/>
  <c r="AA505" i="3"/>
  <c r="U505" i="3"/>
  <c r="X505" i="3" s="1"/>
  <c r="M505" i="3"/>
  <c r="L505" i="3"/>
  <c r="K505" i="3"/>
  <c r="J505" i="3"/>
  <c r="O505" i="3" s="1"/>
  <c r="AB504" i="3"/>
  <c r="AA504" i="3"/>
  <c r="U504" i="3"/>
  <c r="X504" i="3" s="1"/>
  <c r="L504" i="3"/>
  <c r="J504" i="3"/>
  <c r="O504" i="3" s="1"/>
  <c r="AB503" i="3"/>
  <c r="AA503" i="3"/>
  <c r="U503" i="3"/>
  <c r="X503" i="3" s="1"/>
  <c r="L503" i="3"/>
  <c r="O503" i="3" s="1"/>
  <c r="K503" i="3"/>
  <c r="J503" i="3"/>
  <c r="AB502" i="3"/>
  <c r="AA502" i="3"/>
  <c r="U502" i="3"/>
  <c r="X502" i="3" s="1"/>
  <c r="M502" i="3"/>
  <c r="K502" i="3"/>
  <c r="J502" i="3"/>
  <c r="O502" i="3" s="1"/>
  <c r="AB501" i="3"/>
  <c r="AA501" i="3"/>
  <c r="U501" i="3"/>
  <c r="X501" i="3" s="1"/>
  <c r="O501" i="3"/>
  <c r="AB500" i="3"/>
  <c r="AA500" i="3"/>
  <c r="U500" i="3"/>
  <c r="X500" i="3" s="1"/>
  <c r="O500" i="3"/>
  <c r="AB499" i="3"/>
  <c r="AA499" i="3"/>
  <c r="U499" i="3"/>
  <c r="X499" i="3" s="1"/>
  <c r="O499" i="3"/>
  <c r="AB498" i="3"/>
  <c r="AA498" i="3"/>
  <c r="U498" i="3"/>
  <c r="O498" i="3"/>
  <c r="AB497" i="3"/>
  <c r="AA497" i="3"/>
  <c r="U497" i="3"/>
  <c r="X497" i="3" s="1"/>
  <c r="O497" i="3"/>
  <c r="AB496" i="3"/>
  <c r="AA496" i="3"/>
  <c r="U496" i="3"/>
  <c r="X496" i="3" s="1"/>
  <c r="O496" i="3"/>
  <c r="M496" i="3"/>
  <c r="K496" i="3"/>
  <c r="AB495" i="3"/>
  <c r="AA495" i="3"/>
  <c r="U495" i="3"/>
  <c r="X495" i="3" s="1"/>
  <c r="M495" i="3"/>
  <c r="K495" i="3"/>
  <c r="J495" i="3"/>
  <c r="O495" i="3" s="1"/>
  <c r="AA494" i="3"/>
  <c r="U494" i="3"/>
  <c r="O494" i="3"/>
  <c r="AA493" i="3"/>
  <c r="U493" i="3"/>
  <c r="X493" i="3" s="1"/>
  <c r="O493" i="3"/>
  <c r="AA492" i="3"/>
  <c r="U492" i="3"/>
  <c r="X492" i="3" s="1"/>
  <c r="O492" i="3"/>
  <c r="AA491" i="3"/>
  <c r="U491" i="3"/>
  <c r="X491" i="3" s="1"/>
  <c r="O491" i="3"/>
  <c r="AA490" i="3"/>
  <c r="U490" i="3"/>
  <c r="X490" i="3" s="1"/>
  <c r="O490" i="3"/>
  <c r="AA489" i="3"/>
  <c r="U489" i="3"/>
  <c r="X489" i="3" s="1"/>
  <c r="O489" i="3"/>
  <c r="AA488" i="3"/>
  <c r="U488" i="3"/>
  <c r="X488" i="3" s="1"/>
  <c r="O488" i="3"/>
  <c r="AA487" i="3"/>
  <c r="U487" i="3"/>
  <c r="X487" i="3" s="1"/>
  <c r="M487" i="3"/>
  <c r="L487" i="3"/>
  <c r="K487" i="3"/>
  <c r="J487" i="3"/>
  <c r="O487" i="3" s="1"/>
  <c r="U486" i="3"/>
  <c r="X486" i="3" s="1"/>
  <c r="O486" i="3"/>
  <c r="U485" i="3"/>
  <c r="X485" i="3" s="1"/>
  <c r="M485" i="3"/>
  <c r="K485" i="3"/>
  <c r="J485" i="3"/>
  <c r="O485" i="3" s="1"/>
  <c r="U484" i="3"/>
  <c r="X484" i="3" s="1"/>
  <c r="O484" i="3"/>
  <c r="U483" i="3"/>
  <c r="O483" i="3"/>
  <c r="M483" i="3"/>
  <c r="K483" i="3"/>
  <c r="J483" i="3"/>
  <c r="AA482" i="3"/>
  <c r="U482" i="3"/>
  <c r="X482" i="3" s="1"/>
  <c r="O482" i="3"/>
  <c r="AA481" i="3"/>
  <c r="U481" i="3"/>
  <c r="X481" i="3" s="1"/>
  <c r="O481" i="3"/>
  <c r="AA480" i="3"/>
  <c r="U480" i="3"/>
  <c r="X480" i="3" s="1"/>
  <c r="O480" i="3"/>
  <c r="AA479" i="3"/>
  <c r="U479" i="3"/>
  <c r="X479" i="3" s="1"/>
  <c r="O479" i="3"/>
  <c r="AA478" i="3"/>
  <c r="U478" i="3"/>
  <c r="X478" i="3" s="1"/>
  <c r="O478" i="3"/>
  <c r="AA477" i="3"/>
  <c r="U477" i="3"/>
  <c r="X477" i="3" s="1"/>
  <c r="O477" i="3"/>
  <c r="AA476" i="3"/>
  <c r="U476" i="3"/>
  <c r="X476" i="3" s="1"/>
  <c r="K476" i="3"/>
  <c r="J476" i="3"/>
  <c r="O476" i="3" s="1"/>
  <c r="U475" i="3"/>
  <c r="X475" i="3" s="1"/>
  <c r="O475" i="3"/>
  <c r="M475" i="3"/>
  <c r="L475" i="3"/>
  <c r="K475" i="3"/>
  <c r="AB474" i="3"/>
  <c r="AA474" i="3"/>
  <c r="U474" i="3"/>
  <c r="X474" i="3" s="1"/>
  <c r="M474" i="3"/>
  <c r="J474" i="3"/>
  <c r="O474" i="3" s="1"/>
  <c r="AB473" i="3"/>
  <c r="AA473" i="3"/>
  <c r="U473" i="3"/>
  <c r="X473" i="3" s="1"/>
  <c r="O473" i="3"/>
  <c r="AB472" i="3"/>
  <c r="AA472" i="3"/>
  <c r="U472" i="3"/>
  <c r="X472" i="3" s="1"/>
  <c r="O472" i="3"/>
  <c r="AB471" i="3"/>
  <c r="AA471" i="3"/>
  <c r="U471" i="3"/>
  <c r="X471" i="3" s="1"/>
  <c r="O471" i="3"/>
  <c r="K471" i="3"/>
  <c r="AB470" i="3"/>
  <c r="AA470" i="3"/>
  <c r="U470" i="3"/>
  <c r="X470" i="3" s="1"/>
  <c r="M470" i="3"/>
  <c r="K470" i="3"/>
  <c r="J470" i="3"/>
  <c r="O470" i="3" s="1"/>
  <c r="AB469" i="3"/>
  <c r="AA469" i="3"/>
  <c r="U469" i="3"/>
  <c r="X469" i="3" s="1"/>
  <c r="O469" i="3"/>
  <c r="AB468" i="3"/>
  <c r="U468" i="3"/>
  <c r="X468" i="3" s="1"/>
  <c r="O468" i="3"/>
  <c r="AB467" i="3"/>
  <c r="U467" i="3"/>
  <c r="X467" i="3" s="1"/>
  <c r="O467" i="3"/>
  <c r="AB466" i="3"/>
  <c r="U466" i="3"/>
  <c r="X466" i="3" s="1"/>
  <c r="M466" i="3"/>
  <c r="K466" i="3"/>
  <c r="J466" i="3"/>
  <c r="O466" i="3" s="1"/>
  <c r="AB465" i="3"/>
  <c r="U465" i="3"/>
  <c r="X465" i="3" s="1"/>
  <c r="O465" i="3"/>
  <c r="AB464" i="3"/>
  <c r="U464" i="3"/>
  <c r="X464" i="3" s="1"/>
  <c r="M464" i="3"/>
  <c r="J464" i="3"/>
  <c r="O464" i="3" s="1"/>
  <c r="AB463" i="3"/>
  <c r="U463" i="3"/>
  <c r="X463" i="3" s="1"/>
  <c r="O463" i="3"/>
  <c r="AB462" i="3"/>
  <c r="U462" i="3"/>
  <c r="X462" i="3" s="1"/>
  <c r="O462" i="3"/>
  <c r="AB461" i="3"/>
  <c r="U461" i="3"/>
  <c r="O461" i="3"/>
  <c r="AB460" i="3"/>
  <c r="U460" i="3"/>
  <c r="X460" i="3" s="1"/>
  <c r="O460" i="3"/>
  <c r="AB459" i="3"/>
  <c r="U459" i="3"/>
  <c r="X459" i="3" s="1"/>
  <c r="O459" i="3"/>
  <c r="J459" i="3"/>
  <c r="AB458" i="3"/>
  <c r="U458" i="3"/>
  <c r="X458" i="3" s="1"/>
  <c r="L458" i="3"/>
  <c r="K458" i="3"/>
  <c r="J458" i="3"/>
  <c r="O458" i="3" s="1"/>
  <c r="AB457" i="3"/>
  <c r="U457" i="3"/>
  <c r="X457" i="3" s="1"/>
  <c r="O457" i="3"/>
  <c r="AB456" i="3"/>
  <c r="U456" i="3"/>
  <c r="X456" i="3" s="1"/>
  <c r="O456" i="3"/>
  <c r="K456" i="3"/>
  <c r="J456" i="3"/>
  <c r="AB455" i="3"/>
  <c r="U455" i="3"/>
  <c r="X455" i="3" s="1"/>
  <c r="N455" i="3"/>
  <c r="M455" i="3"/>
  <c r="L455" i="3"/>
  <c r="K455" i="3"/>
  <c r="J455" i="3"/>
  <c r="AB454" i="3"/>
  <c r="U454" i="3"/>
  <c r="X454" i="3" s="1"/>
  <c r="O454" i="3"/>
  <c r="N454" i="3"/>
  <c r="M454" i="3"/>
  <c r="L454" i="3"/>
  <c r="K454" i="3"/>
  <c r="J454" i="3"/>
  <c r="U453" i="3"/>
  <c r="X453" i="3" s="1"/>
  <c r="M453" i="3"/>
  <c r="K453" i="3"/>
  <c r="J453" i="3"/>
  <c r="O453" i="3" s="1"/>
  <c r="U452" i="3"/>
  <c r="X452" i="3" s="1"/>
  <c r="O452" i="3"/>
  <c r="U451" i="3"/>
  <c r="X451" i="3" s="1"/>
  <c r="O451" i="3"/>
  <c r="AB450" i="3"/>
  <c r="U450" i="3"/>
  <c r="X450" i="3" s="1"/>
  <c r="M450" i="3"/>
  <c r="L450" i="3"/>
  <c r="O450" i="3" s="1"/>
  <c r="AB449" i="3"/>
  <c r="U449" i="3"/>
  <c r="X449" i="3" s="1"/>
  <c r="M449" i="3"/>
  <c r="L449" i="3"/>
  <c r="O449" i="3" s="1"/>
  <c r="AB448" i="3"/>
  <c r="U448" i="3"/>
  <c r="X448" i="3" s="1"/>
  <c r="O448" i="3"/>
  <c r="AB447" i="3"/>
  <c r="U447" i="3"/>
  <c r="X447" i="3" s="1"/>
  <c r="O447" i="3"/>
  <c r="AB446" i="3"/>
  <c r="U446" i="3"/>
  <c r="X446" i="3" s="1"/>
  <c r="N446" i="3"/>
  <c r="M446" i="3"/>
  <c r="L446" i="3"/>
  <c r="K446" i="3"/>
  <c r="J446" i="3"/>
  <c r="O446" i="3" s="1"/>
  <c r="AA445" i="3"/>
  <c r="U445" i="3"/>
  <c r="X445" i="3" s="1"/>
  <c r="O445" i="3"/>
  <c r="AA444" i="3"/>
  <c r="U444" i="3"/>
  <c r="X444" i="3" s="1"/>
  <c r="O444" i="3"/>
  <c r="AA443" i="3"/>
  <c r="U443" i="3"/>
  <c r="O443" i="3"/>
  <c r="AA442" i="3"/>
  <c r="U442" i="3"/>
  <c r="V442" i="3" s="1"/>
  <c r="O442" i="3"/>
  <c r="AA441" i="3"/>
  <c r="U441" i="3"/>
  <c r="O441" i="3"/>
  <c r="AA440" i="3"/>
  <c r="X440" i="3"/>
  <c r="V440" i="3"/>
  <c r="O440" i="3"/>
  <c r="AA439" i="3"/>
  <c r="X439" i="3"/>
  <c r="V439" i="3"/>
  <c r="O439" i="3"/>
  <c r="AA438" i="3"/>
  <c r="X438" i="3"/>
  <c r="V438" i="3"/>
  <c r="O438" i="3"/>
  <c r="AA437" i="3"/>
  <c r="X437" i="3"/>
  <c r="V437" i="3"/>
  <c r="O437" i="3"/>
  <c r="AA436" i="3"/>
  <c r="X436" i="3"/>
  <c r="V436" i="3"/>
  <c r="O436" i="3"/>
  <c r="X435" i="3"/>
  <c r="V435" i="3"/>
  <c r="O435" i="3"/>
  <c r="X434" i="3"/>
  <c r="V434" i="3"/>
  <c r="M434" i="3"/>
  <c r="J434" i="3"/>
  <c r="O434" i="3" s="1"/>
  <c r="X433" i="3"/>
  <c r="V433" i="3"/>
  <c r="O433" i="3"/>
  <c r="X432" i="3"/>
  <c r="V432" i="3"/>
  <c r="O432" i="3"/>
  <c r="X431" i="3"/>
  <c r="V431" i="3"/>
  <c r="O431" i="3"/>
  <c r="X430" i="3"/>
  <c r="V430" i="3"/>
  <c r="O430" i="3"/>
  <c r="X429" i="3"/>
  <c r="V429" i="3"/>
  <c r="J429" i="3"/>
  <c r="O429" i="3" s="1"/>
  <c r="X428" i="3"/>
  <c r="V428" i="3"/>
  <c r="O428" i="3"/>
  <c r="J428" i="3"/>
  <c r="X427" i="3"/>
  <c r="V427" i="3"/>
  <c r="O427" i="3"/>
  <c r="J427" i="3"/>
  <c r="X426" i="3"/>
  <c r="V426" i="3"/>
  <c r="O426" i="3"/>
  <c r="X425" i="3"/>
  <c r="V425" i="3"/>
  <c r="O425" i="3"/>
  <c r="X424" i="3"/>
  <c r="V424" i="3"/>
  <c r="O424" i="3"/>
  <c r="AA423" i="3"/>
  <c r="X423" i="3"/>
  <c r="V423" i="3"/>
  <c r="O423" i="3"/>
  <c r="AA422" i="3"/>
  <c r="X422" i="3"/>
  <c r="V422" i="3"/>
  <c r="O422" i="3"/>
  <c r="AA421" i="3"/>
  <c r="X421" i="3"/>
  <c r="V421" i="3"/>
  <c r="J421" i="3"/>
  <c r="O421" i="3" s="1"/>
  <c r="AA420" i="3"/>
  <c r="X420" i="3"/>
  <c r="V420" i="3"/>
  <c r="O420" i="3"/>
  <c r="X419" i="3"/>
  <c r="V419" i="3"/>
  <c r="O419" i="3"/>
  <c r="X418" i="3"/>
  <c r="V418" i="3"/>
  <c r="O418" i="3"/>
  <c r="M418" i="3"/>
  <c r="X417" i="3"/>
  <c r="V417" i="3"/>
  <c r="L417" i="3"/>
  <c r="O417" i="3" s="1"/>
  <c r="X416" i="3"/>
  <c r="V416" i="3"/>
  <c r="O416" i="3"/>
  <c r="X415" i="3"/>
  <c r="V415" i="3"/>
  <c r="O415" i="3"/>
  <c r="AA414" i="3"/>
  <c r="U414" i="3"/>
  <c r="X414" i="3" s="1"/>
  <c r="L414" i="3"/>
  <c r="O414" i="3" s="1"/>
  <c r="K414" i="3"/>
  <c r="J414" i="3"/>
  <c r="AA413" i="3"/>
  <c r="U413" i="3"/>
  <c r="M413" i="3"/>
  <c r="O413" i="3" s="1"/>
  <c r="AA412" i="3"/>
  <c r="U412" i="3"/>
  <c r="O412" i="3"/>
  <c r="J412" i="3"/>
  <c r="AA411" i="3"/>
  <c r="U411" i="3"/>
  <c r="M411" i="3"/>
  <c r="K411" i="3"/>
  <c r="O411" i="3" s="1"/>
  <c r="AA410" i="3"/>
  <c r="U410" i="3"/>
  <c r="V410" i="3" s="1"/>
  <c r="M410" i="3"/>
  <c r="L410" i="3"/>
  <c r="J410" i="3"/>
  <c r="O410" i="3" s="1"/>
  <c r="U409" i="3"/>
  <c r="X409" i="3" s="1"/>
  <c r="M409" i="3"/>
  <c r="O409" i="3" s="1"/>
  <c r="U408" i="3"/>
  <c r="X408" i="3" s="1"/>
  <c r="M408" i="3"/>
  <c r="O408" i="3" s="1"/>
  <c r="U407" i="3"/>
  <c r="O407" i="3"/>
  <c r="U406" i="3"/>
  <c r="X406" i="3" s="1"/>
  <c r="M406" i="3"/>
  <c r="O406" i="3" s="1"/>
  <c r="U405" i="3"/>
  <c r="X405" i="3" s="1"/>
  <c r="N405" i="3"/>
  <c r="O405" i="3" s="1"/>
  <c r="M405" i="3"/>
  <c r="L405" i="3"/>
  <c r="K405" i="3"/>
  <c r="J405" i="3"/>
  <c r="X404" i="3"/>
  <c r="M404" i="3"/>
  <c r="K404" i="3"/>
  <c r="J404" i="3"/>
  <c r="O404" i="3" s="1"/>
  <c r="V404" i="3" s="1"/>
  <c r="X403" i="3"/>
  <c r="L403" i="3"/>
  <c r="K403" i="3"/>
  <c r="J403" i="3"/>
  <c r="O403" i="3" s="1"/>
  <c r="V403" i="3" s="1"/>
  <c r="X402" i="3"/>
  <c r="J402" i="3"/>
  <c r="O402" i="3" s="1"/>
  <c r="V402" i="3" s="1"/>
  <c r="X401" i="3"/>
  <c r="O401" i="3"/>
  <c r="V401" i="3" s="1"/>
  <c r="X400" i="3"/>
  <c r="J400" i="3"/>
  <c r="O400" i="3" s="1"/>
  <c r="V400" i="3" s="1"/>
  <c r="AA399" i="3"/>
  <c r="U399" i="3"/>
  <c r="X399" i="3" s="1"/>
  <c r="O399" i="3"/>
  <c r="AA398" i="3"/>
  <c r="U398" i="3"/>
  <c r="X398" i="3" s="1"/>
  <c r="O398" i="3"/>
  <c r="M398" i="3"/>
  <c r="AA397" i="3"/>
  <c r="U397" i="3"/>
  <c r="X397" i="3" s="1"/>
  <c r="O397" i="3"/>
  <c r="AA396" i="3"/>
  <c r="U396" i="3"/>
  <c r="X396" i="3" s="1"/>
  <c r="O396" i="3"/>
  <c r="AA395" i="3"/>
  <c r="U395" i="3"/>
  <c r="X395" i="3" s="1"/>
  <c r="O395" i="3"/>
  <c r="AA394" i="3"/>
  <c r="U394" i="3"/>
  <c r="X394" i="3" s="1"/>
  <c r="K394" i="3"/>
  <c r="O394" i="3" s="1"/>
  <c r="AB393" i="3"/>
  <c r="AA393" i="3"/>
  <c r="X393" i="3"/>
  <c r="O393" i="3"/>
  <c r="V393" i="3" s="1"/>
  <c r="AB392" i="3"/>
  <c r="AA392" i="3"/>
  <c r="X392" i="3"/>
  <c r="O392" i="3"/>
  <c r="V392" i="3" s="1"/>
  <c r="AB391" i="3"/>
  <c r="AA391" i="3"/>
  <c r="X391" i="3"/>
  <c r="J391" i="3"/>
  <c r="O391" i="3" s="1"/>
  <c r="V391" i="3" s="1"/>
  <c r="AB390" i="3"/>
  <c r="AA390" i="3"/>
  <c r="X390" i="3"/>
  <c r="O390" i="3"/>
  <c r="V390" i="3" s="1"/>
  <c r="AB389" i="3"/>
  <c r="AA389" i="3"/>
  <c r="X389" i="3"/>
  <c r="O389" i="3"/>
  <c r="V389" i="3" s="1"/>
  <c r="U388" i="3"/>
  <c r="X388" i="3" s="1"/>
  <c r="M388" i="3"/>
  <c r="K388" i="3"/>
  <c r="J388" i="3"/>
  <c r="U387" i="3"/>
  <c r="X387" i="3" s="1"/>
  <c r="O387" i="3"/>
  <c r="M387" i="3"/>
  <c r="L387" i="3"/>
  <c r="K387" i="3"/>
  <c r="J387" i="3"/>
  <c r="U386" i="3"/>
  <c r="X386" i="3" s="1"/>
  <c r="M386" i="3"/>
  <c r="L386" i="3"/>
  <c r="K386" i="3"/>
  <c r="J386" i="3"/>
  <c r="O386" i="3" s="1"/>
  <c r="X385" i="3"/>
  <c r="O385" i="3"/>
  <c r="V385" i="3" s="1"/>
  <c r="X384" i="3"/>
  <c r="O384" i="3"/>
  <c r="V384" i="3" s="1"/>
  <c r="X383" i="3"/>
  <c r="O383" i="3"/>
  <c r="V383" i="3" s="1"/>
  <c r="X382" i="3"/>
  <c r="O382" i="3"/>
  <c r="V382" i="3" s="1"/>
  <c r="J382" i="3"/>
  <c r="X381" i="3"/>
  <c r="L381" i="3"/>
  <c r="O381" i="3" s="1"/>
  <c r="V381" i="3" s="1"/>
  <c r="X380" i="3"/>
  <c r="J380" i="3"/>
  <c r="O380" i="3" s="1"/>
  <c r="V380" i="3" s="1"/>
  <c r="X379" i="3"/>
  <c r="O379" i="3"/>
  <c r="V379" i="3" s="1"/>
  <c r="X378" i="3"/>
  <c r="O378" i="3"/>
  <c r="V378" i="3" s="1"/>
  <c r="X377" i="3"/>
  <c r="O377" i="3"/>
  <c r="V377" i="3" s="1"/>
  <c r="X376" i="3"/>
  <c r="O376" i="3"/>
  <c r="V376" i="3" s="1"/>
  <c r="X375" i="3"/>
  <c r="O375" i="3"/>
  <c r="V375" i="3" s="1"/>
  <c r="X374" i="3"/>
  <c r="O374" i="3"/>
  <c r="V374" i="3" s="1"/>
  <c r="X373" i="3"/>
  <c r="O373" i="3"/>
  <c r="V373" i="3" s="1"/>
  <c r="X372" i="3"/>
  <c r="O372" i="3"/>
  <c r="V372" i="3" s="1"/>
  <c r="AB371" i="3"/>
  <c r="X371" i="3"/>
  <c r="O371" i="3"/>
  <c r="V371" i="3" s="1"/>
  <c r="AB370" i="3"/>
  <c r="X370" i="3"/>
  <c r="O370" i="3"/>
  <c r="V370" i="3" s="1"/>
  <c r="AB369" i="3"/>
  <c r="X369" i="3"/>
  <c r="J369" i="3"/>
  <c r="O369" i="3" s="1"/>
  <c r="V369" i="3" s="1"/>
  <c r="AB368" i="3"/>
  <c r="X368" i="3"/>
  <c r="O368" i="3"/>
  <c r="V368" i="3" s="1"/>
  <c r="AB367" i="3"/>
  <c r="X367" i="3"/>
  <c r="O367" i="3"/>
  <c r="V367" i="3" s="1"/>
  <c r="AB366" i="3"/>
  <c r="X366" i="3"/>
  <c r="J366" i="3"/>
  <c r="O366" i="3" s="1"/>
  <c r="V366" i="3" s="1"/>
  <c r="AB365" i="3"/>
  <c r="X365" i="3"/>
  <c r="M365" i="3"/>
  <c r="K365" i="3"/>
  <c r="J365" i="3"/>
  <c r="O365" i="3" s="1"/>
  <c r="V365" i="3" s="1"/>
  <c r="AB364" i="3"/>
  <c r="U364" i="3"/>
  <c r="X364" i="3" s="1"/>
  <c r="M364" i="3"/>
  <c r="O364" i="3" s="1"/>
  <c r="L364" i="3"/>
  <c r="K364" i="3"/>
  <c r="AB363" i="3"/>
  <c r="U363" i="3"/>
  <c r="X363" i="3" s="1"/>
  <c r="O363" i="3"/>
  <c r="AB362" i="3"/>
  <c r="U362" i="3"/>
  <c r="X362" i="3" s="1"/>
  <c r="O362" i="3"/>
  <c r="M362" i="3"/>
  <c r="K362" i="3"/>
  <c r="J362" i="3"/>
  <c r="AB361" i="3"/>
  <c r="U361" i="3"/>
  <c r="X361" i="3" s="1"/>
  <c r="J361" i="3"/>
  <c r="O361" i="3" s="1"/>
  <c r="X360" i="3"/>
  <c r="O360" i="3"/>
  <c r="V360" i="3" s="1"/>
  <c r="X359" i="3"/>
  <c r="N359" i="3"/>
  <c r="M359" i="3"/>
  <c r="K359" i="3"/>
  <c r="J359" i="3"/>
  <c r="O359" i="3" s="1"/>
  <c r="V359" i="3" s="1"/>
  <c r="X358" i="3"/>
  <c r="K358" i="3"/>
  <c r="O358" i="3" s="1"/>
  <c r="V358" i="3" s="1"/>
  <c r="U357" i="3"/>
  <c r="X357" i="3" s="1"/>
  <c r="O357" i="3"/>
  <c r="U356" i="3"/>
  <c r="X356" i="3" s="1"/>
  <c r="M356" i="3"/>
  <c r="L356" i="3"/>
  <c r="K356" i="3"/>
  <c r="J356" i="3"/>
  <c r="O356" i="3" s="1"/>
  <c r="U355" i="3"/>
  <c r="X355" i="3" s="1"/>
  <c r="L355" i="3"/>
  <c r="K355" i="3"/>
  <c r="J355" i="3"/>
  <c r="O355" i="3" s="1"/>
  <c r="U354" i="3"/>
  <c r="X354" i="3" s="1"/>
  <c r="L354" i="3"/>
  <c r="K354" i="3"/>
  <c r="O354" i="3" s="1"/>
  <c r="J354" i="3"/>
  <c r="U353" i="3"/>
  <c r="X353" i="3" s="1"/>
  <c r="K353" i="3"/>
  <c r="O353" i="3" s="1"/>
  <c r="U352" i="3"/>
  <c r="X352" i="3" s="1"/>
  <c r="N352" i="3"/>
  <c r="M352" i="3"/>
  <c r="O352" i="3" s="1"/>
  <c r="L352" i="3"/>
  <c r="K352" i="3"/>
  <c r="J352" i="3"/>
  <c r="U351" i="3"/>
  <c r="X351" i="3" s="1"/>
  <c r="N351" i="3"/>
  <c r="M351" i="3"/>
  <c r="L351" i="3"/>
  <c r="O351" i="3" s="1"/>
  <c r="K351" i="3"/>
  <c r="J351" i="3"/>
  <c r="U350" i="3"/>
  <c r="X350" i="3" s="1"/>
  <c r="N350" i="3"/>
  <c r="M350" i="3"/>
  <c r="L350" i="3"/>
  <c r="K350" i="3"/>
  <c r="J350" i="3"/>
  <c r="O350" i="3" s="1"/>
  <c r="U349" i="3"/>
  <c r="X349" i="3" s="1"/>
  <c r="K349" i="3"/>
  <c r="J349" i="3"/>
  <c r="O349" i="3" s="1"/>
  <c r="U348" i="3"/>
  <c r="X348" i="3" s="1"/>
  <c r="O348" i="3"/>
  <c r="U347" i="3"/>
  <c r="X347" i="3" s="1"/>
  <c r="O347" i="3"/>
  <c r="U346" i="3"/>
  <c r="X346" i="3" s="1"/>
  <c r="L346" i="3"/>
  <c r="K346" i="3"/>
  <c r="J346" i="3"/>
  <c r="O346" i="3" s="1"/>
  <c r="U345" i="3"/>
  <c r="X345" i="3" s="1"/>
  <c r="O345" i="3"/>
  <c r="AA344" i="3"/>
  <c r="X344" i="3"/>
  <c r="J344" i="3"/>
  <c r="O344" i="3" s="1"/>
  <c r="V344" i="3" s="1"/>
  <c r="AA343" i="3"/>
  <c r="X343" i="3"/>
  <c r="O343" i="3"/>
  <c r="V343" i="3" s="1"/>
  <c r="AA342" i="3"/>
  <c r="X342" i="3"/>
  <c r="O342" i="3"/>
  <c r="V342" i="3" s="1"/>
  <c r="L342" i="3"/>
  <c r="J342" i="3"/>
  <c r="AA341" i="3"/>
  <c r="X341" i="3"/>
  <c r="N341" i="3"/>
  <c r="M341" i="3"/>
  <c r="L341" i="3"/>
  <c r="K341" i="3"/>
  <c r="J341" i="3"/>
  <c r="O341" i="3" s="1"/>
  <c r="V341" i="3" s="1"/>
  <c r="U340" i="3"/>
  <c r="O340" i="3"/>
  <c r="U339" i="3"/>
  <c r="X339" i="3" s="1"/>
  <c r="L339" i="3"/>
  <c r="O339" i="3" s="1"/>
  <c r="U338" i="3"/>
  <c r="X338" i="3" s="1"/>
  <c r="M338" i="3"/>
  <c r="O338" i="3" s="1"/>
  <c r="K338" i="3"/>
  <c r="J338" i="3"/>
  <c r="U337" i="3"/>
  <c r="X337" i="3" s="1"/>
  <c r="M337" i="3"/>
  <c r="K337" i="3"/>
  <c r="J337" i="3"/>
  <c r="O337" i="3" s="1"/>
  <c r="AB336" i="3"/>
  <c r="AA336" i="3"/>
  <c r="X336" i="3"/>
  <c r="J336" i="3"/>
  <c r="O336" i="3" s="1"/>
  <c r="V336" i="3" s="1"/>
  <c r="AB335" i="3"/>
  <c r="AA335" i="3"/>
  <c r="X335" i="3"/>
  <c r="O335" i="3"/>
  <c r="V335" i="3" s="1"/>
  <c r="AB334" i="3"/>
  <c r="AA334" i="3"/>
  <c r="X334" i="3"/>
  <c r="O334" i="3"/>
  <c r="V334" i="3" s="1"/>
  <c r="J334" i="3"/>
  <c r="AB333" i="3"/>
  <c r="AA333" i="3"/>
  <c r="X333" i="3"/>
  <c r="O333" i="3"/>
  <c r="V333" i="3" s="1"/>
  <c r="AB332" i="3"/>
  <c r="AA332" i="3"/>
  <c r="X332" i="3"/>
  <c r="O332" i="3"/>
  <c r="V332" i="3" s="1"/>
  <c r="J332" i="3"/>
  <c r="AB331" i="3"/>
  <c r="AA331" i="3"/>
  <c r="X331" i="3"/>
  <c r="J331" i="3"/>
  <c r="O331" i="3" s="1"/>
  <c r="V331" i="3" s="1"/>
  <c r="AB330" i="3"/>
  <c r="AA330" i="3"/>
  <c r="X330" i="3"/>
  <c r="O330" i="3"/>
  <c r="V330" i="3" s="1"/>
  <c r="AB329" i="3"/>
  <c r="AA329" i="3"/>
  <c r="X329" i="3"/>
  <c r="L329" i="3"/>
  <c r="O329" i="3" s="1"/>
  <c r="V329" i="3" s="1"/>
  <c r="AA328" i="3"/>
  <c r="U328" i="3"/>
  <c r="X328" i="3" s="1"/>
  <c r="K328" i="3"/>
  <c r="O328" i="3" s="1"/>
  <c r="AA327" i="3"/>
  <c r="U327" i="3"/>
  <c r="X327" i="3" s="1"/>
  <c r="O327" i="3"/>
  <c r="AA326" i="3"/>
  <c r="U326" i="3"/>
  <c r="X326" i="3" s="1"/>
  <c r="L326" i="3"/>
  <c r="K326" i="3"/>
  <c r="O326" i="3" s="1"/>
  <c r="J326" i="3"/>
  <c r="AA325" i="3"/>
  <c r="U325" i="3"/>
  <c r="X325" i="3" s="1"/>
  <c r="J325" i="3"/>
  <c r="O325" i="3" s="1"/>
  <c r="X324" i="3"/>
  <c r="O324" i="3"/>
  <c r="V324" i="3" s="1"/>
  <c r="X323" i="3"/>
  <c r="M323" i="3"/>
  <c r="K323" i="3"/>
  <c r="J323" i="3"/>
  <c r="O323" i="3" s="1"/>
  <c r="V323" i="3" s="1"/>
  <c r="X322" i="3"/>
  <c r="J322" i="3"/>
  <c r="O322" i="3" s="1"/>
  <c r="V322" i="3" s="1"/>
  <c r="X321" i="3"/>
  <c r="K321" i="3"/>
  <c r="O321" i="3" s="1"/>
  <c r="V321" i="3" s="1"/>
  <c r="J321" i="3"/>
  <c r="AB320" i="3"/>
  <c r="AA320" i="3"/>
  <c r="U320" i="3"/>
  <c r="X320" i="3" s="1"/>
  <c r="O320" i="3"/>
  <c r="AB319" i="3"/>
  <c r="AA319" i="3"/>
  <c r="U319" i="3"/>
  <c r="O319" i="3"/>
  <c r="AB318" i="3"/>
  <c r="AA318" i="3"/>
  <c r="U318" i="3"/>
  <c r="X318" i="3" s="1"/>
  <c r="O318" i="3"/>
  <c r="AB317" i="3"/>
  <c r="AA317" i="3"/>
  <c r="U317" i="3"/>
  <c r="X317" i="3" s="1"/>
  <c r="O317" i="3"/>
  <c r="AB316" i="3"/>
  <c r="AA316" i="3"/>
  <c r="U316" i="3"/>
  <c r="X316" i="3" s="1"/>
  <c r="O316" i="3"/>
  <c r="AB315" i="3"/>
  <c r="AA315" i="3"/>
  <c r="U315" i="3"/>
  <c r="X315" i="3" s="1"/>
  <c r="O315" i="3"/>
  <c r="AB314" i="3"/>
  <c r="AA314" i="3"/>
  <c r="U314" i="3"/>
  <c r="X314" i="3" s="1"/>
  <c r="O314" i="3"/>
  <c r="AB313" i="3"/>
  <c r="AA313" i="3"/>
  <c r="U313" i="3"/>
  <c r="X313" i="3" s="1"/>
  <c r="N313" i="3"/>
  <c r="M313" i="3"/>
  <c r="L313" i="3"/>
  <c r="K313" i="3"/>
  <c r="J313" i="3"/>
  <c r="O313" i="3" s="1"/>
  <c r="AB312" i="3"/>
  <c r="AA312" i="3"/>
  <c r="U312" i="3"/>
  <c r="X312" i="3" s="1"/>
  <c r="O312" i="3"/>
  <c r="U311" i="3"/>
  <c r="X311" i="3" s="1"/>
  <c r="O311" i="3"/>
  <c r="U310" i="3"/>
  <c r="X310" i="3" s="1"/>
  <c r="O310" i="3"/>
  <c r="U309" i="3"/>
  <c r="X309" i="3" s="1"/>
  <c r="O309" i="3"/>
  <c r="J309" i="3"/>
  <c r="U308" i="3"/>
  <c r="X308" i="3" s="1"/>
  <c r="J308" i="3"/>
  <c r="O308" i="3" s="1"/>
  <c r="U307" i="3"/>
  <c r="X307" i="3" s="1"/>
  <c r="O307" i="3"/>
  <c r="U306" i="3"/>
  <c r="O306" i="3"/>
  <c r="U305" i="3"/>
  <c r="X305" i="3" s="1"/>
  <c r="N305" i="3"/>
  <c r="M305" i="3"/>
  <c r="L305" i="3"/>
  <c r="K305" i="3"/>
  <c r="J305" i="3"/>
  <c r="O305" i="3" s="1"/>
  <c r="U304" i="3"/>
  <c r="X304" i="3" s="1"/>
  <c r="O304" i="3"/>
  <c r="N304" i="3"/>
  <c r="U303" i="3"/>
  <c r="X303" i="3" s="1"/>
  <c r="J303" i="3"/>
  <c r="O303" i="3" s="1"/>
  <c r="U302" i="3"/>
  <c r="X302" i="3" s="1"/>
  <c r="O302" i="3"/>
  <c r="J302" i="3"/>
  <c r="U301" i="3"/>
  <c r="X301" i="3" s="1"/>
  <c r="N301" i="3"/>
  <c r="J301" i="3"/>
  <c r="O301" i="3" s="1"/>
  <c r="U300" i="3"/>
  <c r="X300" i="3" s="1"/>
  <c r="O300" i="3"/>
  <c r="U299" i="3"/>
  <c r="X299" i="3" s="1"/>
  <c r="K299" i="3"/>
  <c r="J299" i="3"/>
  <c r="O299" i="3" s="1"/>
  <c r="U298" i="3"/>
  <c r="X298" i="3" s="1"/>
  <c r="L298" i="3"/>
  <c r="J298" i="3"/>
  <c r="O298" i="3" s="1"/>
  <c r="AA297" i="3"/>
  <c r="U297" i="3"/>
  <c r="X297" i="3" s="1"/>
  <c r="L297" i="3"/>
  <c r="K297" i="3"/>
  <c r="U296" i="3"/>
  <c r="X296" i="3" s="1"/>
  <c r="M296" i="3"/>
  <c r="O296" i="3" s="1"/>
  <c r="U295" i="3"/>
  <c r="X295" i="3" s="1"/>
  <c r="L295" i="3"/>
  <c r="K295" i="3"/>
  <c r="O295" i="3" s="1"/>
  <c r="AB294" i="3"/>
  <c r="AA294" i="3"/>
  <c r="U294" i="3"/>
  <c r="X294" i="3" s="1"/>
  <c r="O294" i="3"/>
  <c r="L294" i="3"/>
  <c r="AB293" i="3"/>
  <c r="AA293" i="3"/>
  <c r="U293" i="3"/>
  <c r="X293" i="3" s="1"/>
  <c r="J293" i="3"/>
  <c r="O293" i="3" s="1"/>
  <c r="AB292" i="3"/>
  <c r="AA292" i="3"/>
  <c r="U292" i="3"/>
  <c r="O292" i="3"/>
  <c r="AB291" i="3"/>
  <c r="AA291" i="3"/>
  <c r="U291" i="3"/>
  <c r="X291" i="3" s="1"/>
  <c r="O291" i="3"/>
  <c r="AB290" i="3"/>
  <c r="AA290" i="3"/>
  <c r="U290" i="3"/>
  <c r="X290" i="3" s="1"/>
  <c r="O290" i="3"/>
  <c r="AB289" i="3"/>
  <c r="AA289" i="3"/>
  <c r="U289" i="3"/>
  <c r="X289" i="3" s="1"/>
  <c r="O289" i="3"/>
  <c r="AB288" i="3"/>
  <c r="AA288" i="3"/>
  <c r="U288" i="3"/>
  <c r="X288" i="3" s="1"/>
  <c r="O288" i="3"/>
  <c r="AB287" i="3"/>
  <c r="AA287" i="3"/>
  <c r="U287" i="3"/>
  <c r="X287" i="3" s="1"/>
  <c r="L287" i="3"/>
  <c r="O287" i="3" s="1"/>
  <c r="AB286" i="3"/>
  <c r="AA286" i="3"/>
  <c r="U286" i="3"/>
  <c r="X286" i="3" s="1"/>
  <c r="M286" i="3"/>
  <c r="L286" i="3"/>
  <c r="K286" i="3"/>
  <c r="J286" i="3"/>
  <c r="O286" i="3" s="1"/>
  <c r="U285" i="3"/>
  <c r="X285" i="3" s="1"/>
  <c r="J285" i="3"/>
  <c r="O285" i="3" s="1"/>
  <c r="U284" i="3"/>
  <c r="X284" i="3" s="1"/>
  <c r="N284" i="3"/>
  <c r="M284" i="3"/>
  <c r="L284" i="3"/>
  <c r="K284" i="3"/>
  <c r="J284" i="3"/>
  <c r="O284" i="3" s="1"/>
  <c r="U283" i="3"/>
  <c r="X283" i="3" s="1"/>
  <c r="M283" i="3"/>
  <c r="K283" i="3"/>
  <c r="J283" i="3"/>
  <c r="O283" i="3" s="1"/>
  <c r="U282" i="3"/>
  <c r="X282" i="3" s="1"/>
  <c r="M282" i="3"/>
  <c r="O282" i="3" s="1"/>
  <c r="U281" i="3"/>
  <c r="X281" i="3" s="1"/>
  <c r="O281" i="3"/>
  <c r="U280" i="3"/>
  <c r="X280" i="3" s="1"/>
  <c r="O280" i="3"/>
  <c r="U279" i="3"/>
  <c r="O279" i="3"/>
  <c r="U278" i="3"/>
  <c r="X278" i="3" s="1"/>
  <c r="O278" i="3"/>
  <c r="U277" i="3"/>
  <c r="X277" i="3" s="1"/>
  <c r="O277" i="3"/>
  <c r="U276" i="3"/>
  <c r="X276" i="3" s="1"/>
  <c r="O276" i="3"/>
  <c r="U275" i="3"/>
  <c r="X275" i="3" s="1"/>
  <c r="O275" i="3"/>
  <c r="U274" i="3"/>
  <c r="X274" i="3" s="1"/>
  <c r="M274" i="3"/>
  <c r="L274" i="3"/>
  <c r="K274" i="3"/>
  <c r="J274" i="3"/>
  <c r="O274" i="3" s="1"/>
  <c r="U273" i="3"/>
  <c r="X273" i="3" s="1"/>
  <c r="N273" i="3"/>
  <c r="M273" i="3"/>
  <c r="L273" i="3"/>
  <c r="K273" i="3"/>
  <c r="J273" i="3"/>
  <c r="O273" i="3" s="1"/>
  <c r="U272" i="3"/>
  <c r="X272" i="3" s="1"/>
  <c r="M272" i="3"/>
  <c r="O272" i="3" s="1"/>
  <c r="U271" i="3"/>
  <c r="X271" i="3" s="1"/>
  <c r="O271" i="3"/>
  <c r="M271" i="3"/>
  <c r="U270" i="3"/>
  <c r="X270" i="3" s="1"/>
  <c r="N270" i="3"/>
  <c r="K270" i="3"/>
  <c r="J270" i="3"/>
  <c r="O270" i="3" s="1"/>
  <c r="U269" i="3"/>
  <c r="X269" i="3" s="1"/>
  <c r="N269" i="3"/>
  <c r="M269" i="3"/>
  <c r="K269" i="3"/>
  <c r="J269" i="3"/>
  <c r="U268" i="3"/>
  <c r="X268" i="3" s="1"/>
  <c r="J268" i="3"/>
  <c r="O268" i="3" s="1"/>
  <c r="U267" i="3"/>
  <c r="X267" i="3" s="1"/>
  <c r="M267" i="3"/>
  <c r="O267" i="3" s="1"/>
  <c r="U266" i="3"/>
  <c r="X266" i="3" s="1"/>
  <c r="O266" i="3"/>
  <c r="AB265" i="3"/>
  <c r="U265" i="3"/>
  <c r="X265" i="3" s="1"/>
  <c r="O265" i="3"/>
  <c r="AB264" i="3"/>
  <c r="U264" i="3"/>
  <c r="X264" i="3" s="1"/>
  <c r="O264" i="3"/>
  <c r="AB263" i="3"/>
  <c r="U263" i="3"/>
  <c r="X263" i="3" s="1"/>
  <c r="O263" i="3"/>
  <c r="AB262" i="3"/>
  <c r="U262" i="3"/>
  <c r="X262" i="3" s="1"/>
  <c r="O262" i="3"/>
  <c r="AB261" i="3"/>
  <c r="U261" i="3"/>
  <c r="X261" i="3" s="1"/>
  <c r="O261" i="3"/>
  <c r="AB260" i="3"/>
  <c r="U260" i="3"/>
  <c r="X260" i="3" s="1"/>
  <c r="O260" i="3"/>
  <c r="AB259" i="3"/>
  <c r="U259" i="3"/>
  <c r="X259" i="3" s="1"/>
  <c r="O259" i="3"/>
  <c r="AB258" i="3"/>
  <c r="U258" i="3"/>
  <c r="X258" i="3" s="1"/>
  <c r="O258" i="3"/>
  <c r="AB257" i="3"/>
  <c r="U257" i="3"/>
  <c r="X257" i="3" s="1"/>
  <c r="O257" i="3"/>
  <c r="AB256" i="3"/>
  <c r="U256" i="3"/>
  <c r="X256" i="3" s="1"/>
  <c r="O256" i="3"/>
  <c r="AB255" i="3"/>
  <c r="U255" i="3"/>
  <c r="X255" i="3" s="1"/>
  <c r="O255" i="3"/>
  <c r="AB254" i="3"/>
  <c r="U254" i="3"/>
  <c r="X254" i="3" s="1"/>
  <c r="O254" i="3"/>
  <c r="AB253" i="3"/>
  <c r="U253" i="3"/>
  <c r="X253" i="3" s="1"/>
  <c r="O253" i="3"/>
  <c r="AB252" i="3"/>
  <c r="U252" i="3"/>
  <c r="X252" i="3" s="1"/>
  <c r="O252" i="3"/>
  <c r="AB251" i="3"/>
  <c r="U251" i="3"/>
  <c r="X251" i="3" s="1"/>
  <c r="O251" i="3"/>
  <c r="AB250" i="3"/>
  <c r="U250" i="3"/>
  <c r="X250" i="3" s="1"/>
  <c r="O250" i="3"/>
  <c r="AB249" i="3"/>
  <c r="U249" i="3"/>
  <c r="X249" i="3" s="1"/>
  <c r="O249" i="3"/>
  <c r="AB248" i="3"/>
  <c r="U248" i="3"/>
  <c r="X248" i="3" s="1"/>
  <c r="O248" i="3"/>
  <c r="U247" i="3"/>
  <c r="X247" i="3" s="1"/>
  <c r="M247" i="3"/>
  <c r="J247" i="3"/>
  <c r="O247" i="3" s="1"/>
  <c r="U246" i="3"/>
  <c r="X246" i="3" s="1"/>
  <c r="O246" i="3"/>
  <c r="U245" i="3"/>
  <c r="X245" i="3" s="1"/>
  <c r="O245" i="3"/>
  <c r="U244" i="3"/>
  <c r="X244" i="3" s="1"/>
  <c r="O244" i="3"/>
  <c r="U243" i="3"/>
  <c r="X243" i="3" s="1"/>
  <c r="O243" i="3"/>
  <c r="U242" i="3"/>
  <c r="X242" i="3" s="1"/>
  <c r="O242" i="3"/>
  <c r="U241" i="3"/>
  <c r="X241" i="3" s="1"/>
  <c r="O241" i="3"/>
  <c r="K241" i="3"/>
  <c r="U240" i="3"/>
  <c r="X240" i="3" s="1"/>
  <c r="M240" i="3"/>
  <c r="L240" i="3"/>
  <c r="K240" i="3"/>
  <c r="J240" i="3"/>
  <c r="O240" i="3" s="1"/>
  <c r="U239" i="3"/>
  <c r="X239" i="3" s="1"/>
  <c r="M239" i="3"/>
  <c r="K239" i="3"/>
  <c r="O239" i="3" s="1"/>
  <c r="J239" i="3"/>
  <c r="U238" i="3"/>
  <c r="X238" i="3" s="1"/>
  <c r="M238" i="3"/>
  <c r="O238" i="3" s="1"/>
  <c r="U237" i="3"/>
  <c r="X237" i="3" s="1"/>
  <c r="O237" i="3"/>
  <c r="AA236" i="3"/>
  <c r="U236" i="3"/>
  <c r="X236" i="3" s="1"/>
  <c r="O236" i="3"/>
  <c r="AA235" i="3"/>
  <c r="U235" i="3"/>
  <c r="X235" i="3" s="1"/>
  <c r="O235" i="3"/>
  <c r="AA234" i="3"/>
  <c r="U234" i="3"/>
  <c r="X234" i="3" s="1"/>
  <c r="O234" i="3"/>
  <c r="AA233" i="3"/>
  <c r="U233" i="3"/>
  <c r="X233" i="3" s="1"/>
  <c r="O233" i="3"/>
  <c r="AA232" i="3"/>
  <c r="U232" i="3"/>
  <c r="X232" i="3" s="1"/>
  <c r="O232" i="3"/>
  <c r="AA231" i="3"/>
  <c r="U231" i="3"/>
  <c r="X231" i="3" s="1"/>
  <c r="O231" i="3"/>
  <c r="AA230" i="3"/>
  <c r="U230" i="3"/>
  <c r="X230" i="3" s="1"/>
  <c r="M230" i="3"/>
  <c r="J230" i="3"/>
  <c r="O230" i="3" s="1"/>
  <c r="U229" i="3"/>
  <c r="X229" i="3" s="1"/>
  <c r="O229" i="3"/>
  <c r="U228" i="3"/>
  <c r="X228" i="3" s="1"/>
  <c r="O228" i="3"/>
  <c r="M228" i="3"/>
  <c r="K228" i="3"/>
  <c r="J228" i="3"/>
  <c r="U227" i="3"/>
  <c r="X227" i="3" s="1"/>
  <c r="O227" i="3"/>
  <c r="U226" i="3"/>
  <c r="X226" i="3" s="1"/>
  <c r="O226" i="3"/>
  <c r="U225" i="3"/>
  <c r="X225" i="3" s="1"/>
  <c r="M225" i="3"/>
  <c r="L225" i="3"/>
  <c r="O225" i="3" s="1"/>
  <c r="K225" i="3"/>
  <c r="J225" i="3"/>
  <c r="U224" i="3"/>
  <c r="X224" i="3" s="1"/>
  <c r="O224" i="3"/>
  <c r="U223" i="3"/>
  <c r="X223" i="3" s="1"/>
  <c r="O223" i="3"/>
  <c r="U222" i="3"/>
  <c r="X222" i="3" s="1"/>
  <c r="O222" i="3"/>
  <c r="U221" i="3"/>
  <c r="X221" i="3" s="1"/>
  <c r="O221" i="3"/>
  <c r="U220" i="3"/>
  <c r="X220" i="3" s="1"/>
  <c r="L220" i="3"/>
  <c r="K220" i="3"/>
  <c r="O220" i="3" s="1"/>
  <c r="J220" i="3"/>
  <c r="AA219" i="3"/>
  <c r="U219" i="3"/>
  <c r="X219" i="3" s="1"/>
  <c r="O219" i="3"/>
  <c r="AA218" i="3"/>
  <c r="U218" i="3"/>
  <c r="X218" i="3" s="1"/>
  <c r="K218" i="3"/>
  <c r="O218" i="3" s="1"/>
  <c r="AA217" i="3"/>
  <c r="U217" i="3"/>
  <c r="X217" i="3" s="1"/>
  <c r="M217" i="3"/>
  <c r="K217" i="3"/>
  <c r="AA216" i="3"/>
  <c r="U216" i="3"/>
  <c r="X216" i="3" s="1"/>
  <c r="O216" i="3"/>
  <c r="AA215" i="3"/>
  <c r="U215" i="3"/>
  <c r="X215" i="3" s="1"/>
  <c r="M215" i="3"/>
  <c r="K215" i="3"/>
  <c r="J215" i="3"/>
  <c r="O215" i="3" s="1"/>
  <c r="U214" i="3"/>
  <c r="X214" i="3" s="1"/>
  <c r="O214" i="3"/>
  <c r="U213" i="3"/>
  <c r="X213" i="3" s="1"/>
  <c r="M213" i="3"/>
  <c r="L213" i="3"/>
  <c r="K213" i="3"/>
  <c r="O213" i="3" s="1"/>
  <c r="U212" i="3"/>
  <c r="X212" i="3" s="1"/>
  <c r="O212" i="3"/>
  <c r="U211" i="3"/>
  <c r="X211" i="3" s="1"/>
  <c r="O211" i="3"/>
  <c r="M211" i="3"/>
  <c r="AB210" i="3"/>
  <c r="U210" i="3"/>
  <c r="X210" i="3" s="1"/>
  <c r="M210" i="3"/>
  <c r="L210" i="3"/>
  <c r="K210" i="3"/>
  <c r="O210" i="3" s="1"/>
  <c r="J210" i="3"/>
  <c r="AB209" i="3"/>
  <c r="U209" i="3"/>
  <c r="X209" i="3" s="1"/>
  <c r="M209" i="3"/>
  <c r="L209" i="3"/>
  <c r="K209" i="3"/>
  <c r="J209" i="3"/>
  <c r="O209" i="3" s="1"/>
  <c r="AB208" i="3"/>
  <c r="U208" i="3"/>
  <c r="X208" i="3" s="1"/>
  <c r="O208" i="3"/>
  <c r="AB207" i="3"/>
  <c r="U207" i="3"/>
  <c r="X207" i="3" s="1"/>
  <c r="O207" i="3"/>
  <c r="AB206" i="3"/>
  <c r="U206" i="3"/>
  <c r="O206" i="3"/>
  <c r="AB205" i="3"/>
  <c r="U205" i="3"/>
  <c r="X205" i="3" s="1"/>
  <c r="O205" i="3"/>
  <c r="AB204" i="3"/>
  <c r="U204" i="3"/>
  <c r="X204" i="3" s="1"/>
  <c r="L204" i="3"/>
  <c r="O204" i="3" s="1"/>
  <c r="J204" i="3"/>
  <c r="AB203" i="3"/>
  <c r="U203" i="3"/>
  <c r="X203" i="3" s="1"/>
  <c r="O203" i="3"/>
  <c r="AB202" i="3"/>
  <c r="U202" i="3"/>
  <c r="X202" i="3" s="1"/>
  <c r="O202" i="3"/>
  <c r="AB201" i="3"/>
  <c r="U201" i="3"/>
  <c r="X201" i="3" s="1"/>
  <c r="M201" i="3"/>
  <c r="L201" i="3"/>
  <c r="K201" i="3"/>
  <c r="J201" i="3"/>
  <c r="O201" i="3" s="1"/>
  <c r="AB200" i="3"/>
  <c r="U200" i="3"/>
  <c r="X200" i="3" s="1"/>
  <c r="O200" i="3"/>
  <c r="AB199" i="3"/>
  <c r="U199" i="3"/>
  <c r="X199" i="3" s="1"/>
  <c r="O199" i="3"/>
  <c r="AB198" i="3"/>
  <c r="U198" i="3"/>
  <c r="X198" i="3" s="1"/>
  <c r="O198" i="3"/>
  <c r="AB197" i="3"/>
  <c r="U197" i="3"/>
  <c r="X197" i="3" s="1"/>
  <c r="O197" i="3"/>
  <c r="AB196" i="3"/>
  <c r="U196" i="3"/>
  <c r="X196" i="3" s="1"/>
  <c r="L196" i="3"/>
  <c r="O196" i="3" s="1"/>
  <c r="AB195" i="3"/>
  <c r="U195" i="3"/>
  <c r="X195" i="3" s="1"/>
  <c r="O195" i="3"/>
  <c r="U194" i="3"/>
  <c r="X194" i="3" s="1"/>
  <c r="K194" i="3"/>
  <c r="J194" i="3"/>
  <c r="O194" i="3" s="1"/>
  <c r="U193" i="3"/>
  <c r="X193" i="3" s="1"/>
  <c r="M193" i="3"/>
  <c r="L193" i="3"/>
  <c r="O193" i="3" s="1"/>
  <c r="U192" i="3"/>
  <c r="X192" i="3" s="1"/>
  <c r="N192" i="3"/>
  <c r="M192" i="3"/>
  <c r="L192" i="3"/>
  <c r="K192" i="3"/>
  <c r="J192" i="3"/>
  <c r="O192" i="3" s="1"/>
  <c r="U191" i="3"/>
  <c r="X191" i="3" s="1"/>
  <c r="O191" i="3"/>
  <c r="U190" i="3"/>
  <c r="X190" i="3" s="1"/>
  <c r="O190" i="3"/>
  <c r="K190" i="3"/>
  <c r="U189" i="3"/>
  <c r="X189" i="3" s="1"/>
  <c r="M189" i="3"/>
  <c r="J189" i="3"/>
  <c r="O189" i="3" s="1"/>
  <c r="U188" i="3"/>
  <c r="X188" i="3" s="1"/>
  <c r="M188" i="3"/>
  <c r="O188" i="3" s="1"/>
  <c r="U187" i="3"/>
  <c r="X187" i="3" s="1"/>
  <c r="O187" i="3"/>
  <c r="M187" i="3"/>
  <c r="U186" i="3"/>
  <c r="X186" i="3" s="1"/>
  <c r="J186" i="3"/>
  <c r="O186" i="3" s="1"/>
  <c r="U185" i="3"/>
  <c r="X185" i="3" s="1"/>
  <c r="N185" i="3"/>
  <c r="M185" i="3"/>
  <c r="L185" i="3"/>
  <c r="O185" i="3" s="1"/>
  <c r="U184" i="3"/>
  <c r="X184" i="3" s="1"/>
  <c r="O184" i="3"/>
  <c r="M184" i="3"/>
  <c r="K184" i="3"/>
  <c r="J184" i="3"/>
  <c r="U183" i="3"/>
  <c r="X183" i="3" s="1"/>
  <c r="K183" i="3"/>
  <c r="J183" i="3"/>
  <c r="O183" i="3" s="1"/>
  <c r="AA182" i="3"/>
  <c r="U182" i="3"/>
  <c r="X182" i="3" s="1"/>
  <c r="O182" i="3"/>
  <c r="AA181" i="3"/>
  <c r="U181" i="3"/>
  <c r="X181" i="3" s="1"/>
  <c r="O181" i="3"/>
  <c r="AA180" i="3"/>
  <c r="U180" i="3"/>
  <c r="X180" i="3" s="1"/>
  <c r="O180" i="3"/>
  <c r="AA179" i="3"/>
  <c r="U179" i="3"/>
  <c r="X179" i="3" s="1"/>
  <c r="O179" i="3"/>
  <c r="AA178" i="3"/>
  <c r="U178" i="3"/>
  <c r="X178" i="3" s="1"/>
  <c r="O178" i="3"/>
  <c r="U177" i="3"/>
  <c r="X177" i="3" s="1"/>
  <c r="N177" i="3"/>
  <c r="M177" i="3"/>
  <c r="L177" i="3"/>
  <c r="K177" i="3"/>
  <c r="J177" i="3"/>
  <c r="U176" i="3"/>
  <c r="X176" i="3" s="1"/>
  <c r="O176" i="3"/>
  <c r="U175" i="3"/>
  <c r="X175" i="3" s="1"/>
  <c r="N175" i="3"/>
  <c r="M175" i="3"/>
  <c r="L175" i="3"/>
  <c r="K175" i="3"/>
  <c r="J175" i="3"/>
  <c r="O175" i="3" s="1"/>
  <c r="U174" i="3"/>
  <c r="X174" i="3" s="1"/>
  <c r="O174" i="3"/>
  <c r="U173" i="3"/>
  <c r="X173" i="3" s="1"/>
  <c r="M173" i="3"/>
  <c r="O173" i="3" s="1"/>
  <c r="AA172" i="3"/>
  <c r="U172" i="3"/>
  <c r="X172" i="3" s="1"/>
  <c r="O172" i="3"/>
  <c r="AA171" i="3"/>
  <c r="U171" i="3"/>
  <c r="X171" i="3" s="1"/>
  <c r="O171" i="3"/>
  <c r="AA170" i="3"/>
  <c r="U170" i="3"/>
  <c r="X170" i="3" s="1"/>
  <c r="O170" i="3"/>
  <c r="AA169" i="3"/>
  <c r="U169" i="3"/>
  <c r="X169" i="3" s="1"/>
  <c r="O169" i="3"/>
  <c r="AA168" i="3"/>
  <c r="U168" i="3"/>
  <c r="X168" i="3" s="1"/>
  <c r="N168" i="3"/>
  <c r="M168" i="3"/>
  <c r="L168" i="3"/>
  <c r="K168" i="3"/>
  <c r="J168" i="3"/>
  <c r="U167" i="3"/>
  <c r="X167" i="3" s="1"/>
  <c r="O167" i="3"/>
  <c r="U166" i="3"/>
  <c r="X166" i="3" s="1"/>
  <c r="O166" i="3"/>
  <c r="U165" i="3"/>
  <c r="X165" i="3" s="1"/>
  <c r="J165" i="3"/>
  <c r="O165" i="3" s="1"/>
  <c r="U164" i="3"/>
  <c r="X164" i="3" s="1"/>
  <c r="J164" i="3"/>
  <c r="O164" i="3" s="1"/>
  <c r="U163" i="3"/>
  <c r="X163" i="3" s="1"/>
  <c r="K163" i="3"/>
  <c r="O163" i="3" s="1"/>
  <c r="U162" i="3"/>
  <c r="X162" i="3" s="1"/>
  <c r="O162" i="3"/>
  <c r="U161" i="3"/>
  <c r="X161" i="3" s="1"/>
  <c r="O161" i="3"/>
  <c r="M161" i="3"/>
  <c r="L161" i="3"/>
  <c r="K161" i="3"/>
  <c r="J161" i="3"/>
  <c r="U160" i="3"/>
  <c r="X160" i="3" s="1"/>
  <c r="O160" i="3"/>
  <c r="U159" i="3"/>
  <c r="X159" i="3" s="1"/>
  <c r="O159" i="3"/>
  <c r="U158" i="3"/>
  <c r="X158" i="3" s="1"/>
  <c r="O158" i="3"/>
  <c r="M158" i="3"/>
  <c r="L158" i="3"/>
  <c r="K158" i="3"/>
  <c r="J158" i="3"/>
  <c r="AA157" i="3"/>
  <c r="U157" i="3"/>
  <c r="X157" i="3" s="1"/>
  <c r="J157" i="3"/>
  <c r="O157" i="3" s="1"/>
  <c r="AA156" i="3"/>
  <c r="U156" i="3"/>
  <c r="X156" i="3" s="1"/>
  <c r="N156" i="3"/>
  <c r="M156" i="3"/>
  <c r="L156" i="3"/>
  <c r="K156" i="3"/>
  <c r="J156" i="3"/>
  <c r="O156" i="3" s="1"/>
  <c r="U155" i="3"/>
  <c r="X155" i="3" s="1"/>
  <c r="M155" i="3"/>
  <c r="O155" i="3" s="1"/>
  <c r="L155" i="3"/>
  <c r="J155" i="3"/>
  <c r="U154" i="3"/>
  <c r="X154" i="3" s="1"/>
  <c r="M154" i="3"/>
  <c r="L154" i="3"/>
  <c r="K154" i="3"/>
  <c r="J154" i="3"/>
  <c r="O154" i="3" s="1"/>
  <c r="U153" i="3"/>
  <c r="X153" i="3" s="1"/>
  <c r="K153" i="3"/>
  <c r="J153" i="3"/>
  <c r="O153" i="3" s="1"/>
  <c r="U152" i="3"/>
  <c r="X152" i="3" s="1"/>
  <c r="L152" i="3"/>
  <c r="O152" i="3" s="1"/>
  <c r="U151" i="3"/>
  <c r="X151" i="3" s="1"/>
  <c r="O151" i="3"/>
  <c r="U150" i="3"/>
  <c r="X150" i="3" s="1"/>
  <c r="J150" i="3"/>
  <c r="O150" i="3" s="1"/>
  <c r="AA149" i="3"/>
  <c r="X149" i="3"/>
  <c r="O149" i="3"/>
  <c r="V149" i="3" s="1"/>
  <c r="AA148" i="3"/>
  <c r="X148" i="3"/>
  <c r="O148" i="3"/>
  <c r="V148" i="3" s="1"/>
  <c r="AA147" i="3"/>
  <c r="X147" i="3"/>
  <c r="O147" i="3"/>
  <c r="V147" i="3" s="1"/>
  <c r="AA146" i="3"/>
  <c r="X146" i="3"/>
  <c r="O146" i="3"/>
  <c r="V146" i="3" s="1"/>
  <c r="AA145" i="3"/>
  <c r="X145" i="3"/>
  <c r="O145" i="3"/>
  <c r="V145" i="3" s="1"/>
  <c r="AA144" i="3"/>
  <c r="X144" i="3"/>
  <c r="O144" i="3"/>
  <c r="V144" i="3" s="1"/>
  <c r="AA143" i="3"/>
  <c r="X143" i="3"/>
  <c r="O143" i="3"/>
  <c r="V143" i="3" s="1"/>
  <c r="AA142" i="3"/>
  <c r="X142" i="3"/>
  <c r="O142" i="3"/>
  <c r="V142" i="3" s="1"/>
  <c r="AA141" i="3"/>
  <c r="X141" i="3"/>
  <c r="N141" i="3"/>
  <c r="O141" i="3" s="1"/>
  <c r="V141" i="3" s="1"/>
  <c r="K141" i="3"/>
  <c r="AA140" i="3"/>
  <c r="U140" i="3"/>
  <c r="O140" i="3"/>
  <c r="K140" i="3"/>
  <c r="AA139" i="3"/>
  <c r="U139" i="3"/>
  <c r="X139" i="3" s="1"/>
  <c r="O139" i="3"/>
  <c r="AA138" i="3"/>
  <c r="U138" i="3"/>
  <c r="X138" i="3" s="1"/>
  <c r="O138" i="3"/>
  <c r="AA137" i="3"/>
  <c r="U137" i="3"/>
  <c r="X137" i="3" s="1"/>
  <c r="O137" i="3"/>
  <c r="AA136" i="3"/>
  <c r="U136" i="3"/>
  <c r="X136" i="3" s="1"/>
  <c r="O136" i="3"/>
  <c r="AA135" i="3"/>
  <c r="U135" i="3"/>
  <c r="O135" i="3"/>
  <c r="AA134" i="3"/>
  <c r="U134" i="3"/>
  <c r="X134" i="3" s="1"/>
  <c r="O134" i="3"/>
  <c r="U133" i="3"/>
  <c r="X133" i="3" s="1"/>
  <c r="O133" i="3"/>
  <c r="U132" i="3"/>
  <c r="X132" i="3" s="1"/>
  <c r="M132" i="3"/>
  <c r="L132" i="3"/>
  <c r="K132" i="3"/>
  <c r="J132" i="3"/>
  <c r="AA131" i="3"/>
  <c r="U131" i="3"/>
  <c r="X131" i="3" s="1"/>
  <c r="O131" i="3"/>
  <c r="M131" i="3"/>
  <c r="L131" i="3"/>
  <c r="K131" i="3"/>
  <c r="J131" i="3"/>
  <c r="AA130" i="3"/>
  <c r="U130" i="3"/>
  <c r="X130" i="3" s="1"/>
  <c r="O130" i="3"/>
  <c r="AA129" i="3"/>
  <c r="U129" i="3"/>
  <c r="X129" i="3" s="1"/>
  <c r="O129" i="3"/>
  <c r="AA128" i="3"/>
  <c r="U128" i="3"/>
  <c r="X128" i="3" s="1"/>
  <c r="O128" i="3"/>
  <c r="AA127" i="3"/>
  <c r="U127" i="3"/>
  <c r="X127" i="3" s="1"/>
  <c r="O127" i="3"/>
  <c r="AA126" i="3"/>
  <c r="U126" i="3"/>
  <c r="X126" i="3" s="1"/>
  <c r="O126" i="3"/>
  <c r="AA125" i="3"/>
  <c r="U125" i="3"/>
  <c r="X125" i="3" s="1"/>
  <c r="O125" i="3"/>
  <c r="AA124" i="3"/>
  <c r="U124" i="3"/>
  <c r="X124" i="3" s="1"/>
  <c r="O124" i="3"/>
  <c r="AA123" i="3"/>
  <c r="U123" i="3"/>
  <c r="X123" i="3" s="1"/>
  <c r="O123" i="3"/>
  <c r="AA122" i="3"/>
  <c r="U122" i="3"/>
  <c r="X122" i="3" s="1"/>
  <c r="O122" i="3"/>
  <c r="AA121" i="3"/>
  <c r="U121" i="3"/>
  <c r="X121" i="3" s="1"/>
  <c r="M121" i="3"/>
  <c r="L121" i="3"/>
  <c r="K121" i="3"/>
  <c r="J121" i="3"/>
  <c r="U120" i="3"/>
  <c r="X120" i="3" s="1"/>
  <c r="O120" i="3"/>
  <c r="U119" i="3"/>
  <c r="X119" i="3" s="1"/>
  <c r="O119" i="3"/>
  <c r="AA118" i="3"/>
  <c r="U118" i="3"/>
  <c r="X118" i="3" s="1"/>
  <c r="O118" i="3"/>
  <c r="AA117" i="3"/>
  <c r="U117" i="3"/>
  <c r="X117" i="3" s="1"/>
  <c r="O117" i="3"/>
  <c r="AA116" i="3"/>
  <c r="U116" i="3"/>
  <c r="X116" i="3" s="1"/>
  <c r="M116" i="3"/>
  <c r="J116" i="3"/>
  <c r="AA115" i="3"/>
  <c r="U115" i="3"/>
  <c r="X115" i="3" s="1"/>
  <c r="M115" i="3"/>
  <c r="K115" i="3"/>
  <c r="J115" i="3"/>
  <c r="O115" i="3" s="1"/>
  <c r="AA114" i="3"/>
  <c r="U114" i="3"/>
  <c r="X114" i="3" s="1"/>
  <c r="O114" i="3"/>
  <c r="M114" i="3"/>
  <c r="L114" i="3"/>
  <c r="K114" i="3"/>
  <c r="J114" i="3"/>
  <c r="AA113" i="3"/>
  <c r="U113" i="3"/>
  <c r="X113" i="3" s="1"/>
  <c r="M113" i="3"/>
  <c r="O113" i="3" s="1"/>
  <c r="U112" i="3"/>
  <c r="X112" i="3" s="1"/>
  <c r="N112" i="3"/>
  <c r="M112" i="3"/>
  <c r="L112" i="3"/>
  <c r="O112" i="3" s="1"/>
  <c r="U111" i="3"/>
  <c r="X111" i="3" s="1"/>
  <c r="O111" i="3"/>
  <c r="U110" i="3"/>
  <c r="X110" i="3" s="1"/>
  <c r="O110" i="3"/>
  <c r="U109" i="3"/>
  <c r="X109" i="3" s="1"/>
  <c r="N109" i="3"/>
  <c r="O109" i="3" s="1"/>
  <c r="M109" i="3"/>
  <c r="L109" i="3"/>
  <c r="K109" i="3"/>
  <c r="J109" i="3"/>
  <c r="U108" i="3"/>
  <c r="X108" i="3" s="1"/>
  <c r="N108" i="3"/>
  <c r="M108" i="3"/>
  <c r="L108" i="3"/>
  <c r="K108" i="3"/>
  <c r="J108" i="3"/>
  <c r="U107" i="3"/>
  <c r="X107" i="3" s="1"/>
  <c r="O107" i="3"/>
  <c r="U106" i="3"/>
  <c r="X106" i="3" s="1"/>
  <c r="O106" i="3"/>
  <c r="U105" i="3"/>
  <c r="X105" i="3" s="1"/>
  <c r="N105" i="3"/>
  <c r="M105" i="3"/>
  <c r="L105" i="3"/>
  <c r="K105" i="3"/>
  <c r="J105" i="3"/>
  <c r="U104" i="3"/>
  <c r="X104" i="3" s="1"/>
  <c r="N104" i="3"/>
  <c r="M104" i="3"/>
  <c r="L104" i="3"/>
  <c r="K104" i="3"/>
  <c r="J104" i="3"/>
  <c r="O104" i="3" s="1"/>
  <c r="U103" i="3"/>
  <c r="O103" i="3"/>
  <c r="U102" i="3"/>
  <c r="X102" i="3" s="1"/>
  <c r="O102" i="3"/>
  <c r="U101" i="3"/>
  <c r="X101" i="3" s="1"/>
  <c r="M101" i="3"/>
  <c r="J101" i="3"/>
  <c r="O101" i="3" s="1"/>
  <c r="U100" i="3"/>
  <c r="X100" i="3" s="1"/>
  <c r="O100" i="3"/>
  <c r="U99" i="3"/>
  <c r="X99" i="3" s="1"/>
  <c r="O99" i="3"/>
  <c r="X98" i="3"/>
  <c r="K98" i="3"/>
  <c r="O98" i="3" s="1"/>
  <c r="V98" i="3" s="1"/>
  <c r="X97" i="3"/>
  <c r="O97" i="3"/>
  <c r="V97" i="3" s="1"/>
  <c r="J97" i="3"/>
  <c r="X96" i="3"/>
  <c r="M96" i="3"/>
  <c r="J96" i="3"/>
  <c r="O96" i="3" s="1"/>
  <c r="V96" i="3" s="1"/>
  <c r="X95" i="3"/>
  <c r="K95" i="3"/>
  <c r="O95" i="3" s="1"/>
  <c r="V95" i="3" s="1"/>
  <c r="X94" i="3"/>
  <c r="O94" i="3"/>
  <c r="V94" i="3" s="1"/>
  <c r="U93" i="3"/>
  <c r="X93" i="3" s="1"/>
  <c r="O93" i="3"/>
  <c r="L93" i="3"/>
  <c r="U92" i="3"/>
  <c r="X92" i="3" s="1"/>
  <c r="O92" i="3"/>
  <c r="M92" i="3"/>
  <c r="U91" i="3"/>
  <c r="X91" i="3" s="1"/>
  <c r="L91" i="3"/>
  <c r="O91" i="3" s="1"/>
  <c r="U90" i="3"/>
  <c r="X90" i="3" s="1"/>
  <c r="O90" i="3"/>
  <c r="U89" i="3"/>
  <c r="X89" i="3" s="1"/>
  <c r="O89" i="3"/>
  <c r="J89" i="3"/>
  <c r="AA88" i="3"/>
  <c r="U88" i="3"/>
  <c r="X88" i="3" s="1"/>
  <c r="M88" i="3"/>
  <c r="K88" i="3"/>
  <c r="O88" i="3" s="1"/>
  <c r="J88" i="3"/>
  <c r="AA87" i="3"/>
  <c r="U87" i="3"/>
  <c r="X87" i="3" s="1"/>
  <c r="N87" i="3"/>
  <c r="M87" i="3"/>
  <c r="L87" i="3"/>
  <c r="K87" i="3"/>
  <c r="J87" i="3"/>
  <c r="O87" i="3" s="1"/>
  <c r="AA86" i="3"/>
  <c r="U86" i="3"/>
  <c r="X86" i="3" s="1"/>
  <c r="N86" i="3"/>
  <c r="M86" i="3"/>
  <c r="K86" i="3"/>
  <c r="O86" i="3" s="1"/>
  <c r="AA85" i="3"/>
  <c r="U85" i="3"/>
  <c r="X85" i="3" s="1"/>
  <c r="N85" i="3"/>
  <c r="O85" i="3" s="1"/>
  <c r="M85" i="3"/>
  <c r="L85" i="3"/>
  <c r="K85" i="3"/>
  <c r="J85" i="3"/>
  <c r="AA84" i="3"/>
  <c r="U84" i="3"/>
  <c r="X84" i="3" s="1"/>
  <c r="O84" i="3"/>
  <c r="X83" i="3"/>
  <c r="J83" i="3"/>
  <c r="O83" i="3" s="1"/>
  <c r="V83" i="3" s="1"/>
  <c r="U82" i="3"/>
  <c r="X82" i="3" s="1"/>
  <c r="M82" i="3"/>
  <c r="J82" i="3"/>
  <c r="U81" i="3"/>
  <c r="X81" i="3" s="1"/>
  <c r="J81" i="3"/>
  <c r="O81" i="3" s="1"/>
  <c r="U80" i="3"/>
  <c r="X80" i="3" s="1"/>
  <c r="K80" i="3"/>
  <c r="J80" i="3"/>
  <c r="O80" i="3" s="1"/>
  <c r="U79" i="3"/>
  <c r="X79" i="3" s="1"/>
  <c r="O79" i="3"/>
  <c r="M79" i="3"/>
  <c r="L79" i="3"/>
  <c r="K79" i="3"/>
  <c r="J79" i="3"/>
  <c r="U78" i="3"/>
  <c r="X78" i="3" s="1"/>
  <c r="M78" i="3"/>
  <c r="L78" i="3"/>
  <c r="K78" i="3"/>
  <c r="J78" i="3"/>
  <c r="AA77" i="3"/>
  <c r="U77" i="3"/>
  <c r="X77" i="3" s="1"/>
  <c r="O77" i="3"/>
  <c r="AA76" i="3"/>
  <c r="U76" i="3"/>
  <c r="X76" i="3" s="1"/>
  <c r="M76" i="3"/>
  <c r="K76" i="3"/>
  <c r="J76" i="3"/>
  <c r="O76" i="3" s="1"/>
  <c r="AA75" i="3"/>
  <c r="U75" i="3"/>
  <c r="X75" i="3" s="1"/>
  <c r="J75" i="3"/>
  <c r="O75" i="3" s="1"/>
  <c r="AA74" i="3"/>
  <c r="U74" i="3"/>
  <c r="X74" i="3" s="1"/>
  <c r="O74" i="3"/>
  <c r="AA73" i="3"/>
  <c r="U73" i="3"/>
  <c r="X73" i="3" s="1"/>
  <c r="O73" i="3"/>
  <c r="AA72" i="3"/>
  <c r="U72" i="3"/>
  <c r="X72" i="3" s="1"/>
  <c r="O72" i="3"/>
  <c r="AA71" i="3"/>
  <c r="U71" i="3"/>
  <c r="X71" i="3" s="1"/>
  <c r="O71" i="3"/>
  <c r="AA70" i="3"/>
  <c r="U70" i="3"/>
  <c r="X70" i="3" s="1"/>
  <c r="O70" i="3"/>
  <c r="AA69" i="3"/>
  <c r="U69" i="3"/>
  <c r="X69" i="3" s="1"/>
  <c r="O69" i="3"/>
  <c r="AA68" i="3"/>
  <c r="U68" i="3"/>
  <c r="X68" i="3" s="1"/>
  <c r="N68" i="3"/>
  <c r="M68" i="3"/>
  <c r="L68" i="3"/>
  <c r="K68" i="3"/>
  <c r="J68" i="3"/>
  <c r="AA67" i="3"/>
  <c r="U67" i="3"/>
  <c r="X67" i="3" s="1"/>
  <c r="L67" i="3"/>
  <c r="K67" i="3"/>
  <c r="J67" i="3"/>
  <c r="O67" i="3" s="1"/>
  <c r="AA66" i="3"/>
  <c r="U66" i="3"/>
  <c r="X66" i="3" s="1"/>
  <c r="O66" i="3"/>
  <c r="K66" i="3"/>
  <c r="J66" i="3"/>
  <c r="AA65" i="3"/>
  <c r="U65" i="3"/>
  <c r="X65" i="3" s="1"/>
  <c r="L65" i="3"/>
  <c r="K65" i="3"/>
  <c r="J65" i="3"/>
  <c r="AA64" i="3"/>
  <c r="U64" i="3"/>
  <c r="X64" i="3" s="1"/>
  <c r="O64" i="3"/>
  <c r="L64" i="3"/>
  <c r="J64" i="3"/>
  <c r="AA63" i="3"/>
  <c r="U63" i="3"/>
  <c r="X63" i="3" s="1"/>
  <c r="O63" i="3"/>
  <c r="AA62" i="3"/>
  <c r="U62" i="3"/>
  <c r="X62" i="3" s="1"/>
  <c r="O62" i="3"/>
  <c r="M62" i="3"/>
  <c r="L62" i="3"/>
  <c r="J62" i="3"/>
  <c r="AA61" i="3"/>
  <c r="U61" i="3"/>
  <c r="X61" i="3" s="1"/>
  <c r="L61" i="3"/>
  <c r="O61" i="3" s="1"/>
  <c r="AA60" i="3"/>
  <c r="U60" i="3"/>
  <c r="X60" i="3" s="1"/>
  <c r="M60" i="3"/>
  <c r="L60" i="3"/>
  <c r="K60" i="3"/>
  <c r="J60" i="3"/>
  <c r="O60" i="3" s="1"/>
  <c r="AA59" i="3"/>
  <c r="U59" i="3"/>
  <c r="X59" i="3" s="1"/>
  <c r="O59" i="3"/>
  <c r="AA58" i="3"/>
  <c r="U58" i="3"/>
  <c r="X58" i="3" s="1"/>
  <c r="L58" i="3"/>
  <c r="O58" i="3" s="1"/>
  <c r="AA57" i="3"/>
  <c r="U57" i="3"/>
  <c r="X57" i="3" s="1"/>
  <c r="O57" i="3"/>
  <c r="AA56" i="3"/>
  <c r="U56" i="3"/>
  <c r="X56" i="3" s="1"/>
  <c r="L56" i="3"/>
  <c r="O56" i="3" s="1"/>
  <c r="AA55" i="3"/>
  <c r="U55" i="3"/>
  <c r="X55" i="3" s="1"/>
  <c r="O55" i="3"/>
  <c r="AA54" i="3"/>
  <c r="U54" i="3"/>
  <c r="X54" i="3" s="1"/>
  <c r="O54" i="3"/>
  <c r="AA53" i="3"/>
  <c r="U53" i="3"/>
  <c r="X53" i="3" s="1"/>
  <c r="O53" i="3"/>
  <c r="L53" i="3"/>
  <c r="K53" i="3"/>
  <c r="J53" i="3"/>
  <c r="AA52" i="3"/>
  <c r="U52" i="3"/>
  <c r="X52" i="3" s="1"/>
  <c r="L52" i="3"/>
  <c r="K52" i="3"/>
  <c r="J52" i="3"/>
  <c r="O52" i="3" s="1"/>
  <c r="U51" i="3"/>
  <c r="X51" i="3" s="1"/>
  <c r="O51" i="3"/>
  <c r="U50" i="3"/>
  <c r="X50" i="3" s="1"/>
  <c r="O50" i="3"/>
  <c r="U49" i="3"/>
  <c r="X49" i="3" s="1"/>
  <c r="O49" i="3"/>
  <c r="U48" i="3"/>
  <c r="X48" i="3" s="1"/>
  <c r="O48" i="3"/>
  <c r="U47" i="3"/>
  <c r="X47" i="3" s="1"/>
  <c r="O47" i="3"/>
  <c r="U46" i="3"/>
  <c r="X46" i="3" s="1"/>
  <c r="M46" i="3"/>
  <c r="O46" i="3" s="1"/>
  <c r="U45" i="3"/>
  <c r="X45" i="3" s="1"/>
  <c r="O45" i="3"/>
  <c r="M45" i="3"/>
  <c r="K45" i="3"/>
  <c r="J45" i="3"/>
  <c r="U44" i="3"/>
  <c r="X44" i="3" s="1"/>
  <c r="O44" i="3"/>
  <c r="U43" i="3"/>
  <c r="X43" i="3" s="1"/>
  <c r="J43" i="3"/>
  <c r="O43" i="3" s="1"/>
  <c r="U42" i="3"/>
  <c r="X42" i="3" s="1"/>
  <c r="M42" i="3"/>
  <c r="L42" i="3"/>
  <c r="K42" i="3"/>
  <c r="J42" i="3"/>
  <c r="U41" i="3"/>
  <c r="X41" i="3" s="1"/>
  <c r="O41" i="3"/>
  <c r="AA40" i="3"/>
  <c r="U40" i="3"/>
  <c r="X40" i="3" s="1"/>
  <c r="O40" i="3"/>
  <c r="AA39" i="3"/>
  <c r="U39" i="3"/>
  <c r="X39" i="3" s="1"/>
  <c r="O39" i="3"/>
  <c r="AA38" i="3"/>
  <c r="U38" i="3"/>
  <c r="X38" i="3" s="1"/>
  <c r="L38" i="3"/>
  <c r="K38" i="3"/>
  <c r="O38" i="3" s="1"/>
  <c r="AA37" i="3"/>
  <c r="U37" i="3"/>
  <c r="X37" i="3" s="1"/>
  <c r="O37" i="3"/>
  <c r="AA36" i="3"/>
  <c r="U36" i="3"/>
  <c r="X36" i="3" s="1"/>
  <c r="O36" i="3"/>
  <c r="AA35" i="3"/>
  <c r="U35" i="3"/>
  <c r="X35" i="3" s="1"/>
  <c r="O35" i="3"/>
  <c r="AA34" i="3"/>
  <c r="U34" i="3"/>
  <c r="X34" i="3" s="1"/>
  <c r="O34" i="3"/>
  <c r="K34" i="3"/>
  <c r="AA33" i="3"/>
  <c r="U33" i="3"/>
  <c r="X33" i="3" s="1"/>
  <c r="O33" i="3"/>
  <c r="AA32" i="3"/>
  <c r="U32" i="3"/>
  <c r="X32" i="3" s="1"/>
  <c r="O32" i="3"/>
  <c r="U31" i="3"/>
  <c r="X31" i="3" s="1"/>
  <c r="O31" i="3"/>
  <c r="U30" i="3"/>
  <c r="X30" i="3" s="1"/>
  <c r="O30" i="3"/>
  <c r="U29" i="3"/>
  <c r="X29" i="3" s="1"/>
  <c r="O29" i="3"/>
  <c r="U28" i="3"/>
  <c r="X28" i="3" s="1"/>
  <c r="M28" i="3"/>
  <c r="O28" i="3" s="1"/>
  <c r="U27" i="3"/>
  <c r="X27" i="3" s="1"/>
  <c r="O27" i="3"/>
  <c r="U26" i="3"/>
  <c r="X26" i="3" s="1"/>
  <c r="O26" i="3"/>
  <c r="U25" i="3"/>
  <c r="X25" i="3" s="1"/>
  <c r="M25" i="3"/>
  <c r="L25" i="3"/>
  <c r="K25" i="3"/>
  <c r="J25" i="3"/>
  <c r="U24" i="3"/>
  <c r="X24" i="3" s="1"/>
  <c r="O24" i="3"/>
  <c r="M24" i="3"/>
  <c r="J24" i="3"/>
  <c r="U23" i="3"/>
  <c r="X23" i="3" s="1"/>
  <c r="O23" i="3"/>
  <c r="M23" i="3"/>
  <c r="L23" i="3"/>
  <c r="K23" i="3"/>
  <c r="J23" i="3"/>
  <c r="U22" i="3"/>
  <c r="X22" i="3" s="1"/>
  <c r="L22" i="3"/>
  <c r="K22" i="3"/>
  <c r="J22" i="3"/>
  <c r="O22" i="3" s="1"/>
  <c r="U21" i="3"/>
  <c r="O21" i="3"/>
  <c r="L21" i="3"/>
  <c r="K21" i="3"/>
  <c r="J21" i="3"/>
  <c r="AA20" i="3"/>
  <c r="U20" i="3"/>
  <c r="X20" i="3" s="1"/>
  <c r="O20" i="3"/>
  <c r="AA19" i="3"/>
  <c r="U19" i="3"/>
  <c r="X19" i="3" s="1"/>
  <c r="O19" i="3"/>
  <c r="AA18" i="3"/>
  <c r="U18" i="3"/>
  <c r="X18" i="3" s="1"/>
  <c r="O18" i="3"/>
  <c r="AA17" i="3"/>
  <c r="U17" i="3"/>
  <c r="X17" i="3" s="1"/>
  <c r="O17" i="3"/>
  <c r="AA16" i="3"/>
  <c r="U16" i="3"/>
  <c r="X16" i="3" s="1"/>
  <c r="O16" i="3"/>
  <c r="U15" i="3"/>
  <c r="X15" i="3" s="1"/>
  <c r="M15" i="3"/>
  <c r="L15" i="3"/>
  <c r="K15" i="3"/>
  <c r="J15" i="3"/>
  <c r="O15" i="3" s="1"/>
  <c r="U14" i="3"/>
  <c r="O14" i="3"/>
  <c r="U13" i="3"/>
  <c r="X13" i="3" s="1"/>
  <c r="O13" i="3"/>
  <c r="U12" i="3"/>
  <c r="X12" i="3" s="1"/>
  <c r="J12" i="3"/>
  <c r="O12" i="3" s="1"/>
  <c r="U11" i="3"/>
  <c r="X11" i="3" s="1"/>
  <c r="M11" i="3"/>
  <c r="L11" i="3"/>
  <c r="K11" i="3"/>
  <c r="J11" i="3"/>
  <c r="U10" i="3"/>
  <c r="X10" i="3" s="1"/>
  <c r="O10" i="3"/>
  <c r="U9" i="3"/>
  <c r="X9" i="3" s="1"/>
  <c r="O9" i="3"/>
  <c r="M9" i="3"/>
  <c r="U8" i="3"/>
  <c r="X8" i="3" s="1"/>
  <c r="O8" i="3"/>
  <c r="L8" i="3"/>
  <c r="K8" i="3"/>
  <c r="U7" i="3"/>
  <c r="X7" i="3" s="1"/>
  <c r="L7" i="3"/>
  <c r="K7" i="3"/>
  <c r="O7" i="3" s="1"/>
  <c r="U6" i="3"/>
  <c r="X6" i="3" s="1"/>
  <c r="O6" i="3"/>
  <c r="U5" i="3"/>
  <c r="X5" i="3" s="1"/>
  <c r="L5" i="3"/>
  <c r="O5" i="3" s="1"/>
  <c r="K5" i="3"/>
  <c r="J5" i="3"/>
  <c r="U4" i="3"/>
  <c r="X4" i="3" s="1"/>
  <c r="O4" i="3"/>
  <c r="L4" i="3"/>
  <c r="U3" i="3"/>
  <c r="X3" i="3" s="1"/>
  <c r="O3" i="3"/>
  <c r="U2" i="3"/>
  <c r="X2" i="3" s="1"/>
  <c r="O2" i="3"/>
  <c r="V131" i="3" l="1"/>
  <c r="V308" i="3"/>
  <c r="V482" i="3"/>
  <c r="V484" i="3"/>
  <c r="V580" i="3"/>
  <c r="V582" i="3"/>
  <c r="V586" i="3"/>
  <c r="V44" i="3"/>
  <c r="V70" i="3"/>
  <c r="V839" i="3"/>
  <c r="V277" i="3"/>
  <c r="V480" i="3"/>
  <c r="V591" i="3"/>
  <c r="V597" i="3"/>
  <c r="V325" i="3"/>
  <c r="V327" i="3"/>
  <c r="V363" i="3"/>
  <c r="V469" i="3"/>
  <c r="V738" i="3"/>
  <c r="V135" i="3"/>
  <c r="V253" i="3"/>
  <c r="V328" i="3"/>
  <c r="V539" i="3"/>
  <c r="V256" i="3"/>
  <c r="V303" i="3"/>
  <c r="V175" i="3"/>
  <c r="V157" i="3"/>
  <c r="V179" i="3"/>
  <c r="V214" i="3"/>
  <c r="V221" i="3"/>
  <c r="V620" i="3"/>
  <c r="V632" i="3"/>
  <c r="V766" i="3"/>
  <c r="V774" i="3"/>
  <c r="V797" i="3"/>
  <c r="V800" i="3"/>
  <c r="V822" i="3"/>
  <c r="V907" i="3"/>
  <c r="V50" i="3"/>
  <c r="V18" i="3"/>
  <c r="V40" i="3"/>
  <c r="V156" i="3"/>
  <c r="V165" i="3"/>
  <c r="V170" i="3"/>
  <c r="V182" i="3"/>
  <c r="V491" i="3"/>
  <c r="V546" i="3"/>
  <c r="V556" i="3"/>
  <c r="V807" i="3"/>
  <c r="V846" i="3"/>
  <c r="V898" i="3"/>
  <c r="V289" i="3"/>
  <c r="V618" i="3"/>
  <c r="V621" i="3"/>
  <c r="V640" i="3"/>
  <c r="V252" i="3"/>
  <c r="V265" i="3"/>
  <c r="V466" i="3"/>
  <c r="V736" i="3"/>
  <c r="V840" i="3"/>
  <c r="V475" i="3"/>
  <c r="V560" i="3"/>
  <c r="V568" i="3"/>
  <c r="V739" i="3"/>
  <c r="V783" i="3"/>
  <c r="V811" i="3"/>
  <c r="V826" i="3"/>
  <c r="V831" i="3"/>
  <c r="V884" i="3"/>
  <c r="V660" i="3"/>
  <c r="V662" i="3"/>
  <c r="V789" i="3"/>
  <c r="V794" i="3"/>
  <c r="V799" i="3"/>
  <c r="V874" i="3"/>
  <c r="V21" i="3"/>
  <c r="V87" i="3"/>
  <c r="V75" i="3"/>
  <c r="V77" i="3"/>
  <c r="V117" i="3"/>
  <c r="V120" i="3"/>
  <c r="V2" i="3"/>
  <c r="V13" i="3"/>
  <c r="V58" i="3"/>
  <c r="V86" i="3"/>
  <c r="V126" i="3"/>
  <c r="V154" i="3"/>
  <c r="V184" i="3"/>
  <c r="V569" i="3"/>
  <c r="X724" i="3"/>
  <c r="V741" i="3"/>
  <c r="V775" i="3"/>
  <c r="V801" i="3"/>
  <c r="V483" i="3"/>
  <c r="V186" i="3"/>
  <c r="V319" i="3"/>
  <c r="V209" i="3"/>
  <c r="V239" i="3"/>
  <c r="V549" i="3"/>
  <c r="V647" i="3"/>
  <c r="V857" i="3"/>
  <c r="V885" i="3"/>
  <c r="V887" i="3"/>
  <c r="V187" i="3"/>
  <c r="V220" i="3"/>
  <c r="V307" i="3"/>
  <c r="V314" i="3"/>
  <c r="V318" i="3"/>
  <c r="V320" i="3"/>
  <c r="V612" i="3"/>
  <c r="V237" i="3"/>
  <c r="V451" i="3"/>
  <c r="V465" i="3"/>
  <c r="V467" i="3"/>
  <c r="V490" i="3"/>
  <c r="V886" i="3"/>
  <c r="V888" i="3"/>
  <c r="V31" i="3"/>
  <c r="V92" i="3"/>
  <c r="V118" i="3"/>
  <c r="V152" i="3"/>
  <c r="V160" i="3"/>
  <c r="V28" i="3"/>
  <c r="V36" i="3"/>
  <c r="V56" i="3"/>
  <c r="V64" i="3"/>
  <c r="V71" i="3"/>
  <c r="V89" i="3"/>
  <c r="V15" i="3"/>
  <c r="V10" i="3"/>
  <c r="V20" i="3"/>
  <c r="V23" i="3"/>
  <c r="V32" i="3"/>
  <c r="V34" i="3"/>
  <c r="V99" i="3"/>
  <c r="V113" i="3"/>
  <c r="V123" i="3"/>
  <c r="V185" i="3"/>
  <c r="V14" i="3"/>
  <c r="V47" i="3"/>
  <c r="V80" i="3"/>
  <c r="V5" i="3"/>
  <c r="V16" i="3"/>
  <c r="V57" i="3"/>
  <c r="V66" i="3"/>
  <c r="V72" i="3"/>
  <c r="V88" i="3"/>
  <c r="V107" i="3"/>
  <c r="V111" i="3"/>
  <c r="V129" i="3"/>
  <c r="V225" i="3"/>
  <c r="V278" i="3"/>
  <c r="V282" i="3"/>
  <c r="V301" i="3"/>
  <c r="V387" i="3"/>
  <c r="X442" i="3"/>
  <c r="V753" i="3"/>
  <c r="V841" i="3"/>
  <c r="V864" i="3"/>
  <c r="V891" i="3"/>
  <c r="V275" i="3"/>
  <c r="V288" i="3"/>
  <c r="V304" i="3"/>
  <c r="V348" i="3"/>
  <c r="V473" i="3"/>
  <c r="V619" i="3"/>
  <c r="X687" i="3"/>
  <c r="X721" i="3"/>
  <c r="V204" i="3"/>
  <c r="V231" i="3"/>
  <c r="V248" i="3"/>
  <c r="V261" i="3"/>
  <c r="V356" i="3"/>
  <c r="V361" i="3"/>
  <c r="V447" i="3"/>
  <c r="V518" i="3"/>
  <c r="V527" i="3"/>
  <c r="V529" i="3"/>
  <c r="V553" i="3"/>
  <c r="V643" i="3"/>
  <c r="V653" i="3"/>
  <c r="V751" i="3"/>
  <c r="V767" i="3"/>
  <c r="V780" i="3"/>
  <c r="V815" i="3"/>
  <c r="V820" i="3"/>
  <c r="V828" i="3"/>
  <c r="V862" i="3"/>
  <c r="V623" i="3"/>
  <c r="V201" i="3"/>
  <c r="V232" i="3"/>
  <c r="V242" i="3"/>
  <c r="V249" i="3"/>
  <c r="V395" i="3"/>
  <c r="X410" i="3"/>
  <c r="V448" i="3"/>
  <c r="V454" i="3"/>
  <c r="V509" i="3"/>
  <c r="V519" i="3"/>
  <c r="V584" i="3"/>
  <c r="V600" i="3"/>
  <c r="V602" i="3"/>
  <c r="V624" i="3"/>
  <c r="V646" i="3"/>
  <c r="V740" i="3"/>
  <c r="V752" i="3"/>
  <c r="V756" i="3"/>
  <c r="V765" i="3"/>
  <c r="V796" i="3"/>
  <c r="V802" i="3"/>
  <c r="V806" i="3"/>
  <c r="V816" i="3"/>
  <c r="V821" i="3"/>
  <c r="V847" i="3"/>
  <c r="V853" i="3"/>
  <c r="V863" i="3"/>
  <c r="V873" i="3"/>
  <c r="V910" i="3"/>
  <c r="V247" i="3"/>
  <c r="V312" i="3"/>
  <c r="V347" i="3"/>
  <c r="V357" i="3"/>
  <c r="V409" i="3"/>
  <c r="V500" i="3"/>
  <c r="V503" i="3"/>
  <c r="V530" i="3"/>
  <c r="V537" i="3"/>
  <c r="V552" i="3"/>
  <c r="V567" i="3"/>
  <c r="V606" i="3"/>
  <c r="V750" i="3"/>
  <c r="V779" i="3"/>
  <c r="V814" i="3"/>
  <c r="V819" i="3"/>
  <c r="V827" i="3"/>
  <c r="V832" i="3"/>
  <c r="V859" i="3"/>
  <c r="V879" i="3"/>
  <c r="V3" i="3"/>
  <c r="V29" i="3"/>
  <c r="V43" i="3"/>
  <c r="V73" i="3"/>
  <c r="V153" i="3"/>
  <c r="V162" i="3"/>
  <c r="V166" i="3"/>
  <c r="V173" i="3"/>
  <c r="V115" i="3"/>
  <c r="V41" i="3"/>
  <c r="V46" i="3"/>
  <c r="V49" i="3"/>
  <c r="V81" i="3"/>
  <c r="V84" i="3"/>
  <c r="V85" i="3"/>
  <c r="V102" i="3"/>
  <c r="V106" i="3"/>
  <c r="V171" i="3"/>
  <c r="V180" i="3"/>
  <c r="V138" i="3"/>
  <c r="V150" i="3"/>
  <c r="V158" i="3"/>
  <c r="V163" i="3"/>
  <c r="V4" i="3"/>
  <c r="V19" i="3"/>
  <c r="V30" i="3"/>
  <c r="V39" i="3"/>
  <c r="V109" i="3"/>
  <c r="V183" i="3"/>
  <c r="V12" i="3"/>
  <c r="V17" i="3"/>
  <c r="V27" i="3"/>
  <c r="V61" i="3"/>
  <c r="V69" i="3"/>
  <c r="V91" i="3"/>
  <c r="V114" i="3"/>
  <c r="V133" i="3"/>
  <c r="V136" i="3"/>
  <c r="V164" i="3"/>
  <c r="V172" i="3"/>
  <c r="V181" i="3"/>
  <c r="V60" i="3"/>
  <c r="V128" i="3"/>
  <c r="X678" i="3"/>
  <c r="V678" i="3"/>
  <c r="X306" i="3"/>
  <c r="V306" i="3"/>
  <c r="X461" i="3"/>
  <c r="V461" i="3"/>
  <c r="X494" i="3"/>
  <c r="V494" i="3"/>
  <c r="V644" i="3"/>
  <c r="X340" i="3"/>
  <c r="V340" i="3"/>
  <c r="V502" i="3"/>
  <c r="V589" i="3"/>
  <c r="V194" i="3"/>
  <c r="V199" i="3"/>
  <c r="V224" i="3"/>
  <c r="V229" i="3"/>
  <c r="V241" i="3"/>
  <c r="V245" i="3"/>
  <c r="V406" i="3"/>
  <c r="V472" i="3"/>
  <c r="V477" i="3"/>
  <c r="X483" i="3"/>
  <c r="V486" i="3"/>
  <c r="V488" i="3"/>
  <c r="V493" i="3"/>
  <c r="V496" i="3"/>
  <c r="V507" i="3"/>
  <c r="V526" i="3"/>
  <c r="V535" i="3"/>
  <c r="V551" i="3"/>
  <c r="V558" i="3"/>
  <c r="V595" i="3"/>
  <c r="V604" i="3"/>
  <c r="V633" i="3"/>
  <c r="V650" i="3"/>
  <c r="V757" i="3"/>
  <c r="V761" i="3"/>
  <c r="V772" i="3"/>
  <c r="V785" i="3"/>
  <c r="V787" i="3"/>
  <c r="V809" i="3"/>
  <c r="V837" i="3"/>
  <c r="V850" i="3"/>
  <c r="V861" i="3"/>
  <c r="V867" i="3"/>
  <c r="V869" i="3"/>
  <c r="V876" i="3"/>
  <c r="V881" i="3"/>
  <c r="V890" i="3"/>
  <c r="V894" i="3"/>
  <c r="V487" i="3"/>
  <c r="V554" i="3"/>
  <c r="V795" i="3"/>
  <c r="V844" i="3"/>
  <c r="V190" i="3"/>
  <c r="V195" i="3"/>
  <c r="V200" i="3"/>
  <c r="V210" i="3"/>
  <c r="V212" i="3"/>
  <c r="V215" i="3"/>
  <c r="V222" i="3"/>
  <c r="V235" i="3"/>
  <c r="V254" i="3"/>
  <c r="V271" i="3"/>
  <c r="V283" i="3"/>
  <c r="V290" i="3"/>
  <c r="V296" i="3"/>
  <c r="V350" i="3"/>
  <c r="V355" i="3"/>
  <c r="V450" i="3"/>
  <c r="V453" i="3"/>
  <c r="V457" i="3"/>
  <c r="V463" i="3"/>
  <c r="V476" i="3"/>
  <c r="V478" i="3"/>
  <c r="V485" i="3"/>
  <c r="V489" i="3"/>
  <c r="V517" i="3"/>
  <c r="V531" i="3"/>
  <c r="V601" i="3"/>
  <c r="V622" i="3"/>
  <c r="V636" i="3"/>
  <c r="V661" i="3"/>
  <c r="X685" i="3"/>
  <c r="X712" i="3"/>
  <c r="V723" i="3"/>
  <c r="V758" i="3"/>
  <c r="V768" i="3"/>
  <c r="V771" i="3"/>
  <c r="V773" i="3"/>
  <c r="V778" i="3"/>
  <c r="V788" i="3"/>
  <c r="V790" i="3"/>
  <c r="V793" i="3"/>
  <c r="V810" i="3"/>
  <c r="V825" i="3"/>
  <c r="V838" i="3"/>
  <c r="V845" i="3"/>
  <c r="V877" i="3"/>
  <c r="V188" i="3"/>
  <c r="V191" i="3"/>
  <c r="V193" i="3"/>
  <c r="V198" i="3"/>
  <c r="V233" i="3"/>
  <c r="V257" i="3"/>
  <c r="V262" i="3"/>
  <c r="V267" i="3"/>
  <c r="V272" i="3"/>
  <c r="V274" i="3"/>
  <c r="V276" i="3"/>
  <c r="V280" i="3"/>
  <c r="V285" i="3"/>
  <c r="V305" i="3"/>
  <c r="V353" i="3"/>
  <c r="V386" i="3"/>
  <c r="V459" i="3"/>
  <c r="V468" i="3"/>
  <c r="V499" i="3"/>
  <c r="V501" i="3"/>
  <c r="V504" i="3"/>
  <c r="V525" i="3"/>
  <c r="V543" i="3"/>
  <c r="V548" i="3"/>
  <c r="V550" i="3"/>
  <c r="V557" i="3"/>
  <c r="V594" i="3"/>
  <c r="V649" i="3"/>
  <c r="V656" i="3"/>
  <c r="V658" i="3"/>
  <c r="V733" i="3"/>
  <c r="V760" i="3"/>
  <c r="V781" i="3"/>
  <c r="V786" i="3"/>
  <c r="V804" i="3"/>
  <c r="V808" i="3"/>
  <c r="V818" i="3"/>
  <c r="V836" i="3"/>
  <c r="V843" i="3"/>
  <c r="V848" i="3"/>
  <c r="V852" i="3"/>
  <c r="V860" i="3"/>
  <c r="V866" i="3"/>
  <c r="V883" i="3"/>
  <c r="V889" i="3"/>
  <c r="V893" i="3"/>
  <c r="V895" i="3"/>
  <c r="V897" i="3"/>
  <c r="V906" i="3"/>
  <c r="V908" i="3"/>
  <c r="V310" i="3"/>
  <c r="V337" i="3"/>
  <c r="V541" i="3"/>
  <c r="V555" i="3"/>
  <c r="V588" i="3"/>
  <c r="V590" i="3"/>
  <c r="V592" i="3"/>
  <c r="V598" i="3"/>
  <c r="V605" i="3"/>
  <c r="V627" i="3"/>
  <c r="V629" i="3"/>
  <c r="V642" i="3"/>
  <c r="V652" i="3"/>
  <c r="V763" i="3"/>
  <c r="V313" i="3"/>
  <c r="V449" i="3"/>
  <c r="V611" i="3"/>
  <c r="X696" i="3"/>
  <c r="V52" i="3"/>
  <c r="X135" i="3"/>
  <c r="V24" i="3"/>
  <c r="V26" i="3"/>
  <c r="V62" i="3"/>
  <c r="V100" i="3"/>
  <c r="V119" i="3"/>
  <c r="V127" i="3"/>
  <c r="V140" i="3"/>
  <c r="V76" i="3"/>
  <c r="V112" i="3"/>
  <c r="V159" i="3"/>
  <c r="V174" i="3"/>
  <c r="X21" i="3"/>
  <c r="V67" i="3"/>
  <c r="V6" i="3"/>
  <c r="V55" i="3"/>
  <c r="V125" i="3"/>
  <c r="V134" i="3"/>
  <c r="V7" i="3"/>
  <c r="V22" i="3"/>
  <c r="V45" i="3"/>
  <c r="V101" i="3"/>
  <c r="V104" i="3"/>
  <c r="V139" i="3"/>
  <c r="V155" i="3"/>
  <c r="V161" i="3"/>
  <c r="V176" i="3"/>
  <c r="V124" i="3"/>
  <c r="V137" i="3"/>
  <c r="V151" i="3"/>
  <c r="V167" i="3"/>
  <c r="V178" i="3"/>
  <c r="V9" i="3"/>
  <c r="V51" i="3"/>
  <c r="V54" i="3"/>
  <c r="V122" i="3"/>
  <c r="V130" i="3"/>
  <c r="V38" i="3"/>
  <c r="V169" i="3"/>
  <c r="X631" i="3"/>
  <c r="V631" i="3"/>
  <c r="X715" i="3"/>
  <c r="V715" i="3"/>
  <c r="X443" i="3"/>
  <c r="V443" i="3"/>
  <c r="X498" i="3"/>
  <c r="V498" i="3"/>
  <c r="X854" i="3"/>
  <c r="V854" i="3"/>
  <c r="X407" i="3"/>
  <c r="V407" i="3"/>
  <c r="X412" i="3"/>
  <c r="V412" i="3"/>
  <c r="X608" i="3"/>
  <c r="V608" i="3"/>
  <c r="X762" i="3"/>
  <c r="V762" i="3"/>
  <c r="V295" i="3"/>
  <c r="V197" i="3"/>
  <c r="V211" i="3"/>
  <c r="V216" i="3"/>
  <c r="V226" i="3"/>
  <c r="V228" i="3"/>
  <c r="V236" i="3"/>
  <c r="V291" i="3"/>
  <c r="V293" i="3"/>
  <c r="V300" i="3"/>
  <c r="V364" i="3"/>
  <c r="X651" i="3"/>
  <c r="V651" i="3"/>
  <c r="V206" i="3"/>
  <c r="V219" i="3"/>
  <c r="V227" i="3"/>
  <c r="V279" i="3"/>
  <c r="V354" i="3"/>
  <c r="X677" i="3"/>
  <c r="V677" i="3"/>
  <c r="V578" i="3"/>
  <c r="X614" i="3"/>
  <c r="V614" i="3"/>
  <c r="X670" i="3"/>
  <c r="V670" i="3"/>
  <c r="X673" i="3"/>
  <c r="V673" i="3"/>
  <c r="V270" i="3"/>
  <c r="V352" i="3"/>
  <c r="X714" i="3"/>
  <c r="V714" i="3"/>
  <c r="X717" i="3"/>
  <c r="V717" i="3"/>
  <c r="V189" i="3"/>
  <c r="V192" i="3"/>
  <c r="V196" i="3"/>
  <c r="V213" i="3"/>
  <c r="V230" i="3"/>
  <c r="V240" i="3"/>
  <c r="V255" i="3"/>
  <c r="V268" i="3"/>
  <c r="X292" i="3"/>
  <c r="V292" i="3"/>
  <c r="V309" i="3"/>
  <c r="V338" i="3"/>
  <c r="V351" i="3"/>
  <c r="X671" i="3"/>
  <c r="V671" i="3"/>
  <c r="X856" i="3"/>
  <c r="V856" i="3"/>
  <c r="V326" i="3"/>
  <c r="V346" i="3"/>
  <c r="V464" i="3"/>
  <c r="V470" i="3"/>
  <c r="V506" i="3"/>
  <c r="V534" i="3"/>
  <c r="V759" i="3"/>
  <c r="V203" i="3"/>
  <c r="V208" i="3"/>
  <c r="V218" i="3"/>
  <c r="V223" i="3"/>
  <c r="V238" i="3"/>
  <c r="V251" i="3"/>
  <c r="V260" i="3"/>
  <c r="V294" i="3"/>
  <c r="V299" i="3"/>
  <c r="V362" i="3"/>
  <c r="V394" i="3"/>
  <c r="V399" i="3"/>
  <c r="V414" i="3"/>
  <c r="V452" i="3"/>
  <c r="V456" i="3"/>
  <c r="V458" i="3"/>
  <c r="V505" i="3"/>
  <c r="V510" i="3"/>
  <c r="V524" i="3"/>
  <c r="V532" i="3"/>
  <c r="V562" i="3"/>
  <c r="V564" i="3"/>
  <c r="V566" i="3"/>
  <c r="V577" i="3"/>
  <c r="V579" i="3"/>
  <c r="V581" i="3"/>
  <c r="V583" i="3"/>
  <c r="V587" i="3"/>
  <c r="V593" i="3"/>
  <c r="V603" i="3"/>
  <c r="V610" i="3"/>
  <c r="V641" i="3"/>
  <c r="V645" i="3"/>
  <c r="V655" i="3"/>
  <c r="V675" i="3"/>
  <c r="V676" i="3"/>
  <c r="V692" i="3"/>
  <c r="V694" i="3"/>
  <c r="V735" i="3"/>
  <c r="V755" i="3"/>
  <c r="V805" i="3"/>
  <c r="V813" i="3"/>
  <c r="V871" i="3"/>
  <c r="V882" i="3"/>
  <c r="V397" i="3"/>
  <c r="V460" i="3"/>
  <c r="V462" i="3"/>
  <c r="V479" i="3"/>
  <c r="V492" i="3"/>
  <c r="V497" i="3"/>
  <c r="V508" i="3"/>
  <c r="V521" i="3"/>
  <c r="V536" i="3"/>
  <c r="V545" i="3"/>
  <c r="V585" i="3"/>
  <c r="V613" i="3"/>
  <c r="V617" i="3"/>
  <c r="V626" i="3"/>
  <c r="V634" i="3"/>
  <c r="V637" i="3"/>
  <c r="V639" i="3"/>
  <c r="V657" i="3"/>
  <c r="V737" i="3"/>
  <c r="V748" i="3"/>
  <c r="V777" i="3"/>
  <c r="V782" i="3"/>
  <c r="V784" i="3"/>
  <c r="V791" i="3"/>
  <c r="V812" i="3"/>
  <c r="V823" i="3"/>
  <c r="V830" i="3"/>
  <c r="V855" i="3"/>
  <c r="V899" i="3"/>
  <c r="V901" i="3"/>
  <c r="V904" i="3"/>
  <c r="V615" i="3"/>
  <c r="V635" i="3"/>
  <c r="V896" i="3"/>
  <c r="V474" i="3"/>
  <c r="V495" i="3"/>
  <c r="V514" i="3"/>
  <c r="V523" i="3"/>
  <c r="V538" i="3"/>
  <c r="V599" i="3"/>
  <c r="V625" i="3"/>
  <c r="V659" i="3"/>
  <c r="V681" i="3"/>
  <c r="V683" i="3"/>
  <c r="V691" i="3"/>
  <c r="V703" i="3"/>
  <c r="V824" i="3"/>
  <c r="V851" i="3"/>
  <c r="V865" i="3"/>
  <c r="V868" i="3"/>
  <c r="V872" i="3"/>
  <c r="V202" i="3"/>
  <c r="V207" i="3"/>
  <c r="V244" i="3"/>
  <c r="V250" i="3"/>
  <c r="V259" i="3"/>
  <c r="V264" i="3"/>
  <c r="V266" i="3"/>
  <c r="V284" i="3"/>
  <c r="V286" i="3"/>
  <c r="V287" i="3"/>
  <c r="V298" i="3"/>
  <c r="V311" i="3"/>
  <c r="V339" i="3"/>
  <c r="V345" i="3"/>
  <c r="V405" i="3"/>
  <c r="V408" i="3"/>
  <c r="V512" i="3"/>
  <c r="V516" i="3"/>
  <c r="V520" i="3"/>
  <c r="V522" i="3"/>
  <c r="V528" i="3"/>
  <c r="V533" i="3"/>
  <c r="V540" i="3"/>
  <c r="V542" i="3"/>
  <c r="V544" i="3"/>
  <c r="V559" i="3"/>
  <c r="V561" i="3"/>
  <c r="V576" i="3"/>
  <c r="V596" i="3"/>
  <c r="V607" i="3"/>
  <c r="V609" i="3"/>
  <c r="V630" i="3"/>
  <c r="V648" i="3"/>
  <c r="V654" i="3"/>
  <c r="V701" i="3"/>
  <c r="V720" i="3"/>
  <c r="V734" i="3"/>
  <c r="V749" i="3"/>
  <c r="V754" i="3"/>
  <c r="V764" i="3"/>
  <c r="V769" i="3"/>
  <c r="V792" i="3"/>
  <c r="V817" i="3"/>
  <c r="V829" i="3"/>
  <c r="V834" i="3"/>
  <c r="V849" i="3"/>
  <c r="V858" i="3"/>
  <c r="V870" i="3"/>
  <c r="V875" i="3"/>
  <c r="V880" i="3"/>
  <c r="V900" i="3"/>
  <c r="V909" i="3"/>
  <c r="V905" i="3"/>
  <c r="V842" i="3"/>
  <c r="V892" i="3"/>
  <c r="V770" i="3"/>
  <c r="V903" i="3"/>
  <c r="V776" i="3"/>
  <c r="V798" i="3"/>
  <c r="V835" i="3"/>
  <c r="V878" i="3"/>
  <c r="V833" i="3"/>
  <c r="O902" i="3"/>
  <c r="V902" i="3" s="1"/>
  <c r="V803" i="3"/>
  <c r="V709" i="3"/>
  <c r="O663" i="3"/>
  <c r="V679" i="3"/>
  <c r="X669" i="3"/>
  <c r="V669" i="3"/>
  <c r="O708" i="3"/>
  <c r="X684" i="3"/>
  <c r="V684" i="3"/>
  <c r="V705" i="3"/>
  <c r="V719" i="3"/>
  <c r="V690" i="3"/>
  <c r="V711" i="3"/>
  <c r="V698" i="3"/>
  <c r="V742" i="3"/>
  <c r="X663" i="3"/>
  <c r="V672" i="3"/>
  <c r="V674" i="3"/>
  <c r="X680" i="3"/>
  <c r="X686" i="3"/>
  <c r="V693" i="3"/>
  <c r="X697" i="3"/>
  <c r="X699" i="3"/>
  <c r="V702" i="3"/>
  <c r="X706" i="3"/>
  <c r="X710" i="3"/>
  <c r="X716" i="3"/>
  <c r="X718" i="3"/>
  <c r="V682" i="3"/>
  <c r="V688" i="3"/>
  <c r="V700" i="3"/>
  <c r="V713" i="3"/>
  <c r="V665" i="3"/>
  <c r="V667" i="3"/>
  <c r="V704" i="3"/>
  <c r="V708" i="3"/>
  <c r="V722" i="3"/>
  <c r="V664" i="3"/>
  <c r="V666" i="3"/>
  <c r="V668" i="3"/>
  <c r="V689" i="3"/>
  <c r="V695" i="3"/>
  <c r="V707" i="3"/>
  <c r="V616" i="3"/>
  <c r="V628" i="3"/>
  <c r="V638" i="3"/>
  <c r="V481" i="3"/>
  <c r="V563" i="3"/>
  <c r="X413" i="3"/>
  <c r="V413" i="3"/>
  <c r="V471" i="3"/>
  <c r="V515" i="3"/>
  <c r="V446" i="3"/>
  <c r="V511" i="3"/>
  <c r="X411" i="3"/>
  <c r="V411" i="3"/>
  <c r="V445" i="3"/>
  <c r="O455" i="3"/>
  <c r="V455" i="3" s="1"/>
  <c r="V513" i="3"/>
  <c r="V547" i="3"/>
  <c r="X441" i="3"/>
  <c r="V441" i="3"/>
  <c r="V565" i="3"/>
  <c r="V444" i="3"/>
  <c r="V234" i="3"/>
  <c r="V263" i="3"/>
  <c r="V273" i="3"/>
  <c r="X279" i="3"/>
  <c r="V349" i="3"/>
  <c r="V246" i="3"/>
  <c r="V258" i="3"/>
  <c r="X319" i="3"/>
  <c r="X206" i="3"/>
  <c r="V243" i="3"/>
  <c r="V317" i="3"/>
  <c r="V281" i="3"/>
  <c r="V315" i="3"/>
  <c r="O297" i="3"/>
  <c r="V297" i="3" s="1"/>
  <c r="V302" i="3"/>
  <c r="O388" i="3"/>
  <c r="V388" i="3" s="1"/>
  <c r="V398" i="3"/>
  <c r="V396" i="3"/>
  <c r="V205" i="3"/>
  <c r="O217" i="3"/>
  <c r="V217" i="3" s="1"/>
  <c r="O269" i="3"/>
  <c r="V269" i="3" s="1"/>
  <c r="V316" i="3"/>
  <c r="V63" i="3"/>
  <c r="V53" i="3"/>
  <c r="V59" i="3"/>
  <c r="V48" i="3"/>
  <c r="X103" i="3"/>
  <c r="V103" i="3"/>
  <c r="V79" i="3"/>
  <c r="O78" i="3"/>
  <c r="V78" i="3" s="1"/>
  <c r="O105" i="3"/>
  <c r="V105" i="3" s="1"/>
  <c r="O108" i="3"/>
  <c r="V108" i="3" s="1"/>
  <c r="O121" i="3"/>
  <c r="V121" i="3" s="1"/>
  <c r="X14" i="3"/>
  <c r="X140" i="3"/>
  <c r="V37" i="3"/>
  <c r="V8" i="3"/>
  <c r="V74" i="3"/>
  <c r="O116" i="3"/>
  <c r="V116" i="3" s="1"/>
  <c r="V35" i="3"/>
  <c r="V90" i="3"/>
  <c r="V93" i="3"/>
  <c r="V33" i="3"/>
  <c r="O82" i="3"/>
  <c r="V82" i="3" s="1"/>
  <c r="O168" i="3"/>
  <c r="V168" i="3" s="1"/>
  <c r="O65" i="3"/>
  <c r="V65" i="3" s="1"/>
  <c r="V110" i="3"/>
  <c r="O25" i="3"/>
  <c r="V25" i="3" s="1"/>
  <c r="O42" i="3"/>
  <c r="V42" i="3" s="1"/>
  <c r="O11" i="3"/>
  <c r="V11" i="3" s="1"/>
  <c r="O68" i="3"/>
  <c r="V68" i="3" s="1"/>
  <c r="O132" i="3"/>
  <c r="V132" i="3" s="1"/>
  <c r="O177" i="3"/>
  <c r="V177" i="3" s="1"/>
</calcChain>
</file>

<file path=xl/sharedStrings.xml><?xml version="1.0" encoding="utf-8"?>
<sst xmlns="http://schemas.openxmlformats.org/spreadsheetml/2006/main" count="11849" uniqueCount="362">
  <si>
    <t>Nome comum</t>
  </si>
  <si>
    <t>Armado</t>
  </si>
  <si>
    <t>Barbado</t>
  </si>
  <si>
    <t>Curimba</t>
  </si>
  <si>
    <t>Bocudo</t>
  </si>
  <si>
    <t>Corvina</t>
  </si>
  <si>
    <t>Cará</t>
  </si>
  <si>
    <t>Perna de moça</t>
  </si>
  <si>
    <t>Carpa</t>
  </si>
  <si>
    <t>Cascudo</t>
  </si>
  <si>
    <t>Traíra</t>
  </si>
  <si>
    <t>Dourado Cachorro</t>
  </si>
  <si>
    <t>Tucunaré</t>
  </si>
  <si>
    <t>Dourado</t>
  </si>
  <si>
    <t>Piau</t>
  </si>
  <si>
    <t>Jaú</t>
  </si>
  <si>
    <t>Piauçu</t>
  </si>
  <si>
    <t>Linguado</t>
  </si>
  <si>
    <t>Piapara</t>
  </si>
  <si>
    <t>Mandi</t>
  </si>
  <si>
    <t>Outros</t>
  </si>
  <si>
    <t>Surubim</t>
  </si>
  <si>
    <t>Pacu</t>
  </si>
  <si>
    <t>Piracanjuba</t>
  </si>
  <si>
    <t>Piranha</t>
  </si>
  <si>
    <t>Pintado</t>
  </si>
  <si>
    <t>Piavussu</t>
  </si>
  <si>
    <t>Sardinha</t>
  </si>
  <si>
    <t>Raia</t>
  </si>
  <si>
    <t>Surumanha</t>
  </si>
  <si>
    <t>Tilápia</t>
  </si>
  <si>
    <t>Colônias/Associações</t>
  </si>
  <si>
    <t>Colônia de Pescadores Z-12</t>
  </si>
  <si>
    <t>Colônia S. Pedro P. P. A. Santa Terezinha de Itaipu-PR</t>
  </si>
  <si>
    <t>Colônia de P.P Z-11 de São Miguel do Iguaçu</t>
  </si>
  <si>
    <t>Colônia de Pescadores Itaipulandiense</t>
  </si>
  <si>
    <t>Colônia de P.N.S. dos Navegantes - Santa Helena</t>
  </si>
  <si>
    <t>Colonia de Pescadores São Francisco de Entre Rios D'Oeste</t>
  </si>
  <si>
    <t>Associação Bragadense de Pescadores</t>
  </si>
  <si>
    <t>Colônia Z-15 M.C. Rondon</t>
  </si>
  <si>
    <t>Associação de Pescadores Profissionais de Mercedes</t>
  </si>
  <si>
    <t>Associação de Pescadores de Guaíra e Região</t>
  </si>
  <si>
    <t xml:space="preserve">Colônia de Pescadores Z – 18 de Porto Camargo - Icaraíma </t>
  </si>
  <si>
    <t>Colônia de Pescadores Profissionais Artesanais Do Porto Santo Antônio - Z16 - Itaquiraí - MS</t>
  </si>
  <si>
    <t xml:space="preserve"> Associação dos Pescadores Profissionais do Porto Caiuá - Naviraí - MS</t>
  </si>
  <si>
    <t>PESCADOR_COD</t>
  </si>
  <si>
    <t>ZONA</t>
  </si>
  <si>
    <t>AREA</t>
  </si>
  <si>
    <t xml:space="preserve"> PONTO</t>
  </si>
  <si>
    <t>PESCADOR (quantidade)</t>
  </si>
  <si>
    <t>PESCADOR_1 (quantidade)</t>
  </si>
  <si>
    <t>ESPÉCIES</t>
  </si>
  <si>
    <t>DATA</t>
  </si>
  <si>
    <t>MÊS</t>
  </si>
  <si>
    <t>SEMANA1 (1 a 7)</t>
  </si>
  <si>
    <t>SEMANA2 (8 a 14)</t>
  </si>
  <si>
    <t>SEMANA3 (15 a 21)</t>
  </si>
  <si>
    <t>SEMANA4 (22 a 28)</t>
  </si>
  <si>
    <t>SEMANA5 (29 a 31)</t>
  </si>
  <si>
    <t>SEMANATOT</t>
  </si>
  <si>
    <t>DIAS1 (1 a 7)</t>
  </si>
  <si>
    <t>DIAS2 (8 a 14)</t>
  </si>
  <si>
    <t>DIAS3 (15 a 21)</t>
  </si>
  <si>
    <t>DIAS4 (22 a 28)</t>
  </si>
  <si>
    <t>DIAS5 (29 a 31)</t>
  </si>
  <si>
    <t>DIASTOT</t>
  </si>
  <si>
    <t>CPUE Espécie (kg/pescador*dia)</t>
  </si>
  <si>
    <t>CPUE (kg/pescador*dia)</t>
  </si>
  <si>
    <t>Esforço (Homem*dia)</t>
  </si>
  <si>
    <t>CPUE (kg/m² rede)</t>
  </si>
  <si>
    <t>CPUE (kg/anzol)</t>
  </si>
  <si>
    <r>
      <rPr>
        <b/>
        <sz val="11"/>
        <color theme="1"/>
        <rFont val="Calibri"/>
        <family val="2"/>
      </rPr>
      <t>M</t>
    </r>
    <r>
      <rPr>
        <b/>
        <vertAlign val="superscript"/>
        <sz val="11"/>
        <color theme="1"/>
        <rFont val="Calibri"/>
        <family val="2"/>
      </rPr>
      <t xml:space="preserve">2 </t>
    </r>
    <r>
      <rPr>
        <b/>
        <sz val="11"/>
        <color theme="1"/>
        <rFont val="Calibri"/>
        <family val="2"/>
      </rPr>
      <t>REDE</t>
    </r>
  </si>
  <si>
    <t>ANZOIS</t>
  </si>
  <si>
    <t>Barco</t>
  </si>
  <si>
    <t>Motor</t>
  </si>
  <si>
    <t>HP</t>
  </si>
  <si>
    <t>ASSOCIAÇÃO</t>
  </si>
  <si>
    <t>OBSERVAÇÃO</t>
  </si>
  <si>
    <t>36M</t>
  </si>
  <si>
    <t>Montante</t>
  </si>
  <si>
    <t>Porto Camargo</t>
  </si>
  <si>
    <t>Março</t>
  </si>
  <si>
    <t>Alumínio</t>
  </si>
  <si>
    <t>Popa</t>
  </si>
  <si>
    <t xml:space="preserve">Colônia de Pescadores Z18 de Porto Camargo - Icaraíma </t>
  </si>
  <si>
    <t>37M</t>
  </si>
  <si>
    <t>3M</t>
  </si>
  <si>
    <t>38M</t>
  </si>
  <si>
    <t>Centro</t>
  </si>
  <si>
    <t>39M</t>
  </si>
  <si>
    <t>40M</t>
  </si>
  <si>
    <t>41M</t>
  </si>
  <si>
    <t>Madeira</t>
  </si>
  <si>
    <t>42M</t>
  </si>
  <si>
    <t>43M</t>
  </si>
  <si>
    <t>44M</t>
  </si>
  <si>
    <t>6M</t>
  </si>
  <si>
    <t>45M</t>
  </si>
  <si>
    <t>Porto Figueira</t>
  </si>
  <si>
    <t>7M</t>
  </si>
  <si>
    <t>28M</t>
  </si>
  <si>
    <t>Porto Caiuá</t>
  </si>
  <si>
    <t xml:space="preserve"> Associação dos Pescadores Profissionais do Porto Caiuá - Naviraí/MS</t>
  </si>
  <si>
    <t xml:space="preserve"> </t>
  </si>
  <si>
    <t>29M</t>
  </si>
  <si>
    <t>30M</t>
  </si>
  <si>
    <t>18M</t>
  </si>
  <si>
    <t>31M</t>
  </si>
  <si>
    <t>32M</t>
  </si>
  <si>
    <t>12M</t>
  </si>
  <si>
    <t>13M</t>
  </si>
  <si>
    <t>33M</t>
  </si>
  <si>
    <t>34M</t>
  </si>
  <si>
    <t>35M</t>
  </si>
  <si>
    <t>14M</t>
  </si>
  <si>
    <t>Tomazelli</t>
  </si>
  <si>
    <t>47M</t>
  </si>
  <si>
    <t>Porto Santo Antônio</t>
  </si>
  <si>
    <t>48M</t>
  </si>
  <si>
    <t>15M</t>
  </si>
  <si>
    <t>49M</t>
  </si>
  <si>
    <t>Praia da Amizade</t>
  </si>
  <si>
    <t>Alumínio/Madeira</t>
  </si>
  <si>
    <t>21M</t>
  </si>
  <si>
    <t>51M</t>
  </si>
  <si>
    <t>55M</t>
  </si>
  <si>
    <t>57M</t>
  </si>
  <si>
    <t>58M</t>
  </si>
  <si>
    <t>23M</t>
  </si>
  <si>
    <t>17M</t>
  </si>
  <si>
    <t>59M</t>
  </si>
  <si>
    <t>46M</t>
  </si>
  <si>
    <t>50M</t>
  </si>
  <si>
    <t>52M</t>
  </si>
  <si>
    <t>53M</t>
  </si>
  <si>
    <t>56M</t>
  </si>
  <si>
    <t>60M</t>
  </si>
  <si>
    <t>10M</t>
  </si>
  <si>
    <t>22M</t>
  </si>
  <si>
    <t>FvgnP-mZ4kiWuHGXpmMCW9CRJRZNqwdEhdCYhq82GWJUQ0NOQUJIR000VTlJR1RSM1QyRVJNSjI5US4u</t>
  </si>
  <si>
    <t>Form1</t>
  </si>
  <si>
    <t>{88e52670-8280-4a49-9867-70abb567d987}</t>
  </si>
  <si>
    <t>Abril</t>
  </si>
  <si>
    <t xml:space="preserve"> Colônia de Pescadores Z18 de Porto Camargo - Icaraíma</t>
  </si>
  <si>
    <t>62M</t>
  </si>
  <si>
    <t>63M</t>
  </si>
  <si>
    <t>64M</t>
  </si>
  <si>
    <t>65M</t>
  </si>
  <si>
    <t>25M</t>
  </si>
  <si>
    <t>66M</t>
  </si>
  <si>
    <t>67M</t>
  </si>
  <si>
    <t>Colônia de Pescadores Profissionais Artesanais do Porto Santo Antônio Z16 - Itaquiraí/MS</t>
  </si>
  <si>
    <t>16M</t>
  </si>
  <si>
    <t>69M</t>
  </si>
  <si>
    <t>19M</t>
  </si>
  <si>
    <t>70M</t>
  </si>
  <si>
    <t>71M</t>
  </si>
  <si>
    <t>74M</t>
  </si>
  <si>
    <t>75M</t>
  </si>
  <si>
    <t>Maio</t>
  </si>
  <si>
    <t>61M</t>
  </si>
  <si>
    <t>2M</t>
  </si>
  <si>
    <t xml:space="preserve">Madeira </t>
  </si>
  <si>
    <t>76M</t>
  </si>
  <si>
    <t>Rabeta</t>
  </si>
  <si>
    <t>54M</t>
  </si>
  <si>
    <t>Sem informações de redes, espinhéis e varas</t>
  </si>
  <si>
    <t>Junho</t>
  </si>
  <si>
    <t>77M</t>
  </si>
  <si>
    <t>81M</t>
  </si>
  <si>
    <t>Julho</t>
  </si>
  <si>
    <t xml:space="preserve">Montante </t>
  </si>
  <si>
    <t>Agosto</t>
  </si>
  <si>
    <t>2 varas com anzóis 3/0</t>
  </si>
  <si>
    <t>24M</t>
  </si>
  <si>
    <t>80M</t>
  </si>
  <si>
    <t>3 varas com anzóis 6</t>
  </si>
  <si>
    <t>2 varas com anzóis 4</t>
  </si>
  <si>
    <t>79M</t>
  </si>
  <si>
    <t xml:space="preserve">Agosto </t>
  </si>
  <si>
    <t xml:space="preserve">Alumínio </t>
  </si>
  <si>
    <t>Setembro</t>
  </si>
  <si>
    <t>2 varas com anzóis 3/0 e 5/0</t>
  </si>
  <si>
    <t>Outubro</t>
  </si>
  <si>
    <t>5 varas com anzóis 4</t>
  </si>
  <si>
    <t>89M</t>
  </si>
  <si>
    <t>Prainha do Paracaí</t>
  </si>
  <si>
    <t xml:space="preserve">Porto Caiuá </t>
  </si>
  <si>
    <t xml:space="preserve">Outubro </t>
  </si>
  <si>
    <t>2 varas com anzóis 5 e 7</t>
  </si>
  <si>
    <t>86M</t>
  </si>
  <si>
    <t>8M</t>
  </si>
  <si>
    <t>20M</t>
  </si>
  <si>
    <t>2 varas com anzóis 2</t>
  </si>
  <si>
    <t>12 varas com anzóis 3/0</t>
  </si>
  <si>
    <t>1 vara com anzóis 3 e 4</t>
  </si>
  <si>
    <t>2 varas com anzóis 03 e 05</t>
  </si>
  <si>
    <t xml:space="preserve">2 varas </t>
  </si>
  <si>
    <t>2 varas com anzóis 3 e 7</t>
  </si>
  <si>
    <t xml:space="preserve">2 varas com anzóis 4/0 </t>
  </si>
  <si>
    <t>2 varas com anzóis 4/0</t>
  </si>
  <si>
    <t xml:space="preserve"> 2 varas com anzóis 4/0</t>
  </si>
  <si>
    <t xml:space="preserve"> 2 varas com anzóis 4 e 5</t>
  </si>
  <si>
    <t>2 varas com anzóis 3</t>
  </si>
  <si>
    <t>2 varas com anzóis 4 e 5</t>
  </si>
  <si>
    <t>3 varas com anzóis 6 e 8</t>
  </si>
  <si>
    <t>3 varas com anzóis 4 e 5</t>
  </si>
  <si>
    <t>3 varas com anzóis 4, 5 e 8</t>
  </si>
  <si>
    <t>3 varas com anzóis 4 e 7</t>
  </si>
  <si>
    <t>3 varas com anzóis 03, 04, 06 e 7</t>
  </si>
  <si>
    <t>3 varas com anzóis 4</t>
  </si>
  <si>
    <t>4 varas com anzóis 6</t>
  </si>
  <si>
    <t xml:space="preserve">4 varas com anzóis 6/0 </t>
  </si>
  <si>
    <t xml:space="preserve"> 5 varas com anzóis 4</t>
  </si>
  <si>
    <t>4 varas com anzóis 3/0</t>
  </si>
  <si>
    <t>4 varas com anzóis 5</t>
  </si>
  <si>
    <t>espinhéis com anzóis 8/0;  12 varas com anzóis 2</t>
  </si>
  <si>
    <t>espinhéis com anzóis 8/0; 12 varas com anzóis 3/0</t>
  </si>
  <si>
    <t>espinhéis com anzóis 2/0</t>
  </si>
  <si>
    <t xml:space="preserve">espinhéis com anzóis 5/0 </t>
  </si>
  <si>
    <t>espinhéis com anzóis 7/0 e 9/0 (sem a quantidade de anzóis e 3 cordas); 3 varas com anzóis 5</t>
  </si>
  <si>
    <t xml:space="preserve">espinhéis com anzóis 6/0; 2 varas com anzóis 3/0 </t>
  </si>
  <si>
    <t xml:space="preserve"> espinhéis com anzóis 6/0; 3 varas com anzóis 3/0</t>
  </si>
  <si>
    <t xml:space="preserve"> espinhéis com anzóis 6/0; 1 vara com anzol 1/0</t>
  </si>
  <si>
    <t>espinhéis com anzóis 9/0; 2 varas com anzóis 3</t>
  </si>
  <si>
    <t>espinhéis com 90 anzóis 9/0 e 256 anzóis 5/0; 2 varas com anzóis 3/0</t>
  </si>
  <si>
    <t>espinhéis com anzóis 8/0; 4 varas com anzóis 3/0</t>
  </si>
  <si>
    <t>espinhéis com anzóis 3/0; 2 varas com anzóis 3/0</t>
  </si>
  <si>
    <t>espinhéis com anzóis 12; redes malha 14 (5 unidades)</t>
  </si>
  <si>
    <t>espinhéis com anzóis 6 e 8; 2 varas com anzóis 4</t>
  </si>
  <si>
    <t>espinhéis com anzóis 7; 2 varas com anzóis 3</t>
  </si>
  <si>
    <t>espinhéis com anzóis 6/0; 2 varas com anzóis 3</t>
  </si>
  <si>
    <t>espinhéis com anzóis 6 (sem informação de quantidade; 1 corda); 1 vara com anzol 2</t>
  </si>
  <si>
    <t>espinhéis com anzóis 5/0; 3 varas com anzóis 4</t>
  </si>
  <si>
    <t>espinhéis com anzóis 9/0 e 6 (3 e 5 cordas); 3 varas com anzóis 3/0 e 5/0</t>
  </si>
  <si>
    <t>espinhéis com anzóis 6/0; 2 varas com anzóis 3/0</t>
  </si>
  <si>
    <t>espinhéis com 3 anzóis 05</t>
  </si>
  <si>
    <t>espinhéis com anzóis 4/0; 3 varas com anzóis 03, 04, 06, 0,7</t>
  </si>
  <si>
    <t xml:space="preserve">espinhéis com anzóis 3/0 </t>
  </si>
  <si>
    <t>espinhéis com 90 anzóis 5/0 e 45 com 9/0; 2 varas com anzóis 3/0</t>
  </si>
  <si>
    <t>espinhéis com 50 anzóis 5/0 e 30 com 8/0; 2 varas com anzóis 3/0</t>
  </si>
  <si>
    <t xml:space="preserve">espinhéis com anzóis 6 </t>
  </si>
  <si>
    <t xml:space="preserve"> espinhéis com anzóis 7 </t>
  </si>
  <si>
    <t xml:space="preserve"> espinhéis com anzóis 16; 2 varas com anzóis 3</t>
  </si>
  <si>
    <t>espinhéis com anzóis 10/0; 2 varas com anzóis 4</t>
  </si>
  <si>
    <t xml:space="preserve"> espinhéis com anzóis 2/0</t>
  </si>
  <si>
    <t xml:space="preserve"> espinhéis com 45 anzóis 6/0 e 27 com 8/0; 2 varas com anzóis 3/0</t>
  </si>
  <si>
    <t xml:space="preserve"> espinhéis com anzóis 8/0; 2 varas com anzóis 3/0</t>
  </si>
  <si>
    <t>espinhéis com 125 anzóis 6/0 e 38 anzóis 9/0</t>
  </si>
  <si>
    <t>espinhéis com anzóis 7/0; 2 varas com anzóis 3/0</t>
  </si>
  <si>
    <t>espinhéis com anzóis 3/0</t>
  </si>
  <si>
    <t>espinhéis com anzóis 06; 2 varas com anzóis 4</t>
  </si>
  <si>
    <t>espinhéis com anzóis 16 ; 2 varas com anzóis 4</t>
  </si>
  <si>
    <t xml:space="preserve"> espinhéis com anzóis 5/0 </t>
  </si>
  <si>
    <t>espinhéis com 25 anzóis 6/0 e 15 anzóis 8/0; 2 varas com anzóis 3/0</t>
  </si>
  <si>
    <t>espinhéis com anzóis 9/0</t>
  </si>
  <si>
    <t>espinhéis com anzóis 9/0;  2 varas com anzóis 2; anzol de galho</t>
  </si>
  <si>
    <t>espinhéis com anzóis 8/0; 2 varas com anzóis 3/0</t>
  </si>
  <si>
    <t>espinhéis com anzóis 9/0; 2 varas com anzóis 3/0</t>
  </si>
  <si>
    <t xml:space="preserve">espinhéis com 25 anzóis 6/0 e e 15 anzóis 9/0 </t>
  </si>
  <si>
    <t>espinhéis com anzóis 8; somente o total de peixes</t>
  </si>
  <si>
    <t>espinhéis com anzóis 6/0; 2 varas com anzóis 4; somente o total de peixes</t>
  </si>
  <si>
    <t>espinhéis com anzóis 6; somente o total de peixes</t>
  </si>
  <si>
    <t>espinhéis com 60 anzóis 6 e 30 anzóis 8; 2 varas com anzóis 3; somente o total de peixes</t>
  </si>
  <si>
    <t>espinhéis com anzóis 7/0; 3 varas com anzóis 4</t>
  </si>
  <si>
    <t>espinhéis com anzóis 7/0; 4 varas com anzóis 2</t>
  </si>
  <si>
    <t>espinhéis com anzóis 10/0</t>
  </si>
  <si>
    <t>espinhéis com anzóis 5/0</t>
  </si>
  <si>
    <t>espinhéis com anzóis 8/0; 2 varas com anzóis 4</t>
  </si>
  <si>
    <t>espinhéis com anzóis 6/0; 2 varas com anzóis 4</t>
  </si>
  <si>
    <t>espinhéis com 260 anzóis 7/0, 40 anzóis 12/0 e 60 anzóis 8/0; 6 varas com anzóis 5</t>
  </si>
  <si>
    <t>espinhéis com anzóis 9/0; 2 varas com anzóis 5/0</t>
  </si>
  <si>
    <t>espinhéis com 125 anzóis 6/0 e 45 anzóis 9/0</t>
  </si>
  <si>
    <t>espinhéis com anzóis 9; 3 varas com anzóis 5</t>
  </si>
  <si>
    <t xml:space="preserve">espinhéis com anzóis 9/0 </t>
  </si>
  <si>
    <t>espinhéis com anzóis 4/0</t>
  </si>
  <si>
    <t>espinhéis com anzóis 4/0; 3 varas com anzóis 2, 3 e 4</t>
  </si>
  <si>
    <t>espinhéis com anzóis 9/0; 4 varas com anzóis 3 e 5</t>
  </si>
  <si>
    <t>espinhéis com 42 anzóis 6/0 e 70 anzóis 9/0; 6 varas com anzóis 5; tarrafa</t>
  </si>
  <si>
    <t>espinhéis com anzóis 9/0; 7 varas com anzóis 8/0</t>
  </si>
  <si>
    <t>espinhéis com 100 anzóis 5/0, 20 anzóis 7/0 e 40 anzóis 9/0; 3 varas com anzóis 2 e 6; 15 anzóis de galho</t>
  </si>
  <si>
    <t xml:space="preserve">espinhéis com 150 anzóis 5/0 e 45 anzóis 9/0 </t>
  </si>
  <si>
    <t>espinhéis com anzóis 6/0</t>
  </si>
  <si>
    <t>redes malha 14; espinhéis com anzóis 7/0;  4 varas com anzóis 3/0</t>
  </si>
  <si>
    <t>redes malha 14 e 16; 2 varas com anzóis 3/0</t>
  </si>
  <si>
    <t>redes malha 14 e 16; espinhéis com anzóis 5, 7, 8 e 12 (sem a quantidade de anzóis e 3,5m de corda para cada); 8 varas com anzóis 12</t>
  </si>
  <si>
    <t>redes malha 14, 16 e 18; espinhéis com anzóis 4, 5, 6 e 9 (80 anzóis de cada)</t>
  </si>
  <si>
    <t>redes malha 14</t>
  </si>
  <si>
    <t>redes malha 14; espinhéis com anzóis 9/0 (sem a quantidade de anzóis e 3 cordas); 2 varas com anzóis 3</t>
  </si>
  <si>
    <t xml:space="preserve">redes malha 18; espinhéis com anzóis 9/0 </t>
  </si>
  <si>
    <t>redes malha 14 e 16; 2 varas com anzóis 4/0</t>
  </si>
  <si>
    <t>redes malha 16; 1 vara com anzol 3/0</t>
  </si>
  <si>
    <t>redes malha 14, 16 e 18 (não informou a quantidade); 2 varas com anzóis 3/0</t>
  </si>
  <si>
    <t xml:space="preserve">redes malha 16; espinhéis com 300 anzóis 8/0 e 200 anzóis 5/0 </t>
  </si>
  <si>
    <t>redes malha 14 e 16;  2 varas com anzóis 4/0</t>
  </si>
  <si>
    <t xml:space="preserve"> espinhéis com 150 anzóis 5/0 e 45 anzóis 9/0 </t>
  </si>
  <si>
    <t>redes malha 16; espinhéis com anzóis 6/0; 2 varas com anzóis 3</t>
  </si>
  <si>
    <t>redes malha 14 e 16</t>
  </si>
  <si>
    <t xml:space="preserve">redes malha 14, 16, 20 e 22; espinhéis com anzóis 5 </t>
  </si>
  <si>
    <t>redes malha 14; espinhéis com anzóis 9/0; 10 varas com anzóis 5</t>
  </si>
  <si>
    <t>redes malha 14 e 16; espinhéis com anzóis 9, 5 e 7 (6, 3 e 4 cordas); 3 varas com anzóis 2 e 6</t>
  </si>
  <si>
    <t>redes malha 14, 16, 22 e 24</t>
  </si>
  <si>
    <t>redes malha 16; espinhéis com anzóis 6/0; 2 varas com anzóis 5/0</t>
  </si>
  <si>
    <t>redes malha 14; 2 varas com anzóis 3/0</t>
  </si>
  <si>
    <t>redes malha 14; espinhéis com anzóis 5/0; 2 varas com anzóis 3/0</t>
  </si>
  <si>
    <t>redes malha 16; espinhéis com anzóis 5/0</t>
  </si>
  <si>
    <t>redes malha 16 e 18; espinhéis com anzóis 6/0 e 9/0 (checar quantidade)</t>
  </si>
  <si>
    <t>redes malha 14; espinhéis com 75 anzóis 5/0</t>
  </si>
  <si>
    <t xml:space="preserve">redes malha 14; espinhéis com 100 anzóis 5/0 e 50 anzóis 7/0 </t>
  </si>
  <si>
    <t>redes malha 16; 2 varas com anzóis 4</t>
  </si>
  <si>
    <t>redes malha 14 e 16; 2 varas com anzóis 4</t>
  </si>
  <si>
    <t xml:space="preserve"> redes malha 16, 18, 20 e 24; espinhéis com 80 anzóis 9, 320 anzóis 10, 210 anzóis 8 e 120 anzóis 6; 5 varas com anzóis 6</t>
  </si>
  <si>
    <t>redes malha 16</t>
  </si>
  <si>
    <t>redes malha 16; espinhéis com anzóis 8/0 ; 2 varas com anzóis 4</t>
  </si>
  <si>
    <t>redes malha 14; espinhéis com anzóis 8/0; 2 varas com anzóis 3/0</t>
  </si>
  <si>
    <t>redes malha 14; espinhéis com anzóis 5/0</t>
  </si>
  <si>
    <t>redes malha 14; espinhéis com anzóis 6/0 ; 2 varas com anzóis 4/0</t>
  </si>
  <si>
    <t>redes malha 14; espinhéis com anzóis 6/0 ; 2 varas com anzóis 3</t>
  </si>
  <si>
    <t>redes malha 14; espinhéis com anzóis 6; 2 varas com anzóis 3</t>
  </si>
  <si>
    <t xml:space="preserve">redes malha 16; espinhéis com anzóis 6 </t>
  </si>
  <si>
    <t xml:space="preserve">redes malha 16; tamanho incorreto de anzóis dos espinhéis  </t>
  </si>
  <si>
    <t>redes malha 15; 2 varas com anzóis 4</t>
  </si>
  <si>
    <t>redes malha 14; espinhéis com anzóis 6/0; 2 varas com anzóis 4/0</t>
  </si>
  <si>
    <t>redes malha 14; espinhéis com anzóis 6/0; 2 varas com anzóis 4</t>
  </si>
  <si>
    <t>redes malha 14; espinhéis com anzóis 6/0; 2 varas com anzóis 3</t>
  </si>
  <si>
    <t>Informações iguais as do código 12M</t>
  </si>
  <si>
    <t xml:space="preserve">redes malha 14 </t>
  </si>
  <si>
    <t>redes malha 14, 16 e 18</t>
  </si>
  <si>
    <t>redes malha 14 e 16; espinhéis com anzóis 9 (6 cordas), 5 (3 cordas) e 7 (4 cordas); 3 varas com anzóis 2/6; 15 anzóis de galho</t>
  </si>
  <si>
    <t xml:space="preserve">redes malha 10 e 18; espinhéis com anzóis 10 </t>
  </si>
  <si>
    <t>redes malha 16; espinhéis com anzóis 9/0; anzóis de galho</t>
  </si>
  <si>
    <t xml:space="preserve">redes malha 14 e 16; espinhéis com anzóis 9/0 </t>
  </si>
  <si>
    <t xml:space="preserve">redes malha 16; espinhéis com anzóis 5/0 </t>
  </si>
  <si>
    <t xml:space="preserve">redes malha 16; sem medidas de rede; espinhéis com anzóis 5/0 </t>
  </si>
  <si>
    <t xml:space="preserve">redes malha 14; espinhéis com anzóis 5/0 </t>
  </si>
  <si>
    <t>redes malha 14; espinhéis com anzóis 9/0; 2 varas com anzóis 3/0</t>
  </si>
  <si>
    <t>redes malha 18; espinhéis com anzóis 10; 20 varas com anzóis 20</t>
  </si>
  <si>
    <t xml:space="preserve">redes malha 10; espinhéis com anzóis 10 </t>
  </si>
  <si>
    <t>redes malha 16; espinhéis com anzóis 10; 25 varas com anzóis 10</t>
  </si>
  <si>
    <t>redes malha 14; espinhéis com anzóis 6; 2 varas com anzóis 3/0</t>
  </si>
  <si>
    <t>redes malha 14 e 16; espinhéis com anzóis 6; 2 varas com anzóis 4; somente o total de peixes</t>
  </si>
  <si>
    <t>redes malha 14; espinhéis com anzóis 6/0; 2 varas com anzóis 4; somente o total de peixes</t>
  </si>
  <si>
    <t>redes malha 14; espinhéis com 75 anzóis 5/0 e 36 anzóis 8/0</t>
  </si>
  <si>
    <t>redes malha 14 e 16; espinhéis com anzóis 5/0</t>
  </si>
  <si>
    <t>redes malha 14; espinhéis com 100 anzóis 6/0 e 45 anzóis 9/0; 2 varas com anzóis 3/0</t>
  </si>
  <si>
    <t>redes malha 16 e 18; espinhéis com anzóis 6 (3500 cordas ?) e anzóis 2 (3500 cordas?); 2 varas com anzóis 4/0</t>
  </si>
  <si>
    <t>redes malha 16; espinhéis com anzóis 6 (3 cordas), anzóis 2 (3 cordas) e anzóis 10/0 (3 cordas); 5 varas com anzóis 6</t>
  </si>
  <si>
    <t>redes malha 14 e 16; espinhéis com anzóis 5/0 e 6/0; 2 varas com anzóis 5/0</t>
  </si>
  <si>
    <t xml:space="preserve"> 2 varas com anzóis 2</t>
  </si>
  <si>
    <t>3 varas com anzóis 2</t>
  </si>
  <si>
    <t>4 varas com anzóis 2</t>
  </si>
  <si>
    <t>redes malha 14, 16, 18 e 20; espinhéis com anzóis 9, 10, 8 e 7 (5, 4, 3 e 2 cordas); 5 varas com anzóis 10/0</t>
  </si>
  <si>
    <t>redes malha 20; espinhéis com anzóis 9/0; 4 varas com anzóis 5</t>
  </si>
  <si>
    <t>redes malha 14; espinhéis com 45 anzóis 5/0 e 60 anzóis 8/0; 2 varas com anzóis 3/0</t>
  </si>
  <si>
    <t xml:space="preserve">redes malha 14 e 16; espinhéis com anzóis 5/0 </t>
  </si>
  <si>
    <t xml:space="preserve"> espinhéis com 100 anzóis 6/0 e 45 anzóis 8/0</t>
  </si>
  <si>
    <t>redes malha 14; espinhéis com 75 anzóis 5/0 e 45 anzóis 8/0</t>
  </si>
  <si>
    <t>Sem informações de redes, espinhéis, varas e HP</t>
  </si>
  <si>
    <t>redes malha 16; espinhéis com 18 anzóis sem tamanho e 3 cordas; 5 varas com anzóis 6</t>
  </si>
  <si>
    <t>redes malha 14; 3 varas com anzóis 5 e 6</t>
  </si>
  <si>
    <t xml:space="preserve">espinhéis com 175 anzóis 5/0 e 45 anzóis 9/0 </t>
  </si>
  <si>
    <t>espinhéis com 70 anzóis 5/0 e 34 azóis 7/0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</si>
</sst>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11"/>
      <color rgb="FFFF0000"/>
      <name val="Calibri"/>
      <family val="2"/>
    </font>
    <font>
      <b/>
      <vertAlign val="superscript"/>
      <sz val="11"/>
      <color theme="1"/>
      <name val="Calibri"/>
      <family val="2"/>
    </font>
    <font>
      <sz val="8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14" fontId="3" fillId="0" borderId="0" xfId="0" applyNumberFormat="1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0" fontId="7" fillId="0" borderId="0" xfId="0" applyFont="1" applyAlignment="1">
      <alignment horizontal="center" wrapText="1"/>
    </xf>
    <xf numFmtId="14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49" fontId="5" fillId="0" borderId="0" xfId="0" applyNumberFormat="1" applyFont="1"/>
    <xf numFmtId="0" fontId="5" fillId="0" borderId="0" xfId="0" applyFont="1"/>
    <xf numFmtId="1" fontId="5" fillId="0" borderId="0" xfId="0" applyNumberFormat="1" applyFont="1" applyAlignment="1">
      <alignment horizontal="center"/>
    </xf>
    <xf numFmtId="2" fontId="8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2" fillId="0" borderId="0" xfId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E82BFB88-3833-4AFF-BD8D-28F1BD26D5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este/Desktop/Rendimento%20-%20Abril%20202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Banco%20de%20dados%20202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es"/>
      <sheetName val="Colônias e Associações"/>
      <sheetName val="Banco de dados "/>
      <sheetName val="_56F9DC9755BA473782653E2940F9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 202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4.42578125" defaultRowHeight="15" customHeight="1" x14ac:dyDescent="0.25"/>
  <cols>
    <col min="1" max="1" width="35.28515625" customWidth="1"/>
    <col min="2" max="2" width="9.140625" customWidth="1"/>
    <col min="3" max="3" width="16.7109375" customWidth="1"/>
    <col min="4" max="6" width="9.140625" customWidth="1"/>
    <col min="7" max="7" width="8" customWidth="1"/>
    <col min="8" max="8" width="16.7109375" customWidth="1"/>
    <col min="9" max="9" width="12.85546875" customWidth="1"/>
    <col min="10" max="23" width="8" customWidth="1"/>
  </cols>
  <sheetData>
    <row r="1" spans="1:26" ht="14.25" customHeight="1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 x14ac:dyDescent="0.25">
      <c r="A2" s="3" t="s">
        <v>1</v>
      </c>
      <c r="B2" s="2"/>
      <c r="C2" s="3" t="s">
        <v>1</v>
      </c>
      <c r="D2" s="3"/>
      <c r="E2" s="3"/>
      <c r="F2" s="3"/>
      <c r="G2" s="2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 x14ac:dyDescent="0.25">
      <c r="A3" s="3" t="s">
        <v>2</v>
      </c>
      <c r="B3" s="2"/>
      <c r="C3" s="3" t="s">
        <v>3</v>
      </c>
      <c r="D3" s="3"/>
      <c r="E3" s="3"/>
      <c r="F3" s="3"/>
      <c r="G3" s="3"/>
      <c r="H3" s="3"/>
      <c r="I3" s="3"/>
      <c r="J3" s="3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25">
      <c r="A4" s="3" t="s">
        <v>4</v>
      </c>
      <c r="B4" s="3"/>
      <c r="C4" s="3" t="s">
        <v>5</v>
      </c>
      <c r="D4" s="3"/>
      <c r="E4" s="3"/>
      <c r="F4" s="3"/>
      <c r="G4" s="3"/>
      <c r="H4" s="3"/>
      <c r="I4" s="3"/>
      <c r="J4" s="3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25">
      <c r="A5" s="3" t="s">
        <v>6</v>
      </c>
      <c r="B5" s="2"/>
      <c r="C5" s="3" t="s">
        <v>7</v>
      </c>
      <c r="D5" s="3"/>
      <c r="E5" s="3"/>
      <c r="F5" s="3"/>
      <c r="G5" s="3"/>
      <c r="H5" s="3"/>
      <c r="I5" s="3"/>
      <c r="J5" s="3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25">
      <c r="A6" s="3" t="s">
        <v>8</v>
      </c>
      <c r="B6" s="2"/>
      <c r="C6" s="3" t="s">
        <v>2</v>
      </c>
      <c r="D6" s="2"/>
      <c r="E6" s="3"/>
      <c r="F6" s="3"/>
      <c r="G6" s="3"/>
      <c r="H6" s="3"/>
      <c r="I6" s="3"/>
      <c r="J6" s="3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25">
      <c r="A7" s="3" t="s">
        <v>9</v>
      </c>
      <c r="B7" s="2"/>
      <c r="C7" s="3" t="s">
        <v>10</v>
      </c>
      <c r="D7" s="2"/>
      <c r="E7" s="3"/>
      <c r="F7" s="3"/>
      <c r="G7" s="3"/>
      <c r="H7" s="3"/>
      <c r="I7" s="3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25">
      <c r="A8" s="3" t="s">
        <v>5</v>
      </c>
      <c r="B8" s="2"/>
      <c r="C8" s="3" t="s">
        <v>6</v>
      </c>
      <c r="D8" s="2"/>
      <c r="E8" s="3"/>
      <c r="F8" s="3"/>
      <c r="G8" s="2"/>
      <c r="H8" s="3"/>
      <c r="I8" s="3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25">
      <c r="A9" s="3" t="s">
        <v>3</v>
      </c>
      <c r="B9" s="2"/>
      <c r="C9" s="3" t="s">
        <v>9</v>
      </c>
      <c r="D9" s="2"/>
      <c r="E9" s="3"/>
      <c r="F9" s="2"/>
      <c r="G9" s="2"/>
      <c r="H9" s="3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25">
      <c r="A10" s="3" t="s">
        <v>11</v>
      </c>
      <c r="B10" s="2"/>
      <c r="C10" s="3" t="s">
        <v>12</v>
      </c>
      <c r="D10" s="2"/>
      <c r="E10" s="3"/>
      <c r="F10" s="2"/>
      <c r="G10" s="2"/>
      <c r="H10" s="3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25">
      <c r="A11" s="3" t="s">
        <v>13</v>
      </c>
      <c r="B11" s="2"/>
      <c r="C11" s="3" t="s">
        <v>14</v>
      </c>
      <c r="D11" s="2"/>
      <c r="E11" s="3"/>
      <c r="F11" s="2"/>
      <c r="G11" s="2"/>
      <c r="H11" s="3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25">
      <c r="A12" s="3" t="s">
        <v>15</v>
      </c>
      <c r="B12" s="2"/>
      <c r="C12" s="3" t="s">
        <v>16</v>
      </c>
      <c r="D12" s="2"/>
      <c r="E12" s="2"/>
      <c r="F12" s="2"/>
      <c r="G12" s="2"/>
      <c r="H12" s="3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25">
      <c r="A13" s="3" t="s">
        <v>17</v>
      </c>
      <c r="B13" s="2"/>
      <c r="C13" s="3" t="s">
        <v>18</v>
      </c>
      <c r="D13" s="2"/>
      <c r="E13" s="2"/>
      <c r="F13" s="2"/>
      <c r="G13" s="2"/>
      <c r="H13" s="3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25">
      <c r="A14" s="3" t="s">
        <v>19</v>
      </c>
      <c r="B14" s="2"/>
      <c r="C14" s="3" t="s">
        <v>19</v>
      </c>
      <c r="D14" s="2"/>
      <c r="E14" s="2"/>
      <c r="F14" s="2"/>
      <c r="G14" s="2"/>
      <c r="H14" s="3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25">
      <c r="A15" s="3" t="s">
        <v>20</v>
      </c>
      <c r="B15" s="2"/>
      <c r="C15" s="3" t="s">
        <v>21</v>
      </c>
      <c r="D15" s="2"/>
      <c r="E15" s="2"/>
      <c r="F15" s="2"/>
      <c r="G15" s="2"/>
      <c r="H15" s="3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25">
      <c r="A16" s="3" t="s">
        <v>22</v>
      </c>
      <c r="B16" s="2"/>
      <c r="C16" s="3" t="s">
        <v>23</v>
      </c>
      <c r="D16" s="2"/>
      <c r="E16" s="2"/>
      <c r="F16" s="3"/>
      <c r="G16" s="2"/>
      <c r="H16" s="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25">
      <c r="A17" s="3" t="s">
        <v>7</v>
      </c>
      <c r="B17" s="2"/>
      <c r="C17" s="3" t="s">
        <v>24</v>
      </c>
      <c r="D17" s="2"/>
      <c r="E17" s="2"/>
      <c r="F17" s="3"/>
      <c r="G17" s="2"/>
      <c r="H17" s="3"/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25">
      <c r="A18" s="3" t="s">
        <v>18</v>
      </c>
      <c r="B18" s="2"/>
      <c r="C18" s="3" t="s">
        <v>25</v>
      </c>
      <c r="D18" s="2"/>
      <c r="E18" s="3"/>
      <c r="F18" s="3"/>
      <c r="G18" s="2"/>
      <c r="H18" s="3"/>
      <c r="I18" s="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25">
      <c r="A19" s="3" t="s">
        <v>14</v>
      </c>
      <c r="B19" s="2"/>
      <c r="C19" s="3" t="s">
        <v>13</v>
      </c>
      <c r="D19" s="2"/>
      <c r="E19" s="3"/>
      <c r="F19" s="3"/>
      <c r="G19" s="2"/>
      <c r="H19" s="3"/>
      <c r="I19" s="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25">
      <c r="A20" s="3" t="s">
        <v>26</v>
      </c>
      <c r="B20" s="2"/>
      <c r="C20" s="3" t="s">
        <v>22</v>
      </c>
      <c r="D20" s="2"/>
      <c r="E20" s="3"/>
      <c r="F20" s="3"/>
      <c r="G20" s="2"/>
      <c r="H20" s="3"/>
      <c r="I20" s="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25">
      <c r="A21" s="3" t="s">
        <v>25</v>
      </c>
      <c r="B21" s="2"/>
      <c r="C21" s="3" t="s">
        <v>4</v>
      </c>
      <c r="D21" s="2"/>
      <c r="E21" s="2"/>
      <c r="F21" s="3"/>
      <c r="G21" s="2"/>
      <c r="H21" s="3"/>
      <c r="I21" s="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25">
      <c r="A22" s="3" t="s">
        <v>23</v>
      </c>
      <c r="B22" s="2"/>
      <c r="C22" s="3" t="s">
        <v>27</v>
      </c>
      <c r="D22" s="2"/>
      <c r="E22" s="2"/>
      <c r="F22" s="3"/>
      <c r="G22" s="2"/>
      <c r="H22" s="3"/>
      <c r="I22" s="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25">
      <c r="A23" s="3" t="s">
        <v>24</v>
      </c>
      <c r="B23" s="2"/>
      <c r="C23" s="3" t="s">
        <v>11</v>
      </c>
      <c r="D23" s="2"/>
      <c r="E23" s="2"/>
      <c r="F23" s="3"/>
      <c r="G23" s="2"/>
      <c r="H23" s="3"/>
      <c r="I23" s="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25">
      <c r="A24" s="3" t="s">
        <v>28</v>
      </c>
      <c r="B24" s="2"/>
      <c r="C24" s="3" t="s">
        <v>17</v>
      </c>
      <c r="D24" s="2"/>
      <c r="E24" s="2"/>
      <c r="F24" s="2"/>
      <c r="G24" s="2"/>
      <c r="H24" s="3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25">
      <c r="A25" s="3" t="s">
        <v>27</v>
      </c>
      <c r="B25" s="2"/>
      <c r="C25" s="3" t="s">
        <v>15</v>
      </c>
      <c r="D25" s="2"/>
      <c r="E25" s="2"/>
      <c r="F25" s="2"/>
      <c r="G25" s="2"/>
      <c r="H25" s="3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25">
      <c r="A26" s="3" t="s">
        <v>21</v>
      </c>
      <c r="B26" s="2"/>
      <c r="C26" s="3" t="s">
        <v>28</v>
      </c>
      <c r="D26" s="2"/>
      <c r="E26" s="2"/>
      <c r="F26" s="2"/>
      <c r="G26" s="2"/>
      <c r="H26" s="3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25">
      <c r="A27" s="3" t="s">
        <v>29</v>
      </c>
      <c r="B27" s="2"/>
      <c r="C27" s="3" t="s">
        <v>8</v>
      </c>
      <c r="D27" s="2"/>
      <c r="E27" s="2"/>
      <c r="F27" s="3"/>
      <c r="G27" s="3"/>
      <c r="H27" s="3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25">
      <c r="A28" s="3" t="s">
        <v>30</v>
      </c>
      <c r="B28" s="2"/>
      <c r="C28" s="3" t="s">
        <v>30</v>
      </c>
      <c r="D28" s="2"/>
      <c r="E28" s="2"/>
      <c r="F28" s="3"/>
      <c r="G28" s="3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25">
      <c r="A29" s="3" t="s">
        <v>10</v>
      </c>
      <c r="B29" s="2"/>
      <c r="C29" s="3" t="s">
        <v>29</v>
      </c>
      <c r="D29" s="2"/>
      <c r="E29" s="2"/>
      <c r="F29" s="3"/>
      <c r="G29" s="3"/>
      <c r="H29" s="3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25">
      <c r="A30" s="3" t="s">
        <v>12</v>
      </c>
      <c r="B30" s="2"/>
      <c r="C30" s="3" t="s">
        <v>20</v>
      </c>
      <c r="D30" s="2"/>
      <c r="E30" s="2"/>
      <c r="F30" s="3"/>
      <c r="G30" s="3"/>
      <c r="H30" s="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25">
      <c r="A31" s="2"/>
      <c r="B31" s="2"/>
      <c r="C31" s="2"/>
      <c r="D31" s="2"/>
      <c r="E31" s="2"/>
      <c r="F31" s="2"/>
      <c r="G31" s="3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25">
      <c r="A32" s="2"/>
      <c r="B32" s="2"/>
      <c r="C32" s="2"/>
      <c r="D32" s="2"/>
      <c r="E32" s="2"/>
      <c r="F32" s="2"/>
      <c r="G32" s="3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25">
      <c r="A37" s="2"/>
      <c r="B37" s="2"/>
      <c r="C37" s="3"/>
      <c r="D37" s="2"/>
      <c r="E37" s="2"/>
      <c r="F37" s="2"/>
      <c r="G37" s="2"/>
      <c r="H37" s="3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25">
      <c r="A38" s="2"/>
      <c r="B38" s="2"/>
      <c r="C38" s="3"/>
      <c r="D38" s="2"/>
      <c r="E38" s="2"/>
      <c r="F38" s="2"/>
      <c r="G38" s="2"/>
      <c r="H38" s="3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25">
      <c r="A39" s="2"/>
      <c r="B39" s="2"/>
      <c r="C39" s="3"/>
      <c r="D39" s="2"/>
      <c r="E39" s="2"/>
      <c r="F39" s="2"/>
      <c r="G39" s="2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25">
      <c r="A40" s="2"/>
      <c r="B40" s="2"/>
      <c r="C40" s="3"/>
      <c r="D40" s="2"/>
      <c r="E40" s="2"/>
      <c r="F40" s="2"/>
      <c r="G40" s="2"/>
      <c r="H40" s="3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25">
      <c r="A41" s="2"/>
      <c r="B41" s="2"/>
      <c r="C41" s="3"/>
      <c r="D41" s="2"/>
      <c r="E41" s="2"/>
      <c r="F41" s="2"/>
      <c r="G41" s="2"/>
      <c r="H41" s="3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25">
      <c r="A42" s="2"/>
      <c r="B42" s="2"/>
      <c r="C42" s="3"/>
      <c r="D42" s="2"/>
      <c r="E42" s="2"/>
      <c r="F42" s="2"/>
      <c r="G42" s="2"/>
      <c r="H42" s="3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25">
      <c r="A43" s="2"/>
      <c r="B43" s="2"/>
      <c r="C43" s="3"/>
      <c r="D43" s="2"/>
      <c r="E43" s="2"/>
      <c r="F43" s="2"/>
      <c r="G43" s="2"/>
      <c r="H43" s="3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25">
      <c r="A44" s="2"/>
      <c r="B44" s="2"/>
      <c r="C44" s="3"/>
      <c r="D44" s="2"/>
      <c r="E44" s="2"/>
      <c r="F44" s="2"/>
      <c r="G44" s="2"/>
      <c r="H44" s="3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25">
      <c r="A45" s="2"/>
      <c r="B45" s="2"/>
      <c r="C45" s="3"/>
      <c r="D45" s="2"/>
      <c r="E45" s="2"/>
      <c r="F45" s="2"/>
      <c r="G45" s="2"/>
      <c r="H45" s="3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25">
      <c r="A46" s="2"/>
      <c r="B46" s="2"/>
      <c r="C46" s="3"/>
      <c r="D46" s="2"/>
      <c r="E46" s="2"/>
      <c r="F46" s="2"/>
      <c r="G46" s="2"/>
      <c r="H46" s="3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25">
      <c r="A47" s="2"/>
      <c r="B47" s="2"/>
      <c r="C47" s="3"/>
      <c r="D47" s="2"/>
      <c r="E47" s="2"/>
      <c r="F47" s="2"/>
      <c r="G47" s="2"/>
      <c r="H47" s="3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25">
      <c r="A48" s="2"/>
      <c r="B48" s="2"/>
      <c r="C48" s="3"/>
      <c r="D48" s="2"/>
      <c r="E48" s="2"/>
      <c r="F48" s="2"/>
      <c r="G48" s="2"/>
      <c r="H48" s="3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25">
      <c r="A49" s="2"/>
      <c r="B49" s="2"/>
      <c r="C49" s="3"/>
      <c r="D49" s="2"/>
      <c r="E49" s="2"/>
      <c r="F49" s="2"/>
      <c r="G49" s="2"/>
      <c r="H49" s="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25">
      <c r="A50" s="2"/>
      <c r="B50" s="2"/>
      <c r="C50" s="3"/>
      <c r="D50" s="2"/>
      <c r="E50" s="2"/>
      <c r="F50" s="2"/>
      <c r="G50" s="2"/>
      <c r="H50" s="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25">
      <c r="A51" s="2"/>
      <c r="B51" s="2"/>
      <c r="C51" s="3"/>
      <c r="D51" s="2"/>
      <c r="E51" s="2"/>
      <c r="F51" s="2"/>
      <c r="G51" s="2"/>
      <c r="H51" s="3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type="list" allowBlank="1" showDropDown="1" showErrorMessage="1" sqref="P1:P986" xr:uid="{00000000-0002-0000-0000-000000000000}">
      <formula1>"Opção 1,Opção 2"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 x14ac:dyDescent="0.25"/>
  <cols>
    <col min="1" max="2" width="8.85546875" customWidth="1"/>
    <col min="3" max="3" width="83" customWidth="1"/>
    <col min="4" max="26" width="8.85546875" customWidth="1"/>
  </cols>
  <sheetData>
    <row r="1" spans="1:26" ht="15" customHeight="1" x14ac:dyDescent="0.25">
      <c r="A1" s="4"/>
      <c r="B1" s="4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" customHeight="1" x14ac:dyDescent="0.25">
      <c r="A2" s="4"/>
      <c r="B2" s="4"/>
      <c r="C2" s="5" t="s">
        <v>31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" customHeight="1" x14ac:dyDescent="0.25">
      <c r="A3" s="4"/>
      <c r="B3" s="4"/>
      <c r="C3" s="5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" customHeight="1" x14ac:dyDescent="0.25">
      <c r="A4" s="4"/>
      <c r="B4" s="4"/>
      <c r="C4" s="3" t="s">
        <v>32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" customHeight="1" x14ac:dyDescent="0.25">
      <c r="A5" s="4"/>
      <c r="B5" s="4"/>
      <c r="C5" s="3" t="s">
        <v>33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" customHeight="1" x14ac:dyDescent="0.25">
      <c r="A6" s="4"/>
      <c r="B6" s="4"/>
      <c r="C6" s="3" t="s">
        <v>34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" customHeight="1" x14ac:dyDescent="0.25">
      <c r="A7" s="4"/>
      <c r="B7" s="4"/>
      <c r="C7" s="3" t="s">
        <v>35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" customHeight="1" x14ac:dyDescent="0.25">
      <c r="A8" s="4"/>
      <c r="B8" s="4"/>
      <c r="C8" s="3" t="s">
        <v>36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" customHeight="1" x14ac:dyDescent="0.25">
      <c r="A9" s="4"/>
      <c r="B9" s="4"/>
      <c r="C9" s="3" t="s">
        <v>37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" customHeight="1" x14ac:dyDescent="0.25">
      <c r="A10" s="4"/>
      <c r="B10" s="4"/>
      <c r="C10" s="3" t="s">
        <v>38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" customHeight="1" x14ac:dyDescent="0.25">
      <c r="A11" s="4"/>
      <c r="B11" s="4"/>
      <c r="C11" s="3" t="s">
        <v>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" customHeight="1" x14ac:dyDescent="0.25">
      <c r="A12" s="4"/>
      <c r="B12" s="4"/>
      <c r="C12" s="3" t="s">
        <v>40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" customHeight="1" x14ac:dyDescent="0.25">
      <c r="A13" s="4"/>
      <c r="B13" s="4"/>
      <c r="C13" s="3" t="s">
        <v>41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" customHeight="1" x14ac:dyDescent="0.25">
      <c r="A14" s="4"/>
      <c r="B14" s="4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" customHeight="1" x14ac:dyDescent="0.25">
      <c r="A15" s="4"/>
      <c r="B15" s="4"/>
      <c r="C15" s="3" t="s">
        <v>42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" customHeight="1" x14ac:dyDescent="0.25">
      <c r="A16" s="4"/>
      <c r="B16" s="4"/>
      <c r="C16" s="3" t="s">
        <v>43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" customHeight="1" x14ac:dyDescent="0.25">
      <c r="A17" s="4"/>
      <c r="B17" s="4"/>
      <c r="C17" s="3" t="s">
        <v>44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" customHeight="1" x14ac:dyDescent="0.25">
      <c r="A18" s="4"/>
      <c r="B18" s="4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" customHeight="1" x14ac:dyDescent="0.25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" customHeight="1" x14ac:dyDescent="0.25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" customHeight="1" x14ac:dyDescent="0.25">
      <c r="A21" s="4"/>
      <c r="B21" s="4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" customHeight="1" x14ac:dyDescent="0.25">
      <c r="A22" s="4"/>
      <c r="B22" s="4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" customHeight="1" x14ac:dyDescent="0.25">
      <c r="A23" s="4"/>
      <c r="B23" s="4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x14ac:dyDescent="0.25">
      <c r="A24" s="4"/>
      <c r="B24" s="4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x14ac:dyDescent="0.25">
      <c r="A25" s="4"/>
      <c r="B25" s="4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x14ac:dyDescent="0.25">
      <c r="A26" s="4"/>
      <c r="B26" s="4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x14ac:dyDescent="0.25">
      <c r="A27" s="4"/>
      <c r="B27" s="4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x14ac:dyDescent="0.25">
      <c r="A28" s="4"/>
      <c r="B28" s="4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x14ac:dyDescent="0.25">
      <c r="A29" s="4"/>
      <c r="B29" s="4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x14ac:dyDescent="0.25">
      <c r="A30" s="4"/>
      <c r="B30" s="4"/>
      <c r="C30" s="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x14ac:dyDescent="0.25">
      <c r="A31" s="4"/>
      <c r="B31" s="4"/>
      <c r="C31" s="6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x14ac:dyDescent="0.25">
      <c r="A32" s="4"/>
      <c r="B32" s="4"/>
      <c r="C32" s="6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x14ac:dyDescent="0.25">
      <c r="A33" s="4"/>
      <c r="B33" s="4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x14ac:dyDescent="0.25">
      <c r="A34" s="4"/>
      <c r="B34" s="4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x14ac:dyDescent="0.25">
      <c r="A35" s="4"/>
      <c r="B35" s="4"/>
      <c r="C35" s="6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x14ac:dyDescent="0.25">
      <c r="A36" s="4"/>
      <c r="B36" s="4"/>
      <c r="C36" s="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x14ac:dyDescent="0.25">
      <c r="A37" s="4"/>
      <c r="B37" s="4"/>
      <c r="C37" s="6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x14ac:dyDescent="0.25">
      <c r="A38" s="4"/>
      <c r="B38" s="4"/>
      <c r="C38" s="6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x14ac:dyDescent="0.25">
      <c r="A39" s="4"/>
      <c r="B39" s="4"/>
      <c r="C39" s="6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x14ac:dyDescent="0.25">
      <c r="A40" s="4"/>
      <c r="B40" s="4"/>
      <c r="C40" s="6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x14ac:dyDescent="0.25">
      <c r="A41" s="4"/>
      <c r="B41" s="4"/>
      <c r="C41" s="6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x14ac:dyDescent="0.25">
      <c r="A42" s="4"/>
      <c r="B42" s="4"/>
      <c r="C42" s="6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x14ac:dyDescent="0.25">
      <c r="A43" s="4"/>
      <c r="B43" s="4"/>
      <c r="C43" s="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x14ac:dyDescent="0.25">
      <c r="A44" s="4"/>
      <c r="B44" s="4"/>
      <c r="C44" s="6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x14ac:dyDescent="0.25">
      <c r="A45" s="4"/>
      <c r="B45" s="4"/>
      <c r="C45" s="6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x14ac:dyDescent="0.25">
      <c r="A46" s="4"/>
      <c r="B46" s="4"/>
      <c r="C46" s="6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x14ac:dyDescent="0.25">
      <c r="A47" s="4"/>
      <c r="B47" s="4"/>
      <c r="C47" s="6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x14ac:dyDescent="0.25">
      <c r="A48" s="4"/>
      <c r="B48" s="4"/>
      <c r="C48" s="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x14ac:dyDescent="0.25">
      <c r="A49" s="4"/>
      <c r="B49" s="4"/>
      <c r="C49" s="6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x14ac:dyDescent="0.25">
      <c r="A50" s="4"/>
      <c r="B50" s="4"/>
      <c r="C50" s="6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x14ac:dyDescent="0.25">
      <c r="A51" s="4"/>
      <c r="B51" s="4"/>
      <c r="C51" s="6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x14ac:dyDescent="0.25">
      <c r="A52" s="4"/>
      <c r="B52" s="4"/>
      <c r="C52" s="6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x14ac:dyDescent="0.25">
      <c r="A53" s="4"/>
      <c r="B53" s="4"/>
      <c r="C53" s="6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x14ac:dyDescent="0.25">
      <c r="A54" s="4"/>
      <c r="B54" s="4"/>
      <c r="C54" s="6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x14ac:dyDescent="0.25">
      <c r="A55" s="4"/>
      <c r="B55" s="4"/>
      <c r="C55" s="6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x14ac:dyDescent="0.25">
      <c r="A56" s="4"/>
      <c r="B56" s="4"/>
      <c r="C56" s="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x14ac:dyDescent="0.25">
      <c r="A57" s="4"/>
      <c r="B57" s="4"/>
      <c r="C57" s="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x14ac:dyDescent="0.25">
      <c r="A58" s="4"/>
      <c r="B58" s="4"/>
      <c r="C58" s="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x14ac:dyDescent="0.25">
      <c r="A59" s="4"/>
      <c r="B59" s="4"/>
      <c r="C59" s="6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x14ac:dyDescent="0.25">
      <c r="A60" s="4"/>
      <c r="B60" s="4"/>
      <c r="C60" s="6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x14ac:dyDescent="0.25">
      <c r="A61" s="4"/>
      <c r="B61" s="4"/>
      <c r="C61" s="6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x14ac:dyDescent="0.25">
      <c r="A62" s="4"/>
      <c r="B62" s="4"/>
      <c r="C62" s="6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x14ac:dyDescent="0.25">
      <c r="A63" s="4"/>
      <c r="B63" s="4"/>
      <c r="C63" s="6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x14ac:dyDescent="0.25">
      <c r="A64" s="4"/>
      <c r="B64" s="4"/>
      <c r="C64" s="6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x14ac:dyDescent="0.25">
      <c r="A65" s="4"/>
      <c r="B65" s="4"/>
      <c r="C65" s="6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x14ac:dyDescent="0.25">
      <c r="A66" s="4"/>
      <c r="B66" s="4"/>
      <c r="C66" s="6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x14ac:dyDescent="0.25">
      <c r="A67" s="4"/>
      <c r="B67" s="4"/>
      <c r="C67" s="6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x14ac:dyDescent="0.25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x14ac:dyDescent="0.25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x14ac:dyDescent="0.25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x14ac:dyDescent="0.25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x14ac:dyDescent="0.25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x14ac:dyDescent="0.25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x14ac:dyDescent="0.25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x14ac:dyDescent="0.25">
      <c r="A75" s="4"/>
      <c r="B75" s="4"/>
      <c r="C75" s="6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x14ac:dyDescent="0.25">
      <c r="A76" s="4"/>
      <c r="B76" s="4"/>
      <c r="C76" s="6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x14ac:dyDescent="0.25">
      <c r="A77" s="4"/>
      <c r="B77" s="4"/>
      <c r="C77" s="6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x14ac:dyDescent="0.25">
      <c r="A78" s="4"/>
      <c r="B78" s="4"/>
      <c r="C78" s="6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x14ac:dyDescent="0.25">
      <c r="A79" s="4"/>
      <c r="B79" s="4"/>
      <c r="C79" s="6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x14ac:dyDescent="0.25">
      <c r="A80" s="4"/>
      <c r="B80" s="4"/>
      <c r="C80" s="6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x14ac:dyDescent="0.25">
      <c r="A81" s="4"/>
      <c r="B81" s="4"/>
      <c r="C81" s="6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x14ac:dyDescent="0.25">
      <c r="A82" s="4"/>
      <c r="B82" s="4"/>
      <c r="C82" s="6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x14ac:dyDescent="0.25">
      <c r="A83" s="4"/>
      <c r="B83" s="4"/>
      <c r="C83" s="6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x14ac:dyDescent="0.25">
      <c r="A84" s="4"/>
      <c r="B84" s="4"/>
      <c r="C84" s="6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x14ac:dyDescent="0.25">
      <c r="A85" s="4"/>
      <c r="B85" s="4"/>
      <c r="C85" s="6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x14ac:dyDescent="0.25">
      <c r="A86" s="4"/>
      <c r="B86" s="4"/>
      <c r="C86" s="6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x14ac:dyDescent="0.25">
      <c r="A87" s="4"/>
      <c r="B87" s="4"/>
      <c r="C87" s="6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x14ac:dyDescent="0.25">
      <c r="A88" s="4"/>
      <c r="B88" s="4"/>
      <c r="C88" s="6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x14ac:dyDescent="0.25">
      <c r="A89" s="4"/>
      <c r="B89" s="4"/>
      <c r="C89" s="6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x14ac:dyDescent="0.25">
      <c r="A90" s="4"/>
      <c r="B90" s="4"/>
      <c r="C90" s="6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x14ac:dyDescent="0.25">
      <c r="A91" s="4"/>
      <c r="B91" s="4"/>
      <c r="C91" s="6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x14ac:dyDescent="0.25">
      <c r="A92" s="4"/>
      <c r="B92" s="4"/>
      <c r="C92" s="6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x14ac:dyDescent="0.25">
      <c r="A93" s="4"/>
      <c r="B93" s="4"/>
      <c r="C93" s="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x14ac:dyDescent="0.25">
      <c r="A94" s="4"/>
      <c r="B94" s="4"/>
      <c r="C94" s="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x14ac:dyDescent="0.25">
      <c r="A95" s="4"/>
      <c r="B95" s="4"/>
      <c r="C95" s="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x14ac:dyDescent="0.25">
      <c r="A96" s="4"/>
      <c r="B96" s="4"/>
      <c r="C96" s="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x14ac:dyDescent="0.25">
      <c r="A97" s="4"/>
      <c r="B97" s="4"/>
      <c r="C97" s="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x14ac:dyDescent="0.25">
      <c r="A98" s="4"/>
      <c r="B98" s="4"/>
      <c r="C98" s="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x14ac:dyDescent="0.25">
      <c r="A99" s="4"/>
      <c r="B99" s="4"/>
      <c r="C99" s="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x14ac:dyDescent="0.25">
      <c r="A100" s="4"/>
      <c r="B100" s="4"/>
      <c r="C100" s="6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x14ac:dyDescent="0.25">
      <c r="A101" s="4"/>
      <c r="B101" s="4"/>
      <c r="C101" s="6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x14ac:dyDescent="0.25">
      <c r="A102" s="4"/>
      <c r="B102" s="4"/>
      <c r="C102" s="6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x14ac:dyDescent="0.25">
      <c r="A103" s="4"/>
      <c r="B103" s="4"/>
      <c r="C103" s="6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x14ac:dyDescent="0.25">
      <c r="A104" s="4"/>
      <c r="B104" s="4"/>
      <c r="C104" s="6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x14ac:dyDescent="0.25">
      <c r="A105" s="4"/>
      <c r="B105" s="4"/>
      <c r="C105" s="6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x14ac:dyDescent="0.25">
      <c r="A106" s="4"/>
      <c r="B106" s="4"/>
      <c r="C106" s="6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x14ac:dyDescent="0.25">
      <c r="A107" s="4"/>
      <c r="B107" s="4"/>
      <c r="C107" s="6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x14ac:dyDescent="0.25">
      <c r="A108" s="4"/>
      <c r="B108" s="4"/>
      <c r="C108" s="6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x14ac:dyDescent="0.25">
      <c r="A109" s="4"/>
      <c r="B109" s="4"/>
      <c r="C109" s="6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x14ac:dyDescent="0.25">
      <c r="A110" s="4"/>
      <c r="B110" s="4"/>
      <c r="C110" s="6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x14ac:dyDescent="0.25">
      <c r="A111" s="4"/>
      <c r="B111" s="4"/>
      <c r="C111" s="6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x14ac:dyDescent="0.25">
      <c r="A112" s="4"/>
      <c r="B112" s="4"/>
      <c r="C112" s="6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x14ac:dyDescent="0.25">
      <c r="A113" s="4"/>
      <c r="B113" s="4"/>
      <c r="C113" s="6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x14ac:dyDescent="0.25">
      <c r="A114" s="4"/>
      <c r="B114" s="4"/>
      <c r="C114" s="6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x14ac:dyDescent="0.25">
      <c r="A115" s="4"/>
      <c r="B115" s="4"/>
      <c r="C115" s="6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x14ac:dyDescent="0.25">
      <c r="A116" s="4"/>
      <c r="B116" s="4"/>
      <c r="C116" s="6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x14ac:dyDescent="0.25">
      <c r="A117" s="4"/>
      <c r="B117" s="4"/>
      <c r="C117" s="6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x14ac:dyDescent="0.25">
      <c r="A118" s="4"/>
      <c r="B118" s="4"/>
      <c r="C118" s="6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x14ac:dyDescent="0.25">
      <c r="A119" s="4"/>
      <c r="B119" s="4"/>
      <c r="C119" s="6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x14ac:dyDescent="0.25">
      <c r="A120" s="4"/>
      <c r="B120" s="4"/>
      <c r="C120" s="6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x14ac:dyDescent="0.25">
      <c r="A121" s="4"/>
      <c r="B121" s="4"/>
      <c r="C121" s="6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x14ac:dyDescent="0.25">
      <c r="A122" s="4"/>
      <c r="B122" s="4"/>
      <c r="C122" s="6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x14ac:dyDescent="0.25">
      <c r="A123" s="4"/>
      <c r="B123" s="4"/>
      <c r="C123" s="6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x14ac:dyDescent="0.25">
      <c r="A124" s="4"/>
      <c r="B124" s="4"/>
      <c r="C124" s="6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x14ac:dyDescent="0.25">
      <c r="A125" s="4"/>
      <c r="B125" s="4"/>
      <c r="C125" s="6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x14ac:dyDescent="0.25">
      <c r="A126" s="4"/>
      <c r="B126" s="4"/>
      <c r="C126" s="6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x14ac:dyDescent="0.25">
      <c r="A127" s="4"/>
      <c r="B127" s="4"/>
      <c r="C127" s="6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x14ac:dyDescent="0.25">
      <c r="A128" s="4"/>
      <c r="B128" s="4"/>
      <c r="C128" s="6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x14ac:dyDescent="0.25">
      <c r="A129" s="4"/>
      <c r="B129" s="4"/>
      <c r="C129" s="6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x14ac:dyDescent="0.25">
      <c r="A130" s="4"/>
      <c r="B130" s="4"/>
      <c r="C130" s="6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x14ac:dyDescent="0.25">
      <c r="A131" s="4"/>
      <c r="B131" s="4"/>
      <c r="C131" s="6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x14ac:dyDescent="0.25">
      <c r="A132" s="4"/>
      <c r="B132" s="4"/>
      <c r="C132" s="6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x14ac:dyDescent="0.25">
      <c r="A133" s="4"/>
      <c r="B133" s="4"/>
      <c r="C133" s="6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x14ac:dyDescent="0.25">
      <c r="A134" s="4"/>
      <c r="B134" s="4"/>
      <c r="C134" s="6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x14ac:dyDescent="0.25">
      <c r="A135" s="4"/>
      <c r="B135" s="4"/>
      <c r="C135" s="6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x14ac:dyDescent="0.25">
      <c r="A136" s="4"/>
      <c r="B136" s="4"/>
      <c r="C136" s="6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x14ac:dyDescent="0.25">
      <c r="A137" s="4"/>
      <c r="B137" s="4"/>
      <c r="C137" s="6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x14ac:dyDescent="0.25">
      <c r="A138" s="4"/>
      <c r="B138" s="4"/>
      <c r="C138" s="6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x14ac:dyDescent="0.25">
      <c r="A139" s="4"/>
      <c r="B139" s="4"/>
      <c r="C139" s="6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x14ac:dyDescent="0.25">
      <c r="A140" s="4"/>
      <c r="B140" s="4"/>
      <c r="C140" s="6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x14ac:dyDescent="0.25">
      <c r="A141" s="4"/>
      <c r="B141" s="4"/>
      <c r="C141" s="6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x14ac:dyDescent="0.25">
      <c r="A142" s="4"/>
      <c r="B142" s="4"/>
      <c r="C142" s="6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x14ac:dyDescent="0.25">
      <c r="A143" s="4"/>
      <c r="B143" s="4"/>
      <c r="C143" s="6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x14ac:dyDescent="0.25">
      <c r="A144" s="4"/>
      <c r="B144" s="4"/>
      <c r="C144" s="6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x14ac:dyDescent="0.25">
      <c r="A145" s="4"/>
      <c r="B145" s="4"/>
      <c r="C145" s="6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x14ac:dyDescent="0.25">
      <c r="A146" s="4"/>
      <c r="B146" s="4"/>
      <c r="C146" s="6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x14ac:dyDescent="0.25">
      <c r="A147" s="4"/>
      <c r="B147" s="4"/>
      <c r="C147" s="6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x14ac:dyDescent="0.25">
      <c r="A148" s="4"/>
      <c r="B148" s="4"/>
      <c r="C148" s="6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x14ac:dyDescent="0.25">
      <c r="A149" s="4"/>
      <c r="B149" s="4"/>
      <c r="C149" s="6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x14ac:dyDescent="0.25">
      <c r="A150" s="4"/>
      <c r="B150" s="4"/>
      <c r="C150" s="6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x14ac:dyDescent="0.25">
      <c r="A151" s="4"/>
      <c r="B151" s="4"/>
      <c r="C151" s="6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x14ac:dyDescent="0.25">
      <c r="A152" s="4"/>
      <c r="B152" s="4"/>
      <c r="C152" s="6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x14ac:dyDescent="0.25">
      <c r="A153" s="4"/>
      <c r="B153" s="4"/>
      <c r="C153" s="6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x14ac:dyDescent="0.25">
      <c r="A154" s="4"/>
      <c r="B154" s="4"/>
      <c r="C154" s="6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x14ac:dyDescent="0.25">
      <c r="A155" s="4"/>
      <c r="B155" s="4"/>
      <c r="C155" s="6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x14ac:dyDescent="0.25">
      <c r="A156" s="4"/>
      <c r="B156" s="4"/>
      <c r="C156" s="6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x14ac:dyDescent="0.25">
      <c r="A157" s="4"/>
      <c r="B157" s="4"/>
      <c r="C157" s="6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x14ac:dyDescent="0.25">
      <c r="A158" s="4"/>
      <c r="B158" s="4"/>
      <c r="C158" s="6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x14ac:dyDescent="0.25">
      <c r="A159" s="4"/>
      <c r="B159" s="4"/>
      <c r="C159" s="6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x14ac:dyDescent="0.25">
      <c r="A160" s="4"/>
      <c r="B160" s="4"/>
      <c r="C160" s="6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x14ac:dyDescent="0.25">
      <c r="A161" s="4"/>
      <c r="B161" s="4"/>
      <c r="C161" s="6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x14ac:dyDescent="0.25">
      <c r="A162" s="4"/>
      <c r="B162" s="4"/>
      <c r="C162" s="6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x14ac:dyDescent="0.25">
      <c r="A163" s="4"/>
      <c r="B163" s="4"/>
      <c r="C163" s="6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x14ac:dyDescent="0.25">
      <c r="A164" s="4"/>
      <c r="B164" s="4"/>
      <c r="C164" s="6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x14ac:dyDescent="0.25">
      <c r="A165" s="4"/>
      <c r="B165" s="4"/>
      <c r="C165" s="6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x14ac:dyDescent="0.25">
      <c r="A166" s="4"/>
      <c r="B166" s="4"/>
      <c r="C166" s="6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x14ac:dyDescent="0.25">
      <c r="A167" s="4"/>
      <c r="B167" s="4"/>
      <c r="C167" s="6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x14ac:dyDescent="0.25">
      <c r="A168" s="4"/>
      <c r="B168" s="4"/>
      <c r="C168" s="6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x14ac:dyDescent="0.25">
      <c r="A169" s="4"/>
      <c r="B169" s="4"/>
      <c r="C169" s="6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x14ac:dyDescent="0.25">
      <c r="A170" s="4"/>
      <c r="B170" s="4"/>
      <c r="C170" s="6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x14ac:dyDescent="0.25">
      <c r="A171" s="4"/>
      <c r="B171" s="4"/>
      <c r="C171" s="6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x14ac:dyDescent="0.25">
      <c r="A172" s="4"/>
      <c r="B172" s="4"/>
      <c r="C172" s="6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x14ac:dyDescent="0.25">
      <c r="A173" s="4"/>
      <c r="B173" s="4"/>
      <c r="C173" s="6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x14ac:dyDescent="0.25">
      <c r="A174" s="4"/>
      <c r="B174" s="4"/>
      <c r="C174" s="6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x14ac:dyDescent="0.25">
      <c r="A175" s="4"/>
      <c r="B175" s="4"/>
      <c r="C175" s="6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x14ac:dyDescent="0.25">
      <c r="A176" s="4"/>
      <c r="B176" s="4"/>
      <c r="C176" s="6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x14ac:dyDescent="0.25">
      <c r="A177" s="4"/>
      <c r="B177" s="4"/>
      <c r="C177" s="6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x14ac:dyDescent="0.25">
      <c r="A178" s="4"/>
      <c r="B178" s="4"/>
      <c r="C178" s="6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x14ac:dyDescent="0.25">
      <c r="A179" s="4"/>
      <c r="B179" s="4"/>
      <c r="C179" s="6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x14ac:dyDescent="0.25">
      <c r="A180" s="4"/>
      <c r="B180" s="4"/>
      <c r="C180" s="6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x14ac:dyDescent="0.25">
      <c r="A181" s="4"/>
      <c r="B181" s="4"/>
      <c r="C181" s="6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x14ac:dyDescent="0.25">
      <c r="A182" s="4"/>
      <c r="B182" s="4"/>
      <c r="C182" s="6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x14ac:dyDescent="0.25">
      <c r="A183" s="4"/>
      <c r="B183" s="4"/>
      <c r="C183" s="6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x14ac:dyDescent="0.25">
      <c r="A184" s="4"/>
      <c r="B184" s="4"/>
      <c r="C184" s="6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x14ac:dyDescent="0.25">
      <c r="A185" s="4"/>
      <c r="B185" s="4"/>
      <c r="C185" s="6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x14ac:dyDescent="0.25">
      <c r="A186" s="4"/>
      <c r="B186" s="4"/>
      <c r="C186" s="6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x14ac:dyDescent="0.25">
      <c r="A187" s="4"/>
      <c r="B187" s="4"/>
      <c r="C187" s="6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x14ac:dyDescent="0.25">
      <c r="A188" s="4"/>
      <c r="B188" s="4"/>
      <c r="C188" s="6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x14ac:dyDescent="0.25">
      <c r="A189" s="4"/>
      <c r="B189" s="4"/>
      <c r="C189" s="6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x14ac:dyDescent="0.25">
      <c r="A190" s="4"/>
      <c r="B190" s="4"/>
      <c r="C190" s="6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x14ac:dyDescent="0.25">
      <c r="A191" s="4"/>
      <c r="B191" s="4"/>
      <c r="C191" s="6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x14ac:dyDescent="0.25">
      <c r="A192" s="4"/>
      <c r="B192" s="4"/>
      <c r="C192" s="6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x14ac:dyDescent="0.25">
      <c r="A193" s="4"/>
      <c r="B193" s="4"/>
      <c r="C193" s="6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x14ac:dyDescent="0.25">
      <c r="A194" s="4"/>
      <c r="B194" s="4"/>
      <c r="C194" s="6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x14ac:dyDescent="0.25">
      <c r="A195" s="4"/>
      <c r="B195" s="4"/>
      <c r="C195" s="6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x14ac:dyDescent="0.25">
      <c r="A196" s="4"/>
      <c r="B196" s="4"/>
      <c r="C196" s="6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x14ac:dyDescent="0.25">
      <c r="A197" s="4"/>
      <c r="B197" s="4"/>
      <c r="C197" s="6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x14ac:dyDescent="0.25">
      <c r="A198" s="4"/>
      <c r="B198" s="4"/>
      <c r="C198" s="6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x14ac:dyDescent="0.25">
      <c r="A199" s="4"/>
      <c r="B199" s="4"/>
      <c r="C199" s="6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x14ac:dyDescent="0.25">
      <c r="A200" s="4"/>
      <c r="B200" s="4"/>
      <c r="C200" s="6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x14ac:dyDescent="0.25">
      <c r="A201" s="4"/>
      <c r="B201" s="4"/>
      <c r="C201" s="6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x14ac:dyDescent="0.25">
      <c r="A202" s="4"/>
      <c r="B202" s="4"/>
      <c r="C202" s="6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x14ac:dyDescent="0.25">
      <c r="A203" s="4"/>
      <c r="B203" s="4"/>
      <c r="C203" s="6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x14ac:dyDescent="0.25">
      <c r="A204" s="4"/>
      <c r="B204" s="4"/>
      <c r="C204" s="6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x14ac:dyDescent="0.25">
      <c r="A205" s="4"/>
      <c r="B205" s="4"/>
      <c r="C205" s="6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x14ac:dyDescent="0.25">
      <c r="A206" s="4"/>
      <c r="B206" s="4"/>
      <c r="C206" s="6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x14ac:dyDescent="0.25">
      <c r="A207" s="4"/>
      <c r="B207" s="4"/>
      <c r="C207" s="6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x14ac:dyDescent="0.25">
      <c r="A208" s="4"/>
      <c r="B208" s="4"/>
      <c r="C208" s="6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x14ac:dyDescent="0.25">
      <c r="A209" s="4"/>
      <c r="B209" s="4"/>
      <c r="C209" s="6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x14ac:dyDescent="0.25">
      <c r="A210" s="4"/>
      <c r="B210" s="4"/>
      <c r="C210" s="6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x14ac:dyDescent="0.25">
      <c r="A211" s="4"/>
      <c r="B211" s="4"/>
      <c r="C211" s="6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x14ac:dyDescent="0.25">
      <c r="A212" s="4"/>
      <c r="B212" s="4"/>
      <c r="C212" s="6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x14ac:dyDescent="0.25">
      <c r="A213" s="4"/>
      <c r="B213" s="4"/>
      <c r="C213" s="6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x14ac:dyDescent="0.25">
      <c r="A214" s="4"/>
      <c r="B214" s="4"/>
      <c r="C214" s="6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x14ac:dyDescent="0.25">
      <c r="A215" s="4"/>
      <c r="B215" s="4"/>
      <c r="C215" s="6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x14ac:dyDescent="0.25">
      <c r="A216" s="4"/>
      <c r="B216" s="4"/>
      <c r="C216" s="6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x14ac:dyDescent="0.25">
      <c r="A217" s="4"/>
      <c r="B217" s="4"/>
      <c r="C217" s="6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x14ac:dyDescent="0.25">
      <c r="A218" s="4"/>
      <c r="B218" s="4"/>
      <c r="C218" s="6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x14ac:dyDescent="0.25">
      <c r="A219" s="4"/>
      <c r="B219" s="4"/>
      <c r="C219" s="6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x14ac:dyDescent="0.25">
      <c r="A220" s="4"/>
      <c r="B220" s="4"/>
      <c r="C220" s="6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x14ac:dyDescent="0.25">
      <c r="A221" s="4"/>
      <c r="B221" s="4"/>
      <c r="C221" s="6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x14ac:dyDescent="0.25">
      <c r="A222" s="4"/>
      <c r="B222" s="4"/>
      <c r="C222" s="6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x14ac:dyDescent="0.25">
      <c r="A223" s="4"/>
      <c r="B223" s="4"/>
      <c r="C223" s="6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x14ac:dyDescent="0.25">
      <c r="A224" s="4"/>
      <c r="B224" s="4"/>
      <c r="C224" s="6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x14ac:dyDescent="0.25">
      <c r="A225" s="4"/>
      <c r="B225" s="4"/>
      <c r="C225" s="6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x14ac:dyDescent="0.25">
      <c r="A226" s="4"/>
      <c r="B226" s="4"/>
      <c r="C226" s="6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x14ac:dyDescent="0.25">
      <c r="A227" s="4"/>
      <c r="B227" s="4"/>
      <c r="C227" s="6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x14ac:dyDescent="0.25">
      <c r="A228" s="4"/>
      <c r="B228" s="4"/>
      <c r="C228" s="6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x14ac:dyDescent="0.25">
      <c r="A229" s="4"/>
      <c r="B229" s="4"/>
      <c r="C229" s="6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x14ac:dyDescent="0.25">
      <c r="A230" s="4"/>
      <c r="B230" s="4"/>
      <c r="C230" s="6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x14ac:dyDescent="0.25">
      <c r="A231" s="4"/>
      <c r="B231" s="4"/>
      <c r="C231" s="6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x14ac:dyDescent="0.25">
      <c r="A232" s="4"/>
      <c r="B232" s="4"/>
      <c r="C232" s="6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x14ac:dyDescent="0.25">
      <c r="A233" s="4"/>
      <c r="B233" s="4"/>
      <c r="C233" s="6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x14ac:dyDescent="0.25">
      <c r="A234" s="4"/>
      <c r="B234" s="4"/>
      <c r="C234" s="6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x14ac:dyDescent="0.25">
      <c r="A235" s="4"/>
      <c r="B235" s="4"/>
      <c r="C235" s="6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x14ac:dyDescent="0.25">
      <c r="A236" s="4"/>
      <c r="B236" s="4"/>
      <c r="C236" s="6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x14ac:dyDescent="0.25">
      <c r="A237" s="4"/>
      <c r="B237" s="4"/>
      <c r="C237" s="6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x14ac:dyDescent="0.25">
      <c r="A238" s="4"/>
      <c r="B238" s="4"/>
      <c r="C238" s="6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x14ac:dyDescent="0.25">
      <c r="A239" s="4"/>
      <c r="B239" s="4"/>
      <c r="C239" s="6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x14ac:dyDescent="0.25">
      <c r="A240" s="4"/>
      <c r="B240" s="4"/>
      <c r="C240" s="6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x14ac:dyDescent="0.25">
      <c r="A241" s="4"/>
      <c r="B241" s="4"/>
      <c r="C241" s="6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x14ac:dyDescent="0.25">
      <c r="A242" s="4"/>
      <c r="B242" s="4"/>
      <c r="C242" s="6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x14ac:dyDescent="0.25">
      <c r="A243" s="4"/>
      <c r="B243" s="4"/>
      <c r="C243" s="6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x14ac:dyDescent="0.25">
      <c r="A244" s="4"/>
      <c r="B244" s="4"/>
      <c r="C244" s="6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x14ac:dyDescent="0.25">
      <c r="A245" s="4"/>
      <c r="B245" s="4"/>
      <c r="C245" s="6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x14ac:dyDescent="0.25">
      <c r="A246" s="4"/>
      <c r="B246" s="4"/>
      <c r="C246" s="6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x14ac:dyDescent="0.25">
      <c r="A247" s="4"/>
      <c r="B247" s="4"/>
      <c r="C247" s="6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x14ac:dyDescent="0.25">
      <c r="A248" s="4"/>
      <c r="B248" s="4"/>
      <c r="C248" s="6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x14ac:dyDescent="0.25">
      <c r="A249" s="4"/>
      <c r="B249" s="4"/>
      <c r="C249" s="6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x14ac:dyDescent="0.25">
      <c r="A250" s="4"/>
      <c r="B250" s="4"/>
      <c r="C250" s="6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x14ac:dyDescent="0.25">
      <c r="A251" s="4"/>
      <c r="B251" s="4"/>
      <c r="C251" s="6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x14ac:dyDescent="0.25">
      <c r="A252" s="4"/>
      <c r="B252" s="4"/>
      <c r="C252" s="6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x14ac:dyDescent="0.25">
      <c r="A253" s="4"/>
      <c r="B253" s="4"/>
      <c r="C253" s="6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x14ac:dyDescent="0.25">
      <c r="A254" s="4"/>
      <c r="B254" s="4"/>
      <c r="C254" s="6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x14ac:dyDescent="0.25">
      <c r="A255" s="4"/>
      <c r="B255" s="4"/>
      <c r="C255" s="6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x14ac:dyDescent="0.25">
      <c r="A256" s="4"/>
      <c r="B256" s="4"/>
      <c r="C256" s="6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x14ac:dyDescent="0.25">
      <c r="A257" s="4"/>
      <c r="B257" s="4"/>
      <c r="C257" s="6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x14ac:dyDescent="0.25">
      <c r="A258" s="4"/>
      <c r="B258" s="4"/>
      <c r="C258" s="6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x14ac:dyDescent="0.25">
      <c r="A259" s="4"/>
      <c r="B259" s="4"/>
      <c r="C259" s="6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x14ac:dyDescent="0.25">
      <c r="A260" s="4"/>
      <c r="B260" s="4"/>
      <c r="C260" s="6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x14ac:dyDescent="0.25">
      <c r="A261" s="4"/>
      <c r="B261" s="4"/>
      <c r="C261" s="6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x14ac:dyDescent="0.25">
      <c r="A262" s="4"/>
      <c r="B262" s="4"/>
      <c r="C262" s="6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x14ac:dyDescent="0.25">
      <c r="A263" s="4"/>
      <c r="B263" s="4"/>
      <c r="C263" s="6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x14ac:dyDescent="0.25">
      <c r="A264" s="4"/>
      <c r="B264" s="4"/>
      <c r="C264" s="6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x14ac:dyDescent="0.25">
      <c r="A265" s="4"/>
      <c r="B265" s="4"/>
      <c r="C265" s="6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x14ac:dyDescent="0.25">
      <c r="A266" s="4"/>
      <c r="B266" s="4"/>
      <c r="C266" s="6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x14ac:dyDescent="0.25">
      <c r="A267" s="4"/>
      <c r="B267" s="4"/>
      <c r="C267" s="6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x14ac:dyDescent="0.25">
      <c r="A268" s="4"/>
      <c r="B268" s="4"/>
      <c r="C268" s="6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x14ac:dyDescent="0.25">
      <c r="A269" s="4"/>
      <c r="B269" s="4"/>
      <c r="C269" s="6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x14ac:dyDescent="0.25">
      <c r="A270" s="4"/>
      <c r="B270" s="4"/>
      <c r="C270" s="6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x14ac:dyDescent="0.25">
      <c r="A271" s="4"/>
      <c r="B271" s="4"/>
      <c r="C271" s="6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x14ac:dyDescent="0.25">
      <c r="A272" s="4"/>
      <c r="B272" s="4"/>
      <c r="C272" s="6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x14ac:dyDescent="0.25">
      <c r="A273" s="4"/>
      <c r="B273" s="4"/>
      <c r="C273" s="6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x14ac:dyDescent="0.25">
      <c r="A274" s="4"/>
      <c r="B274" s="4"/>
      <c r="C274" s="6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x14ac:dyDescent="0.25">
      <c r="A275" s="4"/>
      <c r="B275" s="4"/>
      <c r="C275" s="6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x14ac:dyDescent="0.25">
      <c r="A276" s="4"/>
      <c r="B276" s="4"/>
      <c r="C276" s="6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x14ac:dyDescent="0.25">
      <c r="A277" s="4"/>
      <c r="B277" s="4"/>
      <c r="C277" s="6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x14ac:dyDescent="0.25">
      <c r="A278" s="4"/>
      <c r="B278" s="4"/>
      <c r="C278" s="6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x14ac:dyDescent="0.25">
      <c r="A279" s="4"/>
      <c r="B279" s="4"/>
      <c r="C279" s="6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x14ac:dyDescent="0.25">
      <c r="A280" s="4"/>
      <c r="B280" s="4"/>
      <c r="C280" s="6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x14ac:dyDescent="0.25">
      <c r="A281" s="4"/>
      <c r="B281" s="4"/>
      <c r="C281" s="6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x14ac:dyDescent="0.25">
      <c r="A282" s="4"/>
      <c r="B282" s="4"/>
      <c r="C282" s="6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x14ac:dyDescent="0.25">
      <c r="A283" s="4"/>
      <c r="B283" s="4"/>
      <c r="C283" s="6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x14ac:dyDescent="0.25">
      <c r="A284" s="4"/>
      <c r="B284" s="4"/>
      <c r="C284" s="6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x14ac:dyDescent="0.25">
      <c r="A285" s="4"/>
      <c r="B285" s="4"/>
      <c r="C285" s="6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x14ac:dyDescent="0.25">
      <c r="A286" s="4"/>
      <c r="B286" s="4"/>
      <c r="C286" s="6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x14ac:dyDescent="0.25">
      <c r="A287" s="4"/>
      <c r="B287" s="4"/>
      <c r="C287" s="6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x14ac:dyDescent="0.25">
      <c r="A288" s="4"/>
      <c r="B288" s="4"/>
      <c r="C288" s="6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x14ac:dyDescent="0.25">
      <c r="A289" s="4"/>
      <c r="B289" s="4"/>
      <c r="C289" s="6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x14ac:dyDescent="0.25">
      <c r="A290" s="4"/>
      <c r="B290" s="4"/>
      <c r="C290" s="6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x14ac:dyDescent="0.25">
      <c r="A291" s="4"/>
      <c r="B291" s="4"/>
      <c r="C291" s="6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x14ac:dyDescent="0.25">
      <c r="A292" s="4"/>
      <c r="B292" s="4"/>
      <c r="C292" s="6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x14ac:dyDescent="0.25">
      <c r="A293" s="4"/>
      <c r="B293" s="4"/>
      <c r="C293" s="6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x14ac:dyDescent="0.25">
      <c r="A294" s="4"/>
      <c r="B294" s="4"/>
      <c r="C294" s="6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x14ac:dyDescent="0.25">
      <c r="A295" s="4"/>
      <c r="B295" s="4"/>
      <c r="C295" s="6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x14ac:dyDescent="0.25">
      <c r="A296" s="4"/>
      <c r="B296" s="4"/>
      <c r="C296" s="6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x14ac:dyDescent="0.25">
      <c r="A297" s="4"/>
      <c r="B297" s="4"/>
      <c r="C297" s="6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x14ac:dyDescent="0.25">
      <c r="A298" s="4"/>
      <c r="B298" s="4"/>
      <c r="C298" s="6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x14ac:dyDescent="0.25">
      <c r="A299" s="4"/>
      <c r="B299" s="4"/>
      <c r="C299" s="6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x14ac:dyDescent="0.25">
      <c r="A300" s="4"/>
      <c r="B300" s="4"/>
      <c r="C300" s="6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x14ac:dyDescent="0.25">
      <c r="A301" s="4"/>
      <c r="B301" s="4"/>
      <c r="C301" s="6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x14ac:dyDescent="0.25">
      <c r="A302" s="4"/>
      <c r="B302" s="4"/>
      <c r="C302" s="6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x14ac:dyDescent="0.25">
      <c r="A303" s="4"/>
      <c r="B303" s="4"/>
      <c r="C303" s="6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x14ac:dyDescent="0.25">
      <c r="A304" s="4"/>
      <c r="B304" s="4"/>
      <c r="C304" s="6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x14ac:dyDescent="0.25">
      <c r="A305" s="4"/>
      <c r="B305" s="4"/>
      <c r="C305" s="6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x14ac:dyDescent="0.25">
      <c r="A306" s="4"/>
      <c r="B306" s="4"/>
      <c r="C306" s="6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x14ac:dyDescent="0.25">
      <c r="A307" s="4"/>
      <c r="B307" s="4"/>
      <c r="C307" s="6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x14ac:dyDescent="0.25">
      <c r="A308" s="4"/>
      <c r="B308" s="4"/>
      <c r="C308" s="6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x14ac:dyDescent="0.25">
      <c r="A309" s="4"/>
      <c r="B309" s="4"/>
      <c r="C309" s="6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x14ac:dyDescent="0.25">
      <c r="A310" s="4"/>
      <c r="B310" s="4"/>
      <c r="C310" s="6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x14ac:dyDescent="0.25">
      <c r="A311" s="4"/>
      <c r="B311" s="4"/>
      <c r="C311" s="6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x14ac:dyDescent="0.25">
      <c r="A312" s="4"/>
      <c r="B312" s="4"/>
      <c r="C312" s="6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x14ac:dyDescent="0.25">
      <c r="A313" s="4"/>
      <c r="B313" s="4"/>
      <c r="C313" s="6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x14ac:dyDescent="0.25">
      <c r="A314" s="4"/>
      <c r="B314" s="4"/>
      <c r="C314" s="6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x14ac:dyDescent="0.25">
      <c r="A315" s="4"/>
      <c r="B315" s="4"/>
      <c r="C315" s="6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x14ac:dyDescent="0.25">
      <c r="A316" s="4"/>
      <c r="B316" s="4"/>
      <c r="C316" s="6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x14ac:dyDescent="0.25">
      <c r="A317" s="4"/>
      <c r="B317" s="4"/>
      <c r="C317" s="6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x14ac:dyDescent="0.25">
      <c r="A318" s="4"/>
      <c r="B318" s="4"/>
      <c r="C318" s="6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x14ac:dyDescent="0.25">
      <c r="A319" s="4"/>
      <c r="B319" s="4"/>
      <c r="C319" s="6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x14ac:dyDescent="0.25">
      <c r="A320" s="4"/>
      <c r="B320" s="4"/>
      <c r="C320" s="6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x14ac:dyDescent="0.25">
      <c r="A321" s="4"/>
      <c r="B321" s="4"/>
      <c r="C321" s="6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x14ac:dyDescent="0.25">
      <c r="A322" s="4"/>
      <c r="B322" s="4"/>
      <c r="C322" s="6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x14ac:dyDescent="0.25">
      <c r="A323" s="4"/>
      <c r="B323" s="4"/>
      <c r="C323" s="6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x14ac:dyDescent="0.25">
      <c r="A324" s="4"/>
      <c r="B324" s="4"/>
      <c r="C324" s="6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x14ac:dyDescent="0.25">
      <c r="A325" s="4"/>
      <c r="B325" s="4"/>
      <c r="C325" s="6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x14ac:dyDescent="0.25">
      <c r="A326" s="4"/>
      <c r="B326" s="4"/>
      <c r="C326" s="6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x14ac:dyDescent="0.25">
      <c r="A327" s="4"/>
      <c r="B327" s="4"/>
      <c r="C327" s="6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x14ac:dyDescent="0.25">
      <c r="A328" s="4"/>
      <c r="B328" s="4"/>
      <c r="C328" s="6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x14ac:dyDescent="0.25">
      <c r="A329" s="4"/>
      <c r="B329" s="4"/>
      <c r="C329" s="6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x14ac:dyDescent="0.25">
      <c r="A330" s="4"/>
      <c r="B330" s="4"/>
      <c r="C330" s="6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x14ac:dyDescent="0.25">
      <c r="A331" s="4"/>
      <c r="B331" s="4"/>
      <c r="C331" s="6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x14ac:dyDescent="0.25">
      <c r="A332" s="4"/>
      <c r="B332" s="4"/>
      <c r="C332" s="6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x14ac:dyDescent="0.25">
      <c r="A333" s="4"/>
      <c r="B333" s="4"/>
      <c r="C333" s="6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x14ac:dyDescent="0.25">
      <c r="A334" s="4"/>
      <c r="B334" s="4"/>
      <c r="C334" s="6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x14ac:dyDescent="0.25">
      <c r="A335" s="4"/>
      <c r="B335" s="4"/>
      <c r="C335" s="6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x14ac:dyDescent="0.25">
      <c r="A336" s="4"/>
      <c r="B336" s="4"/>
      <c r="C336" s="6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x14ac:dyDescent="0.25">
      <c r="A337" s="4"/>
      <c r="B337" s="4"/>
      <c r="C337" s="6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x14ac:dyDescent="0.25">
      <c r="A338" s="4"/>
      <c r="B338" s="4"/>
      <c r="C338" s="6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x14ac:dyDescent="0.25">
      <c r="A339" s="4"/>
      <c r="B339" s="4"/>
      <c r="C339" s="6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x14ac:dyDescent="0.25">
      <c r="A340" s="4"/>
      <c r="B340" s="4"/>
      <c r="C340" s="6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x14ac:dyDescent="0.25">
      <c r="A341" s="4"/>
      <c r="B341" s="4"/>
      <c r="C341" s="6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x14ac:dyDescent="0.25">
      <c r="A342" s="4"/>
      <c r="B342" s="4"/>
      <c r="C342" s="6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x14ac:dyDescent="0.25">
      <c r="A343" s="4"/>
      <c r="B343" s="4"/>
      <c r="C343" s="6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x14ac:dyDescent="0.25">
      <c r="A344" s="4"/>
      <c r="B344" s="4"/>
      <c r="C344" s="6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x14ac:dyDescent="0.25">
      <c r="A345" s="4"/>
      <c r="B345" s="4"/>
      <c r="C345" s="6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x14ac:dyDescent="0.25">
      <c r="A346" s="4"/>
      <c r="B346" s="4"/>
      <c r="C346" s="6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x14ac:dyDescent="0.25">
      <c r="A347" s="4"/>
      <c r="B347" s="4"/>
      <c r="C347" s="6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x14ac:dyDescent="0.25">
      <c r="A348" s="4"/>
      <c r="B348" s="4"/>
      <c r="C348" s="6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x14ac:dyDescent="0.25">
      <c r="A349" s="4"/>
      <c r="B349" s="4"/>
      <c r="C349" s="6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x14ac:dyDescent="0.25">
      <c r="A350" s="4"/>
      <c r="B350" s="4"/>
      <c r="C350" s="6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x14ac:dyDescent="0.25">
      <c r="A351" s="4"/>
      <c r="B351" s="4"/>
      <c r="C351" s="6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x14ac:dyDescent="0.25">
      <c r="A352" s="4"/>
      <c r="B352" s="4"/>
      <c r="C352" s="6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x14ac:dyDescent="0.25">
      <c r="A353" s="4"/>
      <c r="B353" s="4"/>
      <c r="C353" s="6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x14ac:dyDescent="0.25">
      <c r="A354" s="4"/>
      <c r="B354" s="4"/>
      <c r="C354" s="6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x14ac:dyDescent="0.25">
      <c r="A355" s="4"/>
      <c r="B355" s="4"/>
      <c r="C355" s="6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x14ac:dyDescent="0.25">
      <c r="A356" s="4"/>
      <c r="B356" s="4"/>
      <c r="C356" s="6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x14ac:dyDescent="0.25">
      <c r="A357" s="4"/>
      <c r="B357" s="4"/>
      <c r="C357" s="6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x14ac:dyDescent="0.25">
      <c r="A358" s="4"/>
      <c r="B358" s="4"/>
      <c r="C358" s="6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x14ac:dyDescent="0.25">
      <c r="A359" s="4"/>
      <c r="B359" s="4"/>
      <c r="C359" s="6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x14ac:dyDescent="0.25">
      <c r="A360" s="4"/>
      <c r="B360" s="4"/>
      <c r="C360" s="6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x14ac:dyDescent="0.25">
      <c r="A361" s="4"/>
      <c r="B361" s="4"/>
      <c r="C361" s="6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x14ac:dyDescent="0.25">
      <c r="A362" s="4"/>
      <c r="B362" s="4"/>
      <c r="C362" s="6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x14ac:dyDescent="0.25">
      <c r="A363" s="4"/>
      <c r="B363" s="4"/>
      <c r="C363" s="6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x14ac:dyDescent="0.25">
      <c r="A364" s="4"/>
      <c r="B364" s="4"/>
      <c r="C364" s="6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x14ac:dyDescent="0.25">
      <c r="A365" s="4"/>
      <c r="B365" s="4"/>
      <c r="C365" s="6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x14ac:dyDescent="0.25">
      <c r="A366" s="4"/>
      <c r="B366" s="4"/>
      <c r="C366" s="6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x14ac:dyDescent="0.25">
      <c r="A367" s="4"/>
      <c r="B367" s="4"/>
      <c r="C367" s="6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x14ac:dyDescent="0.25">
      <c r="A368" s="4"/>
      <c r="B368" s="4"/>
      <c r="C368" s="6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x14ac:dyDescent="0.25">
      <c r="A369" s="4"/>
      <c r="B369" s="4"/>
      <c r="C369" s="6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x14ac:dyDescent="0.25">
      <c r="A370" s="4"/>
      <c r="B370" s="4"/>
      <c r="C370" s="6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x14ac:dyDescent="0.25">
      <c r="A371" s="4"/>
      <c r="B371" s="4"/>
      <c r="C371" s="6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x14ac:dyDescent="0.25">
      <c r="A372" s="4"/>
      <c r="B372" s="4"/>
      <c r="C372" s="6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x14ac:dyDescent="0.25">
      <c r="A373" s="4"/>
      <c r="B373" s="4"/>
      <c r="C373" s="6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x14ac:dyDescent="0.25">
      <c r="A374" s="4"/>
      <c r="B374" s="4"/>
      <c r="C374" s="6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x14ac:dyDescent="0.25">
      <c r="A375" s="4"/>
      <c r="B375" s="4"/>
      <c r="C375" s="6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x14ac:dyDescent="0.25">
      <c r="A376" s="4"/>
      <c r="B376" s="4"/>
      <c r="C376" s="6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x14ac:dyDescent="0.25">
      <c r="A377" s="4"/>
      <c r="B377" s="4"/>
      <c r="C377" s="6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x14ac:dyDescent="0.25">
      <c r="A378" s="4"/>
      <c r="B378" s="4"/>
      <c r="C378" s="6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x14ac:dyDescent="0.25">
      <c r="A379" s="4"/>
      <c r="B379" s="4"/>
      <c r="C379" s="6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x14ac:dyDescent="0.25">
      <c r="A380" s="4"/>
      <c r="B380" s="4"/>
      <c r="C380" s="6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x14ac:dyDescent="0.25">
      <c r="A381" s="4"/>
      <c r="B381" s="4"/>
      <c r="C381" s="6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x14ac:dyDescent="0.25">
      <c r="A382" s="4"/>
      <c r="B382" s="4"/>
      <c r="C382" s="6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x14ac:dyDescent="0.25">
      <c r="A383" s="4"/>
      <c r="B383" s="4"/>
      <c r="C383" s="6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x14ac:dyDescent="0.25">
      <c r="A384" s="4"/>
      <c r="B384" s="4"/>
      <c r="C384" s="6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x14ac:dyDescent="0.25">
      <c r="A385" s="4"/>
      <c r="B385" s="4"/>
      <c r="C385" s="6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x14ac:dyDescent="0.25">
      <c r="A386" s="4"/>
      <c r="B386" s="4"/>
      <c r="C386" s="6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x14ac:dyDescent="0.25">
      <c r="A387" s="4"/>
      <c r="B387" s="4"/>
      <c r="C387" s="6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x14ac:dyDescent="0.25">
      <c r="A388" s="4"/>
      <c r="B388" s="4"/>
      <c r="C388" s="6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x14ac:dyDescent="0.25">
      <c r="A389" s="4"/>
      <c r="B389" s="4"/>
      <c r="C389" s="6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x14ac:dyDescent="0.25">
      <c r="A390" s="4"/>
      <c r="B390" s="4"/>
      <c r="C390" s="6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x14ac:dyDescent="0.25">
      <c r="A391" s="4"/>
      <c r="B391" s="4"/>
      <c r="C391" s="6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x14ac:dyDescent="0.25">
      <c r="A392" s="4"/>
      <c r="B392" s="4"/>
      <c r="C392" s="6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x14ac:dyDescent="0.25">
      <c r="A393" s="4"/>
      <c r="B393" s="4"/>
      <c r="C393" s="6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x14ac:dyDescent="0.25">
      <c r="A394" s="4"/>
      <c r="B394" s="4"/>
      <c r="C394" s="6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x14ac:dyDescent="0.25">
      <c r="A395" s="4"/>
      <c r="B395" s="4"/>
      <c r="C395" s="6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x14ac:dyDescent="0.25">
      <c r="A396" s="4"/>
      <c r="B396" s="4"/>
      <c r="C396" s="6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x14ac:dyDescent="0.25">
      <c r="A397" s="4"/>
      <c r="B397" s="4"/>
      <c r="C397" s="6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x14ac:dyDescent="0.25">
      <c r="A398" s="4"/>
      <c r="B398" s="4"/>
      <c r="C398" s="6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x14ac:dyDescent="0.25">
      <c r="A399" s="4"/>
      <c r="B399" s="4"/>
      <c r="C399" s="6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x14ac:dyDescent="0.25">
      <c r="A400" s="4"/>
      <c r="B400" s="4"/>
      <c r="C400" s="6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x14ac:dyDescent="0.25">
      <c r="A401" s="4"/>
      <c r="B401" s="4"/>
      <c r="C401" s="6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x14ac:dyDescent="0.25">
      <c r="A402" s="4"/>
      <c r="B402" s="4"/>
      <c r="C402" s="6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x14ac:dyDescent="0.25">
      <c r="A403" s="4"/>
      <c r="B403" s="4"/>
      <c r="C403" s="6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x14ac:dyDescent="0.25">
      <c r="A404" s="4"/>
      <c r="B404" s="4"/>
      <c r="C404" s="6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x14ac:dyDescent="0.25">
      <c r="A405" s="4"/>
      <c r="B405" s="4"/>
      <c r="C405" s="6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x14ac:dyDescent="0.25">
      <c r="A406" s="4"/>
      <c r="B406" s="4"/>
      <c r="C406" s="6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x14ac:dyDescent="0.25">
      <c r="A407" s="4"/>
      <c r="B407" s="4"/>
      <c r="C407" s="6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x14ac:dyDescent="0.25">
      <c r="A408" s="4"/>
      <c r="B408" s="4"/>
      <c r="C408" s="6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x14ac:dyDescent="0.25">
      <c r="A409" s="4"/>
      <c r="B409" s="4"/>
      <c r="C409" s="6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x14ac:dyDescent="0.25">
      <c r="A410" s="4"/>
      <c r="B410" s="4"/>
      <c r="C410" s="6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x14ac:dyDescent="0.25">
      <c r="A411" s="4"/>
      <c r="B411" s="4"/>
      <c r="C411" s="6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x14ac:dyDescent="0.25">
      <c r="A412" s="4"/>
      <c r="B412" s="4"/>
      <c r="C412" s="6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x14ac:dyDescent="0.25">
      <c r="A413" s="4"/>
      <c r="B413" s="4"/>
      <c r="C413" s="6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x14ac:dyDescent="0.25">
      <c r="A414" s="4"/>
      <c r="B414" s="4"/>
      <c r="C414" s="6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x14ac:dyDescent="0.25">
      <c r="A415" s="4"/>
      <c r="B415" s="4"/>
      <c r="C415" s="6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x14ac:dyDescent="0.25">
      <c r="A416" s="4"/>
      <c r="B416" s="4"/>
      <c r="C416" s="6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x14ac:dyDescent="0.25">
      <c r="A417" s="4"/>
      <c r="B417" s="4"/>
      <c r="C417" s="6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x14ac:dyDescent="0.25">
      <c r="A418" s="4"/>
      <c r="B418" s="4"/>
      <c r="C418" s="6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x14ac:dyDescent="0.25">
      <c r="A419" s="4"/>
      <c r="B419" s="4"/>
      <c r="C419" s="6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x14ac:dyDescent="0.25">
      <c r="A420" s="4"/>
      <c r="B420" s="4"/>
      <c r="C420" s="6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x14ac:dyDescent="0.25">
      <c r="A421" s="4"/>
      <c r="B421" s="4"/>
      <c r="C421" s="6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x14ac:dyDescent="0.25">
      <c r="A422" s="4"/>
      <c r="B422" s="4"/>
      <c r="C422" s="6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x14ac:dyDescent="0.25">
      <c r="A423" s="4"/>
      <c r="B423" s="4"/>
      <c r="C423" s="6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x14ac:dyDescent="0.25">
      <c r="A424" s="4"/>
      <c r="B424" s="4"/>
      <c r="C424" s="6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x14ac:dyDescent="0.25">
      <c r="A425" s="4"/>
      <c r="B425" s="4"/>
      <c r="C425" s="6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x14ac:dyDescent="0.25">
      <c r="A426" s="4"/>
      <c r="B426" s="4"/>
      <c r="C426" s="6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x14ac:dyDescent="0.25">
      <c r="A427" s="4"/>
      <c r="B427" s="4"/>
      <c r="C427" s="6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x14ac:dyDescent="0.25">
      <c r="A428" s="4"/>
      <c r="B428" s="4"/>
      <c r="C428" s="6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x14ac:dyDescent="0.25">
      <c r="A429" s="4"/>
      <c r="B429" s="4"/>
      <c r="C429" s="6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x14ac:dyDescent="0.25">
      <c r="A430" s="4"/>
      <c r="B430" s="4"/>
      <c r="C430" s="6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x14ac:dyDescent="0.25">
      <c r="A431" s="4"/>
      <c r="B431" s="4"/>
      <c r="C431" s="6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x14ac:dyDescent="0.25">
      <c r="A432" s="4"/>
      <c r="B432" s="4"/>
      <c r="C432" s="6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x14ac:dyDescent="0.25">
      <c r="A433" s="4"/>
      <c r="B433" s="4"/>
      <c r="C433" s="6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x14ac:dyDescent="0.25">
      <c r="A434" s="4"/>
      <c r="B434" s="4"/>
      <c r="C434" s="6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x14ac:dyDescent="0.25">
      <c r="A435" s="4"/>
      <c r="B435" s="4"/>
      <c r="C435" s="6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x14ac:dyDescent="0.25">
      <c r="A436" s="4"/>
      <c r="B436" s="4"/>
      <c r="C436" s="6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x14ac:dyDescent="0.25">
      <c r="A437" s="4"/>
      <c r="B437" s="4"/>
      <c r="C437" s="6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x14ac:dyDescent="0.25">
      <c r="A438" s="4"/>
      <c r="B438" s="4"/>
      <c r="C438" s="6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x14ac:dyDescent="0.25">
      <c r="A439" s="4"/>
      <c r="B439" s="4"/>
      <c r="C439" s="6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x14ac:dyDescent="0.25">
      <c r="A440" s="4"/>
      <c r="B440" s="4"/>
      <c r="C440" s="6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x14ac:dyDescent="0.25">
      <c r="A441" s="4"/>
      <c r="B441" s="4"/>
      <c r="C441" s="6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x14ac:dyDescent="0.25">
      <c r="A442" s="4"/>
      <c r="B442" s="4"/>
      <c r="C442" s="6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x14ac:dyDescent="0.25">
      <c r="A443" s="4"/>
      <c r="B443" s="4"/>
      <c r="C443" s="6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x14ac:dyDescent="0.25">
      <c r="A444" s="4"/>
      <c r="B444" s="4"/>
      <c r="C444" s="6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x14ac:dyDescent="0.25">
      <c r="A445" s="4"/>
      <c r="B445" s="4"/>
      <c r="C445" s="6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x14ac:dyDescent="0.25">
      <c r="A446" s="4"/>
      <c r="B446" s="4"/>
      <c r="C446" s="6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x14ac:dyDescent="0.25">
      <c r="A447" s="4"/>
      <c r="B447" s="4"/>
      <c r="C447" s="6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x14ac:dyDescent="0.25">
      <c r="A448" s="4"/>
      <c r="B448" s="4"/>
      <c r="C448" s="6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x14ac:dyDescent="0.25">
      <c r="A449" s="4"/>
      <c r="B449" s="4"/>
      <c r="C449" s="6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x14ac:dyDescent="0.25">
      <c r="A450" s="4"/>
      <c r="B450" s="4"/>
      <c r="C450" s="6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x14ac:dyDescent="0.25">
      <c r="A451" s="4"/>
      <c r="B451" s="4"/>
      <c r="C451" s="6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x14ac:dyDescent="0.25">
      <c r="A452" s="4"/>
      <c r="B452" s="4"/>
      <c r="C452" s="6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x14ac:dyDescent="0.25">
      <c r="A453" s="4"/>
      <c r="B453" s="4"/>
      <c r="C453" s="6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x14ac:dyDescent="0.25">
      <c r="A454" s="4"/>
      <c r="B454" s="4"/>
      <c r="C454" s="6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x14ac:dyDescent="0.25">
      <c r="A455" s="4"/>
      <c r="B455" s="4"/>
      <c r="C455" s="6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x14ac:dyDescent="0.25">
      <c r="A456" s="4"/>
      <c r="B456" s="4"/>
      <c r="C456" s="6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x14ac:dyDescent="0.25">
      <c r="A457" s="4"/>
      <c r="B457" s="4"/>
      <c r="C457" s="6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x14ac:dyDescent="0.25">
      <c r="A458" s="4"/>
      <c r="B458" s="4"/>
      <c r="C458" s="6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x14ac:dyDescent="0.25">
      <c r="A459" s="4"/>
      <c r="B459" s="4"/>
      <c r="C459" s="6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x14ac:dyDescent="0.25">
      <c r="A460" s="4"/>
      <c r="B460" s="4"/>
      <c r="C460" s="6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x14ac:dyDescent="0.25">
      <c r="A461" s="4"/>
      <c r="B461" s="4"/>
      <c r="C461" s="6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x14ac:dyDescent="0.25">
      <c r="A462" s="4"/>
      <c r="B462" s="4"/>
      <c r="C462" s="6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x14ac:dyDescent="0.25">
      <c r="A463" s="4"/>
      <c r="B463" s="4"/>
      <c r="C463" s="6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x14ac:dyDescent="0.25">
      <c r="A464" s="4"/>
      <c r="B464" s="4"/>
      <c r="C464" s="6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x14ac:dyDescent="0.25">
      <c r="A465" s="4"/>
      <c r="B465" s="4"/>
      <c r="C465" s="6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x14ac:dyDescent="0.25">
      <c r="A466" s="4"/>
      <c r="B466" s="4"/>
      <c r="C466" s="6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x14ac:dyDescent="0.25">
      <c r="A467" s="4"/>
      <c r="B467" s="4"/>
      <c r="C467" s="6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x14ac:dyDescent="0.25">
      <c r="A468" s="4"/>
      <c r="B468" s="4"/>
      <c r="C468" s="6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x14ac:dyDescent="0.25">
      <c r="A469" s="4"/>
      <c r="B469" s="4"/>
      <c r="C469" s="6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x14ac:dyDescent="0.25">
      <c r="A470" s="4"/>
      <c r="B470" s="4"/>
      <c r="C470" s="6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x14ac:dyDescent="0.25">
      <c r="A471" s="4"/>
      <c r="B471" s="4"/>
      <c r="C471" s="6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x14ac:dyDescent="0.25">
      <c r="A472" s="4"/>
      <c r="B472" s="4"/>
      <c r="C472" s="6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x14ac:dyDescent="0.25">
      <c r="A473" s="4"/>
      <c r="B473" s="4"/>
      <c r="C473" s="6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x14ac:dyDescent="0.25">
      <c r="A474" s="4"/>
      <c r="B474" s="4"/>
      <c r="C474" s="6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x14ac:dyDescent="0.25">
      <c r="A475" s="4"/>
      <c r="B475" s="4"/>
      <c r="C475" s="6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x14ac:dyDescent="0.25">
      <c r="A476" s="4"/>
      <c r="B476" s="4"/>
      <c r="C476" s="6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x14ac:dyDescent="0.25">
      <c r="A477" s="4"/>
      <c r="B477" s="4"/>
      <c r="C477" s="6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x14ac:dyDescent="0.25">
      <c r="A478" s="4"/>
      <c r="B478" s="4"/>
      <c r="C478" s="6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x14ac:dyDescent="0.25">
      <c r="A479" s="4"/>
      <c r="B479" s="4"/>
      <c r="C479" s="6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x14ac:dyDescent="0.25">
      <c r="A480" s="4"/>
      <c r="B480" s="4"/>
      <c r="C480" s="6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x14ac:dyDescent="0.25">
      <c r="A481" s="4"/>
      <c r="B481" s="4"/>
      <c r="C481" s="6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x14ac:dyDescent="0.25">
      <c r="A482" s="4"/>
      <c r="B482" s="4"/>
      <c r="C482" s="6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x14ac:dyDescent="0.25">
      <c r="A483" s="4"/>
      <c r="B483" s="4"/>
      <c r="C483" s="6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x14ac:dyDescent="0.25">
      <c r="A484" s="4"/>
      <c r="B484" s="4"/>
      <c r="C484" s="6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x14ac:dyDescent="0.25">
      <c r="A485" s="4"/>
      <c r="B485" s="4"/>
      <c r="C485" s="6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x14ac:dyDescent="0.25">
      <c r="A486" s="4"/>
      <c r="B486" s="4"/>
      <c r="C486" s="6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x14ac:dyDescent="0.25">
      <c r="A487" s="4"/>
      <c r="B487" s="4"/>
      <c r="C487" s="6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x14ac:dyDescent="0.25">
      <c r="A488" s="4"/>
      <c r="B488" s="4"/>
      <c r="C488" s="6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x14ac:dyDescent="0.25">
      <c r="A489" s="4"/>
      <c r="B489" s="4"/>
      <c r="C489" s="6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x14ac:dyDescent="0.25">
      <c r="A490" s="4"/>
      <c r="B490" s="4"/>
      <c r="C490" s="6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x14ac:dyDescent="0.25">
      <c r="A491" s="4"/>
      <c r="B491" s="4"/>
      <c r="C491" s="6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x14ac:dyDescent="0.25">
      <c r="A492" s="4"/>
      <c r="B492" s="4"/>
      <c r="C492" s="6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x14ac:dyDescent="0.25">
      <c r="A493" s="4"/>
      <c r="B493" s="4"/>
      <c r="C493" s="6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x14ac:dyDescent="0.25">
      <c r="A494" s="4"/>
      <c r="B494" s="4"/>
      <c r="C494" s="6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x14ac:dyDescent="0.25">
      <c r="A495" s="4"/>
      <c r="B495" s="4"/>
      <c r="C495" s="6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x14ac:dyDescent="0.25">
      <c r="A496" s="4"/>
      <c r="B496" s="4"/>
      <c r="C496" s="6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x14ac:dyDescent="0.25">
      <c r="A497" s="4"/>
      <c r="B497" s="4"/>
      <c r="C497" s="6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x14ac:dyDescent="0.25">
      <c r="A498" s="4"/>
      <c r="B498" s="4"/>
      <c r="C498" s="6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x14ac:dyDescent="0.25">
      <c r="A499" s="4"/>
      <c r="B499" s="4"/>
      <c r="C499" s="6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x14ac:dyDescent="0.25">
      <c r="A500" s="4"/>
      <c r="B500" s="4"/>
      <c r="C500" s="6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x14ac:dyDescent="0.25">
      <c r="A501" s="4"/>
      <c r="B501" s="4"/>
      <c r="C501" s="6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x14ac:dyDescent="0.25">
      <c r="A502" s="4"/>
      <c r="B502" s="4"/>
      <c r="C502" s="6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x14ac:dyDescent="0.25">
      <c r="A503" s="4"/>
      <c r="B503" s="4"/>
      <c r="C503" s="6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x14ac:dyDescent="0.25">
      <c r="A504" s="4"/>
      <c r="B504" s="4"/>
      <c r="C504" s="6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x14ac:dyDescent="0.25">
      <c r="A505" s="4"/>
      <c r="B505" s="4"/>
      <c r="C505" s="6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x14ac:dyDescent="0.25">
      <c r="A506" s="4"/>
      <c r="B506" s="4"/>
      <c r="C506" s="6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x14ac:dyDescent="0.25">
      <c r="A507" s="4"/>
      <c r="B507" s="4"/>
      <c r="C507" s="6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x14ac:dyDescent="0.25">
      <c r="A508" s="4"/>
      <c r="B508" s="4"/>
      <c r="C508" s="6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x14ac:dyDescent="0.25">
      <c r="A509" s="4"/>
      <c r="B509" s="4"/>
      <c r="C509" s="6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x14ac:dyDescent="0.25">
      <c r="A510" s="4"/>
      <c r="B510" s="4"/>
      <c r="C510" s="6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x14ac:dyDescent="0.25">
      <c r="A511" s="4"/>
      <c r="B511" s="4"/>
      <c r="C511" s="6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x14ac:dyDescent="0.25">
      <c r="A512" s="4"/>
      <c r="B512" s="4"/>
      <c r="C512" s="6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x14ac:dyDescent="0.25">
      <c r="A513" s="4"/>
      <c r="B513" s="4"/>
      <c r="C513" s="6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x14ac:dyDescent="0.25">
      <c r="A514" s="4"/>
      <c r="B514" s="4"/>
      <c r="C514" s="6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x14ac:dyDescent="0.25">
      <c r="A515" s="4"/>
      <c r="B515" s="4"/>
      <c r="C515" s="6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x14ac:dyDescent="0.25">
      <c r="A516" s="4"/>
      <c r="B516" s="4"/>
      <c r="C516" s="6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x14ac:dyDescent="0.25">
      <c r="A517" s="4"/>
      <c r="B517" s="4"/>
      <c r="C517" s="6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x14ac:dyDescent="0.25">
      <c r="A518" s="4"/>
      <c r="B518" s="4"/>
      <c r="C518" s="6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x14ac:dyDescent="0.25">
      <c r="A519" s="4"/>
      <c r="B519" s="4"/>
      <c r="C519" s="6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x14ac:dyDescent="0.25">
      <c r="A520" s="4"/>
      <c r="B520" s="4"/>
      <c r="C520" s="6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x14ac:dyDescent="0.25">
      <c r="A521" s="4"/>
      <c r="B521" s="4"/>
      <c r="C521" s="6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x14ac:dyDescent="0.25">
      <c r="A522" s="4"/>
      <c r="B522" s="4"/>
      <c r="C522" s="6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x14ac:dyDescent="0.25">
      <c r="A523" s="4"/>
      <c r="B523" s="4"/>
      <c r="C523" s="6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x14ac:dyDescent="0.25">
      <c r="A524" s="4"/>
      <c r="B524" s="4"/>
      <c r="C524" s="6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x14ac:dyDescent="0.25">
      <c r="A525" s="4"/>
      <c r="B525" s="4"/>
      <c r="C525" s="6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x14ac:dyDescent="0.25">
      <c r="A526" s="4"/>
      <c r="B526" s="4"/>
      <c r="C526" s="6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x14ac:dyDescent="0.25">
      <c r="A527" s="4"/>
      <c r="B527" s="4"/>
      <c r="C527" s="6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x14ac:dyDescent="0.25">
      <c r="A528" s="4"/>
      <c r="B528" s="4"/>
      <c r="C528" s="6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x14ac:dyDescent="0.25">
      <c r="A529" s="4"/>
      <c r="B529" s="4"/>
      <c r="C529" s="6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x14ac:dyDescent="0.25">
      <c r="A530" s="4"/>
      <c r="B530" s="4"/>
      <c r="C530" s="6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x14ac:dyDescent="0.25">
      <c r="A531" s="4"/>
      <c r="B531" s="4"/>
      <c r="C531" s="6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x14ac:dyDescent="0.25">
      <c r="A532" s="4"/>
      <c r="B532" s="4"/>
      <c r="C532" s="6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x14ac:dyDescent="0.25">
      <c r="A533" s="4"/>
      <c r="B533" s="4"/>
      <c r="C533" s="6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x14ac:dyDescent="0.25">
      <c r="A534" s="4"/>
      <c r="B534" s="4"/>
      <c r="C534" s="6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x14ac:dyDescent="0.25">
      <c r="A535" s="4"/>
      <c r="B535" s="4"/>
      <c r="C535" s="6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x14ac:dyDescent="0.25">
      <c r="A536" s="4"/>
      <c r="B536" s="4"/>
      <c r="C536" s="6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x14ac:dyDescent="0.25">
      <c r="A537" s="4"/>
      <c r="B537" s="4"/>
      <c r="C537" s="6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x14ac:dyDescent="0.25">
      <c r="A538" s="4"/>
      <c r="B538" s="4"/>
      <c r="C538" s="6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x14ac:dyDescent="0.25">
      <c r="A539" s="4"/>
      <c r="B539" s="4"/>
      <c r="C539" s="6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x14ac:dyDescent="0.25">
      <c r="A540" s="4"/>
      <c r="B540" s="4"/>
      <c r="C540" s="6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x14ac:dyDescent="0.25">
      <c r="A541" s="4"/>
      <c r="B541" s="4"/>
      <c r="C541" s="6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x14ac:dyDescent="0.25">
      <c r="A542" s="4"/>
      <c r="B542" s="4"/>
      <c r="C542" s="6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x14ac:dyDescent="0.25">
      <c r="A543" s="4"/>
      <c r="B543" s="4"/>
      <c r="C543" s="6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x14ac:dyDescent="0.25">
      <c r="A544" s="4"/>
      <c r="B544" s="4"/>
      <c r="C544" s="6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x14ac:dyDescent="0.25">
      <c r="A545" s="4"/>
      <c r="B545" s="4"/>
      <c r="C545" s="6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x14ac:dyDescent="0.25">
      <c r="A546" s="4"/>
      <c r="B546" s="4"/>
      <c r="C546" s="6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x14ac:dyDescent="0.25">
      <c r="A547" s="4"/>
      <c r="B547" s="4"/>
      <c r="C547" s="6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x14ac:dyDescent="0.25">
      <c r="A548" s="4"/>
      <c r="B548" s="4"/>
      <c r="C548" s="6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x14ac:dyDescent="0.25">
      <c r="A549" s="4"/>
      <c r="B549" s="4"/>
      <c r="C549" s="6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x14ac:dyDescent="0.25">
      <c r="A550" s="4"/>
      <c r="B550" s="4"/>
      <c r="C550" s="6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x14ac:dyDescent="0.25">
      <c r="A551" s="4"/>
      <c r="B551" s="4"/>
      <c r="C551" s="6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x14ac:dyDescent="0.25">
      <c r="A552" s="4"/>
      <c r="B552" s="4"/>
      <c r="C552" s="6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x14ac:dyDescent="0.25">
      <c r="A553" s="4"/>
      <c r="B553" s="4"/>
      <c r="C553" s="6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x14ac:dyDescent="0.25">
      <c r="A554" s="4"/>
      <c r="B554" s="4"/>
      <c r="C554" s="6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x14ac:dyDescent="0.25">
      <c r="A555" s="4"/>
      <c r="B555" s="4"/>
      <c r="C555" s="6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x14ac:dyDescent="0.25">
      <c r="A556" s="4"/>
      <c r="B556" s="4"/>
      <c r="C556" s="6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x14ac:dyDescent="0.25">
      <c r="A557" s="4"/>
      <c r="B557" s="4"/>
      <c r="C557" s="6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x14ac:dyDescent="0.25">
      <c r="A558" s="4"/>
      <c r="B558" s="4"/>
      <c r="C558" s="6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x14ac:dyDescent="0.25">
      <c r="A559" s="4"/>
      <c r="B559" s="4"/>
      <c r="C559" s="6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x14ac:dyDescent="0.25">
      <c r="A560" s="4"/>
      <c r="B560" s="4"/>
      <c r="C560" s="6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x14ac:dyDescent="0.25">
      <c r="A561" s="4"/>
      <c r="B561" s="4"/>
      <c r="C561" s="6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x14ac:dyDescent="0.25">
      <c r="A562" s="4"/>
      <c r="B562" s="4"/>
      <c r="C562" s="6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x14ac:dyDescent="0.25">
      <c r="A563" s="4"/>
      <c r="B563" s="4"/>
      <c r="C563" s="6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x14ac:dyDescent="0.25">
      <c r="A564" s="4"/>
      <c r="B564" s="4"/>
      <c r="C564" s="6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x14ac:dyDescent="0.25">
      <c r="A565" s="4"/>
      <c r="B565" s="4"/>
      <c r="C565" s="6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x14ac:dyDescent="0.25">
      <c r="A566" s="4"/>
      <c r="B566" s="4"/>
      <c r="C566" s="6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x14ac:dyDescent="0.25">
      <c r="A567" s="4"/>
      <c r="B567" s="4"/>
      <c r="C567" s="6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x14ac:dyDescent="0.25">
      <c r="A568" s="4"/>
      <c r="B568" s="4"/>
      <c r="C568" s="6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x14ac:dyDescent="0.25">
      <c r="A569" s="4"/>
      <c r="B569" s="4"/>
      <c r="C569" s="6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x14ac:dyDescent="0.25">
      <c r="A570" s="4"/>
      <c r="B570" s="4"/>
      <c r="C570" s="6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x14ac:dyDescent="0.25">
      <c r="A571" s="4"/>
      <c r="B571" s="4"/>
      <c r="C571" s="6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x14ac:dyDescent="0.25">
      <c r="A572" s="4"/>
      <c r="B572" s="4"/>
      <c r="C572" s="6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x14ac:dyDescent="0.25">
      <c r="A573" s="4"/>
      <c r="B573" s="4"/>
      <c r="C573" s="6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x14ac:dyDescent="0.25">
      <c r="A574" s="4"/>
      <c r="B574" s="4"/>
      <c r="C574" s="6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x14ac:dyDescent="0.25">
      <c r="A575" s="4"/>
      <c r="B575" s="4"/>
      <c r="C575" s="6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x14ac:dyDescent="0.25">
      <c r="A576" s="4"/>
      <c r="B576" s="4"/>
      <c r="C576" s="6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x14ac:dyDescent="0.25">
      <c r="A577" s="4"/>
      <c r="B577" s="4"/>
      <c r="C577" s="6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x14ac:dyDescent="0.25">
      <c r="A578" s="4"/>
      <c r="B578" s="4"/>
      <c r="C578" s="6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x14ac:dyDescent="0.25">
      <c r="A579" s="4"/>
      <c r="B579" s="4"/>
      <c r="C579" s="6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x14ac:dyDescent="0.25">
      <c r="A580" s="4"/>
      <c r="B580" s="4"/>
      <c r="C580" s="6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x14ac:dyDescent="0.25">
      <c r="A581" s="4"/>
      <c r="B581" s="4"/>
      <c r="C581" s="6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x14ac:dyDescent="0.25">
      <c r="A582" s="4"/>
      <c r="B582" s="4"/>
      <c r="C582" s="6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x14ac:dyDescent="0.25">
      <c r="A583" s="4"/>
      <c r="B583" s="4"/>
      <c r="C583" s="6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x14ac:dyDescent="0.25">
      <c r="A584" s="4"/>
      <c r="B584" s="4"/>
      <c r="C584" s="6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x14ac:dyDescent="0.25">
      <c r="A585" s="4"/>
      <c r="B585" s="4"/>
      <c r="C585" s="6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x14ac:dyDescent="0.25">
      <c r="A586" s="4"/>
      <c r="B586" s="4"/>
      <c r="C586" s="6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x14ac:dyDescent="0.25">
      <c r="A587" s="4"/>
      <c r="B587" s="4"/>
      <c r="C587" s="6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x14ac:dyDescent="0.25">
      <c r="A588" s="4"/>
      <c r="B588" s="4"/>
      <c r="C588" s="6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x14ac:dyDescent="0.25">
      <c r="A589" s="4"/>
      <c r="B589" s="4"/>
      <c r="C589" s="6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x14ac:dyDescent="0.25">
      <c r="A590" s="4"/>
      <c r="B590" s="4"/>
      <c r="C590" s="6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x14ac:dyDescent="0.25">
      <c r="A591" s="4"/>
      <c r="B591" s="4"/>
      <c r="C591" s="6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x14ac:dyDescent="0.25">
      <c r="A592" s="4"/>
      <c r="B592" s="4"/>
      <c r="C592" s="6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x14ac:dyDescent="0.25">
      <c r="A593" s="4"/>
      <c r="B593" s="4"/>
      <c r="C593" s="6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x14ac:dyDescent="0.25">
      <c r="A594" s="4"/>
      <c r="B594" s="4"/>
      <c r="C594" s="6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x14ac:dyDescent="0.25">
      <c r="A595" s="4"/>
      <c r="B595" s="4"/>
      <c r="C595" s="6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x14ac:dyDescent="0.25">
      <c r="A596" s="4"/>
      <c r="B596" s="4"/>
      <c r="C596" s="6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x14ac:dyDescent="0.25">
      <c r="A597" s="4"/>
      <c r="B597" s="4"/>
      <c r="C597" s="6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x14ac:dyDescent="0.25">
      <c r="A598" s="4"/>
      <c r="B598" s="4"/>
      <c r="C598" s="6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x14ac:dyDescent="0.25">
      <c r="A599" s="4"/>
      <c r="B599" s="4"/>
      <c r="C599" s="6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x14ac:dyDescent="0.25">
      <c r="A600" s="4"/>
      <c r="B600" s="4"/>
      <c r="C600" s="6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x14ac:dyDescent="0.25">
      <c r="A601" s="4"/>
      <c r="B601" s="4"/>
      <c r="C601" s="6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x14ac:dyDescent="0.25">
      <c r="A602" s="4"/>
      <c r="B602" s="4"/>
      <c r="C602" s="6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x14ac:dyDescent="0.25">
      <c r="A603" s="4"/>
      <c r="B603" s="4"/>
      <c r="C603" s="6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x14ac:dyDescent="0.25">
      <c r="A604" s="4"/>
      <c r="B604" s="4"/>
      <c r="C604" s="6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x14ac:dyDescent="0.25">
      <c r="A605" s="4"/>
      <c r="B605" s="4"/>
      <c r="C605" s="6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x14ac:dyDescent="0.25">
      <c r="A606" s="4"/>
      <c r="B606" s="4"/>
      <c r="C606" s="6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x14ac:dyDescent="0.25">
      <c r="A607" s="4"/>
      <c r="B607" s="4"/>
      <c r="C607" s="6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x14ac:dyDescent="0.25">
      <c r="A608" s="4"/>
      <c r="B608" s="4"/>
      <c r="C608" s="6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x14ac:dyDescent="0.25">
      <c r="A609" s="4"/>
      <c r="B609" s="4"/>
      <c r="C609" s="6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x14ac:dyDescent="0.25">
      <c r="A610" s="4"/>
      <c r="B610" s="4"/>
      <c r="C610" s="6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x14ac:dyDescent="0.25">
      <c r="A611" s="4"/>
      <c r="B611" s="4"/>
      <c r="C611" s="6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x14ac:dyDescent="0.25">
      <c r="A612" s="4"/>
      <c r="B612" s="4"/>
      <c r="C612" s="6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x14ac:dyDescent="0.25">
      <c r="A613" s="4"/>
      <c r="B613" s="4"/>
      <c r="C613" s="6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x14ac:dyDescent="0.25">
      <c r="A614" s="4"/>
      <c r="B614" s="4"/>
      <c r="C614" s="6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x14ac:dyDescent="0.25">
      <c r="A615" s="4"/>
      <c r="B615" s="4"/>
      <c r="C615" s="6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x14ac:dyDescent="0.25">
      <c r="A616" s="4"/>
      <c r="B616" s="4"/>
      <c r="C616" s="6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x14ac:dyDescent="0.25">
      <c r="A617" s="4"/>
      <c r="B617" s="4"/>
      <c r="C617" s="6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x14ac:dyDescent="0.25">
      <c r="A618" s="4"/>
      <c r="B618" s="4"/>
      <c r="C618" s="6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x14ac:dyDescent="0.25">
      <c r="A619" s="4"/>
      <c r="B619" s="4"/>
      <c r="C619" s="6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x14ac:dyDescent="0.25">
      <c r="A620" s="4"/>
      <c r="B620" s="4"/>
      <c r="C620" s="6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x14ac:dyDescent="0.25">
      <c r="A621" s="4"/>
      <c r="B621" s="4"/>
      <c r="C621" s="6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x14ac:dyDescent="0.25">
      <c r="A622" s="4"/>
      <c r="B622" s="4"/>
      <c r="C622" s="6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x14ac:dyDescent="0.25">
      <c r="A623" s="4"/>
      <c r="B623" s="4"/>
      <c r="C623" s="6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x14ac:dyDescent="0.25">
      <c r="A624" s="4"/>
      <c r="B624" s="4"/>
      <c r="C624" s="6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x14ac:dyDescent="0.25">
      <c r="A625" s="4"/>
      <c r="B625" s="4"/>
      <c r="C625" s="6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x14ac:dyDescent="0.25">
      <c r="A626" s="4"/>
      <c r="B626" s="4"/>
      <c r="C626" s="6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x14ac:dyDescent="0.25">
      <c r="A627" s="4"/>
      <c r="B627" s="4"/>
      <c r="C627" s="6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x14ac:dyDescent="0.25">
      <c r="A628" s="4"/>
      <c r="B628" s="4"/>
      <c r="C628" s="6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x14ac:dyDescent="0.25">
      <c r="A629" s="4"/>
      <c r="B629" s="4"/>
      <c r="C629" s="6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x14ac:dyDescent="0.25">
      <c r="A630" s="4"/>
      <c r="B630" s="4"/>
      <c r="C630" s="6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x14ac:dyDescent="0.25">
      <c r="A631" s="4"/>
      <c r="B631" s="4"/>
      <c r="C631" s="6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x14ac:dyDescent="0.25">
      <c r="A632" s="4"/>
      <c r="B632" s="4"/>
      <c r="C632" s="6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x14ac:dyDescent="0.25">
      <c r="A633" s="4"/>
      <c r="B633" s="4"/>
      <c r="C633" s="6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x14ac:dyDescent="0.25">
      <c r="A634" s="4"/>
      <c r="B634" s="4"/>
      <c r="C634" s="6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x14ac:dyDescent="0.25">
      <c r="A635" s="4"/>
      <c r="B635" s="4"/>
      <c r="C635" s="6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x14ac:dyDescent="0.25">
      <c r="A636" s="4"/>
      <c r="B636" s="4"/>
      <c r="C636" s="6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x14ac:dyDescent="0.25">
      <c r="A637" s="4"/>
      <c r="B637" s="4"/>
      <c r="C637" s="6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x14ac:dyDescent="0.25">
      <c r="A638" s="4"/>
      <c r="B638" s="4"/>
      <c r="C638" s="6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x14ac:dyDescent="0.25">
      <c r="A639" s="4"/>
      <c r="B639" s="4"/>
      <c r="C639" s="6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x14ac:dyDescent="0.25">
      <c r="A640" s="4"/>
      <c r="B640" s="4"/>
      <c r="C640" s="6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x14ac:dyDescent="0.25">
      <c r="A641" s="4"/>
      <c r="B641" s="4"/>
      <c r="C641" s="6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x14ac:dyDescent="0.25">
      <c r="A642" s="4"/>
      <c r="B642" s="4"/>
      <c r="C642" s="6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x14ac:dyDescent="0.25">
      <c r="A643" s="4"/>
      <c r="B643" s="4"/>
      <c r="C643" s="6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x14ac:dyDescent="0.25">
      <c r="A644" s="4"/>
      <c r="B644" s="4"/>
      <c r="C644" s="6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x14ac:dyDescent="0.25">
      <c r="A645" s="4"/>
      <c r="B645" s="4"/>
      <c r="C645" s="6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x14ac:dyDescent="0.25">
      <c r="A646" s="4"/>
      <c r="B646" s="4"/>
      <c r="C646" s="6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x14ac:dyDescent="0.25">
      <c r="A647" s="4"/>
      <c r="B647" s="4"/>
      <c r="C647" s="6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x14ac:dyDescent="0.25">
      <c r="A648" s="4"/>
      <c r="B648" s="4"/>
      <c r="C648" s="6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x14ac:dyDescent="0.25">
      <c r="A649" s="4"/>
      <c r="B649" s="4"/>
      <c r="C649" s="6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x14ac:dyDescent="0.25">
      <c r="A650" s="4"/>
      <c r="B650" s="4"/>
      <c r="C650" s="6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x14ac:dyDescent="0.25">
      <c r="A651" s="4"/>
      <c r="B651" s="4"/>
      <c r="C651" s="6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x14ac:dyDescent="0.25">
      <c r="A652" s="4"/>
      <c r="B652" s="4"/>
      <c r="C652" s="6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x14ac:dyDescent="0.25">
      <c r="A653" s="4"/>
      <c r="B653" s="4"/>
      <c r="C653" s="6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x14ac:dyDescent="0.25">
      <c r="A654" s="4"/>
      <c r="B654" s="4"/>
      <c r="C654" s="6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x14ac:dyDescent="0.25">
      <c r="A655" s="4"/>
      <c r="B655" s="4"/>
      <c r="C655" s="6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x14ac:dyDescent="0.25">
      <c r="A656" s="4"/>
      <c r="B656" s="4"/>
      <c r="C656" s="6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x14ac:dyDescent="0.25">
      <c r="A657" s="4"/>
      <c r="B657" s="4"/>
      <c r="C657" s="6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x14ac:dyDescent="0.25">
      <c r="A658" s="4"/>
      <c r="B658" s="4"/>
      <c r="C658" s="6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x14ac:dyDescent="0.25">
      <c r="A659" s="4"/>
      <c r="B659" s="4"/>
      <c r="C659" s="6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x14ac:dyDescent="0.25">
      <c r="A660" s="4"/>
      <c r="B660" s="4"/>
      <c r="C660" s="6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x14ac:dyDescent="0.25">
      <c r="A661" s="4"/>
      <c r="B661" s="4"/>
      <c r="C661" s="6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x14ac:dyDescent="0.25">
      <c r="A662" s="4"/>
      <c r="B662" s="4"/>
      <c r="C662" s="6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x14ac:dyDescent="0.25">
      <c r="A663" s="4"/>
      <c r="B663" s="4"/>
      <c r="C663" s="6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x14ac:dyDescent="0.25">
      <c r="A664" s="4"/>
      <c r="B664" s="4"/>
      <c r="C664" s="6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x14ac:dyDescent="0.25">
      <c r="A665" s="4"/>
      <c r="B665" s="4"/>
      <c r="C665" s="6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x14ac:dyDescent="0.25">
      <c r="A666" s="4"/>
      <c r="B666" s="4"/>
      <c r="C666" s="6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x14ac:dyDescent="0.25">
      <c r="A667" s="4"/>
      <c r="B667" s="4"/>
      <c r="C667" s="6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x14ac:dyDescent="0.25">
      <c r="A668" s="4"/>
      <c r="B668" s="4"/>
      <c r="C668" s="6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x14ac:dyDescent="0.25">
      <c r="A669" s="4"/>
      <c r="B669" s="4"/>
      <c r="C669" s="6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x14ac:dyDescent="0.25">
      <c r="A670" s="4"/>
      <c r="B670" s="4"/>
      <c r="C670" s="6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x14ac:dyDescent="0.25">
      <c r="A671" s="4"/>
      <c r="B671" s="4"/>
      <c r="C671" s="6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x14ac:dyDescent="0.25">
      <c r="A672" s="4"/>
      <c r="B672" s="4"/>
      <c r="C672" s="6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x14ac:dyDescent="0.25">
      <c r="A673" s="4"/>
      <c r="B673" s="4"/>
      <c r="C673" s="6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x14ac:dyDescent="0.25">
      <c r="A674" s="4"/>
      <c r="B674" s="4"/>
      <c r="C674" s="6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x14ac:dyDescent="0.25">
      <c r="A675" s="4"/>
      <c r="B675" s="4"/>
      <c r="C675" s="6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x14ac:dyDescent="0.25">
      <c r="A676" s="4"/>
      <c r="B676" s="4"/>
      <c r="C676" s="6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x14ac:dyDescent="0.25">
      <c r="A677" s="4"/>
      <c r="B677" s="4"/>
      <c r="C677" s="6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x14ac:dyDescent="0.25">
      <c r="A678" s="4"/>
      <c r="B678" s="4"/>
      <c r="C678" s="6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x14ac:dyDescent="0.25">
      <c r="A679" s="4"/>
      <c r="B679" s="4"/>
      <c r="C679" s="6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x14ac:dyDescent="0.25">
      <c r="A680" s="4"/>
      <c r="B680" s="4"/>
      <c r="C680" s="6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x14ac:dyDescent="0.25">
      <c r="A681" s="4"/>
      <c r="B681" s="4"/>
      <c r="C681" s="6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x14ac:dyDescent="0.25">
      <c r="A682" s="4"/>
      <c r="B682" s="4"/>
      <c r="C682" s="6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x14ac:dyDescent="0.25">
      <c r="A683" s="4"/>
      <c r="B683" s="4"/>
      <c r="C683" s="6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x14ac:dyDescent="0.25">
      <c r="A684" s="4"/>
      <c r="B684" s="4"/>
      <c r="C684" s="6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x14ac:dyDescent="0.25">
      <c r="A685" s="4"/>
      <c r="B685" s="4"/>
      <c r="C685" s="6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x14ac:dyDescent="0.25">
      <c r="A686" s="4"/>
      <c r="B686" s="4"/>
      <c r="C686" s="6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x14ac:dyDescent="0.25">
      <c r="A687" s="4"/>
      <c r="B687" s="4"/>
      <c r="C687" s="6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x14ac:dyDescent="0.25">
      <c r="A688" s="4"/>
      <c r="B688" s="4"/>
      <c r="C688" s="6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x14ac:dyDescent="0.25">
      <c r="A689" s="4"/>
      <c r="B689" s="4"/>
      <c r="C689" s="6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x14ac:dyDescent="0.25">
      <c r="A690" s="4"/>
      <c r="B690" s="4"/>
      <c r="C690" s="6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x14ac:dyDescent="0.25">
      <c r="A691" s="4"/>
      <c r="B691" s="4"/>
      <c r="C691" s="6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x14ac:dyDescent="0.25">
      <c r="A692" s="4"/>
      <c r="B692" s="4"/>
      <c r="C692" s="6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x14ac:dyDescent="0.25">
      <c r="A693" s="4"/>
      <c r="B693" s="4"/>
      <c r="C693" s="6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x14ac:dyDescent="0.25">
      <c r="A694" s="4"/>
      <c r="B694" s="4"/>
      <c r="C694" s="6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x14ac:dyDescent="0.25">
      <c r="A695" s="4"/>
      <c r="B695" s="4"/>
      <c r="C695" s="6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x14ac:dyDescent="0.25">
      <c r="A696" s="4"/>
      <c r="B696" s="4"/>
      <c r="C696" s="6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x14ac:dyDescent="0.25">
      <c r="A697" s="4"/>
      <c r="B697" s="4"/>
      <c r="C697" s="6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x14ac:dyDescent="0.25">
      <c r="A698" s="4"/>
      <c r="B698" s="4"/>
      <c r="C698" s="6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x14ac:dyDescent="0.25">
      <c r="A699" s="4"/>
      <c r="B699" s="4"/>
      <c r="C699" s="6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x14ac:dyDescent="0.25">
      <c r="A700" s="4"/>
      <c r="B700" s="4"/>
      <c r="C700" s="6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x14ac:dyDescent="0.25">
      <c r="A701" s="4"/>
      <c r="B701" s="4"/>
      <c r="C701" s="6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x14ac:dyDescent="0.25">
      <c r="A702" s="4"/>
      <c r="B702" s="4"/>
      <c r="C702" s="6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x14ac:dyDescent="0.25">
      <c r="A703" s="4"/>
      <c r="B703" s="4"/>
      <c r="C703" s="6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x14ac:dyDescent="0.25">
      <c r="A704" s="4"/>
      <c r="B704" s="4"/>
      <c r="C704" s="6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x14ac:dyDescent="0.25">
      <c r="A705" s="4"/>
      <c r="B705" s="4"/>
      <c r="C705" s="6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x14ac:dyDescent="0.25">
      <c r="A706" s="4"/>
      <c r="B706" s="4"/>
      <c r="C706" s="6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x14ac:dyDescent="0.25">
      <c r="A707" s="4"/>
      <c r="B707" s="4"/>
      <c r="C707" s="6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x14ac:dyDescent="0.25">
      <c r="A708" s="4"/>
      <c r="B708" s="4"/>
      <c r="C708" s="6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x14ac:dyDescent="0.25">
      <c r="A709" s="4"/>
      <c r="B709" s="4"/>
      <c r="C709" s="6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x14ac:dyDescent="0.25">
      <c r="A710" s="4"/>
      <c r="B710" s="4"/>
      <c r="C710" s="6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x14ac:dyDescent="0.25">
      <c r="A711" s="4"/>
      <c r="B711" s="4"/>
      <c r="C711" s="6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x14ac:dyDescent="0.25">
      <c r="A712" s="4"/>
      <c r="B712" s="4"/>
      <c r="C712" s="6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x14ac:dyDescent="0.25">
      <c r="A713" s="4"/>
      <c r="B713" s="4"/>
      <c r="C713" s="6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x14ac:dyDescent="0.25">
      <c r="A714" s="4"/>
      <c r="B714" s="4"/>
      <c r="C714" s="6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x14ac:dyDescent="0.25">
      <c r="A715" s="4"/>
      <c r="B715" s="4"/>
      <c r="C715" s="6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x14ac:dyDescent="0.25">
      <c r="A716" s="4"/>
      <c r="B716" s="4"/>
      <c r="C716" s="6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x14ac:dyDescent="0.25">
      <c r="A717" s="4"/>
      <c r="B717" s="4"/>
      <c r="C717" s="6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x14ac:dyDescent="0.25">
      <c r="A718" s="4"/>
      <c r="B718" s="4"/>
      <c r="C718" s="6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x14ac:dyDescent="0.25">
      <c r="A719" s="4"/>
      <c r="B719" s="4"/>
      <c r="C719" s="6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x14ac:dyDescent="0.25">
      <c r="A720" s="4"/>
      <c r="B720" s="4"/>
      <c r="C720" s="6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x14ac:dyDescent="0.25">
      <c r="A721" s="4"/>
      <c r="B721" s="4"/>
      <c r="C721" s="6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x14ac:dyDescent="0.25">
      <c r="A722" s="4"/>
      <c r="B722" s="4"/>
      <c r="C722" s="6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x14ac:dyDescent="0.25">
      <c r="A723" s="4"/>
      <c r="B723" s="4"/>
      <c r="C723" s="6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x14ac:dyDescent="0.25">
      <c r="A724" s="4"/>
      <c r="B724" s="4"/>
      <c r="C724" s="6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x14ac:dyDescent="0.25">
      <c r="A725" s="4"/>
      <c r="B725" s="4"/>
      <c r="C725" s="6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x14ac:dyDescent="0.25">
      <c r="A726" s="4"/>
      <c r="B726" s="4"/>
      <c r="C726" s="6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x14ac:dyDescent="0.25">
      <c r="A727" s="4"/>
      <c r="B727" s="4"/>
      <c r="C727" s="6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x14ac:dyDescent="0.25">
      <c r="A728" s="4"/>
      <c r="B728" s="4"/>
      <c r="C728" s="6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x14ac:dyDescent="0.25">
      <c r="A729" s="4"/>
      <c r="B729" s="4"/>
      <c r="C729" s="6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x14ac:dyDescent="0.25">
      <c r="A730" s="4"/>
      <c r="B730" s="4"/>
      <c r="C730" s="6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x14ac:dyDescent="0.25">
      <c r="A731" s="4"/>
      <c r="B731" s="4"/>
      <c r="C731" s="6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x14ac:dyDescent="0.25">
      <c r="A732" s="4"/>
      <c r="B732" s="4"/>
      <c r="C732" s="6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x14ac:dyDescent="0.25">
      <c r="A733" s="4"/>
      <c r="B733" s="4"/>
      <c r="C733" s="6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x14ac:dyDescent="0.25">
      <c r="A734" s="4"/>
      <c r="B734" s="4"/>
      <c r="C734" s="6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x14ac:dyDescent="0.25">
      <c r="A735" s="4"/>
      <c r="B735" s="4"/>
      <c r="C735" s="6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x14ac:dyDescent="0.25">
      <c r="A736" s="4"/>
      <c r="B736" s="4"/>
      <c r="C736" s="6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x14ac:dyDescent="0.25">
      <c r="A737" s="4"/>
      <c r="B737" s="4"/>
      <c r="C737" s="6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x14ac:dyDescent="0.25">
      <c r="A738" s="4"/>
      <c r="B738" s="4"/>
      <c r="C738" s="6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x14ac:dyDescent="0.25">
      <c r="A739" s="4"/>
      <c r="B739" s="4"/>
      <c r="C739" s="6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x14ac:dyDescent="0.25">
      <c r="A740" s="4"/>
      <c r="B740" s="4"/>
      <c r="C740" s="6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x14ac:dyDescent="0.25">
      <c r="A741" s="4"/>
      <c r="B741" s="4"/>
      <c r="C741" s="6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x14ac:dyDescent="0.25">
      <c r="A742" s="4"/>
      <c r="B742" s="4"/>
      <c r="C742" s="6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x14ac:dyDescent="0.25">
      <c r="A743" s="4"/>
      <c r="B743" s="4"/>
      <c r="C743" s="6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x14ac:dyDescent="0.25">
      <c r="A744" s="4"/>
      <c r="B744" s="4"/>
      <c r="C744" s="6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x14ac:dyDescent="0.25">
      <c r="A745" s="4"/>
      <c r="B745" s="4"/>
      <c r="C745" s="6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x14ac:dyDescent="0.25">
      <c r="A746" s="4"/>
      <c r="B746" s="4"/>
      <c r="C746" s="6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x14ac:dyDescent="0.25">
      <c r="A747" s="4"/>
      <c r="B747" s="4"/>
      <c r="C747" s="6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x14ac:dyDescent="0.25">
      <c r="A748" s="4"/>
      <c r="B748" s="4"/>
      <c r="C748" s="6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x14ac:dyDescent="0.25">
      <c r="A749" s="4"/>
      <c r="B749" s="4"/>
      <c r="C749" s="6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x14ac:dyDescent="0.25">
      <c r="A750" s="4"/>
      <c r="B750" s="4"/>
      <c r="C750" s="6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x14ac:dyDescent="0.25">
      <c r="A751" s="4"/>
      <c r="B751" s="4"/>
      <c r="C751" s="6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x14ac:dyDescent="0.25">
      <c r="A752" s="4"/>
      <c r="B752" s="4"/>
      <c r="C752" s="6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x14ac:dyDescent="0.25">
      <c r="A753" s="4"/>
      <c r="B753" s="4"/>
      <c r="C753" s="6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x14ac:dyDescent="0.25">
      <c r="A754" s="4"/>
      <c r="B754" s="4"/>
      <c r="C754" s="6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x14ac:dyDescent="0.25">
      <c r="A755" s="4"/>
      <c r="B755" s="4"/>
      <c r="C755" s="6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x14ac:dyDescent="0.25">
      <c r="A756" s="4"/>
      <c r="B756" s="4"/>
      <c r="C756" s="6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x14ac:dyDescent="0.25">
      <c r="A757" s="4"/>
      <c r="B757" s="4"/>
      <c r="C757" s="6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x14ac:dyDescent="0.25">
      <c r="A758" s="4"/>
      <c r="B758" s="4"/>
      <c r="C758" s="6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x14ac:dyDescent="0.25">
      <c r="A759" s="4"/>
      <c r="B759" s="4"/>
      <c r="C759" s="6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x14ac:dyDescent="0.25">
      <c r="A760" s="4"/>
      <c r="B760" s="4"/>
      <c r="C760" s="6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x14ac:dyDescent="0.25">
      <c r="A761" s="4"/>
      <c r="B761" s="4"/>
      <c r="C761" s="6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x14ac:dyDescent="0.25">
      <c r="A762" s="4"/>
      <c r="B762" s="4"/>
      <c r="C762" s="6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x14ac:dyDescent="0.25">
      <c r="A763" s="4"/>
      <c r="B763" s="4"/>
      <c r="C763" s="6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x14ac:dyDescent="0.25">
      <c r="A764" s="4"/>
      <c r="B764" s="4"/>
      <c r="C764" s="6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x14ac:dyDescent="0.25">
      <c r="A765" s="4"/>
      <c r="B765" s="4"/>
      <c r="C765" s="6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x14ac:dyDescent="0.25">
      <c r="A766" s="4"/>
      <c r="B766" s="4"/>
      <c r="C766" s="6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x14ac:dyDescent="0.25">
      <c r="A767" s="4"/>
      <c r="B767" s="4"/>
      <c r="C767" s="6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x14ac:dyDescent="0.25">
      <c r="A768" s="4"/>
      <c r="B768" s="4"/>
      <c r="C768" s="6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x14ac:dyDescent="0.25">
      <c r="A769" s="4"/>
      <c r="B769" s="4"/>
      <c r="C769" s="6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x14ac:dyDescent="0.25">
      <c r="A770" s="4"/>
      <c r="B770" s="4"/>
      <c r="C770" s="6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x14ac:dyDescent="0.25">
      <c r="A771" s="4"/>
      <c r="B771" s="4"/>
      <c r="C771" s="6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x14ac:dyDescent="0.25">
      <c r="A772" s="4"/>
      <c r="B772" s="4"/>
      <c r="C772" s="6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x14ac:dyDescent="0.25">
      <c r="A773" s="4"/>
      <c r="B773" s="4"/>
      <c r="C773" s="6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x14ac:dyDescent="0.25">
      <c r="A774" s="4"/>
      <c r="B774" s="4"/>
      <c r="C774" s="6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x14ac:dyDescent="0.25">
      <c r="A775" s="4"/>
      <c r="B775" s="4"/>
      <c r="C775" s="6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x14ac:dyDescent="0.25">
      <c r="A776" s="4"/>
      <c r="B776" s="4"/>
      <c r="C776" s="6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x14ac:dyDescent="0.25">
      <c r="A777" s="4"/>
      <c r="B777" s="4"/>
      <c r="C777" s="6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x14ac:dyDescent="0.25">
      <c r="A778" s="4"/>
      <c r="B778" s="4"/>
      <c r="C778" s="6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x14ac:dyDescent="0.25">
      <c r="A779" s="4"/>
      <c r="B779" s="4"/>
      <c r="C779" s="6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x14ac:dyDescent="0.25">
      <c r="A780" s="4"/>
      <c r="B780" s="4"/>
      <c r="C780" s="6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x14ac:dyDescent="0.25">
      <c r="A781" s="4"/>
      <c r="B781" s="4"/>
      <c r="C781" s="6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x14ac:dyDescent="0.25">
      <c r="A782" s="4"/>
      <c r="B782" s="4"/>
      <c r="C782" s="6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x14ac:dyDescent="0.25">
      <c r="A783" s="4"/>
      <c r="B783" s="4"/>
      <c r="C783" s="6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x14ac:dyDescent="0.25">
      <c r="A784" s="4"/>
      <c r="B784" s="4"/>
      <c r="C784" s="6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x14ac:dyDescent="0.25">
      <c r="A785" s="4"/>
      <c r="B785" s="4"/>
      <c r="C785" s="6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x14ac:dyDescent="0.25">
      <c r="A786" s="4"/>
      <c r="B786" s="4"/>
      <c r="C786" s="6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x14ac:dyDescent="0.25">
      <c r="A787" s="4"/>
      <c r="B787" s="4"/>
      <c r="C787" s="6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x14ac:dyDescent="0.25">
      <c r="A788" s="4"/>
      <c r="B788" s="4"/>
      <c r="C788" s="6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x14ac:dyDescent="0.25">
      <c r="A789" s="4"/>
      <c r="B789" s="4"/>
      <c r="C789" s="6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x14ac:dyDescent="0.25">
      <c r="A790" s="4"/>
      <c r="B790" s="4"/>
      <c r="C790" s="6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x14ac:dyDescent="0.25">
      <c r="A791" s="4"/>
      <c r="B791" s="4"/>
      <c r="C791" s="6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x14ac:dyDescent="0.25">
      <c r="A792" s="4"/>
      <c r="B792" s="4"/>
      <c r="C792" s="6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x14ac:dyDescent="0.25">
      <c r="A793" s="4"/>
      <c r="B793" s="4"/>
      <c r="C793" s="6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x14ac:dyDescent="0.25">
      <c r="A794" s="4"/>
      <c r="B794" s="4"/>
      <c r="C794" s="6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x14ac:dyDescent="0.25">
      <c r="A795" s="4"/>
      <c r="B795" s="4"/>
      <c r="C795" s="6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x14ac:dyDescent="0.25">
      <c r="A796" s="4"/>
      <c r="B796" s="4"/>
      <c r="C796" s="6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x14ac:dyDescent="0.25">
      <c r="A797" s="4"/>
      <c r="B797" s="4"/>
      <c r="C797" s="6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x14ac:dyDescent="0.25">
      <c r="A798" s="4"/>
      <c r="B798" s="4"/>
      <c r="C798" s="6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x14ac:dyDescent="0.25">
      <c r="A799" s="4"/>
      <c r="B799" s="4"/>
      <c r="C799" s="6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x14ac:dyDescent="0.25">
      <c r="A800" s="4"/>
      <c r="B800" s="4"/>
      <c r="C800" s="6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x14ac:dyDescent="0.25">
      <c r="A801" s="4"/>
      <c r="B801" s="4"/>
      <c r="C801" s="6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x14ac:dyDescent="0.25">
      <c r="A802" s="4"/>
      <c r="B802" s="4"/>
      <c r="C802" s="6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x14ac:dyDescent="0.25">
      <c r="A803" s="4"/>
      <c r="B803" s="4"/>
      <c r="C803" s="6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x14ac:dyDescent="0.25">
      <c r="A804" s="4"/>
      <c r="B804" s="4"/>
      <c r="C804" s="6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x14ac:dyDescent="0.25">
      <c r="A805" s="4"/>
      <c r="B805" s="4"/>
      <c r="C805" s="6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x14ac:dyDescent="0.25">
      <c r="A806" s="4"/>
      <c r="B806" s="4"/>
      <c r="C806" s="6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x14ac:dyDescent="0.25">
      <c r="A807" s="4"/>
      <c r="B807" s="4"/>
      <c r="C807" s="6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x14ac:dyDescent="0.25">
      <c r="A808" s="4"/>
      <c r="B808" s="4"/>
      <c r="C808" s="6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x14ac:dyDescent="0.25">
      <c r="A809" s="4"/>
      <c r="B809" s="4"/>
      <c r="C809" s="6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x14ac:dyDescent="0.25">
      <c r="A810" s="4"/>
      <c r="B810" s="4"/>
      <c r="C810" s="6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x14ac:dyDescent="0.25">
      <c r="A811" s="4"/>
      <c r="B811" s="4"/>
      <c r="C811" s="6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x14ac:dyDescent="0.25">
      <c r="A812" s="4"/>
      <c r="B812" s="4"/>
      <c r="C812" s="6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x14ac:dyDescent="0.25">
      <c r="A813" s="4"/>
      <c r="B813" s="4"/>
      <c r="C813" s="6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x14ac:dyDescent="0.25">
      <c r="A814" s="4"/>
      <c r="B814" s="4"/>
      <c r="C814" s="6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x14ac:dyDescent="0.25">
      <c r="A815" s="4"/>
      <c r="B815" s="4"/>
      <c r="C815" s="6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x14ac:dyDescent="0.25">
      <c r="A816" s="4"/>
      <c r="B816" s="4"/>
      <c r="C816" s="6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x14ac:dyDescent="0.25">
      <c r="A817" s="4"/>
      <c r="B817" s="4"/>
      <c r="C817" s="6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x14ac:dyDescent="0.25">
      <c r="A818" s="4"/>
      <c r="B818" s="4"/>
      <c r="C818" s="6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x14ac:dyDescent="0.25">
      <c r="A819" s="4"/>
      <c r="B819" s="4"/>
      <c r="C819" s="6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x14ac:dyDescent="0.25">
      <c r="A820" s="4"/>
      <c r="B820" s="4"/>
      <c r="C820" s="6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x14ac:dyDescent="0.25">
      <c r="A821" s="4"/>
      <c r="B821" s="4"/>
      <c r="C821" s="6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x14ac:dyDescent="0.25">
      <c r="A822" s="4"/>
      <c r="B822" s="4"/>
      <c r="C822" s="6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x14ac:dyDescent="0.25">
      <c r="A823" s="4"/>
      <c r="B823" s="4"/>
      <c r="C823" s="6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x14ac:dyDescent="0.25">
      <c r="A824" s="4"/>
      <c r="B824" s="4"/>
      <c r="C824" s="6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x14ac:dyDescent="0.25">
      <c r="A825" s="4"/>
      <c r="B825" s="4"/>
      <c r="C825" s="6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x14ac:dyDescent="0.25">
      <c r="A826" s="4"/>
      <c r="B826" s="4"/>
      <c r="C826" s="6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x14ac:dyDescent="0.25">
      <c r="A827" s="4"/>
      <c r="B827" s="4"/>
      <c r="C827" s="6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x14ac:dyDescent="0.25">
      <c r="A828" s="4"/>
      <c r="B828" s="4"/>
      <c r="C828" s="6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x14ac:dyDescent="0.25">
      <c r="A829" s="4"/>
      <c r="B829" s="4"/>
      <c r="C829" s="6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x14ac:dyDescent="0.25">
      <c r="A830" s="4"/>
      <c r="B830" s="4"/>
      <c r="C830" s="6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x14ac:dyDescent="0.25">
      <c r="A831" s="4"/>
      <c r="B831" s="4"/>
      <c r="C831" s="6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x14ac:dyDescent="0.25">
      <c r="A832" s="4"/>
      <c r="B832" s="4"/>
      <c r="C832" s="6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x14ac:dyDescent="0.25">
      <c r="A833" s="4"/>
      <c r="B833" s="4"/>
      <c r="C833" s="6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x14ac:dyDescent="0.25">
      <c r="A834" s="4"/>
      <c r="B834" s="4"/>
      <c r="C834" s="6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x14ac:dyDescent="0.25">
      <c r="A835" s="4"/>
      <c r="B835" s="4"/>
      <c r="C835" s="6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x14ac:dyDescent="0.25">
      <c r="A836" s="4"/>
      <c r="B836" s="4"/>
      <c r="C836" s="6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x14ac:dyDescent="0.25">
      <c r="A837" s="4"/>
      <c r="B837" s="4"/>
      <c r="C837" s="6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x14ac:dyDescent="0.25">
      <c r="A838" s="4"/>
      <c r="B838" s="4"/>
      <c r="C838" s="6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x14ac:dyDescent="0.25">
      <c r="A839" s="4"/>
      <c r="B839" s="4"/>
      <c r="C839" s="6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x14ac:dyDescent="0.25">
      <c r="A840" s="4"/>
      <c r="B840" s="4"/>
      <c r="C840" s="6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x14ac:dyDescent="0.25">
      <c r="A841" s="4"/>
      <c r="B841" s="4"/>
      <c r="C841" s="6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x14ac:dyDescent="0.25">
      <c r="A842" s="4"/>
      <c r="B842" s="4"/>
      <c r="C842" s="6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x14ac:dyDescent="0.25">
      <c r="A843" s="4"/>
      <c r="B843" s="4"/>
      <c r="C843" s="6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x14ac:dyDescent="0.25">
      <c r="A844" s="4"/>
      <c r="B844" s="4"/>
      <c r="C844" s="6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x14ac:dyDescent="0.25">
      <c r="A845" s="4"/>
      <c r="B845" s="4"/>
      <c r="C845" s="6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x14ac:dyDescent="0.25">
      <c r="A846" s="4"/>
      <c r="B846" s="4"/>
      <c r="C846" s="6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x14ac:dyDescent="0.25">
      <c r="A847" s="4"/>
      <c r="B847" s="4"/>
      <c r="C847" s="6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x14ac:dyDescent="0.25">
      <c r="A848" s="4"/>
      <c r="B848" s="4"/>
      <c r="C848" s="6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x14ac:dyDescent="0.25">
      <c r="A849" s="4"/>
      <c r="B849" s="4"/>
      <c r="C849" s="6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x14ac:dyDescent="0.25">
      <c r="A850" s="4"/>
      <c r="B850" s="4"/>
      <c r="C850" s="6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x14ac:dyDescent="0.25">
      <c r="A851" s="4"/>
      <c r="B851" s="4"/>
      <c r="C851" s="6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x14ac:dyDescent="0.25">
      <c r="A852" s="4"/>
      <c r="B852" s="4"/>
      <c r="C852" s="6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x14ac:dyDescent="0.25">
      <c r="A853" s="4"/>
      <c r="B853" s="4"/>
      <c r="C853" s="6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x14ac:dyDescent="0.25">
      <c r="A854" s="4"/>
      <c r="B854" s="4"/>
      <c r="C854" s="6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x14ac:dyDescent="0.25">
      <c r="A855" s="4"/>
      <c r="B855" s="4"/>
      <c r="C855" s="6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x14ac:dyDescent="0.25">
      <c r="A856" s="4"/>
      <c r="B856" s="4"/>
      <c r="C856" s="6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x14ac:dyDescent="0.25">
      <c r="A857" s="4"/>
      <c r="B857" s="4"/>
      <c r="C857" s="6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x14ac:dyDescent="0.25">
      <c r="A858" s="4"/>
      <c r="B858" s="4"/>
      <c r="C858" s="6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x14ac:dyDescent="0.25">
      <c r="A859" s="4"/>
      <c r="B859" s="4"/>
      <c r="C859" s="6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x14ac:dyDescent="0.25">
      <c r="A860" s="4"/>
      <c r="B860" s="4"/>
      <c r="C860" s="6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x14ac:dyDescent="0.25">
      <c r="A861" s="4"/>
      <c r="B861" s="4"/>
      <c r="C861" s="6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x14ac:dyDescent="0.25">
      <c r="A862" s="4"/>
      <c r="B862" s="4"/>
      <c r="C862" s="6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x14ac:dyDescent="0.25">
      <c r="A863" s="4"/>
      <c r="B863" s="4"/>
      <c r="C863" s="6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x14ac:dyDescent="0.25">
      <c r="A864" s="4"/>
      <c r="B864" s="4"/>
      <c r="C864" s="6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x14ac:dyDescent="0.25">
      <c r="A865" s="4"/>
      <c r="B865" s="4"/>
      <c r="C865" s="6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x14ac:dyDescent="0.25">
      <c r="A866" s="4"/>
      <c r="B866" s="4"/>
      <c r="C866" s="6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x14ac:dyDescent="0.25">
      <c r="A867" s="4"/>
      <c r="B867" s="4"/>
      <c r="C867" s="6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x14ac:dyDescent="0.25">
      <c r="A868" s="4"/>
      <c r="B868" s="4"/>
      <c r="C868" s="6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x14ac:dyDescent="0.25">
      <c r="A869" s="4"/>
      <c r="B869" s="4"/>
      <c r="C869" s="6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x14ac:dyDescent="0.25">
      <c r="A870" s="4"/>
      <c r="B870" s="4"/>
      <c r="C870" s="6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x14ac:dyDescent="0.25">
      <c r="A871" s="4"/>
      <c r="B871" s="4"/>
      <c r="C871" s="6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x14ac:dyDescent="0.25">
      <c r="A872" s="4"/>
      <c r="B872" s="4"/>
      <c r="C872" s="6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x14ac:dyDescent="0.25">
      <c r="A873" s="4"/>
      <c r="B873" s="4"/>
      <c r="C873" s="6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x14ac:dyDescent="0.25">
      <c r="A874" s="4"/>
      <c r="B874" s="4"/>
      <c r="C874" s="6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x14ac:dyDescent="0.25">
      <c r="A875" s="4"/>
      <c r="B875" s="4"/>
      <c r="C875" s="6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x14ac:dyDescent="0.25">
      <c r="A876" s="4"/>
      <c r="B876" s="4"/>
      <c r="C876" s="6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x14ac:dyDescent="0.25">
      <c r="A877" s="4"/>
      <c r="B877" s="4"/>
      <c r="C877" s="6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x14ac:dyDescent="0.25">
      <c r="A878" s="4"/>
      <c r="B878" s="4"/>
      <c r="C878" s="6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x14ac:dyDescent="0.25">
      <c r="A879" s="4"/>
      <c r="B879" s="4"/>
      <c r="C879" s="6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x14ac:dyDescent="0.25">
      <c r="A880" s="4"/>
      <c r="B880" s="4"/>
      <c r="C880" s="6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x14ac:dyDescent="0.25">
      <c r="A881" s="4"/>
      <c r="B881" s="4"/>
      <c r="C881" s="6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x14ac:dyDescent="0.25">
      <c r="A882" s="4"/>
      <c r="B882" s="4"/>
      <c r="C882" s="6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x14ac:dyDescent="0.25">
      <c r="A883" s="4"/>
      <c r="B883" s="4"/>
      <c r="C883" s="6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x14ac:dyDescent="0.25">
      <c r="A884" s="4"/>
      <c r="B884" s="4"/>
      <c r="C884" s="6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x14ac:dyDescent="0.25">
      <c r="A885" s="4"/>
      <c r="B885" s="4"/>
      <c r="C885" s="6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x14ac:dyDescent="0.25">
      <c r="A886" s="4"/>
      <c r="B886" s="4"/>
      <c r="C886" s="6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x14ac:dyDescent="0.25">
      <c r="A887" s="4"/>
      <c r="B887" s="4"/>
      <c r="C887" s="6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x14ac:dyDescent="0.25">
      <c r="A888" s="4"/>
      <c r="B888" s="4"/>
      <c r="C888" s="6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x14ac:dyDescent="0.25">
      <c r="A889" s="4"/>
      <c r="B889" s="4"/>
      <c r="C889" s="6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x14ac:dyDescent="0.25">
      <c r="A890" s="4"/>
      <c r="B890" s="4"/>
      <c r="C890" s="6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x14ac:dyDescent="0.25">
      <c r="A891" s="4"/>
      <c r="B891" s="4"/>
      <c r="C891" s="6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x14ac:dyDescent="0.25">
      <c r="A892" s="4"/>
      <c r="B892" s="4"/>
      <c r="C892" s="6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x14ac:dyDescent="0.25">
      <c r="A893" s="4"/>
      <c r="B893" s="4"/>
      <c r="C893" s="6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x14ac:dyDescent="0.25">
      <c r="A894" s="4"/>
      <c r="B894" s="4"/>
      <c r="C894" s="6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x14ac:dyDescent="0.25">
      <c r="A895" s="4"/>
      <c r="B895" s="4"/>
      <c r="C895" s="6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x14ac:dyDescent="0.25">
      <c r="A896" s="4"/>
      <c r="B896" s="4"/>
      <c r="C896" s="6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x14ac:dyDescent="0.25">
      <c r="A897" s="4"/>
      <c r="B897" s="4"/>
      <c r="C897" s="6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x14ac:dyDescent="0.25">
      <c r="A898" s="4"/>
      <c r="B898" s="4"/>
      <c r="C898" s="6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x14ac:dyDescent="0.25">
      <c r="A899" s="4"/>
      <c r="B899" s="4"/>
      <c r="C899" s="6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x14ac:dyDescent="0.25">
      <c r="A900" s="4"/>
      <c r="B900" s="4"/>
      <c r="C900" s="6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x14ac:dyDescent="0.25">
      <c r="A901" s="4"/>
      <c r="B901" s="4"/>
      <c r="C901" s="6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x14ac:dyDescent="0.25">
      <c r="A902" s="4"/>
      <c r="B902" s="4"/>
      <c r="C902" s="6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x14ac:dyDescent="0.25">
      <c r="A903" s="4"/>
      <c r="B903" s="4"/>
      <c r="C903" s="6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x14ac:dyDescent="0.25">
      <c r="A904" s="4"/>
      <c r="B904" s="4"/>
      <c r="C904" s="6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x14ac:dyDescent="0.25">
      <c r="A905" s="4"/>
      <c r="B905" s="4"/>
      <c r="C905" s="6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x14ac:dyDescent="0.25">
      <c r="A906" s="4"/>
      <c r="B906" s="4"/>
      <c r="C906" s="6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x14ac:dyDescent="0.25">
      <c r="A907" s="4"/>
      <c r="B907" s="4"/>
      <c r="C907" s="6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x14ac:dyDescent="0.25">
      <c r="A908" s="4"/>
      <c r="B908" s="4"/>
      <c r="C908" s="6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x14ac:dyDescent="0.25">
      <c r="A909" s="4"/>
      <c r="B909" s="4"/>
      <c r="C909" s="6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x14ac:dyDescent="0.25">
      <c r="A910" s="4"/>
      <c r="B910" s="4"/>
      <c r="C910" s="6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x14ac:dyDescent="0.25">
      <c r="A911" s="4"/>
      <c r="B911" s="4"/>
      <c r="C911" s="6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x14ac:dyDescent="0.25">
      <c r="A912" s="4"/>
      <c r="B912" s="4"/>
      <c r="C912" s="6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x14ac:dyDescent="0.25">
      <c r="A913" s="4"/>
      <c r="B913" s="4"/>
      <c r="C913" s="6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x14ac:dyDescent="0.25">
      <c r="A914" s="4"/>
      <c r="B914" s="4"/>
      <c r="C914" s="6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x14ac:dyDescent="0.25">
      <c r="A915" s="4"/>
      <c r="B915" s="4"/>
      <c r="C915" s="6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x14ac:dyDescent="0.25">
      <c r="A916" s="4"/>
      <c r="B916" s="4"/>
      <c r="C916" s="6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x14ac:dyDescent="0.25">
      <c r="A917" s="4"/>
      <c r="B917" s="4"/>
      <c r="C917" s="6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x14ac:dyDescent="0.25">
      <c r="A918" s="4"/>
      <c r="B918" s="4"/>
      <c r="C918" s="6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x14ac:dyDescent="0.25">
      <c r="A919" s="4"/>
      <c r="B919" s="4"/>
      <c r="C919" s="6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x14ac:dyDescent="0.25">
      <c r="A920" s="4"/>
      <c r="B920" s="4"/>
      <c r="C920" s="6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x14ac:dyDescent="0.25">
      <c r="A921" s="4"/>
      <c r="B921" s="4"/>
      <c r="C921" s="6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x14ac:dyDescent="0.25">
      <c r="A922" s="4"/>
      <c r="B922" s="4"/>
      <c r="C922" s="6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x14ac:dyDescent="0.25">
      <c r="A923" s="4"/>
      <c r="B923" s="4"/>
      <c r="C923" s="6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x14ac:dyDescent="0.25">
      <c r="A924" s="4"/>
      <c r="B924" s="4"/>
      <c r="C924" s="6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x14ac:dyDescent="0.25">
      <c r="A925" s="4"/>
      <c r="B925" s="4"/>
      <c r="C925" s="6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x14ac:dyDescent="0.25">
      <c r="A926" s="4"/>
      <c r="B926" s="4"/>
      <c r="C926" s="6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x14ac:dyDescent="0.25">
      <c r="A927" s="4"/>
      <c r="B927" s="4"/>
      <c r="C927" s="6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x14ac:dyDescent="0.25">
      <c r="A928" s="4"/>
      <c r="B928" s="4"/>
      <c r="C928" s="6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x14ac:dyDescent="0.25">
      <c r="A929" s="4"/>
      <c r="B929" s="4"/>
      <c r="C929" s="6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x14ac:dyDescent="0.25">
      <c r="A930" s="4"/>
      <c r="B930" s="4"/>
      <c r="C930" s="6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x14ac:dyDescent="0.25">
      <c r="A931" s="4"/>
      <c r="B931" s="4"/>
      <c r="C931" s="6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x14ac:dyDescent="0.25">
      <c r="A932" s="4"/>
      <c r="B932" s="4"/>
      <c r="C932" s="6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x14ac:dyDescent="0.25">
      <c r="A933" s="4"/>
      <c r="B933" s="4"/>
      <c r="C933" s="6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x14ac:dyDescent="0.25">
      <c r="A934" s="4"/>
      <c r="B934" s="4"/>
      <c r="C934" s="6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x14ac:dyDescent="0.25">
      <c r="A935" s="4"/>
      <c r="B935" s="4"/>
      <c r="C935" s="6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x14ac:dyDescent="0.25">
      <c r="A936" s="4"/>
      <c r="B936" s="4"/>
      <c r="C936" s="6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x14ac:dyDescent="0.25">
      <c r="A937" s="4"/>
      <c r="B937" s="4"/>
      <c r="C937" s="6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x14ac:dyDescent="0.25">
      <c r="A938" s="4"/>
      <c r="B938" s="4"/>
      <c r="C938" s="6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x14ac:dyDescent="0.25">
      <c r="A939" s="4"/>
      <c r="B939" s="4"/>
      <c r="C939" s="6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x14ac:dyDescent="0.25">
      <c r="A940" s="4"/>
      <c r="B940" s="4"/>
      <c r="C940" s="6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x14ac:dyDescent="0.25">
      <c r="A941" s="4"/>
      <c r="B941" s="4"/>
      <c r="C941" s="6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x14ac:dyDescent="0.25">
      <c r="A942" s="4"/>
      <c r="B942" s="4"/>
      <c r="C942" s="6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x14ac:dyDescent="0.25">
      <c r="A943" s="4"/>
      <c r="B943" s="4"/>
      <c r="C943" s="6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x14ac:dyDescent="0.25">
      <c r="A944" s="4"/>
      <c r="B944" s="4"/>
      <c r="C944" s="6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x14ac:dyDescent="0.25">
      <c r="A945" s="4"/>
      <c r="B945" s="4"/>
      <c r="C945" s="6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x14ac:dyDescent="0.25">
      <c r="A946" s="4"/>
      <c r="B946" s="4"/>
      <c r="C946" s="6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x14ac:dyDescent="0.25">
      <c r="A947" s="4"/>
      <c r="B947" s="4"/>
      <c r="C947" s="6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x14ac:dyDescent="0.25">
      <c r="A948" s="4"/>
      <c r="B948" s="4"/>
      <c r="C948" s="6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x14ac:dyDescent="0.25">
      <c r="A949" s="4"/>
      <c r="B949" s="4"/>
      <c r="C949" s="6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x14ac:dyDescent="0.25">
      <c r="A950" s="4"/>
      <c r="B950" s="4"/>
      <c r="C950" s="6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x14ac:dyDescent="0.25">
      <c r="A951" s="4"/>
      <c r="B951" s="4"/>
      <c r="C951" s="6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x14ac:dyDescent="0.25">
      <c r="A952" s="4"/>
      <c r="B952" s="4"/>
      <c r="C952" s="6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x14ac:dyDescent="0.25">
      <c r="A953" s="4"/>
      <c r="B953" s="4"/>
      <c r="C953" s="6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x14ac:dyDescent="0.25">
      <c r="A954" s="4"/>
      <c r="B954" s="4"/>
      <c r="C954" s="6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x14ac:dyDescent="0.25">
      <c r="A955" s="4"/>
      <c r="B955" s="4"/>
      <c r="C955" s="6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x14ac:dyDescent="0.25">
      <c r="A956" s="4"/>
      <c r="B956" s="4"/>
      <c r="C956" s="6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x14ac:dyDescent="0.25">
      <c r="A957" s="4"/>
      <c r="B957" s="4"/>
      <c r="C957" s="6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x14ac:dyDescent="0.25">
      <c r="A958" s="4"/>
      <c r="B958" s="4"/>
      <c r="C958" s="6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x14ac:dyDescent="0.25">
      <c r="A959" s="4"/>
      <c r="B959" s="4"/>
      <c r="C959" s="6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x14ac:dyDescent="0.25">
      <c r="A960" s="4"/>
      <c r="B960" s="4"/>
      <c r="C960" s="6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x14ac:dyDescent="0.25">
      <c r="A961" s="4"/>
      <c r="B961" s="4"/>
      <c r="C961" s="6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x14ac:dyDescent="0.25">
      <c r="A962" s="4"/>
      <c r="B962" s="4"/>
      <c r="C962" s="6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x14ac:dyDescent="0.25">
      <c r="A963" s="4"/>
      <c r="B963" s="4"/>
      <c r="C963" s="6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x14ac:dyDescent="0.25">
      <c r="A964" s="4"/>
      <c r="B964" s="4"/>
      <c r="C964" s="6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x14ac:dyDescent="0.25">
      <c r="A965" s="4"/>
      <c r="B965" s="4"/>
      <c r="C965" s="6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x14ac:dyDescent="0.25">
      <c r="A966" s="4"/>
      <c r="B966" s="4"/>
      <c r="C966" s="6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x14ac:dyDescent="0.25">
      <c r="A967" s="4"/>
      <c r="B967" s="4"/>
      <c r="C967" s="6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x14ac:dyDescent="0.25">
      <c r="A968" s="4"/>
      <c r="B968" s="4"/>
      <c r="C968" s="6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x14ac:dyDescent="0.25">
      <c r="A969" s="4"/>
      <c r="B969" s="4"/>
      <c r="C969" s="6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x14ac:dyDescent="0.25">
      <c r="A970" s="4"/>
      <c r="B970" s="4"/>
      <c r="C970" s="6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x14ac:dyDescent="0.25">
      <c r="A971" s="4"/>
      <c r="B971" s="4"/>
      <c r="C971" s="6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x14ac:dyDescent="0.25">
      <c r="A972" s="4"/>
      <c r="B972" s="4"/>
      <c r="C972" s="6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x14ac:dyDescent="0.25">
      <c r="A973" s="4"/>
      <c r="B973" s="4"/>
      <c r="C973" s="6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x14ac:dyDescent="0.25">
      <c r="A974" s="4"/>
      <c r="B974" s="4"/>
      <c r="C974" s="6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x14ac:dyDescent="0.25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x14ac:dyDescent="0.25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x14ac:dyDescent="0.25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x14ac:dyDescent="0.25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x14ac:dyDescent="0.25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x14ac:dyDescent="0.25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x14ac:dyDescent="0.25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x14ac:dyDescent="0.25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x14ac:dyDescent="0.25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x14ac:dyDescent="0.25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x14ac:dyDescent="0.25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x14ac:dyDescent="0.25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x14ac:dyDescent="0.25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x14ac:dyDescent="0.25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x14ac:dyDescent="0.25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x14ac:dyDescent="0.25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x14ac:dyDescent="0.25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x14ac:dyDescent="0.25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x14ac:dyDescent="0.25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x14ac:dyDescent="0.25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x14ac:dyDescent="0.25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x14ac:dyDescent="0.25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x14ac:dyDescent="0.25">
      <c r="A997" s="4"/>
      <c r="B997" s="4"/>
      <c r="C997" s="6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x14ac:dyDescent="0.25">
      <c r="A998" s="4"/>
      <c r="B998" s="4"/>
      <c r="C998" s="6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x14ac:dyDescent="0.25">
      <c r="A999" s="4"/>
      <c r="B999" s="4"/>
      <c r="C999" s="6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x14ac:dyDescent="0.25">
      <c r="A1000" s="4"/>
      <c r="B1000" s="4"/>
      <c r="C1000" s="6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511811024" right="0.511811024" top="0.78740157499999996" bottom="0.78740157499999996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6399"/>
  <sheetViews>
    <sheetView tabSelected="1" topLeftCell="R1" zoomScaleNormal="100" workbookViewId="0">
      <pane ySplit="1" topLeftCell="A2" activePane="bottomLeft" state="frozen"/>
      <selection pane="bottomLeft" activeCell="Y13" sqref="Y13"/>
    </sheetView>
  </sheetViews>
  <sheetFormatPr defaultColWidth="14.42578125" defaultRowHeight="15" customHeight="1" x14ac:dyDescent="0.25"/>
  <cols>
    <col min="1" max="1" width="21.7109375" customWidth="1"/>
    <col min="2" max="2" width="28.7109375" customWidth="1"/>
    <col min="3" max="3" width="10.28515625" customWidth="1"/>
    <col min="4" max="4" width="16.42578125" customWidth="1"/>
    <col min="5" max="5" width="18.140625" customWidth="1"/>
    <col min="6" max="6" width="16.42578125" customWidth="1"/>
    <col min="7" max="7" width="13.7109375" customWidth="1"/>
    <col min="8" max="8" width="11.7109375" customWidth="1"/>
    <col min="9" max="9" width="10.140625" customWidth="1"/>
    <col min="10" max="10" width="11.28515625" customWidth="1"/>
    <col min="11" max="11" width="10" customWidth="1"/>
    <col min="12" max="12" width="12.140625" customWidth="1"/>
    <col min="13" max="13" width="12" customWidth="1"/>
    <col min="14" max="14" width="11.42578125" customWidth="1"/>
    <col min="15" max="15" width="15.42578125" customWidth="1"/>
    <col min="16" max="17" width="9.7109375" customWidth="1"/>
    <col min="18" max="18" width="10.140625" customWidth="1"/>
    <col min="19" max="19" width="11" customWidth="1"/>
    <col min="20" max="20" width="10.28515625" customWidth="1"/>
    <col min="21" max="21" width="11.7109375" customWidth="1"/>
    <col min="22" max="22" width="21" customWidth="1"/>
    <col min="23" max="23" width="20.28515625" customWidth="1"/>
    <col min="24" max="24" width="18.28515625" customWidth="1"/>
    <col min="25" max="25" width="12" customWidth="1"/>
    <col min="26" max="26" width="10" customWidth="1"/>
    <col min="27" max="27" width="12.140625" customWidth="1"/>
    <col min="28" max="28" width="14.140625" customWidth="1"/>
    <col min="29" max="29" width="22.140625" customWidth="1"/>
    <col min="30" max="30" width="13.140625" customWidth="1"/>
    <col min="31" max="31" width="8" customWidth="1"/>
    <col min="32" max="32" width="64.140625" customWidth="1"/>
    <col min="33" max="33" width="61.140625" customWidth="1"/>
    <col min="34" max="34" width="14.42578125" customWidth="1"/>
  </cols>
  <sheetData>
    <row r="1" spans="1:34" ht="27.75" customHeight="1" x14ac:dyDescent="0.25">
      <c r="A1" s="7" t="s">
        <v>45</v>
      </c>
      <c r="B1" s="7" t="s">
        <v>46</v>
      </c>
      <c r="C1" s="7" t="s">
        <v>47</v>
      </c>
      <c r="D1" s="7" t="s">
        <v>48</v>
      </c>
      <c r="E1" s="7" t="s">
        <v>49</v>
      </c>
      <c r="F1" s="7" t="s">
        <v>50</v>
      </c>
      <c r="G1" s="7" t="s">
        <v>51</v>
      </c>
      <c r="H1" s="8" t="s">
        <v>52</v>
      </c>
      <c r="I1" s="9" t="s">
        <v>53</v>
      </c>
      <c r="J1" s="7" t="s">
        <v>54</v>
      </c>
      <c r="K1" s="7" t="s">
        <v>55</v>
      </c>
      <c r="L1" s="7" t="s">
        <v>56</v>
      </c>
      <c r="M1" s="7" t="s">
        <v>57</v>
      </c>
      <c r="N1" s="7" t="s">
        <v>58</v>
      </c>
      <c r="O1" s="7" t="s">
        <v>59</v>
      </c>
      <c r="P1" s="7" t="s">
        <v>60</v>
      </c>
      <c r="Q1" s="7" t="s">
        <v>61</v>
      </c>
      <c r="R1" s="7" t="s">
        <v>62</v>
      </c>
      <c r="S1" s="7" t="s">
        <v>63</v>
      </c>
      <c r="T1" s="7" t="s">
        <v>64</v>
      </c>
      <c r="U1" s="7" t="s">
        <v>65</v>
      </c>
      <c r="V1" s="7" t="s">
        <v>66</v>
      </c>
      <c r="W1" s="7" t="s">
        <v>67</v>
      </c>
      <c r="X1" s="7" t="s">
        <v>68</v>
      </c>
      <c r="Y1" s="7" t="s">
        <v>69</v>
      </c>
      <c r="Z1" s="7" t="s">
        <v>70</v>
      </c>
      <c r="AA1" s="10" t="s">
        <v>71</v>
      </c>
      <c r="AB1" s="7" t="s">
        <v>72</v>
      </c>
      <c r="AC1" s="3" t="s">
        <v>73</v>
      </c>
      <c r="AD1" s="3" t="s">
        <v>74</v>
      </c>
      <c r="AE1" s="3" t="s">
        <v>75</v>
      </c>
      <c r="AF1" s="5" t="s">
        <v>76</v>
      </c>
      <c r="AG1" s="7" t="s">
        <v>77</v>
      </c>
      <c r="AH1" s="3"/>
    </row>
    <row r="2" spans="1:34" ht="14.25" customHeight="1" x14ac:dyDescent="0.25">
      <c r="A2" s="3" t="s">
        <v>78</v>
      </c>
      <c r="B2" s="3" t="s">
        <v>79</v>
      </c>
      <c r="C2" s="3"/>
      <c r="D2" s="3" t="s">
        <v>80</v>
      </c>
      <c r="E2" s="3">
        <v>1</v>
      </c>
      <c r="F2" s="3">
        <v>1</v>
      </c>
      <c r="G2" s="3" t="s">
        <v>2</v>
      </c>
      <c r="H2" s="11">
        <v>45747</v>
      </c>
      <c r="I2" s="12" t="s">
        <v>81</v>
      </c>
      <c r="J2" s="3">
        <v>10</v>
      </c>
      <c r="K2" s="3">
        <v>0</v>
      </c>
      <c r="L2" s="3">
        <v>0</v>
      </c>
      <c r="M2" s="3">
        <v>0</v>
      </c>
      <c r="N2" s="3">
        <v>0</v>
      </c>
      <c r="O2" s="3">
        <f t="shared" ref="O2:O185" si="0">SUM(J2:N2)</f>
        <v>10</v>
      </c>
      <c r="P2" s="3">
        <v>3</v>
      </c>
      <c r="Q2" s="3">
        <v>2</v>
      </c>
      <c r="R2" s="3">
        <v>2</v>
      </c>
      <c r="S2" s="3">
        <v>1</v>
      </c>
      <c r="T2" s="3">
        <v>0</v>
      </c>
      <c r="U2" s="3">
        <f t="shared" ref="U2:U82" si="1">SUM(P2:T2)</f>
        <v>8</v>
      </c>
      <c r="V2" s="13">
        <f t="shared" ref="V2:W185" si="2">O2/U2/F2</f>
        <v>1.25</v>
      </c>
      <c r="W2" s="13">
        <f>O2/U2/F2</f>
        <v>1.25</v>
      </c>
      <c r="X2" s="3">
        <f t="shared" ref="X2:X141" si="3">F2*U2</f>
        <v>8</v>
      </c>
      <c r="Y2" s="3" t="e">
        <f>O2/U2/AA2</f>
        <v>#DIV/0!</v>
      </c>
      <c r="Z2" s="3"/>
      <c r="AA2" s="3"/>
      <c r="AB2" s="3"/>
      <c r="AC2" s="3" t="s">
        <v>82</v>
      </c>
      <c r="AD2" s="3" t="s">
        <v>83</v>
      </c>
      <c r="AE2" s="3">
        <v>15</v>
      </c>
      <c r="AF2" s="3" t="s">
        <v>84</v>
      </c>
      <c r="AG2" s="3" t="s">
        <v>193</v>
      </c>
      <c r="AH2" s="3"/>
    </row>
    <row r="3" spans="1:34" ht="14.25" customHeight="1" x14ac:dyDescent="0.25">
      <c r="A3" s="3" t="s">
        <v>78</v>
      </c>
      <c r="B3" s="3" t="s">
        <v>79</v>
      </c>
      <c r="C3" s="3"/>
      <c r="D3" s="3" t="s">
        <v>80</v>
      </c>
      <c r="E3" s="3">
        <v>1</v>
      </c>
      <c r="F3" s="3">
        <v>1</v>
      </c>
      <c r="G3" s="3" t="s">
        <v>14</v>
      </c>
      <c r="H3" s="11">
        <v>45747</v>
      </c>
      <c r="I3" s="12" t="s">
        <v>81</v>
      </c>
      <c r="J3" s="3">
        <v>0</v>
      </c>
      <c r="K3" s="3">
        <v>0</v>
      </c>
      <c r="L3" s="3">
        <v>7</v>
      </c>
      <c r="M3" s="3">
        <v>0</v>
      </c>
      <c r="N3" s="3">
        <v>0</v>
      </c>
      <c r="O3" s="3">
        <f t="shared" si="0"/>
        <v>7</v>
      </c>
      <c r="P3" s="3">
        <v>3</v>
      </c>
      <c r="Q3" s="3">
        <v>2</v>
      </c>
      <c r="R3" s="3">
        <v>2</v>
      </c>
      <c r="S3" s="3">
        <v>1</v>
      </c>
      <c r="T3" s="3">
        <v>0</v>
      </c>
      <c r="U3" s="3">
        <f t="shared" si="1"/>
        <v>8</v>
      </c>
      <c r="V3" s="13">
        <f t="shared" si="2"/>
        <v>0.875</v>
      </c>
      <c r="W3" s="13">
        <f t="shared" ref="W3:W66" si="4">O3/U3/F3</f>
        <v>0.875</v>
      </c>
      <c r="X3" s="3">
        <f t="shared" si="3"/>
        <v>8</v>
      </c>
      <c r="Y3" s="3" t="e">
        <f t="shared" ref="Y3:Y66" si="5">O3/U3/AA3</f>
        <v>#DIV/0!</v>
      </c>
      <c r="Z3" s="3"/>
      <c r="AA3" s="3"/>
      <c r="AB3" s="3"/>
      <c r="AC3" s="3" t="s">
        <v>82</v>
      </c>
      <c r="AD3" s="3" t="s">
        <v>83</v>
      </c>
      <c r="AE3" s="3">
        <v>15</v>
      </c>
      <c r="AF3" s="3" t="s">
        <v>84</v>
      </c>
      <c r="AG3" s="3" t="s">
        <v>193</v>
      </c>
      <c r="AH3" s="3"/>
    </row>
    <row r="4" spans="1:34" ht="14.25" customHeight="1" x14ac:dyDescent="0.25">
      <c r="A4" s="3" t="s">
        <v>78</v>
      </c>
      <c r="B4" s="3" t="s">
        <v>79</v>
      </c>
      <c r="C4" s="3"/>
      <c r="D4" s="3" t="s">
        <v>80</v>
      </c>
      <c r="E4" s="3">
        <v>1</v>
      </c>
      <c r="F4" s="3">
        <v>1</v>
      </c>
      <c r="G4" s="3" t="s">
        <v>16</v>
      </c>
      <c r="H4" s="11">
        <v>45747</v>
      </c>
      <c r="I4" s="12" t="s">
        <v>81</v>
      </c>
      <c r="J4" s="3">
        <v>0</v>
      </c>
      <c r="K4" s="3">
        <v>0</v>
      </c>
      <c r="L4" s="3">
        <f>3.8+2.6</f>
        <v>6.4</v>
      </c>
      <c r="M4" s="3">
        <v>0</v>
      </c>
      <c r="N4" s="3">
        <v>0</v>
      </c>
      <c r="O4" s="3">
        <f t="shared" si="0"/>
        <v>6.4</v>
      </c>
      <c r="P4" s="3">
        <v>3</v>
      </c>
      <c r="Q4" s="3">
        <v>2</v>
      </c>
      <c r="R4" s="3">
        <v>2</v>
      </c>
      <c r="S4" s="3">
        <v>1</v>
      </c>
      <c r="T4" s="3">
        <v>0</v>
      </c>
      <c r="U4" s="3">
        <f t="shared" si="1"/>
        <v>8</v>
      </c>
      <c r="V4" s="13">
        <f t="shared" si="2"/>
        <v>0.8</v>
      </c>
      <c r="W4" s="13">
        <f t="shared" si="4"/>
        <v>0.8</v>
      </c>
      <c r="X4" s="3">
        <f t="shared" si="3"/>
        <v>8</v>
      </c>
      <c r="Y4" s="3" t="e">
        <f t="shared" si="5"/>
        <v>#DIV/0!</v>
      </c>
      <c r="Z4" s="3"/>
      <c r="AA4" s="3"/>
      <c r="AB4" s="3"/>
      <c r="AC4" s="3" t="s">
        <v>82</v>
      </c>
      <c r="AD4" s="3" t="s">
        <v>83</v>
      </c>
      <c r="AE4" s="3">
        <v>15</v>
      </c>
      <c r="AF4" s="3" t="s">
        <v>84</v>
      </c>
      <c r="AG4" s="3" t="s">
        <v>193</v>
      </c>
      <c r="AH4" s="3"/>
    </row>
    <row r="5" spans="1:34" ht="14.25" customHeight="1" x14ac:dyDescent="0.25">
      <c r="A5" s="3" t="s">
        <v>78</v>
      </c>
      <c r="B5" s="3" t="s">
        <v>79</v>
      </c>
      <c r="C5" s="3"/>
      <c r="D5" s="3" t="s">
        <v>80</v>
      </c>
      <c r="E5" s="3">
        <v>1</v>
      </c>
      <c r="F5" s="3">
        <v>1</v>
      </c>
      <c r="G5" s="3" t="s">
        <v>18</v>
      </c>
      <c r="H5" s="11">
        <v>45747</v>
      </c>
      <c r="I5" s="12" t="s">
        <v>81</v>
      </c>
      <c r="J5" s="3">
        <f>8+6.5</f>
        <v>14.5</v>
      </c>
      <c r="K5" s="3">
        <f>9.2+4.3</f>
        <v>13.5</v>
      </c>
      <c r="L5" s="3">
        <f>8.2</f>
        <v>8.1999999999999993</v>
      </c>
      <c r="M5" s="3">
        <v>0</v>
      </c>
      <c r="N5" s="3">
        <v>0</v>
      </c>
      <c r="O5" s="3">
        <f t="shared" si="0"/>
        <v>36.200000000000003</v>
      </c>
      <c r="P5" s="3">
        <v>3</v>
      </c>
      <c r="Q5" s="3">
        <v>2</v>
      </c>
      <c r="R5" s="3">
        <v>2</v>
      </c>
      <c r="S5" s="3">
        <v>1</v>
      </c>
      <c r="T5" s="3">
        <v>0</v>
      </c>
      <c r="U5" s="3">
        <f t="shared" si="1"/>
        <v>8</v>
      </c>
      <c r="V5" s="13">
        <f t="shared" si="2"/>
        <v>4.5250000000000004</v>
      </c>
      <c r="W5" s="13">
        <f t="shared" si="4"/>
        <v>4.5250000000000004</v>
      </c>
      <c r="X5" s="3">
        <f t="shared" si="3"/>
        <v>8</v>
      </c>
      <c r="Y5" s="3" t="e">
        <f t="shared" si="5"/>
        <v>#DIV/0!</v>
      </c>
      <c r="Z5" s="3"/>
      <c r="AA5" s="3"/>
      <c r="AB5" s="3"/>
      <c r="AC5" s="3" t="s">
        <v>82</v>
      </c>
      <c r="AD5" s="3" t="s">
        <v>83</v>
      </c>
      <c r="AE5" s="3">
        <v>15</v>
      </c>
      <c r="AF5" s="3" t="s">
        <v>84</v>
      </c>
      <c r="AG5" s="3" t="s">
        <v>193</v>
      </c>
      <c r="AH5" s="3"/>
    </row>
    <row r="6" spans="1:34" ht="14.25" customHeight="1" x14ac:dyDescent="0.25">
      <c r="A6" s="3" t="s">
        <v>78</v>
      </c>
      <c r="B6" s="3" t="s">
        <v>79</v>
      </c>
      <c r="C6" s="3"/>
      <c r="D6" s="3" t="s">
        <v>80</v>
      </c>
      <c r="E6" s="3">
        <v>1</v>
      </c>
      <c r="F6" s="3">
        <v>1</v>
      </c>
      <c r="G6" s="3" t="s">
        <v>22</v>
      </c>
      <c r="H6" s="11">
        <v>45747</v>
      </c>
      <c r="I6" s="12" t="s">
        <v>81</v>
      </c>
      <c r="J6" s="3">
        <v>0</v>
      </c>
      <c r="K6" s="3">
        <v>0</v>
      </c>
      <c r="L6" s="3">
        <v>0</v>
      </c>
      <c r="M6" s="3">
        <v>6.3</v>
      </c>
      <c r="N6" s="3">
        <v>0</v>
      </c>
      <c r="O6" s="3">
        <f t="shared" si="0"/>
        <v>6.3</v>
      </c>
      <c r="P6" s="3">
        <v>3</v>
      </c>
      <c r="Q6" s="3">
        <v>2</v>
      </c>
      <c r="R6" s="3">
        <v>2</v>
      </c>
      <c r="S6" s="3">
        <v>1</v>
      </c>
      <c r="T6" s="3">
        <v>0</v>
      </c>
      <c r="U6" s="3">
        <f t="shared" si="1"/>
        <v>8</v>
      </c>
      <c r="V6" s="13">
        <f t="shared" si="2"/>
        <v>0.78749999999999998</v>
      </c>
      <c r="W6" s="13">
        <f t="shared" si="4"/>
        <v>0.78749999999999998</v>
      </c>
      <c r="X6" s="3">
        <f t="shared" si="3"/>
        <v>8</v>
      </c>
      <c r="Y6" s="3" t="e">
        <f t="shared" si="5"/>
        <v>#DIV/0!</v>
      </c>
      <c r="Z6" s="3"/>
      <c r="AA6" s="3"/>
      <c r="AB6" s="3"/>
      <c r="AC6" s="3" t="s">
        <v>82</v>
      </c>
      <c r="AD6" s="3" t="s">
        <v>83</v>
      </c>
      <c r="AE6" s="3">
        <v>15</v>
      </c>
      <c r="AF6" s="3" t="s">
        <v>84</v>
      </c>
      <c r="AG6" s="3" t="s">
        <v>193</v>
      </c>
      <c r="AH6" s="3"/>
    </row>
    <row r="7" spans="1:34" ht="14.25" customHeight="1" x14ac:dyDescent="0.25">
      <c r="A7" s="3" t="s">
        <v>85</v>
      </c>
      <c r="B7" s="3" t="s">
        <v>79</v>
      </c>
      <c r="C7" s="3"/>
      <c r="D7" s="3" t="s">
        <v>80</v>
      </c>
      <c r="E7" s="3">
        <v>1</v>
      </c>
      <c r="F7" s="3">
        <v>1</v>
      </c>
      <c r="G7" s="3" t="s">
        <v>2</v>
      </c>
      <c r="H7" s="11">
        <v>45747</v>
      </c>
      <c r="I7" s="12" t="s">
        <v>81</v>
      </c>
      <c r="J7" s="3">
        <v>0</v>
      </c>
      <c r="K7" s="3">
        <f>16+10+6+4.8</f>
        <v>36.799999999999997</v>
      </c>
      <c r="L7" s="3">
        <f>12+1.8</f>
        <v>13.8</v>
      </c>
      <c r="M7" s="3">
        <v>0</v>
      </c>
      <c r="N7" s="3">
        <v>0</v>
      </c>
      <c r="O7" s="3">
        <f t="shared" si="0"/>
        <v>50.599999999999994</v>
      </c>
      <c r="P7" s="3">
        <v>0</v>
      </c>
      <c r="Q7" s="3">
        <v>4</v>
      </c>
      <c r="R7" s="3">
        <v>6</v>
      </c>
      <c r="S7" s="3">
        <v>4</v>
      </c>
      <c r="T7" s="3">
        <v>0</v>
      </c>
      <c r="U7" s="3">
        <f t="shared" si="1"/>
        <v>14</v>
      </c>
      <c r="V7" s="13">
        <f t="shared" si="2"/>
        <v>3.6142857142857139</v>
      </c>
      <c r="W7" s="13">
        <f t="shared" si="4"/>
        <v>3.6142857142857139</v>
      </c>
      <c r="X7" s="3">
        <f t="shared" si="3"/>
        <v>14</v>
      </c>
      <c r="Y7" s="3" t="e">
        <f t="shared" si="5"/>
        <v>#DIV/0!</v>
      </c>
      <c r="Z7" s="3"/>
      <c r="AA7" s="3"/>
      <c r="AB7" s="3">
        <v>48</v>
      </c>
      <c r="AC7" s="3" t="s">
        <v>82</v>
      </c>
      <c r="AD7" s="3" t="s">
        <v>83</v>
      </c>
      <c r="AE7" s="3">
        <v>20</v>
      </c>
      <c r="AF7" s="3" t="s">
        <v>84</v>
      </c>
      <c r="AG7" s="3" t="s">
        <v>216</v>
      </c>
      <c r="AH7" s="3"/>
    </row>
    <row r="8" spans="1:34" ht="14.25" customHeight="1" x14ac:dyDescent="0.25">
      <c r="A8" s="3" t="s">
        <v>85</v>
      </c>
      <c r="B8" s="3" t="s">
        <v>79</v>
      </c>
      <c r="C8" s="3"/>
      <c r="D8" s="3" t="s">
        <v>80</v>
      </c>
      <c r="E8" s="3">
        <v>1</v>
      </c>
      <c r="F8" s="3">
        <v>1</v>
      </c>
      <c r="G8" s="3" t="s">
        <v>14</v>
      </c>
      <c r="H8" s="11">
        <v>45747</v>
      </c>
      <c r="I8" s="12" t="s">
        <v>81</v>
      </c>
      <c r="J8" s="3">
        <v>0</v>
      </c>
      <c r="K8" s="3">
        <f>8+4</f>
        <v>12</v>
      </c>
      <c r="L8" s="3">
        <f>6+3.8+9+6</f>
        <v>24.8</v>
      </c>
      <c r="M8" s="3">
        <v>4</v>
      </c>
      <c r="N8" s="3">
        <v>0</v>
      </c>
      <c r="O8" s="3">
        <f t="shared" si="0"/>
        <v>40.799999999999997</v>
      </c>
      <c r="P8" s="3">
        <v>0</v>
      </c>
      <c r="Q8" s="3">
        <v>4</v>
      </c>
      <c r="R8" s="3">
        <v>6</v>
      </c>
      <c r="S8" s="3">
        <v>4</v>
      </c>
      <c r="T8" s="3">
        <v>0</v>
      </c>
      <c r="U8" s="3">
        <f t="shared" si="1"/>
        <v>14</v>
      </c>
      <c r="V8" s="13">
        <f t="shared" si="2"/>
        <v>2.9142857142857141</v>
      </c>
      <c r="W8" s="13">
        <f t="shared" si="4"/>
        <v>2.9142857142857141</v>
      </c>
      <c r="X8" s="3">
        <f t="shared" si="3"/>
        <v>14</v>
      </c>
      <c r="Y8" s="3" t="e">
        <f t="shared" si="5"/>
        <v>#DIV/0!</v>
      </c>
      <c r="Z8" s="3"/>
      <c r="AA8" s="3"/>
      <c r="AB8" s="3">
        <v>48</v>
      </c>
      <c r="AC8" s="3" t="s">
        <v>82</v>
      </c>
      <c r="AD8" s="3" t="s">
        <v>83</v>
      </c>
      <c r="AE8" s="3">
        <v>20</v>
      </c>
      <c r="AF8" s="3" t="s">
        <v>84</v>
      </c>
      <c r="AG8" s="3" t="s">
        <v>216</v>
      </c>
      <c r="AH8" s="3"/>
    </row>
    <row r="9" spans="1:34" ht="14.25" customHeight="1" x14ac:dyDescent="0.25">
      <c r="A9" s="3" t="s">
        <v>85</v>
      </c>
      <c r="B9" s="3" t="s">
        <v>79</v>
      </c>
      <c r="C9" s="3"/>
      <c r="D9" s="3" t="s">
        <v>80</v>
      </c>
      <c r="E9" s="3">
        <v>1</v>
      </c>
      <c r="F9" s="3">
        <v>1</v>
      </c>
      <c r="G9" s="3" t="s">
        <v>18</v>
      </c>
      <c r="H9" s="11">
        <v>45747</v>
      </c>
      <c r="I9" s="12" t="s">
        <v>81</v>
      </c>
      <c r="J9" s="3">
        <v>0</v>
      </c>
      <c r="K9" s="3">
        <v>8</v>
      </c>
      <c r="L9" s="3">
        <v>0</v>
      </c>
      <c r="M9" s="3">
        <f>6+4.8</f>
        <v>10.8</v>
      </c>
      <c r="N9" s="3">
        <v>0</v>
      </c>
      <c r="O9" s="3">
        <f t="shared" si="0"/>
        <v>18.8</v>
      </c>
      <c r="P9" s="3">
        <v>0</v>
      </c>
      <c r="Q9" s="3">
        <v>4</v>
      </c>
      <c r="R9" s="3">
        <v>6</v>
      </c>
      <c r="S9" s="3">
        <v>4</v>
      </c>
      <c r="T9" s="3">
        <v>0</v>
      </c>
      <c r="U9" s="3">
        <f t="shared" si="1"/>
        <v>14</v>
      </c>
      <c r="V9" s="13">
        <f t="shared" si="2"/>
        <v>1.342857142857143</v>
      </c>
      <c r="W9" s="13">
        <f t="shared" si="4"/>
        <v>1.342857142857143</v>
      </c>
      <c r="X9" s="3">
        <f t="shared" si="3"/>
        <v>14</v>
      </c>
      <c r="Y9" s="3" t="e">
        <f t="shared" si="5"/>
        <v>#DIV/0!</v>
      </c>
      <c r="Z9" s="3"/>
      <c r="AA9" s="3"/>
      <c r="AB9" s="3">
        <v>48</v>
      </c>
      <c r="AC9" s="3" t="s">
        <v>82</v>
      </c>
      <c r="AD9" s="3" t="s">
        <v>83</v>
      </c>
      <c r="AE9" s="3">
        <v>20</v>
      </c>
      <c r="AF9" s="3" t="s">
        <v>84</v>
      </c>
      <c r="AG9" s="3" t="s">
        <v>216</v>
      </c>
      <c r="AH9" s="3"/>
    </row>
    <row r="10" spans="1:34" ht="14.25" customHeight="1" x14ac:dyDescent="0.25">
      <c r="A10" s="3" t="s">
        <v>85</v>
      </c>
      <c r="B10" s="3" t="s">
        <v>79</v>
      </c>
      <c r="C10" s="3"/>
      <c r="D10" s="3" t="s">
        <v>80</v>
      </c>
      <c r="E10" s="3">
        <v>1</v>
      </c>
      <c r="F10" s="3">
        <v>1</v>
      </c>
      <c r="G10" s="3" t="s">
        <v>25</v>
      </c>
      <c r="H10" s="11">
        <v>45747</v>
      </c>
      <c r="I10" s="12" t="s">
        <v>81</v>
      </c>
      <c r="J10" s="3">
        <v>0</v>
      </c>
      <c r="K10" s="3">
        <v>12</v>
      </c>
      <c r="L10" s="3">
        <v>0</v>
      </c>
      <c r="M10" s="3">
        <v>8</v>
      </c>
      <c r="N10" s="3">
        <v>0</v>
      </c>
      <c r="O10" s="3">
        <f t="shared" si="0"/>
        <v>20</v>
      </c>
      <c r="P10" s="3">
        <v>0</v>
      </c>
      <c r="Q10" s="3">
        <v>4</v>
      </c>
      <c r="R10" s="3">
        <v>6</v>
      </c>
      <c r="S10" s="3">
        <v>4</v>
      </c>
      <c r="T10" s="3">
        <v>0</v>
      </c>
      <c r="U10" s="3">
        <f t="shared" si="1"/>
        <v>14</v>
      </c>
      <c r="V10" s="13">
        <f t="shared" si="2"/>
        <v>1.4285714285714286</v>
      </c>
      <c r="W10" s="13">
        <f t="shared" si="4"/>
        <v>1.4285714285714286</v>
      </c>
      <c r="X10" s="3">
        <f t="shared" si="3"/>
        <v>14</v>
      </c>
      <c r="Y10" s="3" t="e">
        <f t="shared" si="5"/>
        <v>#DIV/0!</v>
      </c>
      <c r="Z10" s="3"/>
      <c r="AA10" s="3"/>
      <c r="AB10" s="3">
        <v>48</v>
      </c>
      <c r="AC10" s="3" t="s">
        <v>82</v>
      </c>
      <c r="AD10" s="3" t="s">
        <v>83</v>
      </c>
      <c r="AE10" s="3">
        <v>20</v>
      </c>
      <c r="AF10" s="3" t="s">
        <v>84</v>
      </c>
      <c r="AG10" s="3" t="s">
        <v>216</v>
      </c>
      <c r="AH10" s="3"/>
    </row>
    <row r="11" spans="1:34" ht="14.25" customHeight="1" x14ac:dyDescent="0.25">
      <c r="A11" s="3" t="s">
        <v>86</v>
      </c>
      <c r="B11" s="3" t="s">
        <v>79</v>
      </c>
      <c r="C11" s="3"/>
      <c r="D11" s="3" t="s">
        <v>80</v>
      </c>
      <c r="E11" s="3">
        <v>1</v>
      </c>
      <c r="F11" s="3">
        <v>1</v>
      </c>
      <c r="G11" s="3" t="s">
        <v>1</v>
      </c>
      <c r="H11" s="11">
        <v>45747</v>
      </c>
      <c r="I11" s="12" t="s">
        <v>81</v>
      </c>
      <c r="J11" s="3">
        <f>22+18+12+8+17</f>
        <v>77</v>
      </c>
      <c r="K11" s="3">
        <f>14+28+23</f>
        <v>65</v>
      </c>
      <c r="L11" s="3">
        <f>16+20+18</f>
        <v>54</v>
      </c>
      <c r="M11" s="3">
        <f>19.7+18+28</f>
        <v>65.7</v>
      </c>
      <c r="N11" s="3">
        <v>0</v>
      </c>
      <c r="O11" s="3">
        <f t="shared" si="0"/>
        <v>261.7</v>
      </c>
      <c r="P11" s="3">
        <v>5</v>
      </c>
      <c r="Q11" s="3">
        <v>3</v>
      </c>
      <c r="R11" s="3">
        <v>3</v>
      </c>
      <c r="S11" s="3">
        <v>3</v>
      </c>
      <c r="T11" s="3">
        <v>0</v>
      </c>
      <c r="U11" s="3">
        <f t="shared" si="1"/>
        <v>14</v>
      </c>
      <c r="V11" s="13">
        <f t="shared" si="2"/>
        <v>18.692857142857143</v>
      </c>
      <c r="W11" s="13">
        <f t="shared" si="4"/>
        <v>18.692857142857143</v>
      </c>
      <c r="X11" s="3">
        <f t="shared" si="3"/>
        <v>14</v>
      </c>
      <c r="Y11" s="3" t="e">
        <f t="shared" si="5"/>
        <v>#DIV/0!</v>
      </c>
      <c r="Z11" s="3"/>
      <c r="AA11" s="3"/>
      <c r="AB11" s="3">
        <v>195</v>
      </c>
      <c r="AC11" s="3" t="s">
        <v>82</v>
      </c>
      <c r="AD11" s="3" t="s">
        <v>83</v>
      </c>
      <c r="AE11" s="3">
        <v>20</v>
      </c>
      <c r="AF11" s="3" t="s">
        <v>84</v>
      </c>
      <c r="AG11" s="3" t="s">
        <v>281</v>
      </c>
      <c r="AH11" s="3"/>
    </row>
    <row r="12" spans="1:34" ht="14.25" customHeight="1" x14ac:dyDescent="0.25">
      <c r="A12" s="3" t="s">
        <v>86</v>
      </c>
      <c r="B12" s="3" t="s">
        <v>79</v>
      </c>
      <c r="C12" s="3"/>
      <c r="D12" s="3" t="s">
        <v>80</v>
      </c>
      <c r="E12" s="3">
        <v>1</v>
      </c>
      <c r="F12" s="3">
        <v>1</v>
      </c>
      <c r="G12" s="3" t="s">
        <v>2</v>
      </c>
      <c r="H12" s="11">
        <v>45747</v>
      </c>
      <c r="I12" s="12" t="s">
        <v>81</v>
      </c>
      <c r="J12" s="3">
        <f>10+6+3+13</f>
        <v>32</v>
      </c>
      <c r="K12" s="3">
        <v>6</v>
      </c>
      <c r="L12" s="3">
        <v>0</v>
      </c>
      <c r="M12" s="3">
        <v>0</v>
      </c>
      <c r="N12" s="3">
        <v>0</v>
      </c>
      <c r="O12" s="3">
        <f t="shared" si="0"/>
        <v>38</v>
      </c>
      <c r="P12" s="3">
        <v>5</v>
      </c>
      <c r="Q12" s="3">
        <v>3</v>
      </c>
      <c r="R12" s="3">
        <v>3</v>
      </c>
      <c r="S12" s="3">
        <v>3</v>
      </c>
      <c r="T12" s="3">
        <v>0</v>
      </c>
      <c r="U12" s="3">
        <f t="shared" si="1"/>
        <v>14</v>
      </c>
      <c r="V12" s="13">
        <f t="shared" si="2"/>
        <v>2.7142857142857144</v>
      </c>
      <c r="W12" s="13">
        <f t="shared" si="4"/>
        <v>2.7142857142857144</v>
      </c>
      <c r="X12" s="3">
        <f t="shared" si="3"/>
        <v>14</v>
      </c>
      <c r="Y12" s="3" t="e">
        <f t="shared" si="5"/>
        <v>#DIV/0!</v>
      </c>
      <c r="Z12" s="3"/>
      <c r="AA12" s="3"/>
      <c r="AB12" s="3">
        <v>195</v>
      </c>
      <c r="AC12" s="3" t="s">
        <v>82</v>
      </c>
      <c r="AD12" s="3" t="s">
        <v>83</v>
      </c>
      <c r="AE12" s="3">
        <v>20</v>
      </c>
      <c r="AF12" s="3" t="s">
        <v>84</v>
      </c>
      <c r="AG12" s="3" t="s">
        <v>281</v>
      </c>
      <c r="AH12" s="3"/>
    </row>
    <row r="13" spans="1:34" ht="14.25" customHeight="1" x14ac:dyDescent="0.25">
      <c r="A13" s="3" t="s">
        <v>86</v>
      </c>
      <c r="B13" s="3" t="s">
        <v>79</v>
      </c>
      <c r="C13" s="3"/>
      <c r="D13" s="3" t="s">
        <v>80</v>
      </c>
      <c r="E13" s="3">
        <v>1</v>
      </c>
      <c r="F13" s="3">
        <v>1</v>
      </c>
      <c r="G13" s="3" t="s">
        <v>25</v>
      </c>
      <c r="H13" s="11">
        <v>45747</v>
      </c>
      <c r="I13" s="12" t="s">
        <v>81</v>
      </c>
      <c r="J13" s="3">
        <v>0</v>
      </c>
      <c r="K13" s="3">
        <v>12</v>
      </c>
      <c r="L13" s="3">
        <v>0</v>
      </c>
      <c r="M13" s="3">
        <v>0</v>
      </c>
      <c r="N13" s="3">
        <v>0</v>
      </c>
      <c r="O13" s="3">
        <f t="shared" si="0"/>
        <v>12</v>
      </c>
      <c r="P13" s="3">
        <v>5</v>
      </c>
      <c r="Q13" s="3">
        <v>3</v>
      </c>
      <c r="R13" s="3">
        <v>3</v>
      </c>
      <c r="S13" s="3">
        <v>3</v>
      </c>
      <c r="T13" s="3">
        <v>0</v>
      </c>
      <c r="U13" s="3">
        <f t="shared" si="1"/>
        <v>14</v>
      </c>
      <c r="V13" s="13">
        <f t="shared" si="2"/>
        <v>0.8571428571428571</v>
      </c>
      <c r="W13" s="13">
        <f t="shared" si="4"/>
        <v>0.8571428571428571</v>
      </c>
      <c r="X13" s="3">
        <f t="shared" si="3"/>
        <v>14</v>
      </c>
      <c r="Y13" s="3" t="e">
        <f t="shared" si="5"/>
        <v>#DIV/0!</v>
      </c>
      <c r="Z13" s="3"/>
      <c r="AA13" s="3"/>
      <c r="AB13" s="3">
        <v>195</v>
      </c>
      <c r="AC13" s="3" t="s">
        <v>82</v>
      </c>
      <c r="AD13" s="3" t="s">
        <v>83</v>
      </c>
      <c r="AE13" s="3">
        <v>20</v>
      </c>
      <c r="AF13" s="3" t="s">
        <v>84</v>
      </c>
      <c r="AG13" s="3" t="s">
        <v>281</v>
      </c>
      <c r="AH13" s="3"/>
    </row>
    <row r="14" spans="1:34" ht="14.25" customHeight="1" x14ac:dyDescent="0.25">
      <c r="A14" s="3" t="s">
        <v>86</v>
      </c>
      <c r="B14" s="3" t="s">
        <v>79</v>
      </c>
      <c r="C14" s="3"/>
      <c r="D14" s="3" t="s">
        <v>80</v>
      </c>
      <c r="E14" s="3">
        <v>1</v>
      </c>
      <c r="F14" s="3">
        <v>1</v>
      </c>
      <c r="G14" s="3" t="s">
        <v>15</v>
      </c>
      <c r="H14" s="11">
        <v>45747</v>
      </c>
      <c r="I14" s="12" t="s">
        <v>81</v>
      </c>
      <c r="J14" s="3">
        <v>0</v>
      </c>
      <c r="K14" s="3">
        <v>21</v>
      </c>
      <c r="L14" s="3">
        <v>0</v>
      </c>
      <c r="M14" s="3">
        <v>0</v>
      </c>
      <c r="N14" s="3">
        <v>0</v>
      </c>
      <c r="O14" s="3">
        <f t="shared" si="0"/>
        <v>21</v>
      </c>
      <c r="P14" s="3">
        <v>5</v>
      </c>
      <c r="Q14" s="3">
        <v>3</v>
      </c>
      <c r="R14" s="3">
        <v>3</v>
      </c>
      <c r="S14" s="3">
        <v>3</v>
      </c>
      <c r="T14" s="3">
        <v>0</v>
      </c>
      <c r="U14" s="3">
        <f t="shared" si="1"/>
        <v>14</v>
      </c>
      <c r="V14" s="13">
        <f t="shared" si="2"/>
        <v>1.5</v>
      </c>
      <c r="W14" s="13">
        <f t="shared" si="4"/>
        <v>1.5</v>
      </c>
      <c r="X14" s="3">
        <f t="shared" si="3"/>
        <v>14</v>
      </c>
      <c r="Y14" s="3" t="e">
        <f t="shared" si="5"/>
        <v>#DIV/0!</v>
      </c>
      <c r="Z14" s="3"/>
      <c r="AA14" s="3"/>
      <c r="AB14" s="3">
        <v>195</v>
      </c>
      <c r="AC14" s="3" t="s">
        <v>82</v>
      </c>
      <c r="AD14" s="3" t="s">
        <v>83</v>
      </c>
      <c r="AE14" s="3">
        <v>20</v>
      </c>
      <c r="AF14" s="3" t="s">
        <v>84</v>
      </c>
      <c r="AG14" s="3" t="s">
        <v>281</v>
      </c>
      <c r="AH14" s="3"/>
    </row>
    <row r="15" spans="1:34" ht="14.25" customHeight="1" x14ac:dyDescent="0.25">
      <c r="A15" s="3" t="s">
        <v>87</v>
      </c>
      <c r="B15" s="3" t="s">
        <v>79</v>
      </c>
      <c r="C15" s="3"/>
      <c r="D15" s="3" t="s">
        <v>80</v>
      </c>
      <c r="E15" s="3">
        <v>2</v>
      </c>
      <c r="F15" s="3">
        <v>1</v>
      </c>
      <c r="G15" s="3" t="s">
        <v>1</v>
      </c>
      <c r="H15" s="11">
        <v>45747</v>
      </c>
      <c r="I15" s="12" t="s">
        <v>81</v>
      </c>
      <c r="J15" s="3">
        <f>4+8+13.2</f>
        <v>25.2</v>
      </c>
      <c r="K15" s="3">
        <f>6.4+7.8+5.3+12</f>
        <v>31.5</v>
      </c>
      <c r="L15" s="3">
        <f>11+8.5</f>
        <v>19.5</v>
      </c>
      <c r="M15" s="3">
        <f>3.8+8.8+13</f>
        <v>25.6</v>
      </c>
      <c r="N15" s="3">
        <v>0</v>
      </c>
      <c r="O15" s="3">
        <f t="shared" si="0"/>
        <v>101.80000000000001</v>
      </c>
      <c r="P15" s="3">
        <v>3</v>
      </c>
      <c r="Q15" s="3">
        <v>4</v>
      </c>
      <c r="R15" s="3">
        <v>2</v>
      </c>
      <c r="S15" s="3">
        <v>3</v>
      </c>
      <c r="T15" s="3">
        <v>0</v>
      </c>
      <c r="U15" s="3">
        <f t="shared" si="1"/>
        <v>12</v>
      </c>
      <c r="V15" s="13">
        <f t="shared" si="2"/>
        <v>8.4833333333333343</v>
      </c>
      <c r="W15" s="13">
        <f t="shared" si="4"/>
        <v>8.4833333333333343</v>
      </c>
      <c r="X15" s="3">
        <f t="shared" si="3"/>
        <v>12</v>
      </c>
      <c r="Y15" s="3" t="e">
        <f t="shared" si="5"/>
        <v>#DIV/0!</v>
      </c>
      <c r="Z15" s="3"/>
      <c r="AA15" s="3"/>
      <c r="AB15" s="3">
        <v>150</v>
      </c>
      <c r="AC15" s="3" t="s">
        <v>82</v>
      </c>
      <c r="AD15" s="3" t="s">
        <v>88</v>
      </c>
      <c r="AE15" s="3">
        <v>90</v>
      </c>
      <c r="AF15" s="3" t="s">
        <v>84</v>
      </c>
      <c r="AG15" s="3" t="s">
        <v>282</v>
      </c>
      <c r="AH15" s="3"/>
    </row>
    <row r="16" spans="1:34" ht="14.25" customHeight="1" x14ac:dyDescent="0.25">
      <c r="A16" s="3" t="s">
        <v>89</v>
      </c>
      <c r="B16" s="3" t="s">
        <v>79</v>
      </c>
      <c r="C16" s="3"/>
      <c r="D16" s="3" t="s">
        <v>80</v>
      </c>
      <c r="E16" s="3">
        <v>2</v>
      </c>
      <c r="F16" s="3">
        <v>1</v>
      </c>
      <c r="G16" s="3" t="s">
        <v>3</v>
      </c>
      <c r="H16" s="11">
        <v>45747</v>
      </c>
      <c r="I16" s="12" t="s">
        <v>81</v>
      </c>
      <c r="J16" s="3">
        <v>0</v>
      </c>
      <c r="K16" s="3">
        <v>80</v>
      </c>
      <c r="L16" s="3">
        <v>32</v>
      </c>
      <c r="M16" s="3">
        <v>68</v>
      </c>
      <c r="N16" s="3">
        <v>0</v>
      </c>
      <c r="O16" s="3">
        <f t="shared" si="0"/>
        <v>180</v>
      </c>
      <c r="P16" s="3">
        <v>1</v>
      </c>
      <c r="Q16" s="3">
        <v>2</v>
      </c>
      <c r="R16" s="3">
        <v>2</v>
      </c>
      <c r="S16" s="3">
        <v>3</v>
      </c>
      <c r="T16" s="3">
        <v>0</v>
      </c>
      <c r="U16" s="3">
        <f t="shared" si="1"/>
        <v>8</v>
      </c>
      <c r="V16" s="13">
        <f t="shared" si="2"/>
        <v>22.5</v>
      </c>
      <c r="W16" s="13">
        <f t="shared" si="4"/>
        <v>22.5</v>
      </c>
      <c r="X16" s="3">
        <f t="shared" si="3"/>
        <v>8</v>
      </c>
      <c r="Y16" s="3">
        <f t="shared" si="5"/>
        <v>5.3571428571428568E-2</v>
      </c>
      <c r="Z16" s="3"/>
      <c r="AA16" s="3">
        <f t="shared" ref="AA16:AA20" si="6">50*2.8*3</f>
        <v>420</v>
      </c>
      <c r="AB16" s="3">
        <v>108</v>
      </c>
      <c r="AC16" s="3" t="s">
        <v>82</v>
      </c>
      <c r="AD16" s="3" t="s">
        <v>83</v>
      </c>
      <c r="AE16" s="3">
        <v>40</v>
      </c>
      <c r="AF16" s="3" t="s">
        <v>84</v>
      </c>
      <c r="AG16" s="3" t="s">
        <v>283</v>
      </c>
      <c r="AH16" s="3"/>
    </row>
    <row r="17" spans="1:34" ht="14.25" customHeight="1" x14ac:dyDescent="0.25">
      <c r="A17" s="3" t="s">
        <v>89</v>
      </c>
      <c r="B17" s="3" t="s">
        <v>79</v>
      </c>
      <c r="C17" s="3"/>
      <c r="D17" s="3" t="s">
        <v>80</v>
      </c>
      <c r="E17" s="3">
        <v>2</v>
      </c>
      <c r="F17" s="3">
        <v>1</v>
      </c>
      <c r="G17" s="3" t="s">
        <v>2</v>
      </c>
      <c r="H17" s="11">
        <v>45747</v>
      </c>
      <c r="I17" s="12" t="s">
        <v>81</v>
      </c>
      <c r="J17" s="3">
        <v>10</v>
      </c>
      <c r="K17" s="3">
        <v>0</v>
      </c>
      <c r="L17" s="3">
        <v>0</v>
      </c>
      <c r="M17" s="3">
        <v>0</v>
      </c>
      <c r="N17" s="3">
        <v>0</v>
      </c>
      <c r="O17" s="3">
        <f t="shared" si="0"/>
        <v>10</v>
      </c>
      <c r="P17" s="3">
        <v>1</v>
      </c>
      <c r="Q17" s="3">
        <v>2</v>
      </c>
      <c r="R17" s="3">
        <v>2</v>
      </c>
      <c r="S17" s="3">
        <v>3</v>
      </c>
      <c r="T17" s="3">
        <v>0</v>
      </c>
      <c r="U17" s="3">
        <f t="shared" si="1"/>
        <v>8</v>
      </c>
      <c r="V17" s="13">
        <f t="shared" si="2"/>
        <v>1.25</v>
      </c>
      <c r="W17" s="13">
        <f t="shared" si="4"/>
        <v>1.25</v>
      </c>
      <c r="X17" s="3">
        <f t="shared" si="3"/>
        <v>8</v>
      </c>
      <c r="Y17" s="3">
        <f t="shared" si="5"/>
        <v>2.976190476190476E-3</v>
      </c>
      <c r="Z17" s="3"/>
      <c r="AA17" s="3">
        <f t="shared" si="6"/>
        <v>420</v>
      </c>
      <c r="AB17" s="3">
        <v>108</v>
      </c>
      <c r="AC17" s="3" t="s">
        <v>82</v>
      </c>
      <c r="AD17" s="3" t="s">
        <v>83</v>
      </c>
      <c r="AE17" s="3">
        <v>40</v>
      </c>
      <c r="AF17" s="3" t="s">
        <v>84</v>
      </c>
      <c r="AG17" s="3" t="s">
        <v>283</v>
      </c>
      <c r="AH17" s="3"/>
    </row>
    <row r="18" spans="1:34" ht="14.25" customHeight="1" x14ac:dyDescent="0.25">
      <c r="A18" s="3" t="s">
        <v>89</v>
      </c>
      <c r="B18" s="3" t="s">
        <v>79</v>
      </c>
      <c r="C18" s="3"/>
      <c r="D18" s="3" t="s">
        <v>80</v>
      </c>
      <c r="E18" s="3">
        <v>2</v>
      </c>
      <c r="F18" s="3">
        <v>1</v>
      </c>
      <c r="G18" s="3" t="s">
        <v>18</v>
      </c>
      <c r="H18" s="11">
        <v>45747</v>
      </c>
      <c r="I18" s="12" t="s">
        <v>81</v>
      </c>
      <c r="J18" s="3">
        <v>0</v>
      </c>
      <c r="K18" s="3">
        <v>0</v>
      </c>
      <c r="L18" s="3">
        <v>3.8</v>
      </c>
      <c r="M18" s="3">
        <v>6</v>
      </c>
      <c r="N18" s="3">
        <v>0</v>
      </c>
      <c r="O18" s="3">
        <f t="shared" si="0"/>
        <v>9.8000000000000007</v>
      </c>
      <c r="P18" s="3">
        <v>1</v>
      </c>
      <c r="Q18" s="3">
        <v>2</v>
      </c>
      <c r="R18" s="3">
        <v>2</v>
      </c>
      <c r="S18" s="3">
        <v>3</v>
      </c>
      <c r="T18" s="3">
        <v>0</v>
      </c>
      <c r="U18" s="3">
        <f t="shared" si="1"/>
        <v>8</v>
      </c>
      <c r="V18" s="13">
        <f t="shared" si="2"/>
        <v>1.2250000000000001</v>
      </c>
      <c r="W18" s="13">
        <f t="shared" si="4"/>
        <v>1.2250000000000001</v>
      </c>
      <c r="X18" s="3">
        <f t="shared" si="3"/>
        <v>8</v>
      </c>
      <c r="Y18" s="3">
        <f t="shared" si="5"/>
        <v>2.9166666666666668E-3</v>
      </c>
      <c r="Z18" s="3"/>
      <c r="AA18" s="3">
        <f t="shared" si="6"/>
        <v>420</v>
      </c>
      <c r="AB18" s="3">
        <v>108</v>
      </c>
      <c r="AC18" s="3" t="s">
        <v>82</v>
      </c>
      <c r="AD18" s="3" t="s">
        <v>83</v>
      </c>
      <c r="AE18" s="3">
        <v>40</v>
      </c>
      <c r="AF18" s="3" t="s">
        <v>84</v>
      </c>
      <c r="AG18" s="3" t="s">
        <v>283</v>
      </c>
      <c r="AH18" s="3"/>
    </row>
    <row r="19" spans="1:34" ht="14.25" customHeight="1" x14ac:dyDescent="0.25">
      <c r="A19" s="3" t="s">
        <v>89</v>
      </c>
      <c r="B19" s="3" t="s">
        <v>79</v>
      </c>
      <c r="C19" s="3"/>
      <c r="D19" s="3" t="s">
        <v>80</v>
      </c>
      <c r="E19" s="3">
        <v>2</v>
      </c>
      <c r="F19" s="3">
        <v>1</v>
      </c>
      <c r="G19" s="3" t="s">
        <v>25</v>
      </c>
      <c r="H19" s="11">
        <v>45747</v>
      </c>
      <c r="I19" s="12" t="s">
        <v>81</v>
      </c>
      <c r="J19" s="3">
        <v>0</v>
      </c>
      <c r="K19" s="3">
        <v>0</v>
      </c>
      <c r="L19" s="3">
        <v>16</v>
      </c>
      <c r="M19" s="3">
        <v>0</v>
      </c>
      <c r="N19" s="3">
        <v>0</v>
      </c>
      <c r="O19" s="3">
        <f t="shared" si="0"/>
        <v>16</v>
      </c>
      <c r="P19" s="3">
        <v>1</v>
      </c>
      <c r="Q19" s="3">
        <v>2</v>
      </c>
      <c r="R19" s="3">
        <v>2</v>
      </c>
      <c r="S19" s="3">
        <v>3</v>
      </c>
      <c r="T19" s="3">
        <v>0</v>
      </c>
      <c r="U19" s="3">
        <f t="shared" si="1"/>
        <v>8</v>
      </c>
      <c r="V19" s="13">
        <f t="shared" si="2"/>
        <v>2</v>
      </c>
      <c r="W19" s="13">
        <f t="shared" si="4"/>
        <v>2</v>
      </c>
      <c r="X19" s="3">
        <f t="shared" si="3"/>
        <v>8</v>
      </c>
      <c r="Y19" s="3">
        <f t="shared" si="5"/>
        <v>4.7619047619047623E-3</v>
      </c>
      <c r="Z19" s="3"/>
      <c r="AA19" s="3">
        <f t="shared" si="6"/>
        <v>420</v>
      </c>
      <c r="AB19" s="3">
        <v>108</v>
      </c>
      <c r="AC19" s="3" t="s">
        <v>82</v>
      </c>
      <c r="AD19" s="3" t="s">
        <v>83</v>
      </c>
      <c r="AE19" s="3">
        <v>40</v>
      </c>
      <c r="AF19" s="3" t="s">
        <v>84</v>
      </c>
      <c r="AG19" s="3" t="s">
        <v>283</v>
      </c>
      <c r="AH19" s="3"/>
    </row>
    <row r="20" spans="1:34" ht="14.25" customHeight="1" x14ac:dyDescent="0.25">
      <c r="A20" s="3" t="s">
        <v>89</v>
      </c>
      <c r="B20" s="3" t="s">
        <v>79</v>
      </c>
      <c r="C20" s="3"/>
      <c r="D20" s="3" t="s">
        <v>80</v>
      </c>
      <c r="E20" s="3">
        <v>2</v>
      </c>
      <c r="F20" s="3">
        <v>1</v>
      </c>
      <c r="G20" s="3" t="s">
        <v>22</v>
      </c>
      <c r="H20" s="11">
        <v>45747</v>
      </c>
      <c r="I20" s="12" t="s">
        <v>81</v>
      </c>
      <c r="J20" s="3">
        <v>0</v>
      </c>
      <c r="K20" s="3">
        <v>16</v>
      </c>
      <c r="L20" s="3">
        <v>0</v>
      </c>
      <c r="M20" s="3">
        <v>14</v>
      </c>
      <c r="N20" s="3">
        <v>0</v>
      </c>
      <c r="O20" s="3">
        <f t="shared" si="0"/>
        <v>30</v>
      </c>
      <c r="P20" s="3">
        <v>1</v>
      </c>
      <c r="Q20" s="3">
        <v>2</v>
      </c>
      <c r="R20" s="3">
        <v>2</v>
      </c>
      <c r="S20" s="3">
        <v>3</v>
      </c>
      <c r="T20" s="3">
        <v>0</v>
      </c>
      <c r="U20" s="3">
        <f t="shared" si="1"/>
        <v>8</v>
      </c>
      <c r="V20" s="13">
        <f t="shared" si="2"/>
        <v>3.75</v>
      </c>
      <c r="W20" s="13">
        <f t="shared" si="4"/>
        <v>3.75</v>
      </c>
      <c r="X20" s="3">
        <f t="shared" si="3"/>
        <v>8</v>
      </c>
      <c r="Y20" s="3">
        <f t="shared" si="5"/>
        <v>8.9285714285714281E-3</v>
      </c>
      <c r="Z20" s="3"/>
      <c r="AA20" s="3">
        <f t="shared" si="6"/>
        <v>420</v>
      </c>
      <c r="AB20" s="3">
        <v>108</v>
      </c>
      <c r="AC20" s="3" t="s">
        <v>82</v>
      </c>
      <c r="AD20" s="3" t="s">
        <v>83</v>
      </c>
      <c r="AE20" s="3">
        <v>40</v>
      </c>
      <c r="AF20" s="3" t="s">
        <v>84</v>
      </c>
      <c r="AG20" s="3" t="s">
        <v>283</v>
      </c>
      <c r="AH20" s="3"/>
    </row>
    <row r="21" spans="1:34" ht="14.25" customHeight="1" x14ac:dyDescent="0.25">
      <c r="A21" s="3" t="s">
        <v>90</v>
      </c>
      <c r="B21" s="3" t="s">
        <v>79</v>
      </c>
      <c r="C21" s="3"/>
      <c r="D21" s="3" t="s">
        <v>80</v>
      </c>
      <c r="E21" s="3">
        <v>2</v>
      </c>
      <c r="F21" s="3">
        <v>1</v>
      </c>
      <c r="G21" s="3" t="s">
        <v>2</v>
      </c>
      <c r="H21" s="11">
        <v>45747</v>
      </c>
      <c r="I21" s="12" t="s">
        <v>81</v>
      </c>
      <c r="J21" s="3">
        <f>4+3.8</f>
        <v>7.8</v>
      </c>
      <c r="K21" s="3">
        <f>2.8+5</f>
        <v>7.8</v>
      </c>
      <c r="L21" s="3">
        <f>4+3.8+6</f>
        <v>13.8</v>
      </c>
      <c r="M21" s="3">
        <v>3.2</v>
      </c>
      <c r="N21" s="3">
        <v>0</v>
      </c>
      <c r="O21" s="3">
        <f t="shared" si="0"/>
        <v>32.6</v>
      </c>
      <c r="P21" s="3">
        <v>3</v>
      </c>
      <c r="Q21" s="3">
        <v>4</v>
      </c>
      <c r="R21" s="3">
        <v>4</v>
      </c>
      <c r="S21" s="3">
        <v>2</v>
      </c>
      <c r="T21" s="3">
        <v>0</v>
      </c>
      <c r="U21" s="3">
        <f t="shared" si="1"/>
        <v>13</v>
      </c>
      <c r="V21" s="13">
        <f t="shared" si="2"/>
        <v>2.5076923076923077</v>
      </c>
      <c r="W21" s="13">
        <f t="shared" si="4"/>
        <v>2.5076923076923077</v>
      </c>
      <c r="X21" s="3">
        <f t="shared" si="3"/>
        <v>13</v>
      </c>
      <c r="Y21" s="3" t="e">
        <f t="shared" si="5"/>
        <v>#DIV/0!</v>
      </c>
      <c r="Z21" s="3"/>
      <c r="AA21" s="3"/>
      <c r="AB21" s="3">
        <v>45</v>
      </c>
      <c r="AC21" s="3" t="s">
        <v>82</v>
      </c>
      <c r="AD21" s="3" t="s">
        <v>83</v>
      </c>
      <c r="AE21" s="3">
        <v>15</v>
      </c>
      <c r="AF21" s="3" t="s">
        <v>84</v>
      </c>
      <c r="AG21" s="3" t="s">
        <v>217</v>
      </c>
      <c r="AH21" s="3"/>
    </row>
    <row r="22" spans="1:34" ht="14.25" customHeight="1" x14ac:dyDescent="0.25">
      <c r="A22" s="3" t="s">
        <v>90</v>
      </c>
      <c r="B22" s="3" t="s">
        <v>79</v>
      </c>
      <c r="C22" s="3"/>
      <c r="D22" s="3" t="s">
        <v>80</v>
      </c>
      <c r="E22" s="3">
        <v>2</v>
      </c>
      <c r="F22" s="3">
        <v>1</v>
      </c>
      <c r="G22" s="3" t="s">
        <v>18</v>
      </c>
      <c r="H22" s="11">
        <v>45747</v>
      </c>
      <c r="I22" s="12" t="s">
        <v>81</v>
      </c>
      <c r="J22" s="3">
        <f>8+3.6</f>
        <v>11.6</v>
      </c>
      <c r="K22" s="3">
        <f>5.3+4.8+6</f>
        <v>16.100000000000001</v>
      </c>
      <c r="L22" s="3">
        <f>4.8+6.1</f>
        <v>10.899999999999999</v>
      </c>
      <c r="M22" s="3">
        <v>3</v>
      </c>
      <c r="N22" s="3">
        <v>0</v>
      </c>
      <c r="O22" s="3">
        <f t="shared" si="0"/>
        <v>41.6</v>
      </c>
      <c r="P22" s="3">
        <v>3</v>
      </c>
      <c r="Q22" s="3">
        <v>4</v>
      </c>
      <c r="R22" s="3">
        <v>4</v>
      </c>
      <c r="S22" s="3">
        <v>2</v>
      </c>
      <c r="T22" s="3">
        <v>0</v>
      </c>
      <c r="U22" s="3">
        <f t="shared" si="1"/>
        <v>13</v>
      </c>
      <c r="V22" s="13">
        <f t="shared" si="2"/>
        <v>3.2</v>
      </c>
      <c r="W22" s="13">
        <f t="shared" si="4"/>
        <v>3.2</v>
      </c>
      <c r="X22" s="3">
        <f t="shared" si="3"/>
        <v>13</v>
      </c>
      <c r="Y22" s="3" t="e">
        <f t="shared" si="5"/>
        <v>#DIV/0!</v>
      </c>
      <c r="Z22" s="3"/>
      <c r="AA22" s="3"/>
      <c r="AB22" s="3">
        <v>45</v>
      </c>
      <c r="AC22" s="3" t="s">
        <v>82</v>
      </c>
      <c r="AD22" s="3" t="s">
        <v>83</v>
      </c>
      <c r="AE22" s="3">
        <v>15</v>
      </c>
      <c r="AF22" s="3" t="s">
        <v>84</v>
      </c>
      <c r="AG22" s="3" t="s">
        <v>217</v>
      </c>
      <c r="AH22" s="3"/>
    </row>
    <row r="23" spans="1:34" ht="14.25" customHeight="1" x14ac:dyDescent="0.25">
      <c r="A23" s="3" t="s">
        <v>91</v>
      </c>
      <c r="B23" s="3" t="s">
        <v>79</v>
      </c>
      <c r="C23" s="3"/>
      <c r="D23" s="3" t="s">
        <v>80</v>
      </c>
      <c r="E23" s="3">
        <v>2</v>
      </c>
      <c r="F23" s="3">
        <v>1</v>
      </c>
      <c r="G23" s="3" t="s">
        <v>1</v>
      </c>
      <c r="H23" s="11">
        <v>45747</v>
      </c>
      <c r="I23" s="12" t="s">
        <v>81</v>
      </c>
      <c r="J23" s="3">
        <f>15+10+8+5.9+10.5+9.7</f>
        <v>59.099999999999994</v>
      </c>
      <c r="K23" s="3">
        <f>10.5+12.3+9.7+7.4</f>
        <v>39.9</v>
      </c>
      <c r="L23" s="3">
        <f>4.7+8.4+5.8</f>
        <v>18.900000000000002</v>
      </c>
      <c r="M23" s="3">
        <f>7.2+6.9+8.6+7.5+9.8+7.4+8.9</f>
        <v>56.3</v>
      </c>
      <c r="N23" s="3">
        <v>9.1</v>
      </c>
      <c r="O23" s="3">
        <f t="shared" si="0"/>
        <v>183.29999999999998</v>
      </c>
      <c r="P23" s="3">
        <v>6</v>
      </c>
      <c r="Q23" s="3">
        <v>4</v>
      </c>
      <c r="R23" s="3">
        <v>4</v>
      </c>
      <c r="S23" s="3">
        <v>7</v>
      </c>
      <c r="T23" s="3">
        <v>1</v>
      </c>
      <c r="U23" s="3">
        <f t="shared" si="1"/>
        <v>22</v>
      </c>
      <c r="V23" s="13">
        <f t="shared" si="2"/>
        <v>8.3318181818181802</v>
      </c>
      <c r="W23" s="13">
        <f t="shared" si="4"/>
        <v>8.3318181818181802</v>
      </c>
      <c r="X23" s="3">
        <f t="shared" si="3"/>
        <v>22</v>
      </c>
      <c r="Y23" s="3" t="e">
        <f t="shared" si="5"/>
        <v>#DIV/0!</v>
      </c>
      <c r="Z23" s="3"/>
      <c r="AA23" s="3"/>
      <c r="AB23" s="3">
        <v>150</v>
      </c>
      <c r="AC23" s="3" t="s">
        <v>92</v>
      </c>
      <c r="AD23" s="3" t="s">
        <v>88</v>
      </c>
      <c r="AE23" s="3">
        <v>90</v>
      </c>
      <c r="AF23" s="3" t="s">
        <v>84</v>
      </c>
      <c r="AG23" s="3" t="s">
        <v>218</v>
      </c>
      <c r="AH23" s="3"/>
    </row>
    <row r="24" spans="1:34" ht="14.25" customHeight="1" x14ac:dyDescent="0.25">
      <c r="A24" s="3" t="s">
        <v>91</v>
      </c>
      <c r="B24" s="3" t="s">
        <v>79</v>
      </c>
      <c r="C24" s="3"/>
      <c r="D24" s="3" t="s">
        <v>80</v>
      </c>
      <c r="E24" s="3">
        <v>2</v>
      </c>
      <c r="F24" s="3">
        <v>1</v>
      </c>
      <c r="G24" s="3" t="s">
        <v>2</v>
      </c>
      <c r="H24" s="11">
        <v>45747</v>
      </c>
      <c r="I24" s="12" t="s">
        <v>81</v>
      </c>
      <c r="J24" s="3">
        <f>4.8+3+1.9+2.5</f>
        <v>12.2</v>
      </c>
      <c r="K24" s="3">
        <v>7.2</v>
      </c>
      <c r="L24" s="3">
        <v>2.2999999999999998</v>
      </c>
      <c r="M24" s="3">
        <f>1.8+2.1</f>
        <v>3.9000000000000004</v>
      </c>
      <c r="N24" s="3">
        <v>3.5</v>
      </c>
      <c r="O24" s="3">
        <f t="shared" si="0"/>
        <v>29.1</v>
      </c>
      <c r="P24" s="3">
        <v>6</v>
      </c>
      <c r="Q24" s="3">
        <v>4</v>
      </c>
      <c r="R24" s="3">
        <v>4</v>
      </c>
      <c r="S24" s="3">
        <v>7</v>
      </c>
      <c r="T24" s="3">
        <v>1</v>
      </c>
      <c r="U24" s="3">
        <f t="shared" si="1"/>
        <v>22</v>
      </c>
      <c r="V24" s="13">
        <f t="shared" si="2"/>
        <v>1.3227272727272728</v>
      </c>
      <c r="W24" s="13">
        <f t="shared" si="4"/>
        <v>1.3227272727272728</v>
      </c>
      <c r="X24" s="3">
        <f t="shared" si="3"/>
        <v>22</v>
      </c>
      <c r="Y24" s="3" t="e">
        <f t="shared" si="5"/>
        <v>#DIV/0!</v>
      </c>
      <c r="Z24" s="3"/>
      <c r="AA24" s="3"/>
      <c r="AB24" s="3">
        <v>150</v>
      </c>
      <c r="AC24" s="3" t="s">
        <v>92</v>
      </c>
      <c r="AD24" s="3" t="s">
        <v>88</v>
      </c>
      <c r="AE24" s="3">
        <v>90</v>
      </c>
      <c r="AF24" s="3" t="s">
        <v>84</v>
      </c>
      <c r="AG24" s="3" t="s">
        <v>218</v>
      </c>
      <c r="AH24" s="3"/>
    </row>
    <row r="25" spans="1:34" ht="14.25" customHeight="1" x14ac:dyDescent="0.25">
      <c r="A25" s="3" t="s">
        <v>91</v>
      </c>
      <c r="B25" s="3" t="s">
        <v>79</v>
      </c>
      <c r="C25" s="3"/>
      <c r="D25" s="3" t="s">
        <v>80</v>
      </c>
      <c r="E25" s="3">
        <v>2</v>
      </c>
      <c r="F25" s="3">
        <v>1</v>
      </c>
      <c r="G25" s="3" t="s">
        <v>19</v>
      </c>
      <c r="H25" s="11">
        <v>45747</v>
      </c>
      <c r="I25" s="12" t="s">
        <v>81</v>
      </c>
      <c r="J25" s="3">
        <f>7.2+5+5.2+8+9.2</f>
        <v>34.599999999999994</v>
      </c>
      <c r="K25" s="3">
        <f>8.3+6.5+6.8+5.6</f>
        <v>27.200000000000003</v>
      </c>
      <c r="L25" s="3">
        <f>6.3+3.6+3.9</f>
        <v>13.8</v>
      </c>
      <c r="M25" s="3">
        <f>4.6+6.9+4.2+5.1+5.9+6.8+5.7</f>
        <v>39.199999999999996</v>
      </c>
      <c r="N25" s="3">
        <v>6.6</v>
      </c>
      <c r="O25" s="3">
        <f t="shared" si="0"/>
        <v>121.39999999999998</v>
      </c>
      <c r="P25" s="3">
        <v>6</v>
      </c>
      <c r="Q25" s="3">
        <v>4</v>
      </c>
      <c r="R25" s="3">
        <v>4</v>
      </c>
      <c r="S25" s="3">
        <v>7</v>
      </c>
      <c r="T25" s="3">
        <v>1</v>
      </c>
      <c r="U25" s="3">
        <f t="shared" si="1"/>
        <v>22</v>
      </c>
      <c r="V25" s="13">
        <f t="shared" si="2"/>
        <v>5.5181818181818167</v>
      </c>
      <c r="W25" s="13">
        <f t="shared" si="4"/>
        <v>5.5181818181818167</v>
      </c>
      <c r="X25" s="3">
        <f t="shared" si="3"/>
        <v>22</v>
      </c>
      <c r="Y25" s="3" t="e">
        <f t="shared" si="5"/>
        <v>#DIV/0!</v>
      </c>
      <c r="Z25" s="3"/>
      <c r="AA25" s="3"/>
      <c r="AB25" s="3">
        <v>150</v>
      </c>
      <c r="AC25" s="3" t="s">
        <v>92</v>
      </c>
      <c r="AD25" s="3" t="s">
        <v>88</v>
      </c>
      <c r="AE25" s="3">
        <v>90</v>
      </c>
      <c r="AF25" s="3" t="s">
        <v>84</v>
      </c>
      <c r="AG25" s="3" t="s">
        <v>218</v>
      </c>
      <c r="AH25" s="3"/>
    </row>
    <row r="26" spans="1:34" ht="14.25" customHeight="1" x14ac:dyDescent="0.25">
      <c r="A26" s="3" t="s">
        <v>91</v>
      </c>
      <c r="B26" s="3" t="s">
        <v>79</v>
      </c>
      <c r="C26" s="3"/>
      <c r="D26" s="3" t="s">
        <v>80</v>
      </c>
      <c r="E26" s="3">
        <v>2</v>
      </c>
      <c r="F26" s="3">
        <v>1</v>
      </c>
      <c r="G26" s="3" t="s">
        <v>15</v>
      </c>
      <c r="H26" s="11">
        <v>45747</v>
      </c>
      <c r="I26" s="12" t="s">
        <v>81</v>
      </c>
      <c r="J26" s="3">
        <v>13.7</v>
      </c>
      <c r="K26" s="3">
        <v>0</v>
      </c>
      <c r="L26" s="3">
        <v>0</v>
      </c>
      <c r="M26" s="3">
        <v>0</v>
      </c>
      <c r="N26" s="3">
        <v>0</v>
      </c>
      <c r="O26" s="3">
        <f t="shared" si="0"/>
        <v>13.7</v>
      </c>
      <c r="P26" s="3">
        <v>6</v>
      </c>
      <c r="Q26" s="3">
        <v>4</v>
      </c>
      <c r="R26" s="3">
        <v>4</v>
      </c>
      <c r="S26" s="3">
        <v>7</v>
      </c>
      <c r="T26" s="3">
        <v>1</v>
      </c>
      <c r="U26" s="3">
        <f t="shared" si="1"/>
        <v>22</v>
      </c>
      <c r="V26" s="13">
        <f t="shared" si="2"/>
        <v>0.62272727272727268</v>
      </c>
      <c r="W26" s="13">
        <f t="shared" si="4"/>
        <v>0.62272727272727268</v>
      </c>
      <c r="X26" s="3">
        <f t="shared" si="3"/>
        <v>22</v>
      </c>
      <c r="Y26" s="3" t="e">
        <f t="shared" si="5"/>
        <v>#DIV/0!</v>
      </c>
      <c r="Z26" s="3"/>
      <c r="AA26" s="3"/>
      <c r="AB26" s="3">
        <v>150</v>
      </c>
      <c r="AC26" s="3" t="s">
        <v>92</v>
      </c>
      <c r="AD26" s="3" t="s">
        <v>88</v>
      </c>
      <c r="AE26" s="3">
        <v>90</v>
      </c>
      <c r="AF26" s="3" t="s">
        <v>84</v>
      </c>
      <c r="AG26" s="3" t="s">
        <v>218</v>
      </c>
      <c r="AH26" s="3"/>
    </row>
    <row r="27" spans="1:34" ht="14.25" customHeight="1" x14ac:dyDescent="0.25">
      <c r="A27" s="3" t="s">
        <v>93</v>
      </c>
      <c r="B27" s="3" t="s">
        <v>79</v>
      </c>
      <c r="C27" s="3"/>
      <c r="D27" s="3" t="s">
        <v>80</v>
      </c>
      <c r="E27" s="3">
        <v>1</v>
      </c>
      <c r="F27" s="3">
        <v>1</v>
      </c>
      <c r="G27" s="3" t="s">
        <v>2</v>
      </c>
      <c r="H27" s="11">
        <v>45747</v>
      </c>
      <c r="I27" s="12" t="s">
        <v>81</v>
      </c>
      <c r="J27" s="3">
        <v>0</v>
      </c>
      <c r="K27" s="3">
        <v>0</v>
      </c>
      <c r="L27" s="3">
        <v>13</v>
      </c>
      <c r="M27" s="3">
        <v>6</v>
      </c>
      <c r="N27" s="3">
        <v>0</v>
      </c>
      <c r="O27" s="3">
        <f t="shared" si="0"/>
        <v>19</v>
      </c>
      <c r="P27" s="3">
        <v>0</v>
      </c>
      <c r="Q27" s="3">
        <v>2</v>
      </c>
      <c r="R27" s="3">
        <v>2</v>
      </c>
      <c r="S27" s="3">
        <v>3</v>
      </c>
      <c r="T27" s="3">
        <v>0</v>
      </c>
      <c r="U27" s="3">
        <f t="shared" si="1"/>
        <v>7</v>
      </c>
      <c r="V27" s="13">
        <f t="shared" si="2"/>
        <v>2.7142857142857144</v>
      </c>
      <c r="W27" s="13">
        <f t="shared" si="4"/>
        <v>2.7142857142857144</v>
      </c>
      <c r="X27" s="3">
        <f t="shared" si="3"/>
        <v>7</v>
      </c>
      <c r="Y27" s="3" t="e">
        <f t="shared" si="5"/>
        <v>#DIV/0!</v>
      </c>
      <c r="Z27" s="3"/>
      <c r="AA27" s="3"/>
      <c r="AB27" s="3"/>
      <c r="AC27" s="3" t="s">
        <v>82</v>
      </c>
      <c r="AD27" s="3" t="s">
        <v>83</v>
      </c>
      <c r="AE27" s="3">
        <v>50</v>
      </c>
      <c r="AF27" s="3" t="s">
        <v>84</v>
      </c>
      <c r="AG27" s="3" t="s">
        <v>193</v>
      </c>
      <c r="AH27" s="3"/>
    </row>
    <row r="28" spans="1:34" ht="14.25" customHeight="1" x14ac:dyDescent="0.25">
      <c r="A28" s="3" t="s">
        <v>93</v>
      </c>
      <c r="B28" s="3" t="s">
        <v>79</v>
      </c>
      <c r="C28" s="3"/>
      <c r="D28" s="3" t="s">
        <v>80</v>
      </c>
      <c r="E28" s="3">
        <v>1</v>
      </c>
      <c r="F28" s="3">
        <v>1</v>
      </c>
      <c r="G28" s="3" t="s">
        <v>14</v>
      </c>
      <c r="H28" s="11">
        <v>45747</v>
      </c>
      <c r="I28" s="12" t="s">
        <v>81</v>
      </c>
      <c r="J28" s="3">
        <v>0</v>
      </c>
      <c r="K28" s="3">
        <v>0</v>
      </c>
      <c r="L28" s="3">
        <v>0</v>
      </c>
      <c r="M28" s="3">
        <f>5+2.8</f>
        <v>7.8</v>
      </c>
      <c r="N28" s="3">
        <v>0</v>
      </c>
      <c r="O28" s="3">
        <f t="shared" si="0"/>
        <v>7.8</v>
      </c>
      <c r="P28" s="3">
        <v>0</v>
      </c>
      <c r="Q28" s="3">
        <v>2</v>
      </c>
      <c r="R28" s="3">
        <v>2</v>
      </c>
      <c r="S28" s="3">
        <v>3</v>
      </c>
      <c r="T28" s="3">
        <v>0</v>
      </c>
      <c r="U28" s="3">
        <f t="shared" si="1"/>
        <v>7</v>
      </c>
      <c r="V28" s="13">
        <f t="shared" si="2"/>
        <v>1.1142857142857143</v>
      </c>
      <c r="W28" s="13">
        <f t="shared" si="4"/>
        <v>1.1142857142857143</v>
      </c>
      <c r="X28" s="3">
        <f t="shared" si="3"/>
        <v>7</v>
      </c>
      <c r="Y28" s="3" t="e">
        <f t="shared" si="5"/>
        <v>#DIV/0!</v>
      </c>
      <c r="Z28" s="3"/>
      <c r="AA28" s="3"/>
      <c r="AB28" s="3"/>
      <c r="AC28" s="3" t="s">
        <v>82</v>
      </c>
      <c r="AD28" s="3" t="s">
        <v>83</v>
      </c>
      <c r="AE28" s="3">
        <v>50</v>
      </c>
      <c r="AF28" s="3" t="s">
        <v>84</v>
      </c>
      <c r="AG28" s="3" t="s">
        <v>193</v>
      </c>
      <c r="AH28" s="3"/>
    </row>
    <row r="29" spans="1:34" ht="14.25" customHeight="1" x14ac:dyDescent="0.25">
      <c r="A29" s="3" t="s">
        <v>93</v>
      </c>
      <c r="B29" s="3" t="s">
        <v>79</v>
      </c>
      <c r="C29" s="3"/>
      <c r="D29" s="3" t="s">
        <v>80</v>
      </c>
      <c r="E29" s="3">
        <v>1</v>
      </c>
      <c r="F29" s="3">
        <v>1</v>
      </c>
      <c r="G29" s="3" t="s">
        <v>16</v>
      </c>
      <c r="H29" s="11">
        <v>45747</v>
      </c>
      <c r="I29" s="12" t="s">
        <v>81</v>
      </c>
      <c r="J29" s="3">
        <v>0</v>
      </c>
      <c r="K29" s="3">
        <v>3.8</v>
      </c>
      <c r="L29" s="3">
        <v>0</v>
      </c>
      <c r="M29" s="3">
        <v>0</v>
      </c>
      <c r="N29" s="3">
        <v>0</v>
      </c>
      <c r="O29" s="3">
        <f t="shared" si="0"/>
        <v>3.8</v>
      </c>
      <c r="P29" s="3">
        <v>0</v>
      </c>
      <c r="Q29" s="3">
        <v>2</v>
      </c>
      <c r="R29" s="3">
        <v>2</v>
      </c>
      <c r="S29" s="3">
        <v>3</v>
      </c>
      <c r="T29" s="3">
        <v>0</v>
      </c>
      <c r="U29" s="3">
        <f t="shared" si="1"/>
        <v>7</v>
      </c>
      <c r="V29" s="13">
        <f t="shared" si="2"/>
        <v>0.54285714285714282</v>
      </c>
      <c r="W29" s="13">
        <f t="shared" si="4"/>
        <v>0.54285714285714282</v>
      </c>
      <c r="X29" s="3">
        <f t="shared" si="3"/>
        <v>7</v>
      </c>
      <c r="Y29" s="3" t="e">
        <f t="shared" si="5"/>
        <v>#DIV/0!</v>
      </c>
      <c r="Z29" s="3"/>
      <c r="AA29" s="3"/>
      <c r="AB29" s="3"/>
      <c r="AC29" s="3" t="s">
        <v>82</v>
      </c>
      <c r="AD29" s="3" t="s">
        <v>83</v>
      </c>
      <c r="AE29" s="3">
        <v>50</v>
      </c>
      <c r="AF29" s="3" t="s">
        <v>84</v>
      </c>
      <c r="AG29" s="3" t="s">
        <v>193</v>
      </c>
      <c r="AH29" s="3"/>
    </row>
    <row r="30" spans="1:34" ht="14.25" customHeight="1" x14ac:dyDescent="0.25">
      <c r="A30" s="3" t="s">
        <v>93</v>
      </c>
      <c r="B30" s="3" t="s">
        <v>79</v>
      </c>
      <c r="C30" s="3"/>
      <c r="D30" s="3" t="s">
        <v>80</v>
      </c>
      <c r="E30" s="3">
        <v>1</v>
      </c>
      <c r="F30" s="3">
        <v>1</v>
      </c>
      <c r="G30" s="3" t="s">
        <v>18</v>
      </c>
      <c r="H30" s="11">
        <v>45747</v>
      </c>
      <c r="I30" s="12" t="s">
        <v>81</v>
      </c>
      <c r="J30" s="3">
        <v>0</v>
      </c>
      <c r="K30" s="3">
        <v>6</v>
      </c>
      <c r="L30" s="3">
        <v>0</v>
      </c>
      <c r="M30" s="3">
        <v>0</v>
      </c>
      <c r="N30" s="3">
        <v>0</v>
      </c>
      <c r="O30" s="3">
        <f t="shared" si="0"/>
        <v>6</v>
      </c>
      <c r="P30" s="3">
        <v>0</v>
      </c>
      <c r="Q30" s="3">
        <v>2</v>
      </c>
      <c r="R30" s="3">
        <v>2</v>
      </c>
      <c r="S30" s="3">
        <v>3</v>
      </c>
      <c r="T30" s="3">
        <v>0</v>
      </c>
      <c r="U30" s="3">
        <f t="shared" si="1"/>
        <v>7</v>
      </c>
      <c r="V30" s="13">
        <f t="shared" si="2"/>
        <v>0.8571428571428571</v>
      </c>
      <c r="W30" s="13">
        <f t="shared" si="4"/>
        <v>0.8571428571428571</v>
      </c>
      <c r="X30" s="3">
        <f t="shared" si="3"/>
        <v>7</v>
      </c>
      <c r="Y30" s="3" t="e">
        <f t="shared" si="5"/>
        <v>#DIV/0!</v>
      </c>
      <c r="Z30" s="3"/>
      <c r="AA30" s="3"/>
      <c r="AB30" s="3"/>
      <c r="AC30" s="3" t="s">
        <v>82</v>
      </c>
      <c r="AD30" s="3" t="s">
        <v>83</v>
      </c>
      <c r="AE30" s="3">
        <v>50</v>
      </c>
      <c r="AF30" s="3" t="s">
        <v>84</v>
      </c>
      <c r="AG30" s="3" t="s">
        <v>193</v>
      </c>
      <c r="AH30" s="3"/>
    </row>
    <row r="31" spans="1:34" ht="14.25" customHeight="1" x14ac:dyDescent="0.25">
      <c r="A31" s="3" t="s">
        <v>93</v>
      </c>
      <c r="B31" s="3" t="s">
        <v>79</v>
      </c>
      <c r="C31" s="3"/>
      <c r="D31" s="3" t="s">
        <v>80</v>
      </c>
      <c r="E31" s="3">
        <v>1</v>
      </c>
      <c r="F31" s="3">
        <v>1</v>
      </c>
      <c r="G31" s="3" t="s">
        <v>25</v>
      </c>
      <c r="H31" s="11">
        <v>45747</v>
      </c>
      <c r="I31" s="12" t="s">
        <v>81</v>
      </c>
      <c r="J31" s="3">
        <v>0</v>
      </c>
      <c r="K31" s="3">
        <v>0</v>
      </c>
      <c r="L31" s="3">
        <v>8.3000000000000007</v>
      </c>
      <c r="M31" s="3">
        <v>12</v>
      </c>
      <c r="N31" s="3">
        <v>0</v>
      </c>
      <c r="O31" s="3">
        <f t="shared" si="0"/>
        <v>20.3</v>
      </c>
      <c r="P31" s="3">
        <v>0</v>
      </c>
      <c r="Q31" s="3">
        <v>2</v>
      </c>
      <c r="R31" s="3">
        <v>2</v>
      </c>
      <c r="S31" s="3">
        <v>3</v>
      </c>
      <c r="T31" s="3">
        <v>0</v>
      </c>
      <c r="U31" s="3">
        <f t="shared" si="1"/>
        <v>7</v>
      </c>
      <c r="V31" s="13">
        <f t="shared" si="2"/>
        <v>2.9</v>
      </c>
      <c r="W31" s="13">
        <f t="shared" si="4"/>
        <v>2.9</v>
      </c>
      <c r="X31" s="3">
        <f t="shared" si="3"/>
        <v>7</v>
      </c>
      <c r="Y31" s="3" t="e">
        <f t="shared" si="5"/>
        <v>#DIV/0!</v>
      </c>
      <c r="Z31" s="3"/>
      <c r="AA31" s="3"/>
      <c r="AB31" s="3"/>
      <c r="AC31" s="3" t="s">
        <v>82</v>
      </c>
      <c r="AD31" s="3" t="s">
        <v>83</v>
      </c>
      <c r="AE31" s="3">
        <v>50</v>
      </c>
      <c r="AF31" s="3" t="s">
        <v>84</v>
      </c>
      <c r="AG31" s="3" t="s">
        <v>193</v>
      </c>
      <c r="AH31" s="3"/>
    </row>
    <row r="32" spans="1:34" ht="14.25" customHeight="1" x14ac:dyDescent="0.25">
      <c r="A32" s="3" t="s">
        <v>94</v>
      </c>
      <c r="B32" s="3" t="s">
        <v>79</v>
      </c>
      <c r="C32" s="3"/>
      <c r="D32" s="3" t="s">
        <v>186</v>
      </c>
      <c r="E32" s="3">
        <v>1</v>
      </c>
      <c r="F32" s="3">
        <v>1</v>
      </c>
      <c r="G32" s="3" t="s">
        <v>3</v>
      </c>
      <c r="H32" s="11">
        <v>45747</v>
      </c>
      <c r="I32" s="12" t="s">
        <v>81</v>
      </c>
      <c r="J32" s="3">
        <v>0</v>
      </c>
      <c r="K32" s="3">
        <v>0</v>
      </c>
      <c r="L32" s="3">
        <v>16</v>
      </c>
      <c r="M32" s="3">
        <v>8</v>
      </c>
      <c r="N32" s="3">
        <v>0</v>
      </c>
      <c r="O32" s="3">
        <f t="shared" si="0"/>
        <v>24</v>
      </c>
      <c r="P32" s="3">
        <v>2</v>
      </c>
      <c r="Q32" s="3">
        <v>3</v>
      </c>
      <c r="R32" s="3">
        <v>2</v>
      </c>
      <c r="S32" s="3">
        <v>3</v>
      </c>
      <c r="T32" s="3">
        <v>0</v>
      </c>
      <c r="U32" s="3">
        <f t="shared" si="1"/>
        <v>10</v>
      </c>
      <c r="V32" s="13">
        <f t="shared" si="2"/>
        <v>2.4</v>
      </c>
      <c r="W32" s="13">
        <f t="shared" si="4"/>
        <v>2.4</v>
      </c>
      <c r="X32" s="3">
        <f t="shared" si="3"/>
        <v>10</v>
      </c>
      <c r="Y32" s="3">
        <f t="shared" si="5"/>
        <v>5.3571428571428572E-3</v>
      </c>
      <c r="Z32" s="3"/>
      <c r="AA32" s="3">
        <f t="shared" ref="AA32:AA37" si="7">10*2.8*16</f>
        <v>448</v>
      </c>
      <c r="AB32" s="3">
        <v>45</v>
      </c>
      <c r="AC32" s="3" t="s">
        <v>82</v>
      </c>
      <c r="AD32" s="3" t="s">
        <v>83</v>
      </c>
      <c r="AE32" s="3">
        <v>15</v>
      </c>
      <c r="AF32" s="3" t="s">
        <v>84</v>
      </c>
      <c r="AG32" s="3" t="s">
        <v>314</v>
      </c>
      <c r="AH32" s="3"/>
    </row>
    <row r="33" spans="1:34" ht="14.25" customHeight="1" x14ac:dyDescent="0.25">
      <c r="A33" s="3" t="s">
        <v>94</v>
      </c>
      <c r="B33" s="3" t="s">
        <v>79</v>
      </c>
      <c r="C33" s="3"/>
      <c r="D33" s="3" t="s">
        <v>186</v>
      </c>
      <c r="E33" s="3">
        <v>1</v>
      </c>
      <c r="F33" s="3">
        <v>1</v>
      </c>
      <c r="G33" s="3" t="s">
        <v>2</v>
      </c>
      <c r="H33" s="11">
        <v>45747</v>
      </c>
      <c r="I33" s="12" t="s">
        <v>81</v>
      </c>
      <c r="J33" s="3">
        <v>3</v>
      </c>
      <c r="K33" s="3">
        <v>0</v>
      </c>
      <c r="L33" s="3">
        <v>0</v>
      </c>
      <c r="M33" s="3">
        <v>0</v>
      </c>
      <c r="N33" s="3">
        <v>0</v>
      </c>
      <c r="O33" s="3">
        <f t="shared" si="0"/>
        <v>3</v>
      </c>
      <c r="P33" s="3">
        <v>2</v>
      </c>
      <c r="Q33" s="3">
        <v>3</v>
      </c>
      <c r="R33" s="3">
        <v>2</v>
      </c>
      <c r="S33" s="3">
        <v>3</v>
      </c>
      <c r="T33" s="3">
        <v>0</v>
      </c>
      <c r="U33" s="3">
        <f t="shared" si="1"/>
        <v>10</v>
      </c>
      <c r="V33" s="13">
        <f t="shared" si="2"/>
        <v>0.3</v>
      </c>
      <c r="W33" s="13">
        <f t="shared" si="4"/>
        <v>0.3</v>
      </c>
      <c r="X33" s="3">
        <f t="shared" si="3"/>
        <v>10</v>
      </c>
      <c r="Y33" s="3">
        <f t="shared" si="5"/>
        <v>6.6964285714285715E-4</v>
      </c>
      <c r="Z33" s="3"/>
      <c r="AA33" s="3">
        <f t="shared" si="7"/>
        <v>448</v>
      </c>
      <c r="AB33" s="3">
        <v>45</v>
      </c>
      <c r="AC33" s="3" t="s">
        <v>82</v>
      </c>
      <c r="AD33" s="3" t="s">
        <v>83</v>
      </c>
      <c r="AE33" s="3">
        <v>15</v>
      </c>
      <c r="AF33" s="3" t="s">
        <v>84</v>
      </c>
      <c r="AG33" s="3" t="s">
        <v>314</v>
      </c>
      <c r="AH33" s="3"/>
    </row>
    <row r="34" spans="1:34" ht="14.25" customHeight="1" x14ac:dyDescent="0.25">
      <c r="A34" s="3" t="s">
        <v>94</v>
      </c>
      <c r="B34" s="3" t="s">
        <v>79</v>
      </c>
      <c r="C34" s="3"/>
      <c r="D34" s="3" t="s">
        <v>186</v>
      </c>
      <c r="E34" s="3">
        <v>1</v>
      </c>
      <c r="F34" s="3">
        <v>1</v>
      </c>
      <c r="G34" s="3" t="s">
        <v>14</v>
      </c>
      <c r="H34" s="11">
        <v>45747</v>
      </c>
      <c r="I34" s="12" t="s">
        <v>81</v>
      </c>
      <c r="J34" s="3">
        <v>0</v>
      </c>
      <c r="K34" s="3">
        <f>3.8+7</f>
        <v>10.8</v>
      </c>
      <c r="L34" s="3">
        <v>0</v>
      </c>
      <c r="M34" s="3">
        <v>4.5</v>
      </c>
      <c r="N34" s="3">
        <v>0</v>
      </c>
      <c r="O34" s="3">
        <f t="shared" si="0"/>
        <v>15.3</v>
      </c>
      <c r="P34" s="3">
        <v>2</v>
      </c>
      <c r="Q34" s="3">
        <v>3</v>
      </c>
      <c r="R34" s="3">
        <v>2</v>
      </c>
      <c r="S34" s="3">
        <v>3</v>
      </c>
      <c r="T34" s="3">
        <v>0</v>
      </c>
      <c r="U34" s="3">
        <f t="shared" si="1"/>
        <v>10</v>
      </c>
      <c r="V34" s="13">
        <f t="shared" si="2"/>
        <v>1.53</v>
      </c>
      <c r="W34" s="13">
        <f t="shared" si="4"/>
        <v>1.53</v>
      </c>
      <c r="X34" s="3">
        <f t="shared" si="3"/>
        <v>10</v>
      </c>
      <c r="Y34" s="3">
        <f t="shared" si="5"/>
        <v>3.4151785714285716E-3</v>
      </c>
      <c r="Z34" s="3"/>
      <c r="AA34" s="3">
        <f t="shared" si="7"/>
        <v>448</v>
      </c>
      <c r="AB34" s="3">
        <v>45</v>
      </c>
      <c r="AC34" s="3" t="s">
        <v>82</v>
      </c>
      <c r="AD34" s="3" t="s">
        <v>83</v>
      </c>
      <c r="AE34" s="3">
        <v>15</v>
      </c>
      <c r="AF34" s="3" t="s">
        <v>84</v>
      </c>
      <c r="AG34" s="3" t="s">
        <v>314</v>
      </c>
      <c r="AH34" s="3"/>
    </row>
    <row r="35" spans="1:34" ht="14.25" customHeight="1" x14ac:dyDescent="0.25">
      <c r="A35" s="3" t="s">
        <v>94</v>
      </c>
      <c r="B35" s="3" t="s">
        <v>79</v>
      </c>
      <c r="C35" s="3"/>
      <c r="D35" s="3" t="s">
        <v>186</v>
      </c>
      <c r="E35" s="3">
        <v>1</v>
      </c>
      <c r="F35" s="3">
        <v>1</v>
      </c>
      <c r="G35" s="3" t="s">
        <v>18</v>
      </c>
      <c r="H35" s="11">
        <v>45747</v>
      </c>
      <c r="I35" s="12" t="s">
        <v>81</v>
      </c>
      <c r="J35" s="3">
        <v>6</v>
      </c>
      <c r="K35" s="3">
        <v>3.5</v>
      </c>
      <c r="L35" s="3">
        <v>0</v>
      </c>
      <c r="M35" s="3">
        <v>0</v>
      </c>
      <c r="N35" s="3">
        <v>0</v>
      </c>
      <c r="O35" s="3">
        <f t="shared" si="0"/>
        <v>9.5</v>
      </c>
      <c r="P35" s="3">
        <v>2</v>
      </c>
      <c r="Q35" s="3">
        <v>3</v>
      </c>
      <c r="R35" s="3">
        <v>2</v>
      </c>
      <c r="S35" s="3">
        <v>3</v>
      </c>
      <c r="T35" s="3">
        <v>0</v>
      </c>
      <c r="U35" s="3">
        <f t="shared" si="1"/>
        <v>10</v>
      </c>
      <c r="V35" s="13">
        <f t="shared" si="2"/>
        <v>0.95</v>
      </c>
      <c r="W35" s="13">
        <f t="shared" si="4"/>
        <v>0.95</v>
      </c>
      <c r="X35" s="3">
        <f t="shared" si="3"/>
        <v>10</v>
      </c>
      <c r="Y35" s="3">
        <f t="shared" si="5"/>
        <v>2.1205357142857141E-3</v>
      </c>
      <c r="Z35" s="3"/>
      <c r="AA35" s="3">
        <f t="shared" si="7"/>
        <v>448</v>
      </c>
      <c r="AB35" s="3">
        <v>45</v>
      </c>
      <c r="AC35" s="3" t="s">
        <v>82</v>
      </c>
      <c r="AD35" s="3" t="s">
        <v>83</v>
      </c>
      <c r="AE35" s="3">
        <v>15</v>
      </c>
      <c r="AF35" s="3" t="s">
        <v>84</v>
      </c>
      <c r="AG35" s="3" t="s">
        <v>314</v>
      </c>
      <c r="AH35" s="3"/>
    </row>
    <row r="36" spans="1:34" ht="14.25" customHeight="1" x14ac:dyDescent="0.25">
      <c r="A36" s="3" t="s">
        <v>94</v>
      </c>
      <c r="B36" s="3" t="s">
        <v>79</v>
      </c>
      <c r="C36" s="3"/>
      <c r="D36" s="3" t="s">
        <v>186</v>
      </c>
      <c r="E36" s="3">
        <v>1</v>
      </c>
      <c r="F36" s="3">
        <v>1</v>
      </c>
      <c r="G36" s="3" t="s">
        <v>25</v>
      </c>
      <c r="H36" s="11">
        <v>45747</v>
      </c>
      <c r="I36" s="12" t="s">
        <v>81</v>
      </c>
      <c r="J36" s="3">
        <v>0</v>
      </c>
      <c r="K36" s="3">
        <v>0</v>
      </c>
      <c r="L36" s="3">
        <v>10.3</v>
      </c>
      <c r="M36" s="3">
        <v>0</v>
      </c>
      <c r="N36" s="3">
        <v>0</v>
      </c>
      <c r="O36" s="3">
        <f t="shared" si="0"/>
        <v>10.3</v>
      </c>
      <c r="P36" s="3">
        <v>2</v>
      </c>
      <c r="Q36" s="3">
        <v>3</v>
      </c>
      <c r="R36" s="3">
        <v>2</v>
      </c>
      <c r="S36" s="3">
        <v>3</v>
      </c>
      <c r="T36" s="3">
        <v>0</v>
      </c>
      <c r="U36" s="3">
        <f t="shared" si="1"/>
        <v>10</v>
      </c>
      <c r="V36" s="13">
        <f t="shared" si="2"/>
        <v>1.03</v>
      </c>
      <c r="W36" s="13">
        <f t="shared" si="4"/>
        <v>1.03</v>
      </c>
      <c r="X36" s="3">
        <f t="shared" si="3"/>
        <v>10</v>
      </c>
      <c r="Y36" s="3">
        <f t="shared" si="5"/>
        <v>2.2991071428571431E-3</v>
      </c>
      <c r="Z36" s="3"/>
      <c r="AA36" s="3">
        <f t="shared" si="7"/>
        <v>448</v>
      </c>
      <c r="AB36" s="3">
        <v>45</v>
      </c>
      <c r="AC36" s="3" t="s">
        <v>82</v>
      </c>
      <c r="AD36" s="3" t="s">
        <v>83</v>
      </c>
      <c r="AE36" s="3">
        <v>15</v>
      </c>
      <c r="AF36" s="3" t="s">
        <v>84</v>
      </c>
      <c r="AG36" s="3" t="s">
        <v>314</v>
      </c>
      <c r="AH36" s="3"/>
    </row>
    <row r="37" spans="1:34" ht="14.25" customHeight="1" x14ac:dyDescent="0.25">
      <c r="A37" s="3" t="s">
        <v>94</v>
      </c>
      <c r="B37" s="3" t="s">
        <v>79</v>
      </c>
      <c r="C37" s="3"/>
      <c r="D37" s="3" t="s">
        <v>186</v>
      </c>
      <c r="E37" s="3">
        <v>1</v>
      </c>
      <c r="F37" s="3">
        <v>1</v>
      </c>
      <c r="G37" s="3" t="s">
        <v>22</v>
      </c>
      <c r="H37" s="11">
        <v>45747</v>
      </c>
      <c r="I37" s="12" t="s">
        <v>81</v>
      </c>
      <c r="J37" s="3">
        <v>0</v>
      </c>
      <c r="K37" s="3">
        <v>0</v>
      </c>
      <c r="L37" s="3">
        <v>0</v>
      </c>
      <c r="M37" s="3">
        <v>3.8</v>
      </c>
      <c r="N37" s="3">
        <v>0</v>
      </c>
      <c r="O37" s="3">
        <f t="shared" si="0"/>
        <v>3.8</v>
      </c>
      <c r="P37" s="3">
        <v>2</v>
      </c>
      <c r="Q37" s="3">
        <v>3</v>
      </c>
      <c r="R37" s="3">
        <v>2</v>
      </c>
      <c r="S37" s="3">
        <v>3</v>
      </c>
      <c r="T37" s="3">
        <v>0</v>
      </c>
      <c r="U37" s="3">
        <f t="shared" si="1"/>
        <v>10</v>
      </c>
      <c r="V37" s="13">
        <f t="shared" si="2"/>
        <v>0.38</v>
      </c>
      <c r="W37" s="13">
        <f t="shared" si="4"/>
        <v>0.38</v>
      </c>
      <c r="X37" s="3">
        <f t="shared" si="3"/>
        <v>10</v>
      </c>
      <c r="Y37" s="3">
        <f t="shared" si="5"/>
        <v>8.4821428571428569E-4</v>
      </c>
      <c r="Z37" s="3"/>
      <c r="AA37" s="3">
        <f t="shared" si="7"/>
        <v>448</v>
      </c>
      <c r="AB37" s="3">
        <v>45</v>
      </c>
      <c r="AC37" s="3" t="s">
        <v>82</v>
      </c>
      <c r="AD37" s="3" t="s">
        <v>83</v>
      </c>
      <c r="AE37" s="3">
        <v>15</v>
      </c>
      <c r="AF37" s="3" t="s">
        <v>84</v>
      </c>
      <c r="AG37" s="3" t="s">
        <v>314</v>
      </c>
      <c r="AH37" s="3"/>
    </row>
    <row r="38" spans="1:34" ht="14.25" customHeight="1" x14ac:dyDescent="0.25">
      <c r="A38" s="3" t="s">
        <v>95</v>
      </c>
      <c r="B38" s="3" t="s">
        <v>79</v>
      </c>
      <c r="C38" s="3"/>
      <c r="D38" s="3" t="s">
        <v>80</v>
      </c>
      <c r="E38" s="3">
        <v>2</v>
      </c>
      <c r="F38" s="3">
        <v>1</v>
      </c>
      <c r="G38" s="3" t="s">
        <v>3</v>
      </c>
      <c r="H38" s="11">
        <v>45747</v>
      </c>
      <c r="I38" s="12" t="s">
        <v>81</v>
      </c>
      <c r="J38" s="3">
        <v>17</v>
      </c>
      <c r="K38" s="3">
        <f>12+11+6</f>
        <v>29</v>
      </c>
      <c r="L38" s="3">
        <f>14</f>
        <v>14</v>
      </c>
      <c r="M38" s="3">
        <v>17</v>
      </c>
      <c r="N38" s="3">
        <v>0</v>
      </c>
      <c r="O38" s="3">
        <f t="shared" si="0"/>
        <v>77</v>
      </c>
      <c r="P38" s="3">
        <v>1</v>
      </c>
      <c r="Q38" s="3">
        <v>3</v>
      </c>
      <c r="R38" s="3">
        <v>2</v>
      </c>
      <c r="S38" s="3">
        <v>1</v>
      </c>
      <c r="T38" s="3">
        <v>0</v>
      </c>
      <c r="U38" s="3">
        <f t="shared" si="1"/>
        <v>7</v>
      </c>
      <c r="V38" s="13">
        <f t="shared" si="2"/>
        <v>11</v>
      </c>
      <c r="W38" s="13">
        <f t="shared" si="4"/>
        <v>11</v>
      </c>
      <c r="X38" s="3">
        <f t="shared" si="3"/>
        <v>7</v>
      </c>
      <c r="Y38" s="3">
        <f t="shared" si="5"/>
        <v>1.5277777777777777E-2</v>
      </c>
      <c r="Z38" s="3"/>
      <c r="AA38" s="3">
        <f t="shared" ref="AA38:AA40" si="8">50*3.2*1+10*2.8*20</f>
        <v>720</v>
      </c>
      <c r="AB38" s="3"/>
      <c r="AC38" s="3" t="s">
        <v>82</v>
      </c>
      <c r="AD38" s="3" t="s">
        <v>83</v>
      </c>
      <c r="AE38" s="3">
        <v>15</v>
      </c>
      <c r="AF38" s="3" t="s">
        <v>84</v>
      </c>
      <c r="AG38" s="3" t="s">
        <v>284</v>
      </c>
      <c r="AH38" s="3"/>
    </row>
    <row r="39" spans="1:34" ht="14.25" customHeight="1" x14ac:dyDescent="0.25">
      <c r="A39" s="3" t="s">
        <v>95</v>
      </c>
      <c r="B39" s="3" t="s">
        <v>79</v>
      </c>
      <c r="C39" s="3"/>
      <c r="D39" s="3" t="s">
        <v>80</v>
      </c>
      <c r="E39" s="3">
        <v>2</v>
      </c>
      <c r="F39" s="3">
        <v>1</v>
      </c>
      <c r="G39" s="3" t="s">
        <v>2</v>
      </c>
      <c r="H39" s="11">
        <v>45747</v>
      </c>
      <c r="I39" s="12" t="s">
        <v>81</v>
      </c>
      <c r="J39" s="3">
        <v>0</v>
      </c>
      <c r="K39" s="3">
        <v>0</v>
      </c>
      <c r="L39" s="3">
        <v>5</v>
      </c>
      <c r="M39" s="3">
        <v>0</v>
      </c>
      <c r="N39" s="3">
        <v>0</v>
      </c>
      <c r="O39" s="3">
        <f t="shared" si="0"/>
        <v>5</v>
      </c>
      <c r="P39" s="3">
        <v>1</v>
      </c>
      <c r="Q39" s="3">
        <v>3</v>
      </c>
      <c r="R39" s="3">
        <v>2</v>
      </c>
      <c r="S39" s="3">
        <v>1</v>
      </c>
      <c r="T39" s="3">
        <v>0</v>
      </c>
      <c r="U39" s="3">
        <f t="shared" si="1"/>
        <v>7</v>
      </c>
      <c r="V39" s="13">
        <f t="shared" si="2"/>
        <v>0.7142857142857143</v>
      </c>
      <c r="W39" s="13">
        <f t="shared" si="4"/>
        <v>0.7142857142857143</v>
      </c>
      <c r="X39" s="3">
        <f t="shared" si="3"/>
        <v>7</v>
      </c>
      <c r="Y39" s="3">
        <f t="shared" si="5"/>
        <v>9.9206349206349201E-4</v>
      </c>
      <c r="Z39" s="3"/>
      <c r="AA39" s="3">
        <f t="shared" si="8"/>
        <v>720</v>
      </c>
      <c r="AB39" s="3"/>
      <c r="AC39" s="3" t="s">
        <v>82</v>
      </c>
      <c r="AD39" s="3" t="s">
        <v>83</v>
      </c>
      <c r="AE39" s="3">
        <v>15</v>
      </c>
      <c r="AF39" s="3" t="s">
        <v>84</v>
      </c>
      <c r="AG39" s="3" t="s">
        <v>284</v>
      </c>
      <c r="AH39" s="3"/>
    </row>
    <row r="40" spans="1:34" ht="14.25" customHeight="1" x14ac:dyDescent="0.25">
      <c r="A40" s="3" t="s">
        <v>95</v>
      </c>
      <c r="B40" s="3" t="s">
        <v>79</v>
      </c>
      <c r="C40" s="3"/>
      <c r="D40" s="3" t="s">
        <v>80</v>
      </c>
      <c r="E40" s="3">
        <v>2</v>
      </c>
      <c r="F40" s="3">
        <v>1</v>
      </c>
      <c r="G40" s="3" t="s">
        <v>16</v>
      </c>
      <c r="H40" s="11">
        <v>45747</v>
      </c>
      <c r="I40" s="12" t="s">
        <v>81</v>
      </c>
      <c r="J40" s="3">
        <v>3.8</v>
      </c>
      <c r="K40" s="3">
        <v>0</v>
      </c>
      <c r="L40" s="3">
        <v>0</v>
      </c>
      <c r="M40" s="3">
        <v>0</v>
      </c>
      <c r="N40" s="3">
        <v>0</v>
      </c>
      <c r="O40" s="3">
        <f t="shared" si="0"/>
        <v>3.8</v>
      </c>
      <c r="P40" s="3">
        <v>1</v>
      </c>
      <c r="Q40" s="3">
        <v>3</v>
      </c>
      <c r="R40" s="3">
        <v>2</v>
      </c>
      <c r="S40" s="3">
        <v>1</v>
      </c>
      <c r="T40" s="3">
        <v>0</v>
      </c>
      <c r="U40" s="3">
        <f t="shared" si="1"/>
        <v>7</v>
      </c>
      <c r="V40" s="13">
        <f t="shared" si="2"/>
        <v>0.54285714285714282</v>
      </c>
      <c r="W40" s="13">
        <f t="shared" si="4"/>
        <v>0.54285714285714282</v>
      </c>
      <c r="X40" s="3">
        <f t="shared" si="3"/>
        <v>7</v>
      </c>
      <c r="Y40" s="3">
        <f t="shared" si="5"/>
        <v>7.5396825396825391E-4</v>
      </c>
      <c r="Z40" s="3"/>
      <c r="AA40" s="3">
        <f t="shared" si="8"/>
        <v>720</v>
      </c>
      <c r="AB40" s="3"/>
      <c r="AC40" s="3" t="s">
        <v>82</v>
      </c>
      <c r="AD40" s="3" t="s">
        <v>83</v>
      </c>
      <c r="AE40" s="3">
        <v>15</v>
      </c>
      <c r="AF40" s="3" t="s">
        <v>84</v>
      </c>
      <c r="AG40" s="3" t="s">
        <v>284</v>
      </c>
      <c r="AH40" s="3"/>
    </row>
    <row r="41" spans="1:34" ht="14.25" customHeight="1" x14ac:dyDescent="0.25">
      <c r="A41" s="3" t="s">
        <v>96</v>
      </c>
      <c r="B41" s="3" t="s">
        <v>79</v>
      </c>
      <c r="C41" s="3"/>
      <c r="D41" s="3" t="s">
        <v>80</v>
      </c>
      <c r="E41" s="3">
        <v>1</v>
      </c>
      <c r="F41" s="3">
        <v>1</v>
      </c>
      <c r="G41" s="3" t="s">
        <v>16</v>
      </c>
      <c r="H41" s="11">
        <v>45747</v>
      </c>
      <c r="I41" s="12" t="s">
        <v>81</v>
      </c>
      <c r="J41" s="3">
        <v>8</v>
      </c>
      <c r="K41" s="3">
        <v>0</v>
      </c>
      <c r="L41" s="3">
        <v>0</v>
      </c>
      <c r="M41" s="3">
        <v>0</v>
      </c>
      <c r="N41" s="3">
        <v>0</v>
      </c>
      <c r="O41" s="3">
        <f t="shared" si="0"/>
        <v>8</v>
      </c>
      <c r="P41" s="3">
        <v>7</v>
      </c>
      <c r="Q41" s="3">
        <v>5</v>
      </c>
      <c r="R41" s="3">
        <v>3</v>
      </c>
      <c r="S41" s="3">
        <v>2</v>
      </c>
      <c r="T41" s="3">
        <v>0</v>
      </c>
      <c r="U41" s="3">
        <f t="shared" si="1"/>
        <v>17</v>
      </c>
      <c r="V41" s="13">
        <f t="shared" si="2"/>
        <v>0.47058823529411764</v>
      </c>
      <c r="W41" s="13">
        <f t="shared" si="4"/>
        <v>0.47058823529411764</v>
      </c>
      <c r="X41" s="3">
        <f t="shared" si="3"/>
        <v>17</v>
      </c>
      <c r="Y41" s="3" t="e">
        <f t="shared" si="5"/>
        <v>#DIV/0!</v>
      </c>
      <c r="Z41" s="3"/>
      <c r="AA41" s="3"/>
      <c r="AB41" s="3"/>
      <c r="AC41" s="3" t="s">
        <v>82</v>
      </c>
      <c r="AD41" s="3" t="s">
        <v>83</v>
      </c>
      <c r="AE41" s="3">
        <v>40</v>
      </c>
      <c r="AF41" s="3" t="s">
        <v>84</v>
      </c>
      <c r="AG41" s="3" t="s">
        <v>348</v>
      </c>
      <c r="AH41" s="3"/>
    </row>
    <row r="42" spans="1:34" ht="14.25" customHeight="1" x14ac:dyDescent="0.25">
      <c r="A42" s="3" t="s">
        <v>96</v>
      </c>
      <c r="B42" s="3" t="s">
        <v>79</v>
      </c>
      <c r="C42" s="3"/>
      <c r="D42" s="3" t="s">
        <v>80</v>
      </c>
      <c r="E42" s="3">
        <v>1</v>
      </c>
      <c r="F42" s="3">
        <v>1</v>
      </c>
      <c r="G42" s="3" t="s">
        <v>18</v>
      </c>
      <c r="H42" s="11">
        <v>45747</v>
      </c>
      <c r="I42" s="12" t="s">
        <v>81</v>
      </c>
      <c r="J42" s="3">
        <f>10.5+5+9+18+20+22+25</f>
        <v>109.5</v>
      </c>
      <c r="K42" s="3">
        <f>13+7.5+8.2+5</f>
        <v>33.700000000000003</v>
      </c>
      <c r="L42" s="3">
        <f>16+11.3+13</f>
        <v>40.299999999999997</v>
      </c>
      <c r="M42" s="3">
        <f>6.7+11</f>
        <v>17.7</v>
      </c>
      <c r="N42" s="3">
        <v>0</v>
      </c>
      <c r="O42" s="3">
        <f t="shared" si="0"/>
        <v>201.2</v>
      </c>
      <c r="P42" s="3">
        <v>7</v>
      </c>
      <c r="Q42" s="3">
        <v>5</v>
      </c>
      <c r="R42" s="3">
        <v>3</v>
      </c>
      <c r="S42" s="3">
        <v>2</v>
      </c>
      <c r="T42" s="3">
        <v>0</v>
      </c>
      <c r="U42" s="3">
        <f t="shared" si="1"/>
        <v>17</v>
      </c>
      <c r="V42" s="13">
        <f t="shared" si="2"/>
        <v>11.835294117647058</v>
      </c>
      <c r="W42" s="13">
        <f t="shared" si="4"/>
        <v>11.835294117647058</v>
      </c>
      <c r="X42" s="3">
        <f t="shared" si="3"/>
        <v>17</v>
      </c>
      <c r="Y42" s="3" t="e">
        <f t="shared" si="5"/>
        <v>#DIV/0!</v>
      </c>
      <c r="Z42" s="3"/>
      <c r="AA42" s="3"/>
      <c r="AB42" s="3"/>
      <c r="AC42" s="3" t="s">
        <v>82</v>
      </c>
      <c r="AD42" s="3" t="s">
        <v>83</v>
      </c>
      <c r="AE42" s="3">
        <v>40</v>
      </c>
      <c r="AF42" s="3" t="s">
        <v>84</v>
      </c>
      <c r="AG42" s="3" t="s">
        <v>348</v>
      </c>
      <c r="AH42" s="3"/>
    </row>
    <row r="43" spans="1:34" ht="14.25" customHeight="1" x14ac:dyDescent="0.25">
      <c r="A43" s="3" t="s">
        <v>96</v>
      </c>
      <c r="B43" s="3" t="s">
        <v>79</v>
      </c>
      <c r="C43" s="3"/>
      <c r="D43" s="3" t="s">
        <v>80</v>
      </c>
      <c r="E43" s="3">
        <v>1</v>
      </c>
      <c r="F43" s="3">
        <v>1</v>
      </c>
      <c r="G43" s="3" t="s">
        <v>22</v>
      </c>
      <c r="H43" s="11">
        <v>45747</v>
      </c>
      <c r="I43" s="12" t="s">
        <v>81</v>
      </c>
      <c r="J43" s="3">
        <f>9+7+15.5+3.5</f>
        <v>35</v>
      </c>
      <c r="K43" s="3">
        <v>3.5</v>
      </c>
      <c r="L43" s="3">
        <v>0</v>
      </c>
      <c r="M43" s="3">
        <v>0</v>
      </c>
      <c r="N43" s="3">
        <v>0</v>
      </c>
      <c r="O43" s="3">
        <f t="shared" si="0"/>
        <v>38.5</v>
      </c>
      <c r="P43" s="3">
        <v>7</v>
      </c>
      <c r="Q43" s="3">
        <v>5</v>
      </c>
      <c r="R43" s="3">
        <v>3</v>
      </c>
      <c r="S43" s="3">
        <v>2</v>
      </c>
      <c r="T43" s="3">
        <v>0</v>
      </c>
      <c r="U43" s="3">
        <f t="shared" si="1"/>
        <v>17</v>
      </c>
      <c r="V43" s="13">
        <f t="shared" si="2"/>
        <v>2.2647058823529411</v>
      </c>
      <c r="W43" s="13">
        <f t="shared" si="4"/>
        <v>2.2647058823529411</v>
      </c>
      <c r="X43" s="3">
        <f t="shared" si="3"/>
        <v>17</v>
      </c>
      <c r="Y43" s="3" t="e">
        <f t="shared" si="5"/>
        <v>#DIV/0!</v>
      </c>
      <c r="Z43" s="3"/>
      <c r="AA43" s="3"/>
      <c r="AB43" s="3"/>
      <c r="AC43" s="3" t="s">
        <v>82</v>
      </c>
      <c r="AD43" s="3" t="s">
        <v>83</v>
      </c>
      <c r="AE43" s="3">
        <v>40</v>
      </c>
      <c r="AF43" s="3" t="s">
        <v>84</v>
      </c>
      <c r="AG43" s="3" t="s">
        <v>348</v>
      </c>
      <c r="AH43" s="3"/>
    </row>
    <row r="44" spans="1:34" ht="14.25" customHeight="1" x14ac:dyDescent="0.25">
      <c r="A44" s="3" t="s">
        <v>97</v>
      </c>
      <c r="B44" s="3" t="s">
        <v>79</v>
      </c>
      <c r="C44" s="3"/>
      <c r="D44" s="3" t="s">
        <v>98</v>
      </c>
      <c r="E44" s="3">
        <v>1</v>
      </c>
      <c r="F44" s="3">
        <v>1</v>
      </c>
      <c r="G44" s="3" t="s">
        <v>16</v>
      </c>
      <c r="H44" s="11">
        <v>45747</v>
      </c>
      <c r="I44" s="12" t="s">
        <v>81</v>
      </c>
      <c r="J44" s="3">
        <v>6</v>
      </c>
      <c r="K44" s="3">
        <v>12</v>
      </c>
      <c r="L44" s="3">
        <v>5.8</v>
      </c>
      <c r="M44" s="3">
        <v>0</v>
      </c>
      <c r="N44" s="3">
        <v>3.1</v>
      </c>
      <c r="O44" s="3">
        <f t="shared" si="0"/>
        <v>26.900000000000002</v>
      </c>
      <c r="P44" s="3">
        <v>1</v>
      </c>
      <c r="Q44" s="3">
        <v>3</v>
      </c>
      <c r="R44" s="3">
        <v>1</v>
      </c>
      <c r="S44" s="3">
        <v>2</v>
      </c>
      <c r="T44" s="3">
        <v>1</v>
      </c>
      <c r="U44" s="3">
        <f t="shared" si="1"/>
        <v>8</v>
      </c>
      <c r="V44" s="13">
        <f t="shared" si="2"/>
        <v>3.3625000000000003</v>
      </c>
      <c r="W44" s="13">
        <f t="shared" si="4"/>
        <v>3.3625000000000003</v>
      </c>
      <c r="X44" s="3">
        <f t="shared" si="3"/>
        <v>8</v>
      </c>
      <c r="Y44" s="3" t="e">
        <f t="shared" si="5"/>
        <v>#DIV/0!</v>
      </c>
      <c r="Z44" s="3"/>
      <c r="AA44" s="3"/>
      <c r="AB44" s="3"/>
      <c r="AC44" s="3" t="s">
        <v>82</v>
      </c>
      <c r="AD44" s="3"/>
      <c r="AE44" s="3">
        <v>15</v>
      </c>
      <c r="AF44" s="3" t="s">
        <v>84</v>
      </c>
      <c r="AG44" s="3" t="s">
        <v>173</v>
      </c>
      <c r="AH44" s="3"/>
    </row>
    <row r="45" spans="1:34" ht="14.25" customHeight="1" x14ac:dyDescent="0.25">
      <c r="A45" s="3" t="s">
        <v>97</v>
      </c>
      <c r="B45" s="3" t="s">
        <v>79</v>
      </c>
      <c r="C45" s="3"/>
      <c r="D45" s="3" t="s">
        <v>98</v>
      </c>
      <c r="E45" s="3">
        <v>1</v>
      </c>
      <c r="F45" s="3">
        <v>1</v>
      </c>
      <c r="G45" s="3" t="s">
        <v>18</v>
      </c>
      <c r="H45" s="11">
        <v>45747</v>
      </c>
      <c r="I45" s="12" t="s">
        <v>81</v>
      </c>
      <c r="J45" s="3">
        <f>8</f>
        <v>8</v>
      </c>
      <c r="K45" s="3">
        <f>14+3.5</f>
        <v>17.5</v>
      </c>
      <c r="L45" s="3">
        <v>0</v>
      </c>
      <c r="M45" s="3">
        <f>9+5</f>
        <v>14</v>
      </c>
      <c r="N45" s="3">
        <v>14.3</v>
      </c>
      <c r="O45" s="3">
        <f t="shared" si="0"/>
        <v>53.8</v>
      </c>
      <c r="P45" s="3">
        <v>1</v>
      </c>
      <c r="Q45" s="3">
        <v>3</v>
      </c>
      <c r="R45" s="3">
        <v>1</v>
      </c>
      <c r="S45" s="3">
        <v>2</v>
      </c>
      <c r="T45" s="3">
        <v>1</v>
      </c>
      <c r="U45" s="3">
        <f t="shared" si="1"/>
        <v>8</v>
      </c>
      <c r="V45" s="13">
        <f t="shared" si="2"/>
        <v>6.7249999999999996</v>
      </c>
      <c r="W45" s="13">
        <f t="shared" si="4"/>
        <v>6.7249999999999996</v>
      </c>
      <c r="X45" s="3">
        <f t="shared" si="3"/>
        <v>8</v>
      </c>
      <c r="Y45" s="3" t="e">
        <f t="shared" si="5"/>
        <v>#DIV/0!</v>
      </c>
      <c r="Z45" s="3"/>
      <c r="AA45" s="3"/>
      <c r="AB45" s="3"/>
      <c r="AC45" s="3" t="s">
        <v>82</v>
      </c>
      <c r="AD45" s="3"/>
      <c r="AE45" s="3">
        <v>15</v>
      </c>
      <c r="AF45" s="3" t="s">
        <v>84</v>
      </c>
      <c r="AG45" s="3" t="s">
        <v>173</v>
      </c>
      <c r="AH45" s="3"/>
    </row>
    <row r="46" spans="1:34" ht="14.25" customHeight="1" x14ac:dyDescent="0.25">
      <c r="A46" s="3" t="s">
        <v>97</v>
      </c>
      <c r="B46" s="3" t="s">
        <v>79</v>
      </c>
      <c r="C46" s="3"/>
      <c r="D46" s="3" t="s">
        <v>98</v>
      </c>
      <c r="E46" s="3">
        <v>1</v>
      </c>
      <c r="F46" s="3">
        <v>1</v>
      </c>
      <c r="G46" s="3" t="s">
        <v>14</v>
      </c>
      <c r="H46" s="11">
        <v>45747</v>
      </c>
      <c r="I46" s="12" t="s">
        <v>81</v>
      </c>
      <c r="J46" s="3">
        <v>0</v>
      </c>
      <c r="K46" s="3">
        <v>0</v>
      </c>
      <c r="L46" s="3">
        <v>0</v>
      </c>
      <c r="M46" s="3">
        <f>1+2</f>
        <v>3</v>
      </c>
      <c r="N46" s="3">
        <v>0</v>
      </c>
      <c r="O46" s="3">
        <f t="shared" si="0"/>
        <v>3</v>
      </c>
      <c r="P46" s="3">
        <v>1</v>
      </c>
      <c r="Q46" s="3">
        <v>3</v>
      </c>
      <c r="R46" s="3">
        <v>1</v>
      </c>
      <c r="S46" s="3">
        <v>2</v>
      </c>
      <c r="T46" s="3">
        <v>1</v>
      </c>
      <c r="U46" s="3">
        <f t="shared" si="1"/>
        <v>8</v>
      </c>
      <c r="V46" s="13">
        <f t="shared" si="2"/>
        <v>0.375</v>
      </c>
      <c r="W46" s="13">
        <f t="shared" si="4"/>
        <v>0.375</v>
      </c>
      <c r="X46" s="3">
        <f t="shared" si="3"/>
        <v>8</v>
      </c>
      <c r="Y46" s="3" t="e">
        <f t="shared" si="5"/>
        <v>#DIV/0!</v>
      </c>
      <c r="Z46" s="3"/>
      <c r="AA46" s="3"/>
      <c r="AB46" s="3"/>
      <c r="AC46" s="3" t="s">
        <v>82</v>
      </c>
      <c r="AD46" s="3"/>
      <c r="AE46" s="3">
        <v>15</v>
      </c>
      <c r="AF46" s="3" t="s">
        <v>84</v>
      </c>
      <c r="AG46" s="3" t="s">
        <v>173</v>
      </c>
      <c r="AH46" s="3"/>
    </row>
    <row r="47" spans="1:34" ht="14.25" customHeight="1" x14ac:dyDescent="0.25">
      <c r="A47" s="3" t="s">
        <v>99</v>
      </c>
      <c r="B47" s="3" t="s">
        <v>79</v>
      </c>
      <c r="C47" s="3"/>
      <c r="D47" s="3" t="s">
        <v>80</v>
      </c>
      <c r="E47" s="3">
        <v>2</v>
      </c>
      <c r="F47" s="3">
        <v>1</v>
      </c>
      <c r="G47" s="3" t="s">
        <v>1</v>
      </c>
      <c r="H47" s="11">
        <v>45747</v>
      </c>
      <c r="I47" s="12" t="s">
        <v>81</v>
      </c>
      <c r="J47" s="3">
        <v>15</v>
      </c>
      <c r="K47" s="3">
        <v>10</v>
      </c>
      <c r="L47" s="3">
        <v>0</v>
      </c>
      <c r="M47" s="3">
        <v>0</v>
      </c>
      <c r="N47" s="3">
        <v>0</v>
      </c>
      <c r="O47" s="3">
        <f t="shared" si="0"/>
        <v>25</v>
      </c>
      <c r="P47" s="3">
        <v>1</v>
      </c>
      <c r="Q47" s="3">
        <v>1</v>
      </c>
      <c r="R47" s="3">
        <v>2</v>
      </c>
      <c r="S47" s="3">
        <v>1</v>
      </c>
      <c r="T47" s="3">
        <v>0</v>
      </c>
      <c r="U47" s="3">
        <f t="shared" si="1"/>
        <v>5</v>
      </c>
      <c r="V47" s="13">
        <f t="shared" si="2"/>
        <v>5</v>
      </c>
      <c r="W47" s="13">
        <f t="shared" si="4"/>
        <v>5</v>
      </c>
      <c r="X47" s="3">
        <f t="shared" si="3"/>
        <v>5</v>
      </c>
      <c r="Y47" s="3" t="e">
        <f t="shared" si="5"/>
        <v>#DIV/0!</v>
      </c>
      <c r="Z47" s="3"/>
      <c r="AA47" s="3"/>
      <c r="AB47" s="3"/>
      <c r="AC47" s="3" t="s">
        <v>82</v>
      </c>
      <c r="AD47" s="3" t="s">
        <v>83</v>
      </c>
      <c r="AE47" s="3">
        <v>40</v>
      </c>
      <c r="AF47" s="3" t="s">
        <v>84</v>
      </c>
      <c r="AG47" s="3" t="s">
        <v>173</v>
      </c>
      <c r="AH47" s="3"/>
    </row>
    <row r="48" spans="1:34" ht="14.25" customHeight="1" x14ac:dyDescent="0.25">
      <c r="A48" s="3" t="s">
        <v>99</v>
      </c>
      <c r="B48" s="3" t="s">
        <v>79</v>
      </c>
      <c r="C48" s="3"/>
      <c r="D48" s="3" t="s">
        <v>80</v>
      </c>
      <c r="E48" s="3">
        <v>2</v>
      </c>
      <c r="F48" s="3">
        <v>1</v>
      </c>
      <c r="G48" s="3" t="s">
        <v>2</v>
      </c>
      <c r="H48" s="11">
        <v>45747</v>
      </c>
      <c r="I48" s="12" t="s">
        <v>81</v>
      </c>
      <c r="J48" s="3">
        <v>0</v>
      </c>
      <c r="K48" s="3">
        <v>0</v>
      </c>
      <c r="L48" s="3">
        <v>12</v>
      </c>
      <c r="M48" s="3">
        <v>0</v>
      </c>
      <c r="N48" s="3">
        <v>0</v>
      </c>
      <c r="O48" s="3">
        <f t="shared" si="0"/>
        <v>12</v>
      </c>
      <c r="P48" s="3">
        <v>1</v>
      </c>
      <c r="Q48" s="3">
        <v>1</v>
      </c>
      <c r="R48" s="3">
        <v>2</v>
      </c>
      <c r="S48" s="3">
        <v>1</v>
      </c>
      <c r="T48" s="3">
        <v>0</v>
      </c>
      <c r="U48" s="3">
        <f t="shared" si="1"/>
        <v>5</v>
      </c>
      <c r="V48" s="13">
        <f t="shared" si="2"/>
        <v>2.4</v>
      </c>
      <c r="W48" s="13">
        <f t="shared" si="4"/>
        <v>2.4</v>
      </c>
      <c r="X48" s="3">
        <f t="shared" si="3"/>
        <v>5</v>
      </c>
      <c r="Y48" s="3" t="e">
        <f t="shared" si="5"/>
        <v>#DIV/0!</v>
      </c>
      <c r="Z48" s="3"/>
      <c r="AA48" s="3"/>
      <c r="AB48" s="3"/>
      <c r="AC48" s="3" t="s">
        <v>82</v>
      </c>
      <c r="AD48" s="3" t="s">
        <v>83</v>
      </c>
      <c r="AE48" s="3">
        <v>40</v>
      </c>
      <c r="AF48" s="3" t="s">
        <v>84</v>
      </c>
      <c r="AG48" s="3" t="s">
        <v>173</v>
      </c>
      <c r="AH48" s="3"/>
    </row>
    <row r="49" spans="1:34" ht="14.25" customHeight="1" x14ac:dyDescent="0.25">
      <c r="A49" s="3" t="s">
        <v>99</v>
      </c>
      <c r="B49" s="3" t="s">
        <v>79</v>
      </c>
      <c r="C49" s="3"/>
      <c r="D49" s="3" t="s">
        <v>80</v>
      </c>
      <c r="E49" s="3">
        <v>2</v>
      </c>
      <c r="F49" s="3">
        <v>1</v>
      </c>
      <c r="G49" s="3" t="s">
        <v>19</v>
      </c>
      <c r="H49" s="11">
        <v>45747</v>
      </c>
      <c r="I49" s="12" t="s">
        <v>81</v>
      </c>
      <c r="J49" s="3">
        <v>0</v>
      </c>
      <c r="K49" s="3">
        <v>0</v>
      </c>
      <c r="L49" s="3">
        <v>0</v>
      </c>
      <c r="M49" s="3">
        <v>7</v>
      </c>
      <c r="N49" s="3">
        <v>0</v>
      </c>
      <c r="O49" s="3">
        <f t="shared" si="0"/>
        <v>7</v>
      </c>
      <c r="P49" s="3">
        <v>1</v>
      </c>
      <c r="Q49" s="3">
        <v>1</v>
      </c>
      <c r="R49" s="3">
        <v>2</v>
      </c>
      <c r="S49" s="3">
        <v>1</v>
      </c>
      <c r="T49" s="3">
        <v>0</v>
      </c>
      <c r="U49" s="3">
        <f t="shared" si="1"/>
        <v>5</v>
      </c>
      <c r="V49" s="13">
        <f t="shared" si="2"/>
        <v>1.4</v>
      </c>
      <c r="W49" s="13">
        <f t="shared" si="4"/>
        <v>1.4</v>
      </c>
      <c r="X49" s="3">
        <f t="shared" si="3"/>
        <v>5</v>
      </c>
      <c r="Y49" s="3" t="e">
        <f t="shared" si="5"/>
        <v>#DIV/0!</v>
      </c>
      <c r="Z49" s="3"/>
      <c r="AA49" s="3"/>
      <c r="AB49" s="3"/>
      <c r="AC49" s="3" t="s">
        <v>82</v>
      </c>
      <c r="AD49" s="3" t="s">
        <v>83</v>
      </c>
      <c r="AE49" s="3">
        <v>40</v>
      </c>
      <c r="AF49" s="3" t="s">
        <v>84</v>
      </c>
      <c r="AG49" s="3" t="s">
        <v>173</v>
      </c>
      <c r="AH49" s="3"/>
    </row>
    <row r="50" spans="1:34" ht="14.25" customHeight="1" x14ac:dyDescent="0.25">
      <c r="A50" s="3" t="s">
        <v>99</v>
      </c>
      <c r="B50" s="3" t="s">
        <v>79</v>
      </c>
      <c r="C50" s="3"/>
      <c r="D50" s="3" t="s">
        <v>80</v>
      </c>
      <c r="E50" s="3">
        <v>2</v>
      </c>
      <c r="F50" s="3">
        <v>1</v>
      </c>
      <c r="G50" s="3" t="s">
        <v>18</v>
      </c>
      <c r="H50" s="11">
        <v>45747</v>
      </c>
      <c r="I50" s="12" t="s">
        <v>81</v>
      </c>
      <c r="J50" s="3">
        <v>7</v>
      </c>
      <c r="K50" s="3">
        <v>0</v>
      </c>
      <c r="L50" s="3">
        <v>0</v>
      </c>
      <c r="M50" s="3">
        <v>0</v>
      </c>
      <c r="N50" s="3">
        <v>0</v>
      </c>
      <c r="O50" s="3">
        <f t="shared" si="0"/>
        <v>7</v>
      </c>
      <c r="P50" s="3">
        <v>1</v>
      </c>
      <c r="Q50" s="3">
        <v>1</v>
      </c>
      <c r="R50" s="3">
        <v>2</v>
      </c>
      <c r="S50" s="3">
        <v>1</v>
      </c>
      <c r="T50" s="3">
        <v>0</v>
      </c>
      <c r="U50" s="3">
        <f t="shared" si="1"/>
        <v>5</v>
      </c>
      <c r="V50" s="13">
        <f t="shared" si="2"/>
        <v>1.4</v>
      </c>
      <c r="W50" s="13">
        <f t="shared" si="4"/>
        <v>1.4</v>
      </c>
      <c r="X50" s="3">
        <f t="shared" si="3"/>
        <v>5</v>
      </c>
      <c r="Y50" s="3" t="e">
        <f t="shared" si="5"/>
        <v>#DIV/0!</v>
      </c>
      <c r="Z50" s="3"/>
      <c r="AA50" s="3"/>
      <c r="AB50" s="3"/>
      <c r="AC50" s="3" t="s">
        <v>82</v>
      </c>
      <c r="AD50" s="3" t="s">
        <v>83</v>
      </c>
      <c r="AE50" s="3">
        <v>40</v>
      </c>
      <c r="AF50" s="3" t="s">
        <v>84</v>
      </c>
      <c r="AG50" s="3" t="s">
        <v>173</v>
      </c>
      <c r="AH50" s="3"/>
    </row>
    <row r="51" spans="1:34" ht="14.25" customHeight="1" x14ac:dyDescent="0.25">
      <c r="A51" s="3" t="s">
        <v>99</v>
      </c>
      <c r="B51" s="3" t="s">
        <v>79</v>
      </c>
      <c r="C51" s="3"/>
      <c r="D51" s="3" t="s">
        <v>80</v>
      </c>
      <c r="E51" s="3">
        <v>2</v>
      </c>
      <c r="F51" s="3">
        <v>1</v>
      </c>
      <c r="G51" s="3" t="s">
        <v>25</v>
      </c>
      <c r="H51" s="11">
        <v>45747</v>
      </c>
      <c r="I51" s="12" t="s">
        <v>81</v>
      </c>
      <c r="J51" s="3">
        <v>0</v>
      </c>
      <c r="K51" s="3">
        <v>0</v>
      </c>
      <c r="L51" s="3">
        <v>20</v>
      </c>
      <c r="M51" s="3">
        <v>0</v>
      </c>
      <c r="N51" s="3">
        <v>0</v>
      </c>
      <c r="O51" s="3">
        <f t="shared" si="0"/>
        <v>20</v>
      </c>
      <c r="P51" s="3">
        <v>1</v>
      </c>
      <c r="Q51" s="3">
        <v>1</v>
      </c>
      <c r="R51" s="3">
        <v>2</v>
      </c>
      <c r="S51" s="3">
        <v>1</v>
      </c>
      <c r="T51" s="3">
        <v>0</v>
      </c>
      <c r="U51" s="3">
        <f t="shared" si="1"/>
        <v>5</v>
      </c>
      <c r="V51" s="13">
        <f t="shared" si="2"/>
        <v>4</v>
      </c>
      <c r="W51" s="13">
        <f t="shared" si="4"/>
        <v>4</v>
      </c>
      <c r="X51" s="3">
        <f t="shared" si="3"/>
        <v>5</v>
      </c>
      <c r="Y51" s="3" t="e">
        <f t="shared" si="5"/>
        <v>#DIV/0!</v>
      </c>
      <c r="Z51" s="3"/>
      <c r="AA51" s="3"/>
      <c r="AB51" s="3"/>
      <c r="AC51" s="3" t="s">
        <v>82</v>
      </c>
      <c r="AD51" s="3" t="s">
        <v>83</v>
      </c>
      <c r="AE51" s="3">
        <v>40</v>
      </c>
      <c r="AF51" s="3" t="s">
        <v>84</v>
      </c>
      <c r="AG51" s="3" t="s">
        <v>173</v>
      </c>
      <c r="AH51" s="3"/>
    </row>
    <row r="52" spans="1:34" ht="14.25" customHeight="1" x14ac:dyDescent="0.25">
      <c r="A52" s="3" t="s">
        <v>100</v>
      </c>
      <c r="B52" s="3" t="s">
        <v>79</v>
      </c>
      <c r="C52" s="3"/>
      <c r="D52" s="3" t="s">
        <v>101</v>
      </c>
      <c r="E52" s="3">
        <v>2</v>
      </c>
      <c r="F52" s="3">
        <v>1</v>
      </c>
      <c r="G52" s="3" t="s">
        <v>1</v>
      </c>
      <c r="H52" s="11">
        <v>45747</v>
      </c>
      <c r="I52" s="12" t="s">
        <v>81</v>
      </c>
      <c r="J52" s="3">
        <f>30+10+20+15+40+25</f>
        <v>140</v>
      </c>
      <c r="K52" s="3">
        <f>10+60+5</f>
        <v>75</v>
      </c>
      <c r="L52" s="3">
        <f>30+15+12</f>
        <v>57</v>
      </c>
      <c r="M52" s="3">
        <v>0</v>
      </c>
      <c r="N52" s="3">
        <v>8</v>
      </c>
      <c r="O52" s="3">
        <f t="shared" si="0"/>
        <v>280</v>
      </c>
      <c r="P52" s="3">
        <v>7</v>
      </c>
      <c r="Q52" s="3">
        <v>6</v>
      </c>
      <c r="R52" s="3">
        <v>6</v>
      </c>
      <c r="S52" s="3">
        <v>6</v>
      </c>
      <c r="T52" s="3">
        <v>3</v>
      </c>
      <c r="U52" s="3">
        <f t="shared" si="1"/>
        <v>28</v>
      </c>
      <c r="V52" s="13">
        <f t="shared" si="2"/>
        <v>10</v>
      </c>
      <c r="W52" s="13">
        <f t="shared" si="4"/>
        <v>10</v>
      </c>
      <c r="X52" s="3">
        <f t="shared" si="3"/>
        <v>28</v>
      </c>
      <c r="Y52" s="3">
        <f t="shared" si="5"/>
        <v>1.2903225806451613E-2</v>
      </c>
      <c r="Z52" s="3"/>
      <c r="AA52" s="3">
        <f t="shared" ref="AA52:AA67" si="9">50*3*4+50*3.5*1</f>
        <v>775</v>
      </c>
      <c r="AB52" s="3"/>
      <c r="AC52" s="3" t="s">
        <v>82</v>
      </c>
      <c r="AD52" s="3" t="s">
        <v>83</v>
      </c>
      <c r="AE52" s="3"/>
      <c r="AF52" s="3" t="s">
        <v>102</v>
      </c>
      <c r="AG52" s="3" t="s">
        <v>285</v>
      </c>
      <c r="AH52" s="3"/>
    </row>
    <row r="53" spans="1:34" ht="14.25" customHeight="1" x14ac:dyDescent="0.25">
      <c r="A53" s="3" t="s">
        <v>100</v>
      </c>
      <c r="B53" s="3" t="s">
        <v>79</v>
      </c>
      <c r="C53" s="3"/>
      <c r="D53" s="3" t="s">
        <v>101</v>
      </c>
      <c r="E53" s="3">
        <v>2</v>
      </c>
      <c r="F53" s="3">
        <v>1</v>
      </c>
      <c r="G53" s="3" t="s">
        <v>3</v>
      </c>
      <c r="H53" s="11">
        <v>45747</v>
      </c>
      <c r="I53" s="12" t="s">
        <v>81</v>
      </c>
      <c r="J53" s="3">
        <f>200+350+100+400+600+150</f>
        <v>1800</v>
      </c>
      <c r="K53" s="3">
        <f>150+20</f>
        <v>170</v>
      </c>
      <c r="L53" s="3">
        <f>40+50</f>
        <v>90</v>
      </c>
      <c r="M53" s="3">
        <v>0</v>
      </c>
      <c r="N53" s="3">
        <v>29</v>
      </c>
      <c r="O53" s="3">
        <f t="shared" si="0"/>
        <v>2089</v>
      </c>
      <c r="P53" s="3">
        <v>7</v>
      </c>
      <c r="Q53" s="3">
        <v>6</v>
      </c>
      <c r="R53" s="3">
        <v>6</v>
      </c>
      <c r="S53" s="3">
        <v>6</v>
      </c>
      <c r="T53" s="3">
        <v>3</v>
      </c>
      <c r="U53" s="3">
        <f t="shared" si="1"/>
        <v>28</v>
      </c>
      <c r="V53" s="13">
        <f t="shared" si="2"/>
        <v>74.607142857142861</v>
      </c>
      <c r="W53" s="13">
        <f t="shared" si="4"/>
        <v>74.607142857142861</v>
      </c>
      <c r="X53" s="3">
        <f t="shared" si="3"/>
        <v>28</v>
      </c>
      <c r="Y53" s="3">
        <f t="shared" si="5"/>
        <v>9.6267281105990782E-2</v>
      </c>
      <c r="Z53" s="3"/>
      <c r="AA53" s="3">
        <f t="shared" si="9"/>
        <v>775</v>
      </c>
      <c r="AB53" s="3"/>
      <c r="AC53" s="3" t="s">
        <v>82</v>
      </c>
      <c r="AD53" s="3" t="s">
        <v>83</v>
      </c>
      <c r="AE53" s="3"/>
      <c r="AF53" s="3" t="s">
        <v>102</v>
      </c>
      <c r="AG53" s="3" t="s">
        <v>285</v>
      </c>
      <c r="AH53" s="3"/>
    </row>
    <row r="54" spans="1:34" ht="14.25" customHeight="1" x14ac:dyDescent="0.25">
      <c r="A54" s="3" t="s">
        <v>100</v>
      </c>
      <c r="B54" s="3" t="s">
        <v>79</v>
      </c>
      <c r="C54" s="3"/>
      <c r="D54" s="3" t="s">
        <v>101</v>
      </c>
      <c r="E54" s="3">
        <v>2</v>
      </c>
      <c r="F54" s="3">
        <v>1</v>
      </c>
      <c r="G54" s="3" t="s">
        <v>5</v>
      </c>
      <c r="H54" s="11">
        <v>45747</v>
      </c>
      <c r="I54" s="12" t="s">
        <v>81</v>
      </c>
      <c r="J54" s="3">
        <v>0</v>
      </c>
      <c r="K54" s="3">
        <v>50</v>
      </c>
      <c r="L54" s="3">
        <v>8</v>
      </c>
      <c r="M54" s="3">
        <v>16</v>
      </c>
      <c r="N54" s="3">
        <v>0</v>
      </c>
      <c r="O54" s="3">
        <f t="shared" si="0"/>
        <v>74</v>
      </c>
      <c r="P54" s="3">
        <v>7</v>
      </c>
      <c r="Q54" s="3">
        <v>6</v>
      </c>
      <c r="R54" s="3">
        <v>6</v>
      </c>
      <c r="S54" s="3">
        <v>6</v>
      </c>
      <c r="T54" s="3">
        <v>3</v>
      </c>
      <c r="U54" s="3">
        <f t="shared" si="1"/>
        <v>28</v>
      </c>
      <c r="V54" s="13">
        <f t="shared" si="2"/>
        <v>2.6428571428571428</v>
      </c>
      <c r="W54" s="13">
        <f t="shared" si="4"/>
        <v>2.6428571428571428</v>
      </c>
      <c r="X54" s="3">
        <f t="shared" si="3"/>
        <v>28</v>
      </c>
      <c r="Y54" s="3">
        <f t="shared" si="5"/>
        <v>3.4101382488479263E-3</v>
      </c>
      <c r="Z54" s="3"/>
      <c r="AA54" s="3">
        <f t="shared" si="9"/>
        <v>775</v>
      </c>
      <c r="AB54" s="3"/>
      <c r="AC54" s="3" t="s">
        <v>82</v>
      </c>
      <c r="AD54" s="3" t="s">
        <v>83</v>
      </c>
      <c r="AE54" s="3"/>
      <c r="AF54" s="3" t="s">
        <v>102</v>
      </c>
      <c r="AG54" s="3" t="s">
        <v>285</v>
      </c>
      <c r="AH54" s="3"/>
    </row>
    <row r="55" spans="1:34" ht="14.25" customHeight="1" x14ac:dyDescent="0.25">
      <c r="A55" s="3" t="s">
        <v>100</v>
      </c>
      <c r="B55" s="3" t="s">
        <v>79</v>
      </c>
      <c r="C55" s="3"/>
      <c r="D55" s="3" t="s">
        <v>101</v>
      </c>
      <c r="E55" s="3">
        <v>2</v>
      </c>
      <c r="F55" s="3">
        <v>1</v>
      </c>
      <c r="G55" s="3" t="s">
        <v>7</v>
      </c>
      <c r="H55" s="11">
        <v>45747</v>
      </c>
      <c r="I55" s="12" t="s">
        <v>81</v>
      </c>
      <c r="J55" s="3">
        <v>0</v>
      </c>
      <c r="K55" s="3">
        <v>0</v>
      </c>
      <c r="L55" s="3">
        <v>0</v>
      </c>
      <c r="M55" s="3">
        <v>0</v>
      </c>
      <c r="N55" s="3">
        <v>30</v>
      </c>
      <c r="O55" s="3">
        <f t="shared" si="0"/>
        <v>30</v>
      </c>
      <c r="P55" s="3">
        <v>7</v>
      </c>
      <c r="Q55" s="3">
        <v>6</v>
      </c>
      <c r="R55" s="3">
        <v>6</v>
      </c>
      <c r="S55" s="3">
        <v>6</v>
      </c>
      <c r="T55" s="3">
        <v>3</v>
      </c>
      <c r="U55" s="3">
        <f t="shared" si="1"/>
        <v>28</v>
      </c>
      <c r="V55" s="13">
        <f t="shared" si="2"/>
        <v>1.0714285714285714</v>
      </c>
      <c r="W55" s="13">
        <f t="shared" si="4"/>
        <v>1.0714285714285714</v>
      </c>
      <c r="X55" s="3">
        <f t="shared" si="3"/>
        <v>28</v>
      </c>
      <c r="Y55" s="3">
        <f t="shared" si="5"/>
        <v>1.3824884792626728E-3</v>
      </c>
      <c r="Z55" s="3"/>
      <c r="AA55" s="3">
        <f t="shared" si="9"/>
        <v>775</v>
      </c>
      <c r="AB55" s="3"/>
      <c r="AC55" s="3" t="s">
        <v>82</v>
      </c>
      <c r="AD55" s="3" t="s">
        <v>83</v>
      </c>
      <c r="AE55" s="3"/>
      <c r="AF55" s="3" t="s">
        <v>102</v>
      </c>
      <c r="AG55" s="3" t="s">
        <v>285</v>
      </c>
      <c r="AH55" s="3"/>
    </row>
    <row r="56" spans="1:34" ht="14.25" customHeight="1" x14ac:dyDescent="0.25">
      <c r="A56" s="3" t="s">
        <v>100</v>
      </c>
      <c r="B56" s="3" t="s">
        <v>79</v>
      </c>
      <c r="C56" s="3"/>
      <c r="D56" s="3" t="s">
        <v>101</v>
      </c>
      <c r="E56" s="3">
        <v>2</v>
      </c>
      <c r="F56" s="3">
        <v>1</v>
      </c>
      <c r="G56" s="3" t="s">
        <v>2</v>
      </c>
      <c r="H56" s="11">
        <v>45747</v>
      </c>
      <c r="I56" s="12" t="s">
        <v>81</v>
      </c>
      <c r="J56" s="3">
        <v>20</v>
      </c>
      <c r="K56" s="3">
        <v>40</v>
      </c>
      <c r="L56" s="3">
        <f>10+8</f>
        <v>18</v>
      </c>
      <c r="M56" s="3">
        <v>0</v>
      </c>
      <c r="N56" s="3">
        <v>28</v>
      </c>
      <c r="O56" s="3">
        <f t="shared" si="0"/>
        <v>106</v>
      </c>
      <c r="P56" s="3">
        <v>7</v>
      </c>
      <c r="Q56" s="3">
        <v>6</v>
      </c>
      <c r="R56" s="3">
        <v>6</v>
      </c>
      <c r="S56" s="3">
        <v>6</v>
      </c>
      <c r="T56" s="3">
        <v>3</v>
      </c>
      <c r="U56" s="3">
        <f t="shared" si="1"/>
        <v>28</v>
      </c>
      <c r="V56" s="13">
        <f t="shared" si="2"/>
        <v>3.7857142857142856</v>
      </c>
      <c r="W56" s="13">
        <f t="shared" si="4"/>
        <v>3.7857142857142856</v>
      </c>
      <c r="X56" s="3">
        <f t="shared" si="3"/>
        <v>28</v>
      </c>
      <c r="Y56" s="3">
        <f t="shared" si="5"/>
        <v>4.8847926267281102E-3</v>
      </c>
      <c r="Z56" s="3"/>
      <c r="AA56" s="3">
        <f t="shared" si="9"/>
        <v>775</v>
      </c>
      <c r="AB56" s="3"/>
      <c r="AC56" s="3" t="s">
        <v>82</v>
      </c>
      <c r="AD56" s="3" t="s">
        <v>83</v>
      </c>
      <c r="AE56" s="3"/>
      <c r="AF56" s="3" t="s">
        <v>102</v>
      </c>
      <c r="AG56" s="3" t="s">
        <v>285</v>
      </c>
      <c r="AH56" s="3"/>
    </row>
    <row r="57" spans="1:34" ht="14.25" customHeight="1" x14ac:dyDescent="0.25">
      <c r="A57" s="3" t="s">
        <v>100</v>
      </c>
      <c r="B57" s="3" t="s">
        <v>79</v>
      </c>
      <c r="C57" s="3"/>
      <c r="D57" s="3" t="s">
        <v>101</v>
      </c>
      <c r="E57" s="3">
        <v>2</v>
      </c>
      <c r="F57" s="3">
        <v>1</v>
      </c>
      <c r="G57" s="3" t="s">
        <v>10</v>
      </c>
      <c r="H57" s="11">
        <v>45747</v>
      </c>
      <c r="I57" s="12" t="s">
        <v>81</v>
      </c>
      <c r="J57" s="3">
        <v>0</v>
      </c>
      <c r="K57" s="3">
        <v>10</v>
      </c>
      <c r="L57" s="3">
        <v>5</v>
      </c>
      <c r="M57" s="3">
        <v>0</v>
      </c>
      <c r="N57" s="3">
        <v>0</v>
      </c>
      <c r="O57" s="3">
        <f t="shared" si="0"/>
        <v>15</v>
      </c>
      <c r="P57" s="3">
        <v>7</v>
      </c>
      <c r="Q57" s="3">
        <v>6</v>
      </c>
      <c r="R57" s="3">
        <v>6</v>
      </c>
      <c r="S57" s="3">
        <v>6</v>
      </c>
      <c r="T57" s="3">
        <v>3</v>
      </c>
      <c r="U57" s="3">
        <f t="shared" si="1"/>
        <v>28</v>
      </c>
      <c r="V57" s="13">
        <f t="shared" si="2"/>
        <v>0.5357142857142857</v>
      </c>
      <c r="W57" s="13">
        <f t="shared" si="4"/>
        <v>0.5357142857142857</v>
      </c>
      <c r="X57" s="3">
        <f t="shared" si="3"/>
        <v>28</v>
      </c>
      <c r="Y57" s="3">
        <f t="shared" si="5"/>
        <v>6.912442396313364E-4</v>
      </c>
      <c r="Z57" s="3"/>
      <c r="AA57" s="3">
        <f t="shared" si="9"/>
        <v>775</v>
      </c>
      <c r="AB57" s="3"/>
      <c r="AC57" s="3" t="s">
        <v>82</v>
      </c>
      <c r="AD57" s="3" t="s">
        <v>83</v>
      </c>
      <c r="AE57" s="3"/>
      <c r="AF57" s="3" t="s">
        <v>102</v>
      </c>
      <c r="AG57" s="3" t="s">
        <v>285</v>
      </c>
      <c r="AH57" s="3"/>
    </row>
    <row r="58" spans="1:34" ht="14.25" customHeight="1" x14ac:dyDescent="0.25">
      <c r="A58" s="3" t="s">
        <v>100</v>
      </c>
      <c r="B58" s="3" t="s">
        <v>79</v>
      </c>
      <c r="C58" s="3"/>
      <c r="D58" s="3" t="s">
        <v>101</v>
      </c>
      <c r="E58" s="3">
        <v>2</v>
      </c>
      <c r="F58" s="3">
        <v>1</v>
      </c>
      <c r="G58" s="3" t="s">
        <v>9</v>
      </c>
      <c r="H58" s="11">
        <v>45747</v>
      </c>
      <c r="I58" s="12" t="s">
        <v>81</v>
      </c>
      <c r="J58" s="3">
        <v>100</v>
      </c>
      <c r="K58" s="3">
        <v>60</v>
      </c>
      <c r="L58" s="3">
        <f>10+28</f>
        <v>38</v>
      </c>
      <c r="M58" s="3">
        <v>0</v>
      </c>
      <c r="N58" s="3">
        <v>8</v>
      </c>
      <c r="O58" s="3">
        <f t="shared" si="0"/>
        <v>206</v>
      </c>
      <c r="P58" s="3">
        <v>7</v>
      </c>
      <c r="Q58" s="3">
        <v>6</v>
      </c>
      <c r="R58" s="3">
        <v>6</v>
      </c>
      <c r="S58" s="3">
        <v>6</v>
      </c>
      <c r="T58" s="3">
        <v>3</v>
      </c>
      <c r="U58" s="3">
        <f t="shared" si="1"/>
        <v>28</v>
      </c>
      <c r="V58" s="13">
        <f t="shared" si="2"/>
        <v>7.3571428571428568</v>
      </c>
      <c r="W58" s="13">
        <f t="shared" si="4"/>
        <v>7.3571428571428568</v>
      </c>
      <c r="X58" s="3">
        <f t="shared" si="3"/>
        <v>28</v>
      </c>
      <c r="Y58" s="3">
        <f t="shared" si="5"/>
        <v>9.4930875576036862E-3</v>
      </c>
      <c r="Z58" s="3"/>
      <c r="AA58" s="3">
        <f t="shared" si="9"/>
        <v>775</v>
      </c>
      <c r="AB58" s="3"/>
      <c r="AC58" s="3" t="s">
        <v>82</v>
      </c>
      <c r="AD58" s="3" t="s">
        <v>83</v>
      </c>
      <c r="AE58" s="3"/>
      <c r="AF58" s="3" t="s">
        <v>102</v>
      </c>
      <c r="AG58" s="3" t="s">
        <v>285</v>
      </c>
      <c r="AH58" s="3"/>
    </row>
    <row r="59" spans="1:34" ht="14.25" customHeight="1" x14ac:dyDescent="0.25">
      <c r="A59" s="3" t="s">
        <v>100</v>
      </c>
      <c r="B59" s="3" t="s">
        <v>79</v>
      </c>
      <c r="C59" s="3"/>
      <c r="D59" s="3" t="s">
        <v>101</v>
      </c>
      <c r="E59" s="3">
        <v>2</v>
      </c>
      <c r="F59" s="3">
        <v>1</v>
      </c>
      <c r="G59" s="3" t="s">
        <v>12</v>
      </c>
      <c r="H59" s="11">
        <v>45747</v>
      </c>
      <c r="I59" s="12" t="s">
        <v>81</v>
      </c>
      <c r="J59" s="3">
        <v>5</v>
      </c>
      <c r="K59" s="3">
        <v>2</v>
      </c>
      <c r="L59" s="3">
        <v>10</v>
      </c>
      <c r="M59" s="3">
        <v>12</v>
      </c>
      <c r="N59" s="3">
        <v>0</v>
      </c>
      <c r="O59" s="3">
        <f t="shared" si="0"/>
        <v>29</v>
      </c>
      <c r="P59" s="3">
        <v>7</v>
      </c>
      <c r="Q59" s="3">
        <v>6</v>
      </c>
      <c r="R59" s="3">
        <v>6</v>
      </c>
      <c r="S59" s="3">
        <v>6</v>
      </c>
      <c r="T59" s="3">
        <v>3</v>
      </c>
      <c r="U59" s="3">
        <f t="shared" si="1"/>
        <v>28</v>
      </c>
      <c r="V59" s="13">
        <f t="shared" si="2"/>
        <v>1.0357142857142858</v>
      </c>
      <c r="W59" s="13">
        <f t="shared" si="4"/>
        <v>1.0357142857142858</v>
      </c>
      <c r="X59" s="3">
        <f t="shared" si="3"/>
        <v>28</v>
      </c>
      <c r="Y59" s="3">
        <f t="shared" si="5"/>
        <v>1.3364055299539173E-3</v>
      </c>
      <c r="Z59" s="3"/>
      <c r="AA59" s="3">
        <f t="shared" si="9"/>
        <v>775</v>
      </c>
      <c r="AB59" s="3"/>
      <c r="AC59" s="3" t="s">
        <v>82</v>
      </c>
      <c r="AD59" s="3" t="s">
        <v>83</v>
      </c>
      <c r="AE59" s="3"/>
      <c r="AF59" s="3" t="s">
        <v>102</v>
      </c>
      <c r="AG59" s="3" t="s">
        <v>285</v>
      </c>
      <c r="AH59" s="3"/>
    </row>
    <row r="60" spans="1:34" ht="14.25" customHeight="1" x14ac:dyDescent="0.25">
      <c r="A60" s="3" t="s">
        <v>100</v>
      </c>
      <c r="B60" s="3" t="s">
        <v>79</v>
      </c>
      <c r="C60" s="3"/>
      <c r="D60" s="3" t="s">
        <v>101</v>
      </c>
      <c r="E60" s="3">
        <v>2</v>
      </c>
      <c r="F60" s="3">
        <v>1</v>
      </c>
      <c r="G60" s="3" t="s">
        <v>14</v>
      </c>
      <c r="H60" s="11">
        <v>45747</v>
      </c>
      <c r="I60" s="12" t="s">
        <v>81</v>
      </c>
      <c r="J60" s="3">
        <f>15+20</f>
        <v>35</v>
      </c>
      <c r="K60" s="3">
        <f>10+12</f>
        <v>22</v>
      </c>
      <c r="L60" s="3">
        <f>5+8+5</f>
        <v>18</v>
      </c>
      <c r="M60" s="3">
        <f>8</f>
        <v>8</v>
      </c>
      <c r="N60" s="3">
        <v>10</v>
      </c>
      <c r="O60" s="3">
        <f t="shared" si="0"/>
        <v>93</v>
      </c>
      <c r="P60" s="3">
        <v>7</v>
      </c>
      <c r="Q60" s="3">
        <v>6</v>
      </c>
      <c r="R60" s="3">
        <v>6</v>
      </c>
      <c r="S60" s="3">
        <v>6</v>
      </c>
      <c r="T60" s="3">
        <v>3</v>
      </c>
      <c r="U60" s="3">
        <f t="shared" si="1"/>
        <v>28</v>
      </c>
      <c r="V60" s="13">
        <f t="shared" si="2"/>
        <v>3.3214285714285716</v>
      </c>
      <c r="W60" s="13">
        <f t="shared" si="4"/>
        <v>3.3214285714285716</v>
      </c>
      <c r="X60" s="3">
        <f t="shared" si="3"/>
        <v>28</v>
      </c>
      <c r="Y60" s="3">
        <f t="shared" si="5"/>
        <v>4.2857142857142859E-3</v>
      </c>
      <c r="Z60" s="3"/>
      <c r="AA60" s="3">
        <f t="shared" si="9"/>
        <v>775</v>
      </c>
      <c r="AB60" s="3"/>
      <c r="AC60" s="3" t="s">
        <v>82</v>
      </c>
      <c r="AD60" s="3" t="s">
        <v>83</v>
      </c>
      <c r="AE60" s="3"/>
      <c r="AF60" s="3" t="s">
        <v>102</v>
      </c>
      <c r="AG60" s="3" t="s">
        <v>285</v>
      </c>
      <c r="AH60" s="3"/>
    </row>
    <row r="61" spans="1:34" ht="14.25" customHeight="1" x14ac:dyDescent="0.25">
      <c r="A61" s="3" t="s">
        <v>100</v>
      </c>
      <c r="B61" s="3" t="s">
        <v>79</v>
      </c>
      <c r="C61" s="3"/>
      <c r="D61" s="3" t="s">
        <v>101</v>
      </c>
      <c r="E61" s="3">
        <v>2</v>
      </c>
      <c r="F61" s="3">
        <v>1</v>
      </c>
      <c r="G61" s="3" t="s">
        <v>16</v>
      </c>
      <c r="H61" s="11">
        <v>45747</v>
      </c>
      <c r="I61" s="12" t="s">
        <v>81</v>
      </c>
      <c r="J61" s="3">
        <v>30</v>
      </c>
      <c r="K61" s="3">
        <v>10</v>
      </c>
      <c r="L61" s="3">
        <f>15+12+14</f>
        <v>41</v>
      </c>
      <c r="M61" s="3">
        <v>10</v>
      </c>
      <c r="N61" s="3">
        <v>8</v>
      </c>
      <c r="O61" s="3">
        <f t="shared" si="0"/>
        <v>99</v>
      </c>
      <c r="P61" s="3">
        <v>7</v>
      </c>
      <c r="Q61" s="3">
        <v>6</v>
      </c>
      <c r="R61" s="3">
        <v>6</v>
      </c>
      <c r="S61" s="3">
        <v>6</v>
      </c>
      <c r="T61" s="3">
        <v>3</v>
      </c>
      <c r="U61" s="3">
        <f t="shared" si="1"/>
        <v>28</v>
      </c>
      <c r="V61" s="13">
        <f t="shared" si="2"/>
        <v>3.5357142857142856</v>
      </c>
      <c r="W61" s="13">
        <f t="shared" si="4"/>
        <v>3.5357142857142856</v>
      </c>
      <c r="X61" s="3">
        <f t="shared" si="3"/>
        <v>28</v>
      </c>
      <c r="Y61" s="3">
        <f t="shared" si="5"/>
        <v>4.5622119815668201E-3</v>
      </c>
      <c r="Z61" s="3"/>
      <c r="AA61" s="3">
        <f t="shared" si="9"/>
        <v>775</v>
      </c>
      <c r="AB61" s="3"/>
      <c r="AC61" s="3" t="s">
        <v>82</v>
      </c>
      <c r="AD61" s="3" t="s">
        <v>83</v>
      </c>
      <c r="AE61" s="3"/>
      <c r="AF61" s="3" t="s">
        <v>102</v>
      </c>
      <c r="AG61" s="3" t="s">
        <v>285</v>
      </c>
      <c r="AH61" s="3"/>
    </row>
    <row r="62" spans="1:34" ht="14.25" customHeight="1" x14ac:dyDescent="0.25">
      <c r="A62" s="3" t="s">
        <v>100</v>
      </c>
      <c r="B62" s="3" t="s">
        <v>79</v>
      </c>
      <c r="C62" s="3"/>
      <c r="D62" s="3" t="s">
        <v>101</v>
      </c>
      <c r="E62" s="3">
        <v>2</v>
      </c>
      <c r="F62" s="3">
        <v>1</v>
      </c>
      <c r="G62" s="3" t="s">
        <v>18</v>
      </c>
      <c r="H62" s="11">
        <v>45747</v>
      </c>
      <c r="I62" s="12" t="s">
        <v>81</v>
      </c>
      <c r="J62" s="3">
        <f>15+20</f>
        <v>35</v>
      </c>
      <c r="K62" s="3">
        <v>10</v>
      </c>
      <c r="L62" s="3">
        <f>8+12+21</f>
        <v>41</v>
      </c>
      <c r="M62" s="3">
        <f>18+41</f>
        <v>59</v>
      </c>
      <c r="N62" s="3">
        <v>0</v>
      </c>
      <c r="O62" s="3">
        <f t="shared" si="0"/>
        <v>145</v>
      </c>
      <c r="P62" s="3">
        <v>7</v>
      </c>
      <c r="Q62" s="3">
        <v>6</v>
      </c>
      <c r="R62" s="3">
        <v>6</v>
      </c>
      <c r="S62" s="3">
        <v>6</v>
      </c>
      <c r="T62" s="3">
        <v>3</v>
      </c>
      <c r="U62" s="3">
        <f t="shared" si="1"/>
        <v>28</v>
      </c>
      <c r="V62" s="13">
        <f t="shared" si="2"/>
        <v>5.1785714285714288</v>
      </c>
      <c r="W62" s="13">
        <f t="shared" si="4"/>
        <v>5.1785714285714288</v>
      </c>
      <c r="X62" s="3">
        <f t="shared" si="3"/>
        <v>28</v>
      </c>
      <c r="Y62" s="3">
        <f t="shared" si="5"/>
        <v>6.6820276497695855E-3</v>
      </c>
      <c r="Z62" s="3"/>
      <c r="AA62" s="3">
        <f t="shared" si="9"/>
        <v>775</v>
      </c>
      <c r="AB62" s="3"/>
      <c r="AC62" s="3" t="s">
        <v>82</v>
      </c>
      <c r="AD62" s="3" t="s">
        <v>83</v>
      </c>
      <c r="AE62" s="3"/>
      <c r="AF62" s="3" t="s">
        <v>102</v>
      </c>
      <c r="AG62" s="3" t="s">
        <v>285</v>
      </c>
      <c r="AH62" s="3"/>
    </row>
    <row r="63" spans="1:34" ht="14.25" customHeight="1" x14ac:dyDescent="0.25">
      <c r="A63" s="3" t="s">
        <v>100</v>
      </c>
      <c r="B63" s="3" t="s">
        <v>79</v>
      </c>
      <c r="C63" s="3"/>
      <c r="D63" s="3" t="s">
        <v>101</v>
      </c>
      <c r="E63" s="3">
        <v>2</v>
      </c>
      <c r="F63" s="3">
        <v>1</v>
      </c>
      <c r="G63" s="3" t="s">
        <v>19</v>
      </c>
      <c r="H63" s="11">
        <v>45747</v>
      </c>
      <c r="I63" s="12" t="s">
        <v>81</v>
      </c>
      <c r="J63" s="3">
        <v>0</v>
      </c>
      <c r="K63" s="3">
        <v>18</v>
      </c>
      <c r="L63" s="3">
        <v>12</v>
      </c>
      <c r="M63" s="3">
        <v>12</v>
      </c>
      <c r="N63" s="3">
        <v>0</v>
      </c>
      <c r="O63" s="3">
        <f t="shared" si="0"/>
        <v>42</v>
      </c>
      <c r="P63" s="3">
        <v>7</v>
      </c>
      <c r="Q63" s="3">
        <v>6</v>
      </c>
      <c r="R63" s="3">
        <v>6</v>
      </c>
      <c r="S63" s="3">
        <v>6</v>
      </c>
      <c r="T63" s="3">
        <v>3</v>
      </c>
      <c r="U63" s="3">
        <f t="shared" si="1"/>
        <v>28</v>
      </c>
      <c r="V63" s="13">
        <f t="shared" si="2"/>
        <v>1.5</v>
      </c>
      <c r="W63" s="13">
        <f t="shared" si="4"/>
        <v>1.5</v>
      </c>
      <c r="X63" s="3">
        <f t="shared" si="3"/>
        <v>28</v>
      </c>
      <c r="Y63" s="3">
        <f t="shared" si="5"/>
        <v>1.9354838709677419E-3</v>
      </c>
      <c r="Z63" s="3"/>
      <c r="AA63" s="3">
        <f t="shared" si="9"/>
        <v>775</v>
      </c>
      <c r="AB63" s="3"/>
      <c r="AC63" s="3" t="s">
        <v>82</v>
      </c>
      <c r="AD63" s="3" t="s">
        <v>83</v>
      </c>
      <c r="AE63" s="3"/>
      <c r="AF63" s="3" t="s">
        <v>102</v>
      </c>
      <c r="AG63" s="3" t="s">
        <v>285</v>
      </c>
      <c r="AH63" s="3"/>
    </row>
    <row r="64" spans="1:34" ht="14.25" customHeight="1" x14ac:dyDescent="0.25">
      <c r="A64" s="3" t="s">
        <v>100</v>
      </c>
      <c r="B64" s="3" t="s">
        <v>79</v>
      </c>
      <c r="C64" s="3"/>
      <c r="D64" s="3" t="s">
        <v>101</v>
      </c>
      <c r="E64" s="3">
        <v>2</v>
      </c>
      <c r="F64" s="3">
        <v>1</v>
      </c>
      <c r="G64" s="3" t="s">
        <v>24</v>
      </c>
      <c r="H64" s="11">
        <v>45747</v>
      </c>
      <c r="I64" s="12" t="s">
        <v>81</v>
      </c>
      <c r="J64" s="3">
        <f>40+20</f>
        <v>60</v>
      </c>
      <c r="K64" s="3">
        <v>4</v>
      </c>
      <c r="L64" s="3">
        <f>10+12</f>
        <v>22</v>
      </c>
      <c r="M64" s="3">
        <v>16</v>
      </c>
      <c r="N64" s="3">
        <v>8</v>
      </c>
      <c r="O64" s="3">
        <f t="shared" si="0"/>
        <v>110</v>
      </c>
      <c r="P64" s="3">
        <v>7</v>
      </c>
      <c r="Q64" s="3">
        <v>6</v>
      </c>
      <c r="R64" s="3">
        <v>6</v>
      </c>
      <c r="S64" s="3">
        <v>6</v>
      </c>
      <c r="T64" s="3">
        <v>3</v>
      </c>
      <c r="U64" s="3">
        <f t="shared" si="1"/>
        <v>28</v>
      </c>
      <c r="V64" s="13">
        <f t="shared" si="2"/>
        <v>3.9285714285714284</v>
      </c>
      <c r="W64" s="13">
        <f t="shared" si="4"/>
        <v>3.9285714285714284</v>
      </c>
      <c r="X64" s="3">
        <f t="shared" si="3"/>
        <v>28</v>
      </c>
      <c r="Y64" s="3">
        <f t="shared" si="5"/>
        <v>5.0691244239631332E-3</v>
      </c>
      <c r="Z64" s="3"/>
      <c r="AA64" s="3">
        <f t="shared" si="9"/>
        <v>775</v>
      </c>
      <c r="AB64" s="3"/>
      <c r="AC64" s="3" t="s">
        <v>82</v>
      </c>
      <c r="AD64" s="3" t="s">
        <v>83</v>
      </c>
      <c r="AE64" s="3"/>
      <c r="AF64" s="3" t="s">
        <v>102</v>
      </c>
      <c r="AG64" s="3" t="s">
        <v>285</v>
      </c>
      <c r="AH64" s="3"/>
    </row>
    <row r="65" spans="1:34" ht="14.25" customHeight="1" x14ac:dyDescent="0.25">
      <c r="A65" s="3" t="s">
        <v>100</v>
      </c>
      <c r="B65" s="3" t="s">
        <v>79</v>
      </c>
      <c r="C65" s="3"/>
      <c r="D65" s="3" t="s">
        <v>101</v>
      </c>
      <c r="E65" s="3">
        <v>2</v>
      </c>
      <c r="F65" s="3">
        <v>1</v>
      </c>
      <c r="G65" s="3" t="s">
        <v>25</v>
      </c>
      <c r="H65" s="11">
        <v>45747</v>
      </c>
      <c r="I65" s="12" t="s">
        <v>81</v>
      </c>
      <c r="J65" s="3">
        <f>22+30</f>
        <v>52</v>
      </c>
      <c r="K65" s="3">
        <f>40+25+15+16</f>
        <v>96</v>
      </c>
      <c r="L65" s="3">
        <f>8.5+16</f>
        <v>24.5</v>
      </c>
      <c r="M65" s="3">
        <v>12</v>
      </c>
      <c r="N65" s="3">
        <v>6</v>
      </c>
      <c r="O65" s="3">
        <f t="shared" si="0"/>
        <v>190.5</v>
      </c>
      <c r="P65" s="3">
        <v>7</v>
      </c>
      <c r="Q65" s="3">
        <v>6</v>
      </c>
      <c r="R65" s="3">
        <v>6</v>
      </c>
      <c r="S65" s="3">
        <v>6</v>
      </c>
      <c r="T65" s="3">
        <v>3</v>
      </c>
      <c r="U65" s="3">
        <f t="shared" si="1"/>
        <v>28</v>
      </c>
      <c r="V65" s="13">
        <f t="shared" si="2"/>
        <v>6.8035714285714288</v>
      </c>
      <c r="W65" s="13">
        <f t="shared" si="4"/>
        <v>6.8035714285714288</v>
      </c>
      <c r="X65" s="3">
        <f t="shared" si="3"/>
        <v>28</v>
      </c>
      <c r="Y65" s="3">
        <f t="shared" si="5"/>
        <v>8.778801843317972E-3</v>
      </c>
      <c r="Z65" s="3"/>
      <c r="AA65" s="3">
        <f t="shared" si="9"/>
        <v>775</v>
      </c>
      <c r="AB65" s="3"/>
      <c r="AC65" s="3" t="s">
        <v>82</v>
      </c>
      <c r="AD65" s="3" t="s">
        <v>83</v>
      </c>
      <c r="AE65" s="3"/>
      <c r="AF65" s="3" t="s">
        <v>102</v>
      </c>
      <c r="AG65" s="3" t="s">
        <v>285</v>
      </c>
      <c r="AH65" s="3"/>
    </row>
    <row r="66" spans="1:34" ht="14.25" customHeight="1" x14ac:dyDescent="0.25">
      <c r="A66" s="3" t="s">
        <v>100</v>
      </c>
      <c r="B66" s="3" t="s">
        <v>79</v>
      </c>
      <c r="C66" s="3"/>
      <c r="D66" s="3" t="s">
        <v>101</v>
      </c>
      <c r="E66" s="3">
        <v>2</v>
      </c>
      <c r="F66" s="3">
        <v>1</v>
      </c>
      <c r="G66" s="3" t="s">
        <v>22</v>
      </c>
      <c r="H66" s="11">
        <v>45747</v>
      </c>
      <c r="I66" s="12" t="s">
        <v>81</v>
      </c>
      <c r="J66" s="3">
        <f>15+10+5+4</f>
        <v>34</v>
      </c>
      <c r="K66" s="3">
        <f>35+13</f>
        <v>48</v>
      </c>
      <c r="L66" s="3">
        <v>15</v>
      </c>
      <c r="M66" s="3">
        <v>0</v>
      </c>
      <c r="N66" s="3">
        <v>19</v>
      </c>
      <c r="O66" s="3">
        <f t="shared" si="0"/>
        <v>116</v>
      </c>
      <c r="P66" s="3">
        <v>7</v>
      </c>
      <c r="Q66" s="3">
        <v>6</v>
      </c>
      <c r="R66" s="3">
        <v>6</v>
      </c>
      <c r="S66" s="3">
        <v>6</v>
      </c>
      <c r="T66" s="3">
        <v>3</v>
      </c>
      <c r="U66" s="3">
        <f t="shared" si="1"/>
        <v>28</v>
      </c>
      <c r="V66" s="13">
        <f t="shared" si="2"/>
        <v>4.1428571428571432</v>
      </c>
      <c r="W66" s="13">
        <f t="shared" si="4"/>
        <v>4.1428571428571432</v>
      </c>
      <c r="X66" s="3">
        <f t="shared" si="3"/>
        <v>28</v>
      </c>
      <c r="Y66" s="3">
        <f t="shared" si="5"/>
        <v>5.3456221198156691E-3</v>
      </c>
      <c r="Z66" s="3"/>
      <c r="AA66" s="3">
        <f t="shared" si="9"/>
        <v>775</v>
      </c>
      <c r="AB66" s="3"/>
      <c r="AC66" s="3" t="s">
        <v>82</v>
      </c>
      <c r="AD66" s="3" t="s">
        <v>83</v>
      </c>
      <c r="AE66" s="3"/>
      <c r="AF66" s="3" t="s">
        <v>102</v>
      </c>
      <c r="AG66" s="3" t="s">
        <v>285</v>
      </c>
      <c r="AH66" s="3"/>
    </row>
    <row r="67" spans="1:34" ht="14.25" customHeight="1" x14ac:dyDescent="0.25">
      <c r="A67" s="3" t="s">
        <v>100</v>
      </c>
      <c r="B67" s="3" t="s">
        <v>79</v>
      </c>
      <c r="C67" s="3"/>
      <c r="D67" s="3" t="s">
        <v>101</v>
      </c>
      <c r="E67" s="3">
        <v>2</v>
      </c>
      <c r="F67" s="3">
        <v>1</v>
      </c>
      <c r="G67" s="3" t="s">
        <v>15</v>
      </c>
      <c r="H67" s="11">
        <v>45747</v>
      </c>
      <c r="I67" s="12" t="s">
        <v>81</v>
      </c>
      <c r="J67" s="3">
        <f>18+30</f>
        <v>48</v>
      </c>
      <c r="K67" s="3">
        <f>19+30</f>
        <v>49</v>
      </c>
      <c r="L67" s="3">
        <f>18+16</f>
        <v>34</v>
      </c>
      <c r="M67" s="3">
        <v>13</v>
      </c>
      <c r="N67" s="3">
        <v>0</v>
      </c>
      <c r="O67" s="3">
        <f t="shared" si="0"/>
        <v>144</v>
      </c>
      <c r="P67" s="3">
        <v>7</v>
      </c>
      <c r="Q67" s="3">
        <v>6</v>
      </c>
      <c r="R67" s="3">
        <v>6</v>
      </c>
      <c r="S67" s="3">
        <v>6</v>
      </c>
      <c r="T67" s="3">
        <v>3</v>
      </c>
      <c r="U67" s="3">
        <f t="shared" si="1"/>
        <v>28</v>
      </c>
      <c r="V67" s="13">
        <f t="shared" si="2"/>
        <v>5.1428571428571432</v>
      </c>
      <c r="W67" s="13">
        <f t="shared" ref="W67:W130" si="10">O67/U67/F67</f>
        <v>5.1428571428571432</v>
      </c>
      <c r="X67" s="3">
        <f t="shared" si="3"/>
        <v>28</v>
      </c>
      <c r="Y67" s="3">
        <f t="shared" ref="Y67:Y130" si="11">O67/U67/AA67</f>
        <v>6.6359447004608304E-3</v>
      </c>
      <c r="Z67" s="3"/>
      <c r="AA67" s="3">
        <f t="shared" si="9"/>
        <v>775</v>
      </c>
      <c r="AB67" s="3"/>
      <c r="AC67" s="3" t="s">
        <v>82</v>
      </c>
      <c r="AD67" s="3" t="s">
        <v>83</v>
      </c>
      <c r="AE67" s="3"/>
      <c r="AF67" s="3" t="s">
        <v>102</v>
      </c>
      <c r="AG67" s="3" t="s">
        <v>285</v>
      </c>
      <c r="AH67" s="3"/>
    </row>
    <row r="68" spans="1:34" ht="14.25" customHeight="1" x14ac:dyDescent="0.25">
      <c r="A68" s="3" t="s">
        <v>104</v>
      </c>
      <c r="B68" s="3" t="s">
        <v>79</v>
      </c>
      <c r="C68" s="3"/>
      <c r="D68" s="3" t="s">
        <v>101</v>
      </c>
      <c r="E68" s="3">
        <v>2</v>
      </c>
      <c r="F68" s="3">
        <v>1</v>
      </c>
      <c r="G68" s="3" t="s">
        <v>3</v>
      </c>
      <c r="H68" s="11">
        <v>45747</v>
      </c>
      <c r="I68" s="12" t="s">
        <v>81</v>
      </c>
      <c r="J68" s="3">
        <f>50+100+50+100+30+20+100</f>
        <v>450</v>
      </c>
      <c r="K68" s="3">
        <f>150+170+140+15+18+20+30</f>
        <v>543</v>
      </c>
      <c r="L68" s="3">
        <f>40+50+60+80+70+90+100</f>
        <v>490</v>
      </c>
      <c r="M68" s="3">
        <f>120+130+140+160+200+150+140</f>
        <v>1040</v>
      </c>
      <c r="N68" s="3">
        <f>120+130+200</f>
        <v>450</v>
      </c>
      <c r="O68" s="3">
        <f t="shared" si="0"/>
        <v>2973</v>
      </c>
      <c r="P68" s="3">
        <v>7</v>
      </c>
      <c r="Q68" s="3">
        <v>7</v>
      </c>
      <c r="R68" s="3">
        <v>7</v>
      </c>
      <c r="S68" s="3">
        <v>7</v>
      </c>
      <c r="T68" s="3">
        <v>3</v>
      </c>
      <c r="U68" s="3">
        <f t="shared" si="1"/>
        <v>31</v>
      </c>
      <c r="V68" s="13">
        <f t="shared" si="2"/>
        <v>95.903225806451616</v>
      </c>
      <c r="W68" s="13">
        <f t="shared" si="10"/>
        <v>95.903225806451616</v>
      </c>
      <c r="X68" s="3">
        <f t="shared" si="3"/>
        <v>31</v>
      </c>
      <c r="Y68" s="3">
        <f t="shared" si="11"/>
        <v>2.2148550994561575E-2</v>
      </c>
      <c r="Z68" s="3"/>
      <c r="AA68" s="3">
        <f t="shared" ref="AA68:AA74" si="12">70*7*5+60*3*6+50*4*4</f>
        <v>4330</v>
      </c>
      <c r="AB68" s="3">
        <v>320</v>
      </c>
      <c r="AC68" s="3" t="s">
        <v>82</v>
      </c>
      <c r="AD68" s="3" t="s">
        <v>83</v>
      </c>
      <c r="AE68" s="3">
        <v>40</v>
      </c>
      <c r="AF68" s="3" t="s">
        <v>102</v>
      </c>
      <c r="AG68" s="3" t="s">
        <v>286</v>
      </c>
      <c r="AH68" s="3"/>
    </row>
    <row r="69" spans="1:34" ht="14.25" customHeight="1" x14ac:dyDescent="0.25">
      <c r="A69" s="3" t="s">
        <v>104</v>
      </c>
      <c r="B69" s="3" t="s">
        <v>79</v>
      </c>
      <c r="C69" s="3"/>
      <c r="D69" s="3" t="s">
        <v>101</v>
      </c>
      <c r="E69" s="3">
        <v>2</v>
      </c>
      <c r="F69" s="3">
        <v>1</v>
      </c>
      <c r="G69" s="3" t="s">
        <v>2</v>
      </c>
      <c r="H69" s="11">
        <v>45747</v>
      </c>
      <c r="I69" s="12" t="s">
        <v>81</v>
      </c>
      <c r="J69" s="3">
        <v>4</v>
      </c>
      <c r="K69" s="3">
        <v>0</v>
      </c>
      <c r="L69" s="3">
        <v>0</v>
      </c>
      <c r="M69" s="3">
        <v>0</v>
      </c>
      <c r="N69" s="3">
        <v>0</v>
      </c>
      <c r="O69" s="3">
        <f t="shared" si="0"/>
        <v>4</v>
      </c>
      <c r="P69" s="3">
        <v>7</v>
      </c>
      <c r="Q69" s="3">
        <v>7</v>
      </c>
      <c r="R69" s="3">
        <v>7</v>
      </c>
      <c r="S69" s="3">
        <v>7</v>
      </c>
      <c r="T69" s="3">
        <v>3</v>
      </c>
      <c r="U69" s="3">
        <f t="shared" si="1"/>
        <v>31</v>
      </c>
      <c r="V69" s="13">
        <f t="shared" si="2"/>
        <v>0.12903225806451613</v>
      </c>
      <c r="W69" s="13">
        <f t="shared" si="10"/>
        <v>0.12903225806451613</v>
      </c>
      <c r="X69" s="3">
        <f t="shared" si="3"/>
        <v>31</v>
      </c>
      <c r="Y69" s="3">
        <f t="shared" si="11"/>
        <v>2.9799597705430977E-5</v>
      </c>
      <c r="Z69" s="3"/>
      <c r="AA69" s="3">
        <f t="shared" si="12"/>
        <v>4330</v>
      </c>
      <c r="AB69" s="3">
        <v>320</v>
      </c>
      <c r="AC69" s="3" t="s">
        <v>82</v>
      </c>
      <c r="AD69" s="3" t="s">
        <v>83</v>
      </c>
      <c r="AE69" s="3">
        <v>40</v>
      </c>
      <c r="AF69" s="3" t="s">
        <v>102</v>
      </c>
      <c r="AG69" s="3" t="s">
        <v>286</v>
      </c>
      <c r="AH69" s="3"/>
    </row>
    <row r="70" spans="1:34" ht="14.25" customHeight="1" x14ac:dyDescent="0.25">
      <c r="A70" s="3" t="s">
        <v>104</v>
      </c>
      <c r="B70" s="3" t="s">
        <v>79</v>
      </c>
      <c r="C70" s="3"/>
      <c r="D70" s="3" t="s">
        <v>101</v>
      </c>
      <c r="E70" s="3">
        <v>2</v>
      </c>
      <c r="F70" s="3">
        <v>1</v>
      </c>
      <c r="G70" s="3" t="s">
        <v>12</v>
      </c>
      <c r="H70" s="11">
        <v>45747</v>
      </c>
      <c r="I70" s="12" t="s">
        <v>81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f t="shared" si="0"/>
        <v>1</v>
      </c>
      <c r="P70" s="3">
        <v>7</v>
      </c>
      <c r="Q70" s="3">
        <v>7</v>
      </c>
      <c r="R70" s="3">
        <v>7</v>
      </c>
      <c r="S70" s="3">
        <v>7</v>
      </c>
      <c r="T70" s="3">
        <v>3</v>
      </c>
      <c r="U70" s="3">
        <f t="shared" si="1"/>
        <v>31</v>
      </c>
      <c r="V70" s="13">
        <f t="shared" si="2"/>
        <v>3.2258064516129031E-2</v>
      </c>
      <c r="W70" s="13">
        <f t="shared" si="10"/>
        <v>3.2258064516129031E-2</v>
      </c>
      <c r="X70" s="3">
        <f t="shared" si="3"/>
        <v>31</v>
      </c>
      <c r="Y70" s="3">
        <f t="shared" si="11"/>
        <v>7.4498994263577442E-6</v>
      </c>
      <c r="Z70" s="3"/>
      <c r="AA70" s="3">
        <f t="shared" si="12"/>
        <v>4330</v>
      </c>
      <c r="AB70" s="3">
        <v>320</v>
      </c>
      <c r="AC70" s="3" t="s">
        <v>82</v>
      </c>
      <c r="AD70" s="3" t="s">
        <v>83</v>
      </c>
      <c r="AE70" s="3">
        <v>40</v>
      </c>
      <c r="AF70" s="3" t="s">
        <v>102</v>
      </c>
      <c r="AG70" s="3" t="s">
        <v>286</v>
      </c>
      <c r="AH70" s="3"/>
    </row>
    <row r="71" spans="1:34" ht="14.25" customHeight="1" x14ac:dyDescent="0.25">
      <c r="A71" s="3" t="s">
        <v>104</v>
      </c>
      <c r="B71" s="3" t="s">
        <v>79</v>
      </c>
      <c r="C71" s="3"/>
      <c r="D71" s="3" t="s">
        <v>101</v>
      </c>
      <c r="E71" s="3">
        <v>2</v>
      </c>
      <c r="F71" s="3">
        <v>1</v>
      </c>
      <c r="G71" s="3" t="s">
        <v>16</v>
      </c>
      <c r="H71" s="11">
        <v>45747</v>
      </c>
      <c r="I71" s="12" t="s">
        <v>81</v>
      </c>
      <c r="J71" s="3">
        <v>2</v>
      </c>
      <c r="K71" s="3">
        <v>0</v>
      </c>
      <c r="L71" s="3">
        <v>0</v>
      </c>
      <c r="M71" s="3">
        <v>0</v>
      </c>
      <c r="N71" s="3">
        <v>0</v>
      </c>
      <c r="O71" s="3">
        <f t="shared" si="0"/>
        <v>2</v>
      </c>
      <c r="P71" s="3">
        <v>7</v>
      </c>
      <c r="Q71" s="3">
        <v>7</v>
      </c>
      <c r="R71" s="3">
        <v>7</v>
      </c>
      <c r="S71" s="3">
        <v>7</v>
      </c>
      <c r="T71" s="3">
        <v>3</v>
      </c>
      <c r="U71" s="3">
        <f t="shared" si="1"/>
        <v>31</v>
      </c>
      <c r="V71" s="13">
        <f t="shared" si="2"/>
        <v>6.4516129032258063E-2</v>
      </c>
      <c r="W71" s="13">
        <f t="shared" si="10"/>
        <v>6.4516129032258063E-2</v>
      </c>
      <c r="X71" s="3">
        <f t="shared" si="3"/>
        <v>31</v>
      </c>
      <c r="Y71" s="3">
        <f t="shared" si="11"/>
        <v>1.4899798852715488E-5</v>
      </c>
      <c r="Z71" s="3"/>
      <c r="AA71" s="3">
        <f t="shared" si="12"/>
        <v>4330</v>
      </c>
      <c r="AB71" s="3">
        <v>320</v>
      </c>
      <c r="AC71" s="3" t="s">
        <v>82</v>
      </c>
      <c r="AD71" s="3" t="s">
        <v>83</v>
      </c>
      <c r="AE71" s="3">
        <v>40</v>
      </c>
      <c r="AF71" s="3" t="s">
        <v>102</v>
      </c>
      <c r="AG71" s="3" t="s">
        <v>286</v>
      </c>
      <c r="AH71" s="3"/>
    </row>
    <row r="72" spans="1:34" ht="14.25" customHeight="1" x14ac:dyDescent="0.25">
      <c r="A72" s="3" t="s">
        <v>104</v>
      </c>
      <c r="B72" s="3" t="s">
        <v>79</v>
      </c>
      <c r="C72" s="3"/>
      <c r="D72" s="3" t="s">
        <v>101</v>
      </c>
      <c r="E72" s="3">
        <v>2</v>
      </c>
      <c r="F72" s="3">
        <v>1</v>
      </c>
      <c r="G72" s="3" t="s">
        <v>18</v>
      </c>
      <c r="H72" s="11">
        <v>45747</v>
      </c>
      <c r="I72" s="12" t="s">
        <v>81</v>
      </c>
      <c r="J72" s="3">
        <v>10</v>
      </c>
      <c r="K72" s="3">
        <v>0</v>
      </c>
      <c r="L72" s="3">
        <v>0</v>
      </c>
      <c r="M72" s="3">
        <v>0</v>
      </c>
      <c r="N72" s="3">
        <v>0</v>
      </c>
      <c r="O72" s="3">
        <f t="shared" si="0"/>
        <v>10</v>
      </c>
      <c r="P72" s="3">
        <v>7</v>
      </c>
      <c r="Q72" s="3">
        <v>7</v>
      </c>
      <c r="R72" s="3">
        <v>7</v>
      </c>
      <c r="S72" s="3">
        <v>7</v>
      </c>
      <c r="T72" s="3">
        <v>3</v>
      </c>
      <c r="U72" s="3">
        <f t="shared" si="1"/>
        <v>31</v>
      </c>
      <c r="V72" s="13">
        <f t="shared" si="2"/>
        <v>0.32258064516129031</v>
      </c>
      <c r="W72" s="13">
        <f t="shared" si="10"/>
        <v>0.32258064516129031</v>
      </c>
      <c r="X72" s="3">
        <f t="shared" si="3"/>
        <v>31</v>
      </c>
      <c r="Y72" s="3">
        <f t="shared" si="11"/>
        <v>7.4498994263577439E-5</v>
      </c>
      <c r="Z72" s="3"/>
      <c r="AA72" s="3">
        <f t="shared" si="12"/>
        <v>4330</v>
      </c>
      <c r="AB72" s="3">
        <v>320</v>
      </c>
      <c r="AC72" s="3" t="s">
        <v>82</v>
      </c>
      <c r="AD72" s="3" t="s">
        <v>83</v>
      </c>
      <c r="AE72" s="3">
        <v>40</v>
      </c>
      <c r="AF72" s="3" t="s">
        <v>102</v>
      </c>
      <c r="AG72" s="3" t="s">
        <v>286</v>
      </c>
      <c r="AH72" s="3"/>
    </row>
    <row r="73" spans="1:34" ht="14.25" customHeight="1" x14ac:dyDescent="0.25">
      <c r="A73" s="3" t="s">
        <v>104</v>
      </c>
      <c r="B73" s="3" t="s">
        <v>79</v>
      </c>
      <c r="C73" s="3"/>
      <c r="D73" s="3" t="s">
        <v>101</v>
      </c>
      <c r="E73" s="3">
        <v>2</v>
      </c>
      <c r="F73" s="3">
        <v>1</v>
      </c>
      <c r="G73" s="3" t="s">
        <v>25</v>
      </c>
      <c r="H73" s="11">
        <v>45747</v>
      </c>
      <c r="I73" s="12" t="s">
        <v>81</v>
      </c>
      <c r="J73" s="3">
        <v>21</v>
      </c>
      <c r="K73" s="3">
        <v>0</v>
      </c>
      <c r="L73" s="3">
        <v>0</v>
      </c>
      <c r="M73" s="3">
        <v>0</v>
      </c>
      <c r="N73" s="3">
        <v>0</v>
      </c>
      <c r="O73" s="3">
        <f t="shared" si="0"/>
        <v>21</v>
      </c>
      <c r="P73" s="3">
        <v>7</v>
      </c>
      <c r="Q73" s="3">
        <v>7</v>
      </c>
      <c r="R73" s="3">
        <v>7</v>
      </c>
      <c r="S73" s="3">
        <v>7</v>
      </c>
      <c r="T73" s="3">
        <v>3</v>
      </c>
      <c r="U73" s="3">
        <f t="shared" si="1"/>
        <v>31</v>
      </c>
      <c r="V73" s="13">
        <f t="shared" si="2"/>
        <v>0.67741935483870963</v>
      </c>
      <c r="W73" s="13">
        <f t="shared" si="10"/>
        <v>0.67741935483870963</v>
      </c>
      <c r="X73" s="3">
        <f t="shared" si="3"/>
        <v>31</v>
      </c>
      <c r="Y73" s="3">
        <f t="shared" si="11"/>
        <v>1.5644788795351263E-4</v>
      </c>
      <c r="Z73" s="3"/>
      <c r="AA73" s="3">
        <f t="shared" si="12"/>
        <v>4330</v>
      </c>
      <c r="AB73" s="3">
        <v>320</v>
      </c>
      <c r="AC73" s="3" t="s">
        <v>82</v>
      </c>
      <c r="AD73" s="3" t="s">
        <v>83</v>
      </c>
      <c r="AE73" s="3">
        <v>40</v>
      </c>
      <c r="AF73" s="3" t="s">
        <v>102</v>
      </c>
      <c r="AG73" s="3" t="s">
        <v>286</v>
      </c>
      <c r="AH73" s="3"/>
    </row>
    <row r="74" spans="1:34" ht="14.25" customHeight="1" x14ac:dyDescent="0.25">
      <c r="A74" s="3" t="s">
        <v>104</v>
      </c>
      <c r="B74" s="3" t="s">
        <v>79</v>
      </c>
      <c r="C74" s="3"/>
      <c r="D74" s="3" t="s">
        <v>101</v>
      </c>
      <c r="E74" s="3">
        <v>2</v>
      </c>
      <c r="F74" s="3">
        <v>1</v>
      </c>
      <c r="G74" s="3" t="s">
        <v>22</v>
      </c>
      <c r="H74" s="11">
        <v>45747</v>
      </c>
      <c r="I74" s="12" t="s">
        <v>81</v>
      </c>
      <c r="J74" s="3">
        <v>2</v>
      </c>
      <c r="K74" s="3">
        <v>0</v>
      </c>
      <c r="L74" s="3">
        <v>0</v>
      </c>
      <c r="M74" s="3">
        <v>0</v>
      </c>
      <c r="N74" s="3">
        <v>0</v>
      </c>
      <c r="O74" s="3">
        <f t="shared" si="0"/>
        <v>2</v>
      </c>
      <c r="P74" s="3">
        <v>7</v>
      </c>
      <c r="Q74" s="3">
        <v>7</v>
      </c>
      <c r="R74" s="3">
        <v>7</v>
      </c>
      <c r="S74" s="3">
        <v>7</v>
      </c>
      <c r="T74" s="3">
        <v>3</v>
      </c>
      <c r="U74" s="3">
        <f t="shared" si="1"/>
        <v>31</v>
      </c>
      <c r="V74" s="13">
        <f t="shared" si="2"/>
        <v>6.4516129032258063E-2</v>
      </c>
      <c r="W74" s="13">
        <f t="shared" si="10"/>
        <v>6.4516129032258063E-2</v>
      </c>
      <c r="X74" s="3">
        <f t="shared" si="3"/>
        <v>31</v>
      </c>
      <c r="Y74" s="3">
        <f t="shared" si="11"/>
        <v>1.4899798852715488E-5</v>
      </c>
      <c r="Z74" s="3"/>
      <c r="AA74" s="3">
        <f t="shared" si="12"/>
        <v>4330</v>
      </c>
      <c r="AB74" s="3">
        <v>320</v>
      </c>
      <c r="AC74" s="3" t="s">
        <v>82</v>
      </c>
      <c r="AD74" s="3" t="s">
        <v>83</v>
      </c>
      <c r="AE74" s="3">
        <v>40</v>
      </c>
      <c r="AF74" s="3" t="s">
        <v>102</v>
      </c>
      <c r="AG74" s="3" t="s">
        <v>286</v>
      </c>
      <c r="AH74" s="3"/>
    </row>
    <row r="75" spans="1:34" ht="14.25" customHeight="1" x14ac:dyDescent="0.25">
      <c r="A75" s="3" t="s">
        <v>105</v>
      </c>
      <c r="B75" s="3" t="s">
        <v>79</v>
      </c>
      <c r="C75" s="3"/>
      <c r="D75" s="3" t="s">
        <v>101</v>
      </c>
      <c r="E75" s="3">
        <v>2</v>
      </c>
      <c r="F75" s="3">
        <v>1</v>
      </c>
      <c r="G75" s="3" t="s">
        <v>1</v>
      </c>
      <c r="H75" s="11">
        <v>45747</v>
      </c>
      <c r="I75" s="12" t="s">
        <v>81</v>
      </c>
      <c r="J75" s="3">
        <f>0.8+5.5+11</f>
        <v>17.3</v>
      </c>
      <c r="K75" s="3">
        <v>3</v>
      </c>
      <c r="L75" s="3">
        <v>0</v>
      </c>
      <c r="M75" s="3">
        <v>0</v>
      </c>
      <c r="N75" s="3">
        <v>0</v>
      </c>
      <c r="O75" s="3">
        <f t="shared" si="0"/>
        <v>20.3</v>
      </c>
      <c r="P75" s="3">
        <v>3</v>
      </c>
      <c r="Q75" s="3">
        <v>2</v>
      </c>
      <c r="R75" s="3">
        <v>1</v>
      </c>
      <c r="S75" s="3">
        <v>2</v>
      </c>
      <c r="T75" s="3">
        <v>0</v>
      </c>
      <c r="U75" s="3">
        <f t="shared" si="1"/>
        <v>8</v>
      </c>
      <c r="V75" s="13">
        <f t="shared" si="2"/>
        <v>2.5375000000000001</v>
      </c>
      <c r="W75" s="13">
        <f t="shared" si="10"/>
        <v>2.5375000000000001</v>
      </c>
      <c r="X75" s="3">
        <f t="shared" si="3"/>
        <v>8</v>
      </c>
      <c r="Y75" s="3">
        <f t="shared" si="11"/>
        <v>1.832129963898917E-2</v>
      </c>
      <c r="Z75" s="3"/>
      <c r="AA75" s="3">
        <f t="shared" ref="AA75:AA77" si="13">45*1.5*1+30*1.2*1+35*1*1</f>
        <v>138.5</v>
      </c>
      <c r="AB75" s="3"/>
      <c r="AC75" s="3" t="s">
        <v>82</v>
      </c>
      <c r="AD75" s="3" t="s">
        <v>83</v>
      </c>
      <c r="AE75" s="3">
        <v>15</v>
      </c>
      <c r="AF75" s="3" t="s">
        <v>102</v>
      </c>
      <c r="AG75" s="3" t="s">
        <v>287</v>
      </c>
      <c r="AH75" s="3"/>
    </row>
    <row r="76" spans="1:34" ht="14.25" customHeight="1" x14ac:dyDescent="0.25">
      <c r="A76" s="3" t="s">
        <v>105</v>
      </c>
      <c r="B76" s="3" t="s">
        <v>79</v>
      </c>
      <c r="C76" s="3"/>
      <c r="D76" s="3" t="s">
        <v>101</v>
      </c>
      <c r="E76" s="3">
        <v>2</v>
      </c>
      <c r="F76" s="3">
        <v>1</v>
      </c>
      <c r="G76" s="3" t="s">
        <v>3</v>
      </c>
      <c r="H76" s="11">
        <v>45747</v>
      </c>
      <c r="I76" s="12" t="s">
        <v>81</v>
      </c>
      <c r="J76" s="3">
        <f>21+14+0.6</f>
        <v>35.6</v>
      </c>
      <c r="K76" s="3">
        <f>17+11</f>
        <v>28</v>
      </c>
      <c r="L76" s="3">
        <v>15</v>
      </c>
      <c r="M76" s="3">
        <f>7+5</f>
        <v>12</v>
      </c>
      <c r="N76" s="3">
        <v>0</v>
      </c>
      <c r="O76" s="3">
        <f t="shared" si="0"/>
        <v>90.6</v>
      </c>
      <c r="P76" s="3">
        <v>3</v>
      </c>
      <c r="Q76" s="3">
        <v>2</v>
      </c>
      <c r="R76" s="3">
        <v>1</v>
      </c>
      <c r="S76" s="3">
        <v>2</v>
      </c>
      <c r="T76" s="3">
        <v>0</v>
      </c>
      <c r="U76" s="3">
        <f t="shared" si="1"/>
        <v>8</v>
      </c>
      <c r="V76" s="13">
        <f t="shared" si="2"/>
        <v>11.324999999999999</v>
      </c>
      <c r="W76" s="13">
        <f t="shared" si="10"/>
        <v>11.324999999999999</v>
      </c>
      <c r="X76" s="3">
        <f t="shared" si="3"/>
        <v>8</v>
      </c>
      <c r="Y76" s="3">
        <f t="shared" si="11"/>
        <v>8.1768953068592054E-2</v>
      </c>
      <c r="Z76" s="3"/>
      <c r="AA76" s="3">
        <f t="shared" si="13"/>
        <v>138.5</v>
      </c>
      <c r="AB76" s="3"/>
      <c r="AC76" s="3" t="s">
        <v>82</v>
      </c>
      <c r="AD76" s="3" t="s">
        <v>83</v>
      </c>
      <c r="AE76" s="3">
        <v>15</v>
      </c>
      <c r="AF76" s="3" t="s">
        <v>102</v>
      </c>
      <c r="AG76" s="3" t="s">
        <v>287</v>
      </c>
      <c r="AH76" s="3"/>
    </row>
    <row r="77" spans="1:34" ht="14.25" customHeight="1" x14ac:dyDescent="0.25">
      <c r="A77" s="3" t="s">
        <v>105</v>
      </c>
      <c r="B77" s="3" t="s">
        <v>79</v>
      </c>
      <c r="C77" s="3"/>
      <c r="D77" s="3" t="s">
        <v>101</v>
      </c>
      <c r="E77" s="3">
        <v>2</v>
      </c>
      <c r="F77" s="3">
        <v>1</v>
      </c>
      <c r="G77" s="3" t="s">
        <v>22</v>
      </c>
      <c r="H77" s="11">
        <v>45747</v>
      </c>
      <c r="I77" s="12" t="s">
        <v>81</v>
      </c>
      <c r="J77" s="3">
        <v>5.4</v>
      </c>
      <c r="K77" s="3">
        <v>0</v>
      </c>
      <c r="L77" s="3">
        <v>0</v>
      </c>
      <c r="M77" s="3">
        <v>0</v>
      </c>
      <c r="N77" s="3">
        <v>0</v>
      </c>
      <c r="O77" s="3">
        <f t="shared" si="0"/>
        <v>5.4</v>
      </c>
      <c r="P77" s="3">
        <v>3</v>
      </c>
      <c r="Q77" s="3">
        <v>2</v>
      </c>
      <c r="R77" s="3">
        <v>1</v>
      </c>
      <c r="S77" s="3">
        <v>2</v>
      </c>
      <c r="T77" s="3">
        <v>0</v>
      </c>
      <c r="U77" s="3">
        <f t="shared" si="1"/>
        <v>8</v>
      </c>
      <c r="V77" s="13">
        <f t="shared" si="2"/>
        <v>0.67500000000000004</v>
      </c>
      <c r="W77" s="13">
        <f t="shared" si="10"/>
        <v>0.67500000000000004</v>
      </c>
      <c r="X77" s="3">
        <f t="shared" si="3"/>
        <v>8</v>
      </c>
      <c r="Y77" s="3">
        <f t="shared" si="11"/>
        <v>4.8736462093862823E-3</v>
      </c>
      <c r="Z77" s="3"/>
      <c r="AA77" s="3">
        <f t="shared" si="13"/>
        <v>138.5</v>
      </c>
      <c r="AB77" s="3"/>
      <c r="AC77" s="3" t="s">
        <v>82</v>
      </c>
      <c r="AD77" s="3" t="s">
        <v>83</v>
      </c>
      <c r="AE77" s="3">
        <v>15</v>
      </c>
      <c r="AF77" s="3" t="s">
        <v>102</v>
      </c>
      <c r="AG77" s="3" t="s">
        <v>287</v>
      </c>
      <c r="AH77" s="3"/>
    </row>
    <row r="78" spans="1:34" ht="14.25" customHeight="1" x14ac:dyDescent="0.25">
      <c r="A78" s="3" t="s">
        <v>106</v>
      </c>
      <c r="B78" s="3" t="s">
        <v>79</v>
      </c>
      <c r="C78" s="3"/>
      <c r="D78" s="3" t="s">
        <v>101</v>
      </c>
      <c r="E78" s="3">
        <v>2</v>
      </c>
      <c r="F78" s="3">
        <v>1</v>
      </c>
      <c r="G78" s="3" t="s">
        <v>14</v>
      </c>
      <c r="H78" s="11">
        <v>45747</v>
      </c>
      <c r="I78" s="12" t="s">
        <v>81</v>
      </c>
      <c r="J78" s="3">
        <f>3+6+6+8+15+8</f>
        <v>46</v>
      </c>
      <c r="K78" s="3">
        <f>7+5</f>
        <v>12</v>
      </c>
      <c r="L78" s="3">
        <f>10+4</f>
        <v>14</v>
      </c>
      <c r="M78" s="3">
        <f>7+9+10</f>
        <v>26</v>
      </c>
      <c r="N78" s="3">
        <v>0</v>
      </c>
      <c r="O78" s="3">
        <f t="shared" si="0"/>
        <v>98</v>
      </c>
      <c r="P78" s="3">
        <v>7</v>
      </c>
      <c r="Q78" s="3">
        <v>5</v>
      </c>
      <c r="R78" s="3">
        <v>3</v>
      </c>
      <c r="S78" s="3">
        <v>5</v>
      </c>
      <c r="T78" s="3">
        <v>0</v>
      </c>
      <c r="U78" s="3">
        <f t="shared" si="1"/>
        <v>20</v>
      </c>
      <c r="V78" s="13">
        <f t="shared" si="2"/>
        <v>4.9000000000000004</v>
      </c>
      <c r="W78" s="13">
        <f t="shared" si="10"/>
        <v>4.9000000000000004</v>
      </c>
      <c r="X78" s="3">
        <f t="shared" si="3"/>
        <v>20</v>
      </c>
      <c r="Y78" s="3" t="e">
        <f t="shared" si="11"/>
        <v>#DIV/0!</v>
      </c>
      <c r="Z78" s="3"/>
      <c r="AA78" s="3"/>
      <c r="AB78" s="3"/>
      <c r="AC78" s="3" t="s">
        <v>82</v>
      </c>
      <c r="AD78" s="3" t="s">
        <v>83</v>
      </c>
      <c r="AE78" s="3">
        <v>40</v>
      </c>
      <c r="AF78" s="3" t="s">
        <v>102</v>
      </c>
      <c r="AG78" s="3" t="s">
        <v>205</v>
      </c>
      <c r="AH78" s="3"/>
    </row>
    <row r="79" spans="1:34" ht="14.25" customHeight="1" x14ac:dyDescent="0.25">
      <c r="A79" s="3" t="s">
        <v>106</v>
      </c>
      <c r="B79" s="3" t="s">
        <v>79</v>
      </c>
      <c r="C79" s="3"/>
      <c r="D79" s="3" t="s">
        <v>101</v>
      </c>
      <c r="E79" s="3">
        <v>2</v>
      </c>
      <c r="F79" s="3">
        <v>1</v>
      </c>
      <c r="G79" s="3" t="s">
        <v>16</v>
      </c>
      <c r="H79" s="11">
        <v>45747</v>
      </c>
      <c r="I79" s="12" t="s">
        <v>81</v>
      </c>
      <c r="J79" s="3">
        <f>6+8+3+4+7</f>
        <v>28</v>
      </c>
      <c r="K79" s="3">
        <f>10+2+15+6</f>
        <v>33</v>
      </c>
      <c r="L79" s="3">
        <f>6+8</f>
        <v>14</v>
      </c>
      <c r="M79" s="3">
        <f>7+5</f>
        <v>12</v>
      </c>
      <c r="N79" s="3">
        <v>0</v>
      </c>
      <c r="O79" s="3">
        <f t="shared" si="0"/>
        <v>87</v>
      </c>
      <c r="P79" s="3">
        <v>7</v>
      </c>
      <c r="Q79" s="3">
        <v>5</v>
      </c>
      <c r="R79" s="3">
        <v>3</v>
      </c>
      <c r="S79" s="3">
        <v>5</v>
      </c>
      <c r="T79" s="3">
        <v>0</v>
      </c>
      <c r="U79" s="3">
        <f t="shared" si="1"/>
        <v>20</v>
      </c>
      <c r="V79" s="13">
        <f t="shared" si="2"/>
        <v>4.3499999999999996</v>
      </c>
      <c r="W79" s="13">
        <f t="shared" si="10"/>
        <v>4.3499999999999996</v>
      </c>
      <c r="X79" s="3">
        <f t="shared" si="3"/>
        <v>20</v>
      </c>
      <c r="Y79" s="3" t="e">
        <f t="shared" si="11"/>
        <v>#DIV/0!</v>
      </c>
      <c r="Z79" s="3"/>
      <c r="AA79" s="3"/>
      <c r="AB79" s="3"/>
      <c r="AC79" s="3" t="s">
        <v>82</v>
      </c>
      <c r="AD79" s="3" t="s">
        <v>83</v>
      </c>
      <c r="AE79" s="3">
        <v>40</v>
      </c>
      <c r="AF79" s="3" t="s">
        <v>102</v>
      </c>
      <c r="AG79" s="3" t="s">
        <v>205</v>
      </c>
      <c r="AH79" s="3"/>
    </row>
    <row r="80" spans="1:34" ht="14.25" customHeight="1" x14ac:dyDescent="0.25">
      <c r="A80" s="3" t="s">
        <v>106</v>
      </c>
      <c r="B80" s="3" t="s">
        <v>79</v>
      </c>
      <c r="C80" s="3"/>
      <c r="D80" s="3" t="s">
        <v>101</v>
      </c>
      <c r="E80" s="3">
        <v>2</v>
      </c>
      <c r="F80" s="3">
        <v>1</v>
      </c>
      <c r="G80" s="3" t="s">
        <v>18</v>
      </c>
      <c r="H80" s="11">
        <v>45747</v>
      </c>
      <c r="I80" s="12" t="s">
        <v>81</v>
      </c>
      <c r="J80" s="3">
        <f>4+6+4</f>
        <v>14</v>
      </c>
      <c r="K80" s="3">
        <f>6+6</f>
        <v>12</v>
      </c>
      <c r="L80" s="3">
        <v>0</v>
      </c>
      <c r="M80" s="3">
        <v>5</v>
      </c>
      <c r="N80" s="3">
        <v>0</v>
      </c>
      <c r="O80" s="3">
        <f t="shared" si="0"/>
        <v>31</v>
      </c>
      <c r="P80" s="3">
        <v>7</v>
      </c>
      <c r="Q80" s="3">
        <v>5</v>
      </c>
      <c r="R80" s="3">
        <v>3</v>
      </c>
      <c r="S80" s="3">
        <v>5</v>
      </c>
      <c r="T80" s="3">
        <v>0</v>
      </c>
      <c r="U80" s="3">
        <f t="shared" si="1"/>
        <v>20</v>
      </c>
      <c r="V80" s="13">
        <f t="shared" si="2"/>
        <v>1.55</v>
      </c>
      <c r="W80" s="13">
        <f t="shared" si="10"/>
        <v>1.55</v>
      </c>
      <c r="X80" s="3">
        <f t="shared" si="3"/>
        <v>20</v>
      </c>
      <c r="Y80" s="3" t="e">
        <f t="shared" si="11"/>
        <v>#DIV/0!</v>
      </c>
      <c r="Z80" s="3"/>
      <c r="AA80" s="3"/>
      <c r="AB80" s="3"/>
      <c r="AC80" s="3" t="s">
        <v>82</v>
      </c>
      <c r="AD80" s="3" t="s">
        <v>83</v>
      </c>
      <c r="AE80" s="3">
        <v>40</v>
      </c>
      <c r="AF80" s="3" t="s">
        <v>102</v>
      </c>
      <c r="AG80" s="3" t="s">
        <v>205</v>
      </c>
      <c r="AH80" s="3"/>
    </row>
    <row r="81" spans="1:34" ht="14.25" customHeight="1" x14ac:dyDescent="0.25">
      <c r="A81" s="3" t="s">
        <v>107</v>
      </c>
      <c r="B81" s="3" t="s">
        <v>79</v>
      </c>
      <c r="C81" s="3"/>
      <c r="D81" s="3" t="s">
        <v>101</v>
      </c>
      <c r="E81" s="3">
        <v>2</v>
      </c>
      <c r="F81" s="3">
        <v>1</v>
      </c>
      <c r="G81" s="3" t="s">
        <v>14</v>
      </c>
      <c r="H81" s="11">
        <v>45747</v>
      </c>
      <c r="I81" s="12" t="s">
        <v>81</v>
      </c>
      <c r="J81" s="3">
        <f>15+11+8</f>
        <v>34</v>
      </c>
      <c r="K81" s="3">
        <v>0</v>
      </c>
      <c r="L81" s="3">
        <v>0</v>
      </c>
      <c r="M81" s="3">
        <v>18</v>
      </c>
      <c r="N81" s="3">
        <v>12.1</v>
      </c>
      <c r="O81" s="3">
        <f t="shared" si="0"/>
        <v>64.099999999999994</v>
      </c>
      <c r="P81" s="3">
        <v>3</v>
      </c>
      <c r="Q81" s="3">
        <v>1</v>
      </c>
      <c r="R81" s="3">
        <v>0</v>
      </c>
      <c r="S81" s="3">
        <v>2</v>
      </c>
      <c r="T81" s="3">
        <v>1</v>
      </c>
      <c r="U81" s="3">
        <f t="shared" si="1"/>
        <v>7</v>
      </c>
      <c r="V81" s="13">
        <f t="shared" si="2"/>
        <v>9.1571428571428566</v>
      </c>
      <c r="W81" s="13">
        <f t="shared" si="10"/>
        <v>9.1571428571428566</v>
      </c>
      <c r="X81" s="3">
        <f t="shared" si="3"/>
        <v>7</v>
      </c>
      <c r="Y81" s="3" t="e">
        <f t="shared" si="11"/>
        <v>#DIV/0!</v>
      </c>
      <c r="Z81" s="3"/>
      <c r="AA81" s="3"/>
      <c r="AB81" s="3"/>
      <c r="AC81" s="3" t="s">
        <v>82</v>
      </c>
      <c r="AD81" s="3" t="s">
        <v>83</v>
      </c>
      <c r="AE81" s="3"/>
      <c r="AF81" s="3" t="s">
        <v>102</v>
      </c>
      <c r="AG81" s="3" t="s">
        <v>211</v>
      </c>
      <c r="AH81" s="3"/>
    </row>
    <row r="82" spans="1:34" ht="14.25" customHeight="1" x14ac:dyDescent="0.25">
      <c r="A82" s="3" t="s">
        <v>107</v>
      </c>
      <c r="B82" s="3" t="s">
        <v>79</v>
      </c>
      <c r="C82" s="3"/>
      <c r="D82" s="3" t="s">
        <v>101</v>
      </c>
      <c r="E82" s="3">
        <v>2</v>
      </c>
      <c r="F82" s="3">
        <v>1</v>
      </c>
      <c r="G82" s="3" t="s">
        <v>16</v>
      </c>
      <c r="H82" s="11">
        <v>45747</v>
      </c>
      <c r="I82" s="12" t="s">
        <v>81</v>
      </c>
      <c r="J82" s="3">
        <f>10+20+6.3</f>
        <v>36.299999999999997</v>
      </c>
      <c r="K82" s="3">
        <v>20</v>
      </c>
      <c r="L82" s="3">
        <v>0</v>
      </c>
      <c r="M82" s="3">
        <f>5.4+3.1</f>
        <v>8.5</v>
      </c>
      <c r="N82" s="3">
        <v>4.1500000000000004</v>
      </c>
      <c r="O82" s="3">
        <f t="shared" si="0"/>
        <v>68.95</v>
      </c>
      <c r="P82" s="3">
        <v>3</v>
      </c>
      <c r="Q82" s="3">
        <v>1</v>
      </c>
      <c r="R82" s="3">
        <v>0</v>
      </c>
      <c r="S82" s="3">
        <v>2</v>
      </c>
      <c r="T82" s="3">
        <v>1</v>
      </c>
      <c r="U82" s="3">
        <f t="shared" si="1"/>
        <v>7</v>
      </c>
      <c r="V82" s="13">
        <f t="shared" si="2"/>
        <v>9.85</v>
      </c>
      <c r="W82" s="13">
        <f t="shared" si="10"/>
        <v>9.85</v>
      </c>
      <c r="X82" s="3">
        <f t="shared" si="3"/>
        <v>7</v>
      </c>
      <c r="Y82" s="3" t="e">
        <f t="shared" si="11"/>
        <v>#DIV/0!</v>
      </c>
      <c r="Z82" s="3"/>
      <c r="AA82" s="3"/>
      <c r="AB82" s="3"/>
      <c r="AC82" s="3" t="s">
        <v>82</v>
      </c>
      <c r="AD82" s="3" t="s">
        <v>83</v>
      </c>
      <c r="AE82" s="3"/>
      <c r="AF82" s="3" t="s">
        <v>102</v>
      </c>
      <c r="AG82" s="3" t="s">
        <v>211</v>
      </c>
      <c r="AH82" s="3"/>
    </row>
    <row r="83" spans="1:34" ht="14.25" customHeight="1" x14ac:dyDescent="0.25">
      <c r="A83" s="3" t="s">
        <v>107</v>
      </c>
      <c r="B83" s="3" t="s">
        <v>79</v>
      </c>
      <c r="C83" s="3"/>
      <c r="D83" s="3" t="s">
        <v>101</v>
      </c>
      <c r="E83" s="3">
        <v>2</v>
      </c>
      <c r="F83" s="3">
        <v>1</v>
      </c>
      <c r="G83" s="3" t="s">
        <v>18</v>
      </c>
      <c r="H83" s="11">
        <v>45747</v>
      </c>
      <c r="I83" s="12" t="s">
        <v>81</v>
      </c>
      <c r="J83" s="3">
        <f>8+5.2</f>
        <v>13.2</v>
      </c>
      <c r="K83" s="3">
        <v>3.2</v>
      </c>
      <c r="L83" s="3">
        <v>0</v>
      </c>
      <c r="M83" s="3">
        <v>0</v>
      </c>
      <c r="N83" s="3">
        <v>0</v>
      </c>
      <c r="O83" s="3">
        <f t="shared" si="0"/>
        <v>16.399999999999999</v>
      </c>
      <c r="P83" s="3">
        <v>3</v>
      </c>
      <c r="Q83" s="3">
        <v>1</v>
      </c>
      <c r="R83" s="3">
        <v>0</v>
      </c>
      <c r="S83" s="3">
        <v>2</v>
      </c>
      <c r="T83" s="3">
        <v>1</v>
      </c>
      <c r="U83" s="3">
        <v>1</v>
      </c>
      <c r="V83" s="13">
        <f t="shared" si="2"/>
        <v>16.399999999999999</v>
      </c>
      <c r="W83" s="13">
        <f t="shared" si="10"/>
        <v>16.399999999999999</v>
      </c>
      <c r="X83" s="3">
        <f t="shared" si="3"/>
        <v>1</v>
      </c>
      <c r="Y83" s="3" t="e">
        <f t="shared" si="11"/>
        <v>#DIV/0!</v>
      </c>
      <c r="Z83" s="3"/>
      <c r="AA83" s="3"/>
      <c r="AB83" s="3"/>
      <c r="AC83" s="3" t="s">
        <v>82</v>
      </c>
      <c r="AD83" s="3" t="s">
        <v>83</v>
      </c>
      <c r="AE83" s="3"/>
      <c r="AF83" s="3" t="s">
        <v>102</v>
      </c>
      <c r="AG83" s="3" t="s">
        <v>211</v>
      </c>
      <c r="AH83" s="3"/>
    </row>
    <row r="84" spans="1:34" ht="14.25" customHeight="1" x14ac:dyDescent="0.25">
      <c r="A84" s="3" t="s">
        <v>108</v>
      </c>
      <c r="B84" s="3" t="s">
        <v>79</v>
      </c>
      <c r="C84" s="3"/>
      <c r="D84" s="3" t="s">
        <v>101</v>
      </c>
      <c r="E84" s="3">
        <v>1</v>
      </c>
      <c r="F84" s="3">
        <v>1</v>
      </c>
      <c r="G84" s="3" t="s">
        <v>2</v>
      </c>
      <c r="H84" s="11">
        <v>45747</v>
      </c>
      <c r="I84" s="12" t="s">
        <v>81</v>
      </c>
      <c r="J84" s="3">
        <v>4</v>
      </c>
      <c r="K84" s="3">
        <v>0</v>
      </c>
      <c r="L84" s="3">
        <v>0</v>
      </c>
      <c r="M84" s="3">
        <v>0</v>
      </c>
      <c r="N84" s="3">
        <v>0</v>
      </c>
      <c r="O84" s="3">
        <f t="shared" si="0"/>
        <v>4</v>
      </c>
      <c r="P84" s="3">
        <v>7</v>
      </c>
      <c r="Q84" s="3">
        <v>7</v>
      </c>
      <c r="R84" s="3">
        <v>7</v>
      </c>
      <c r="S84" s="3">
        <v>7</v>
      </c>
      <c r="T84" s="3">
        <v>3</v>
      </c>
      <c r="U84" s="3">
        <f t="shared" ref="U84:U93" si="14">SUM(P84:T84)</f>
        <v>31</v>
      </c>
      <c r="V84" s="13">
        <f t="shared" si="2"/>
        <v>0.12903225806451613</v>
      </c>
      <c r="W84" s="13">
        <f t="shared" si="10"/>
        <v>0.12903225806451613</v>
      </c>
      <c r="X84" s="3">
        <f t="shared" si="3"/>
        <v>31</v>
      </c>
      <c r="Y84" s="3">
        <f t="shared" si="11"/>
        <v>3.4408602150537632E-4</v>
      </c>
      <c r="Z84" s="3"/>
      <c r="AA84" s="3">
        <f t="shared" ref="AA84:AA88" si="15">30*2.5*5</f>
        <v>375</v>
      </c>
      <c r="AB84" s="3"/>
      <c r="AC84" s="3" t="s">
        <v>82</v>
      </c>
      <c r="AD84" s="3" t="s">
        <v>83</v>
      </c>
      <c r="AE84" s="3"/>
      <c r="AF84" s="3" t="s">
        <v>102</v>
      </c>
      <c r="AG84" s="3" t="s">
        <v>288</v>
      </c>
      <c r="AH84" s="3"/>
    </row>
    <row r="85" spans="1:34" ht="14.25" customHeight="1" x14ac:dyDescent="0.25">
      <c r="A85" s="3" t="s">
        <v>108</v>
      </c>
      <c r="B85" s="3" t="s">
        <v>79</v>
      </c>
      <c r="C85" s="3"/>
      <c r="D85" s="3" t="s">
        <v>101</v>
      </c>
      <c r="E85" s="3">
        <v>1</v>
      </c>
      <c r="F85" s="3">
        <v>1</v>
      </c>
      <c r="G85" s="3" t="s">
        <v>14</v>
      </c>
      <c r="H85" s="11">
        <v>45747</v>
      </c>
      <c r="I85" s="12" t="s">
        <v>81</v>
      </c>
      <c r="J85" s="3">
        <f>5+10+12+8+7+2</f>
        <v>44</v>
      </c>
      <c r="K85" s="3">
        <f>3+7+30+3</f>
        <v>43</v>
      </c>
      <c r="L85" s="3">
        <f>1+2+1+1+7+6</f>
        <v>18</v>
      </c>
      <c r="M85" s="3">
        <f>3+4+2+3+8</f>
        <v>20</v>
      </c>
      <c r="N85" s="3">
        <f>1+4+8</f>
        <v>13</v>
      </c>
      <c r="O85" s="3">
        <f t="shared" si="0"/>
        <v>138</v>
      </c>
      <c r="P85" s="3">
        <v>7</v>
      </c>
      <c r="Q85" s="3">
        <v>7</v>
      </c>
      <c r="R85" s="3">
        <v>7</v>
      </c>
      <c r="S85" s="3">
        <v>7</v>
      </c>
      <c r="T85" s="3">
        <v>3</v>
      </c>
      <c r="U85" s="3">
        <f t="shared" si="14"/>
        <v>31</v>
      </c>
      <c r="V85" s="13">
        <f t="shared" si="2"/>
        <v>4.4516129032258061</v>
      </c>
      <c r="W85" s="13">
        <f t="shared" si="10"/>
        <v>4.4516129032258061</v>
      </c>
      <c r="X85" s="3">
        <f t="shared" si="3"/>
        <v>31</v>
      </c>
      <c r="Y85" s="3">
        <f t="shared" si="11"/>
        <v>1.1870967741935483E-2</v>
      </c>
      <c r="Z85" s="3"/>
      <c r="AA85" s="3">
        <f t="shared" si="15"/>
        <v>375</v>
      </c>
      <c r="AB85" s="3"/>
      <c r="AC85" s="3" t="s">
        <v>82</v>
      </c>
      <c r="AD85" s="3" t="s">
        <v>83</v>
      </c>
      <c r="AE85" s="3"/>
      <c r="AF85" s="3" t="s">
        <v>102</v>
      </c>
      <c r="AG85" s="3" t="s">
        <v>288</v>
      </c>
      <c r="AH85" s="3"/>
    </row>
    <row r="86" spans="1:34" ht="14.25" customHeight="1" x14ac:dyDescent="0.25">
      <c r="A86" s="3" t="s">
        <v>108</v>
      </c>
      <c r="B86" s="3" t="s">
        <v>79</v>
      </c>
      <c r="C86" s="3"/>
      <c r="D86" s="3" t="s">
        <v>101</v>
      </c>
      <c r="E86" s="3">
        <v>1</v>
      </c>
      <c r="F86" s="3">
        <v>1</v>
      </c>
      <c r="G86" s="3" t="s">
        <v>16</v>
      </c>
      <c r="H86" s="11">
        <v>45747</v>
      </c>
      <c r="I86" s="12" t="s">
        <v>81</v>
      </c>
      <c r="J86" s="3">
        <v>3</v>
      </c>
      <c r="K86" s="3">
        <f>4+1</f>
        <v>5</v>
      </c>
      <c r="L86" s="3">
        <v>9</v>
      </c>
      <c r="M86" s="3">
        <f>5+4+1+1+5</f>
        <v>16</v>
      </c>
      <c r="N86" s="3">
        <f>2+9+9</f>
        <v>20</v>
      </c>
      <c r="O86" s="3">
        <f t="shared" si="0"/>
        <v>53</v>
      </c>
      <c r="P86" s="3">
        <v>7</v>
      </c>
      <c r="Q86" s="3">
        <v>7</v>
      </c>
      <c r="R86" s="3">
        <v>7</v>
      </c>
      <c r="S86" s="3">
        <v>7</v>
      </c>
      <c r="T86" s="3">
        <v>3</v>
      </c>
      <c r="U86" s="3">
        <f t="shared" si="14"/>
        <v>31</v>
      </c>
      <c r="V86" s="13">
        <f t="shared" si="2"/>
        <v>1.7096774193548387</v>
      </c>
      <c r="W86" s="13">
        <f t="shared" si="10"/>
        <v>1.7096774193548387</v>
      </c>
      <c r="X86" s="3">
        <f t="shared" si="3"/>
        <v>31</v>
      </c>
      <c r="Y86" s="3">
        <f t="shared" si="11"/>
        <v>4.5591397849462367E-3</v>
      </c>
      <c r="Z86" s="3"/>
      <c r="AA86" s="3">
        <f t="shared" si="15"/>
        <v>375</v>
      </c>
      <c r="AB86" s="3"/>
      <c r="AC86" s="3" t="s">
        <v>82</v>
      </c>
      <c r="AD86" s="3" t="s">
        <v>83</v>
      </c>
      <c r="AE86" s="3"/>
      <c r="AF86" s="3" t="s">
        <v>102</v>
      </c>
      <c r="AG86" s="3" t="s">
        <v>288</v>
      </c>
      <c r="AH86" s="3"/>
    </row>
    <row r="87" spans="1:34" ht="14.25" customHeight="1" x14ac:dyDescent="0.25">
      <c r="A87" s="3" t="s">
        <v>108</v>
      </c>
      <c r="B87" s="3" t="s">
        <v>79</v>
      </c>
      <c r="C87" s="3"/>
      <c r="D87" s="3" t="s">
        <v>101</v>
      </c>
      <c r="E87" s="3">
        <v>1</v>
      </c>
      <c r="F87" s="3">
        <v>1</v>
      </c>
      <c r="G87" s="3" t="s">
        <v>18</v>
      </c>
      <c r="H87" s="11">
        <v>45747</v>
      </c>
      <c r="I87" s="12" t="s">
        <v>81</v>
      </c>
      <c r="J87" s="3">
        <f>10+13+8+8+12+8</f>
        <v>59</v>
      </c>
      <c r="K87" s="3">
        <f>10+14+5+7+16+6+5</f>
        <v>63</v>
      </c>
      <c r="L87" s="3">
        <f>10+8+10+12+10+17+15</f>
        <v>82</v>
      </c>
      <c r="M87" s="3">
        <f>12+15+3+5+3+1</f>
        <v>39</v>
      </c>
      <c r="N87" s="3">
        <f>1+8+10</f>
        <v>19</v>
      </c>
      <c r="O87" s="3">
        <f t="shared" si="0"/>
        <v>262</v>
      </c>
      <c r="P87" s="3">
        <v>7</v>
      </c>
      <c r="Q87" s="3">
        <v>7</v>
      </c>
      <c r="R87" s="3">
        <v>7</v>
      </c>
      <c r="S87" s="3">
        <v>7</v>
      </c>
      <c r="T87" s="3">
        <v>3</v>
      </c>
      <c r="U87" s="3">
        <f t="shared" si="14"/>
        <v>31</v>
      </c>
      <c r="V87" s="13">
        <f t="shared" si="2"/>
        <v>8.4516129032258061</v>
      </c>
      <c r="W87" s="13">
        <f t="shared" si="10"/>
        <v>8.4516129032258061</v>
      </c>
      <c r="X87" s="3">
        <f t="shared" si="3"/>
        <v>31</v>
      </c>
      <c r="Y87" s="3">
        <f t="shared" si="11"/>
        <v>2.2537634408602149E-2</v>
      </c>
      <c r="Z87" s="3"/>
      <c r="AA87" s="3">
        <f t="shared" si="15"/>
        <v>375</v>
      </c>
      <c r="AB87" s="3"/>
      <c r="AC87" s="3" t="s">
        <v>82</v>
      </c>
      <c r="AD87" s="3" t="s">
        <v>83</v>
      </c>
      <c r="AE87" s="3"/>
      <c r="AF87" s="3" t="s">
        <v>102</v>
      </c>
      <c r="AG87" s="3" t="s">
        <v>288</v>
      </c>
      <c r="AH87" s="3"/>
    </row>
    <row r="88" spans="1:34" ht="14.25" customHeight="1" x14ac:dyDescent="0.25">
      <c r="A88" s="3" t="s">
        <v>108</v>
      </c>
      <c r="B88" s="3" t="s">
        <v>79</v>
      </c>
      <c r="C88" s="3"/>
      <c r="D88" s="3" t="s">
        <v>101</v>
      </c>
      <c r="E88" s="3">
        <v>1</v>
      </c>
      <c r="F88" s="3">
        <v>1</v>
      </c>
      <c r="G88" s="3" t="s">
        <v>22</v>
      </c>
      <c r="H88" s="11">
        <v>45747</v>
      </c>
      <c r="I88" s="12" t="s">
        <v>81</v>
      </c>
      <c r="J88" s="3">
        <f>2+1+1</f>
        <v>4</v>
      </c>
      <c r="K88" s="3">
        <f>1+2+1</f>
        <v>4</v>
      </c>
      <c r="L88" s="3">
        <v>0</v>
      </c>
      <c r="M88" s="3">
        <f>1+3+8+5</f>
        <v>17</v>
      </c>
      <c r="N88" s="3">
        <v>0</v>
      </c>
      <c r="O88" s="3">
        <f t="shared" si="0"/>
        <v>25</v>
      </c>
      <c r="P88" s="3">
        <v>7</v>
      </c>
      <c r="Q88" s="3">
        <v>7</v>
      </c>
      <c r="R88" s="3">
        <v>7</v>
      </c>
      <c r="S88" s="3">
        <v>7</v>
      </c>
      <c r="T88" s="3">
        <v>3</v>
      </c>
      <c r="U88" s="3">
        <f t="shared" si="14"/>
        <v>31</v>
      </c>
      <c r="V88" s="13">
        <f t="shared" si="2"/>
        <v>0.80645161290322576</v>
      </c>
      <c r="W88" s="13">
        <f t="shared" si="10"/>
        <v>0.80645161290322576</v>
      </c>
      <c r="X88" s="3">
        <f t="shared" si="3"/>
        <v>31</v>
      </c>
      <c r="Y88" s="3">
        <f t="shared" si="11"/>
        <v>2.1505376344086021E-3</v>
      </c>
      <c r="Z88" s="3"/>
      <c r="AA88" s="3">
        <f t="shared" si="15"/>
        <v>375</v>
      </c>
      <c r="AB88" s="3"/>
      <c r="AC88" s="3" t="s">
        <v>82</v>
      </c>
      <c r="AD88" s="3" t="s">
        <v>83</v>
      </c>
      <c r="AE88" s="3"/>
      <c r="AF88" s="3" t="s">
        <v>102</v>
      </c>
      <c r="AG88" s="3" t="s">
        <v>288</v>
      </c>
      <c r="AH88" s="3"/>
    </row>
    <row r="89" spans="1:34" ht="14.25" customHeight="1" x14ac:dyDescent="0.25">
      <c r="A89" s="3" t="s">
        <v>109</v>
      </c>
      <c r="B89" s="3" t="s">
        <v>79</v>
      </c>
      <c r="C89" s="3"/>
      <c r="D89" s="3" t="s">
        <v>101</v>
      </c>
      <c r="E89" s="3">
        <v>2</v>
      </c>
      <c r="F89" s="3">
        <v>1</v>
      </c>
      <c r="G89" s="3" t="s">
        <v>1</v>
      </c>
      <c r="H89" s="11">
        <v>45747</v>
      </c>
      <c r="I89" s="12" t="s">
        <v>81</v>
      </c>
      <c r="J89" s="3">
        <f>40+30+15+30</f>
        <v>115</v>
      </c>
      <c r="K89" s="3">
        <v>0</v>
      </c>
      <c r="L89" s="3">
        <v>10</v>
      </c>
      <c r="M89" s="3">
        <v>15</v>
      </c>
      <c r="N89" s="3">
        <v>0</v>
      </c>
      <c r="O89" s="3">
        <f t="shared" si="0"/>
        <v>140</v>
      </c>
      <c r="P89" s="3">
        <v>4</v>
      </c>
      <c r="Q89" s="3">
        <v>3</v>
      </c>
      <c r="R89" s="3">
        <v>4</v>
      </c>
      <c r="S89" s="3">
        <v>3</v>
      </c>
      <c r="T89" s="3">
        <v>1</v>
      </c>
      <c r="U89" s="3">
        <f t="shared" si="14"/>
        <v>15</v>
      </c>
      <c r="V89" s="13">
        <f t="shared" si="2"/>
        <v>9.3333333333333339</v>
      </c>
      <c r="W89" s="13">
        <f t="shared" si="10"/>
        <v>9.3333333333333339</v>
      </c>
      <c r="X89" s="3">
        <f t="shared" si="3"/>
        <v>15</v>
      </c>
      <c r="Y89" s="3" t="e">
        <f t="shared" si="11"/>
        <v>#DIV/0!</v>
      </c>
      <c r="Z89" s="3"/>
      <c r="AA89" s="3"/>
      <c r="AB89" s="3">
        <v>105</v>
      </c>
      <c r="AC89" s="3" t="s">
        <v>82</v>
      </c>
      <c r="AD89" s="3" t="s">
        <v>83</v>
      </c>
      <c r="AE89" s="3">
        <v>40</v>
      </c>
      <c r="AF89" s="3" t="s">
        <v>102</v>
      </c>
      <c r="AG89" s="3" t="s">
        <v>219</v>
      </c>
      <c r="AH89" s="3"/>
    </row>
    <row r="90" spans="1:34" ht="14.25" customHeight="1" x14ac:dyDescent="0.25">
      <c r="A90" s="3" t="s">
        <v>109</v>
      </c>
      <c r="B90" s="3" t="s">
        <v>79</v>
      </c>
      <c r="C90" s="3"/>
      <c r="D90" s="3" t="s">
        <v>101</v>
      </c>
      <c r="E90" s="3">
        <v>2</v>
      </c>
      <c r="F90" s="3">
        <v>1</v>
      </c>
      <c r="G90" s="3" t="s">
        <v>2</v>
      </c>
      <c r="H90" s="11">
        <v>45747</v>
      </c>
      <c r="I90" s="12" t="s">
        <v>81</v>
      </c>
      <c r="J90" s="3">
        <v>0</v>
      </c>
      <c r="K90" s="3">
        <v>13</v>
      </c>
      <c r="L90" s="3">
        <v>0</v>
      </c>
      <c r="M90" s="3">
        <v>0</v>
      </c>
      <c r="N90" s="3">
        <v>0</v>
      </c>
      <c r="O90" s="3">
        <f t="shared" si="0"/>
        <v>13</v>
      </c>
      <c r="P90" s="3">
        <v>4</v>
      </c>
      <c r="Q90" s="3">
        <v>3</v>
      </c>
      <c r="R90" s="3">
        <v>4</v>
      </c>
      <c r="S90" s="3">
        <v>3</v>
      </c>
      <c r="T90" s="3">
        <v>1</v>
      </c>
      <c r="U90" s="3">
        <f t="shared" si="14"/>
        <v>15</v>
      </c>
      <c r="V90" s="13">
        <f t="shared" si="2"/>
        <v>0.8666666666666667</v>
      </c>
      <c r="W90" s="13">
        <f t="shared" si="10"/>
        <v>0.8666666666666667</v>
      </c>
      <c r="X90" s="3">
        <f t="shared" si="3"/>
        <v>15</v>
      </c>
      <c r="Y90" s="3" t="e">
        <f t="shared" si="11"/>
        <v>#DIV/0!</v>
      </c>
      <c r="Z90" s="3"/>
      <c r="AA90" s="3"/>
      <c r="AB90" s="3">
        <v>105</v>
      </c>
      <c r="AC90" s="3" t="s">
        <v>82</v>
      </c>
      <c r="AD90" s="3" t="s">
        <v>83</v>
      </c>
      <c r="AE90" s="3">
        <v>40</v>
      </c>
      <c r="AF90" s="3" t="s">
        <v>102</v>
      </c>
      <c r="AG90" s="3" t="s">
        <v>219</v>
      </c>
      <c r="AH90" s="3"/>
    </row>
    <row r="91" spans="1:34" ht="14.25" customHeight="1" x14ac:dyDescent="0.25">
      <c r="A91" s="3" t="s">
        <v>109</v>
      </c>
      <c r="B91" s="3" t="s">
        <v>79</v>
      </c>
      <c r="C91" s="3"/>
      <c r="D91" s="3" t="s">
        <v>101</v>
      </c>
      <c r="E91" s="3">
        <v>2</v>
      </c>
      <c r="F91" s="3">
        <v>1</v>
      </c>
      <c r="G91" s="3" t="s">
        <v>14</v>
      </c>
      <c r="H91" s="11">
        <v>45747</v>
      </c>
      <c r="I91" s="12" t="s">
        <v>81</v>
      </c>
      <c r="J91" s="3">
        <v>0</v>
      </c>
      <c r="K91" s="3">
        <v>14</v>
      </c>
      <c r="L91" s="3">
        <f>15+20</f>
        <v>35</v>
      </c>
      <c r="M91" s="3">
        <v>0</v>
      </c>
      <c r="N91" s="3">
        <v>0</v>
      </c>
      <c r="O91" s="3">
        <f t="shared" si="0"/>
        <v>49</v>
      </c>
      <c r="P91" s="3">
        <v>4</v>
      </c>
      <c r="Q91" s="3">
        <v>3</v>
      </c>
      <c r="R91" s="3">
        <v>4</v>
      </c>
      <c r="S91" s="3">
        <v>3</v>
      </c>
      <c r="T91" s="3">
        <v>1</v>
      </c>
      <c r="U91" s="3">
        <f t="shared" si="14"/>
        <v>15</v>
      </c>
      <c r="V91" s="13">
        <f t="shared" si="2"/>
        <v>3.2666666666666666</v>
      </c>
      <c r="W91" s="13">
        <f t="shared" si="10"/>
        <v>3.2666666666666666</v>
      </c>
      <c r="X91" s="3">
        <f t="shared" si="3"/>
        <v>15</v>
      </c>
      <c r="Y91" s="3" t="e">
        <f t="shared" si="11"/>
        <v>#DIV/0!</v>
      </c>
      <c r="Z91" s="3"/>
      <c r="AA91" s="3"/>
      <c r="AB91" s="3">
        <v>105</v>
      </c>
      <c r="AC91" s="3" t="s">
        <v>82</v>
      </c>
      <c r="AD91" s="3" t="s">
        <v>83</v>
      </c>
      <c r="AE91" s="3">
        <v>40</v>
      </c>
      <c r="AF91" s="3" t="s">
        <v>102</v>
      </c>
      <c r="AG91" s="3" t="s">
        <v>219</v>
      </c>
      <c r="AH91" s="3"/>
    </row>
    <row r="92" spans="1:34" ht="14.25" customHeight="1" x14ac:dyDescent="0.25">
      <c r="A92" s="3" t="s">
        <v>109</v>
      </c>
      <c r="B92" s="3" t="s">
        <v>79</v>
      </c>
      <c r="C92" s="3"/>
      <c r="D92" s="3" t="s">
        <v>101</v>
      </c>
      <c r="E92" s="3">
        <v>2</v>
      </c>
      <c r="F92" s="3">
        <v>1</v>
      </c>
      <c r="G92" s="3" t="s">
        <v>16</v>
      </c>
      <c r="H92" s="11">
        <v>45747</v>
      </c>
      <c r="I92" s="12" t="s">
        <v>81</v>
      </c>
      <c r="J92" s="3">
        <v>0</v>
      </c>
      <c r="K92" s="3">
        <v>6</v>
      </c>
      <c r="L92" s="3">
        <v>2.9</v>
      </c>
      <c r="M92" s="3">
        <f>3+4</f>
        <v>7</v>
      </c>
      <c r="N92" s="3">
        <v>0</v>
      </c>
      <c r="O92" s="3">
        <f t="shared" si="0"/>
        <v>15.9</v>
      </c>
      <c r="P92" s="3">
        <v>4</v>
      </c>
      <c r="Q92" s="3">
        <v>3</v>
      </c>
      <c r="R92" s="3">
        <v>4</v>
      </c>
      <c r="S92" s="3">
        <v>3</v>
      </c>
      <c r="T92" s="3">
        <v>1</v>
      </c>
      <c r="U92" s="3">
        <f t="shared" si="14"/>
        <v>15</v>
      </c>
      <c r="V92" s="13">
        <f t="shared" si="2"/>
        <v>1.06</v>
      </c>
      <c r="W92" s="13">
        <f t="shared" si="10"/>
        <v>1.06</v>
      </c>
      <c r="X92" s="3">
        <f t="shared" si="3"/>
        <v>15</v>
      </c>
      <c r="Y92" s="3" t="e">
        <f t="shared" si="11"/>
        <v>#DIV/0!</v>
      </c>
      <c r="Z92" s="3"/>
      <c r="AA92" s="3"/>
      <c r="AB92" s="3">
        <v>105</v>
      </c>
      <c r="AC92" s="3" t="s">
        <v>82</v>
      </c>
      <c r="AD92" s="3" t="s">
        <v>83</v>
      </c>
      <c r="AE92" s="3">
        <v>40</v>
      </c>
      <c r="AF92" s="3" t="s">
        <v>102</v>
      </c>
      <c r="AG92" s="3" t="s">
        <v>219</v>
      </c>
      <c r="AH92" s="3"/>
    </row>
    <row r="93" spans="1:34" ht="14.25" customHeight="1" x14ac:dyDescent="0.25">
      <c r="A93" s="3" t="s">
        <v>109</v>
      </c>
      <c r="B93" s="3" t="s">
        <v>79</v>
      </c>
      <c r="C93" s="3"/>
      <c r="D93" s="3" t="s">
        <v>101</v>
      </c>
      <c r="E93" s="3">
        <v>2</v>
      </c>
      <c r="F93" s="3">
        <v>1</v>
      </c>
      <c r="G93" s="3" t="s">
        <v>18</v>
      </c>
      <c r="H93" s="11">
        <v>45747</v>
      </c>
      <c r="I93" s="12" t="s">
        <v>81</v>
      </c>
      <c r="J93" s="3">
        <v>0</v>
      </c>
      <c r="K93" s="3">
        <v>4</v>
      </c>
      <c r="L93" s="3">
        <f>7+6</f>
        <v>13</v>
      </c>
      <c r="M93" s="3">
        <v>18</v>
      </c>
      <c r="N93" s="3">
        <v>4</v>
      </c>
      <c r="O93" s="3">
        <f t="shared" si="0"/>
        <v>39</v>
      </c>
      <c r="P93" s="3">
        <v>4</v>
      </c>
      <c r="Q93" s="3">
        <v>3</v>
      </c>
      <c r="R93" s="3">
        <v>4</v>
      </c>
      <c r="S93" s="3">
        <v>3</v>
      </c>
      <c r="T93" s="3">
        <v>1</v>
      </c>
      <c r="U93" s="3">
        <f t="shared" si="14"/>
        <v>15</v>
      </c>
      <c r="V93" s="13">
        <f t="shared" si="2"/>
        <v>2.6</v>
      </c>
      <c r="W93" s="13">
        <f t="shared" si="10"/>
        <v>2.6</v>
      </c>
      <c r="X93" s="3">
        <f t="shared" si="3"/>
        <v>15</v>
      </c>
      <c r="Y93" s="3" t="e">
        <f t="shared" si="11"/>
        <v>#DIV/0!</v>
      </c>
      <c r="Z93" s="3"/>
      <c r="AA93" s="3"/>
      <c r="AB93" s="3">
        <v>105</v>
      </c>
      <c r="AC93" s="3" t="s">
        <v>82</v>
      </c>
      <c r="AD93" s="3" t="s">
        <v>83</v>
      </c>
      <c r="AE93" s="3">
        <v>40</v>
      </c>
      <c r="AF93" s="3" t="s">
        <v>102</v>
      </c>
      <c r="AG93" s="3" t="s">
        <v>219</v>
      </c>
      <c r="AH93" s="3"/>
    </row>
    <row r="94" spans="1:34" ht="14.25" customHeight="1" x14ac:dyDescent="0.25">
      <c r="A94" s="3" t="s">
        <v>110</v>
      </c>
      <c r="B94" s="3" t="s">
        <v>79</v>
      </c>
      <c r="C94" s="3"/>
      <c r="D94" s="3" t="s">
        <v>101</v>
      </c>
      <c r="E94" s="3">
        <v>2</v>
      </c>
      <c r="F94" s="3">
        <v>1</v>
      </c>
      <c r="G94" s="3" t="s">
        <v>2</v>
      </c>
      <c r="H94" s="11">
        <v>45747</v>
      </c>
      <c r="I94" s="12" t="s">
        <v>81</v>
      </c>
      <c r="J94" s="3">
        <v>12</v>
      </c>
      <c r="K94" s="3">
        <v>0</v>
      </c>
      <c r="L94" s="3">
        <v>22</v>
      </c>
      <c r="M94" s="3">
        <v>0</v>
      </c>
      <c r="N94" s="3">
        <v>0</v>
      </c>
      <c r="O94" s="3">
        <f t="shared" si="0"/>
        <v>34</v>
      </c>
      <c r="P94" s="3">
        <v>6</v>
      </c>
      <c r="Q94" s="3">
        <v>4</v>
      </c>
      <c r="R94" s="3">
        <v>2</v>
      </c>
      <c r="S94" s="3">
        <v>5</v>
      </c>
      <c r="T94" s="3">
        <v>0</v>
      </c>
      <c r="U94" s="3">
        <v>26</v>
      </c>
      <c r="V94" s="13">
        <f t="shared" si="2"/>
        <v>1.3076923076923077</v>
      </c>
      <c r="W94" s="13">
        <f t="shared" si="10"/>
        <v>1.3076923076923077</v>
      </c>
      <c r="X94" s="3">
        <f t="shared" si="3"/>
        <v>26</v>
      </c>
      <c r="Y94" s="3" t="e">
        <f t="shared" si="11"/>
        <v>#DIV/0!</v>
      </c>
      <c r="Z94" s="3"/>
      <c r="AA94" s="3"/>
      <c r="AB94" s="3"/>
      <c r="AC94" s="3" t="s">
        <v>82</v>
      </c>
      <c r="AD94" s="3" t="s">
        <v>83</v>
      </c>
      <c r="AE94" s="3"/>
      <c r="AF94" s="3" t="s">
        <v>102</v>
      </c>
      <c r="AG94" s="3" t="s">
        <v>220</v>
      </c>
      <c r="AH94" s="3"/>
    </row>
    <row r="95" spans="1:34" ht="14.25" customHeight="1" x14ac:dyDescent="0.25">
      <c r="A95" s="3" t="s">
        <v>110</v>
      </c>
      <c r="B95" s="3" t="s">
        <v>79</v>
      </c>
      <c r="C95" s="3"/>
      <c r="D95" s="3" t="s">
        <v>101</v>
      </c>
      <c r="E95" s="3">
        <v>2</v>
      </c>
      <c r="F95" s="3">
        <v>1</v>
      </c>
      <c r="G95" s="3" t="s">
        <v>14</v>
      </c>
      <c r="H95" s="11">
        <v>45747</v>
      </c>
      <c r="I95" s="12" t="s">
        <v>81</v>
      </c>
      <c r="J95" s="3">
        <v>0</v>
      </c>
      <c r="K95" s="3">
        <f>11+9</f>
        <v>20</v>
      </c>
      <c r="L95" s="3">
        <v>0</v>
      </c>
      <c r="M95" s="3">
        <v>15</v>
      </c>
      <c r="N95" s="3">
        <v>0</v>
      </c>
      <c r="O95" s="3">
        <f t="shared" si="0"/>
        <v>35</v>
      </c>
      <c r="P95" s="3">
        <v>6</v>
      </c>
      <c r="Q95" s="3">
        <v>4</v>
      </c>
      <c r="R95" s="3">
        <v>2</v>
      </c>
      <c r="S95" s="3">
        <v>5</v>
      </c>
      <c r="T95" s="3">
        <v>0</v>
      </c>
      <c r="U95" s="3">
        <v>26</v>
      </c>
      <c r="V95" s="13">
        <f t="shared" si="2"/>
        <v>1.3461538461538463</v>
      </c>
      <c r="W95" s="13">
        <f t="shared" si="10"/>
        <v>1.3461538461538463</v>
      </c>
      <c r="X95" s="3">
        <f t="shared" si="3"/>
        <v>26</v>
      </c>
      <c r="Y95" s="3" t="e">
        <f t="shared" si="11"/>
        <v>#DIV/0!</v>
      </c>
      <c r="Z95" s="3"/>
      <c r="AA95" s="3"/>
      <c r="AB95" s="3"/>
      <c r="AC95" s="3" t="s">
        <v>82</v>
      </c>
      <c r="AD95" s="3" t="s">
        <v>83</v>
      </c>
      <c r="AE95" s="3"/>
      <c r="AF95" s="3" t="s">
        <v>102</v>
      </c>
      <c r="AG95" s="3" t="s">
        <v>220</v>
      </c>
      <c r="AH95" s="3"/>
    </row>
    <row r="96" spans="1:34" ht="14.25" customHeight="1" x14ac:dyDescent="0.25">
      <c r="A96" s="3" t="s">
        <v>110</v>
      </c>
      <c r="B96" s="3" t="s">
        <v>79</v>
      </c>
      <c r="C96" s="3"/>
      <c r="D96" s="3" t="s">
        <v>101</v>
      </c>
      <c r="E96" s="3">
        <v>2</v>
      </c>
      <c r="F96" s="3">
        <v>1</v>
      </c>
      <c r="G96" s="3" t="s">
        <v>16</v>
      </c>
      <c r="H96" s="11">
        <v>45747</v>
      </c>
      <c r="I96" s="12" t="s">
        <v>81</v>
      </c>
      <c r="J96" s="3">
        <f>10+8+3+9+6</f>
        <v>36</v>
      </c>
      <c r="K96" s="3">
        <v>25</v>
      </c>
      <c r="L96" s="3">
        <v>11</v>
      </c>
      <c r="M96" s="3">
        <f>9+14+12</f>
        <v>35</v>
      </c>
      <c r="N96" s="3">
        <v>0</v>
      </c>
      <c r="O96" s="3">
        <f t="shared" si="0"/>
        <v>107</v>
      </c>
      <c r="P96" s="3">
        <v>6</v>
      </c>
      <c r="Q96" s="3">
        <v>4</v>
      </c>
      <c r="R96" s="3">
        <v>2</v>
      </c>
      <c r="S96" s="3">
        <v>5</v>
      </c>
      <c r="T96" s="3">
        <v>0</v>
      </c>
      <c r="U96" s="3">
        <v>26</v>
      </c>
      <c r="V96" s="13">
        <f t="shared" si="2"/>
        <v>4.115384615384615</v>
      </c>
      <c r="W96" s="13">
        <f t="shared" si="10"/>
        <v>4.115384615384615</v>
      </c>
      <c r="X96" s="3">
        <f t="shared" si="3"/>
        <v>26</v>
      </c>
      <c r="Y96" s="3" t="e">
        <f t="shared" si="11"/>
        <v>#DIV/0!</v>
      </c>
      <c r="Z96" s="3"/>
      <c r="AA96" s="3"/>
      <c r="AB96" s="3"/>
      <c r="AC96" s="3" t="s">
        <v>82</v>
      </c>
      <c r="AD96" s="3" t="s">
        <v>83</v>
      </c>
      <c r="AE96" s="3"/>
      <c r="AF96" s="3" t="s">
        <v>102</v>
      </c>
      <c r="AG96" s="3" t="s">
        <v>220</v>
      </c>
      <c r="AH96" s="3"/>
    </row>
    <row r="97" spans="1:34" ht="14.25" customHeight="1" x14ac:dyDescent="0.25">
      <c r="A97" s="3" t="s">
        <v>110</v>
      </c>
      <c r="B97" s="3" t="s">
        <v>79</v>
      </c>
      <c r="C97" s="3"/>
      <c r="D97" s="3" t="s">
        <v>101</v>
      </c>
      <c r="E97" s="3">
        <v>2</v>
      </c>
      <c r="F97" s="3">
        <v>1</v>
      </c>
      <c r="G97" s="3" t="s">
        <v>18</v>
      </c>
      <c r="H97" s="11">
        <v>45747</v>
      </c>
      <c r="I97" s="12" t="s">
        <v>81</v>
      </c>
      <c r="J97" s="3">
        <f>15+17</f>
        <v>32</v>
      </c>
      <c r="K97" s="3">
        <v>0</v>
      </c>
      <c r="L97" s="3">
        <v>0</v>
      </c>
      <c r="M97" s="3">
        <v>16</v>
      </c>
      <c r="N97" s="3">
        <v>0</v>
      </c>
      <c r="O97" s="3">
        <f t="shared" si="0"/>
        <v>48</v>
      </c>
      <c r="P97" s="3">
        <v>6</v>
      </c>
      <c r="Q97" s="3">
        <v>4</v>
      </c>
      <c r="R97" s="3">
        <v>2</v>
      </c>
      <c r="S97" s="3">
        <v>5</v>
      </c>
      <c r="T97" s="3">
        <v>0</v>
      </c>
      <c r="U97" s="3">
        <v>26</v>
      </c>
      <c r="V97" s="13">
        <f t="shared" si="2"/>
        <v>1.8461538461538463</v>
      </c>
      <c r="W97" s="13">
        <f t="shared" si="10"/>
        <v>1.8461538461538463</v>
      </c>
      <c r="X97" s="3">
        <f t="shared" si="3"/>
        <v>26</v>
      </c>
      <c r="Y97" s="3" t="e">
        <f t="shared" si="11"/>
        <v>#DIV/0!</v>
      </c>
      <c r="Z97" s="3"/>
      <c r="AA97" s="3"/>
      <c r="AB97" s="3"/>
      <c r="AC97" s="3" t="s">
        <v>82</v>
      </c>
      <c r="AD97" s="3" t="s">
        <v>83</v>
      </c>
      <c r="AE97" s="3"/>
      <c r="AF97" s="3" t="s">
        <v>102</v>
      </c>
      <c r="AG97" s="3" t="s">
        <v>220</v>
      </c>
      <c r="AH97" s="3"/>
    </row>
    <row r="98" spans="1:34" ht="14.25" customHeight="1" x14ac:dyDescent="0.25">
      <c r="A98" s="3" t="s">
        <v>110</v>
      </c>
      <c r="B98" s="3" t="s">
        <v>79</v>
      </c>
      <c r="C98" s="3"/>
      <c r="D98" s="3" t="s">
        <v>101</v>
      </c>
      <c r="E98" s="3">
        <v>2</v>
      </c>
      <c r="F98" s="3">
        <v>1</v>
      </c>
      <c r="G98" s="3" t="s">
        <v>22</v>
      </c>
      <c r="H98" s="11">
        <v>45747</v>
      </c>
      <c r="I98" s="12" t="s">
        <v>81</v>
      </c>
      <c r="J98" s="3">
        <v>0</v>
      </c>
      <c r="K98" s="3">
        <f>5+7</f>
        <v>12</v>
      </c>
      <c r="L98" s="3">
        <v>0</v>
      </c>
      <c r="M98" s="3">
        <v>21</v>
      </c>
      <c r="N98" s="3">
        <v>0</v>
      </c>
      <c r="O98" s="3">
        <f t="shared" si="0"/>
        <v>33</v>
      </c>
      <c r="P98" s="3">
        <v>6</v>
      </c>
      <c r="Q98" s="3">
        <v>4</v>
      </c>
      <c r="R98" s="3">
        <v>2</v>
      </c>
      <c r="S98" s="3">
        <v>5</v>
      </c>
      <c r="T98" s="3">
        <v>0</v>
      </c>
      <c r="U98" s="3">
        <v>26</v>
      </c>
      <c r="V98" s="13">
        <f t="shared" si="2"/>
        <v>1.2692307692307692</v>
      </c>
      <c r="W98" s="13">
        <f t="shared" si="10"/>
        <v>1.2692307692307692</v>
      </c>
      <c r="X98" s="3">
        <f t="shared" si="3"/>
        <v>26</v>
      </c>
      <c r="Y98" s="3" t="e">
        <f t="shared" si="11"/>
        <v>#DIV/0!</v>
      </c>
      <c r="Z98" s="3"/>
      <c r="AA98" s="3"/>
      <c r="AB98" s="3"/>
      <c r="AC98" s="3" t="s">
        <v>82</v>
      </c>
      <c r="AD98" s="3" t="s">
        <v>83</v>
      </c>
      <c r="AE98" s="3"/>
      <c r="AF98" s="3" t="s">
        <v>102</v>
      </c>
      <c r="AG98" s="3" t="s">
        <v>220</v>
      </c>
      <c r="AH98" s="3"/>
    </row>
    <row r="99" spans="1:34" ht="14.25" customHeight="1" x14ac:dyDescent="0.25">
      <c r="A99" s="3" t="s">
        <v>111</v>
      </c>
      <c r="B99" s="3" t="s">
        <v>79</v>
      </c>
      <c r="C99" s="3"/>
      <c r="D99" s="3" t="s">
        <v>101</v>
      </c>
      <c r="E99" s="3">
        <v>2</v>
      </c>
      <c r="F99" s="3">
        <v>1</v>
      </c>
      <c r="G99" s="3" t="s">
        <v>1</v>
      </c>
      <c r="H99" s="11">
        <v>45747</v>
      </c>
      <c r="I99" s="12" t="s">
        <v>81</v>
      </c>
      <c r="J99" s="3">
        <v>0</v>
      </c>
      <c r="K99" s="3">
        <v>20</v>
      </c>
      <c r="L99" s="3">
        <v>0</v>
      </c>
      <c r="M99" s="3">
        <v>0</v>
      </c>
      <c r="N99" s="3">
        <v>0</v>
      </c>
      <c r="O99" s="3">
        <f t="shared" si="0"/>
        <v>20</v>
      </c>
      <c r="P99" s="3">
        <v>2</v>
      </c>
      <c r="Q99" s="3">
        <v>2</v>
      </c>
      <c r="R99" s="3">
        <v>1</v>
      </c>
      <c r="S99" s="3">
        <v>2</v>
      </c>
      <c r="T99" s="3">
        <v>0</v>
      </c>
      <c r="U99" s="3">
        <f t="shared" ref="U99:U140" si="16">SUM(P99:T99)</f>
        <v>7</v>
      </c>
      <c r="V99" s="13">
        <f t="shared" si="2"/>
        <v>2.8571428571428572</v>
      </c>
      <c r="W99" s="13">
        <f t="shared" si="10"/>
        <v>2.8571428571428572</v>
      </c>
      <c r="X99" s="3">
        <f t="shared" si="3"/>
        <v>7</v>
      </c>
      <c r="Y99" s="3" t="e">
        <f t="shared" si="11"/>
        <v>#DIV/0!</v>
      </c>
      <c r="Z99" s="3"/>
      <c r="AA99" s="3"/>
      <c r="AB99" s="3"/>
      <c r="AC99" s="3" t="s">
        <v>82</v>
      </c>
      <c r="AD99" s="3" t="s">
        <v>83</v>
      </c>
      <c r="AE99" s="3">
        <v>50</v>
      </c>
      <c r="AF99" s="3" t="s">
        <v>102</v>
      </c>
      <c r="AG99" s="3" t="s">
        <v>198</v>
      </c>
      <c r="AH99" s="3"/>
    </row>
    <row r="100" spans="1:34" ht="14.25" customHeight="1" x14ac:dyDescent="0.25">
      <c r="A100" s="3" t="s">
        <v>111</v>
      </c>
      <c r="B100" s="3" t="s">
        <v>79</v>
      </c>
      <c r="C100" s="3"/>
      <c r="D100" s="3" t="s">
        <v>101</v>
      </c>
      <c r="E100" s="3">
        <v>2</v>
      </c>
      <c r="F100" s="3">
        <v>1</v>
      </c>
      <c r="G100" s="3" t="s">
        <v>16</v>
      </c>
      <c r="H100" s="11">
        <v>45747</v>
      </c>
      <c r="I100" s="12" t="s">
        <v>81</v>
      </c>
      <c r="J100" s="3">
        <v>0</v>
      </c>
      <c r="K100" s="3">
        <v>0</v>
      </c>
      <c r="L100" s="3">
        <v>4.2</v>
      </c>
      <c r="M100" s="3">
        <v>0</v>
      </c>
      <c r="N100" s="3">
        <v>0</v>
      </c>
      <c r="O100" s="3">
        <f t="shared" si="0"/>
        <v>4.2</v>
      </c>
      <c r="P100" s="3">
        <v>2</v>
      </c>
      <c r="Q100" s="3">
        <v>2</v>
      </c>
      <c r="R100" s="3">
        <v>1</v>
      </c>
      <c r="S100" s="3">
        <v>2</v>
      </c>
      <c r="T100" s="3">
        <v>0</v>
      </c>
      <c r="U100" s="3">
        <f t="shared" si="16"/>
        <v>7</v>
      </c>
      <c r="V100" s="13">
        <f t="shared" si="2"/>
        <v>0.6</v>
      </c>
      <c r="W100" s="13">
        <f t="shared" si="10"/>
        <v>0.6</v>
      </c>
      <c r="X100" s="3">
        <f t="shared" si="3"/>
        <v>7</v>
      </c>
      <c r="Y100" s="3" t="e">
        <f t="shared" si="11"/>
        <v>#DIV/0!</v>
      </c>
      <c r="Z100" s="3"/>
      <c r="AA100" s="3"/>
      <c r="AB100" s="3"/>
      <c r="AC100" s="3" t="s">
        <v>82</v>
      </c>
      <c r="AD100" s="3" t="s">
        <v>83</v>
      </c>
      <c r="AE100" s="3">
        <v>50</v>
      </c>
      <c r="AF100" s="3" t="s">
        <v>102</v>
      </c>
      <c r="AG100" s="3" t="s">
        <v>198</v>
      </c>
      <c r="AH100" s="3"/>
    </row>
    <row r="101" spans="1:34" ht="14.25" customHeight="1" x14ac:dyDescent="0.25">
      <c r="A101" s="3" t="s">
        <v>111</v>
      </c>
      <c r="B101" s="3" t="s">
        <v>79</v>
      </c>
      <c r="C101" s="3"/>
      <c r="D101" s="3" t="s">
        <v>101</v>
      </c>
      <c r="E101" s="3">
        <v>2</v>
      </c>
      <c r="F101" s="3">
        <v>1</v>
      </c>
      <c r="G101" s="3" t="s">
        <v>18</v>
      </c>
      <c r="H101" s="11">
        <v>45747</v>
      </c>
      <c r="I101" s="12" t="s">
        <v>81</v>
      </c>
      <c r="J101" s="3">
        <f>10+5</f>
        <v>15</v>
      </c>
      <c r="K101" s="3">
        <v>0</v>
      </c>
      <c r="L101" s="3">
        <v>2.8</v>
      </c>
      <c r="M101" s="3">
        <f>6+8</f>
        <v>14</v>
      </c>
      <c r="N101" s="3">
        <v>0</v>
      </c>
      <c r="O101" s="3">
        <f t="shared" si="0"/>
        <v>31.8</v>
      </c>
      <c r="P101" s="3">
        <v>2</v>
      </c>
      <c r="Q101" s="3">
        <v>2</v>
      </c>
      <c r="R101" s="3">
        <v>1</v>
      </c>
      <c r="S101" s="3">
        <v>2</v>
      </c>
      <c r="T101" s="3">
        <v>0</v>
      </c>
      <c r="U101" s="3">
        <f t="shared" si="16"/>
        <v>7</v>
      </c>
      <c r="V101" s="13">
        <f t="shared" si="2"/>
        <v>4.5428571428571427</v>
      </c>
      <c r="W101" s="13">
        <f t="shared" si="10"/>
        <v>4.5428571428571427</v>
      </c>
      <c r="X101" s="3">
        <f t="shared" si="3"/>
        <v>7</v>
      </c>
      <c r="Y101" s="3" t="e">
        <f t="shared" si="11"/>
        <v>#DIV/0!</v>
      </c>
      <c r="Z101" s="3"/>
      <c r="AA101" s="3"/>
      <c r="AB101" s="3"/>
      <c r="AC101" s="3" t="s">
        <v>82</v>
      </c>
      <c r="AD101" s="3" t="s">
        <v>83</v>
      </c>
      <c r="AE101" s="3">
        <v>50</v>
      </c>
      <c r="AF101" s="3" t="s">
        <v>102</v>
      </c>
      <c r="AG101" s="3" t="s">
        <v>198</v>
      </c>
      <c r="AH101" s="3"/>
    </row>
    <row r="102" spans="1:34" ht="14.25" customHeight="1" x14ac:dyDescent="0.25">
      <c r="A102" s="3" t="s">
        <v>111</v>
      </c>
      <c r="B102" s="3" t="s">
        <v>79</v>
      </c>
      <c r="C102" s="3"/>
      <c r="D102" s="3" t="s">
        <v>101</v>
      </c>
      <c r="E102" s="3">
        <v>2</v>
      </c>
      <c r="F102" s="3">
        <v>1</v>
      </c>
      <c r="G102" s="3" t="s">
        <v>22</v>
      </c>
      <c r="H102" s="11">
        <v>45747</v>
      </c>
      <c r="I102" s="12" t="s">
        <v>81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  <c r="O102" s="3">
        <f t="shared" si="0"/>
        <v>3</v>
      </c>
      <c r="P102" s="3">
        <v>2</v>
      </c>
      <c r="Q102" s="3">
        <v>2</v>
      </c>
      <c r="R102" s="3">
        <v>1</v>
      </c>
      <c r="S102" s="3">
        <v>2</v>
      </c>
      <c r="T102" s="3">
        <v>0</v>
      </c>
      <c r="U102" s="3">
        <f t="shared" si="16"/>
        <v>7</v>
      </c>
      <c r="V102" s="13">
        <f t="shared" si="2"/>
        <v>0.42857142857142855</v>
      </c>
      <c r="W102" s="13">
        <f t="shared" si="10"/>
        <v>0.42857142857142855</v>
      </c>
      <c r="X102" s="3">
        <f t="shared" si="3"/>
        <v>7</v>
      </c>
      <c r="Y102" s="3" t="e">
        <f t="shared" si="11"/>
        <v>#DIV/0!</v>
      </c>
      <c r="Z102" s="3"/>
      <c r="AA102" s="3"/>
      <c r="AB102" s="3"/>
      <c r="AC102" s="3" t="s">
        <v>82</v>
      </c>
      <c r="AD102" s="3" t="s">
        <v>83</v>
      </c>
      <c r="AE102" s="3">
        <v>50</v>
      </c>
      <c r="AF102" s="3" t="s">
        <v>102</v>
      </c>
      <c r="AG102" s="3" t="s">
        <v>198</v>
      </c>
      <c r="AH102" s="3"/>
    </row>
    <row r="103" spans="1:34" ht="14.25" customHeight="1" x14ac:dyDescent="0.25">
      <c r="A103" s="3" t="s">
        <v>112</v>
      </c>
      <c r="B103" s="3" t="s">
        <v>79</v>
      </c>
      <c r="C103" s="3"/>
      <c r="D103" s="3" t="s">
        <v>101</v>
      </c>
      <c r="E103" s="3">
        <v>2</v>
      </c>
      <c r="F103" s="3">
        <v>1</v>
      </c>
      <c r="G103" s="3" t="s">
        <v>14</v>
      </c>
      <c r="H103" s="11">
        <v>45747</v>
      </c>
      <c r="I103" s="12" t="s">
        <v>81</v>
      </c>
      <c r="J103" s="3">
        <v>3</v>
      </c>
      <c r="K103" s="3">
        <v>0</v>
      </c>
      <c r="L103" s="3">
        <v>0</v>
      </c>
      <c r="M103" s="3">
        <v>0</v>
      </c>
      <c r="N103" s="3">
        <v>0</v>
      </c>
      <c r="O103" s="3">
        <f t="shared" si="0"/>
        <v>3</v>
      </c>
      <c r="P103" s="3">
        <v>6</v>
      </c>
      <c r="Q103" s="3">
        <v>7</v>
      </c>
      <c r="R103" s="3">
        <v>7</v>
      </c>
      <c r="S103" s="3">
        <v>7</v>
      </c>
      <c r="T103" s="3">
        <v>3</v>
      </c>
      <c r="U103" s="3">
        <f t="shared" si="16"/>
        <v>30</v>
      </c>
      <c r="V103" s="13">
        <f t="shared" si="2"/>
        <v>0.1</v>
      </c>
      <c r="W103" s="13">
        <f t="shared" si="10"/>
        <v>0.1</v>
      </c>
      <c r="X103" s="3">
        <f t="shared" si="3"/>
        <v>30</v>
      </c>
      <c r="Y103" s="3" t="e">
        <f t="shared" si="11"/>
        <v>#DIV/0!</v>
      </c>
      <c r="Z103" s="3"/>
      <c r="AA103" s="3"/>
      <c r="AB103" s="3"/>
      <c r="AC103" s="3" t="s">
        <v>82</v>
      </c>
      <c r="AD103" s="3" t="s">
        <v>83</v>
      </c>
      <c r="AE103" s="3"/>
      <c r="AF103" s="3" t="s">
        <v>102</v>
      </c>
      <c r="AG103" s="3" t="s">
        <v>206</v>
      </c>
      <c r="AH103" s="3"/>
    </row>
    <row r="104" spans="1:34" ht="14.25" customHeight="1" x14ac:dyDescent="0.25">
      <c r="A104" s="3" t="s">
        <v>112</v>
      </c>
      <c r="B104" s="3" t="s">
        <v>79</v>
      </c>
      <c r="C104" s="3"/>
      <c r="D104" s="3" t="s">
        <v>101</v>
      </c>
      <c r="E104" s="3">
        <v>2</v>
      </c>
      <c r="F104" s="3">
        <v>1</v>
      </c>
      <c r="G104" s="3" t="s">
        <v>16</v>
      </c>
      <c r="H104" s="11">
        <v>45747</v>
      </c>
      <c r="I104" s="12" t="s">
        <v>81</v>
      </c>
      <c r="J104" s="3">
        <f>2+5+8+3+7</f>
        <v>25</v>
      </c>
      <c r="K104" s="3">
        <f>5+10+8+1+4+2</f>
        <v>30</v>
      </c>
      <c r="L104" s="3">
        <f>1+3+4+5+1</f>
        <v>14</v>
      </c>
      <c r="M104" s="3">
        <f>9+8+7+6</f>
        <v>30</v>
      </c>
      <c r="N104" s="3">
        <f>5+4+1</f>
        <v>10</v>
      </c>
      <c r="O104" s="3">
        <f t="shared" si="0"/>
        <v>109</v>
      </c>
      <c r="P104" s="3">
        <v>6</v>
      </c>
      <c r="Q104" s="3">
        <v>7</v>
      </c>
      <c r="R104" s="3">
        <v>7</v>
      </c>
      <c r="S104" s="3">
        <v>7</v>
      </c>
      <c r="T104" s="3">
        <v>3</v>
      </c>
      <c r="U104" s="3">
        <f t="shared" si="16"/>
        <v>30</v>
      </c>
      <c r="V104" s="13">
        <f t="shared" si="2"/>
        <v>3.6333333333333333</v>
      </c>
      <c r="W104" s="13">
        <f t="shared" si="10"/>
        <v>3.6333333333333333</v>
      </c>
      <c r="X104" s="3">
        <f t="shared" si="3"/>
        <v>30</v>
      </c>
      <c r="Y104" s="3" t="e">
        <f t="shared" si="11"/>
        <v>#DIV/0!</v>
      </c>
      <c r="Z104" s="3"/>
      <c r="AA104" s="3"/>
      <c r="AB104" s="3"/>
      <c r="AC104" s="3" t="s">
        <v>82</v>
      </c>
      <c r="AD104" s="3" t="s">
        <v>83</v>
      </c>
      <c r="AE104" s="3"/>
      <c r="AF104" s="3" t="s">
        <v>102</v>
      </c>
      <c r="AG104" s="3" t="s">
        <v>206</v>
      </c>
      <c r="AH104" s="3"/>
    </row>
    <row r="105" spans="1:34" ht="14.25" customHeight="1" x14ac:dyDescent="0.25">
      <c r="A105" s="3" t="s">
        <v>112</v>
      </c>
      <c r="B105" s="3" t="s">
        <v>79</v>
      </c>
      <c r="C105" s="3"/>
      <c r="D105" s="3" t="s">
        <v>101</v>
      </c>
      <c r="E105" s="3">
        <v>2</v>
      </c>
      <c r="F105" s="3">
        <v>1</v>
      </c>
      <c r="G105" s="3" t="s">
        <v>18</v>
      </c>
      <c r="H105" s="11">
        <v>45747</v>
      </c>
      <c r="I105" s="12" t="s">
        <v>81</v>
      </c>
      <c r="J105" s="3">
        <f>1+2+2+2+3</f>
        <v>10</v>
      </c>
      <c r="K105" s="3">
        <f>2+9+2+1+3</f>
        <v>17</v>
      </c>
      <c r="L105" s="3">
        <f>5+9+3</f>
        <v>17</v>
      </c>
      <c r="M105" s="3">
        <f>3+4+7+5</f>
        <v>19</v>
      </c>
      <c r="N105" s="3">
        <f>2+2</f>
        <v>4</v>
      </c>
      <c r="O105" s="3">
        <f t="shared" si="0"/>
        <v>67</v>
      </c>
      <c r="P105" s="3">
        <v>6</v>
      </c>
      <c r="Q105" s="3">
        <v>7</v>
      </c>
      <c r="R105" s="3">
        <v>7</v>
      </c>
      <c r="S105" s="3">
        <v>7</v>
      </c>
      <c r="T105" s="3">
        <v>3</v>
      </c>
      <c r="U105" s="3">
        <f t="shared" si="16"/>
        <v>30</v>
      </c>
      <c r="V105" s="13">
        <f t="shared" si="2"/>
        <v>2.2333333333333334</v>
      </c>
      <c r="W105" s="13">
        <f t="shared" si="10"/>
        <v>2.2333333333333334</v>
      </c>
      <c r="X105" s="3">
        <f t="shared" si="3"/>
        <v>30</v>
      </c>
      <c r="Y105" s="3" t="e">
        <f t="shared" si="11"/>
        <v>#DIV/0!</v>
      </c>
      <c r="Z105" s="3"/>
      <c r="AA105" s="3"/>
      <c r="AB105" s="3"/>
      <c r="AC105" s="3" t="s">
        <v>82</v>
      </c>
      <c r="AD105" s="3" t="s">
        <v>83</v>
      </c>
      <c r="AE105" s="3"/>
      <c r="AF105" s="3" t="s">
        <v>102</v>
      </c>
      <c r="AG105" s="3" t="s">
        <v>206</v>
      </c>
      <c r="AH105" s="3"/>
    </row>
    <row r="106" spans="1:34" ht="14.25" customHeight="1" x14ac:dyDescent="0.25">
      <c r="A106" s="3" t="s">
        <v>112</v>
      </c>
      <c r="B106" s="3" t="s">
        <v>79</v>
      </c>
      <c r="C106" s="3"/>
      <c r="D106" s="3" t="s">
        <v>101</v>
      </c>
      <c r="E106" s="3">
        <v>2</v>
      </c>
      <c r="F106" s="3">
        <v>1</v>
      </c>
      <c r="G106" s="3" t="s">
        <v>22</v>
      </c>
      <c r="H106" s="11">
        <v>45747</v>
      </c>
      <c r="I106" s="12" t="s">
        <v>81</v>
      </c>
      <c r="J106" s="3">
        <v>1</v>
      </c>
      <c r="K106" s="3">
        <v>0</v>
      </c>
      <c r="L106" s="3">
        <v>1</v>
      </c>
      <c r="M106" s="3">
        <v>2</v>
      </c>
      <c r="N106" s="3">
        <v>0</v>
      </c>
      <c r="O106" s="3">
        <f t="shared" si="0"/>
        <v>4</v>
      </c>
      <c r="P106" s="3">
        <v>6</v>
      </c>
      <c r="Q106" s="3">
        <v>7</v>
      </c>
      <c r="R106" s="3">
        <v>7</v>
      </c>
      <c r="S106" s="3">
        <v>7</v>
      </c>
      <c r="T106" s="3">
        <v>3</v>
      </c>
      <c r="U106" s="3">
        <f t="shared" si="16"/>
        <v>30</v>
      </c>
      <c r="V106" s="13">
        <f t="shared" si="2"/>
        <v>0.13333333333333333</v>
      </c>
      <c r="W106" s="13">
        <f t="shared" si="10"/>
        <v>0.13333333333333333</v>
      </c>
      <c r="X106" s="3">
        <f t="shared" si="3"/>
        <v>30</v>
      </c>
      <c r="Y106" s="3" t="e">
        <f t="shared" si="11"/>
        <v>#DIV/0!</v>
      </c>
      <c r="Z106" s="3"/>
      <c r="AA106" s="3"/>
      <c r="AB106" s="3"/>
      <c r="AC106" s="3" t="s">
        <v>82</v>
      </c>
      <c r="AD106" s="3" t="s">
        <v>83</v>
      </c>
      <c r="AE106" s="3"/>
      <c r="AF106" s="3" t="s">
        <v>102</v>
      </c>
      <c r="AG106" s="3" t="s">
        <v>206</v>
      </c>
      <c r="AH106" s="3"/>
    </row>
    <row r="107" spans="1:34" ht="14.25" customHeight="1" x14ac:dyDescent="0.25">
      <c r="A107" s="3" t="s">
        <v>113</v>
      </c>
      <c r="B107" s="3" t="s">
        <v>79</v>
      </c>
      <c r="C107" s="3"/>
      <c r="D107" s="3" t="s">
        <v>101</v>
      </c>
      <c r="E107" s="3">
        <v>2</v>
      </c>
      <c r="F107" s="3">
        <v>1</v>
      </c>
      <c r="G107" s="3" t="s">
        <v>14</v>
      </c>
      <c r="H107" s="11">
        <v>45747</v>
      </c>
      <c r="I107" s="12" t="s">
        <v>81</v>
      </c>
      <c r="J107" s="3">
        <v>0</v>
      </c>
      <c r="K107" s="3">
        <v>0</v>
      </c>
      <c r="L107" s="3">
        <v>3</v>
      </c>
      <c r="M107" s="3">
        <v>0</v>
      </c>
      <c r="N107" s="3">
        <v>0</v>
      </c>
      <c r="O107" s="3">
        <f t="shared" si="0"/>
        <v>3</v>
      </c>
      <c r="P107" s="3">
        <v>7</v>
      </c>
      <c r="Q107" s="3">
        <v>7</v>
      </c>
      <c r="R107" s="3">
        <v>7</v>
      </c>
      <c r="S107" s="3">
        <v>6</v>
      </c>
      <c r="T107" s="3">
        <v>3</v>
      </c>
      <c r="U107" s="3">
        <f t="shared" si="16"/>
        <v>30</v>
      </c>
      <c r="V107" s="13">
        <f t="shared" si="2"/>
        <v>0.1</v>
      </c>
      <c r="W107" s="13">
        <f t="shared" si="10"/>
        <v>0.1</v>
      </c>
      <c r="X107" s="3">
        <f t="shared" si="3"/>
        <v>30</v>
      </c>
      <c r="Y107" s="3" t="e">
        <f t="shared" si="11"/>
        <v>#DIV/0!</v>
      </c>
      <c r="Z107" s="3"/>
      <c r="AA107" s="3"/>
      <c r="AB107" s="3"/>
      <c r="AC107" s="3" t="s">
        <v>82</v>
      </c>
      <c r="AD107" s="3" t="s">
        <v>83</v>
      </c>
      <c r="AE107" s="3"/>
      <c r="AF107" s="3" t="s">
        <v>102</v>
      </c>
      <c r="AG107" s="3" t="s">
        <v>206</v>
      </c>
      <c r="AH107" s="3"/>
    </row>
    <row r="108" spans="1:34" ht="14.25" customHeight="1" x14ac:dyDescent="0.25">
      <c r="A108" s="3" t="s">
        <v>113</v>
      </c>
      <c r="B108" s="3" t="s">
        <v>79</v>
      </c>
      <c r="C108" s="3"/>
      <c r="D108" s="3" t="s">
        <v>101</v>
      </c>
      <c r="E108" s="3">
        <v>2</v>
      </c>
      <c r="F108" s="3">
        <v>1</v>
      </c>
      <c r="G108" s="3" t="s">
        <v>16</v>
      </c>
      <c r="H108" s="11">
        <v>45747</v>
      </c>
      <c r="I108" s="12" t="s">
        <v>81</v>
      </c>
      <c r="J108" s="3">
        <f>6+3+8</f>
        <v>17</v>
      </c>
      <c r="K108" s="3">
        <f>2+7+2+8</f>
        <v>19</v>
      </c>
      <c r="L108" s="3">
        <f>2+4+5+7</f>
        <v>18</v>
      </c>
      <c r="M108" s="3">
        <f>8+6</f>
        <v>14</v>
      </c>
      <c r="N108" s="3">
        <f>6</f>
        <v>6</v>
      </c>
      <c r="O108" s="3">
        <f t="shared" si="0"/>
        <v>74</v>
      </c>
      <c r="P108" s="3">
        <v>7</v>
      </c>
      <c r="Q108" s="3">
        <v>7</v>
      </c>
      <c r="R108" s="3">
        <v>7</v>
      </c>
      <c r="S108" s="3">
        <v>6</v>
      </c>
      <c r="T108" s="3">
        <v>3</v>
      </c>
      <c r="U108" s="3">
        <f t="shared" si="16"/>
        <v>30</v>
      </c>
      <c r="V108" s="13">
        <f t="shared" si="2"/>
        <v>2.4666666666666668</v>
      </c>
      <c r="W108" s="13">
        <f t="shared" si="10"/>
        <v>2.4666666666666668</v>
      </c>
      <c r="X108" s="3">
        <f t="shared" si="3"/>
        <v>30</v>
      </c>
      <c r="Y108" s="3" t="e">
        <f t="shared" si="11"/>
        <v>#DIV/0!</v>
      </c>
      <c r="Z108" s="3"/>
      <c r="AA108" s="3"/>
      <c r="AB108" s="3"/>
      <c r="AC108" s="3" t="s">
        <v>82</v>
      </c>
      <c r="AD108" s="3" t="s">
        <v>83</v>
      </c>
      <c r="AE108" s="3"/>
      <c r="AF108" s="3" t="s">
        <v>102</v>
      </c>
      <c r="AG108" s="3" t="s">
        <v>206</v>
      </c>
      <c r="AH108" s="3"/>
    </row>
    <row r="109" spans="1:34" ht="14.25" customHeight="1" x14ac:dyDescent="0.25">
      <c r="A109" s="3" t="s">
        <v>113</v>
      </c>
      <c r="B109" s="3" t="s">
        <v>79</v>
      </c>
      <c r="C109" s="3"/>
      <c r="D109" s="3" t="s">
        <v>101</v>
      </c>
      <c r="E109" s="3">
        <v>2</v>
      </c>
      <c r="F109" s="3">
        <v>1</v>
      </c>
      <c r="G109" s="3" t="s">
        <v>18</v>
      </c>
      <c r="H109" s="11">
        <v>45747</v>
      </c>
      <c r="I109" s="12" t="s">
        <v>81</v>
      </c>
      <c r="J109" s="3">
        <f>10+5+10+5</f>
        <v>30</v>
      </c>
      <c r="K109" s="3">
        <f>4+3+5+2</f>
        <v>14</v>
      </c>
      <c r="L109" s="3">
        <f>7+10+8+5</f>
        <v>30</v>
      </c>
      <c r="M109" s="3">
        <f>7+5+2+6</f>
        <v>20</v>
      </c>
      <c r="N109" s="3">
        <f>6+2+1</f>
        <v>9</v>
      </c>
      <c r="O109" s="3">
        <f t="shared" si="0"/>
        <v>103</v>
      </c>
      <c r="P109" s="3">
        <v>7</v>
      </c>
      <c r="Q109" s="3">
        <v>7</v>
      </c>
      <c r="R109" s="3">
        <v>7</v>
      </c>
      <c r="S109" s="3">
        <v>6</v>
      </c>
      <c r="T109" s="3">
        <v>3</v>
      </c>
      <c r="U109" s="3">
        <f t="shared" si="16"/>
        <v>30</v>
      </c>
      <c r="V109" s="13">
        <f t="shared" si="2"/>
        <v>3.4333333333333331</v>
      </c>
      <c r="W109" s="13">
        <f t="shared" si="10"/>
        <v>3.4333333333333331</v>
      </c>
      <c r="X109" s="3">
        <f t="shared" si="3"/>
        <v>30</v>
      </c>
      <c r="Y109" s="3" t="e">
        <f t="shared" si="11"/>
        <v>#DIV/0!</v>
      </c>
      <c r="Z109" s="3"/>
      <c r="AA109" s="3"/>
      <c r="AB109" s="3"/>
      <c r="AC109" s="3" t="s">
        <v>82</v>
      </c>
      <c r="AD109" s="3" t="s">
        <v>83</v>
      </c>
      <c r="AE109" s="3"/>
      <c r="AF109" s="3" t="s">
        <v>102</v>
      </c>
      <c r="AG109" s="3" t="s">
        <v>206</v>
      </c>
      <c r="AH109" s="3"/>
    </row>
    <row r="110" spans="1:34" ht="14.25" customHeight="1" x14ac:dyDescent="0.25">
      <c r="A110" s="3" t="s">
        <v>113</v>
      </c>
      <c r="B110" s="3" t="s">
        <v>79</v>
      </c>
      <c r="C110" s="3"/>
      <c r="D110" s="3" t="s">
        <v>101</v>
      </c>
      <c r="E110" s="3">
        <v>2</v>
      </c>
      <c r="F110" s="3">
        <v>1</v>
      </c>
      <c r="G110" s="3" t="s">
        <v>22</v>
      </c>
      <c r="H110" s="11">
        <v>45747</v>
      </c>
      <c r="I110" s="12" t="s">
        <v>81</v>
      </c>
      <c r="J110" s="3">
        <v>0</v>
      </c>
      <c r="K110" s="3">
        <v>1</v>
      </c>
      <c r="L110" s="3">
        <v>0</v>
      </c>
      <c r="M110" s="3">
        <v>0</v>
      </c>
      <c r="N110" s="3">
        <v>0</v>
      </c>
      <c r="O110" s="3">
        <f t="shared" si="0"/>
        <v>1</v>
      </c>
      <c r="P110" s="3">
        <v>7</v>
      </c>
      <c r="Q110" s="3">
        <v>7</v>
      </c>
      <c r="R110" s="3">
        <v>7</v>
      </c>
      <c r="S110" s="3">
        <v>6</v>
      </c>
      <c r="T110" s="3">
        <v>3</v>
      </c>
      <c r="U110" s="3">
        <f t="shared" si="16"/>
        <v>30</v>
      </c>
      <c r="V110" s="13">
        <f t="shared" si="2"/>
        <v>3.3333333333333333E-2</v>
      </c>
      <c r="W110" s="13">
        <f t="shared" si="10"/>
        <v>3.3333333333333333E-2</v>
      </c>
      <c r="X110" s="3">
        <f t="shared" si="3"/>
        <v>30</v>
      </c>
      <c r="Y110" s="3" t="e">
        <f t="shared" si="11"/>
        <v>#DIV/0!</v>
      </c>
      <c r="Z110" s="3"/>
      <c r="AA110" s="3"/>
      <c r="AB110" s="3"/>
      <c r="AC110" s="3" t="s">
        <v>82</v>
      </c>
      <c r="AD110" s="3" t="s">
        <v>83</v>
      </c>
      <c r="AE110" s="3"/>
      <c r="AF110" s="3" t="s">
        <v>102</v>
      </c>
      <c r="AG110" s="3" t="s">
        <v>206</v>
      </c>
      <c r="AH110" s="3"/>
    </row>
    <row r="111" spans="1:34" ht="14.25" customHeight="1" x14ac:dyDescent="0.25">
      <c r="A111" s="3" t="s">
        <v>113</v>
      </c>
      <c r="B111" s="3" t="s">
        <v>79</v>
      </c>
      <c r="C111" s="3"/>
      <c r="D111" s="3" t="s">
        <v>101</v>
      </c>
      <c r="E111" s="3">
        <v>2</v>
      </c>
      <c r="F111" s="3">
        <v>1</v>
      </c>
      <c r="G111" s="3" t="s">
        <v>13</v>
      </c>
      <c r="H111" s="11">
        <v>45747</v>
      </c>
      <c r="I111" s="12" t="s">
        <v>81</v>
      </c>
      <c r="J111" s="3">
        <v>0</v>
      </c>
      <c r="K111" s="3">
        <v>0</v>
      </c>
      <c r="L111" s="3">
        <v>0</v>
      </c>
      <c r="M111" s="3">
        <v>1</v>
      </c>
      <c r="N111" s="3">
        <v>0</v>
      </c>
      <c r="O111" s="3">
        <f t="shared" si="0"/>
        <v>1</v>
      </c>
      <c r="P111" s="3">
        <v>7</v>
      </c>
      <c r="Q111" s="3">
        <v>7</v>
      </c>
      <c r="R111" s="3">
        <v>7</v>
      </c>
      <c r="S111" s="3">
        <v>6</v>
      </c>
      <c r="T111" s="3">
        <v>3</v>
      </c>
      <c r="U111" s="3">
        <f t="shared" si="16"/>
        <v>30</v>
      </c>
      <c r="V111" s="13">
        <f t="shared" si="2"/>
        <v>3.3333333333333333E-2</v>
      </c>
      <c r="W111" s="13">
        <f t="shared" si="10"/>
        <v>3.3333333333333333E-2</v>
      </c>
      <c r="X111" s="3">
        <f t="shared" si="3"/>
        <v>30</v>
      </c>
      <c r="Y111" s="3" t="e">
        <f t="shared" si="11"/>
        <v>#DIV/0!</v>
      </c>
      <c r="Z111" s="3"/>
      <c r="AA111" s="3"/>
      <c r="AB111" s="3"/>
      <c r="AC111" s="3" t="s">
        <v>82</v>
      </c>
      <c r="AD111" s="3" t="s">
        <v>83</v>
      </c>
      <c r="AE111" s="3"/>
      <c r="AF111" s="3" t="s">
        <v>102</v>
      </c>
      <c r="AG111" s="3" t="s">
        <v>206</v>
      </c>
      <c r="AH111" s="3"/>
    </row>
    <row r="112" spans="1:34" ht="14.25" customHeight="1" x14ac:dyDescent="0.25">
      <c r="A112" s="3" t="s">
        <v>114</v>
      </c>
      <c r="B112" s="3" t="s">
        <v>79</v>
      </c>
      <c r="C112" s="3"/>
      <c r="D112" s="3" t="s">
        <v>115</v>
      </c>
      <c r="E112" s="3">
        <v>1</v>
      </c>
      <c r="F112" s="3">
        <v>1</v>
      </c>
      <c r="G112" s="3" t="s">
        <v>1</v>
      </c>
      <c r="H112" s="11">
        <v>45747</v>
      </c>
      <c r="I112" s="12" t="s">
        <v>81</v>
      </c>
      <c r="J112" s="3">
        <v>0</v>
      </c>
      <c r="K112" s="3">
        <v>0</v>
      </c>
      <c r="L112" s="3">
        <f>17+18+15+25+12</f>
        <v>87</v>
      </c>
      <c r="M112" s="3">
        <f>12+13+16+15+14+18</f>
        <v>88</v>
      </c>
      <c r="N112" s="3">
        <f>19+16+12</f>
        <v>47</v>
      </c>
      <c r="O112" s="3">
        <f t="shared" si="0"/>
        <v>222</v>
      </c>
      <c r="P112" s="3"/>
      <c r="Q112" s="3"/>
      <c r="R112" s="3">
        <v>5</v>
      </c>
      <c r="S112" s="3">
        <v>6</v>
      </c>
      <c r="T112" s="3">
        <v>3</v>
      </c>
      <c r="U112" s="3">
        <f t="shared" si="16"/>
        <v>14</v>
      </c>
      <c r="V112" s="13">
        <f t="shared" si="2"/>
        <v>15.857142857142858</v>
      </c>
      <c r="W112" s="13">
        <f t="shared" si="10"/>
        <v>15.857142857142858</v>
      </c>
      <c r="X112" s="3">
        <f t="shared" si="3"/>
        <v>14</v>
      </c>
      <c r="Y112" s="3" t="e">
        <f t="shared" si="11"/>
        <v>#DIV/0!</v>
      </c>
      <c r="Z112" s="3"/>
      <c r="AA112" s="3"/>
      <c r="AB112" s="3"/>
      <c r="AC112" s="3" t="s">
        <v>82</v>
      </c>
      <c r="AD112" s="3" t="s">
        <v>83</v>
      </c>
      <c r="AE112" s="3">
        <v>18</v>
      </c>
      <c r="AF112" s="3" t="s">
        <v>151</v>
      </c>
      <c r="AG112" s="3" t="s">
        <v>173</v>
      </c>
      <c r="AH112" s="3"/>
    </row>
    <row r="113" spans="1:34" ht="14.25" customHeight="1" x14ac:dyDescent="0.25">
      <c r="A113" s="3" t="s">
        <v>116</v>
      </c>
      <c r="B113" s="3" t="s">
        <v>79</v>
      </c>
      <c r="C113" s="3"/>
      <c r="D113" s="3" t="s">
        <v>117</v>
      </c>
      <c r="E113" s="3">
        <v>1</v>
      </c>
      <c r="F113" s="3">
        <v>1</v>
      </c>
      <c r="G113" s="3" t="s">
        <v>2</v>
      </c>
      <c r="H113" s="11">
        <v>45747</v>
      </c>
      <c r="I113" s="12" t="s">
        <v>81</v>
      </c>
      <c r="J113" s="3">
        <v>0</v>
      </c>
      <c r="K113" s="3">
        <v>5</v>
      </c>
      <c r="L113" s="3">
        <v>0</v>
      </c>
      <c r="M113" s="3">
        <f>5+4+2+5</f>
        <v>16</v>
      </c>
      <c r="N113" s="3">
        <v>6</v>
      </c>
      <c r="O113" s="3">
        <f t="shared" si="0"/>
        <v>27</v>
      </c>
      <c r="P113" s="3">
        <v>6</v>
      </c>
      <c r="Q113" s="3">
        <v>6</v>
      </c>
      <c r="R113" s="3">
        <v>3</v>
      </c>
      <c r="S113" s="3">
        <v>6</v>
      </c>
      <c r="T113" s="3">
        <v>1</v>
      </c>
      <c r="U113" s="3">
        <f t="shared" si="16"/>
        <v>22</v>
      </c>
      <c r="V113" s="13">
        <f t="shared" si="2"/>
        <v>1.2272727272727273</v>
      </c>
      <c r="W113" s="13">
        <f t="shared" si="10"/>
        <v>1.2272727272727273</v>
      </c>
      <c r="X113" s="3">
        <f t="shared" si="3"/>
        <v>22</v>
      </c>
      <c r="Y113" s="3">
        <f t="shared" si="11"/>
        <v>2.0454545454545456E-3</v>
      </c>
      <c r="Z113" s="3"/>
      <c r="AA113" s="3">
        <f t="shared" ref="AA113:AA118" si="17">20*1.5*20</f>
        <v>600</v>
      </c>
      <c r="AB113" s="3">
        <v>150</v>
      </c>
      <c r="AC113" s="3" t="s">
        <v>82</v>
      </c>
      <c r="AD113" s="3" t="s">
        <v>83</v>
      </c>
      <c r="AE113" s="3">
        <v>25</v>
      </c>
      <c r="AF113" s="3" t="s">
        <v>151</v>
      </c>
      <c r="AG113" s="3" t="s">
        <v>289</v>
      </c>
      <c r="AH113" s="3"/>
    </row>
    <row r="114" spans="1:34" ht="14.25" customHeight="1" x14ac:dyDescent="0.25">
      <c r="A114" s="3" t="s">
        <v>116</v>
      </c>
      <c r="B114" s="3" t="s">
        <v>79</v>
      </c>
      <c r="C114" s="3"/>
      <c r="D114" s="3" t="s">
        <v>117</v>
      </c>
      <c r="E114" s="3">
        <v>1</v>
      </c>
      <c r="F114" s="3">
        <v>1</v>
      </c>
      <c r="G114" s="3" t="s">
        <v>14</v>
      </c>
      <c r="H114" s="11">
        <v>45747</v>
      </c>
      <c r="I114" s="12" t="s">
        <v>81</v>
      </c>
      <c r="J114" s="3">
        <f>2+3+8+6</f>
        <v>19</v>
      </c>
      <c r="K114" s="3">
        <f>14+9+5+3+6</f>
        <v>37</v>
      </c>
      <c r="L114" s="3">
        <f>5+7+5</f>
        <v>17</v>
      </c>
      <c r="M114" s="3">
        <f>4+2+6+7+2+3</f>
        <v>24</v>
      </c>
      <c r="N114" s="3">
        <v>3</v>
      </c>
      <c r="O114" s="3">
        <f t="shared" si="0"/>
        <v>100</v>
      </c>
      <c r="P114" s="3">
        <v>6</v>
      </c>
      <c r="Q114" s="3">
        <v>6</v>
      </c>
      <c r="R114" s="3">
        <v>3</v>
      </c>
      <c r="S114" s="3">
        <v>6</v>
      </c>
      <c r="T114" s="3">
        <v>1</v>
      </c>
      <c r="U114" s="3">
        <f t="shared" si="16"/>
        <v>22</v>
      </c>
      <c r="V114" s="13">
        <f t="shared" si="2"/>
        <v>4.5454545454545459</v>
      </c>
      <c r="W114" s="13">
        <f t="shared" si="10"/>
        <v>4.5454545454545459</v>
      </c>
      <c r="X114" s="3">
        <f t="shared" si="3"/>
        <v>22</v>
      </c>
      <c r="Y114" s="3">
        <f t="shared" si="11"/>
        <v>7.5757575757575768E-3</v>
      </c>
      <c r="Z114" s="3"/>
      <c r="AA114" s="3">
        <f t="shared" si="17"/>
        <v>600</v>
      </c>
      <c r="AB114" s="3">
        <v>150</v>
      </c>
      <c r="AC114" s="3" t="s">
        <v>82</v>
      </c>
      <c r="AD114" s="3" t="s">
        <v>83</v>
      </c>
      <c r="AE114" s="3">
        <v>25</v>
      </c>
      <c r="AF114" s="3" t="s">
        <v>151</v>
      </c>
      <c r="AG114" s="3" t="s">
        <v>289</v>
      </c>
      <c r="AH114" s="3"/>
    </row>
    <row r="115" spans="1:34" ht="14.25" customHeight="1" x14ac:dyDescent="0.25">
      <c r="A115" s="3" t="s">
        <v>116</v>
      </c>
      <c r="B115" s="3" t="s">
        <v>79</v>
      </c>
      <c r="C115" s="3"/>
      <c r="D115" s="3" t="s">
        <v>117</v>
      </c>
      <c r="E115" s="3">
        <v>1</v>
      </c>
      <c r="F115" s="3">
        <v>1</v>
      </c>
      <c r="G115" s="3" t="s">
        <v>16</v>
      </c>
      <c r="H115" s="11">
        <v>45747</v>
      </c>
      <c r="I115" s="12" t="s">
        <v>81</v>
      </c>
      <c r="J115" s="3">
        <f>9+14+2+12+9+10</f>
        <v>56</v>
      </c>
      <c r="K115" s="3">
        <f>11+5+12+4</f>
        <v>32</v>
      </c>
      <c r="L115" s="3">
        <v>9</v>
      </c>
      <c r="M115" s="3">
        <f>9+6</f>
        <v>15</v>
      </c>
      <c r="N115" s="3">
        <v>8</v>
      </c>
      <c r="O115" s="3">
        <f t="shared" si="0"/>
        <v>120</v>
      </c>
      <c r="P115" s="3">
        <v>6</v>
      </c>
      <c r="Q115" s="3">
        <v>6</v>
      </c>
      <c r="R115" s="3">
        <v>3</v>
      </c>
      <c r="S115" s="3">
        <v>6</v>
      </c>
      <c r="T115" s="3">
        <v>1</v>
      </c>
      <c r="U115" s="3">
        <f t="shared" si="16"/>
        <v>22</v>
      </c>
      <c r="V115" s="13">
        <f t="shared" si="2"/>
        <v>5.4545454545454541</v>
      </c>
      <c r="W115" s="13">
        <f t="shared" si="10"/>
        <v>5.4545454545454541</v>
      </c>
      <c r="X115" s="3">
        <f t="shared" si="3"/>
        <v>22</v>
      </c>
      <c r="Y115" s="3">
        <f t="shared" si="11"/>
        <v>9.0909090909090905E-3</v>
      </c>
      <c r="Z115" s="3"/>
      <c r="AA115" s="3">
        <f t="shared" si="17"/>
        <v>600</v>
      </c>
      <c r="AB115" s="3">
        <v>150</v>
      </c>
      <c r="AC115" s="3" t="s">
        <v>82</v>
      </c>
      <c r="AD115" s="3" t="s">
        <v>83</v>
      </c>
      <c r="AE115" s="3">
        <v>25</v>
      </c>
      <c r="AF115" s="3" t="s">
        <v>151</v>
      </c>
      <c r="AG115" s="3" t="s">
        <v>289</v>
      </c>
      <c r="AH115" s="3"/>
    </row>
    <row r="116" spans="1:34" ht="14.25" customHeight="1" x14ac:dyDescent="0.25">
      <c r="A116" s="3" t="s">
        <v>116</v>
      </c>
      <c r="B116" s="3" t="s">
        <v>79</v>
      </c>
      <c r="C116" s="3"/>
      <c r="D116" s="3" t="s">
        <v>117</v>
      </c>
      <c r="E116" s="3">
        <v>1</v>
      </c>
      <c r="F116" s="3">
        <v>1</v>
      </c>
      <c r="G116" s="3" t="s">
        <v>18</v>
      </c>
      <c r="H116" s="11">
        <v>45747</v>
      </c>
      <c r="I116" s="12" t="s">
        <v>81</v>
      </c>
      <c r="J116" s="3">
        <f>5+7</f>
        <v>12</v>
      </c>
      <c r="K116" s="3">
        <v>0</v>
      </c>
      <c r="L116" s="3">
        <v>12</v>
      </c>
      <c r="M116" s="3">
        <f>11+8+5+12</f>
        <v>36</v>
      </c>
      <c r="N116" s="3">
        <v>0</v>
      </c>
      <c r="O116" s="3">
        <f t="shared" si="0"/>
        <v>60</v>
      </c>
      <c r="P116" s="3">
        <v>6</v>
      </c>
      <c r="Q116" s="3">
        <v>6</v>
      </c>
      <c r="R116" s="3">
        <v>3</v>
      </c>
      <c r="S116" s="3">
        <v>6</v>
      </c>
      <c r="T116" s="3">
        <v>1</v>
      </c>
      <c r="U116" s="3">
        <f t="shared" si="16"/>
        <v>22</v>
      </c>
      <c r="V116" s="13">
        <f t="shared" si="2"/>
        <v>2.7272727272727271</v>
      </c>
      <c r="W116" s="13">
        <f t="shared" si="10"/>
        <v>2.7272727272727271</v>
      </c>
      <c r="X116" s="3">
        <f t="shared" si="3"/>
        <v>22</v>
      </c>
      <c r="Y116" s="3">
        <f t="shared" si="11"/>
        <v>4.5454545454545452E-3</v>
      </c>
      <c r="Z116" s="3"/>
      <c r="AA116" s="3">
        <f t="shared" si="17"/>
        <v>600</v>
      </c>
      <c r="AB116" s="3">
        <v>150</v>
      </c>
      <c r="AC116" s="3" t="s">
        <v>82</v>
      </c>
      <c r="AD116" s="3" t="s">
        <v>83</v>
      </c>
      <c r="AE116" s="3">
        <v>25</v>
      </c>
      <c r="AF116" s="3" t="s">
        <v>151</v>
      </c>
      <c r="AG116" s="3" t="s">
        <v>289</v>
      </c>
      <c r="AH116" s="3"/>
    </row>
    <row r="117" spans="1:34" ht="14.25" customHeight="1" x14ac:dyDescent="0.25">
      <c r="A117" s="3" t="s">
        <v>116</v>
      </c>
      <c r="B117" s="3" t="s">
        <v>79</v>
      </c>
      <c r="C117" s="3"/>
      <c r="D117" s="3" t="s">
        <v>117</v>
      </c>
      <c r="E117" s="3">
        <v>1</v>
      </c>
      <c r="F117" s="3">
        <v>1</v>
      </c>
      <c r="G117" s="3" t="s">
        <v>22</v>
      </c>
      <c r="H117" s="11">
        <v>45747</v>
      </c>
      <c r="I117" s="12" t="s">
        <v>81</v>
      </c>
      <c r="J117" s="3">
        <v>3</v>
      </c>
      <c r="K117" s="3">
        <v>0</v>
      </c>
      <c r="L117" s="3">
        <v>0</v>
      </c>
      <c r="M117" s="3">
        <v>0</v>
      </c>
      <c r="N117" s="3">
        <v>0</v>
      </c>
      <c r="O117" s="3">
        <f t="shared" si="0"/>
        <v>3</v>
      </c>
      <c r="P117" s="3">
        <v>6</v>
      </c>
      <c r="Q117" s="3">
        <v>6</v>
      </c>
      <c r="R117" s="3">
        <v>3</v>
      </c>
      <c r="S117" s="3">
        <v>6</v>
      </c>
      <c r="T117" s="3">
        <v>1</v>
      </c>
      <c r="U117" s="3">
        <f t="shared" si="16"/>
        <v>22</v>
      </c>
      <c r="V117" s="13">
        <f t="shared" si="2"/>
        <v>0.13636363636363635</v>
      </c>
      <c r="W117" s="13">
        <f t="shared" si="10"/>
        <v>0.13636363636363635</v>
      </c>
      <c r="X117" s="3">
        <f t="shared" si="3"/>
        <v>22</v>
      </c>
      <c r="Y117" s="3">
        <f t="shared" si="11"/>
        <v>2.2727272727272725E-4</v>
      </c>
      <c r="Z117" s="3"/>
      <c r="AA117" s="3">
        <f t="shared" si="17"/>
        <v>600</v>
      </c>
      <c r="AB117" s="3">
        <v>150</v>
      </c>
      <c r="AC117" s="3" t="s">
        <v>82</v>
      </c>
      <c r="AD117" s="3" t="s">
        <v>83</v>
      </c>
      <c r="AE117" s="3">
        <v>25</v>
      </c>
      <c r="AF117" s="3" t="s">
        <v>151</v>
      </c>
      <c r="AG117" s="3" t="s">
        <v>289</v>
      </c>
      <c r="AH117" s="3"/>
    </row>
    <row r="118" spans="1:34" ht="14.25" customHeight="1" x14ac:dyDescent="0.25">
      <c r="A118" s="3" t="s">
        <v>116</v>
      </c>
      <c r="B118" s="3" t="s">
        <v>79</v>
      </c>
      <c r="C118" s="3"/>
      <c r="D118" s="3" t="s">
        <v>117</v>
      </c>
      <c r="E118" s="3">
        <v>1</v>
      </c>
      <c r="F118" s="3">
        <v>1</v>
      </c>
      <c r="G118" s="3" t="s">
        <v>15</v>
      </c>
      <c r="H118" s="11">
        <v>45747</v>
      </c>
      <c r="I118" s="12" t="s">
        <v>81</v>
      </c>
      <c r="J118" s="3">
        <v>0</v>
      </c>
      <c r="K118" s="3">
        <v>27</v>
      </c>
      <c r="L118" s="3">
        <v>0</v>
      </c>
      <c r="M118" s="3">
        <v>0</v>
      </c>
      <c r="N118" s="3">
        <v>0</v>
      </c>
      <c r="O118" s="3">
        <f t="shared" si="0"/>
        <v>27</v>
      </c>
      <c r="P118" s="3">
        <v>6</v>
      </c>
      <c r="Q118" s="3">
        <v>6</v>
      </c>
      <c r="R118" s="3">
        <v>3</v>
      </c>
      <c r="S118" s="3">
        <v>6</v>
      </c>
      <c r="T118" s="3">
        <v>1</v>
      </c>
      <c r="U118" s="3">
        <f t="shared" si="16"/>
        <v>22</v>
      </c>
      <c r="V118" s="13">
        <f t="shared" si="2"/>
        <v>1.2272727272727273</v>
      </c>
      <c r="W118" s="13">
        <f t="shared" si="10"/>
        <v>1.2272727272727273</v>
      </c>
      <c r="X118" s="3">
        <f t="shared" si="3"/>
        <v>22</v>
      </c>
      <c r="Y118" s="3">
        <f t="shared" si="11"/>
        <v>2.0454545454545456E-3</v>
      </c>
      <c r="Z118" s="3"/>
      <c r="AA118" s="3">
        <f t="shared" si="17"/>
        <v>600</v>
      </c>
      <c r="AB118" s="3">
        <v>150</v>
      </c>
      <c r="AC118" s="3" t="s">
        <v>82</v>
      </c>
      <c r="AD118" s="3" t="s">
        <v>83</v>
      </c>
      <c r="AE118" s="3">
        <v>25</v>
      </c>
      <c r="AF118" s="3" t="s">
        <v>151</v>
      </c>
      <c r="AG118" s="3" t="s">
        <v>289</v>
      </c>
      <c r="AH118" s="3"/>
    </row>
    <row r="119" spans="1:34" ht="14.25" customHeight="1" x14ac:dyDescent="0.25">
      <c r="A119" s="3" t="s">
        <v>118</v>
      </c>
      <c r="B119" s="3" t="s">
        <v>79</v>
      </c>
      <c r="C119" s="3"/>
      <c r="D119" s="3" t="s">
        <v>117</v>
      </c>
      <c r="E119" s="3">
        <v>1</v>
      </c>
      <c r="F119" s="3">
        <v>1</v>
      </c>
      <c r="G119" s="3" t="s">
        <v>16</v>
      </c>
      <c r="H119" s="11">
        <v>45747</v>
      </c>
      <c r="I119" s="12" t="s">
        <v>81</v>
      </c>
      <c r="J119" s="3">
        <v>16</v>
      </c>
      <c r="K119" s="3">
        <v>0</v>
      </c>
      <c r="L119" s="3">
        <v>0</v>
      </c>
      <c r="M119" s="3">
        <v>0</v>
      </c>
      <c r="N119" s="3">
        <v>0</v>
      </c>
      <c r="O119" s="3">
        <f t="shared" si="0"/>
        <v>16</v>
      </c>
      <c r="P119" s="3">
        <v>1</v>
      </c>
      <c r="Q119" s="3"/>
      <c r="R119" s="3"/>
      <c r="S119" s="3"/>
      <c r="T119" s="3"/>
      <c r="U119" s="3">
        <f t="shared" si="16"/>
        <v>1</v>
      </c>
      <c r="V119" s="13">
        <f t="shared" si="2"/>
        <v>16</v>
      </c>
      <c r="W119" s="13">
        <f t="shared" si="10"/>
        <v>16</v>
      </c>
      <c r="X119" s="3">
        <f t="shared" si="3"/>
        <v>1</v>
      </c>
      <c r="Y119" s="3" t="e">
        <f t="shared" si="11"/>
        <v>#DIV/0!</v>
      </c>
      <c r="Z119" s="3"/>
      <c r="AA119" s="3"/>
      <c r="AB119" s="3"/>
      <c r="AC119" s="3" t="s">
        <v>82</v>
      </c>
      <c r="AD119" s="3" t="s">
        <v>83</v>
      </c>
      <c r="AE119" s="3">
        <v>15</v>
      </c>
      <c r="AF119" s="3" t="s">
        <v>151</v>
      </c>
      <c r="AG119" s="3" t="s">
        <v>199</v>
      </c>
      <c r="AH119" s="3"/>
    </row>
    <row r="120" spans="1:34" ht="14.25" customHeight="1" x14ac:dyDescent="0.25">
      <c r="A120" s="3" t="s">
        <v>118</v>
      </c>
      <c r="B120" s="3" t="s">
        <v>79</v>
      </c>
      <c r="C120" s="3"/>
      <c r="D120" s="3" t="s">
        <v>117</v>
      </c>
      <c r="E120" s="3">
        <v>1</v>
      </c>
      <c r="F120" s="3">
        <v>1</v>
      </c>
      <c r="G120" s="3" t="s">
        <v>18</v>
      </c>
      <c r="H120" s="11">
        <v>45747</v>
      </c>
      <c r="I120" s="12" t="s">
        <v>81</v>
      </c>
      <c r="J120" s="3">
        <v>10</v>
      </c>
      <c r="K120" s="3">
        <v>0</v>
      </c>
      <c r="L120" s="3">
        <v>0</v>
      </c>
      <c r="M120" s="3">
        <v>0</v>
      </c>
      <c r="N120" s="3">
        <v>0</v>
      </c>
      <c r="O120" s="3">
        <f t="shared" si="0"/>
        <v>10</v>
      </c>
      <c r="P120" s="3">
        <v>1</v>
      </c>
      <c r="Q120" s="3"/>
      <c r="R120" s="3"/>
      <c r="S120" s="3"/>
      <c r="T120" s="3"/>
      <c r="U120" s="3">
        <f t="shared" si="16"/>
        <v>1</v>
      </c>
      <c r="V120" s="13">
        <f t="shared" si="2"/>
        <v>10</v>
      </c>
      <c r="W120" s="13">
        <f t="shared" si="10"/>
        <v>10</v>
      </c>
      <c r="X120" s="3">
        <f t="shared" si="3"/>
        <v>1</v>
      </c>
      <c r="Y120" s="3" t="e">
        <f t="shared" si="11"/>
        <v>#DIV/0!</v>
      </c>
      <c r="Z120" s="3"/>
      <c r="AA120" s="3"/>
      <c r="AB120" s="3"/>
      <c r="AC120" s="3" t="s">
        <v>82</v>
      </c>
      <c r="AD120" s="3" t="s">
        <v>83</v>
      </c>
      <c r="AE120" s="3">
        <v>15</v>
      </c>
      <c r="AF120" s="3" t="s">
        <v>151</v>
      </c>
      <c r="AG120" s="3" t="s">
        <v>199</v>
      </c>
      <c r="AH120" s="3"/>
    </row>
    <row r="121" spans="1:34" ht="14.25" customHeight="1" x14ac:dyDescent="0.25">
      <c r="A121" s="3" t="s">
        <v>119</v>
      </c>
      <c r="B121" s="3" t="s">
        <v>79</v>
      </c>
      <c r="C121" s="3"/>
      <c r="D121" s="3" t="s">
        <v>115</v>
      </c>
      <c r="E121" s="3">
        <v>1</v>
      </c>
      <c r="F121" s="3">
        <v>1</v>
      </c>
      <c r="G121" s="3" t="s">
        <v>1</v>
      </c>
      <c r="H121" s="11">
        <v>45747</v>
      </c>
      <c r="I121" s="12" t="s">
        <v>81</v>
      </c>
      <c r="J121" s="3">
        <f>7+10</f>
        <v>17</v>
      </c>
      <c r="K121" s="3">
        <f>20+15</f>
        <v>35</v>
      </c>
      <c r="L121" s="3">
        <f>20+20</f>
        <v>40</v>
      </c>
      <c r="M121" s="3">
        <f>30+14</f>
        <v>44</v>
      </c>
      <c r="N121" s="3">
        <v>15</v>
      </c>
      <c r="O121" s="3">
        <f t="shared" si="0"/>
        <v>151</v>
      </c>
      <c r="P121" s="3">
        <v>3</v>
      </c>
      <c r="Q121" s="3">
        <v>3</v>
      </c>
      <c r="R121" s="3">
        <v>3</v>
      </c>
      <c r="S121" s="3">
        <v>4</v>
      </c>
      <c r="T121" s="3">
        <v>1</v>
      </c>
      <c r="U121" s="3">
        <f t="shared" si="16"/>
        <v>14</v>
      </c>
      <c r="V121" s="13">
        <f t="shared" si="2"/>
        <v>10.785714285714286</v>
      </c>
      <c r="W121" s="13">
        <f t="shared" si="10"/>
        <v>10.785714285714286</v>
      </c>
      <c r="X121" s="3">
        <f t="shared" si="3"/>
        <v>14</v>
      </c>
      <c r="Y121" s="3">
        <f t="shared" si="11"/>
        <v>3.5952380952380958E-2</v>
      </c>
      <c r="Z121" s="3"/>
      <c r="AA121" s="3">
        <f t="shared" ref="AA121:AA128" si="18">15*2*5+10*2.5*6</f>
        <v>300</v>
      </c>
      <c r="AB121" s="3"/>
      <c r="AC121" s="3" t="s">
        <v>82</v>
      </c>
      <c r="AD121" s="3" t="s">
        <v>83</v>
      </c>
      <c r="AE121" s="3">
        <v>15</v>
      </c>
      <c r="AF121" s="3" t="s">
        <v>151</v>
      </c>
      <c r="AG121" s="3" t="s">
        <v>290</v>
      </c>
      <c r="AH121" s="3"/>
    </row>
    <row r="122" spans="1:34" ht="14.25" customHeight="1" x14ac:dyDescent="0.25">
      <c r="A122" s="3" t="s">
        <v>119</v>
      </c>
      <c r="B122" s="3" t="s">
        <v>79</v>
      </c>
      <c r="C122" s="3"/>
      <c r="D122" s="3" t="s">
        <v>115</v>
      </c>
      <c r="E122" s="3">
        <v>1</v>
      </c>
      <c r="F122" s="3">
        <v>1</v>
      </c>
      <c r="G122" s="3" t="s">
        <v>2</v>
      </c>
      <c r="H122" s="11">
        <v>45747</v>
      </c>
      <c r="I122" s="12" t="s">
        <v>81</v>
      </c>
      <c r="J122" s="3">
        <v>10</v>
      </c>
      <c r="K122" s="3">
        <v>0</v>
      </c>
      <c r="L122" s="3">
        <v>0</v>
      </c>
      <c r="M122" s="3">
        <v>10</v>
      </c>
      <c r="N122" s="3">
        <v>0</v>
      </c>
      <c r="O122" s="3">
        <f t="shared" si="0"/>
        <v>20</v>
      </c>
      <c r="P122" s="3">
        <v>3</v>
      </c>
      <c r="Q122" s="3">
        <v>3</v>
      </c>
      <c r="R122" s="3">
        <v>3</v>
      </c>
      <c r="S122" s="3">
        <v>4</v>
      </c>
      <c r="T122" s="3">
        <v>1</v>
      </c>
      <c r="U122" s="3">
        <f t="shared" si="16"/>
        <v>14</v>
      </c>
      <c r="V122" s="13">
        <f t="shared" si="2"/>
        <v>1.4285714285714286</v>
      </c>
      <c r="W122" s="13">
        <f t="shared" si="10"/>
        <v>1.4285714285714286</v>
      </c>
      <c r="X122" s="3">
        <f t="shared" si="3"/>
        <v>14</v>
      </c>
      <c r="Y122" s="3">
        <f t="shared" si="11"/>
        <v>4.7619047619047623E-3</v>
      </c>
      <c r="Z122" s="3"/>
      <c r="AA122" s="3">
        <f t="shared" si="18"/>
        <v>300</v>
      </c>
      <c r="AB122" s="3"/>
      <c r="AC122" s="3" t="s">
        <v>82</v>
      </c>
      <c r="AD122" s="3" t="s">
        <v>83</v>
      </c>
      <c r="AE122" s="3">
        <v>15</v>
      </c>
      <c r="AF122" s="3" t="s">
        <v>151</v>
      </c>
      <c r="AG122" s="3" t="s">
        <v>290</v>
      </c>
      <c r="AH122" s="3"/>
    </row>
    <row r="123" spans="1:34" ht="14.25" customHeight="1" x14ac:dyDescent="0.25">
      <c r="A123" s="3" t="s">
        <v>119</v>
      </c>
      <c r="B123" s="3" t="s">
        <v>79</v>
      </c>
      <c r="C123" s="3"/>
      <c r="D123" s="3" t="s">
        <v>115</v>
      </c>
      <c r="E123" s="3">
        <v>1</v>
      </c>
      <c r="F123" s="3">
        <v>1</v>
      </c>
      <c r="G123" s="3" t="s">
        <v>10</v>
      </c>
      <c r="H123" s="11">
        <v>45747</v>
      </c>
      <c r="I123" s="12" t="s">
        <v>81</v>
      </c>
      <c r="J123" s="3">
        <v>0</v>
      </c>
      <c r="K123" s="3">
        <v>0</v>
      </c>
      <c r="L123" s="3">
        <v>0</v>
      </c>
      <c r="M123" s="3">
        <v>10</v>
      </c>
      <c r="N123" s="3">
        <v>0</v>
      </c>
      <c r="O123" s="3">
        <f t="shared" si="0"/>
        <v>10</v>
      </c>
      <c r="P123" s="3">
        <v>3</v>
      </c>
      <c r="Q123" s="3">
        <v>3</v>
      </c>
      <c r="R123" s="3">
        <v>3</v>
      </c>
      <c r="S123" s="3">
        <v>4</v>
      </c>
      <c r="T123" s="3">
        <v>1</v>
      </c>
      <c r="U123" s="3">
        <f t="shared" si="16"/>
        <v>14</v>
      </c>
      <c r="V123" s="13">
        <f t="shared" si="2"/>
        <v>0.7142857142857143</v>
      </c>
      <c r="W123" s="13">
        <f t="shared" si="10"/>
        <v>0.7142857142857143</v>
      </c>
      <c r="X123" s="3">
        <f t="shared" si="3"/>
        <v>14</v>
      </c>
      <c r="Y123" s="3">
        <f t="shared" si="11"/>
        <v>2.3809523809523812E-3</v>
      </c>
      <c r="Z123" s="3"/>
      <c r="AA123" s="3">
        <f t="shared" si="18"/>
        <v>300</v>
      </c>
      <c r="AB123" s="3"/>
      <c r="AC123" s="3" t="s">
        <v>82</v>
      </c>
      <c r="AD123" s="3" t="s">
        <v>83</v>
      </c>
      <c r="AE123" s="3">
        <v>15</v>
      </c>
      <c r="AF123" s="3" t="s">
        <v>151</v>
      </c>
      <c r="AG123" s="3" t="s">
        <v>290</v>
      </c>
      <c r="AH123" s="3"/>
    </row>
    <row r="124" spans="1:34" ht="14.25" customHeight="1" x14ac:dyDescent="0.25">
      <c r="A124" s="3" t="s">
        <v>119</v>
      </c>
      <c r="B124" s="3" t="s">
        <v>79</v>
      </c>
      <c r="C124" s="3"/>
      <c r="D124" s="3" t="s">
        <v>115</v>
      </c>
      <c r="E124" s="3">
        <v>1</v>
      </c>
      <c r="F124" s="3">
        <v>1</v>
      </c>
      <c r="G124" s="3" t="s">
        <v>9</v>
      </c>
      <c r="H124" s="11">
        <v>45747</v>
      </c>
      <c r="I124" s="12" t="s">
        <v>81</v>
      </c>
      <c r="J124" s="3">
        <v>0</v>
      </c>
      <c r="K124" s="3">
        <v>0</v>
      </c>
      <c r="L124" s="3">
        <v>0</v>
      </c>
      <c r="M124" s="3">
        <v>15</v>
      </c>
      <c r="N124" s="3">
        <v>0</v>
      </c>
      <c r="O124" s="3">
        <f t="shared" si="0"/>
        <v>15</v>
      </c>
      <c r="P124" s="3">
        <v>3</v>
      </c>
      <c r="Q124" s="3">
        <v>3</v>
      </c>
      <c r="R124" s="3">
        <v>3</v>
      </c>
      <c r="S124" s="3">
        <v>4</v>
      </c>
      <c r="T124" s="3">
        <v>1</v>
      </c>
      <c r="U124" s="3">
        <f t="shared" si="16"/>
        <v>14</v>
      </c>
      <c r="V124" s="13">
        <f t="shared" si="2"/>
        <v>1.0714285714285714</v>
      </c>
      <c r="W124" s="13">
        <f t="shared" si="10"/>
        <v>1.0714285714285714</v>
      </c>
      <c r="X124" s="3">
        <f t="shared" si="3"/>
        <v>14</v>
      </c>
      <c r="Y124" s="3">
        <f t="shared" si="11"/>
        <v>3.5714285714285713E-3</v>
      </c>
      <c r="Z124" s="3"/>
      <c r="AA124" s="3">
        <f t="shared" si="18"/>
        <v>300</v>
      </c>
      <c r="AB124" s="3"/>
      <c r="AC124" s="3" t="s">
        <v>82</v>
      </c>
      <c r="AD124" s="3" t="s">
        <v>83</v>
      </c>
      <c r="AE124" s="3">
        <v>15</v>
      </c>
      <c r="AF124" s="3" t="s">
        <v>151</v>
      </c>
      <c r="AG124" s="3" t="s">
        <v>290</v>
      </c>
      <c r="AH124" s="3"/>
    </row>
    <row r="125" spans="1:34" ht="14.25" customHeight="1" x14ac:dyDescent="0.25">
      <c r="A125" s="3" t="s">
        <v>119</v>
      </c>
      <c r="B125" s="3" t="s">
        <v>79</v>
      </c>
      <c r="C125" s="3"/>
      <c r="D125" s="3" t="s">
        <v>115</v>
      </c>
      <c r="E125" s="3">
        <v>1</v>
      </c>
      <c r="F125" s="3">
        <v>1</v>
      </c>
      <c r="G125" s="3" t="s">
        <v>14</v>
      </c>
      <c r="H125" s="11">
        <v>45747</v>
      </c>
      <c r="I125" s="12" t="s">
        <v>81</v>
      </c>
      <c r="J125" s="3">
        <v>20</v>
      </c>
      <c r="K125" s="3">
        <v>8</v>
      </c>
      <c r="L125" s="3">
        <v>15</v>
      </c>
      <c r="M125" s="3">
        <v>0</v>
      </c>
      <c r="N125" s="3">
        <v>0</v>
      </c>
      <c r="O125" s="3">
        <f t="shared" si="0"/>
        <v>43</v>
      </c>
      <c r="P125" s="3">
        <v>3</v>
      </c>
      <c r="Q125" s="3">
        <v>3</v>
      </c>
      <c r="R125" s="3">
        <v>3</v>
      </c>
      <c r="S125" s="3">
        <v>4</v>
      </c>
      <c r="T125" s="3">
        <v>1</v>
      </c>
      <c r="U125" s="3">
        <f t="shared" si="16"/>
        <v>14</v>
      </c>
      <c r="V125" s="13">
        <f t="shared" si="2"/>
        <v>3.0714285714285716</v>
      </c>
      <c r="W125" s="13">
        <f t="shared" si="10"/>
        <v>3.0714285714285716</v>
      </c>
      <c r="X125" s="3">
        <f t="shared" si="3"/>
        <v>14</v>
      </c>
      <c r="Y125" s="3">
        <f t="shared" si="11"/>
        <v>1.0238095238095239E-2</v>
      </c>
      <c r="Z125" s="3"/>
      <c r="AA125" s="3">
        <f t="shared" si="18"/>
        <v>300</v>
      </c>
      <c r="AB125" s="3"/>
      <c r="AC125" s="3" t="s">
        <v>82</v>
      </c>
      <c r="AD125" s="3" t="s">
        <v>83</v>
      </c>
      <c r="AE125" s="3">
        <v>15</v>
      </c>
      <c r="AF125" s="3" t="s">
        <v>151</v>
      </c>
      <c r="AG125" s="3" t="s">
        <v>290</v>
      </c>
      <c r="AH125" s="3"/>
    </row>
    <row r="126" spans="1:34" ht="14.25" customHeight="1" x14ac:dyDescent="0.25">
      <c r="A126" s="3" t="s">
        <v>119</v>
      </c>
      <c r="B126" s="3" t="s">
        <v>79</v>
      </c>
      <c r="C126" s="3"/>
      <c r="D126" s="3" t="s">
        <v>115</v>
      </c>
      <c r="E126" s="3">
        <v>1</v>
      </c>
      <c r="F126" s="3">
        <v>1</v>
      </c>
      <c r="G126" s="3" t="s">
        <v>19</v>
      </c>
      <c r="H126" s="11">
        <v>45747</v>
      </c>
      <c r="I126" s="12" t="s">
        <v>81</v>
      </c>
      <c r="J126" s="3">
        <v>0</v>
      </c>
      <c r="K126" s="3">
        <v>0</v>
      </c>
      <c r="L126" s="3">
        <v>0</v>
      </c>
      <c r="M126" s="3">
        <v>13</v>
      </c>
      <c r="N126" s="3">
        <v>0</v>
      </c>
      <c r="O126" s="3">
        <f t="shared" si="0"/>
        <v>13</v>
      </c>
      <c r="P126" s="3">
        <v>3</v>
      </c>
      <c r="Q126" s="3">
        <v>3</v>
      </c>
      <c r="R126" s="3">
        <v>3</v>
      </c>
      <c r="S126" s="3">
        <v>4</v>
      </c>
      <c r="T126" s="3">
        <v>1</v>
      </c>
      <c r="U126" s="3">
        <f t="shared" si="16"/>
        <v>14</v>
      </c>
      <c r="V126" s="13">
        <f t="shared" si="2"/>
        <v>0.9285714285714286</v>
      </c>
      <c r="W126" s="13">
        <f t="shared" si="10"/>
        <v>0.9285714285714286</v>
      </c>
      <c r="X126" s="3">
        <f t="shared" si="3"/>
        <v>14</v>
      </c>
      <c r="Y126" s="3">
        <f t="shared" si="11"/>
        <v>3.0952380952380953E-3</v>
      </c>
      <c r="Z126" s="3"/>
      <c r="AA126" s="3">
        <f t="shared" si="18"/>
        <v>300</v>
      </c>
      <c r="AB126" s="3"/>
      <c r="AC126" s="3" t="s">
        <v>82</v>
      </c>
      <c r="AD126" s="3" t="s">
        <v>83</v>
      </c>
      <c r="AE126" s="3">
        <v>15</v>
      </c>
      <c r="AF126" s="3" t="s">
        <v>151</v>
      </c>
      <c r="AG126" s="3" t="s">
        <v>290</v>
      </c>
      <c r="AH126" s="3"/>
    </row>
    <row r="127" spans="1:34" ht="14.25" customHeight="1" x14ac:dyDescent="0.25">
      <c r="A127" s="3" t="s">
        <v>119</v>
      </c>
      <c r="B127" s="3" t="s">
        <v>79</v>
      </c>
      <c r="C127" s="3"/>
      <c r="D127" s="3" t="s">
        <v>115</v>
      </c>
      <c r="E127" s="3">
        <v>1</v>
      </c>
      <c r="F127" s="3">
        <v>1</v>
      </c>
      <c r="G127" s="3" t="s">
        <v>24</v>
      </c>
      <c r="H127" s="11">
        <v>45747</v>
      </c>
      <c r="I127" s="12" t="s">
        <v>81</v>
      </c>
      <c r="J127" s="3">
        <v>0</v>
      </c>
      <c r="K127" s="3">
        <v>0</v>
      </c>
      <c r="L127" s="3">
        <v>0</v>
      </c>
      <c r="M127" s="3">
        <v>12</v>
      </c>
      <c r="N127" s="3">
        <v>0</v>
      </c>
      <c r="O127" s="3">
        <f t="shared" si="0"/>
        <v>12</v>
      </c>
      <c r="P127" s="3">
        <v>3</v>
      </c>
      <c r="Q127" s="3">
        <v>3</v>
      </c>
      <c r="R127" s="3">
        <v>3</v>
      </c>
      <c r="S127" s="3">
        <v>4</v>
      </c>
      <c r="T127" s="3">
        <v>1</v>
      </c>
      <c r="U127" s="3">
        <f t="shared" si="16"/>
        <v>14</v>
      </c>
      <c r="V127" s="13">
        <f t="shared" si="2"/>
        <v>0.8571428571428571</v>
      </c>
      <c r="W127" s="13">
        <f t="shared" si="10"/>
        <v>0.8571428571428571</v>
      </c>
      <c r="X127" s="3">
        <f t="shared" si="3"/>
        <v>14</v>
      </c>
      <c r="Y127" s="3">
        <f t="shared" si="11"/>
        <v>2.8571428571428571E-3</v>
      </c>
      <c r="Z127" s="3"/>
      <c r="AA127" s="3">
        <f t="shared" si="18"/>
        <v>300</v>
      </c>
      <c r="AB127" s="3"/>
      <c r="AC127" s="3" t="s">
        <v>82</v>
      </c>
      <c r="AD127" s="3" t="s">
        <v>83</v>
      </c>
      <c r="AE127" s="3">
        <v>15</v>
      </c>
      <c r="AF127" s="3" t="s">
        <v>151</v>
      </c>
      <c r="AG127" s="3" t="s">
        <v>290</v>
      </c>
      <c r="AH127" s="3"/>
    </row>
    <row r="128" spans="1:34" ht="14.25" customHeight="1" x14ac:dyDescent="0.25">
      <c r="A128" s="3" t="s">
        <v>119</v>
      </c>
      <c r="B128" s="3" t="s">
        <v>79</v>
      </c>
      <c r="C128" s="3"/>
      <c r="D128" s="3" t="s">
        <v>115</v>
      </c>
      <c r="E128" s="3">
        <v>1</v>
      </c>
      <c r="F128" s="3">
        <v>1</v>
      </c>
      <c r="G128" s="3" t="s">
        <v>15</v>
      </c>
      <c r="H128" s="11">
        <v>45747</v>
      </c>
      <c r="I128" s="12" t="s">
        <v>81</v>
      </c>
      <c r="J128" s="3">
        <v>0</v>
      </c>
      <c r="K128" s="3">
        <v>0</v>
      </c>
      <c r="L128" s="3">
        <v>0</v>
      </c>
      <c r="M128" s="3">
        <v>15</v>
      </c>
      <c r="N128" s="3">
        <v>0</v>
      </c>
      <c r="O128" s="3">
        <f t="shared" si="0"/>
        <v>15</v>
      </c>
      <c r="P128" s="3">
        <v>3</v>
      </c>
      <c r="Q128" s="3">
        <v>3</v>
      </c>
      <c r="R128" s="3">
        <v>3</v>
      </c>
      <c r="S128" s="3">
        <v>4</v>
      </c>
      <c r="T128" s="3">
        <v>1</v>
      </c>
      <c r="U128" s="3">
        <f t="shared" si="16"/>
        <v>14</v>
      </c>
      <c r="V128" s="13">
        <f t="shared" si="2"/>
        <v>1.0714285714285714</v>
      </c>
      <c r="W128" s="13">
        <f t="shared" si="10"/>
        <v>1.0714285714285714</v>
      </c>
      <c r="X128" s="3">
        <f t="shared" si="3"/>
        <v>14</v>
      </c>
      <c r="Y128" s="3">
        <f t="shared" si="11"/>
        <v>3.5714285714285713E-3</v>
      </c>
      <c r="Z128" s="3"/>
      <c r="AA128" s="3">
        <f t="shared" si="18"/>
        <v>300</v>
      </c>
      <c r="AB128" s="3"/>
      <c r="AC128" s="3" t="s">
        <v>82</v>
      </c>
      <c r="AD128" s="3" t="s">
        <v>83</v>
      </c>
      <c r="AE128" s="3">
        <v>15</v>
      </c>
      <c r="AF128" s="3" t="s">
        <v>151</v>
      </c>
      <c r="AG128" s="3" t="s">
        <v>290</v>
      </c>
      <c r="AH128" s="3"/>
    </row>
    <row r="129" spans="1:34" ht="14.25" customHeight="1" x14ac:dyDescent="0.25">
      <c r="A129" s="3" t="s">
        <v>120</v>
      </c>
      <c r="B129" s="3" t="s">
        <v>79</v>
      </c>
      <c r="C129" s="3"/>
      <c r="D129" s="3" t="s">
        <v>121</v>
      </c>
      <c r="E129" s="3">
        <v>1</v>
      </c>
      <c r="F129" s="3">
        <v>1</v>
      </c>
      <c r="G129" s="3" t="s">
        <v>1</v>
      </c>
      <c r="H129" s="11">
        <v>45747</v>
      </c>
      <c r="I129" s="12" t="s">
        <v>81</v>
      </c>
      <c r="J129" s="3">
        <v>5</v>
      </c>
      <c r="K129" s="3">
        <v>0</v>
      </c>
      <c r="L129" s="3">
        <v>0</v>
      </c>
      <c r="M129" s="3">
        <v>30</v>
      </c>
      <c r="N129" s="3">
        <v>0</v>
      </c>
      <c r="O129" s="3">
        <f t="shared" si="0"/>
        <v>35</v>
      </c>
      <c r="P129" s="3">
        <v>1</v>
      </c>
      <c r="Q129" s="3">
        <v>1</v>
      </c>
      <c r="R129" s="3">
        <v>0</v>
      </c>
      <c r="S129" s="3">
        <v>1</v>
      </c>
      <c r="T129" s="3">
        <v>0</v>
      </c>
      <c r="U129" s="3">
        <f t="shared" si="16"/>
        <v>3</v>
      </c>
      <c r="V129" s="13">
        <f t="shared" si="2"/>
        <v>11.666666666666666</v>
      </c>
      <c r="W129" s="13">
        <f t="shared" si="10"/>
        <v>11.666666666666666</v>
      </c>
      <c r="X129" s="3">
        <f t="shared" si="3"/>
        <v>3</v>
      </c>
      <c r="Y129" s="3">
        <f t="shared" si="11"/>
        <v>1.7361111111111112E-2</v>
      </c>
      <c r="Z129" s="3"/>
      <c r="AA129" s="3">
        <f t="shared" ref="AA129:AA130" si="19">15*2.8*16</f>
        <v>672</v>
      </c>
      <c r="AB129" s="3"/>
      <c r="AC129" s="3" t="s">
        <v>122</v>
      </c>
      <c r="AD129" s="3" t="s">
        <v>83</v>
      </c>
      <c r="AE129" s="3">
        <v>15</v>
      </c>
      <c r="AF129" s="3" t="s">
        <v>151</v>
      </c>
      <c r="AG129" s="3" t="s">
        <v>291</v>
      </c>
      <c r="AH129" s="3"/>
    </row>
    <row r="130" spans="1:34" ht="14.25" customHeight="1" x14ac:dyDescent="0.25">
      <c r="A130" s="3" t="s">
        <v>120</v>
      </c>
      <c r="B130" s="3" t="s">
        <v>79</v>
      </c>
      <c r="C130" s="3"/>
      <c r="D130" s="3" t="s">
        <v>121</v>
      </c>
      <c r="E130" s="3">
        <v>1</v>
      </c>
      <c r="F130" s="3">
        <v>1</v>
      </c>
      <c r="G130" s="3" t="s">
        <v>3</v>
      </c>
      <c r="H130" s="11">
        <v>45747</v>
      </c>
      <c r="I130" s="12" t="s">
        <v>81</v>
      </c>
      <c r="J130" s="3">
        <v>0</v>
      </c>
      <c r="K130" s="3">
        <v>15</v>
      </c>
      <c r="L130" s="3">
        <v>0</v>
      </c>
      <c r="M130" s="3">
        <v>0</v>
      </c>
      <c r="N130" s="3">
        <v>0</v>
      </c>
      <c r="O130" s="3">
        <f t="shared" si="0"/>
        <v>15</v>
      </c>
      <c r="P130" s="3">
        <v>1</v>
      </c>
      <c r="Q130" s="3">
        <v>1</v>
      </c>
      <c r="R130" s="3">
        <v>0</v>
      </c>
      <c r="S130" s="3">
        <v>1</v>
      </c>
      <c r="T130" s="3">
        <v>0</v>
      </c>
      <c r="U130" s="3">
        <f t="shared" si="16"/>
        <v>3</v>
      </c>
      <c r="V130" s="13">
        <f t="shared" si="2"/>
        <v>5</v>
      </c>
      <c r="W130" s="13">
        <f t="shared" si="10"/>
        <v>5</v>
      </c>
      <c r="X130" s="3">
        <f t="shared" si="3"/>
        <v>3</v>
      </c>
      <c r="Y130" s="3">
        <f t="shared" si="11"/>
        <v>7.4404761904761901E-3</v>
      </c>
      <c r="Z130" s="3"/>
      <c r="AA130" s="3">
        <f t="shared" si="19"/>
        <v>672</v>
      </c>
      <c r="AB130" s="3"/>
      <c r="AC130" s="3" t="s">
        <v>122</v>
      </c>
      <c r="AD130" s="3" t="s">
        <v>83</v>
      </c>
      <c r="AE130" s="3">
        <v>15</v>
      </c>
      <c r="AF130" s="3" t="s">
        <v>151</v>
      </c>
      <c r="AG130" s="3" t="s">
        <v>291</v>
      </c>
      <c r="AH130" s="3"/>
    </row>
    <row r="131" spans="1:34" ht="14.25" customHeight="1" x14ac:dyDescent="0.25">
      <c r="A131" s="3" t="s">
        <v>123</v>
      </c>
      <c r="B131" s="3" t="s">
        <v>79</v>
      </c>
      <c r="C131" s="3"/>
      <c r="D131" s="3" t="s">
        <v>121</v>
      </c>
      <c r="E131" s="3">
        <v>1</v>
      </c>
      <c r="F131" s="3">
        <v>1</v>
      </c>
      <c r="G131" s="3" t="s">
        <v>16</v>
      </c>
      <c r="H131" s="11">
        <v>45747</v>
      </c>
      <c r="I131" s="12" t="s">
        <v>81</v>
      </c>
      <c r="J131" s="3">
        <f>30+15+12</f>
        <v>57</v>
      </c>
      <c r="K131" s="3">
        <f>16+14+20+19</f>
        <v>69</v>
      </c>
      <c r="L131" s="3">
        <f>11+17+15</f>
        <v>43</v>
      </c>
      <c r="M131" s="3">
        <f>19+21+22+15</f>
        <v>77</v>
      </c>
      <c r="N131" s="3">
        <v>16</v>
      </c>
      <c r="O131" s="3">
        <f t="shared" si="0"/>
        <v>262</v>
      </c>
      <c r="P131" s="3">
        <v>3</v>
      </c>
      <c r="Q131" s="3">
        <v>4</v>
      </c>
      <c r="R131" s="3">
        <v>3</v>
      </c>
      <c r="S131" s="3">
        <v>4</v>
      </c>
      <c r="T131" s="3">
        <v>1</v>
      </c>
      <c r="U131" s="3">
        <f t="shared" si="16"/>
        <v>15</v>
      </c>
      <c r="V131" s="13">
        <f t="shared" si="2"/>
        <v>17.466666666666665</v>
      </c>
      <c r="W131" s="13">
        <f t="shared" ref="W131:W194" si="20">O131/U131/F131</f>
        <v>17.466666666666665</v>
      </c>
      <c r="X131" s="3">
        <f t="shared" si="3"/>
        <v>15</v>
      </c>
      <c r="Y131" s="3">
        <f t="shared" ref="Y131:Y194" si="21">O131/U131/AA131</f>
        <v>9.9809523809523806E-2</v>
      </c>
      <c r="Z131" s="3"/>
      <c r="AA131" s="3">
        <f>15*2.5*1+15*2.5*1+20*2.5*1+20*2.5*1</f>
        <v>175</v>
      </c>
      <c r="AB131" s="3"/>
      <c r="AC131" s="3" t="s">
        <v>82</v>
      </c>
      <c r="AD131" s="3"/>
      <c r="AE131" s="3"/>
      <c r="AF131" s="3" t="s">
        <v>151</v>
      </c>
      <c r="AG131" s="3" t="s">
        <v>292</v>
      </c>
      <c r="AH131" s="3"/>
    </row>
    <row r="132" spans="1:34" ht="14.25" customHeight="1" x14ac:dyDescent="0.25">
      <c r="A132" s="3" t="s">
        <v>124</v>
      </c>
      <c r="B132" s="3" t="s">
        <v>79</v>
      </c>
      <c r="C132" s="3"/>
      <c r="D132" s="3" t="s">
        <v>121</v>
      </c>
      <c r="E132" s="3">
        <v>1</v>
      </c>
      <c r="F132" s="3">
        <v>1</v>
      </c>
      <c r="G132" s="3" t="s">
        <v>1</v>
      </c>
      <c r="H132" s="11">
        <v>45747</v>
      </c>
      <c r="I132" s="12" t="s">
        <v>81</v>
      </c>
      <c r="J132" s="3">
        <f>18+20+10+18</f>
        <v>66</v>
      </c>
      <c r="K132" s="3">
        <f>25+32+10</f>
        <v>67</v>
      </c>
      <c r="L132" s="3">
        <f>9+25+28+18</f>
        <v>80</v>
      </c>
      <c r="M132" s="3">
        <f>10+8+16+14</f>
        <v>48</v>
      </c>
      <c r="N132" s="3">
        <v>0</v>
      </c>
      <c r="O132" s="3">
        <f t="shared" si="0"/>
        <v>261</v>
      </c>
      <c r="P132" s="3">
        <v>4</v>
      </c>
      <c r="Q132" s="3">
        <v>3</v>
      </c>
      <c r="R132" s="3">
        <v>4</v>
      </c>
      <c r="S132" s="3">
        <v>4</v>
      </c>
      <c r="T132" s="3">
        <v>0</v>
      </c>
      <c r="U132" s="3">
        <f t="shared" si="16"/>
        <v>15</v>
      </c>
      <c r="V132" s="13">
        <f t="shared" si="2"/>
        <v>17.399999999999999</v>
      </c>
      <c r="W132" s="13">
        <f t="shared" si="20"/>
        <v>17.399999999999999</v>
      </c>
      <c r="X132" s="3">
        <f t="shared" si="3"/>
        <v>15</v>
      </c>
      <c r="Y132" s="3" t="e">
        <f t="shared" si="21"/>
        <v>#DIV/0!</v>
      </c>
      <c r="Z132" s="3"/>
      <c r="AA132" s="3"/>
      <c r="AB132" s="3">
        <v>200</v>
      </c>
      <c r="AC132" s="3" t="s">
        <v>82</v>
      </c>
      <c r="AD132" s="3" t="s">
        <v>83</v>
      </c>
      <c r="AE132" s="3">
        <v>15</v>
      </c>
      <c r="AF132" s="3" t="s">
        <v>151</v>
      </c>
      <c r="AG132" s="3" t="s">
        <v>221</v>
      </c>
      <c r="AH132" s="3"/>
    </row>
    <row r="133" spans="1:34" ht="14.25" customHeight="1" x14ac:dyDescent="0.25">
      <c r="A133" s="3" t="s">
        <v>124</v>
      </c>
      <c r="B133" s="3" t="s">
        <v>79</v>
      </c>
      <c r="C133" s="3"/>
      <c r="D133" s="3" t="s">
        <v>121</v>
      </c>
      <c r="E133" s="3">
        <v>1</v>
      </c>
      <c r="F133" s="3">
        <v>1</v>
      </c>
      <c r="G133" s="3" t="s">
        <v>2</v>
      </c>
      <c r="H133" s="11">
        <v>45747</v>
      </c>
      <c r="I133" s="12" t="s">
        <v>81</v>
      </c>
      <c r="J133" s="3">
        <v>0</v>
      </c>
      <c r="K133" s="3">
        <v>8</v>
      </c>
      <c r="L133" s="3">
        <v>0</v>
      </c>
      <c r="M133" s="3">
        <v>0</v>
      </c>
      <c r="N133" s="3">
        <v>0</v>
      </c>
      <c r="O133" s="3">
        <f t="shared" si="0"/>
        <v>8</v>
      </c>
      <c r="P133" s="3">
        <v>4</v>
      </c>
      <c r="Q133" s="3">
        <v>3</v>
      </c>
      <c r="R133" s="3">
        <v>4</v>
      </c>
      <c r="S133" s="3">
        <v>4</v>
      </c>
      <c r="T133" s="3">
        <v>0</v>
      </c>
      <c r="U133" s="3">
        <f t="shared" si="16"/>
        <v>15</v>
      </c>
      <c r="V133" s="13">
        <f t="shared" si="2"/>
        <v>0.53333333333333333</v>
      </c>
      <c r="W133" s="13">
        <f t="shared" si="20"/>
        <v>0.53333333333333333</v>
      </c>
      <c r="X133" s="3">
        <f t="shared" si="3"/>
        <v>15</v>
      </c>
      <c r="Y133" s="3" t="e">
        <f t="shared" si="21"/>
        <v>#DIV/0!</v>
      </c>
      <c r="Z133" s="3"/>
      <c r="AA133" s="3"/>
      <c r="AB133" s="3">
        <v>200</v>
      </c>
      <c r="AC133" s="3" t="s">
        <v>82</v>
      </c>
      <c r="AD133" s="3" t="s">
        <v>83</v>
      </c>
      <c r="AE133" s="3">
        <v>15</v>
      </c>
      <c r="AF133" s="3" t="s">
        <v>151</v>
      </c>
      <c r="AG133" s="3" t="s">
        <v>221</v>
      </c>
      <c r="AH133" s="3"/>
    </row>
    <row r="134" spans="1:34" ht="14.25" customHeight="1" x14ac:dyDescent="0.25">
      <c r="A134" s="3" t="s">
        <v>125</v>
      </c>
      <c r="B134" s="3" t="s">
        <v>79</v>
      </c>
      <c r="C134" s="3"/>
      <c r="D134" s="3" t="s">
        <v>117</v>
      </c>
      <c r="E134" s="3">
        <v>1</v>
      </c>
      <c r="F134" s="3">
        <v>1</v>
      </c>
      <c r="G134" s="3" t="s">
        <v>1</v>
      </c>
      <c r="H134" s="11">
        <v>45747</v>
      </c>
      <c r="I134" s="12" t="s">
        <v>81</v>
      </c>
      <c r="J134" s="3">
        <v>0</v>
      </c>
      <c r="K134" s="3">
        <v>0</v>
      </c>
      <c r="L134" s="3">
        <v>40</v>
      </c>
      <c r="M134" s="3">
        <v>0</v>
      </c>
      <c r="N134" s="3">
        <v>0</v>
      </c>
      <c r="O134" s="3">
        <f t="shared" si="0"/>
        <v>40</v>
      </c>
      <c r="P134" s="3">
        <v>2</v>
      </c>
      <c r="Q134" s="3">
        <v>2</v>
      </c>
      <c r="R134" s="3">
        <v>1</v>
      </c>
      <c r="S134" s="3">
        <v>1</v>
      </c>
      <c r="T134" s="3">
        <v>0</v>
      </c>
      <c r="U134" s="3">
        <f t="shared" si="16"/>
        <v>6</v>
      </c>
      <c r="V134" s="13">
        <f t="shared" si="2"/>
        <v>6.666666666666667</v>
      </c>
      <c r="W134" s="13">
        <f t="shared" si="20"/>
        <v>6.666666666666667</v>
      </c>
      <c r="X134" s="3">
        <f t="shared" si="3"/>
        <v>6</v>
      </c>
      <c r="Y134" s="3">
        <f t="shared" si="21"/>
        <v>2.6666666666666668E-2</v>
      </c>
      <c r="Z134" s="3"/>
      <c r="AA134" s="3">
        <f t="shared" ref="AA134:AA139" si="22">10*2.5*5+25*2.5*2</f>
        <v>250</v>
      </c>
      <c r="AB134" s="3"/>
      <c r="AC134" s="3" t="s">
        <v>82</v>
      </c>
      <c r="AD134" s="3" t="s">
        <v>83</v>
      </c>
      <c r="AE134" s="3">
        <v>15</v>
      </c>
      <c r="AF134" s="3" t="s">
        <v>151</v>
      </c>
      <c r="AG134" s="3" t="s">
        <v>290</v>
      </c>
      <c r="AH134" s="3"/>
    </row>
    <row r="135" spans="1:34" ht="14.25" customHeight="1" x14ac:dyDescent="0.25">
      <c r="A135" s="3" t="s">
        <v>125</v>
      </c>
      <c r="B135" s="3" t="s">
        <v>79</v>
      </c>
      <c r="C135" s="3"/>
      <c r="D135" s="3" t="s">
        <v>117</v>
      </c>
      <c r="E135" s="3">
        <v>1</v>
      </c>
      <c r="F135" s="3">
        <v>1</v>
      </c>
      <c r="G135" s="3" t="s">
        <v>3</v>
      </c>
      <c r="H135" s="11">
        <v>45747</v>
      </c>
      <c r="I135" s="12" t="s">
        <v>81</v>
      </c>
      <c r="J135" s="3">
        <v>0</v>
      </c>
      <c r="K135" s="3">
        <v>0</v>
      </c>
      <c r="L135" s="3">
        <v>0</v>
      </c>
      <c r="M135" s="3">
        <v>10</v>
      </c>
      <c r="N135" s="3">
        <v>0</v>
      </c>
      <c r="O135" s="3">
        <f t="shared" si="0"/>
        <v>10</v>
      </c>
      <c r="P135" s="3">
        <v>2</v>
      </c>
      <c r="Q135" s="3">
        <v>2</v>
      </c>
      <c r="R135" s="3">
        <v>1</v>
      </c>
      <c r="S135" s="3">
        <v>1</v>
      </c>
      <c r="T135" s="3">
        <v>0</v>
      </c>
      <c r="U135" s="3">
        <f t="shared" si="16"/>
        <v>6</v>
      </c>
      <c r="V135" s="13">
        <f t="shared" si="2"/>
        <v>1.6666666666666667</v>
      </c>
      <c r="W135" s="13">
        <f t="shared" si="20"/>
        <v>1.6666666666666667</v>
      </c>
      <c r="X135" s="3">
        <f t="shared" si="3"/>
        <v>6</v>
      </c>
      <c r="Y135" s="3">
        <f t="shared" si="21"/>
        <v>6.6666666666666671E-3</v>
      </c>
      <c r="Z135" s="3"/>
      <c r="AA135" s="3">
        <f t="shared" si="22"/>
        <v>250</v>
      </c>
      <c r="AB135" s="3"/>
      <c r="AC135" s="3" t="s">
        <v>82</v>
      </c>
      <c r="AD135" s="3" t="s">
        <v>83</v>
      </c>
      <c r="AE135" s="3">
        <v>15</v>
      </c>
      <c r="AF135" s="3" t="s">
        <v>151</v>
      </c>
      <c r="AG135" s="3" t="s">
        <v>290</v>
      </c>
      <c r="AH135" s="3"/>
    </row>
    <row r="136" spans="1:34" ht="14.25" customHeight="1" x14ac:dyDescent="0.25">
      <c r="A136" s="3" t="s">
        <v>125</v>
      </c>
      <c r="B136" s="3" t="s">
        <v>79</v>
      </c>
      <c r="C136" s="3"/>
      <c r="D136" s="3" t="s">
        <v>117</v>
      </c>
      <c r="E136" s="3">
        <v>1</v>
      </c>
      <c r="F136" s="3">
        <v>1</v>
      </c>
      <c r="G136" s="3" t="s">
        <v>9</v>
      </c>
      <c r="H136" s="11">
        <v>45747</v>
      </c>
      <c r="I136" s="12" t="s">
        <v>81</v>
      </c>
      <c r="J136" s="3">
        <v>0</v>
      </c>
      <c r="K136" s="3">
        <v>0</v>
      </c>
      <c r="L136" s="3">
        <v>0</v>
      </c>
      <c r="M136" s="3">
        <v>9</v>
      </c>
      <c r="N136" s="3">
        <v>0</v>
      </c>
      <c r="O136" s="3">
        <f t="shared" si="0"/>
        <v>9</v>
      </c>
      <c r="P136" s="3">
        <v>2</v>
      </c>
      <c r="Q136" s="3">
        <v>2</v>
      </c>
      <c r="R136" s="3">
        <v>1</v>
      </c>
      <c r="S136" s="3">
        <v>1</v>
      </c>
      <c r="T136" s="3">
        <v>0</v>
      </c>
      <c r="U136" s="3">
        <f t="shared" si="16"/>
        <v>6</v>
      </c>
      <c r="V136" s="13">
        <f t="shared" si="2"/>
        <v>1.5</v>
      </c>
      <c r="W136" s="13">
        <f t="shared" si="20"/>
        <v>1.5</v>
      </c>
      <c r="X136" s="3">
        <f t="shared" si="3"/>
        <v>6</v>
      </c>
      <c r="Y136" s="3">
        <f t="shared" si="21"/>
        <v>6.0000000000000001E-3</v>
      </c>
      <c r="Z136" s="3"/>
      <c r="AA136" s="3">
        <f t="shared" si="22"/>
        <v>250</v>
      </c>
      <c r="AB136" s="3"/>
      <c r="AC136" s="3" t="s">
        <v>82</v>
      </c>
      <c r="AD136" s="3" t="s">
        <v>83</v>
      </c>
      <c r="AE136" s="3">
        <v>15</v>
      </c>
      <c r="AF136" s="3" t="s">
        <v>151</v>
      </c>
      <c r="AG136" s="3" t="s">
        <v>290</v>
      </c>
      <c r="AH136" s="3"/>
    </row>
    <row r="137" spans="1:34" ht="14.25" customHeight="1" x14ac:dyDescent="0.25">
      <c r="A137" s="3" t="s">
        <v>125</v>
      </c>
      <c r="B137" s="3" t="s">
        <v>79</v>
      </c>
      <c r="C137" s="3"/>
      <c r="D137" s="3" t="s">
        <v>117</v>
      </c>
      <c r="E137" s="3">
        <v>1</v>
      </c>
      <c r="F137" s="3">
        <v>1</v>
      </c>
      <c r="G137" s="3" t="s">
        <v>14</v>
      </c>
      <c r="H137" s="11">
        <v>45747</v>
      </c>
      <c r="I137" s="12" t="s">
        <v>81</v>
      </c>
      <c r="J137" s="3">
        <v>10</v>
      </c>
      <c r="K137" s="3">
        <v>12</v>
      </c>
      <c r="L137" s="3">
        <v>0</v>
      </c>
      <c r="M137" s="3">
        <v>0</v>
      </c>
      <c r="N137" s="3">
        <v>0</v>
      </c>
      <c r="O137" s="3">
        <f t="shared" si="0"/>
        <v>22</v>
      </c>
      <c r="P137" s="3">
        <v>2</v>
      </c>
      <c r="Q137" s="3">
        <v>2</v>
      </c>
      <c r="R137" s="3">
        <v>1</v>
      </c>
      <c r="S137" s="3">
        <v>1</v>
      </c>
      <c r="T137" s="3">
        <v>0</v>
      </c>
      <c r="U137" s="3">
        <f t="shared" si="16"/>
        <v>6</v>
      </c>
      <c r="V137" s="13">
        <f t="shared" si="2"/>
        <v>3.6666666666666665</v>
      </c>
      <c r="W137" s="13">
        <f t="shared" si="20"/>
        <v>3.6666666666666665</v>
      </c>
      <c r="X137" s="3">
        <f t="shared" si="3"/>
        <v>6</v>
      </c>
      <c r="Y137" s="3">
        <f t="shared" si="21"/>
        <v>1.4666666666666666E-2</v>
      </c>
      <c r="Z137" s="3"/>
      <c r="AA137" s="3">
        <f t="shared" si="22"/>
        <v>250</v>
      </c>
      <c r="AB137" s="3"/>
      <c r="AC137" s="3" t="s">
        <v>82</v>
      </c>
      <c r="AD137" s="3" t="s">
        <v>83</v>
      </c>
      <c r="AE137" s="3">
        <v>15</v>
      </c>
      <c r="AF137" s="3" t="s">
        <v>151</v>
      </c>
      <c r="AG137" s="3" t="s">
        <v>290</v>
      </c>
      <c r="AH137" s="3"/>
    </row>
    <row r="138" spans="1:34" ht="14.25" customHeight="1" x14ac:dyDescent="0.25">
      <c r="A138" s="3" t="s">
        <v>125</v>
      </c>
      <c r="B138" s="3" t="s">
        <v>79</v>
      </c>
      <c r="C138" s="3"/>
      <c r="D138" s="3" t="s">
        <v>117</v>
      </c>
      <c r="E138" s="3">
        <v>1</v>
      </c>
      <c r="F138" s="3">
        <v>1</v>
      </c>
      <c r="G138" s="3" t="s">
        <v>16</v>
      </c>
      <c r="H138" s="11">
        <v>45747</v>
      </c>
      <c r="I138" s="12" t="s">
        <v>81</v>
      </c>
      <c r="J138" s="3">
        <v>0</v>
      </c>
      <c r="K138" s="3">
        <v>7</v>
      </c>
      <c r="L138" s="3">
        <v>0</v>
      </c>
      <c r="M138" s="3">
        <v>0</v>
      </c>
      <c r="N138" s="3">
        <v>0</v>
      </c>
      <c r="O138" s="3">
        <f t="shared" si="0"/>
        <v>7</v>
      </c>
      <c r="P138" s="3">
        <v>2</v>
      </c>
      <c r="Q138" s="3">
        <v>2</v>
      </c>
      <c r="R138" s="3">
        <v>1</v>
      </c>
      <c r="S138" s="3">
        <v>1</v>
      </c>
      <c r="T138" s="3">
        <v>0</v>
      </c>
      <c r="U138" s="3">
        <f t="shared" si="16"/>
        <v>6</v>
      </c>
      <c r="V138" s="13">
        <f t="shared" si="2"/>
        <v>1.1666666666666667</v>
      </c>
      <c r="W138" s="13">
        <f t="shared" si="20"/>
        <v>1.1666666666666667</v>
      </c>
      <c r="X138" s="3">
        <f t="shared" si="3"/>
        <v>6</v>
      </c>
      <c r="Y138" s="3">
        <f t="shared" si="21"/>
        <v>4.6666666666666671E-3</v>
      </c>
      <c r="Z138" s="3"/>
      <c r="AA138" s="3">
        <f t="shared" si="22"/>
        <v>250</v>
      </c>
      <c r="AB138" s="3"/>
      <c r="AC138" s="3" t="s">
        <v>82</v>
      </c>
      <c r="AD138" s="3" t="s">
        <v>83</v>
      </c>
      <c r="AE138" s="3">
        <v>15</v>
      </c>
      <c r="AF138" s="3" t="s">
        <v>151</v>
      </c>
      <c r="AG138" s="3" t="s">
        <v>290</v>
      </c>
      <c r="AH138" s="3"/>
    </row>
    <row r="139" spans="1:34" ht="14.25" customHeight="1" x14ac:dyDescent="0.25">
      <c r="A139" s="3" t="s">
        <v>125</v>
      </c>
      <c r="B139" s="3" t="s">
        <v>79</v>
      </c>
      <c r="C139" s="3"/>
      <c r="D139" s="3" t="s">
        <v>117</v>
      </c>
      <c r="E139" s="3">
        <v>1</v>
      </c>
      <c r="F139" s="3">
        <v>1</v>
      </c>
      <c r="G139" s="3" t="s">
        <v>18</v>
      </c>
      <c r="H139" s="11">
        <v>45747</v>
      </c>
      <c r="I139" s="12" t="s">
        <v>81</v>
      </c>
      <c r="J139" s="3">
        <v>4</v>
      </c>
      <c r="K139" s="3">
        <v>0</v>
      </c>
      <c r="L139" s="3">
        <v>0</v>
      </c>
      <c r="M139" s="3">
        <v>0</v>
      </c>
      <c r="N139" s="3">
        <v>0</v>
      </c>
      <c r="O139" s="3">
        <f t="shared" si="0"/>
        <v>4</v>
      </c>
      <c r="P139" s="3">
        <v>2</v>
      </c>
      <c r="Q139" s="3">
        <v>2</v>
      </c>
      <c r="R139" s="3">
        <v>1</v>
      </c>
      <c r="S139" s="3">
        <v>1</v>
      </c>
      <c r="T139" s="3">
        <v>0</v>
      </c>
      <c r="U139" s="3">
        <f t="shared" si="16"/>
        <v>6</v>
      </c>
      <c r="V139" s="13">
        <f t="shared" si="2"/>
        <v>0.66666666666666663</v>
      </c>
      <c r="W139" s="13">
        <f t="shared" si="20"/>
        <v>0.66666666666666663</v>
      </c>
      <c r="X139" s="3">
        <f t="shared" si="3"/>
        <v>6</v>
      </c>
      <c r="Y139" s="3">
        <f t="shared" si="21"/>
        <v>2.6666666666666666E-3</v>
      </c>
      <c r="Z139" s="3"/>
      <c r="AA139" s="3">
        <f t="shared" si="22"/>
        <v>250</v>
      </c>
      <c r="AB139" s="3"/>
      <c r="AC139" s="3" t="s">
        <v>82</v>
      </c>
      <c r="AD139" s="3" t="s">
        <v>83</v>
      </c>
      <c r="AE139" s="3">
        <v>15</v>
      </c>
      <c r="AF139" s="3" t="s">
        <v>151</v>
      </c>
      <c r="AG139" s="3" t="s">
        <v>290</v>
      </c>
      <c r="AH139" s="3"/>
    </row>
    <row r="140" spans="1:34" ht="14.25" customHeight="1" x14ac:dyDescent="0.25">
      <c r="A140" s="3" t="s">
        <v>126</v>
      </c>
      <c r="B140" s="3" t="s">
        <v>79</v>
      </c>
      <c r="C140" s="3"/>
      <c r="D140" s="3" t="s">
        <v>121</v>
      </c>
      <c r="E140" s="3">
        <v>2</v>
      </c>
      <c r="F140" s="3">
        <v>1</v>
      </c>
      <c r="G140" s="3" t="s">
        <v>1</v>
      </c>
      <c r="H140" s="11">
        <v>45747</v>
      </c>
      <c r="I140" s="12" t="s">
        <v>81</v>
      </c>
      <c r="J140" s="3">
        <v>0</v>
      </c>
      <c r="K140" s="3">
        <f>1+7</f>
        <v>8</v>
      </c>
      <c r="L140" s="3">
        <v>2</v>
      </c>
      <c r="M140" s="3">
        <v>0</v>
      </c>
      <c r="N140" s="3">
        <v>3</v>
      </c>
      <c r="O140" s="3">
        <f t="shared" si="0"/>
        <v>13</v>
      </c>
      <c r="P140" s="3">
        <v>1</v>
      </c>
      <c r="Q140" s="3">
        <v>4</v>
      </c>
      <c r="R140" s="3">
        <v>1</v>
      </c>
      <c r="S140" s="3">
        <v>2</v>
      </c>
      <c r="T140" s="3">
        <v>0</v>
      </c>
      <c r="U140" s="3">
        <f t="shared" si="16"/>
        <v>8</v>
      </c>
      <c r="V140" s="13">
        <f t="shared" si="2"/>
        <v>1.625</v>
      </c>
      <c r="W140" s="13">
        <f t="shared" si="20"/>
        <v>1.625</v>
      </c>
      <c r="X140" s="3">
        <f t="shared" si="3"/>
        <v>8</v>
      </c>
      <c r="Y140" s="3">
        <f t="shared" si="21"/>
        <v>4.642857142857143E-3</v>
      </c>
      <c r="Z140" s="3"/>
      <c r="AA140" s="3">
        <f t="shared" ref="AA140:AA149" si="23">20*2.5*7</f>
        <v>350</v>
      </c>
      <c r="AB140" s="3">
        <v>500</v>
      </c>
      <c r="AC140" s="3" t="s">
        <v>82</v>
      </c>
      <c r="AD140" s="3" t="s">
        <v>83</v>
      </c>
      <c r="AE140" s="3" t="s">
        <v>103</v>
      </c>
      <c r="AF140" s="3" t="s">
        <v>151</v>
      </c>
      <c r="AG140" s="3" t="s">
        <v>293</v>
      </c>
      <c r="AH140" s="3"/>
    </row>
    <row r="141" spans="1:34" ht="14.25" customHeight="1" x14ac:dyDescent="0.25">
      <c r="A141" s="3" t="s">
        <v>126</v>
      </c>
      <c r="B141" s="3" t="s">
        <v>79</v>
      </c>
      <c r="C141" s="3"/>
      <c r="D141" s="3" t="s">
        <v>121</v>
      </c>
      <c r="E141" s="3">
        <v>2</v>
      </c>
      <c r="F141" s="3">
        <v>1</v>
      </c>
      <c r="G141" s="3" t="s">
        <v>3</v>
      </c>
      <c r="H141" s="11">
        <v>45747</v>
      </c>
      <c r="I141" s="12" t="s">
        <v>81</v>
      </c>
      <c r="J141" s="3">
        <v>20</v>
      </c>
      <c r="K141" s="3">
        <f>15+18+15+3</f>
        <v>51</v>
      </c>
      <c r="L141" s="3">
        <v>11</v>
      </c>
      <c r="M141" s="3">
        <v>0</v>
      </c>
      <c r="N141" s="3">
        <f>3+15</f>
        <v>18</v>
      </c>
      <c r="O141" s="3">
        <f t="shared" si="0"/>
        <v>100</v>
      </c>
      <c r="P141" s="3">
        <v>1</v>
      </c>
      <c r="Q141" s="3">
        <v>4</v>
      </c>
      <c r="R141" s="3">
        <v>1</v>
      </c>
      <c r="S141" s="3">
        <v>2</v>
      </c>
      <c r="T141" s="3">
        <v>0</v>
      </c>
      <c r="U141" s="3">
        <v>20</v>
      </c>
      <c r="V141" s="13">
        <f t="shared" si="2"/>
        <v>5</v>
      </c>
      <c r="W141" s="13">
        <f t="shared" si="20"/>
        <v>5</v>
      </c>
      <c r="X141" s="3">
        <f t="shared" si="3"/>
        <v>20</v>
      </c>
      <c r="Y141" s="3">
        <f t="shared" si="21"/>
        <v>1.4285714285714285E-2</v>
      </c>
      <c r="Z141" s="3"/>
      <c r="AA141" s="3">
        <f t="shared" si="23"/>
        <v>350</v>
      </c>
      <c r="AB141" s="3">
        <v>500</v>
      </c>
      <c r="AC141" s="3" t="s">
        <v>82</v>
      </c>
      <c r="AD141" s="3" t="s">
        <v>83</v>
      </c>
      <c r="AE141" s="3"/>
      <c r="AF141" s="3" t="s">
        <v>151</v>
      </c>
      <c r="AG141" s="3" t="s">
        <v>293</v>
      </c>
      <c r="AH141" s="3"/>
    </row>
    <row r="142" spans="1:34" ht="14.25" customHeight="1" x14ac:dyDescent="0.25">
      <c r="A142" s="3" t="s">
        <v>126</v>
      </c>
      <c r="B142" s="3" t="s">
        <v>79</v>
      </c>
      <c r="C142" s="3"/>
      <c r="D142" s="3" t="s">
        <v>121</v>
      </c>
      <c r="E142" s="3">
        <v>2</v>
      </c>
      <c r="F142" s="3">
        <v>1</v>
      </c>
      <c r="G142" s="3" t="s">
        <v>7</v>
      </c>
      <c r="H142" s="11">
        <v>45747</v>
      </c>
      <c r="I142" s="12" t="s">
        <v>81</v>
      </c>
      <c r="J142" s="3">
        <v>0</v>
      </c>
      <c r="K142" s="3">
        <v>0</v>
      </c>
      <c r="L142" s="3">
        <v>0</v>
      </c>
      <c r="M142" s="3">
        <v>3</v>
      </c>
      <c r="N142" s="3">
        <v>0</v>
      </c>
      <c r="O142" s="3">
        <f t="shared" si="0"/>
        <v>3</v>
      </c>
      <c r="P142" s="3">
        <v>1</v>
      </c>
      <c r="Q142" s="3">
        <v>4</v>
      </c>
      <c r="R142" s="3">
        <v>1</v>
      </c>
      <c r="S142" s="3">
        <v>2</v>
      </c>
      <c r="T142" s="3">
        <v>0</v>
      </c>
      <c r="U142" s="3">
        <v>20</v>
      </c>
      <c r="V142" s="13">
        <f t="shared" si="2"/>
        <v>0.15</v>
      </c>
      <c r="W142" s="13">
        <f t="shared" si="20"/>
        <v>0.15</v>
      </c>
      <c r="X142" s="3">
        <f t="shared" ref="X142:X167" si="24">F143*U142</f>
        <v>20</v>
      </c>
      <c r="Y142" s="3">
        <f t="shared" si="21"/>
        <v>4.2857142857142855E-4</v>
      </c>
      <c r="Z142" s="3"/>
      <c r="AA142" s="3">
        <f t="shared" si="23"/>
        <v>350</v>
      </c>
      <c r="AB142" s="3">
        <v>500</v>
      </c>
      <c r="AC142" s="3" t="s">
        <v>82</v>
      </c>
      <c r="AD142" s="3" t="s">
        <v>83</v>
      </c>
      <c r="AE142" s="3"/>
      <c r="AF142" s="3" t="s">
        <v>151</v>
      </c>
      <c r="AG142" s="3" t="s">
        <v>293</v>
      </c>
      <c r="AH142" s="3"/>
    </row>
    <row r="143" spans="1:34" ht="14.25" customHeight="1" x14ac:dyDescent="0.25">
      <c r="A143" s="3" t="s">
        <v>126</v>
      </c>
      <c r="B143" s="3" t="s">
        <v>79</v>
      </c>
      <c r="C143" s="3"/>
      <c r="D143" s="3" t="s">
        <v>121</v>
      </c>
      <c r="E143" s="3">
        <v>2</v>
      </c>
      <c r="F143" s="3">
        <v>1</v>
      </c>
      <c r="G143" s="3" t="s">
        <v>2</v>
      </c>
      <c r="H143" s="11">
        <v>45747</v>
      </c>
      <c r="I143" s="12" t="s">
        <v>81</v>
      </c>
      <c r="J143" s="3">
        <v>0</v>
      </c>
      <c r="K143" s="3">
        <v>1.5</v>
      </c>
      <c r="L143" s="3">
        <v>5</v>
      </c>
      <c r="M143" s="3">
        <v>0</v>
      </c>
      <c r="N143" s="3">
        <v>3</v>
      </c>
      <c r="O143" s="3">
        <f t="shared" si="0"/>
        <v>9.5</v>
      </c>
      <c r="P143" s="3">
        <v>1</v>
      </c>
      <c r="Q143" s="3">
        <v>4</v>
      </c>
      <c r="R143" s="3">
        <v>1</v>
      </c>
      <c r="S143" s="3">
        <v>2</v>
      </c>
      <c r="T143" s="3">
        <v>0</v>
      </c>
      <c r="U143" s="3">
        <v>20</v>
      </c>
      <c r="V143" s="13">
        <f t="shared" si="2"/>
        <v>0.47499999999999998</v>
      </c>
      <c r="W143" s="13">
        <f t="shared" si="20"/>
        <v>0.47499999999999998</v>
      </c>
      <c r="X143" s="3">
        <f t="shared" si="24"/>
        <v>20</v>
      </c>
      <c r="Y143" s="3">
        <f t="shared" si="21"/>
        <v>1.3571428571428571E-3</v>
      </c>
      <c r="Z143" s="3"/>
      <c r="AA143" s="3">
        <f t="shared" si="23"/>
        <v>350</v>
      </c>
      <c r="AB143" s="3">
        <v>500</v>
      </c>
      <c r="AC143" s="3" t="s">
        <v>82</v>
      </c>
      <c r="AD143" s="3" t="s">
        <v>83</v>
      </c>
      <c r="AE143" s="3"/>
      <c r="AF143" s="3" t="s">
        <v>151</v>
      </c>
      <c r="AG143" s="3" t="s">
        <v>293</v>
      </c>
      <c r="AH143" s="3"/>
    </row>
    <row r="144" spans="1:34" ht="14.25" customHeight="1" x14ac:dyDescent="0.25">
      <c r="A144" s="3" t="s">
        <v>126</v>
      </c>
      <c r="B144" s="3" t="s">
        <v>79</v>
      </c>
      <c r="C144" s="3"/>
      <c r="D144" s="3" t="s">
        <v>121</v>
      </c>
      <c r="E144" s="3">
        <v>2</v>
      </c>
      <c r="F144" s="3">
        <v>1</v>
      </c>
      <c r="G144" s="3" t="s">
        <v>9</v>
      </c>
      <c r="H144" s="11">
        <v>45747</v>
      </c>
      <c r="I144" s="12" t="s">
        <v>81</v>
      </c>
      <c r="J144" s="3">
        <v>0</v>
      </c>
      <c r="K144" s="3">
        <v>0</v>
      </c>
      <c r="L144" s="3">
        <v>0</v>
      </c>
      <c r="M144" s="3">
        <v>0</v>
      </c>
      <c r="N144" s="3">
        <v>2</v>
      </c>
      <c r="O144" s="3">
        <f t="shared" si="0"/>
        <v>2</v>
      </c>
      <c r="P144" s="3">
        <v>1</v>
      </c>
      <c r="Q144" s="3">
        <v>4</v>
      </c>
      <c r="R144" s="3">
        <v>1</v>
      </c>
      <c r="S144" s="3">
        <v>2</v>
      </c>
      <c r="T144" s="3">
        <v>0</v>
      </c>
      <c r="U144" s="3">
        <v>20</v>
      </c>
      <c r="V144" s="13">
        <f t="shared" si="2"/>
        <v>0.1</v>
      </c>
      <c r="W144" s="13">
        <f t="shared" si="20"/>
        <v>0.1</v>
      </c>
      <c r="X144" s="3">
        <f t="shared" si="24"/>
        <v>20</v>
      </c>
      <c r="Y144" s="3">
        <f t="shared" si="21"/>
        <v>2.8571428571428574E-4</v>
      </c>
      <c r="Z144" s="3"/>
      <c r="AA144" s="3">
        <f t="shared" si="23"/>
        <v>350</v>
      </c>
      <c r="AB144" s="3">
        <v>500</v>
      </c>
      <c r="AC144" s="3" t="s">
        <v>82</v>
      </c>
      <c r="AD144" s="3" t="s">
        <v>83</v>
      </c>
      <c r="AE144" s="3"/>
      <c r="AF144" s="3" t="s">
        <v>151</v>
      </c>
      <c r="AG144" s="3" t="s">
        <v>293</v>
      </c>
      <c r="AH144" s="3"/>
    </row>
    <row r="145" spans="1:34" ht="14.25" customHeight="1" x14ac:dyDescent="0.25">
      <c r="A145" s="3" t="s">
        <v>126</v>
      </c>
      <c r="B145" s="3" t="s">
        <v>79</v>
      </c>
      <c r="C145" s="3"/>
      <c r="D145" s="3" t="s">
        <v>121</v>
      </c>
      <c r="E145" s="3">
        <v>2</v>
      </c>
      <c r="F145" s="3">
        <v>1</v>
      </c>
      <c r="G145" s="3" t="s">
        <v>12</v>
      </c>
      <c r="H145" s="11">
        <v>45747</v>
      </c>
      <c r="I145" s="12" t="s">
        <v>81</v>
      </c>
      <c r="J145" s="3">
        <v>3</v>
      </c>
      <c r="K145" s="3">
        <v>0</v>
      </c>
      <c r="L145" s="3">
        <v>2</v>
      </c>
      <c r="M145" s="3">
        <v>0</v>
      </c>
      <c r="N145" s="3">
        <v>0</v>
      </c>
      <c r="O145" s="3">
        <f t="shared" si="0"/>
        <v>5</v>
      </c>
      <c r="P145" s="3">
        <v>1</v>
      </c>
      <c r="Q145" s="3">
        <v>4</v>
      </c>
      <c r="R145" s="3">
        <v>1</v>
      </c>
      <c r="S145" s="3">
        <v>2</v>
      </c>
      <c r="T145" s="3">
        <v>0</v>
      </c>
      <c r="U145" s="3">
        <v>20</v>
      </c>
      <c r="V145" s="13">
        <f t="shared" si="2"/>
        <v>0.25</v>
      </c>
      <c r="W145" s="13">
        <f t="shared" si="20"/>
        <v>0.25</v>
      </c>
      <c r="X145" s="3">
        <f t="shared" si="24"/>
        <v>20</v>
      </c>
      <c r="Y145" s="3">
        <f t="shared" si="21"/>
        <v>7.1428571428571429E-4</v>
      </c>
      <c r="Z145" s="3"/>
      <c r="AA145" s="3">
        <f t="shared" si="23"/>
        <v>350</v>
      </c>
      <c r="AB145" s="3">
        <v>500</v>
      </c>
      <c r="AC145" s="3" t="s">
        <v>82</v>
      </c>
      <c r="AD145" s="3" t="s">
        <v>83</v>
      </c>
      <c r="AE145" s="3"/>
      <c r="AF145" s="3" t="s">
        <v>151</v>
      </c>
      <c r="AG145" s="3" t="s">
        <v>293</v>
      </c>
      <c r="AH145" s="3"/>
    </row>
    <row r="146" spans="1:34" ht="14.25" customHeight="1" x14ac:dyDescent="0.25">
      <c r="A146" s="3" t="s">
        <v>126</v>
      </c>
      <c r="B146" s="3" t="s">
        <v>79</v>
      </c>
      <c r="C146" s="3"/>
      <c r="D146" s="3" t="s">
        <v>121</v>
      </c>
      <c r="E146" s="3">
        <v>2</v>
      </c>
      <c r="F146" s="3">
        <v>1</v>
      </c>
      <c r="G146" s="3" t="s">
        <v>16</v>
      </c>
      <c r="H146" s="11">
        <v>45747</v>
      </c>
      <c r="I146" s="12" t="s">
        <v>81</v>
      </c>
      <c r="J146" s="3">
        <v>0</v>
      </c>
      <c r="K146" s="3">
        <v>0</v>
      </c>
      <c r="L146" s="3">
        <v>0</v>
      </c>
      <c r="M146" s="3">
        <v>0</v>
      </c>
      <c r="N146" s="3">
        <v>4</v>
      </c>
      <c r="O146" s="3">
        <f t="shared" si="0"/>
        <v>4</v>
      </c>
      <c r="P146" s="3">
        <v>1</v>
      </c>
      <c r="Q146" s="3">
        <v>4</v>
      </c>
      <c r="R146" s="3">
        <v>1</v>
      </c>
      <c r="S146" s="3">
        <v>2</v>
      </c>
      <c r="T146" s="3">
        <v>0</v>
      </c>
      <c r="U146" s="3">
        <v>20</v>
      </c>
      <c r="V146" s="13">
        <f t="shared" si="2"/>
        <v>0.2</v>
      </c>
      <c r="W146" s="13">
        <f t="shared" si="20"/>
        <v>0.2</v>
      </c>
      <c r="X146" s="3">
        <f t="shared" si="24"/>
        <v>20</v>
      </c>
      <c r="Y146" s="3">
        <f t="shared" si="21"/>
        <v>5.7142857142857147E-4</v>
      </c>
      <c r="Z146" s="3"/>
      <c r="AA146" s="3">
        <f t="shared" si="23"/>
        <v>350</v>
      </c>
      <c r="AB146" s="3">
        <v>500</v>
      </c>
      <c r="AC146" s="3" t="s">
        <v>82</v>
      </c>
      <c r="AD146" s="3" t="s">
        <v>83</v>
      </c>
      <c r="AE146" s="3"/>
      <c r="AF146" s="3" t="s">
        <v>151</v>
      </c>
      <c r="AG146" s="3" t="s">
        <v>293</v>
      </c>
      <c r="AH146" s="3"/>
    </row>
    <row r="147" spans="1:34" ht="14.25" customHeight="1" x14ac:dyDescent="0.25">
      <c r="A147" s="3" t="s">
        <v>126</v>
      </c>
      <c r="B147" s="3" t="s">
        <v>79</v>
      </c>
      <c r="C147" s="3"/>
      <c r="D147" s="3" t="s">
        <v>121</v>
      </c>
      <c r="E147" s="3">
        <v>2</v>
      </c>
      <c r="F147" s="3">
        <v>1</v>
      </c>
      <c r="G147" s="3" t="s">
        <v>25</v>
      </c>
      <c r="H147" s="11">
        <v>45747</v>
      </c>
      <c r="I147" s="12" t="s">
        <v>81</v>
      </c>
      <c r="J147" s="3">
        <v>0</v>
      </c>
      <c r="K147" s="3">
        <v>0</v>
      </c>
      <c r="L147" s="3">
        <v>0</v>
      </c>
      <c r="M147" s="3">
        <v>0</v>
      </c>
      <c r="N147" s="3">
        <v>11</v>
      </c>
      <c r="O147" s="3">
        <f t="shared" si="0"/>
        <v>11</v>
      </c>
      <c r="P147" s="3">
        <v>1</v>
      </c>
      <c r="Q147" s="3">
        <v>4</v>
      </c>
      <c r="R147" s="3">
        <v>1</v>
      </c>
      <c r="S147" s="3">
        <v>2</v>
      </c>
      <c r="T147" s="3">
        <v>0</v>
      </c>
      <c r="U147" s="3">
        <v>20</v>
      </c>
      <c r="V147" s="13">
        <f t="shared" si="2"/>
        <v>0.55000000000000004</v>
      </c>
      <c r="W147" s="13">
        <f t="shared" si="20"/>
        <v>0.55000000000000004</v>
      </c>
      <c r="X147" s="3">
        <f t="shared" si="24"/>
        <v>20</v>
      </c>
      <c r="Y147" s="3">
        <f t="shared" si="21"/>
        <v>1.5714285714285715E-3</v>
      </c>
      <c r="Z147" s="3"/>
      <c r="AA147" s="3">
        <f t="shared" si="23"/>
        <v>350</v>
      </c>
      <c r="AB147" s="3">
        <v>500</v>
      </c>
      <c r="AC147" s="3" t="s">
        <v>82</v>
      </c>
      <c r="AD147" s="3" t="s">
        <v>83</v>
      </c>
      <c r="AE147" s="3"/>
      <c r="AF147" s="3" t="s">
        <v>151</v>
      </c>
      <c r="AG147" s="3" t="s">
        <v>293</v>
      </c>
      <c r="AH147" s="3"/>
    </row>
    <row r="148" spans="1:34" ht="14.25" customHeight="1" x14ac:dyDescent="0.25">
      <c r="A148" s="3" t="s">
        <v>126</v>
      </c>
      <c r="B148" s="3" t="s">
        <v>79</v>
      </c>
      <c r="C148" s="3"/>
      <c r="D148" s="3" t="s">
        <v>121</v>
      </c>
      <c r="E148" s="3">
        <v>2</v>
      </c>
      <c r="F148" s="3">
        <v>1</v>
      </c>
      <c r="G148" s="3" t="s">
        <v>22</v>
      </c>
      <c r="H148" s="11">
        <v>45747</v>
      </c>
      <c r="I148" s="12" t="s">
        <v>81</v>
      </c>
      <c r="J148" s="3">
        <v>3</v>
      </c>
      <c r="K148" s="3">
        <v>0</v>
      </c>
      <c r="L148" s="3">
        <v>0</v>
      </c>
      <c r="M148" s="3">
        <v>0</v>
      </c>
      <c r="N148" s="3">
        <v>0</v>
      </c>
      <c r="O148" s="3">
        <f t="shared" si="0"/>
        <v>3</v>
      </c>
      <c r="P148" s="3">
        <v>1</v>
      </c>
      <c r="Q148" s="3">
        <v>4</v>
      </c>
      <c r="R148" s="3">
        <v>1</v>
      </c>
      <c r="S148" s="3">
        <v>2</v>
      </c>
      <c r="T148" s="3">
        <v>0</v>
      </c>
      <c r="U148" s="3">
        <v>20</v>
      </c>
      <c r="V148" s="13">
        <f t="shared" si="2"/>
        <v>0.15</v>
      </c>
      <c r="W148" s="13">
        <f t="shared" si="20"/>
        <v>0.15</v>
      </c>
      <c r="X148" s="3">
        <f t="shared" si="24"/>
        <v>20</v>
      </c>
      <c r="Y148" s="3">
        <f t="shared" si="21"/>
        <v>4.2857142857142855E-4</v>
      </c>
      <c r="Z148" s="3"/>
      <c r="AA148" s="3">
        <f t="shared" si="23"/>
        <v>350</v>
      </c>
      <c r="AB148" s="3">
        <v>500</v>
      </c>
      <c r="AC148" s="3" t="s">
        <v>82</v>
      </c>
      <c r="AD148" s="3" t="s">
        <v>83</v>
      </c>
      <c r="AE148" s="3"/>
      <c r="AF148" s="3" t="s">
        <v>151</v>
      </c>
      <c r="AG148" s="3" t="s">
        <v>293</v>
      </c>
      <c r="AH148" s="3"/>
    </row>
    <row r="149" spans="1:34" ht="14.25" customHeight="1" x14ac:dyDescent="0.25">
      <c r="A149" s="3" t="s">
        <v>126</v>
      </c>
      <c r="B149" s="3" t="s">
        <v>79</v>
      </c>
      <c r="C149" s="3"/>
      <c r="D149" s="3" t="s">
        <v>121</v>
      </c>
      <c r="E149" s="3">
        <v>2</v>
      </c>
      <c r="F149" s="3">
        <v>1</v>
      </c>
      <c r="G149" s="3" t="s">
        <v>28</v>
      </c>
      <c r="H149" s="11">
        <v>45747</v>
      </c>
      <c r="I149" s="12" t="s">
        <v>81</v>
      </c>
      <c r="J149" s="3">
        <v>0</v>
      </c>
      <c r="K149" s="3">
        <v>0</v>
      </c>
      <c r="L149" s="3">
        <v>3</v>
      </c>
      <c r="M149" s="3">
        <v>2</v>
      </c>
      <c r="N149" s="3">
        <v>10</v>
      </c>
      <c r="O149" s="3">
        <f t="shared" si="0"/>
        <v>15</v>
      </c>
      <c r="P149" s="3">
        <v>1</v>
      </c>
      <c r="Q149" s="3">
        <v>4</v>
      </c>
      <c r="R149" s="3">
        <v>1</v>
      </c>
      <c r="S149" s="3">
        <v>2</v>
      </c>
      <c r="T149" s="3">
        <v>0</v>
      </c>
      <c r="U149" s="3">
        <v>20</v>
      </c>
      <c r="V149" s="13">
        <f t="shared" si="2"/>
        <v>0.75</v>
      </c>
      <c r="W149" s="13">
        <f t="shared" si="20"/>
        <v>0.75</v>
      </c>
      <c r="X149" s="3">
        <f t="shared" si="24"/>
        <v>20</v>
      </c>
      <c r="Y149" s="3">
        <f t="shared" si="21"/>
        <v>2.142857142857143E-3</v>
      </c>
      <c r="Z149" s="3"/>
      <c r="AA149" s="3">
        <f t="shared" si="23"/>
        <v>350</v>
      </c>
      <c r="AB149" s="3">
        <v>500</v>
      </c>
      <c r="AC149" s="3" t="s">
        <v>82</v>
      </c>
      <c r="AD149" s="3" t="s">
        <v>83</v>
      </c>
      <c r="AE149" s="3"/>
      <c r="AF149" s="3" t="s">
        <v>151</v>
      </c>
      <c r="AG149" s="3" t="s">
        <v>293</v>
      </c>
      <c r="AH149" s="3"/>
    </row>
    <row r="150" spans="1:34" ht="14.25" customHeight="1" x14ac:dyDescent="0.25">
      <c r="A150" s="3" t="s">
        <v>127</v>
      </c>
      <c r="B150" s="3" t="s">
        <v>79</v>
      </c>
      <c r="C150" s="3"/>
      <c r="D150" s="3" t="s">
        <v>121</v>
      </c>
      <c r="E150" s="3">
        <v>1</v>
      </c>
      <c r="F150" s="3">
        <v>1</v>
      </c>
      <c r="G150" s="3" t="s">
        <v>16</v>
      </c>
      <c r="H150" s="11">
        <v>45747</v>
      </c>
      <c r="I150" s="12" t="s">
        <v>81</v>
      </c>
      <c r="J150" s="3">
        <f>60+30+20+20+25+22+15</f>
        <v>192</v>
      </c>
      <c r="K150" s="3">
        <v>0</v>
      </c>
      <c r="L150" s="3">
        <v>0</v>
      </c>
      <c r="M150" s="3">
        <v>0</v>
      </c>
      <c r="N150" s="3">
        <v>0</v>
      </c>
      <c r="O150" s="3">
        <f t="shared" si="0"/>
        <v>192</v>
      </c>
      <c r="P150" s="3">
        <v>7</v>
      </c>
      <c r="Q150" s="3">
        <v>0</v>
      </c>
      <c r="R150" s="3">
        <v>3</v>
      </c>
      <c r="S150" s="3">
        <v>0</v>
      </c>
      <c r="T150" s="3">
        <v>0</v>
      </c>
      <c r="U150" s="3">
        <f t="shared" ref="U150:U185" si="25">SUM(P150:T150)</f>
        <v>10</v>
      </c>
      <c r="V150" s="13">
        <f t="shared" si="2"/>
        <v>19.2</v>
      </c>
      <c r="W150" s="13">
        <f t="shared" si="20"/>
        <v>19.2</v>
      </c>
      <c r="X150" s="3">
        <f t="shared" si="24"/>
        <v>10</v>
      </c>
      <c r="Y150" s="3" t="e">
        <f t="shared" si="21"/>
        <v>#DIV/0!</v>
      </c>
      <c r="Z150" s="3"/>
      <c r="AA150" s="3"/>
      <c r="AB150" s="3"/>
      <c r="AC150" s="3" t="s">
        <v>82</v>
      </c>
      <c r="AD150" s="3" t="s">
        <v>83</v>
      </c>
      <c r="AE150" s="3">
        <v>40</v>
      </c>
      <c r="AF150" s="3" t="s">
        <v>151</v>
      </c>
      <c r="AG150" s="3" t="s">
        <v>212</v>
      </c>
      <c r="AH150" s="3"/>
    </row>
    <row r="151" spans="1:34" ht="14.25" customHeight="1" x14ac:dyDescent="0.25">
      <c r="A151" s="3" t="s">
        <v>127</v>
      </c>
      <c r="B151" s="3" t="s">
        <v>79</v>
      </c>
      <c r="C151" s="3"/>
      <c r="D151" s="3" t="s">
        <v>121</v>
      </c>
      <c r="E151" s="3">
        <v>1</v>
      </c>
      <c r="F151" s="3">
        <v>1</v>
      </c>
      <c r="G151" s="3" t="s">
        <v>18</v>
      </c>
      <c r="H151" s="11">
        <v>45747</v>
      </c>
      <c r="I151" s="12" t="s">
        <v>81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f t="shared" si="0"/>
        <v>5</v>
      </c>
      <c r="P151" s="3">
        <v>7</v>
      </c>
      <c r="Q151" s="3">
        <v>0</v>
      </c>
      <c r="R151" s="3">
        <v>3</v>
      </c>
      <c r="S151" s="3">
        <v>0</v>
      </c>
      <c r="T151" s="3">
        <v>0</v>
      </c>
      <c r="U151" s="3">
        <f t="shared" si="25"/>
        <v>10</v>
      </c>
      <c r="V151" s="13">
        <f t="shared" si="2"/>
        <v>0.5</v>
      </c>
      <c r="W151" s="13">
        <f t="shared" si="20"/>
        <v>0.5</v>
      </c>
      <c r="X151" s="3">
        <f t="shared" si="24"/>
        <v>10</v>
      </c>
      <c r="Y151" s="3" t="e">
        <f t="shared" si="21"/>
        <v>#DIV/0!</v>
      </c>
      <c r="Z151" s="3"/>
      <c r="AA151" s="3"/>
      <c r="AB151" s="3"/>
      <c r="AC151" s="3" t="s">
        <v>82</v>
      </c>
      <c r="AD151" s="3" t="s">
        <v>83</v>
      </c>
      <c r="AE151" s="3">
        <v>40</v>
      </c>
      <c r="AF151" s="3" t="s">
        <v>151</v>
      </c>
      <c r="AG151" s="3" t="s">
        <v>212</v>
      </c>
      <c r="AH151" s="3"/>
    </row>
    <row r="152" spans="1:34" ht="14.25" customHeight="1" x14ac:dyDescent="0.25">
      <c r="A152" s="3" t="s">
        <v>127</v>
      </c>
      <c r="B152" s="3" t="s">
        <v>79</v>
      </c>
      <c r="C152" s="3"/>
      <c r="D152" s="3" t="s">
        <v>121</v>
      </c>
      <c r="E152" s="3">
        <v>1</v>
      </c>
      <c r="F152" s="3">
        <v>1</v>
      </c>
      <c r="G152" s="3" t="s">
        <v>22</v>
      </c>
      <c r="H152" s="11">
        <v>45747</v>
      </c>
      <c r="I152" s="12" t="s">
        <v>81</v>
      </c>
      <c r="J152" s="3">
        <v>3</v>
      </c>
      <c r="K152" s="3">
        <v>0</v>
      </c>
      <c r="L152" s="3">
        <f>9+3+3</f>
        <v>15</v>
      </c>
      <c r="M152" s="3">
        <v>0</v>
      </c>
      <c r="N152" s="3">
        <v>0</v>
      </c>
      <c r="O152" s="3">
        <f t="shared" si="0"/>
        <v>18</v>
      </c>
      <c r="P152" s="3">
        <v>7</v>
      </c>
      <c r="Q152" s="3">
        <v>0</v>
      </c>
      <c r="R152" s="3">
        <v>3</v>
      </c>
      <c r="S152" s="3">
        <v>0</v>
      </c>
      <c r="T152" s="3">
        <v>0</v>
      </c>
      <c r="U152" s="3">
        <f t="shared" si="25"/>
        <v>10</v>
      </c>
      <c r="V152" s="13">
        <f t="shared" si="2"/>
        <v>1.8</v>
      </c>
      <c r="W152" s="13">
        <f t="shared" si="20"/>
        <v>1.8</v>
      </c>
      <c r="X152" s="3">
        <f t="shared" si="24"/>
        <v>10</v>
      </c>
      <c r="Y152" s="3" t="e">
        <f t="shared" si="21"/>
        <v>#DIV/0!</v>
      </c>
      <c r="Z152" s="3"/>
      <c r="AA152" s="3"/>
      <c r="AB152" s="3"/>
      <c r="AC152" s="3" t="s">
        <v>82</v>
      </c>
      <c r="AD152" s="3" t="s">
        <v>83</v>
      </c>
      <c r="AE152" s="3">
        <v>40</v>
      </c>
      <c r="AF152" s="3" t="s">
        <v>151</v>
      </c>
      <c r="AG152" s="3" t="s">
        <v>212</v>
      </c>
      <c r="AH152" s="3"/>
    </row>
    <row r="153" spans="1:34" ht="14.25" customHeight="1" x14ac:dyDescent="0.25">
      <c r="A153" s="3" t="s">
        <v>128</v>
      </c>
      <c r="B153" s="3" t="s">
        <v>79</v>
      </c>
      <c r="C153" s="3"/>
      <c r="D153" s="3"/>
      <c r="E153" s="3">
        <v>1</v>
      </c>
      <c r="F153" s="3">
        <v>1</v>
      </c>
      <c r="G153" s="3" t="s">
        <v>14</v>
      </c>
      <c r="H153" s="11">
        <v>45747</v>
      </c>
      <c r="I153" s="12" t="s">
        <v>81</v>
      </c>
      <c r="J153" s="3">
        <f>4+5+3+4</f>
        <v>16</v>
      </c>
      <c r="K153" s="3">
        <f>3+4</f>
        <v>7</v>
      </c>
      <c r="L153" s="3">
        <v>0</v>
      </c>
      <c r="M153" s="3">
        <v>0</v>
      </c>
      <c r="N153" s="3">
        <v>0</v>
      </c>
      <c r="O153" s="3">
        <f t="shared" si="0"/>
        <v>23</v>
      </c>
      <c r="P153" s="3">
        <v>5</v>
      </c>
      <c r="Q153" s="3">
        <v>3</v>
      </c>
      <c r="R153" s="3">
        <v>2</v>
      </c>
      <c r="S153" s="3">
        <v>2</v>
      </c>
      <c r="T153" s="3">
        <v>0</v>
      </c>
      <c r="U153" s="3">
        <f t="shared" si="25"/>
        <v>12</v>
      </c>
      <c r="V153" s="13">
        <f t="shared" si="2"/>
        <v>1.9166666666666667</v>
      </c>
      <c r="W153" s="13">
        <f t="shared" si="20"/>
        <v>1.9166666666666667</v>
      </c>
      <c r="X153" s="3">
        <f t="shared" si="24"/>
        <v>12</v>
      </c>
      <c r="Y153" s="3" t="e">
        <f t="shared" si="21"/>
        <v>#DIV/0!</v>
      </c>
      <c r="Z153" s="3"/>
      <c r="AA153" s="3"/>
      <c r="AB153" s="3"/>
      <c r="AC153" s="3" t="s">
        <v>82</v>
      </c>
      <c r="AD153" s="3" t="s">
        <v>83</v>
      </c>
      <c r="AE153" s="3">
        <v>15</v>
      </c>
      <c r="AF153" s="3" t="s">
        <v>151</v>
      </c>
      <c r="AG153" s="3" t="s">
        <v>173</v>
      </c>
      <c r="AH153" s="3"/>
    </row>
    <row r="154" spans="1:34" ht="14.25" customHeight="1" x14ac:dyDescent="0.25">
      <c r="A154" s="3" t="s">
        <v>128</v>
      </c>
      <c r="B154" s="3" t="s">
        <v>79</v>
      </c>
      <c r="C154" s="3"/>
      <c r="D154" s="3"/>
      <c r="E154" s="3">
        <v>1</v>
      </c>
      <c r="F154" s="3">
        <v>1</v>
      </c>
      <c r="G154" s="3" t="s">
        <v>16</v>
      </c>
      <c r="H154" s="11">
        <v>45747</v>
      </c>
      <c r="I154" s="12" t="s">
        <v>81</v>
      </c>
      <c r="J154" s="3">
        <f>15+18+16+17+9</f>
        <v>75</v>
      </c>
      <c r="K154" s="3">
        <f>4+6</f>
        <v>10</v>
      </c>
      <c r="L154" s="3">
        <f>9+5</f>
        <v>14</v>
      </c>
      <c r="M154" s="3">
        <f>4+5</f>
        <v>9</v>
      </c>
      <c r="N154" s="3">
        <v>0</v>
      </c>
      <c r="O154" s="3">
        <f t="shared" si="0"/>
        <v>108</v>
      </c>
      <c r="P154" s="3">
        <v>5</v>
      </c>
      <c r="Q154" s="3">
        <v>3</v>
      </c>
      <c r="R154" s="3">
        <v>2</v>
      </c>
      <c r="S154" s="3">
        <v>2</v>
      </c>
      <c r="T154" s="3">
        <v>0</v>
      </c>
      <c r="U154" s="3">
        <f t="shared" si="25"/>
        <v>12</v>
      </c>
      <c r="V154" s="13">
        <f t="shared" si="2"/>
        <v>9</v>
      </c>
      <c r="W154" s="13">
        <f t="shared" si="20"/>
        <v>9</v>
      </c>
      <c r="X154" s="3">
        <f t="shared" si="24"/>
        <v>12</v>
      </c>
      <c r="Y154" s="3" t="e">
        <f t="shared" si="21"/>
        <v>#DIV/0!</v>
      </c>
      <c r="Z154" s="3"/>
      <c r="AA154" s="3"/>
      <c r="AB154" s="3"/>
      <c r="AC154" s="3" t="s">
        <v>82</v>
      </c>
      <c r="AD154" s="3" t="s">
        <v>83</v>
      </c>
      <c r="AE154" s="3">
        <v>15</v>
      </c>
      <c r="AF154" s="3" t="s">
        <v>151</v>
      </c>
      <c r="AG154" s="3" t="s">
        <v>173</v>
      </c>
      <c r="AH154" s="3"/>
    </row>
    <row r="155" spans="1:34" ht="14.25" customHeight="1" x14ac:dyDescent="0.25">
      <c r="A155" s="3" t="s">
        <v>128</v>
      </c>
      <c r="B155" s="3" t="s">
        <v>79</v>
      </c>
      <c r="C155" s="3"/>
      <c r="D155" s="3"/>
      <c r="E155" s="3">
        <v>1</v>
      </c>
      <c r="F155" s="3">
        <v>1</v>
      </c>
      <c r="G155" s="3" t="s">
        <v>18</v>
      </c>
      <c r="H155" s="11">
        <v>45747</v>
      </c>
      <c r="I155" s="12" t="s">
        <v>81</v>
      </c>
      <c r="J155" s="3">
        <f>14+19+10+18</f>
        <v>61</v>
      </c>
      <c r="K155" s="3">
        <v>9</v>
      </c>
      <c r="L155" s="3">
        <f>8+9</f>
        <v>17</v>
      </c>
      <c r="M155" s="3">
        <f>4+3</f>
        <v>7</v>
      </c>
      <c r="N155" s="3">
        <v>0</v>
      </c>
      <c r="O155" s="3">
        <f t="shared" si="0"/>
        <v>94</v>
      </c>
      <c r="P155" s="3">
        <v>5</v>
      </c>
      <c r="Q155" s="3">
        <v>3</v>
      </c>
      <c r="R155" s="3">
        <v>2</v>
      </c>
      <c r="S155" s="3">
        <v>2</v>
      </c>
      <c r="T155" s="3">
        <v>0</v>
      </c>
      <c r="U155" s="3">
        <f t="shared" si="25"/>
        <v>12</v>
      </c>
      <c r="V155" s="13">
        <f t="shared" si="2"/>
        <v>7.833333333333333</v>
      </c>
      <c r="W155" s="13">
        <f t="shared" si="20"/>
        <v>7.833333333333333</v>
      </c>
      <c r="X155" s="3">
        <f t="shared" si="24"/>
        <v>12</v>
      </c>
      <c r="Y155" s="3" t="e">
        <f t="shared" si="21"/>
        <v>#DIV/0!</v>
      </c>
      <c r="Z155" s="3"/>
      <c r="AA155" s="3"/>
      <c r="AB155" s="3"/>
      <c r="AC155" s="3" t="s">
        <v>82</v>
      </c>
      <c r="AD155" s="3" t="s">
        <v>83</v>
      </c>
      <c r="AE155" s="3">
        <v>15</v>
      </c>
      <c r="AF155" s="3" t="s">
        <v>151</v>
      </c>
      <c r="AG155" s="3" t="s">
        <v>173</v>
      </c>
      <c r="AH155" s="3"/>
    </row>
    <row r="156" spans="1:34" ht="14.25" customHeight="1" x14ac:dyDescent="0.25">
      <c r="A156" s="3" t="s">
        <v>129</v>
      </c>
      <c r="B156" s="3" t="s">
        <v>79</v>
      </c>
      <c r="C156" s="3"/>
      <c r="D156" s="3" t="s">
        <v>117</v>
      </c>
      <c r="E156" s="3">
        <v>1</v>
      </c>
      <c r="F156" s="3">
        <v>1</v>
      </c>
      <c r="G156" s="3" t="s">
        <v>1</v>
      </c>
      <c r="H156" s="11">
        <v>45747</v>
      </c>
      <c r="I156" s="12" t="s">
        <v>81</v>
      </c>
      <c r="J156" s="3">
        <f>10+13+8+6+10</f>
        <v>47</v>
      </c>
      <c r="K156" s="3">
        <f>15+18+7+6+8+9</f>
        <v>63</v>
      </c>
      <c r="L156" s="3">
        <f>10+13+18+20+15+7+7</f>
        <v>90</v>
      </c>
      <c r="M156" s="3">
        <f>10+13+8+6+6+8</f>
        <v>51</v>
      </c>
      <c r="N156" s="3">
        <f>10+7+3</f>
        <v>20</v>
      </c>
      <c r="O156" s="3">
        <f t="shared" si="0"/>
        <v>271</v>
      </c>
      <c r="P156" s="3">
        <v>6</v>
      </c>
      <c r="Q156" s="3">
        <v>6</v>
      </c>
      <c r="R156" s="3">
        <v>7</v>
      </c>
      <c r="S156" s="3">
        <v>6</v>
      </c>
      <c r="T156" s="3">
        <v>3</v>
      </c>
      <c r="U156" s="3">
        <f t="shared" si="25"/>
        <v>28</v>
      </c>
      <c r="V156" s="13">
        <f t="shared" si="2"/>
        <v>9.6785714285714288</v>
      </c>
      <c r="W156" s="13">
        <f t="shared" si="20"/>
        <v>9.6785714285714288</v>
      </c>
      <c r="X156" s="3">
        <f t="shared" si="24"/>
        <v>28</v>
      </c>
      <c r="Y156" s="3">
        <f t="shared" si="21"/>
        <v>0.12128535624776225</v>
      </c>
      <c r="Z156" s="3"/>
      <c r="AA156" s="3">
        <f t="shared" ref="AA156:AA157" si="26">25+2.4+15+25+2.4+10</f>
        <v>79.800000000000011</v>
      </c>
      <c r="AB156" s="3"/>
      <c r="AC156" s="3" t="s">
        <v>82</v>
      </c>
      <c r="AD156" s="3" t="s">
        <v>83</v>
      </c>
      <c r="AE156" s="3">
        <v>15</v>
      </c>
      <c r="AF156" s="3" t="s">
        <v>151</v>
      </c>
      <c r="AG156" s="3" t="s">
        <v>345</v>
      </c>
      <c r="AH156" s="3"/>
    </row>
    <row r="157" spans="1:34" ht="14.25" customHeight="1" x14ac:dyDescent="0.25">
      <c r="A157" s="3" t="s">
        <v>129</v>
      </c>
      <c r="B157" s="3" t="s">
        <v>79</v>
      </c>
      <c r="C157" s="3"/>
      <c r="D157" s="3" t="s">
        <v>117</v>
      </c>
      <c r="E157" s="3">
        <v>1</v>
      </c>
      <c r="F157" s="3">
        <v>1</v>
      </c>
      <c r="G157" s="3" t="s">
        <v>2</v>
      </c>
      <c r="H157" s="11">
        <v>45747</v>
      </c>
      <c r="I157" s="12" t="s">
        <v>81</v>
      </c>
      <c r="J157" s="3">
        <f>4+4+5</f>
        <v>13</v>
      </c>
      <c r="K157" s="3">
        <v>6</v>
      </c>
      <c r="L157" s="3">
        <v>5</v>
      </c>
      <c r="M157" s="3">
        <v>0</v>
      </c>
      <c r="N157" s="3">
        <v>0</v>
      </c>
      <c r="O157" s="3">
        <f t="shared" si="0"/>
        <v>24</v>
      </c>
      <c r="P157" s="3">
        <v>6</v>
      </c>
      <c r="Q157" s="3">
        <v>6</v>
      </c>
      <c r="R157" s="3">
        <v>7</v>
      </c>
      <c r="S157" s="3">
        <v>6</v>
      </c>
      <c r="T157" s="3">
        <v>3</v>
      </c>
      <c r="U157" s="3">
        <f t="shared" si="25"/>
        <v>28</v>
      </c>
      <c r="V157" s="13">
        <f t="shared" si="2"/>
        <v>0.8571428571428571</v>
      </c>
      <c r="W157" s="13">
        <f t="shared" si="20"/>
        <v>0.8571428571428571</v>
      </c>
      <c r="X157" s="3">
        <f t="shared" si="24"/>
        <v>28</v>
      </c>
      <c r="Y157" s="3">
        <f t="shared" si="21"/>
        <v>1.0741138560687431E-2</v>
      </c>
      <c r="Z157" s="3"/>
      <c r="AA157" s="3">
        <f t="shared" si="26"/>
        <v>79.800000000000011</v>
      </c>
      <c r="AB157" s="3"/>
      <c r="AC157" s="3" t="s">
        <v>82</v>
      </c>
      <c r="AD157" s="3" t="s">
        <v>83</v>
      </c>
      <c r="AE157" s="3">
        <v>15</v>
      </c>
      <c r="AF157" s="3" t="s">
        <v>151</v>
      </c>
      <c r="AG157" s="3" t="s">
        <v>345</v>
      </c>
      <c r="AH157" s="3"/>
    </row>
    <row r="158" spans="1:34" ht="14.25" customHeight="1" x14ac:dyDescent="0.25">
      <c r="A158" s="3" t="s">
        <v>130</v>
      </c>
      <c r="B158" s="3" t="s">
        <v>79</v>
      </c>
      <c r="C158" s="3"/>
      <c r="D158" s="3" t="s">
        <v>121</v>
      </c>
      <c r="E158" s="3">
        <v>1</v>
      </c>
      <c r="F158" s="3">
        <v>1</v>
      </c>
      <c r="G158" s="3" t="s">
        <v>1</v>
      </c>
      <c r="H158" s="11">
        <v>45747</v>
      </c>
      <c r="I158" s="12" t="s">
        <v>81</v>
      </c>
      <c r="J158" s="3">
        <f>5+8+10+8</f>
        <v>31</v>
      </c>
      <c r="K158" s="3">
        <f>11+25+8</f>
        <v>44</v>
      </c>
      <c r="L158" s="3">
        <f>5+4+5+10+8</f>
        <v>32</v>
      </c>
      <c r="M158" s="3">
        <f>5+6+10+11</f>
        <v>32</v>
      </c>
      <c r="N158" s="3">
        <v>0</v>
      </c>
      <c r="O158" s="3">
        <f t="shared" si="0"/>
        <v>139</v>
      </c>
      <c r="P158" s="3">
        <v>4</v>
      </c>
      <c r="Q158" s="3">
        <v>3</v>
      </c>
      <c r="R158" s="3">
        <v>5</v>
      </c>
      <c r="S158" s="3">
        <v>4</v>
      </c>
      <c r="T158" s="3">
        <v>0</v>
      </c>
      <c r="U158" s="3">
        <f t="shared" si="25"/>
        <v>16</v>
      </c>
      <c r="V158" s="13">
        <f t="shared" si="2"/>
        <v>8.6875</v>
      </c>
      <c r="W158" s="13">
        <f t="shared" si="20"/>
        <v>8.6875</v>
      </c>
      <c r="X158" s="3">
        <f t="shared" si="24"/>
        <v>16</v>
      </c>
      <c r="Y158" s="3" t="e">
        <f t="shared" si="21"/>
        <v>#DIV/0!</v>
      </c>
      <c r="Z158" s="3"/>
      <c r="AA158" s="3"/>
      <c r="AB158" s="3">
        <v>80</v>
      </c>
      <c r="AC158" s="3" t="s">
        <v>82</v>
      </c>
      <c r="AD158" s="3" t="s">
        <v>83</v>
      </c>
      <c r="AE158" s="3">
        <v>15</v>
      </c>
      <c r="AF158" s="3" t="s">
        <v>151</v>
      </c>
      <c r="AG158" s="3" t="s">
        <v>222</v>
      </c>
      <c r="AH158" s="3"/>
    </row>
    <row r="159" spans="1:34" ht="14.25" customHeight="1" x14ac:dyDescent="0.25">
      <c r="A159" s="3" t="s">
        <v>130</v>
      </c>
      <c r="B159" s="3" t="s">
        <v>79</v>
      </c>
      <c r="C159" s="3"/>
      <c r="D159" s="3" t="s">
        <v>121</v>
      </c>
      <c r="E159" s="3">
        <v>1</v>
      </c>
      <c r="F159" s="3">
        <v>1</v>
      </c>
      <c r="G159" s="3" t="s">
        <v>28</v>
      </c>
      <c r="H159" s="11">
        <v>45747</v>
      </c>
      <c r="I159" s="12" t="s">
        <v>81</v>
      </c>
      <c r="J159" s="3">
        <v>10</v>
      </c>
      <c r="K159" s="3">
        <v>0</v>
      </c>
      <c r="L159" s="3">
        <v>0</v>
      </c>
      <c r="M159" s="3">
        <v>0</v>
      </c>
      <c r="N159" s="3">
        <v>0</v>
      </c>
      <c r="O159" s="3">
        <f t="shared" si="0"/>
        <v>10</v>
      </c>
      <c r="P159" s="3">
        <v>4</v>
      </c>
      <c r="Q159" s="3">
        <v>3</v>
      </c>
      <c r="R159" s="3">
        <v>5</v>
      </c>
      <c r="S159" s="3">
        <v>4</v>
      </c>
      <c r="T159" s="3">
        <v>0</v>
      </c>
      <c r="U159" s="3">
        <f t="shared" si="25"/>
        <v>16</v>
      </c>
      <c r="V159" s="13">
        <f t="shared" si="2"/>
        <v>0.625</v>
      </c>
      <c r="W159" s="13">
        <f t="shared" si="20"/>
        <v>0.625</v>
      </c>
      <c r="X159" s="3">
        <f t="shared" si="24"/>
        <v>16</v>
      </c>
      <c r="Y159" s="3" t="e">
        <f t="shared" si="21"/>
        <v>#DIV/0!</v>
      </c>
      <c r="Z159" s="3"/>
      <c r="AA159" s="3"/>
      <c r="AB159" s="3">
        <v>80</v>
      </c>
      <c r="AC159" s="3" t="s">
        <v>82</v>
      </c>
      <c r="AD159" s="3" t="s">
        <v>83</v>
      </c>
      <c r="AE159" s="3">
        <v>15</v>
      </c>
      <c r="AF159" s="3" t="s">
        <v>151</v>
      </c>
      <c r="AG159" s="3" t="s">
        <v>222</v>
      </c>
      <c r="AH159" s="3"/>
    </row>
    <row r="160" spans="1:34" ht="14.25" customHeight="1" x14ac:dyDescent="0.25">
      <c r="A160" s="3" t="s">
        <v>131</v>
      </c>
      <c r="B160" s="3" t="s">
        <v>79</v>
      </c>
      <c r="C160" s="3"/>
      <c r="D160" s="3" t="s">
        <v>117</v>
      </c>
      <c r="E160" s="3">
        <v>1</v>
      </c>
      <c r="F160" s="3">
        <v>1</v>
      </c>
      <c r="G160" s="3" t="s">
        <v>1</v>
      </c>
      <c r="H160" s="11">
        <v>45747</v>
      </c>
      <c r="I160" s="12" t="s">
        <v>81</v>
      </c>
      <c r="J160" s="3">
        <v>15</v>
      </c>
      <c r="K160" s="3">
        <v>0</v>
      </c>
      <c r="L160" s="3">
        <v>0</v>
      </c>
      <c r="M160" s="3">
        <v>0</v>
      </c>
      <c r="N160" s="3">
        <v>0</v>
      </c>
      <c r="O160" s="3">
        <f t="shared" si="0"/>
        <v>15</v>
      </c>
      <c r="P160" s="3">
        <v>1</v>
      </c>
      <c r="Q160" s="3">
        <v>0</v>
      </c>
      <c r="R160" s="3">
        <v>0</v>
      </c>
      <c r="S160" s="3">
        <v>0</v>
      </c>
      <c r="T160" s="3">
        <v>0</v>
      </c>
      <c r="U160" s="3">
        <f t="shared" si="25"/>
        <v>1</v>
      </c>
      <c r="V160" s="13">
        <f t="shared" si="2"/>
        <v>15</v>
      </c>
      <c r="W160" s="13">
        <f t="shared" si="20"/>
        <v>15</v>
      </c>
      <c r="X160" s="3">
        <f t="shared" si="24"/>
        <v>1</v>
      </c>
      <c r="Y160" s="3" t="e">
        <f t="shared" si="21"/>
        <v>#DIV/0!</v>
      </c>
      <c r="Z160" s="3"/>
      <c r="AA160" s="3"/>
      <c r="AB160" s="3"/>
      <c r="AC160" s="3" t="s">
        <v>82</v>
      </c>
      <c r="AD160" s="3" t="s">
        <v>83</v>
      </c>
      <c r="AE160" s="3">
        <v>15</v>
      </c>
      <c r="AF160" s="3" t="s">
        <v>151</v>
      </c>
      <c r="AG160" s="3" t="s">
        <v>200</v>
      </c>
      <c r="AH160" s="3"/>
    </row>
    <row r="161" spans="1:34" ht="14.25" customHeight="1" x14ac:dyDescent="0.25">
      <c r="A161" s="3" t="s">
        <v>132</v>
      </c>
      <c r="B161" s="3" t="s">
        <v>79</v>
      </c>
      <c r="C161" s="3"/>
      <c r="D161" s="3" t="s">
        <v>117</v>
      </c>
      <c r="E161" s="3">
        <v>1</v>
      </c>
      <c r="F161" s="3">
        <v>1</v>
      </c>
      <c r="G161" s="3" t="s">
        <v>1</v>
      </c>
      <c r="H161" s="11">
        <v>45747</v>
      </c>
      <c r="I161" s="12" t="s">
        <v>81</v>
      </c>
      <c r="J161" s="3">
        <f>15+20+10+20+30+9</f>
        <v>104</v>
      </c>
      <c r="K161" s="3">
        <f>10+13</f>
        <v>23</v>
      </c>
      <c r="L161" s="3">
        <f>10+9</f>
        <v>19</v>
      </c>
      <c r="M161" s="3">
        <f>7+9</f>
        <v>16</v>
      </c>
      <c r="N161" s="3">
        <v>10</v>
      </c>
      <c r="O161" s="3">
        <f t="shared" si="0"/>
        <v>172</v>
      </c>
      <c r="P161" s="3">
        <v>6</v>
      </c>
      <c r="Q161" s="3">
        <v>5</v>
      </c>
      <c r="R161" s="3">
        <v>3</v>
      </c>
      <c r="S161" s="3">
        <v>2</v>
      </c>
      <c r="T161" s="3">
        <v>1</v>
      </c>
      <c r="U161" s="3">
        <f t="shared" si="25"/>
        <v>17</v>
      </c>
      <c r="V161" s="13">
        <f t="shared" si="2"/>
        <v>10.117647058823529</v>
      </c>
      <c r="W161" s="13">
        <f t="shared" si="20"/>
        <v>10.117647058823529</v>
      </c>
      <c r="X161" s="3">
        <f t="shared" si="24"/>
        <v>17</v>
      </c>
      <c r="Y161" s="3" t="e">
        <f t="shared" si="21"/>
        <v>#DIV/0!</v>
      </c>
      <c r="Z161" s="3"/>
      <c r="AA161" s="3"/>
      <c r="AB161" s="3">
        <v>230</v>
      </c>
      <c r="AC161" s="3" t="s">
        <v>82</v>
      </c>
      <c r="AD161" s="3" t="s">
        <v>83</v>
      </c>
      <c r="AE161" s="3">
        <v>15</v>
      </c>
      <c r="AF161" s="3" t="s">
        <v>151</v>
      </c>
      <c r="AG161" s="3" t="s">
        <v>223</v>
      </c>
      <c r="AH161" s="3"/>
    </row>
    <row r="162" spans="1:34" ht="14.25" customHeight="1" x14ac:dyDescent="0.25">
      <c r="A162" s="3" t="s">
        <v>132</v>
      </c>
      <c r="B162" s="3" t="s">
        <v>79</v>
      </c>
      <c r="C162" s="3"/>
      <c r="D162" s="3" t="s">
        <v>117</v>
      </c>
      <c r="E162" s="3">
        <v>1</v>
      </c>
      <c r="F162" s="3">
        <v>1</v>
      </c>
      <c r="G162" s="3" t="s">
        <v>7</v>
      </c>
      <c r="H162" s="11">
        <v>45747</v>
      </c>
      <c r="I162" s="12" t="s">
        <v>81</v>
      </c>
      <c r="J162" s="3">
        <v>0</v>
      </c>
      <c r="K162" s="3">
        <v>9</v>
      </c>
      <c r="L162" s="3">
        <v>0</v>
      </c>
      <c r="M162" s="3">
        <v>0</v>
      </c>
      <c r="N162" s="3">
        <v>0</v>
      </c>
      <c r="O162" s="3">
        <f t="shared" si="0"/>
        <v>9</v>
      </c>
      <c r="P162" s="3">
        <v>6</v>
      </c>
      <c r="Q162" s="3">
        <v>5</v>
      </c>
      <c r="R162" s="3">
        <v>3</v>
      </c>
      <c r="S162" s="3">
        <v>2</v>
      </c>
      <c r="T162" s="3">
        <v>1</v>
      </c>
      <c r="U162" s="3">
        <f t="shared" si="25"/>
        <v>17</v>
      </c>
      <c r="V162" s="13">
        <f t="shared" si="2"/>
        <v>0.52941176470588236</v>
      </c>
      <c r="W162" s="13">
        <f t="shared" si="20"/>
        <v>0.52941176470588236</v>
      </c>
      <c r="X162" s="3">
        <f t="shared" si="24"/>
        <v>17</v>
      </c>
      <c r="Y162" s="3" t="e">
        <f t="shared" si="21"/>
        <v>#DIV/0!</v>
      </c>
      <c r="Z162" s="3"/>
      <c r="AA162" s="3"/>
      <c r="AB162" s="3">
        <v>230</v>
      </c>
      <c r="AC162" s="3" t="s">
        <v>82</v>
      </c>
      <c r="AD162" s="3" t="s">
        <v>83</v>
      </c>
      <c r="AE162" s="3">
        <v>15</v>
      </c>
      <c r="AF162" s="3" t="s">
        <v>151</v>
      </c>
      <c r="AG162" s="3" t="s">
        <v>223</v>
      </c>
      <c r="AH162" s="3"/>
    </row>
    <row r="163" spans="1:34" ht="14.25" customHeight="1" x14ac:dyDescent="0.25">
      <c r="A163" s="3" t="s">
        <v>132</v>
      </c>
      <c r="B163" s="3" t="s">
        <v>79</v>
      </c>
      <c r="C163" s="3"/>
      <c r="D163" s="3" t="s">
        <v>117</v>
      </c>
      <c r="E163" s="3">
        <v>1</v>
      </c>
      <c r="F163" s="3">
        <v>1</v>
      </c>
      <c r="G163" s="3" t="s">
        <v>2</v>
      </c>
      <c r="H163" s="11">
        <v>45747</v>
      </c>
      <c r="I163" s="12" t="s">
        <v>81</v>
      </c>
      <c r="J163" s="3">
        <v>3</v>
      </c>
      <c r="K163" s="3">
        <f>7+4+3</f>
        <v>14</v>
      </c>
      <c r="L163" s="3">
        <v>0</v>
      </c>
      <c r="M163" s="3">
        <v>0</v>
      </c>
      <c r="N163" s="3">
        <v>0</v>
      </c>
      <c r="O163" s="3">
        <f t="shared" si="0"/>
        <v>17</v>
      </c>
      <c r="P163" s="3">
        <v>6</v>
      </c>
      <c r="Q163" s="3">
        <v>5</v>
      </c>
      <c r="R163" s="3">
        <v>3</v>
      </c>
      <c r="S163" s="3">
        <v>2</v>
      </c>
      <c r="T163" s="3">
        <v>1</v>
      </c>
      <c r="U163" s="3">
        <f t="shared" si="25"/>
        <v>17</v>
      </c>
      <c r="V163" s="13">
        <f t="shared" si="2"/>
        <v>1</v>
      </c>
      <c r="W163" s="13">
        <f t="shared" si="20"/>
        <v>1</v>
      </c>
      <c r="X163" s="3">
        <f t="shared" si="24"/>
        <v>17</v>
      </c>
      <c r="Y163" s="3" t="e">
        <f t="shared" si="21"/>
        <v>#DIV/0!</v>
      </c>
      <c r="Z163" s="3"/>
      <c r="AA163" s="3"/>
      <c r="AB163" s="3">
        <v>230</v>
      </c>
      <c r="AC163" s="3" t="s">
        <v>82</v>
      </c>
      <c r="AD163" s="3" t="s">
        <v>83</v>
      </c>
      <c r="AE163" s="3">
        <v>15</v>
      </c>
      <c r="AF163" s="3" t="s">
        <v>151</v>
      </c>
      <c r="AG163" s="3" t="s">
        <v>223</v>
      </c>
      <c r="AH163" s="3"/>
    </row>
    <row r="164" spans="1:34" ht="14.25" customHeight="1" x14ac:dyDescent="0.25">
      <c r="A164" s="3" t="s">
        <v>132</v>
      </c>
      <c r="B164" s="3" t="s">
        <v>79</v>
      </c>
      <c r="C164" s="3"/>
      <c r="D164" s="3" t="s">
        <v>117</v>
      </c>
      <c r="E164" s="3">
        <v>1</v>
      </c>
      <c r="F164" s="3">
        <v>1</v>
      </c>
      <c r="G164" s="3" t="s">
        <v>14</v>
      </c>
      <c r="H164" s="11">
        <v>45747</v>
      </c>
      <c r="I164" s="12" t="s">
        <v>81</v>
      </c>
      <c r="J164" s="3">
        <f>6+9</f>
        <v>15</v>
      </c>
      <c r="K164" s="3">
        <v>7</v>
      </c>
      <c r="L164" s="3">
        <v>2</v>
      </c>
      <c r="M164" s="3">
        <v>0</v>
      </c>
      <c r="N164" s="3">
        <v>0</v>
      </c>
      <c r="O164" s="3">
        <f t="shared" si="0"/>
        <v>24</v>
      </c>
      <c r="P164" s="3">
        <v>6</v>
      </c>
      <c r="Q164" s="3">
        <v>5</v>
      </c>
      <c r="R164" s="3">
        <v>3</v>
      </c>
      <c r="S164" s="3">
        <v>2</v>
      </c>
      <c r="T164" s="3">
        <v>1</v>
      </c>
      <c r="U164" s="3">
        <f t="shared" si="25"/>
        <v>17</v>
      </c>
      <c r="V164" s="13">
        <f t="shared" si="2"/>
        <v>1.411764705882353</v>
      </c>
      <c r="W164" s="13">
        <f t="shared" si="20"/>
        <v>1.411764705882353</v>
      </c>
      <c r="X164" s="3">
        <f t="shared" si="24"/>
        <v>17</v>
      </c>
      <c r="Y164" s="3" t="e">
        <f t="shared" si="21"/>
        <v>#DIV/0!</v>
      </c>
      <c r="Z164" s="3"/>
      <c r="AA164" s="3"/>
      <c r="AB164" s="3">
        <v>230</v>
      </c>
      <c r="AC164" s="3" t="s">
        <v>82</v>
      </c>
      <c r="AD164" s="3" t="s">
        <v>83</v>
      </c>
      <c r="AE164" s="3">
        <v>15</v>
      </c>
      <c r="AF164" s="3" t="s">
        <v>151</v>
      </c>
      <c r="AG164" s="3" t="s">
        <v>223</v>
      </c>
      <c r="AH164" s="3"/>
    </row>
    <row r="165" spans="1:34" ht="14.25" customHeight="1" x14ac:dyDescent="0.25">
      <c r="A165" s="3" t="s">
        <v>132</v>
      </c>
      <c r="B165" s="3" t="s">
        <v>79</v>
      </c>
      <c r="C165" s="3"/>
      <c r="D165" s="3" t="s">
        <v>117</v>
      </c>
      <c r="E165" s="3">
        <v>1</v>
      </c>
      <c r="F165" s="3">
        <v>1</v>
      </c>
      <c r="G165" s="3" t="s">
        <v>18</v>
      </c>
      <c r="H165" s="11">
        <v>45747</v>
      </c>
      <c r="I165" s="12" t="s">
        <v>81</v>
      </c>
      <c r="J165" s="3">
        <f>4+5</f>
        <v>9</v>
      </c>
      <c r="K165" s="3">
        <v>0</v>
      </c>
      <c r="L165" s="3">
        <v>0</v>
      </c>
      <c r="M165" s="3">
        <v>0</v>
      </c>
      <c r="N165" s="3">
        <v>0</v>
      </c>
      <c r="O165" s="3">
        <f t="shared" si="0"/>
        <v>9</v>
      </c>
      <c r="P165" s="3">
        <v>6</v>
      </c>
      <c r="Q165" s="3">
        <v>5</v>
      </c>
      <c r="R165" s="3">
        <v>3</v>
      </c>
      <c r="S165" s="3">
        <v>2</v>
      </c>
      <c r="T165" s="3">
        <v>1</v>
      </c>
      <c r="U165" s="3">
        <f t="shared" si="25"/>
        <v>17</v>
      </c>
      <c r="V165" s="13">
        <f t="shared" si="2"/>
        <v>0.52941176470588236</v>
      </c>
      <c r="W165" s="13">
        <f t="shared" si="20"/>
        <v>0.52941176470588236</v>
      </c>
      <c r="X165" s="3">
        <f t="shared" si="24"/>
        <v>17</v>
      </c>
      <c r="Y165" s="3" t="e">
        <f t="shared" si="21"/>
        <v>#DIV/0!</v>
      </c>
      <c r="Z165" s="3"/>
      <c r="AA165" s="3"/>
      <c r="AB165" s="3">
        <v>230</v>
      </c>
      <c r="AC165" s="3" t="s">
        <v>82</v>
      </c>
      <c r="AD165" s="3" t="s">
        <v>83</v>
      </c>
      <c r="AE165" s="3">
        <v>15</v>
      </c>
      <c r="AF165" s="3" t="s">
        <v>151</v>
      </c>
      <c r="AG165" s="3" t="s">
        <v>223</v>
      </c>
      <c r="AH165" s="3"/>
    </row>
    <row r="166" spans="1:34" ht="14.25" customHeight="1" x14ac:dyDescent="0.25">
      <c r="A166" s="3" t="s">
        <v>132</v>
      </c>
      <c r="B166" s="3" t="s">
        <v>79</v>
      </c>
      <c r="C166" s="3"/>
      <c r="D166" s="3" t="s">
        <v>117</v>
      </c>
      <c r="E166" s="3">
        <v>1</v>
      </c>
      <c r="F166" s="3">
        <v>1</v>
      </c>
      <c r="G166" s="3" t="s">
        <v>19</v>
      </c>
      <c r="H166" s="11">
        <v>45747</v>
      </c>
      <c r="I166" s="12" t="s">
        <v>81</v>
      </c>
      <c r="J166" s="3">
        <v>7</v>
      </c>
      <c r="K166" s="3">
        <v>3</v>
      </c>
      <c r="L166" s="3">
        <v>2</v>
      </c>
      <c r="M166" s="3">
        <v>0</v>
      </c>
      <c r="N166" s="3">
        <v>0</v>
      </c>
      <c r="O166" s="3">
        <f t="shared" si="0"/>
        <v>12</v>
      </c>
      <c r="P166" s="3">
        <v>6</v>
      </c>
      <c r="Q166" s="3">
        <v>5</v>
      </c>
      <c r="R166" s="3">
        <v>3</v>
      </c>
      <c r="S166" s="3">
        <v>2</v>
      </c>
      <c r="T166" s="3">
        <v>1</v>
      </c>
      <c r="U166" s="3">
        <f t="shared" si="25"/>
        <v>17</v>
      </c>
      <c r="V166" s="13">
        <f t="shared" si="2"/>
        <v>0.70588235294117652</v>
      </c>
      <c r="W166" s="13">
        <f t="shared" si="20"/>
        <v>0.70588235294117652</v>
      </c>
      <c r="X166" s="3">
        <f t="shared" si="24"/>
        <v>17</v>
      </c>
      <c r="Y166" s="3" t="e">
        <f t="shared" si="21"/>
        <v>#DIV/0!</v>
      </c>
      <c r="Z166" s="3"/>
      <c r="AA166" s="3"/>
      <c r="AB166" s="3">
        <v>230</v>
      </c>
      <c r="AC166" s="3" t="s">
        <v>82</v>
      </c>
      <c r="AD166" s="3" t="s">
        <v>83</v>
      </c>
      <c r="AE166" s="3">
        <v>15</v>
      </c>
      <c r="AF166" s="3" t="s">
        <v>151</v>
      </c>
      <c r="AG166" s="3" t="s">
        <v>223</v>
      </c>
      <c r="AH166" s="3"/>
    </row>
    <row r="167" spans="1:34" ht="14.25" customHeight="1" x14ac:dyDescent="0.25">
      <c r="A167" s="3" t="s">
        <v>132</v>
      </c>
      <c r="B167" s="3" t="s">
        <v>79</v>
      </c>
      <c r="C167" s="3"/>
      <c r="D167" s="3" t="s">
        <v>117</v>
      </c>
      <c r="E167" s="3">
        <v>1</v>
      </c>
      <c r="F167" s="3">
        <v>1</v>
      </c>
      <c r="G167" s="3" t="s">
        <v>22</v>
      </c>
      <c r="H167" s="11">
        <v>45747</v>
      </c>
      <c r="I167" s="12" t="s">
        <v>81</v>
      </c>
      <c r="J167" s="3">
        <v>8</v>
      </c>
      <c r="K167" s="3">
        <v>0</v>
      </c>
      <c r="L167" s="3">
        <v>0</v>
      </c>
      <c r="M167" s="3">
        <v>0</v>
      </c>
      <c r="N167" s="3">
        <v>0</v>
      </c>
      <c r="O167" s="3">
        <f t="shared" si="0"/>
        <v>8</v>
      </c>
      <c r="P167" s="3">
        <v>6</v>
      </c>
      <c r="Q167" s="3">
        <v>5</v>
      </c>
      <c r="R167" s="3">
        <v>3</v>
      </c>
      <c r="S167" s="3">
        <v>2</v>
      </c>
      <c r="T167" s="3">
        <v>1</v>
      </c>
      <c r="U167" s="3">
        <f t="shared" si="25"/>
        <v>17</v>
      </c>
      <c r="V167" s="13">
        <f t="shared" si="2"/>
        <v>0.47058823529411764</v>
      </c>
      <c r="W167" s="13">
        <f t="shared" si="20"/>
        <v>0.47058823529411764</v>
      </c>
      <c r="X167" s="3">
        <f t="shared" si="24"/>
        <v>17</v>
      </c>
      <c r="Y167" s="3" t="e">
        <f t="shared" si="21"/>
        <v>#DIV/0!</v>
      </c>
      <c r="Z167" s="3"/>
      <c r="AA167" s="3"/>
      <c r="AB167" s="3">
        <v>230</v>
      </c>
      <c r="AC167" s="3" t="s">
        <v>82</v>
      </c>
      <c r="AD167" s="3" t="s">
        <v>83</v>
      </c>
      <c r="AE167" s="3">
        <v>15</v>
      </c>
      <c r="AF167" s="3" t="s">
        <v>151</v>
      </c>
      <c r="AG167" s="3" t="s">
        <v>223</v>
      </c>
      <c r="AH167" s="3"/>
    </row>
    <row r="168" spans="1:34" ht="14.25" customHeight="1" x14ac:dyDescent="0.25">
      <c r="A168" s="3" t="s">
        <v>133</v>
      </c>
      <c r="B168" s="3" t="s">
        <v>79</v>
      </c>
      <c r="C168" s="3"/>
      <c r="D168" s="3" t="s">
        <v>117</v>
      </c>
      <c r="E168" s="3">
        <v>1</v>
      </c>
      <c r="F168" s="3">
        <v>1</v>
      </c>
      <c r="G168" s="3" t="s">
        <v>1</v>
      </c>
      <c r="H168" s="11">
        <v>45747</v>
      </c>
      <c r="I168" s="12" t="s">
        <v>81</v>
      </c>
      <c r="J168" s="3">
        <f>10+7+8+11+15</f>
        <v>51</v>
      </c>
      <c r="K168" s="3">
        <f>7+8+12+18+15</f>
        <v>60</v>
      </c>
      <c r="L168" s="3">
        <f>13+8+6+5+7+10+6</f>
        <v>55</v>
      </c>
      <c r="M168" s="3">
        <f>7+4+8+10</f>
        <v>29</v>
      </c>
      <c r="N168" s="3">
        <f>7+11+3</f>
        <v>21</v>
      </c>
      <c r="O168" s="3">
        <f t="shared" si="0"/>
        <v>216</v>
      </c>
      <c r="P168" s="3">
        <v>6</v>
      </c>
      <c r="Q168" s="3">
        <v>5</v>
      </c>
      <c r="R168" s="3">
        <v>7</v>
      </c>
      <c r="S168" s="3">
        <v>4</v>
      </c>
      <c r="T168" s="3">
        <v>3</v>
      </c>
      <c r="U168" s="3">
        <f t="shared" si="25"/>
        <v>25</v>
      </c>
      <c r="V168" s="13">
        <f t="shared" si="2"/>
        <v>8.64</v>
      </c>
      <c r="W168" s="13">
        <f t="shared" si="20"/>
        <v>8.64</v>
      </c>
      <c r="X168" s="3">
        <f t="shared" ref="X168:X231" si="27">F168*U168</f>
        <v>25</v>
      </c>
      <c r="Y168" s="3">
        <f t="shared" si="21"/>
        <v>1.4400000000000001E-2</v>
      </c>
      <c r="Z168" s="3"/>
      <c r="AA168" s="3">
        <f t="shared" ref="AA168:AA172" si="28">25*2.4*10</f>
        <v>600</v>
      </c>
      <c r="AB168" s="3">
        <v>18</v>
      </c>
      <c r="AC168" s="3" t="s">
        <v>82</v>
      </c>
      <c r="AD168" s="3" t="s">
        <v>83</v>
      </c>
      <c r="AE168" s="3">
        <v>15</v>
      </c>
      <c r="AF168" s="3" t="s">
        <v>151</v>
      </c>
      <c r="AG168" s="3" t="s">
        <v>346</v>
      </c>
      <c r="AH168" s="3"/>
    </row>
    <row r="169" spans="1:34" ht="14.25" customHeight="1" x14ac:dyDescent="0.25">
      <c r="A169" s="3" t="s">
        <v>133</v>
      </c>
      <c r="B169" s="3" t="s">
        <v>79</v>
      </c>
      <c r="C169" s="3"/>
      <c r="D169" s="3" t="s">
        <v>117</v>
      </c>
      <c r="E169" s="3">
        <v>1</v>
      </c>
      <c r="F169" s="3">
        <v>1</v>
      </c>
      <c r="G169" s="3" t="s">
        <v>2</v>
      </c>
      <c r="H169" s="11">
        <v>45747</v>
      </c>
      <c r="I169" s="12" t="s">
        <v>81</v>
      </c>
      <c r="J169" s="3">
        <v>4</v>
      </c>
      <c r="K169" s="3">
        <v>6</v>
      </c>
      <c r="L169" s="3">
        <v>0</v>
      </c>
      <c r="M169" s="3">
        <v>0</v>
      </c>
      <c r="N169" s="3">
        <v>0</v>
      </c>
      <c r="O169" s="3">
        <f t="shared" si="0"/>
        <v>10</v>
      </c>
      <c r="P169" s="3">
        <v>6</v>
      </c>
      <c r="Q169" s="3">
        <v>5</v>
      </c>
      <c r="R169" s="3">
        <v>7</v>
      </c>
      <c r="S169" s="3">
        <v>4</v>
      </c>
      <c r="T169" s="3">
        <v>3</v>
      </c>
      <c r="U169" s="3">
        <f t="shared" si="25"/>
        <v>25</v>
      </c>
      <c r="V169" s="13">
        <f t="shared" si="2"/>
        <v>0.4</v>
      </c>
      <c r="W169" s="13">
        <f t="shared" si="20"/>
        <v>0.4</v>
      </c>
      <c r="X169" s="3">
        <f t="shared" si="27"/>
        <v>25</v>
      </c>
      <c r="Y169" s="3">
        <f t="shared" si="21"/>
        <v>6.6666666666666675E-4</v>
      </c>
      <c r="Z169" s="3"/>
      <c r="AA169" s="3">
        <f t="shared" si="28"/>
        <v>600</v>
      </c>
      <c r="AB169" s="3">
        <v>18</v>
      </c>
      <c r="AC169" s="3" t="s">
        <v>82</v>
      </c>
      <c r="AD169" s="3" t="s">
        <v>83</v>
      </c>
      <c r="AE169" s="3">
        <v>15</v>
      </c>
      <c r="AF169" s="3" t="s">
        <v>151</v>
      </c>
      <c r="AG169" s="3" t="s">
        <v>346</v>
      </c>
      <c r="AH169" s="3"/>
    </row>
    <row r="170" spans="1:34" ht="14.25" customHeight="1" x14ac:dyDescent="0.25">
      <c r="A170" s="3" t="s">
        <v>133</v>
      </c>
      <c r="B170" s="3" t="s">
        <v>79</v>
      </c>
      <c r="C170" s="3"/>
      <c r="D170" s="3" t="s">
        <v>117</v>
      </c>
      <c r="E170" s="3">
        <v>1</v>
      </c>
      <c r="F170" s="3">
        <v>1</v>
      </c>
      <c r="G170" s="3" t="s">
        <v>14</v>
      </c>
      <c r="H170" s="11">
        <v>45747</v>
      </c>
      <c r="I170" s="12" t="s">
        <v>81</v>
      </c>
      <c r="J170" s="3">
        <v>0</v>
      </c>
      <c r="K170" s="3">
        <v>0</v>
      </c>
      <c r="L170" s="3">
        <v>5</v>
      </c>
      <c r="M170" s="3">
        <v>0</v>
      </c>
      <c r="N170" s="3">
        <v>0</v>
      </c>
      <c r="O170" s="3">
        <f t="shared" si="0"/>
        <v>5</v>
      </c>
      <c r="P170" s="3">
        <v>6</v>
      </c>
      <c r="Q170" s="3">
        <v>5</v>
      </c>
      <c r="R170" s="3">
        <v>7</v>
      </c>
      <c r="S170" s="3">
        <v>4</v>
      </c>
      <c r="T170" s="3">
        <v>3</v>
      </c>
      <c r="U170" s="3">
        <f t="shared" si="25"/>
        <v>25</v>
      </c>
      <c r="V170" s="13">
        <f t="shared" si="2"/>
        <v>0.2</v>
      </c>
      <c r="W170" s="13">
        <f t="shared" si="20"/>
        <v>0.2</v>
      </c>
      <c r="X170" s="3">
        <f t="shared" si="27"/>
        <v>25</v>
      </c>
      <c r="Y170" s="3">
        <f t="shared" si="21"/>
        <v>3.3333333333333338E-4</v>
      </c>
      <c r="Z170" s="3"/>
      <c r="AA170" s="3">
        <f t="shared" si="28"/>
        <v>600</v>
      </c>
      <c r="AB170" s="3">
        <v>18</v>
      </c>
      <c r="AC170" s="3" t="s">
        <v>82</v>
      </c>
      <c r="AD170" s="3" t="s">
        <v>83</v>
      </c>
      <c r="AE170" s="3">
        <v>15</v>
      </c>
      <c r="AF170" s="3" t="s">
        <v>151</v>
      </c>
      <c r="AG170" s="3" t="s">
        <v>346</v>
      </c>
      <c r="AH170" s="3"/>
    </row>
    <row r="171" spans="1:34" ht="14.25" customHeight="1" x14ac:dyDescent="0.25">
      <c r="A171" s="3" t="s">
        <v>133</v>
      </c>
      <c r="B171" s="3" t="s">
        <v>79</v>
      </c>
      <c r="C171" s="3"/>
      <c r="D171" s="3" t="s">
        <v>117</v>
      </c>
      <c r="E171" s="3">
        <v>1</v>
      </c>
      <c r="F171" s="3">
        <v>1</v>
      </c>
      <c r="G171" s="3" t="s">
        <v>16</v>
      </c>
      <c r="H171" s="11">
        <v>45747</v>
      </c>
      <c r="I171" s="12" t="s">
        <v>81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f t="shared" si="0"/>
        <v>5</v>
      </c>
      <c r="P171" s="3">
        <v>6</v>
      </c>
      <c r="Q171" s="3">
        <v>5</v>
      </c>
      <c r="R171" s="3">
        <v>7</v>
      </c>
      <c r="S171" s="3">
        <v>4</v>
      </c>
      <c r="T171" s="3">
        <v>3</v>
      </c>
      <c r="U171" s="3">
        <f t="shared" si="25"/>
        <v>25</v>
      </c>
      <c r="V171" s="13">
        <f t="shared" si="2"/>
        <v>0.2</v>
      </c>
      <c r="W171" s="13">
        <f t="shared" si="20"/>
        <v>0.2</v>
      </c>
      <c r="X171" s="3">
        <f t="shared" si="27"/>
        <v>25</v>
      </c>
      <c r="Y171" s="3">
        <f t="shared" si="21"/>
        <v>3.3333333333333338E-4</v>
      </c>
      <c r="Z171" s="3"/>
      <c r="AA171" s="3">
        <f t="shared" si="28"/>
        <v>600</v>
      </c>
      <c r="AB171" s="3">
        <v>18</v>
      </c>
      <c r="AC171" s="3" t="s">
        <v>82</v>
      </c>
      <c r="AD171" s="3" t="s">
        <v>83</v>
      </c>
      <c r="AE171" s="3">
        <v>15</v>
      </c>
      <c r="AF171" s="3" t="s">
        <v>151</v>
      </c>
      <c r="AG171" s="3" t="s">
        <v>346</v>
      </c>
      <c r="AH171" s="3"/>
    </row>
    <row r="172" spans="1:34" ht="14.25" customHeight="1" x14ac:dyDescent="0.25">
      <c r="A172" s="3" t="s">
        <v>133</v>
      </c>
      <c r="B172" s="3" t="s">
        <v>79</v>
      </c>
      <c r="C172" s="3"/>
      <c r="D172" s="3" t="s">
        <v>117</v>
      </c>
      <c r="E172" s="3">
        <v>1</v>
      </c>
      <c r="F172" s="3">
        <v>1</v>
      </c>
      <c r="G172" s="3" t="s">
        <v>22</v>
      </c>
      <c r="H172" s="11">
        <v>45747</v>
      </c>
      <c r="I172" s="12" t="s">
        <v>81</v>
      </c>
      <c r="J172" s="3">
        <v>9</v>
      </c>
      <c r="K172" s="3">
        <v>6</v>
      </c>
      <c r="L172" s="3">
        <v>0</v>
      </c>
      <c r="M172" s="3">
        <v>0</v>
      </c>
      <c r="N172" s="3">
        <v>0</v>
      </c>
      <c r="O172" s="3">
        <f t="shared" si="0"/>
        <v>15</v>
      </c>
      <c r="P172" s="3">
        <v>6</v>
      </c>
      <c r="Q172" s="3">
        <v>5</v>
      </c>
      <c r="R172" s="3">
        <v>7</v>
      </c>
      <c r="S172" s="3">
        <v>4</v>
      </c>
      <c r="T172" s="3">
        <v>3</v>
      </c>
      <c r="U172" s="3">
        <f t="shared" si="25"/>
        <v>25</v>
      </c>
      <c r="V172" s="13">
        <f t="shared" si="2"/>
        <v>0.6</v>
      </c>
      <c r="W172" s="13">
        <f t="shared" si="20"/>
        <v>0.6</v>
      </c>
      <c r="X172" s="3">
        <f t="shared" si="27"/>
        <v>25</v>
      </c>
      <c r="Y172" s="3">
        <f t="shared" si="21"/>
        <v>1E-3</v>
      </c>
      <c r="Z172" s="3"/>
      <c r="AA172" s="3">
        <f t="shared" si="28"/>
        <v>600</v>
      </c>
      <c r="AB172" s="3">
        <v>18</v>
      </c>
      <c r="AC172" s="3" t="s">
        <v>82</v>
      </c>
      <c r="AD172" s="3" t="s">
        <v>83</v>
      </c>
      <c r="AE172" s="3">
        <v>15</v>
      </c>
      <c r="AF172" s="3" t="s">
        <v>151</v>
      </c>
      <c r="AG172" s="3" t="s">
        <v>346</v>
      </c>
      <c r="AH172" s="3"/>
    </row>
    <row r="173" spans="1:34" ht="14.25" customHeight="1" x14ac:dyDescent="0.25">
      <c r="A173" s="3" t="s">
        <v>134</v>
      </c>
      <c r="B173" s="3" t="s">
        <v>79</v>
      </c>
      <c r="C173" s="3"/>
      <c r="D173" s="3" t="s">
        <v>115</v>
      </c>
      <c r="E173" s="3">
        <v>1</v>
      </c>
      <c r="F173" s="3">
        <v>1</v>
      </c>
      <c r="G173" s="3" t="s">
        <v>1</v>
      </c>
      <c r="H173" s="11">
        <v>45747</v>
      </c>
      <c r="I173" s="12" t="s">
        <v>81</v>
      </c>
      <c r="J173" s="3">
        <v>0</v>
      </c>
      <c r="K173" s="3">
        <v>0</v>
      </c>
      <c r="L173" s="3">
        <v>0</v>
      </c>
      <c r="M173" s="3">
        <f>2+4</f>
        <v>6</v>
      </c>
      <c r="N173" s="3">
        <v>3</v>
      </c>
      <c r="O173" s="3">
        <f t="shared" si="0"/>
        <v>9</v>
      </c>
      <c r="P173" s="3">
        <v>3</v>
      </c>
      <c r="Q173" s="3">
        <v>2</v>
      </c>
      <c r="R173" s="3">
        <v>3</v>
      </c>
      <c r="S173" s="3">
        <v>3</v>
      </c>
      <c r="T173" s="3">
        <v>3</v>
      </c>
      <c r="U173" s="3">
        <f t="shared" si="25"/>
        <v>14</v>
      </c>
      <c r="V173" s="13">
        <f t="shared" si="2"/>
        <v>0.6428571428571429</v>
      </c>
      <c r="W173" s="13">
        <f t="shared" si="20"/>
        <v>0.6428571428571429</v>
      </c>
      <c r="X173" s="3">
        <f t="shared" si="27"/>
        <v>14</v>
      </c>
      <c r="Y173" s="3" t="e">
        <f t="shared" si="21"/>
        <v>#DIV/0!</v>
      </c>
      <c r="Z173" s="3"/>
      <c r="AA173" s="3"/>
      <c r="AB173" s="3"/>
      <c r="AC173" s="3" t="s">
        <v>82</v>
      </c>
      <c r="AD173" s="3" t="s">
        <v>83</v>
      </c>
      <c r="AE173" s="3">
        <v>15</v>
      </c>
      <c r="AF173" s="3" t="s">
        <v>151</v>
      </c>
      <c r="AG173" s="3" t="s">
        <v>213</v>
      </c>
      <c r="AH173" s="3"/>
    </row>
    <row r="174" spans="1:34" ht="14.25" customHeight="1" x14ac:dyDescent="0.25">
      <c r="A174" s="3" t="s">
        <v>134</v>
      </c>
      <c r="B174" s="3" t="s">
        <v>79</v>
      </c>
      <c r="C174" s="3"/>
      <c r="D174" s="3" t="s">
        <v>115</v>
      </c>
      <c r="E174" s="3">
        <v>1</v>
      </c>
      <c r="F174" s="3">
        <v>1</v>
      </c>
      <c r="G174" s="3" t="s">
        <v>2</v>
      </c>
      <c r="H174" s="11">
        <v>45747</v>
      </c>
      <c r="I174" s="12" t="s">
        <v>81</v>
      </c>
      <c r="J174" s="3">
        <v>0</v>
      </c>
      <c r="K174" s="3">
        <v>10</v>
      </c>
      <c r="L174" s="3">
        <v>0</v>
      </c>
      <c r="M174" s="3">
        <v>0</v>
      </c>
      <c r="N174" s="3">
        <v>0</v>
      </c>
      <c r="O174" s="3">
        <f t="shared" si="0"/>
        <v>10</v>
      </c>
      <c r="P174" s="3">
        <v>3</v>
      </c>
      <c r="Q174" s="3">
        <v>2</v>
      </c>
      <c r="R174" s="3">
        <v>3</v>
      </c>
      <c r="S174" s="3">
        <v>3</v>
      </c>
      <c r="T174" s="3">
        <v>3</v>
      </c>
      <c r="U174" s="3">
        <f t="shared" si="25"/>
        <v>14</v>
      </c>
      <c r="V174" s="13">
        <f t="shared" si="2"/>
        <v>0.7142857142857143</v>
      </c>
      <c r="W174" s="13">
        <f t="shared" si="20"/>
        <v>0.7142857142857143</v>
      </c>
      <c r="X174" s="3">
        <f t="shared" si="27"/>
        <v>14</v>
      </c>
      <c r="Y174" s="3" t="e">
        <f t="shared" si="21"/>
        <v>#DIV/0!</v>
      </c>
      <c r="Z174" s="3"/>
      <c r="AA174" s="3"/>
      <c r="AB174" s="3"/>
      <c r="AC174" s="3" t="s">
        <v>82</v>
      </c>
      <c r="AD174" s="3" t="s">
        <v>83</v>
      </c>
      <c r="AE174" s="3">
        <v>15</v>
      </c>
      <c r="AF174" s="3" t="s">
        <v>151</v>
      </c>
      <c r="AG174" s="3" t="s">
        <v>213</v>
      </c>
      <c r="AH174" s="3"/>
    </row>
    <row r="175" spans="1:34" ht="14.25" customHeight="1" x14ac:dyDescent="0.25">
      <c r="A175" s="3" t="s">
        <v>134</v>
      </c>
      <c r="B175" s="3" t="s">
        <v>79</v>
      </c>
      <c r="C175" s="3"/>
      <c r="D175" s="3" t="s">
        <v>115</v>
      </c>
      <c r="E175" s="3">
        <v>1</v>
      </c>
      <c r="F175" s="3">
        <v>1</v>
      </c>
      <c r="G175" s="3" t="s">
        <v>16</v>
      </c>
      <c r="H175" s="11">
        <v>45747</v>
      </c>
      <c r="I175" s="12" t="s">
        <v>81</v>
      </c>
      <c r="J175" s="3">
        <f>10+2</f>
        <v>12</v>
      </c>
      <c r="K175" s="3">
        <f>5+4</f>
        <v>9</v>
      </c>
      <c r="L175" s="3">
        <f>6+8</f>
        <v>14</v>
      </c>
      <c r="M175" s="3">
        <f>4+5</f>
        <v>9</v>
      </c>
      <c r="N175" s="3">
        <f>8+9</f>
        <v>17</v>
      </c>
      <c r="O175" s="3">
        <f t="shared" si="0"/>
        <v>61</v>
      </c>
      <c r="P175" s="3">
        <v>3</v>
      </c>
      <c r="Q175" s="3">
        <v>2</v>
      </c>
      <c r="R175" s="3">
        <v>3</v>
      </c>
      <c r="S175" s="3">
        <v>3</v>
      </c>
      <c r="T175" s="3">
        <v>3</v>
      </c>
      <c r="U175" s="3">
        <f t="shared" si="25"/>
        <v>14</v>
      </c>
      <c r="V175" s="13">
        <f t="shared" si="2"/>
        <v>4.3571428571428568</v>
      </c>
      <c r="W175" s="13">
        <f t="shared" si="20"/>
        <v>4.3571428571428568</v>
      </c>
      <c r="X175" s="3">
        <f t="shared" si="27"/>
        <v>14</v>
      </c>
      <c r="Y175" s="3" t="e">
        <f t="shared" si="21"/>
        <v>#DIV/0!</v>
      </c>
      <c r="Z175" s="3"/>
      <c r="AA175" s="3"/>
      <c r="AB175" s="3"/>
      <c r="AC175" s="3" t="s">
        <v>82</v>
      </c>
      <c r="AD175" s="3" t="s">
        <v>83</v>
      </c>
      <c r="AE175" s="3">
        <v>15</v>
      </c>
      <c r="AF175" s="3" t="s">
        <v>151</v>
      </c>
      <c r="AG175" s="3" t="s">
        <v>213</v>
      </c>
      <c r="AH175" s="3"/>
    </row>
    <row r="176" spans="1:34" ht="14.25" customHeight="1" x14ac:dyDescent="0.25">
      <c r="A176" s="3" t="s">
        <v>134</v>
      </c>
      <c r="B176" s="3" t="s">
        <v>79</v>
      </c>
      <c r="C176" s="3"/>
      <c r="D176" s="3" t="s">
        <v>115</v>
      </c>
      <c r="E176" s="3">
        <v>1</v>
      </c>
      <c r="F176" s="3">
        <v>1</v>
      </c>
      <c r="G176" s="3" t="s">
        <v>22</v>
      </c>
      <c r="H176" s="11">
        <v>45747</v>
      </c>
      <c r="I176" s="12" t="s">
        <v>81</v>
      </c>
      <c r="J176" s="3">
        <v>6</v>
      </c>
      <c r="K176" s="3">
        <v>0</v>
      </c>
      <c r="L176" s="3">
        <v>3</v>
      </c>
      <c r="M176" s="3">
        <v>0</v>
      </c>
      <c r="N176" s="3">
        <v>0</v>
      </c>
      <c r="O176" s="3">
        <f t="shared" si="0"/>
        <v>9</v>
      </c>
      <c r="P176" s="3">
        <v>3</v>
      </c>
      <c r="Q176" s="3">
        <v>2</v>
      </c>
      <c r="R176" s="3">
        <v>3</v>
      </c>
      <c r="S176" s="3">
        <v>3</v>
      </c>
      <c r="T176" s="3">
        <v>3</v>
      </c>
      <c r="U176" s="3">
        <f t="shared" si="25"/>
        <v>14</v>
      </c>
      <c r="V176" s="13">
        <f t="shared" si="2"/>
        <v>0.6428571428571429</v>
      </c>
      <c r="W176" s="13">
        <f t="shared" si="20"/>
        <v>0.6428571428571429</v>
      </c>
      <c r="X176" s="3">
        <f t="shared" si="27"/>
        <v>14</v>
      </c>
      <c r="Y176" s="3" t="e">
        <f t="shared" si="21"/>
        <v>#DIV/0!</v>
      </c>
      <c r="Z176" s="3"/>
      <c r="AA176" s="3"/>
      <c r="AB176" s="3"/>
      <c r="AC176" s="3" t="s">
        <v>82</v>
      </c>
      <c r="AD176" s="3" t="s">
        <v>83</v>
      </c>
      <c r="AE176" s="3">
        <v>15</v>
      </c>
      <c r="AF176" s="3" t="s">
        <v>151</v>
      </c>
      <c r="AG176" s="3" t="s">
        <v>213</v>
      </c>
      <c r="AH176" s="3"/>
    </row>
    <row r="177" spans="1:34" ht="14.25" customHeight="1" x14ac:dyDescent="0.25">
      <c r="A177" s="3" t="s">
        <v>135</v>
      </c>
      <c r="B177" s="3" t="s">
        <v>79</v>
      </c>
      <c r="C177" s="3"/>
      <c r="D177" s="3" t="s">
        <v>121</v>
      </c>
      <c r="E177" s="3">
        <v>1</v>
      </c>
      <c r="F177" s="3">
        <v>1</v>
      </c>
      <c r="G177" s="3" t="s">
        <v>16</v>
      </c>
      <c r="H177" s="11">
        <v>45747</v>
      </c>
      <c r="I177" s="12" t="s">
        <v>81</v>
      </c>
      <c r="J177" s="3">
        <f>8+11+9</f>
        <v>28</v>
      </c>
      <c r="K177" s="3">
        <f>14+8+10</f>
        <v>32</v>
      </c>
      <c r="L177" s="3">
        <f>13+7+5+12</f>
        <v>37</v>
      </c>
      <c r="M177" s="3">
        <f>6+14+11</f>
        <v>31</v>
      </c>
      <c r="N177" s="3">
        <f>17+19</f>
        <v>36</v>
      </c>
      <c r="O177" s="3">
        <f t="shared" si="0"/>
        <v>164</v>
      </c>
      <c r="P177" s="3">
        <v>3</v>
      </c>
      <c r="Q177" s="3">
        <v>3</v>
      </c>
      <c r="R177" s="3">
        <v>4</v>
      </c>
      <c r="S177" s="3">
        <v>3</v>
      </c>
      <c r="T177" s="3">
        <v>2</v>
      </c>
      <c r="U177" s="3">
        <f t="shared" si="25"/>
        <v>15</v>
      </c>
      <c r="V177" s="13">
        <f t="shared" si="2"/>
        <v>10.933333333333334</v>
      </c>
      <c r="W177" s="13">
        <f t="shared" si="20"/>
        <v>10.933333333333334</v>
      </c>
      <c r="X177" s="3">
        <f t="shared" si="27"/>
        <v>15</v>
      </c>
      <c r="Y177" s="3" t="e">
        <f t="shared" si="21"/>
        <v>#DIV/0!</v>
      </c>
      <c r="Z177" s="3"/>
      <c r="AA177" s="3"/>
      <c r="AB177" s="3"/>
      <c r="AC177" s="3" t="s">
        <v>82</v>
      </c>
      <c r="AD177" s="3" t="s">
        <v>83</v>
      </c>
      <c r="AE177" s="3">
        <v>15</v>
      </c>
      <c r="AF177" s="3" t="s">
        <v>151</v>
      </c>
      <c r="AG177" s="3" t="s">
        <v>201</v>
      </c>
      <c r="AH177" s="3"/>
    </row>
    <row r="178" spans="1:34" ht="14.25" customHeight="1" x14ac:dyDescent="0.25">
      <c r="A178" s="3" t="s">
        <v>136</v>
      </c>
      <c r="B178" s="3" t="s">
        <v>79</v>
      </c>
      <c r="C178" s="3"/>
      <c r="D178" s="3" t="s">
        <v>115</v>
      </c>
      <c r="E178" s="3">
        <v>1</v>
      </c>
      <c r="F178" s="3">
        <v>1</v>
      </c>
      <c r="G178" s="3" t="s">
        <v>1</v>
      </c>
      <c r="H178" s="11">
        <v>45747</v>
      </c>
      <c r="I178" s="12" t="s">
        <v>81</v>
      </c>
      <c r="J178" s="3">
        <v>0</v>
      </c>
      <c r="K178" s="3">
        <v>0</v>
      </c>
      <c r="L178" s="3">
        <v>10</v>
      </c>
      <c r="M178" s="3">
        <v>0</v>
      </c>
      <c r="N178" s="3">
        <v>0</v>
      </c>
      <c r="O178" s="3">
        <f t="shared" si="0"/>
        <v>10</v>
      </c>
      <c r="P178" s="3">
        <v>0</v>
      </c>
      <c r="Q178" s="3">
        <v>0</v>
      </c>
      <c r="R178" s="3">
        <v>3</v>
      </c>
      <c r="S178" s="3">
        <v>0</v>
      </c>
      <c r="T178" s="3">
        <v>0</v>
      </c>
      <c r="U178" s="3">
        <f t="shared" si="25"/>
        <v>3</v>
      </c>
      <c r="V178" s="13">
        <f t="shared" si="2"/>
        <v>3.3333333333333335</v>
      </c>
      <c r="W178" s="13">
        <f t="shared" si="20"/>
        <v>3.3333333333333335</v>
      </c>
      <c r="X178" s="3">
        <f t="shared" si="27"/>
        <v>3</v>
      </c>
      <c r="Y178" s="3">
        <f t="shared" si="21"/>
        <v>7.246376811594203E-3</v>
      </c>
      <c r="Z178" s="3"/>
      <c r="AA178" s="3">
        <f t="shared" ref="AA178:AA182" si="29">15*2*10+10*2*8</f>
        <v>460</v>
      </c>
      <c r="AB178" s="3"/>
      <c r="AC178" s="3" t="s">
        <v>82</v>
      </c>
      <c r="AD178" s="3" t="s">
        <v>83</v>
      </c>
      <c r="AE178" s="3">
        <v>8</v>
      </c>
      <c r="AF178" s="3" t="s">
        <v>151</v>
      </c>
      <c r="AG178" s="3" t="s">
        <v>294</v>
      </c>
      <c r="AH178" s="3"/>
    </row>
    <row r="179" spans="1:34" ht="14.25" customHeight="1" x14ac:dyDescent="0.25">
      <c r="A179" s="3" t="s">
        <v>136</v>
      </c>
      <c r="B179" s="3" t="s">
        <v>79</v>
      </c>
      <c r="C179" s="3"/>
      <c r="D179" s="3" t="s">
        <v>115</v>
      </c>
      <c r="E179" s="3">
        <v>1</v>
      </c>
      <c r="F179" s="3">
        <v>1</v>
      </c>
      <c r="G179" s="3" t="s">
        <v>3</v>
      </c>
      <c r="H179" s="11">
        <v>45747</v>
      </c>
      <c r="I179" s="12" t="s">
        <v>81</v>
      </c>
      <c r="J179" s="3">
        <v>0</v>
      </c>
      <c r="K179" s="3">
        <v>0</v>
      </c>
      <c r="L179" s="3">
        <v>12</v>
      </c>
      <c r="M179" s="3">
        <v>0</v>
      </c>
      <c r="N179" s="3">
        <v>0</v>
      </c>
      <c r="O179" s="3">
        <f t="shared" si="0"/>
        <v>12</v>
      </c>
      <c r="P179" s="3">
        <v>0</v>
      </c>
      <c r="Q179" s="3">
        <v>0</v>
      </c>
      <c r="R179" s="3">
        <v>3</v>
      </c>
      <c r="S179" s="3">
        <v>0</v>
      </c>
      <c r="T179" s="3">
        <v>0</v>
      </c>
      <c r="U179" s="3">
        <f t="shared" si="25"/>
        <v>3</v>
      </c>
      <c r="V179" s="13">
        <f t="shared" si="2"/>
        <v>4</v>
      </c>
      <c r="W179" s="13">
        <f t="shared" si="20"/>
        <v>4</v>
      </c>
      <c r="X179" s="3">
        <f t="shared" si="27"/>
        <v>3</v>
      </c>
      <c r="Y179" s="3">
        <f t="shared" si="21"/>
        <v>8.6956521739130436E-3</v>
      </c>
      <c r="Z179" s="3"/>
      <c r="AA179" s="3">
        <f t="shared" si="29"/>
        <v>460</v>
      </c>
      <c r="AB179" s="3"/>
      <c r="AC179" s="3" t="s">
        <v>82</v>
      </c>
      <c r="AD179" s="3" t="s">
        <v>83</v>
      </c>
      <c r="AE179" s="3">
        <v>8</v>
      </c>
      <c r="AF179" s="3" t="s">
        <v>151</v>
      </c>
      <c r="AG179" s="3" t="s">
        <v>294</v>
      </c>
      <c r="AH179" s="3"/>
    </row>
    <row r="180" spans="1:34" ht="14.25" customHeight="1" x14ac:dyDescent="0.25">
      <c r="A180" s="3" t="s">
        <v>136</v>
      </c>
      <c r="B180" s="3" t="s">
        <v>79</v>
      </c>
      <c r="C180" s="3"/>
      <c r="D180" s="3" t="s">
        <v>115</v>
      </c>
      <c r="E180" s="3">
        <v>1</v>
      </c>
      <c r="F180" s="3">
        <v>1</v>
      </c>
      <c r="G180" s="3" t="s">
        <v>14</v>
      </c>
      <c r="H180" s="11">
        <v>45747</v>
      </c>
      <c r="I180" s="12" t="s">
        <v>81</v>
      </c>
      <c r="J180" s="3">
        <v>0</v>
      </c>
      <c r="K180" s="3">
        <v>0</v>
      </c>
      <c r="L180" s="3">
        <v>2</v>
      </c>
      <c r="M180" s="3">
        <v>0</v>
      </c>
      <c r="N180" s="3">
        <v>0</v>
      </c>
      <c r="O180" s="3">
        <f t="shared" si="0"/>
        <v>2</v>
      </c>
      <c r="P180" s="3">
        <v>0</v>
      </c>
      <c r="Q180" s="3">
        <v>0</v>
      </c>
      <c r="R180" s="3">
        <v>3</v>
      </c>
      <c r="S180" s="3">
        <v>0</v>
      </c>
      <c r="T180" s="3">
        <v>0</v>
      </c>
      <c r="U180" s="3">
        <f t="shared" si="25"/>
        <v>3</v>
      </c>
      <c r="V180" s="13">
        <f t="shared" si="2"/>
        <v>0.66666666666666663</v>
      </c>
      <c r="W180" s="13">
        <f t="shared" si="20"/>
        <v>0.66666666666666663</v>
      </c>
      <c r="X180" s="3">
        <f t="shared" si="27"/>
        <v>3</v>
      </c>
      <c r="Y180" s="3">
        <f t="shared" si="21"/>
        <v>1.4492753623188406E-3</v>
      </c>
      <c r="Z180" s="3"/>
      <c r="AA180" s="3">
        <f t="shared" si="29"/>
        <v>460</v>
      </c>
      <c r="AB180" s="3"/>
      <c r="AC180" s="3" t="s">
        <v>82</v>
      </c>
      <c r="AD180" s="3" t="s">
        <v>83</v>
      </c>
      <c r="AE180" s="3">
        <v>8</v>
      </c>
      <c r="AF180" s="3" t="s">
        <v>151</v>
      </c>
      <c r="AG180" s="3" t="s">
        <v>294</v>
      </c>
      <c r="AH180" s="3"/>
    </row>
    <row r="181" spans="1:34" ht="14.25" customHeight="1" x14ac:dyDescent="0.25">
      <c r="A181" s="3" t="s">
        <v>136</v>
      </c>
      <c r="B181" s="3" t="s">
        <v>79</v>
      </c>
      <c r="C181" s="3"/>
      <c r="D181" s="3" t="s">
        <v>115</v>
      </c>
      <c r="E181" s="3">
        <v>1</v>
      </c>
      <c r="F181" s="3">
        <v>1</v>
      </c>
      <c r="G181" s="3" t="s">
        <v>16</v>
      </c>
      <c r="H181" s="11">
        <v>45747</v>
      </c>
      <c r="I181" s="12" t="s">
        <v>81</v>
      </c>
      <c r="J181" s="3">
        <v>0</v>
      </c>
      <c r="K181" s="3">
        <v>0</v>
      </c>
      <c r="L181" s="3">
        <v>2</v>
      </c>
      <c r="M181" s="3">
        <v>0</v>
      </c>
      <c r="N181" s="3">
        <v>0</v>
      </c>
      <c r="O181" s="3">
        <f t="shared" si="0"/>
        <v>2</v>
      </c>
      <c r="P181" s="3">
        <v>0</v>
      </c>
      <c r="Q181" s="3">
        <v>0</v>
      </c>
      <c r="R181" s="3">
        <v>3</v>
      </c>
      <c r="S181" s="3">
        <v>0</v>
      </c>
      <c r="T181" s="3">
        <v>0</v>
      </c>
      <c r="U181" s="3">
        <f t="shared" si="25"/>
        <v>3</v>
      </c>
      <c r="V181" s="13">
        <f t="shared" si="2"/>
        <v>0.66666666666666663</v>
      </c>
      <c r="W181" s="13">
        <f t="shared" si="20"/>
        <v>0.66666666666666663</v>
      </c>
      <c r="X181" s="3">
        <f t="shared" si="27"/>
        <v>3</v>
      </c>
      <c r="Y181" s="3">
        <f t="shared" si="21"/>
        <v>1.4492753623188406E-3</v>
      </c>
      <c r="Z181" s="3"/>
      <c r="AA181" s="3">
        <f t="shared" si="29"/>
        <v>460</v>
      </c>
      <c r="AB181" s="3"/>
      <c r="AC181" s="3" t="s">
        <v>82</v>
      </c>
      <c r="AD181" s="3" t="s">
        <v>83</v>
      </c>
      <c r="AE181" s="3">
        <v>8</v>
      </c>
      <c r="AF181" s="3" t="s">
        <v>151</v>
      </c>
      <c r="AG181" s="3" t="s">
        <v>294</v>
      </c>
      <c r="AH181" s="3"/>
    </row>
    <row r="182" spans="1:34" ht="14.25" customHeight="1" x14ac:dyDescent="0.25">
      <c r="A182" s="3" t="s">
        <v>136</v>
      </c>
      <c r="B182" s="3" t="s">
        <v>79</v>
      </c>
      <c r="C182" s="3"/>
      <c r="D182" s="3" t="s">
        <v>115</v>
      </c>
      <c r="E182" s="3">
        <v>1</v>
      </c>
      <c r="F182" s="3">
        <v>1</v>
      </c>
      <c r="G182" s="3" t="s">
        <v>25</v>
      </c>
      <c r="H182" s="11">
        <v>45747</v>
      </c>
      <c r="I182" s="12" t="s">
        <v>81</v>
      </c>
      <c r="J182" s="3">
        <v>0</v>
      </c>
      <c r="K182" s="3">
        <v>0</v>
      </c>
      <c r="L182" s="3">
        <v>9</v>
      </c>
      <c r="M182" s="3">
        <v>0</v>
      </c>
      <c r="N182" s="3">
        <v>0</v>
      </c>
      <c r="O182" s="3">
        <f t="shared" si="0"/>
        <v>9</v>
      </c>
      <c r="P182" s="3">
        <v>0</v>
      </c>
      <c r="Q182" s="3">
        <v>0</v>
      </c>
      <c r="R182" s="3">
        <v>3</v>
      </c>
      <c r="S182" s="3">
        <v>0</v>
      </c>
      <c r="T182" s="3">
        <v>0</v>
      </c>
      <c r="U182" s="3">
        <f t="shared" si="25"/>
        <v>3</v>
      </c>
      <c r="V182" s="13">
        <f t="shared" si="2"/>
        <v>3</v>
      </c>
      <c r="W182" s="13">
        <f t="shared" si="20"/>
        <v>3</v>
      </c>
      <c r="X182" s="3">
        <f t="shared" si="27"/>
        <v>3</v>
      </c>
      <c r="Y182" s="3">
        <f t="shared" si="21"/>
        <v>6.5217391304347823E-3</v>
      </c>
      <c r="Z182" s="3"/>
      <c r="AA182" s="3">
        <f t="shared" si="29"/>
        <v>460</v>
      </c>
      <c r="AB182" s="3"/>
      <c r="AC182" s="3" t="s">
        <v>82</v>
      </c>
      <c r="AD182" s="3" t="s">
        <v>83</v>
      </c>
      <c r="AE182" s="3">
        <v>8</v>
      </c>
      <c r="AF182" s="3" t="s">
        <v>151</v>
      </c>
      <c r="AG182" s="3" t="s">
        <v>294</v>
      </c>
      <c r="AH182" s="3"/>
    </row>
    <row r="183" spans="1:34" ht="14.25" customHeight="1" x14ac:dyDescent="0.25">
      <c r="A183" s="3" t="s">
        <v>137</v>
      </c>
      <c r="B183" s="3" t="s">
        <v>79</v>
      </c>
      <c r="C183" s="3"/>
      <c r="D183" s="3" t="s">
        <v>101</v>
      </c>
      <c r="E183" s="3">
        <v>2</v>
      </c>
      <c r="F183" s="3">
        <v>1</v>
      </c>
      <c r="G183" s="3" t="s">
        <v>16</v>
      </c>
      <c r="H183" s="11">
        <v>45747</v>
      </c>
      <c r="I183" s="12" t="s">
        <v>81</v>
      </c>
      <c r="J183" s="3">
        <f>7.3+3.27+8.2+5.3</f>
        <v>24.07</v>
      </c>
      <c r="K183" s="3">
        <f>10.2+9.3</f>
        <v>19.5</v>
      </c>
      <c r="L183" s="3">
        <v>2.37</v>
      </c>
      <c r="M183" s="3">
        <v>0</v>
      </c>
      <c r="N183" s="3">
        <v>0</v>
      </c>
      <c r="O183" s="3">
        <f t="shared" si="0"/>
        <v>45.94</v>
      </c>
      <c r="P183" s="3">
        <v>7</v>
      </c>
      <c r="Q183" s="3">
        <v>7</v>
      </c>
      <c r="R183" s="3">
        <v>1</v>
      </c>
      <c r="S183" s="3">
        <v>3</v>
      </c>
      <c r="T183" s="3">
        <v>0</v>
      </c>
      <c r="U183" s="3">
        <f t="shared" si="25"/>
        <v>18</v>
      </c>
      <c r="V183" s="13">
        <f t="shared" si="2"/>
        <v>2.5522222222222219</v>
      </c>
      <c r="W183" s="13">
        <f t="shared" si="20"/>
        <v>2.5522222222222219</v>
      </c>
      <c r="X183" s="3">
        <f t="shared" si="27"/>
        <v>18</v>
      </c>
      <c r="Y183" s="3" t="e">
        <f t="shared" si="21"/>
        <v>#DIV/0!</v>
      </c>
      <c r="Z183" s="3"/>
      <c r="AA183" s="3"/>
      <c r="AB183" s="3"/>
      <c r="AC183" s="3" t="s">
        <v>82</v>
      </c>
      <c r="AD183" s="3" t="s">
        <v>83</v>
      </c>
      <c r="AE183" s="3">
        <v>40</v>
      </c>
      <c r="AF183" s="3" t="s">
        <v>102</v>
      </c>
      <c r="AG183" s="3" t="s">
        <v>202</v>
      </c>
      <c r="AH183" s="3"/>
    </row>
    <row r="184" spans="1:34" ht="14.25" customHeight="1" x14ac:dyDescent="0.25">
      <c r="A184" s="3" t="s">
        <v>137</v>
      </c>
      <c r="B184" s="3" t="s">
        <v>79</v>
      </c>
      <c r="C184" s="3"/>
      <c r="D184" s="3" t="s">
        <v>101</v>
      </c>
      <c r="E184" s="3">
        <v>2</v>
      </c>
      <c r="F184" s="3">
        <v>1</v>
      </c>
      <c r="G184" s="3" t="s">
        <v>18</v>
      </c>
      <c r="H184" s="11">
        <v>45747</v>
      </c>
      <c r="I184" s="12" t="s">
        <v>81</v>
      </c>
      <c r="J184" s="3">
        <f>12.3+6+3.7+10.4</f>
        <v>32.4</v>
      </c>
      <c r="K184" s="3">
        <f>14.3+8+5.2+17.3+4.2+11</f>
        <v>60</v>
      </c>
      <c r="L184" s="3">
        <v>7.3</v>
      </c>
      <c r="M184" s="3">
        <f>7.47+15.2+5.31</f>
        <v>27.979999999999997</v>
      </c>
      <c r="N184" s="3">
        <v>0</v>
      </c>
      <c r="O184" s="3">
        <f t="shared" si="0"/>
        <v>127.68</v>
      </c>
      <c r="P184" s="3">
        <v>7</v>
      </c>
      <c r="Q184" s="3">
        <v>7</v>
      </c>
      <c r="R184" s="3">
        <v>1</v>
      </c>
      <c r="S184" s="3">
        <v>3</v>
      </c>
      <c r="T184" s="3">
        <v>0</v>
      </c>
      <c r="U184" s="3">
        <f t="shared" si="25"/>
        <v>18</v>
      </c>
      <c r="V184" s="13">
        <f t="shared" si="2"/>
        <v>7.0933333333333337</v>
      </c>
      <c r="W184" s="13">
        <f t="shared" si="20"/>
        <v>7.0933333333333337</v>
      </c>
      <c r="X184" s="3">
        <f t="shared" si="27"/>
        <v>18</v>
      </c>
      <c r="Y184" s="3" t="e">
        <f t="shared" si="21"/>
        <v>#DIV/0!</v>
      </c>
      <c r="Z184" s="3"/>
      <c r="AA184" s="3"/>
      <c r="AB184" s="3"/>
      <c r="AC184" s="3" t="s">
        <v>82</v>
      </c>
      <c r="AD184" s="3" t="s">
        <v>83</v>
      </c>
      <c r="AE184" s="3">
        <v>40</v>
      </c>
      <c r="AF184" s="3" t="s">
        <v>102</v>
      </c>
      <c r="AG184" s="3" t="s">
        <v>202</v>
      </c>
      <c r="AH184" s="3"/>
    </row>
    <row r="185" spans="1:34" ht="14.25" customHeight="1" x14ac:dyDescent="0.25">
      <c r="A185" s="3" t="s">
        <v>138</v>
      </c>
      <c r="B185" s="3" t="s">
        <v>79</v>
      </c>
      <c r="C185" s="3"/>
      <c r="D185" s="3" t="s">
        <v>115</v>
      </c>
      <c r="E185" s="3">
        <v>1</v>
      </c>
      <c r="F185" s="3">
        <v>1</v>
      </c>
      <c r="G185" s="3" t="s">
        <v>16</v>
      </c>
      <c r="H185" s="11">
        <v>45747</v>
      </c>
      <c r="I185" s="12" t="s">
        <v>81</v>
      </c>
      <c r="J185" s="3">
        <v>0</v>
      </c>
      <c r="K185" s="3">
        <v>0</v>
      </c>
      <c r="L185" s="3">
        <f>22+10</f>
        <v>32</v>
      </c>
      <c r="M185" s="3">
        <f>8+12+9+15+18</f>
        <v>62</v>
      </c>
      <c r="N185" s="3">
        <f>5+9+7</f>
        <v>21</v>
      </c>
      <c r="O185" s="3">
        <f t="shared" si="0"/>
        <v>115</v>
      </c>
      <c r="P185" s="3">
        <v>0</v>
      </c>
      <c r="Q185" s="3">
        <v>0</v>
      </c>
      <c r="R185" s="3">
        <v>2</v>
      </c>
      <c r="S185" s="3">
        <v>5</v>
      </c>
      <c r="T185" s="3">
        <v>3</v>
      </c>
      <c r="U185" s="3">
        <f t="shared" si="25"/>
        <v>10</v>
      </c>
      <c r="V185" s="13">
        <f t="shared" si="2"/>
        <v>11.5</v>
      </c>
      <c r="W185" s="13">
        <f t="shared" si="20"/>
        <v>11.5</v>
      </c>
      <c r="X185" s="3">
        <f t="shared" si="27"/>
        <v>10</v>
      </c>
      <c r="Y185" s="3" t="e">
        <f t="shared" si="21"/>
        <v>#DIV/0!</v>
      </c>
      <c r="Z185" s="3"/>
      <c r="AA185" s="3"/>
      <c r="AB185" s="3"/>
      <c r="AC185" s="3" t="s">
        <v>82</v>
      </c>
      <c r="AD185" s="3" t="s">
        <v>83</v>
      </c>
      <c r="AE185" s="3">
        <v>30</v>
      </c>
      <c r="AF185" s="3" t="s">
        <v>151</v>
      </c>
      <c r="AG185" s="3" t="s">
        <v>173</v>
      </c>
    </row>
    <row r="186" spans="1:34" ht="14.25" customHeight="1" x14ac:dyDescent="0.25">
      <c r="A186" s="3" t="s">
        <v>85</v>
      </c>
      <c r="B186" s="3" t="s">
        <v>79</v>
      </c>
      <c r="C186" s="3"/>
      <c r="D186" s="3" t="s">
        <v>80</v>
      </c>
      <c r="E186" s="3">
        <v>1</v>
      </c>
      <c r="F186" s="3">
        <v>1</v>
      </c>
      <c r="G186" s="3" t="s">
        <v>1</v>
      </c>
      <c r="H186" s="11">
        <v>45777</v>
      </c>
      <c r="I186" s="3" t="s">
        <v>142</v>
      </c>
      <c r="J186" s="3">
        <f>5+4</f>
        <v>9</v>
      </c>
      <c r="K186" s="3">
        <v>0</v>
      </c>
      <c r="L186" s="3">
        <v>0</v>
      </c>
      <c r="M186" s="3">
        <v>0</v>
      </c>
      <c r="N186" s="3">
        <v>0</v>
      </c>
      <c r="O186" s="3">
        <f t="shared" ref="O186:O409" si="30">SUM(J186:N186)</f>
        <v>9</v>
      </c>
      <c r="P186" s="3">
        <v>5</v>
      </c>
      <c r="Q186" s="3">
        <v>3</v>
      </c>
      <c r="R186" s="3">
        <v>2</v>
      </c>
      <c r="S186" s="3">
        <v>5</v>
      </c>
      <c r="T186" s="3">
        <v>1</v>
      </c>
      <c r="U186" s="3">
        <f t="shared" ref="U186:U320" si="31">SUM(P186:T186)</f>
        <v>16</v>
      </c>
      <c r="V186" s="13">
        <f t="shared" ref="V186:V409" si="32">O186/U186/F186</f>
        <v>0.5625</v>
      </c>
      <c r="W186" s="13">
        <f t="shared" si="20"/>
        <v>0.5625</v>
      </c>
      <c r="X186" s="3">
        <f t="shared" si="27"/>
        <v>16</v>
      </c>
      <c r="Y186" s="3" t="e">
        <f t="shared" si="21"/>
        <v>#DIV/0!</v>
      </c>
      <c r="Z186" s="3"/>
      <c r="AA186" s="3"/>
      <c r="AB186" s="3">
        <v>45</v>
      </c>
      <c r="AC186" s="3" t="s">
        <v>82</v>
      </c>
      <c r="AD186" s="3" t="s">
        <v>83</v>
      </c>
      <c r="AE186" s="3">
        <v>20</v>
      </c>
      <c r="AF186" s="3" t="s">
        <v>143</v>
      </c>
      <c r="AG186" s="3" t="s">
        <v>224</v>
      </c>
      <c r="AH186" s="3"/>
    </row>
    <row r="187" spans="1:34" ht="14.25" customHeight="1" x14ac:dyDescent="0.25">
      <c r="A187" s="3" t="s">
        <v>85</v>
      </c>
      <c r="B187" s="3" t="s">
        <v>79</v>
      </c>
      <c r="C187" s="3"/>
      <c r="D187" s="3" t="s">
        <v>80</v>
      </c>
      <c r="E187" s="3">
        <v>1</v>
      </c>
      <c r="F187" s="3">
        <v>1</v>
      </c>
      <c r="G187" s="3" t="s">
        <v>2</v>
      </c>
      <c r="H187" s="11">
        <v>45777</v>
      </c>
      <c r="I187" s="3" t="s">
        <v>142</v>
      </c>
      <c r="J187" s="3">
        <v>6</v>
      </c>
      <c r="K187" s="3">
        <v>8</v>
      </c>
      <c r="L187" s="3">
        <v>0</v>
      </c>
      <c r="M187" s="3">
        <f>4+5</f>
        <v>9</v>
      </c>
      <c r="N187" s="3">
        <v>4.8</v>
      </c>
      <c r="O187" s="3">
        <f t="shared" si="30"/>
        <v>27.8</v>
      </c>
      <c r="P187" s="3">
        <v>5</v>
      </c>
      <c r="Q187" s="3">
        <v>3</v>
      </c>
      <c r="R187" s="3">
        <v>2</v>
      </c>
      <c r="S187" s="3">
        <v>5</v>
      </c>
      <c r="T187" s="3">
        <v>1</v>
      </c>
      <c r="U187" s="3">
        <f t="shared" si="31"/>
        <v>16</v>
      </c>
      <c r="V187" s="13">
        <f t="shared" si="32"/>
        <v>1.7375</v>
      </c>
      <c r="W187" s="13">
        <f t="shared" si="20"/>
        <v>1.7375</v>
      </c>
      <c r="X187" s="3">
        <f t="shared" si="27"/>
        <v>16</v>
      </c>
      <c r="Y187" s="3" t="e">
        <f t="shared" si="21"/>
        <v>#DIV/0!</v>
      </c>
      <c r="Z187" s="3"/>
      <c r="AA187" s="3"/>
      <c r="AB187" s="3">
        <v>45</v>
      </c>
      <c r="AC187" s="3" t="s">
        <v>82</v>
      </c>
      <c r="AD187" s="3" t="s">
        <v>83</v>
      </c>
      <c r="AE187" s="3">
        <v>20</v>
      </c>
      <c r="AF187" s="3" t="s">
        <v>143</v>
      </c>
      <c r="AG187" s="3" t="s">
        <v>224</v>
      </c>
      <c r="AH187" s="3"/>
    </row>
    <row r="188" spans="1:34" ht="14.25" customHeight="1" x14ac:dyDescent="0.25">
      <c r="A188" s="3" t="s">
        <v>85</v>
      </c>
      <c r="B188" s="3" t="s">
        <v>79</v>
      </c>
      <c r="C188" s="3"/>
      <c r="D188" s="3" t="s">
        <v>80</v>
      </c>
      <c r="E188" s="3">
        <v>1</v>
      </c>
      <c r="F188" s="3">
        <v>1</v>
      </c>
      <c r="G188" s="3" t="s">
        <v>14</v>
      </c>
      <c r="H188" s="11">
        <v>45777</v>
      </c>
      <c r="I188" s="3" t="s">
        <v>142</v>
      </c>
      <c r="J188" s="3">
        <v>0</v>
      </c>
      <c r="K188" s="3">
        <v>4.3</v>
      </c>
      <c r="L188" s="3">
        <v>0</v>
      </c>
      <c r="M188" s="3">
        <f>2.4+4</f>
        <v>6.4</v>
      </c>
      <c r="N188" s="3">
        <v>0</v>
      </c>
      <c r="O188" s="3">
        <f t="shared" si="30"/>
        <v>10.7</v>
      </c>
      <c r="P188" s="3">
        <v>5</v>
      </c>
      <c r="Q188" s="3">
        <v>3</v>
      </c>
      <c r="R188" s="3">
        <v>2</v>
      </c>
      <c r="S188" s="3">
        <v>5</v>
      </c>
      <c r="T188" s="3">
        <v>1</v>
      </c>
      <c r="U188" s="3">
        <f t="shared" si="31"/>
        <v>16</v>
      </c>
      <c r="V188" s="13">
        <f t="shared" si="32"/>
        <v>0.66874999999999996</v>
      </c>
      <c r="W188" s="13">
        <f t="shared" si="20"/>
        <v>0.66874999999999996</v>
      </c>
      <c r="X188" s="3">
        <f t="shared" si="27"/>
        <v>16</v>
      </c>
      <c r="Y188" s="3" t="e">
        <f t="shared" si="21"/>
        <v>#DIV/0!</v>
      </c>
      <c r="Z188" s="3"/>
      <c r="AA188" s="3"/>
      <c r="AB188" s="3">
        <v>45</v>
      </c>
      <c r="AC188" s="3" t="s">
        <v>82</v>
      </c>
      <c r="AD188" s="3" t="s">
        <v>83</v>
      </c>
      <c r="AE188" s="3">
        <v>20</v>
      </c>
      <c r="AF188" s="3" t="s">
        <v>143</v>
      </c>
      <c r="AG188" s="3" t="s">
        <v>224</v>
      </c>
      <c r="AH188" s="3"/>
    </row>
    <row r="189" spans="1:34" ht="14.25" customHeight="1" x14ac:dyDescent="0.25">
      <c r="A189" s="3" t="s">
        <v>85</v>
      </c>
      <c r="B189" s="3" t="s">
        <v>79</v>
      </c>
      <c r="C189" s="3"/>
      <c r="D189" s="3" t="s">
        <v>80</v>
      </c>
      <c r="E189" s="3">
        <v>1</v>
      </c>
      <c r="F189" s="3">
        <v>1</v>
      </c>
      <c r="G189" s="3" t="s">
        <v>16</v>
      </c>
      <c r="H189" s="11">
        <v>45777</v>
      </c>
      <c r="I189" s="3" t="s">
        <v>142</v>
      </c>
      <c r="J189" s="3">
        <f>4.3+2.8</f>
        <v>7.1</v>
      </c>
      <c r="K189" s="3">
        <v>1.9</v>
      </c>
      <c r="L189" s="3">
        <v>3.3</v>
      </c>
      <c r="M189" s="3">
        <f>5.6+3.8</f>
        <v>9.3999999999999986</v>
      </c>
      <c r="N189" s="3">
        <v>0</v>
      </c>
      <c r="O189" s="3">
        <f t="shared" si="30"/>
        <v>21.7</v>
      </c>
      <c r="P189" s="3">
        <v>5</v>
      </c>
      <c r="Q189" s="3">
        <v>3</v>
      </c>
      <c r="R189" s="3">
        <v>2</v>
      </c>
      <c r="S189" s="3">
        <v>5</v>
      </c>
      <c r="T189" s="3">
        <v>1</v>
      </c>
      <c r="U189" s="3">
        <f t="shared" si="31"/>
        <v>16</v>
      </c>
      <c r="V189" s="13">
        <f t="shared" si="32"/>
        <v>1.35625</v>
      </c>
      <c r="W189" s="13">
        <f t="shared" si="20"/>
        <v>1.35625</v>
      </c>
      <c r="X189" s="3">
        <f t="shared" si="27"/>
        <v>16</v>
      </c>
      <c r="Y189" s="3" t="e">
        <f t="shared" si="21"/>
        <v>#DIV/0!</v>
      </c>
      <c r="Z189" s="3"/>
      <c r="AA189" s="3"/>
      <c r="AB189" s="3">
        <v>45</v>
      </c>
      <c r="AC189" s="3" t="s">
        <v>82</v>
      </c>
      <c r="AD189" s="3" t="s">
        <v>83</v>
      </c>
      <c r="AE189" s="3">
        <v>20</v>
      </c>
      <c r="AF189" s="3" t="s">
        <v>143</v>
      </c>
      <c r="AG189" s="3" t="s">
        <v>224</v>
      </c>
      <c r="AH189" s="3"/>
    </row>
    <row r="190" spans="1:34" ht="14.25" customHeight="1" x14ac:dyDescent="0.25">
      <c r="A190" s="3" t="s">
        <v>85</v>
      </c>
      <c r="B190" s="3" t="s">
        <v>79</v>
      </c>
      <c r="C190" s="3"/>
      <c r="D190" s="3" t="s">
        <v>80</v>
      </c>
      <c r="E190" s="3">
        <v>1</v>
      </c>
      <c r="F190" s="3">
        <v>1</v>
      </c>
      <c r="G190" s="3" t="s">
        <v>18</v>
      </c>
      <c r="H190" s="11">
        <v>45777</v>
      </c>
      <c r="I190" s="3" t="s">
        <v>142</v>
      </c>
      <c r="J190" s="3">
        <v>2.8</v>
      </c>
      <c r="K190" s="3">
        <f>3.5+3.8</f>
        <v>7.3</v>
      </c>
      <c r="L190" s="3">
        <v>0</v>
      </c>
      <c r="M190" s="3">
        <v>6</v>
      </c>
      <c r="N190" s="3">
        <v>4.5</v>
      </c>
      <c r="O190" s="3">
        <f t="shared" si="30"/>
        <v>20.6</v>
      </c>
      <c r="P190" s="3">
        <v>5</v>
      </c>
      <c r="Q190" s="3">
        <v>3</v>
      </c>
      <c r="R190" s="3">
        <v>2</v>
      </c>
      <c r="S190" s="3">
        <v>5</v>
      </c>
      <c r="T190" s="3">
        <v>1</v>
      </c>
      <c r="U190" s="3">
        <f t="shared" si="31"/>
        <v>16</v>
      </c>
      <c r="V190" s="13">
        <f t="shared" si="32"/>
        <v>1.2875000000000001</v>
      </c>
      <c r="W190" s="13">
        <f t="shared" si="20"/>
        <v>1.2875000000000001</v>
      </c>
      <c r="X190" s="3">
        <f t="shared" si="27"/>
        <v>16</v>
      </c>
      <c r="Y190" s="3" t="e">
        <f t="shared" si="21"/>
        <v>#DIV/0!</v>
      </c>
      <c r="Z190" s="3"/>
      <c r="AA190" s="3"/>
      <c r="AB190" s="3">
        <v>45</v>
      </c>
      <c r="AC190" s="3" t="s">
        <v>82</v>
      </c>
      <c r="AD190" s="3" t="s">
        <v>83</v>
      </c>
      <c r="AE190" s="3">
        <v>20</v>
      </c>
      <c r="AF190" s="3" t="s">
        <v>143</v>
      </c>
      <c r="AG190" s="3" t="s">
        <v>224</v>
      </c>
      <c r="AH190" s="3"/>
    </row>
    <row r="191" spans="1:34" ht="14.25" customHeight="1" x14ac:dyDescent="0.25">
      <c r="A191" s="3" t="s">
        <v>85</v>
      </c>
      <c r="B191" s="3" t="s">
        <v>79</v>
      </c>
      <c r="C191" s="3"/>
      <c r="D191" s="3" t="s">
        <v>80</v>
      </c>
      <c r="E191" s="3">
        <v>1</v>
      </c>
      <c r="F191" s="3">
        <v>1</v>
      </c>
      <c r="G191" s="3" t="s">
        <v>25</v>
      </c>
      <c r="H191" s="11">
        <v>45777</v>
      </c>
      <c r="I191" s="3" t="s">
        <v>142</v>
      </c>
      <c r="J191" s="3">
        <v>14</v>
      </c>
      <c r="K191" s="3">
        <v>0</v>
      </c>
      <c r="L191" s="3">
        <v>9.6999999999999993</v>
      </c>
      <c r="M191" s="3">
        <v>7.3</v>
      </c>
      <c r="N191" s="3">
        <v>12</v>
      </c>
      <c r="O191" s="3">
        <f t="shared" si="30"/>
        <v>43</v>
      </c>
      <c r="P191" s="3">
        <v>5</v>
      </c>
      <c r="Q191" s="3">
        <v>3</v>
      </c>
      <c r="R191" s="3">
        <v>2</v>
      </c>
      <c r="S191" s="3">
        <v>5</v>
      </c>
      <c r="T191" s="3">
        <v>1</v>
      </c>
      <c r="U191" s="3">
        <f t="shared" si="31"/>
        <v>16</v>
      </c>
      <c r="V191" s="13">
        <f t="shared" si="32"/>
        <v>2.6875</v>
      </c>
      <c r="W191" s="13">
        <f t="shared" si="20"/>
        <v>2.6875</v>
      </c>
      <c r="X191" s="3">
        <f t="shared" si="27"/>
        <v>16</v>
      </c>
      <c r="Y191" s="3" t="e">
        <f t="shared" si="21"/>
        <v>#DIV/0!</v>
      </c>
      <c r="Z191" s="3"/>
      <c r="AA191" s="3"/>
      <c r="AB191" s="3">
        <v>45</v>
      </c>
      <c r="AC191" s="3" t="s">
        <v>82</v>
      </c>
      <c r="AD191" s="3" t="s">
        <v>83</v>
      </c>
      <c r="AE191" s="3">
        <v>20</v>
      </c>
      <c r="AF191" s="3" t="s">
        <v>143</v>
      </c>
      <c r="AG191" s="3" t="s">
        <v>224</v>
      </c>
      <c r="AH191" s="3"/>
    </row>
    <row r="192" spans="1:34" ht="14.25" customHeight="1" x14ac:dyDescent="0.25">
      <c r="A192" s="3" t="s">
        <v>86</v>
      </c>
      <c r="B192" s="3" t="s">
        <v>79</v>
      </c>
      <c r="C192" s="3"/>
      <c r="D192" s="3" t="s">
        <v>80</v>
      </c>
      <c r="E192" s="3">
        <v>1</v>
      </c>
      <c r="F192" s="3">
        <v>1</v>
      </c>
      <c r="G192" s="3" t="s">
        <v>1</v>
      </c>
      <c r="H192" s="11">
        <v>45777</v>
      </c>
      <c r="I192" s="3" t="s">
        <v>142</v>
      </c>
      <c r="J192" s="3">
        <f>18+24+21.5+32.5</f>
        <v>96</v>
      </c>
      <c r="K192" s="3">
        <f>38+24+16+21.2</f>
        <v>99.2</v>
      </c>
      <c r="L192" s="3">
        <f>25+27+19+23.5</f>
        <v>94.5</v>
      </c>
      <c r="M192" s="3">
        <f>28.2+31+33+28+17</f>
        <v>137.19999999999999</v>
      </c>
      <c r="N192" s="3">
        <f>23+19.2</f>
        <v>42.2</v>
      </c>
      <c r="O192" s="3">
        <f t="shared" si="30"/>
        <v>469.09999999999997</v>
      </c>
      <c r="P192" s="3">
        <v>7</v>
      </c>
      <c r="Q192" s="3">
        <v>7</v>
      </c>
      <c r="R192" s="3">
        <v>7</v>
      </c>
      <c r="S192" s="3">
        <v>7</v>
      </c>
      <c r="T192" s="3">
        <v>2</v>
      </c>
      <c r="U192" s="3">
        <f t="shared" si="31"/>
        <v>30</v>
      </c>
      <c r="V192" s="13">
        <f t="shared" si="32"/>
        <v>15.636666666666665</v>
      </c>
      <c r="W192" s="13">
        <f t="shared" si="20"/>
        <v>15.636666666666665</v>
      </c>
      <c r="X192" s="3">
        <f t="shared" si="27"/>
        <v>30</v>
      </c>
      <c r="Y192" s="3" t="e">
        <f t="shared" si="21"/>
        <v>#DIV/0!</v>
      </c>
      <c r="Z192" s="3"/>
      <c r="AA192" s="3"/>
      <c r="AB192" s="3">
        <v>195</v>
      </c>
      <c r="AC192" s="3" t="s">
        <v>82</v>
      </c>
      <c r="AD192" s="3" t="s">
        <v>83</v>
      </c>
      <c r="AE192" s="3">
        <v>20</v>
      </c>
      <c r="AF192" s="3" t="s">
        <v>143</v>
      </c>
      <c r="AG192" s="3" t="s">
        <v>295</v>
      </c>
      <c r="AH192" s="3"/>
    </row>
    <row r="193" spans="1:34" ht="14.25" customHeight="1" x14ac:dyDescent="0.25">
      <c r="A193" s="3" t="s">
        <v>86</v>
      </c>
      <c r="B193" s="3" t="s">
        <v>79</v>
      </c>
      <c r="C193" s="3"/>
      <c r="D193" s="3" t="s">
        <v>80</v>
      </c>
      <c r="E193" s="3">
        <v>1</v>
      </c>
      <c r="F193" s="3">
        <v>1</v>
      </c>
      <c r="G193" s="3" t="s">
        <v>25</v>
      </c>
      <c r="H193" s="11">
        <v>45777</v>
      </c>
      <c r="I193" s="3" t="s">
        <v>142</v>
      </c>
      <c r="J193" s="3">
        <v>0</v>
      </c>
      <c r="K193" s="3">
        <v>0</v>
      </c>
      <c r="L193" s="3">
        <f>22+15</f>
        <v>37</v>
      </c>
      <c r="M193" s="3">
        <f>12+7</f>
        <v>19</v>
      </c>
      <c r="N193" s="3">
        <v>0</v>
      </c>
      <c r="O193" s="3">
        <f t="shared" si="30"/>
        <v>56</v>
      </c>
      <c r="P193" s="3">
        <v>7</v>
      </c>
      <c r="Q193" s="3">
        <v>7</v>
      </c>
      <c r="R193" s="3">
        <v>7</v>
      </c>
      <c r="S193" s="3">
        <v>7</v>
      </c>
      <c r="T193" s="3">
        <v>2</v>
      </c>
      <c r="U193" s="3">
        <f t="shared" si="31"/>
        <v>30</v>
      </c>
      <c r="V193" s="13">
        <f t="shared" si="32"/>
        <v>1.8666666666666667</v>
      </c>
      <c r="W193" s="13">
        <f t="shared" si="20"/>
        <v>1.8666666666666667</v>
      </c>
      <c r="X193" s="3">
        <f t="shared" si="27"/>
        <v>30</v>
      </c>
      <c r="Y193" s="3" t="e">
        <f t="shared" si="21"/>
        <v>#DIV/0!</v>
      </c>
      <c r="Z193" s="3"/>
      <c r="AA193" s="3"/>
      <c r="AB193" s="3">
        <v>195</v>
      </c>
      <c r="AC193" s="3" t="s">
        <v>82</v>
      </c>
      <c r="AD193" s="3" t="s">
        <v>83</v>
      </c>
      <c r="AE193" s="3">
        <v>20</v>
      </c>
      <c r="AF193" s="3" t="s">
        <v>143</v>
      </c>
      <c r="AG193" s="3" t="s">
        <v>295</v>
      </c>
      <c r="AH193" s="3"/>
    </row>
    <row r="194" spans="1:34" ht="14.25" customHeight="1" x14ac:dyDescent="0.25">
      <c r="A194" s="3" t="s">
        <v>86</v>
      </c>
      <c r="B194" s="3" t="s">
        <v>79</v>
      </c>
      <c r="C194" s="3"/>
      <c r="D194" s="3" t="s">
        <v>80</v>
      </c>
      <c r="E194" s="3">
        <v>1</v>
      </c>
      <c r="F194" s="3">
        <v>1</v>
      </c>
      <c r="G194" s="3" t="s">
        <v>15</v>
      </c>
      <c r="H194" s="11">
        <v>45777</v>
      </c>
      <c r="I194" s="3" t="s">
        <v>142</v>
      </c>
      <c r="J194" s="3">
        <f>19+17+12</f>
        <v>48</v>
      </c>
      <c r="K194" s="3">
        <f>16</f>
        <v>16</v>
      </c>
      <c r="L194" s="3">
        <v>7</v>
      </c>
      <c r="M194" s="3">
        <v>0</v>
      </c>
      <c r="N194" s="3">
        <v>0</v>
      </c>
      <c r="O194" s="3">
        <f t="shared" si="30"/>
        <v>71</v>
      </c>
      <c r="P194" s="3">
        <v>7</v>
      </c>
      <c r="Q194" s="3">
        <v>7</v>
      </c>
      <c r="R194" s="3">
        <v>7</v>
      </c>
      <c r="S194" s="3">
        <v>7</v>
      </c>
      <c r="T194" s="3">
        <v>2</v>
      </c>
      <c r="U194" s="3">
        <f t="shared" si="31"/>
        <v>30</v>
      </c>
      <c r="V194" s="13">
        <f t="shared" si="32"/>
        <v>2.3666666666666667</v>
      </c>
      <c r="W194" s="13">
        <f t="shared" si="20"/>
        <v>2.3666666666666667</v>
      </c>
      <c r="X194" s="3">
        <f t="shared" si="27"/>
        <v>30</v>
      </c>
      <c r="Y194" s="3" t="e">
        <f t="shared" si="21"/>
        <v>#DIV/0!</v>
      </c>
      <c r="Z194" s="3"/>
      <c r="AA194" s="3"/>
      <c r="AB194" s="3">
        <v>195</v>
      </c>
      <c r="AC194" s="3" t="s">
        <v>82</v>
      </c>
      <c r="AD194" s="3" t="s">
        <v>83</v>
      </c>
      <c r="AE194" s="3">
        <v>20</v>
      </c>
      <c r="AF194" s="3" t="s">
        <v>143</v>
      </c>
      <c r="AG194" s="3" t="s">
        <v>295</v>
      </c>
      <c r="AH194" s="3"/>
    </row>
    <row r="195" spans="1:34" ht="14.25" customHeight="1" x14ac:dyDescent="0.25">
      <c r="A195" s="3" t="s">
        <v>89</v>
      </c>
      <c r="B195" s="3" t="s">
        <v>79</v>
      </c>
      <c r="C195" s="3"/>
      <c r="D195" s="3" t="s">
        <v>80</v>
      </c>
      <c r="E195" s="3">
        <v>2</v>
      </c>
      <c r="F195" s="3">
        <v>1</v>
      </c>
      <c r="G195" s="3" t="s">
        <v>1</v>
      </c>
      <c r="H195" s="11">
        <v>45777</v>
      </c>
      <c r="I195" s="3" t="s">
        <v>142</v>
      </c>
      <c r="J195" s="3">
        <v>0</v>
      </c>
      <c r="K195" s="3">
        <v>14</v>
      </c>
      <c r="L195" s="3">
        <v>0</v>
      </c>
      <c r="M195" s="3">
        <v>0</v>
      </c>
      <c r="N195" s="3">
        <v>0</v>
      </c>
      <c r="O195" s="3">
        <f t="shared" si="30"/>
        <v>14</v>
      </c>
      <c r="P195" s="3">
        <v>3</v>
      </c>
      <c r="Q195" s="3">
        <v>3</v>
      </c>
      <c r="R195" s="3">
        <v>4</v>
      </c>
      <c r="S195" s="3">
        <v>5</v>
      </c>
      <c r="T195" s="3"/>
      <c r="U195" s="3">
        <f t="shared" si="31"/>
        <v>15</v>
      </c>
      <c r="V195" s="13">
        <f t="shared" si="32"/>
        <v>0.93333333333333335</v>
      </c>
      <c r="W195" s="13">
        <f t="shared" ref="W195:W258" si="33">O195/U195/F195</f>
        <v>0.93333333333333335</v>
      </c>
      <c r="X195" s="3">
        <f t="shared" si="27"/>
        <v>15</v>
      </c>
      <c r="Y195" s="3" t="e">
        <f t="shared" ref="Y195:Y258" si="34">O195/U195/AA195</f>
        <v>#DIV/0!</v>
      </c>
      <c r="Z195" s="3"/>
      <c r="AA195" s="3"/>
      <c r="AB195" s="3">
        <f t="shared" ref="AB195:AB202" si="35">90+256</f>
        <v>346</v>
      </c>
      <c r="AC195" s="3" t="s">
        <v>82</v>
      </c>
      <c r="AD195" s="3" t="s">
        <v>83</v>
      </c>
      <c r="AE195" s="3">
        <v>40</v>
      </c>
      <c r="AF195" s="3" t="s">
        <v>143</v>
      </c>
      <c r="AG195" s="3" t="s">
        <v>225</v>
      </c>
      <c r="AH195" s="3"/>
    </row>
    <row r="196" spans="1:34" ht="14.25" customHeight="1" x14ac:dyDescent="0.25">
      <c r="A196" s="3" t="s">
        <v>89</v>
      </c>
      <c r="B196" s="3" t="s">
        <v>79</v>
      </c>
      <c r="C196" s="3"/>
      <c r="D196" s="3" t="s">
        <v>80</v>
      </c>
      <c r="E196" s="3">
        <v>2</v>
      </c>
      <c r="F196" s="3">
        <v>1</v>
      </c>
      <c r="G196" s="3" t="s">
        <v>3</v>
      </c>
      <c r="H196" s="11">
        <v>45777</v>
      </c>
      <c r="I196" s="3" t="s">
        <v>142</v>
      </c>
      <c r="J196" s="3">
        <v>0</v>
      </c>
      <c r="K196" s="3">
        <v>60</v>
      </c>
      <c r="L196" s="3">
        <f>32+42</f>
        <v>74</v>
      </c>
      <c r="M196" s="3">
        <v>0</v>
      </c>
      <c r="N196" s="3">
        <v>0</v>
      </c>
      <c r="O196" s="3">
        <f t="shared" si="30"/>
        <v>134</v>
      </c>
      <c r="P196" s="3">
        <v>3</v>
      </c>
      <c r="Q196" s="3">
        <v>3</v>
      </c>
      <c r="R196" s="3">
        <v>4</v>
      </c>
      <c r="S196" s="3">
        <v>5</v>
      </c>
      <c r="T196" s="3"/>
      <c r="U196" s="3">
        <f t="shared" si="31"/>
        <v>15</v>
      </c>
      <c r="V196" s="13">
        <f t="shared" si="32"/>
        <v>8.9333333333333336</v>
      </c>
      <c r="W196" s="13">
        <f t="shared" si="33"/>
        <v>8.9333333333333336</v>
      </c>
      <c r="X196" s="3">
        <f t="shared" si="27"/>
        <v>15</v>
      </c>
      <c r="Y196" s="3" t="e">
        <f t="shared" si="34"/>
        <v>#DIV/0!</v>
      </c>
      <c r="Z196" s="3"/>
      <c r="AA196" s="3"/>
      <c r="AB196" s="3">
        <f t="shared" si="35"/>
        <v>346</v>
      </c>
      <c r="AC196" s="3" t="s">
        <v>82</v>
      </c>
      <c r="AD196" s="3" t="s">
        <v>83</v>
      </c>
      <c r="AE196" s="3">
        <v>40</v>
      </c>
      <c r="AF196" s="3" t="s">
        <v>143</v>
      </c>
      <c r="AG196" s="3" t="s">
        <v>225</v>
      </c>
      <c r="AH196" s="3"/>
    </row>
    <row r="197" spans="1:34" ht="14.25" customHeight="1" x14ac:dyDescent="0.25">
      <c r="A197" s="3" t="s">
        <v>89</v>
      </c>
      <c r="B197" s="3" t="s">
        <v>79</v>
      </c>
      <c r="C197" s="3"/>
      <c r="D197" s="3" t="s">
        <v>80</v>
      </c>
      <c r="E197" s="3">
        <v>2</v>
      </c>
      <c r="F197" s="3">
        <v>1</v>
      </c>
      <c r="G197" s="3" t="s">
        <v>2</v>
      </c>
      <c r="H197" s="11">
        <v>45777</v>
      </c>
      <c r="I197" s="3" t="s">
        <v>142</v>
      </c>
      <c r="J197" s="3">
        <v>4</v>
      </c>
      <c r="K197" s="3">
        <v>0</v>
      </c>
      <c r="L197" s="3">
        <v>0</v>
      </c>
      <c r="M197" s="3">
        <v>8.3000000000000007</v>
      </c>
      <c r="N197" s="3">
        <v>0</v>
      </c>
      <c r="O197" s="3">
        <f t="shared" si="30"/>
        <v>12.3</v>
      </c>
      <c r="P197" s="3">
        <v>3</v>
      </c>
      <c r="Q197" s="3">
        <v>3</v>
      </c>
      <c r="R197" s="3">
        <v>4</v>
      </c>
      <c r="S197" s="3">
        <v>5</v>
      </c>
      <c r="T197" s="3"/>
      <c r="U197" s="3">
        <f t="shared" si="31"/>
        <v>15</v>
      </c>
      <c r="V197" s="13">
        <f t="shared" si="32"/>
        <v>0.82000000000000006</v>
      </c>
      <c r="W197" s="13">
        <f t="shared" si="33"/>
        <v>0.82000000000000006</v>
      </c>
      <c r="X197" s="3">
        <f t="shared" si="27"/>
        <v>15</v>
      </c>
      <c r="Y197" s="3" t="e">
        <f t="shared" si="34"/>
        <v>#DIV/0!</v>
      </c>
      <c r="Z197" s="3"/>
      <c r="AA197" s="3"/>
      <c r="AB197" s="3">
        <f t="shared" si="35"/>
        <v>346</v>
      </c>
      <c r="AC197" s="3" t="s">
        <v>82</v>
      </c>
      <c r="AD197" s="3" t="s">
        <v>83</v>
      </c>
      <c r="AE197" s="3">
        <v>40</v>
      </c>
      <c r="AF197" s="3" t="s">
        <v>143</v>
      </c>
      <c r="AG197" s="3" t="s">
        <v>225</v>
      </c>
      <c r="AH197" s="3"/>
    </row>
    <row r="198" spans="1:34" ht="14.25" customHeight="1" x14ac:dyDescent="0.25">
      <c r="A198" s="3" t="s">
        <v>89</v>
      </c>
      <c r="B198" s="3" t="s">
        <v>79</v>
      </c>
      <c r="C198" s="3"/>
      <c r="D198" s="3" t="s">
        <v>80</v>
      </c>
      <c r="E198" s="3">
        <v>2</v>
      </c>
      <c r="F198" s="3">
        <v>1</v>
      </c>
      <c r="G198" s="3" t="s">
        <v>14</v>
      </c>
      <c r="H198" s="11">
        <v>45777</v>
      </c>
      <c r="I198" s="3" t="s">
        <v>142</v>
      </c>
      <c r="J198" s="3">
        <v>0</v>
      </c>
      <c r="K198" s="3">
        <v>0</v>
      </c>
      <c r="L198" s="3">
        <v>0</v>
      </c>
      <c r="M198" s="3">
        <v>13</v>
      </c>
      <c r="N198" s="3">
        <v>0</v>
      </c>
      <c r="O198" s="3">
        <f t="shared" si="30"/>
        <v>13</v>
      </c>
      <c r="P198" s="3">
        <v>3</v>
      </c>
      <c r="Q198" s="3">
        <v>3</v>
      </c>
      <c r="R198" s="3">
        <v>4</v>
      </c>
      <c r="S198" s="3">
        <v>5</v>
      </c>
      <c r="T198" s="3"/>
      <c r="U198" s="3">
        <f t="shared" si="31"/>
        <v>15</v>
      </c>
      <c r="V198" s="13">
        <f t="shared" si="32"/>
        <v>0.8666666666666667</v>
      </c>
      <c r="W198" s="13">
        <f t="shared" si="33"/>
        <v>0.8666666666666667</v>
      </c>
      <c r="X198" s="3">
        <f t="shared" si="27"/>
        <v>15</v>
      </c>
      <c r="Y198" s="3" t="e">
        <f t="shared" si="34"/>
        <v>#DIV/0!</v>
      </c>
      <c r="Z198" s="3"/>
      <c r="AA198" s="3"/>
      <c r="AB198" s="3">
        <f t="shared" si="35"/>
        <v>346</v>
      </c>
      <c r="AC198" s="3" t="s">
        <v>82</v>
      </c>
      <c r="AD198" s="3" t="s">
        <v>83</v>
      </c>
      <c r="AE198" s="3">
        <v>40</v>
      </c>
      <c r="AF198" s="3" t="s">
        <v>143</v>
      </c>
      <c r="AG198" s="3" t="s">
        <v>225</v>
      </c>
      <c r="AH198" s="3"/>
    </row>
    <row r="199" spans="1:34" ht="14.25" customHeight="1" x14ac:dyDescent="0.25">
      <c r="A199" s="3" t="s">
        <v>89</v>
      </c>
      <c r="B199" s="3" t="s">
        <v>79</v>
      </c>
      <c r="C199" s="3"/>
      <c r="D199" s="3" t="s">
        <v>80</v>
      </c>
      <c r="E199" s="3">
        <v>2</v>
      </c>
      <c r="F199" s="3">
        <v>1</v>
      </c>
      <c r="G199" s="3" t="s">
        <v>16</v>
      </c>
      <c r="H199" s="11">
        <v>45777</v>
      </c>
      <c r="I199" s="3" t="s">
        <v>142</v>
      </c>
      <c r="J199" s="3">
        <v>8</v>
      </c>
      <c r="K199" s="3">
        <v>0</v>
      </c>
      <c r="L199" s="3">
        <v>0</v>
      </c>
      <c r="M199" s="3">
        <v>1.9</v>
      </c>
      <c r="N199" s="3">
        <v>0</v>
      </c>
      <c r="O199" s="3">
        <f t="shared" si="30"/>
        <v>9.9</v>
      </c>
      <c r="P199" s="3">
        <v>3</v>
      </c>
      <c r="Q199" s="3">
        <v>3</v>
      </c>
      <c r="R199" s="3">
        <v>4</v>
      </c>
      <c r="S199" s="3">
        <v>5</v>
      </c>
      <c r="T199" s="3"/>
      <c r="U199" s="3">
        <f t="shared" si="31"/>
        <v>15</v>
      </c>
      <c r="V199" s="13">
        <f t="shared" si="32"/>
        <v>0.66</v>
      </c>
      <c r="W199" s="13">
        <f t="shared" si="33"/>
        <v>0.66</v>
      </c>
      <c r="X199" s="3">
        <f t="shared" si="27"/>
        <v>15</v>
      </c>
      <c r="Y199" s="3" t="e">
        <f t="shared" si="34"/>
        <v>#DIV/0!</v>
      </c>
      <c r="Z199" s="3"/>
      <c r="AA199" s="3"/>
      <c r="AB199" s="3">
        <f t="shared" si="35"/>
        <v>346</v>
      </c>
      <c r="AC199" s="3" t="s">
        <v>82</v>
      </c>
      <c r="AD199" s="3" t="s">
        <v>83</v>
      </c>
      <c r="AE199" s="3">
        <v>40</v>
      </c>
      <c r="AF199" s="3" t="s">
        <v>143</v>
      </c>
      <c r="AG199" s="3" t="s">
        <v>225</v>
      </c>
      <c r="AH199" s="3"/>
    </row>
    <row r="200" spans="1:34" ht="14.25" customHeight="1" x14ac:dyDescent="0.25">
      <c r="A200" s="3" t="s">
        <v>89</v>
      </c>
      <c r="B200" s="3" t="s">
        <v>79</v>
      </c>
      <c r="C200" s="3"/>
      <c r="D200" s="3" t="s">
        <v>80</v>
      </c>
      <c r="E200" s="3">
        <v>2</v>
      </c>
      <c r="F200" s="3">
        <v>1</v>
      </c>
      <c r="G200" s="3" t="s">
        <v>18</v>
      </c>
      <c r="H200" s="11">
        <v>45777</v>
      </c>
      <c r="I200" s="3" t="s">
        <v>142</v>
      </c>
      <c r="J200" s="3">
        <v>0</v>
      </c>
      <c r="K200" s="3">
        <v>0</v>
      </c>
      <c r="L200" s="3">
        <v>0</v>
      </c>
      <c r="M200" s="3">
        <v>8</v>
      </c>
      <c r="N200" s="3">
        <v>0</v>
      </c>
      <c r="O200" s="3">
        <f t="shared" si="30"/>
        <v>8</v>
      </c>
      <c r="P200" s="3">
        <v>3</v>
      </c>
      <c r="Q200" s="3">
        <v>3</v>
      </c>
      <c r="R200" s="3">
        <v>4</v>
      </c>
      <c r="S200" s="3">
        <v>5</v>
      </c>
      <c r="T200" s="3"/>
      <c r="U200" s="3">
        <f t="shared" si="31"/>
        <v>15</v>
      </c>
      <c r="V200" s="13">
        <f t="shared" si="32"/>
        <v>0.53333333333333333</v>
      </c>
      <c r="W200" s="13">
        <f t="shared" si="33"/>
        <v>0.53333333333333333</v>
      </c>
      <c r="X200" s="3">
        <f t="shared" si="27"/>
        <v>15</v>
      </c>
      <c r="Y200" s="3" t="e">
        <f t="shared" si="34"/>
        <v>#DIV/0!</v>
      </c>
      <c r="Z200" s="3"/>
      <c r="AA200" s="3"/>
      <c r="AB200" s="3">
        <f t="shared" si="35"/>
        <v>346</v>
      </c>
      <c r="AC200" s="3" t="s">
        <v>82</v>
      </c>
      <c r="AD200" s="3" t="s">
        <v>83</v>
      </c>
      <c r="AE200" s="3">
        <v>40</v>
      </c>
      <c r="AF200" s="3" t="s">
        <v>143</v>
      </c>
      <c r="AG200" s="3" t="s">
        <v>225</v>
      </c>
      <c r="AH200" s="3"/>
    </row>
    <row r="201" spans="1:34" ht="14.25" customHeight="1" x14ac:dyDescent="0.25">
      <c r="A201" s="3" t="s">
        <v>89</v>
      </c>
      <c r="B201" s="3" t="s">
        <v>79</v>
      </c>
      <c r="C201" s="3"/>
      <c r="D201" s="3" t="s">
        <v>80</v>
      </c>
      <c r="E201" s="3">
        <v>2</v>
      </c>
      <c r="F201" s="3">
        <v>1</v>
      </c>
      <c r="G201" s="3" t="s">
        <v>25</v>
      </c>
      <c r="H201" s="11">
        <v>45777</v>
      </c>
      <c r="I201" s="3" t="s">
        <v>142</v>
      </c>
      <c r="J201" s="3">
        <f>28</f>
        <v>28</v>
      </c>
      <c r="K201" s="3">
        <f>16+8</f>
        <v>24</v>
      </c>
      <c r="L201" s="3">
        <f>12+7.3</f>
        <v>19.3</v>
      </c>
      <c r="M201" s="3">
        <f>15+7.3</f>
        <v>22.3</v>
      </c>
      <c r="N201" s="3">
        <v>0</v>
      </c>
      <c r="O201" s="3">
        <f t="shared" si="30"/>
        <v>93.6</v>
      </c>
      <c r="P201" s="3">
        <v>3</v>
      </c>
      <c r="Q201" s="3">
        <v>3</v>
      </c>
      <c r="R201" s="3">
        <v>4</v>
      </c>
      <c r="S201" s="3">
        <v>5</v>
      </c>
      <c r="T201" s="3"/>
      <c r="U201" s="3">
        <f t="shared" si="31"/>
        <v>15</v>
      </c>
      <c r="V201" s="13">
        <f t="shared" si="32"/>
        <v>6.2399999999999993</v>
      </c>
      <c r="W201" s="13">
        <f t="shared" si="33"/>
        <v>6.2399999999999993</v>
      </c>
      <c r="X201" s="3">
        <f t="shared" si="27"/>
        <v>15</v>
      </c>
      <c r="Y201" s="3" t="e">
        <f t="shared" si="34"/>
        <v>#DIV/0!</v>
      </c>
      <c r="Z201" s="3"/>
      <c r="AA201" s="3"/>
      <c r="AB201" s="3">
        <f t="shared" si="35"/>
        <v>346</v>
      </c>
      <c r="AC201" s="3" t="s">
        <v>82</v>
      </c>
      <c r="AD201" s="3" t="s">
        <v>83</v>
      </c>
      <c r="AE201" s="3">
        <v>40</v>
      </c>
      <c r="AF201" s="3" t="s">
        <v>143</v>
      </c>
      <c r="AG201" s="3" t="s">
        <v>225</v>
      </c>
      <c r="AH201" s="3"/>
    </row>
    <row r="202" spans="1:34" ht="14.25" customHeight="1" x14ac:dyDescent="0.25">
      <c r="A202" s="3" t="s">
        <v>89</v>
      </c>
      <c r="B202" s="3" t="s">
        <v>79</v>
      </c>
      <c r="C202" s="3"/>
      <c r="D202" s="3" t="s">
        <v>80</v>
      </c>
      <c r="E202" s="3">
        <v>2</v>
      </c>
      <c r="F202" s="3">
        <v>1</v>
      </c>
      <c r="G202" s="3" t="s">
        <v>22</v>
      </c>
      <c r="H202" s="11">
        <v>45777</v>
      </c>
      <c r="I202" s="3" t="s">
        <v>142</v>
      </c>
      <c r="J202" s="3">
        <v>3.8</v>
      </c>
      <c r="K202" s="3">
        <v>9</v>
      </c>
      <c r="L202" s="3">
        <v>0</v>
      </c>
      <c r="M202" s="3">
        <v>3.8</v>
      </c>
      <c r="N202" s="3">
        <v>0</v>
      </c>
      <c r="O202" s="3">
        <f t="shared" si="30"/>
        <v>16.600000000000001</v>
      </c>
      <c r="P202" s="3">
        <v>3</v>
      </c>
      <c r="Q202" s="3">
        <v>3</v>
      </c>
      <c r="R202" s="3">
        <v>4</v>
      </c>
      <c r="S202" s="3">
        <v>5</v>
      </c>
      <c r="T202" s="3"/>
      <c r="U202" s="3">
        <f t="shared" si="31"/>
        <v>15</v>
      </c>
      <c r="V202" s="13">
        <f t="shared" si="32"/>
        <v>1.1066666666666667</v>
      </c>
      <c r="W202" s="13">
        <f t="shared" si="33"/>
        <v>1.1066666666666667</v>
      </c>
      <c r="X202" s="3">
        <f t="shared" si="27"/>
        <v>15</v>
      </c>
      <c r="Y202" s="3" t="e">
        <f t="shared" si="34"/>
        <v>#DIV/0!</v>
      </c>
      <c r="Z202" s="3"/>
      <c r="AA202" s="3"/>
      <c r="AB202" s="3">
        <f t="shared" si="35"/>
        <v>346</v>
      </c>
      <c r="AC202" s="3" t="s">
        <v>82</v>
      </c>
      <c r="AD202" s="3" t="s">
        <v>83</v>
      </c>
      <c r="AE202" s="3">
        <v>40</v>
      </c>
      <c r="AF202" s="3" t="s">
        <v>143</v>
      </c>
      <c r="AG202" s="3" t="s">
        <v>225</v>
      </c>
      <c r="AH202" s="3"/>
    </row>
    <row r="203" spans="1:34" ht="14.25" customHeight="1" x14ac:dyDescent="0.25">
      <c r="A203" s="3" t="s">
        <v>90</v>
      </c>
      <c r="B203" s="3" t="s">
        <v>79</v>
      </c>
      <c r="C203" s="3"/>
      <c r="D203" s="3" t="s">
        <v>80</v>
      </c>
      <c r="E203" s="3">
        <v>2</v>
      </c>
      <c r="F203" s="3">
        <v>1</v>
      </c>
      <c r="G203" s="3" t="s">
        <v>2</v>
      </c>
      <c r="H203" s="11">
        <v>45777</v>
      </c>
      <c r="I203" s="3" t="s">
        <v>142</v>
      </c>
      <c r="J203" s="3">
        <v>6</v>
      </c>
      <c r="K203" s="3">
        <v>5</v>
      </c>
      <c r="L203" s="3">
        <v>5.2</v>
      </c>
      <c r="M203" s="3">
        <v>0</v>
      </c>
      <c r="N203" s="3">
        <v>0</v>
      </c>
      <c r="O203" s="3">
        <f t="shared" si="30"/>
        <v>16.2</v>
      </c>
      <c r="P203" s="3">
        <v>4</v>
      </c>
      <c r="Q203" s="3">
        <v>3</v>
      </c>
      <c r="R203" s="3">
        <v>4</v>
      </c>
      <c r="S203" s="3">
        <v>3</v>
      </c>
      <c r="T203" s="3"/>
      <c r="U203" s="3">
        <f t="shared" si="31"/>
        <v>14</v>
      </c>
      <c r="V203" s="13">
        <f t="shared" si="32"/>
        <v>1.157142857142857</v>
      </c>
      <c r="W203" s="13">
        <f t="shared" si="33"/>
        <v>1.157142857142857</v>
      </c>
      <c r="X203" s="3">
        <f t="shared" si="27"/>
        <v>14</v>
      </c>
      <c r="Y203" s="3" t="e">
        <f t="shared" si="34"/>
        <v>#DIV/0!</v>
      </c>
      <c r="Z203" s="3"/>
      <c r="AA203" s="3"/>
      <c r="AB203" s="3">
        <f t="shared" ref="AB203:AB208" si="36">15*4</f>
        <v>60</v>
      </c>
      <c r="AC203" s="3" t="s">
        <v>82</v>
      </c>
      <c r="AD203" s="3" t="s">
        <v>83</v>
      </c>
      <c r="AE203" s="3">
        <v>15</v>
      </c>
      <c r="AF203" s="3" t="s">
        <v>143</v>
      </c>
      <c r="AG203" s="3" t="s">
        <v>226</v>
      </c>
      <c r="AH203" s="3"/>
    </row>
    <row r="204" spans="1:34" ht="14.25" customHeight="1" x14ac:dyDescent="0.25">
      <c r="A204" s="3" t="s">
        <v>90</v>
      </c>
      <c r="B204" s="3" t="s">
        <v>79</v>
      </c>
      <c r="C204" s="3"/>
      <c r="D204" s="3" t="s">
        <v>80</v>
      </c>
      <c r="E204" s="3">
        <v>2</v>
      </c>
      <c r="F204" s="3">
        <v>1</v>
      </c>
      <c r="G204" s="3" t="s">
        <v>14</v>
      </c>
      <c r="H204" s="11">
        <v>45777</v>
      </c>
      <c r="I204" s="3" t="s">
        <v>142</v>
      </c>
      <c r="J204" s="3">
        <f>4+4.3</f>
        <v>8.3000000000000007</v>
      </c>
      <c r="K204" s="3">
        <v>3</v>
      </c>
      <c r="L204" s="3">
        <f>5.5+8</f>
        <v>13.5</v>
      </c>
      <c r="M204" s="3">
        <v>1.8</v>
      </c>
      <c r="N204" s="3">
        <v>0</v>
      </c>
      <c r="O204" s="3">
        <f t="shared" si="30"/>
        <v>26.6</v>
      </c>
      <c r="P204" s="3">
        <v>4</v>
      </c>
      <c r="Q204" s="3">
        <v>3</v>
      </c>
      <c r="R204" s="3">
        <v>4</v>
      </c>
      <c r="S204" s="3">
        <v>3</v>
      </c>
      <c r="T204" s="3"/>
      <c r="U204" s="3">
        <f t="shared" si="31"/>
        <v>14</v>
      </c>
      <c r="V204" s="13">
        <f t="shared" si="32"/>
        <v>1.9000000000000001</v>
      </c>
      <c r="W204" s="13">
        <f t="shared" si="33"/>
        <v>1.9000000000000001</v>
      </c>
      <c r="X204" s="3">
        <f t="shared" si="27"/>
        <v>14</v>
      </c>
      <c r="Y204" s="3" t="e">
        <f t="shared" si="34"/>
        <v>#DIV/0!</v>
      </c>
      <c r="Z204" s="3"/>
      <c r="AA204" s="3"/>
      <c r="AB204" s="3">
        <f t="shared" si="36"/>
        <v>60</v>
      </c>
      <c r="AC204" s="3" t="s">
        <v>82</v>
      </c>
      <c r="AD204" s="3" t="s">
        <v>83</v>
      </c>
      <c r="AE204" s="3">
        <v>15</v>
      </c>
      <c r="AF204" s="3" t="s">
        <v>143</v>
      </c>
      <c r="AG204" s="3" t="s">
        <v>226</v>
      </c>
      <c r="AH204" s="3"/>
    </row>
    <row r="205" spans="1:34" ht="14.25" customHeight="1" x14ac:dyDescent="0.25">
      <c r="A205" s="3" t="s">
        <v>90</v>
      </c>
      <c r="B205" s="3" t="s">
        <v>79</v>
      </c>
      <c r="C205" s="3"/>
      <c r="D205" s="3" t="s">
        <v>80</v>
      </c>
      <c r="E205" s="3">
        <v>2</v>
      </c>
      <c r="F205" s="3">
        <v>1</v>
      </c>
      <c r="G205" s="3" t="s">
        <v>16</v>
      </c>
      <c r="H205" s="11">
        <v>45777</v>
      </c>
      <c r="I205" s="3" t="s">
        <v>142</v>
      </c>
      <c r="J205" s="3">
        <v>2.2000000000000002</v>
      </c>
      <c r="K205" s="3">
        <v>3.8</v>
      </c>
      <c r="L205" s="3"/>
      <c r="M205" s="3">
        <v>4.2</v>
      </c>
      <c r="N205" s="3">
        <v>0</v>
      </c>
      <c r="O205" s="3">
        <f t="shared" si="30"/>
        <v>10.199999999999999</v>
      </c>
      <c r="P205" s="3">
        <v>4</v>
      </c>
      <c r="Q205" s="3">
        <v>3</v>
      </c>
      <c r="R205" s="3">
        <v>4</v>
      </c>
      <c r="S205" s="3">
        <v>3</v>
      </c>
      <c r="T205" s="3"/>
      <c r="U205" s="3">
        <f t="shared" si="31"/>
        <v>14</v>
      </c>
      <c r="V205" s="13">
        <f t="shared" si="32"/>
        <v>0.72857142857142854</v>
      </c>
      <c r="W205" s="13">
        <f t="shared" si="33"/>
        <v>0.72857142857142854</v>
      </c>
      <c r="X205" s="3">
        <f t="shared" si="27"/>
        <v>14</v>
      </c>
      <c r="Y205" s="3" t="e">
        <f t="shared" si="34"/>
        <v>#DIV/0!</v>
      </c>
      <c r="Z205" s="3"/>
      <c r="AA205" s="3"/>
      <c r="AB205" s="3">
        <f t="shared" si="36"/>
        <v>60</v>
      </c>
      <c r="AC205" s="3" t="s">
        <v>82</v>
      </c>
      <c r="AD205" s="3" t="s">
        <v>83</v>
      </c>
      <c r="AE205" s="3">
        <v>15</v>
      </c>
      <c r="AF205" s="3" t="s">
        <v>143</v>
      </c>
      <c r="AG205" s="3" t="s">
        <v>226</v>
      </c>
      <c r="AH205" s="3"/>
    </row>
    <row r="206" spans="1:34" ht="14.25" customHeight="1" x14ac:dyDescent="0.25">
      <c r="A206" s="3" t="s">
        <v>90</v>
      </c>
      <c r="B206" s="3" t="s">
        <v>79</v>
      </c>
      <c r="C206" s="3"/>
      <c r="D206" s="3" t="s">
        <v>80</v>
      </c>
      <c r="E206" s="3">
        <v>2</v>
      </c>
      <c r="F206" s="3">
        <v>1</v>
      </c>
      <c r="G206" s="3" t="s">
        <v>18</v>
      </c>
      <c r="H206" s="11">
        <v>45777</v>
      </c>
      <c r="I206" s="3" t="s">
        <v>142</v>
      </c>
      <c r="J206" s="3">
        <v>6</v>
      </c>
      <c r="K206" s="3">
        <v>2.5</v>
      </c>
      <c r="L206" s="3">
        <v>4.2</v>
      </c>
      <c r="M206" s="3">
        <v>4.8</v>
      </c>
      <c r="N206" s="3">
        <v>0</v>
      </c>
      <c r="O206" s="3">
        <f t="shared" si="30"/>
        <v>17.5</v>
      </c>
      <c r="P206" s="3">
        <v>4</v>
      </c>
      <c r="Q206" s="3">
        <v>3</v>
      </c>
      <c r="R206" s="3">
        <v>4</v>
      </c>
      <c r="S206" s="3">
        <v>3</v>
      </c>
      <c r="T206" s="3"/>
      <c r="U206" s="3">
        <f t="shared" si="31"/>
        <v>14</v>
      </c>
      <c r="V206" s="13">
        <f t="shared" si="32"/>
        <v>1.25</v>
      </c>
      <c r="W206" s="13">
        <f t="shared" si="33"/>
        <v>1.25</v>
      </c>
      <c r="X206" s="3">
        <f t="shared" si="27"/>
        <v>14</v>
      </c>
      <c r="Y206" s="3" t="e">
        <f t="shared" si="34"/>
        <v>#DIV/0!</v>
      </c>
      <c r="Z206" s="3"/>
      <c r="AA206" s="3"/>
      <c r="AB206" s="3">
        <f t="shared" si="36"/>
        <v>60</v>
      </c>
      <c r="AC206" s="3" t="s">
        <v>82</v>
      </c>
      <c r="AD206" s="3" t="s">
        <v>83</v>
      </c>
      <c r="AE206" s="3">
        <v>15</v>
      </c>
      <c r="AF206" s="3" t="s">
        <v>143</v>
      </c>
      <c r="AG206" s="3" t="s">
        <v>226</v>
      </c>
      <c r="AH206" s="3"/>
    </row>
    <row r="207" spans="1:34" ht="14.25" customHeight="1" x14ac:dyDescent="0.25">
      <c r="A207" s="3" t="s">
        <v>90</v>
      </c>
      <c r="B207" s="3" t="s">
        <v>79</v>
      </c>
      <c r="C207" s="3"/>
      <c r="D207" s="3" t="s">
        <v>80</v>
      </c>
      <c r="E207" s="3">
        <v>2</v>
      </c>
      <c r="F207" s="3">
        <v>1</v>
      </c>
      <c r="G207" s="3" t="s">
        <v>25</v>
      </c>
      <c r="H207" s="11">
        <v>45777</v>
      </c>
      <c r="I207" s="3" t="s">
        <v>142</v>
      </c>
      <c r="J207" s="3">
        <v>11.2</v>
      </c>
      <c r="K207" s="3"/>
      <c r="L207" s="3">
        <v>9.3000000000000007</v>
      </c>
      <c r="M207" s="3">
        <v>11.5</v>
      </c>
      <c r="N207" s="3">
        <v>0</v>
      </c>
      <c r="O207" s="3">
        <f t="shared" si="30"/>
        <v>32</v>
      </c>
      <c r="P207" s="3">
        <v>4</v>
      </c>
      <c r="Q207" s="3">
        <v>3</v>
      </c>
      <c r="R207" s="3">
        <v>4</v>
      </c>
      <c r="S207" s="3">
        <v>3</v>
      </c>
      <c r="T207" s="3"/>
      <c r="U207" s="3">
        <f t="shared" si="31"/>
        <v>14</v>
      </c>
      <c r="V207" s="13">
        <f t="shared" si="32"/>
        <v>2.2857142857142856</v>
      </c>
      <c r="W207" s="13">
        <f t="shared" si="33"/>
        <v>2.2857142857142856</v>
      </c>
      <c r="X207" s="3">
        <f t="shared" si="27"/>
        <v>14</v>
      </c>
      <c r="Y207" s="3" t="e">
        <f t="shared" si="34"/>
        <v>#DIV/0!</v>
      </c>
      <c r="Z207" s="3"/>
      <c r="AA207" s="3"/>
      <c r="AB207" s="3">
        <f t="shared" si="36"/>
        <v>60</v>
      </c>
      <c r="AC207" s="3" t="s">
        <v>82</v>
      </c>
      <c r="AD207" s="3" t="s">
        <v>83</v>
      </c>
      <c r="AE207" s="3">
        <v>15</v>
      </c>
      <c r="AF207" s="3" t="s">
        <v>143</v>
      </c>
      <c r="AG207" s="3" t="s">
        <v>226</v>
      </c>
      <c r="AH207" s="3"/>
    </row>
    <row r="208" spans="1:34" ht="14.25" customHeight="1" x14ac:dyDescent="0.25">
      <c r="A208" s="3" t="s">
        <v>90</v>
      </c>
      <c r="B208" s="3" t="s">
        <v>79</v>
      </c>
      <c r="C208" s="3"/>
      <c r="D208" s="3" t="s">
        <v>80</v>
      </c>
      <c r="E208" s="3">
        <v>2</v>
      </c>
      <c r="F208" s="3">
        <v>1</v>
      </c>
      <c r="G208" s="3" t="s">
        <v>22</v>
      </c>
      <c r="H208" s="11">
        <v>45777</v>
      </c>
      <c r="I208" s="3" t="s">
        <v>142</v>
      </c>
      <c r="J208" s="3">
        <v>0</v>
      </c>
      <c r="K208" s="3">
        <v>4.8</v>
      </c>
      <c r="L208" s="3">
        <v>0</v>
      </c>
      <c r="M208" s="3">
        <v>0</v>
      </c>
      <c r="N208" s="3">
        <v>0</v>
      </c>
      <c r="O208" s="3">
        <f t="shared" si="30"/>
        <v>4.8</v>
      </c>
      <c r="P208" s="3">
        <v>4</v>
      </c>
      <c r="Q208" s="3">
        <v>3</v>
      </c>
      <c r="R208" s="3">
        <v>4</v>
      </c>
      <c r="S208" s="3">
        <v>3</v>
      </c>
      <c r="T208" s="3"/>
      <c r="U208" s="3">
        <f t="shared" si="31"/>
        <v>14</v>
      </c>
      <c r="V208" s="13">
        <f t="shared" si="32"/>
        <v>0.34285714285714286</v>
      </c>
      <c r="W208" s="13">
        <f t="shared" si="33"/>
        <v>0.34285714285714286</v>
      </c>
      <c r="X208" s="3">
        <f t="shared" si="27"/>
        <v>14</v>
      </c>
      <c r="Y208" s="3" t="e">
        <f t="shared" si="34"/>
        <v>#DIV/0!</v>
      </c>
      <c r="Z208" s="3"/>
      <c r="AA208" s="3"/>
      <c r="AB208" s="3">
        <f t="shared" si="36"/>
        <v>60</v>
      </c>
      <c r="AC208" s="3" t="s">
        <v>82</v>
      </c>
      <c r="AD208" s="3" t="s">
        <v>83</v>
      </c>
      <c r="AE208" s="3">
        <v>15</v>
      </c>
      <c r="AF208" s="3" t="s">
        <v>143</v>
      </c>
      <c r="AG208" s="3" t="s">
        <v>226</v>
      </c>
      <c r="AH208" s="3"/>
    </row>
    <row r="209" spans="1:34" ht="14.25" customHeight="1" x14ac:dyDescent="0.25">
      <c r="A209" s="3" t="s">
        <v>91</v>
      </c>
      <c r="B209" s="3" t="s">
        <v>79</v>
      </c>
      <c r="C209" s="3"/>
      <c r="D209" s="3" t="s">
        <v>80</v>
      </c>
      <c r="E209" s="3">
        <v>2</v>
      </c>
      <c r="F209" s="3">
        <v>1</v>
      </c>
      <c r="G209" s="3" t="s">
        <v>1</v>
      </c>
      <c r="H209" s="11">
        <v>45777</v>
      </c>
      <c r="I209" s="3" t="s">
        <v>142</v>
      </c>
      <c r="J209" s="3">
        <f>3+2.8+6.7+9</f>
        <v>21.5</v>
      </c>
      <c r="K209" s="3">
        <f>7+4.3+5.8</f>
        <v>17.100000000000001</v>
      </c>
      <c r="L209" s="3">
        <f>7+4.5</f>
        <v>11.5</v>
      </c>
      <c r="M209" s="3">
        <f>2.4+6.3+11+9.8</f>
        <v>29.5</v>
      </c>
      <c r="N209" s="3">
        <v>0</v>
      </c>
      <c r="O209" s="3">
        <f t="shared" si="30"/>
        <v>79.599999999999994</v>
      </c>
      <c r="P209" s="3">
        <v>4</v>
      </c>
      <c r="Q209" s="3">
        <v>3</v>
      </c>
      <c r="R209" s="3">
        <v>2</v>
      </c>
      <c r="S209" s="3">
        <v>4</v>
      </c>
      <c r="T209" s="3"/>
      <c r="U209" s="3">
        <f t="shared" si="31"/>
        <v>13</v>
      </c>
      <c r="V209" s="13">
        <f t="shared" si="32"/>
        <v>6.1230769230769226</v>
      </c>
      <c r="W209" s="13">
        <f t="shared" si="33"/>
        <v>6.1230769230769226</v>
      </c>
      <c r="X209" s="3">
        <f t="shared" si="27"/>
        <v>13</v>
      </c>
      <c r="Y209" s="3" t="e">
        <f t="shared" si="34"/>
        <v>#DIV/0!</v>
      </c>
      <c r="Z209" s="3"/>
      <c r="AA209" s="3"/>
      <c r="AB209" s="3">
        <f t="shared" ref="AB209:AB210" si="37">30*7</f>
        <v>210</v>
      </c>
      <c r="AC209" s="3" t="s">
        <v>92</v>
      </c>
      <c r="AD209" s="3" t="s">
        <v>88</v>
      </c>
      <c r="AE209" s="3">
        <v>90</v>
      </c>
      <c r="AF209" s="3" t="s">
        <v>143</v>
      </c>
      <c r="AG209" s="3" t="s">
        <v>227</v>
      </c>
      <c r="AH209" s="3"/>
    </row>
    <row r="210" spans="1:34" ht="14.25" customHeight="1" x14ac:dyDescent="0.25">
      <c r="A210" s="3" t="s">
        <v>91</v>
      </c>
      <c r="B210" s="3" t="s">
        <v>79</v>
      </c>
      <c r="C210" s="3"/>
      <c r="D210" s="3" t="s">
        <v>80</v>
      </c>
      <c r="E210" s="3">
        <v>2</v>
      </c>
      <c r="F210" s="3">
        <v>1</v>
      </c>
      <c r="G210" s="3" t="s">
        <v>19</v>
      </c>
      <c r="H210" s="11">
        <v>45777</v>
      </c>
      <c r="I210" s="3" t="s">
        <v>142</v>
      </c>
      <c r="J210" s="3">
        <f>5.8+8+5</f>
        <v>18.8</v>
      </c>
      <c r="K210" s="3">
        <f>6.3+10+5</f>
        <v>21.3</v>
      </c>
      <c r="L210" s="3">
        <f>3.6+6.7</f>
        <v>10.3</v>
      </c>
      <c r="M210" s="3">
        <f>4.7+6.7+8+3.8</f>
        <v>23.2</v>
      </c>
      <c r="N210" s="3">
        <v>0</v>
      </c>
      <c r="O210" s="3">
        <f t="shared" si="30"/>
        <v>73.600000000000009</v>
      </c>
      <c r="P210" s="3">
        <v>4</v>
      </c>
      <c r="Q210" s="3">
        <v>3</v>
      </c>
      <c r="R210" s="3">
        <v>2</v>
      </c>
      <c r="S210" s="3">
        <v>4</v>
      </c>
      <c r="T210" s="3"/>
      <c r="U210" s="3">
        <f t="shared" si="31"/>
        <v>13</v>
      </c>
      <c r="V210" s="13">
        <f t="shared" si="32"/>
        <v>5.6615384615384619</v>
      </c>
      <c r="W210" s="13">
        <f t="shared" si="33"/>
        <v>5.6615384615384619</v>
      </c>
      <c r="X210" s="3">
        <f t="shared" si="27"/>
        <v>13</v>
      </c>
      <c r="Y210" s="3" t="e">
        <f t="shared" si="34"/>
        <v>#DIV/0!</v>
      </c>
      <c r="Z210" s="3"/>
      <c r="AA210" s="3"/>
      <c r="AB210" s="3">
        <f t="shared" si="37"/>
        <v>210</v>
      </c>
      <c r="AC210" s="3" t="s">
        <v>92</v>
      </c>
      <c r="AD210" s="3" t="s">
        <v>88</v>
      </c>
      <c r="AE210" s="3">
        <v>90</v>
      </c>
      <c r="AF210" s="3" t="s">
        <v>143</v>
      </c>
      <c r="AG210" s="3" t="s">
        <v>227</v>
      </c>
      <c r="AH210" s="3"/>
    </row>
    <row r="211" spans="1:34" ht="14.25" customHeight="1" x14ac:dyDescent="0.25">
      <c r="A211" s="3" t="s">
        <v>144</v>
      </c>
      <c r="B211" s="3" t="s">
        <v>79</v>
      </c>
      <c r="C211" s="3"/>
      <c r="D211" s="3" t="s">
        <v>80</v>
      </c>
      <c r="E211" s="3">
        <v>1</v>
      </c>
      <c r="F211" s="3">
        <v>1</v>
      </c>
      <c r="G211" s="3" t="s">
        <v>14</v>
      </c>
      <c r="H211" s="11">
        <v>45777</v>
      </c>
      <c r="I211" s="3" t="s">
        <v>142</v>
      </c>
      <c r="J211" s="3">
        <v>3.5</v>
      </c>
      <c r="K211" s="3"/>
      <c r="L211" s="3">
        <v>6</v>
      </c>
      <c r="M211" s="3">
        <f>2.2+1.7</f>
        <v>3.9000000000000004</v>
      </c>
      <c r="N211" s="3">
        <v>0</v>
      </c>
      <c r="O211" s="3">
        <f t="shared" si="30"/>
        <v>13.4</v>
      </c>
      <c r="P211" s="3">
        <v>3</v>
      </c>
      <c r="Q211" s="3">
        <v>3</v>
      </c>
      <c r="R211" s="3">
        <v>2</v>
      </c>
      <c r="S211" s="3">
        <v>2</v>
      </c>
      <c r="T211" s="3"/>
      <c r="U211" s="3">
        <f t="shared" si="31"/>
        <v>10</v>
      </c>
      <c r="V211" s="13">
        <f t="shared" si="32"/>
        <v>1.34</v>
      </c>
      <c r="W211" s="13">
        <f t="shared" si="33"/>
        <v>1.34</v>
      </c>
      <c r="X211" s="3">
        <f t="shared" si="27"/>
        <v>10</v>
      </c>
      <c r="Y211" s="3" t="e">
        <f t="shared" si="34"/>
        <v>#DIV/0!</v>
      </c>
      <c r="Z211" s="3"/>
      <c r="AA211" s="3"/>
      <c r="AB211" s="3"/>
      <c r="AC211" s="3" t="s">
        <v>82</v>
      </c>
      <c r="AD211" s="3" t="s">
        <v>83</v>
      </c>
      <c r="AE211" s="3">
        <v>15</v>
      </c>
      <c r="AF211" s="3" t="s">
        <v>143</v>
      </c>
      <c r="AG211" s="3" t="s">
        <v>173</v>
      </c>
      <c r="AH211" s="3"/>
    </row>
    <row r="212" spans="1:34" ht="14.25" customHeight="1" x14ac:dyDescent="0.25">
      <c r="A212" s="3" t="s">
        <v>144</v>
      </c>
      <c r="B212" s="3" t="s">
        <v>79</v>
      </c>
      <c r="C212" s="3"/>
      <c r="D212" s="3" t="s">
        <v>80</v>
      </c>
      <c r="E212" s="3">
        <v>1</v>
      </c>
      <c r="F212" s="3">
        <v>1</v>
      </c>
      <c r="G212" s="3" t="s">
        <v>16</v>
      </c>
      <c r="H212" s="11">
        <v>45777</v>
      </c>
      <c r="I212" s="3" t="s">
        <v>142</v>
      </c>
      <c r="J212" s="3">
        <v>4.8</v>
      </c>
      <c r="K212" s="3">
        <v>3.4</v>
      </c>
      <c r="L212" s="3">
        <v>3.8</v>
      </c>
      <c r="M212" s="3">
        <v>5.4</v>
      </c>
      <c r="N212" s="3">
        <v>0</v>
      </c>
      <c r="O212" s="3">
        <f t="shared" si="30"/>
        <v>17.399999999999999</v>
      </c>
      <c r="P212" s="3">
        <v>3</v>
      </c>
      <c r="Q212" s="3">
        <v>3</v>
      </c>
      <c r="R212" s="3">
        <v>2</v>
      </c>
      <c r="S212" s="3">
        <v>2</v>
      </c>
      <c r="T212" s="3"/>
      <c r="U212" s="3">
        <f t="shared" si="31"/>
        <v>10</v>
      </c>
      <c r="V212" s="13">
        <f t="shared" si="32"/>
        <v>1.7399999999999998</v>
      </c>
      <c r="W212" s="13">
        <f t="shared" si="33"/>
        <v>1.7399999999999998</v>
      </c>
      <c r="X212" s="3">
        <f t="shared" si="27"/>
        <v>10</v>
      </c>
      <c r="Y212" s="3" t="e">
        <f t="shared" si="34"/>
        <v>#DIV/0!</v>
      </c>
      <c r="Z212" s="3"/>
      <c r="AA212" s="3"/>
      <c r="AB212" s="3"/>
      <c r="AC212" s="3" t="s">
        <v>82</v>
      </c>
      <c r="AD212" s="3" t="s">
        <v>83</v>
      </c>
      <c r="AE212" s="3">
        <v>15</v>
      </c>
      <c r="AF212" s="3" t="s">
        <v>143</v>
      </c>
      <c r="AG212" s="3" t="s">
        <v>173</v>
      </c>
      <c r="AH212" s="3"/>
    </row>
    <row r="213" spans="1:34" ht="14.25" customHeight="1" x14ac:dyDescent="0.25">
      <c r="A213" s="3" t="s">
        <v>144</v>
      </c>
      <c r="B213" s="3" t="s">
        <v>79</v>
      </c>
      <c r="C213" s="3"/>
      <c r="D213" s="3" t="s">
        <v>80</v>
      </c>
      <c r="E213" s="3">
        <v>1</v>
      </c>
      <c r="F213" s="3">
        <v>1</v>
      </c>
      <c r="G213" s="3" t="s">
        <v>18</v>
      </c>
      <c r="H213" s="11">
        <v>45777</v>
      </c>
      <c r="I213" s="3" t="s">
        <v>142</v>
      </c>
      <c r="J213" s="3">
        <v>6</v>
      </c>
      <c r="K213" s="3">
        <f>4+3.5</f>
        <v>7.5</v>
      </c>
      <c r="L213" s="3">
        <f>5.8+4.3</f>
        <v>10.1</v>
      </c>
      <c r="M213" s="3">
        <f>7.5+3.7</f>
        <v>11.2</v>
      </c>
      <c r="N213" s="3">
        <v>0</v>
      </c>
      <c r="O213" s="3">
        <f t="shared" si="30"/>
        <v>34.799999999999997</v>
      </c>
      <c r="P213" s="3">
        <v>3</v>
      </c>
      <c r="Q213" s="3">
        <v>3</v>
      </c>
      <c r="R213" s="3">
        <v>2</v>
      </c>
      <c r="S213" s="3">
        <v>2</v>
      </c>
      <c r="T213" s="3"/>
      <c r="U213" s="3">
        <f t="shared" si="31"/>
        <v>10</v>
      </c>
      <c r="V213" s="13">
        <f t="shared" si="32"/>
        <v>3.4799999999999995</v>
      </c>
      <c r="W213" s="13">
        <f t="shared" si="33"/>
        <v>3.4799999999999995</v>
      </c>
      <c r="X213" s="3">
        <f t="shared" si="27"/>
        <v>10</v>
      </c>
      <c r="Y213" s="3" t="e">
        <f t="shared" si="34"/>
        <v>#DIV/0!</v>
      </c>
      <c r="Z213" s="3"/>
      <c r="AA213" s="3"/>
      <c r="AB213" s="3"/>
      <c r="AC213" s="3" t="s">
        <v>82</v>
      </c>
      <c r="AD213" s="3" t="s">
        <v>83</v>
      </c>
      <c r="AE213" s="3">
        <v>15</v>
      </c>
      <c r="AF213" s="3" t="s">
        <v>143</v>
      </c>
      <c r="AG213" s="3" t="s">
        <v>173</v>
      </c>
      <c r="AH213" s="3"/>
    </row>
    <row r="214" spans="1:34" ht="14.25" customHeight="1" x14ac:dyDescent="0.25">
      <c r="A214" s="3" t="s">
        <v>144</v>
      </c>
      <c r="B214" s="3" t="s">
        <v>79</v>
      </c>
      <c r="C214" s="3"/>
      <c r="D214" s="3" t="s">
        <v>80</v>
      </c>
      <c r="E214" s="3">
        <v>1</v>
      </c>
      <c r="F214" s="3">
        <v>1</v>
      </c>
      <c r="G214" s="3" t="s">
        <v>25</v>
      </c>
      <c r="H214" s="11">
        <v>45777</v>
      </c>
      <c r="I214" s="3" t="s">
        <v>142</v>
      </c>
      <c r="J214" s="3">
        <v>0</v>
      </c>
      <c r="K214" s="3">
        <v>8.8000000000000007</v>
      </c>
      <c r="L214" s="3">
        <v>0</v>
      </c>
      <c r="M214" s="3">
        <v>0</v>
      </c>
      <c r="N214" s="3">
        <v>0</v>
      </c>
      <c r="O214" s="3">
        <f t="shared" si="30"/>
        <v>8.8000000000000007</v>
      </c>
      <c r="P214" s="3">
        <v>3</v>
      </c>
      <c r="Q214" s="3">
        <v>3</v>
      </c>
      <c r="R214" s="3">
        <v>2</v>
      </c>
      <c r="S214" s="3">
        <v>2</v>
      </c>
      <c r="T214" s="3"/>
      <c r="U214" s="3">
        <f t="shared" si="31"/>
        <v>10</v>
      </c>
      <c r="V214" s="13">
        <f t="shared" si="32"/>
        <v>0.88000000000000012</v>
      </c>
      <c r="W214" s="13">
        <f t="shared" si="33"/>
        <v>0.88000000000000012</v>
      </c>
      <c r="X214" s="3">
        <f t="shared" si="27"/>
        <v>10</v>
      </c>
      <c r="Y214" s="3" t="e">
        <f t="shared" si="34"/>
        <v>#DIV/0!</v>
      </c>
      <c r="Z214" s="3"/>
      <c r="AA214" s="3"/>
      <c r="AB214" s="3"/>
      <c r="AC214" s="3" t="s">
        <v>82</v>
      </c>
      <c r="AD214" s="3" t="s">
        <v>83</v>
      </c>
      <c r="AE214" s="3">
        <v>15</v>
      </c>
      <c r="AF214" s="3" t="s">
        <v>143</v>
      </c>
      <c r="AG214" s="3" t="s">
        <v>173</v>
      </c>
      <c r="AH214" s="3"/>
    </row>
    <row r="215" spans="1:34" ht="14.25" customHeight="1" x14ac:dyDescent="0.25">
      <c r="A215" s="3" t="s">
        <v>145</v>
      </c>
      <c r="B215" s="3" t="s">
        <v>79</v>
      </c>
      <c r="C215" s="3"/>
      <c r="D215" s="3" t="s">
        <v>80</v>
      </c>
      <c r="E215" s="3">
        <v>1</v>
      </c>
      <c r="F215" s="3">
        <v>1</v>
      </c>
      <c r="G215" s="3" t="s">
        <v>3</v>
      </c>
      <c r="H215" s="11">
        <v>45777</v>
      </c>
      <c r="I215" s="3" t="s">
        <v>142</v>
      </c>
      <c r="J215" s="3">
        <f>6+13+18</f>
        <v>37</v>
      </c>
      <c r="K215" s="3">
        <f>8+10.5+9</f>
        <v>27.5</v>
      </c>
      <c r="L215" s="3">
        <v>4.8</v>
      </c>
      <c r="M215" s="3">
        <f>9+6+16+9.8+3.4</f>
        <v>44.199999999999996</v>
      </c>
      <c r="N215" s="3">
        <v>4.2</v>
      </c>
      <c r="O215" s="3">
        <f t="shared" si="30"/>
        <v>117.7</v>
      </c>
      <c r="P215" s="3">
        <v>4</v>
      </c>
      <c r="Q215" s="3">
        <v>5</v>
      </c>
      <c r="R215" s="3">
        <v>2</v>
      </c>
      <c r="S215" s="3">
        <v>6</v>
      </c>
      <c r="T215" s="3">
        <v>1</v>
      </c>
      <c r="U215" s="3">
        <f t="shared" si="31"/>
        <v>18</v>
      </c>
      <c r="V215" s="13">
        <f t="shared" si="32"/>
        <v>6.5388888888888888</v>
      </c>
      <c r="W215" s="13">
        <f t="shared" si="33"/>
        <v>6.5388888888888888</v>
      </c>
      <c r="X215" s="3">
        <f t="shared" si="27"/>
        <v>18</v>
      </c>
      <c r="Y215" s="3">
        <f t="shared" si="34"/>
        <v>1.9368746708794099E-2</v>
      </c>
      <c r="Z215" s="3"/>
      <c r="AA215" s="3">
        <f t="shared" ref="AA215:AA219" si="38">12*1.8*6+40*2.6*2</f>
        <v>337.6</v>
      </c>
      <c r="AB215" s="3">
        <v>45</v>
      </c>
      <c r="AC215" s="3"/>
      <c r="AD215" s="3"/>
      <c r="AE215" s="3"/>
      <c r="AF215" s="3" t="s">
        <v>143</v>
      </c>
      <c r="AG215" s="3" t="s">
        <v>314</v>
      </c>
      <c r="AH215" s="3"/>
    </row>
    <row r="216" spans="1:34" ht="14.25" customHeight="1" x14ac:dyDescent="0.25">
      <c r="A216" s="3" t="s">
        <v>145</v>
      </c>
      <c r="B216" s="3" t="s">
        <v>79</v>
      </c>
      <c r="C216" s="3"/>
      <c r="D216" s="3" t="s">
        <v>80</v>
      </c>
      <c r="E216" s="3">
        <v>1</v>
      </c>
      <c r="F216" s="3">
        <v>1</v>
      </c>
      <c r="G216" s="3" t="s">
        <v>12</v>
      </c>
      <c r="H216" s="11">
        <v>45777</v>
      </c>
      <c r="I216" s="3" t="s">
        <v>142</v>
      </c>
      <c r="J216" s="3">
        <v>2.2000000000000002</v>
      </c>
      <c r="K216" s="3">
        <v>0</v>
      </c>
      <c r="L216" s="3">
        <v>0</v>
      </c>
      <c r="M216" s="3">
        <v>0</v>
      </c>
      <c r="N216" s="3">
        <v>0</v>
      </c>
      <c r="O216" s="3">
        <f t="shared" si="30"/>
        <v>2.2000000000000002</v>
      </c>
      <c r="P216" s="3">
        <v>4</v>
      </c>
      <c r="Q216" s="3">
        <v>5</v>
      </c>
      <c r="R216" s="3">
        <v>2</v>
      </c>
      <c r="S216" s="3">
        <v>6</v>
      </c>
      <c r="T216" s="3">
        <v>1</v>
      </c>
      <c r="U216" s="3">
        <f t="shared" si="31"/>
        <v>18</v>
      </c>
      <c r="V216" s="13">
        <f t="shared" si="32"/>
        <v>0.12222222222222223</v>
      </c>
      <c r="W216" s="13">
        <f t="shared" si="33"/>
        <v>0.12222222222222223</v>
      </c>
      <c r="X216" s="3">
        <f t="shared" si="27"/>
        <v>18</v>
      </c>
      <c r="Y216" s="3">
        <f t="shared" si="34"/>
        <v>3.6203264876250659E-4</v>
      </c>
      <c r="Z216" s="3"/>
      <c r="AA216" s="3">
        <f t="shared" si="38"/>
        <v>337.6</v>
      </c>
      <c r="AB216" s="3">
        <v>45</v>
      </c>
      <c r="AC216" s="3"/>
      <c r="AD216" s="3"/>
      <c r="AE216" s="3"/>
      <c r="AF216" s="3" t="s">
        <v>143</v>
      </c>
      <c r="AG216" s="3" t="s">
        <v>314</v>
      </c>
      <c r="AH216" s="3"/>
    </row>
    <row r="217" spans="1:34" ht="14.25" customHeight="1" x14ac:dyDescent="0.25">
      <c r="A217" s="3" t="s">
        <v>145</v>
      </c>
      <c r="B217" s="3" t="s">
        <v>79</v>
      </c>
      <c r="C217" s="3"/>
      <c r="D217" s="3" t="s">
        <v>80</v>
      </c>
      <c r="E217" s="3">
        <v>1</v>
      </c>
      <c r="F217" s="3">
        <v>1</v>
      </c>
      <c r="G217" s="3" t="s">
        <v>14</v>
      </c>
      <c r="H217" s="11">
        <v>45777</v>
      </c>
      <c r="I217" s="3" t="s">
        <v>142</v>
      </c>
      <c r="J217" s="3">
        <v>0</v>
      </c>
      <c r="K217" s="3">
        <f>6+3.8</f>
        <v>9.8000000000000007</v>
      </c>
      <c r="L217" s="3">
        <v>7</v>
      </c>
      <c r="M217" s="3">
        <f>2.2+4.5</f>
        <v>6.7</v>
      </c>
      <c r="N217" s="3">
        <v>0</v>
      </c>
      <c r="O217" s="3">
        <f t="shared" si="30"/>
        <v>23.5</v>
      </c>
      <c r="P217" s="3">
        <v>4</v>
      </c>
      <c r="Q217" s="3">
        <v>5</v>
      </c>
      <c r="R217" s="3">
        <v>2</v>
      </c>
      <c r="S217" s="3">
        <v>6</v>
      </c>
      <c r="T217" s="3">
        <v>1</v>
      </c>
      <c r="U217" s="3">
        <f t="shared" si="31"/>
        <v>18</v>
      </c>
      <c r="V217" s="13">
        <f t="shared" si="32"/>
        <v>1.3055555555555556</v>
      </c>
      <c r="W217" s="13">
        <f t="shared" si="33"/>
        <v>1.3055555555555556</v>
      </c>
      <c r="X217" s="3">
        <f t="shared" si="27"/>
        <v>18</v>
      </c>
      <c r="Y217" s="3">
        <f t="shared" si="34"/>
        <v>3.8671669299631382E-3</v>
      </c>
      <c r="Z217" s="3"/>
      <c r="AA217" s="3">
        <f t="shared" si="38"/>
        <v>337.6</v>
      </c>
      <c r="AB217" s="3">
        <v>45</v>
      </c>
      <c r="AC217" s="3"/>
      <c r="AD217" s="3"/>
      <c r="AE217" s="3"/>
      <c r="AF217" s="3" t="s">
        <v>143</v>
      </c>
      <c r="AG217" s="3" t="s">
        <v>314</v>
      </c>
      <c r="AH217" s="3"/>
    </row>
    <row r="218" spans="1:34" ht="14.25" customHeight="1" x14ac:dyDescent="0.25">
      <c r="A218" s="3" t="s">
        <v>145</v>
      </c>
      <c r="B218" s="3" t="s">
        <v>79</v>
      </c>
      <c r="C218" s="3"/>
      <c r="D218" s="3" t="s">
        <v>80</v>
      </c>
      <c r="E218" s="3">
        <v>1</v>
      </c>
      <c r="F218" s="3">
        <v>1</v>
      </c>
      <c r="G218" s="3" t="s">
        <v>16</v>
      </c>
      <c r="H218" s="11">
        <v>45777</v>
      </c>
      <c r="I218" s="3" t="s">
        <v>142</v>
      </c>
      <c r="J218" s="3">
        <v>0</v>
      </c>
      <c r="K218" s="3">
        <f>2.3+2.7</f>
        <v>5</v>
      </c>
      <c r="L218" s="3">
        <v>0</v>
      </c>
      <c r="M218" s="3">
        <v>0</v>
      </c>
      <c r="N218" s="3">
        <v>0</v>
      </c>
      <c r="O218" s="3">
        <f t="shared" si="30"/>
        <v>5</v>
      </c>
      <c r="P218" s="3">
        <v>4</v>
      </c>
      <c r="Q218" s="3">
        <v>5</v>
      </c>
      <c r="R218" s="3">
        <v>2</v>
      </c>
      <c r="S218" s="3">
        <v>6</v>
      </c>
      <c r="T218" s="3">
        <v>1</v>
      </c>
      <c r="U218" s="3">
        <f t="shared" si="31"/>
        <v>18</v>
      </c>
      <c r="V218" s="13">
        <f t="shared" si="32"/>
        <v>0.27777777777777779</v>
      </c>
      <c r="W218" s="13">
        <f t="shared" si="33"/>
        <v>0.27777777777777779</v>
      </c>
      <c r="X218" s="3">
        <f t="shared" si="27"/>
        <v>18</v>
      </c>
      <c r="Y218" s="3">
        <f t="shared" si="34"/>
        <v>8.2280147446024221E-4</v>
      </c>
      <c r="Z218" s="3"/>
      <c r="AA218" s="3">
        <f t="shared" si="38"/>
        <v>337.6</v>
      </c>
      <c r="AB218" s="3">
        <v>45</v>
      </c>
      <c r="AC218" s="3"/>
      <c r="AD218" s="3"/>
      <c r="AE218" s="3"/>
      <c r="AF218" s="3" t="s">
        <v>143</v>
      </c>
      <c r="AG218" s="3" t="s">
        <v>314</v>
      </c>
      <c r="AH218" s="3"/>
    </row>
    <row r="219" spans="1:34" ht="14.25" customHeight="1" x14ac:dyDescent="0.25">
      <c r="A219" s="3" t="s">
        <v>145</v>
      </c>
      <c r="B219" s="3" t="s">
        <v>79</v>
      </c>
      <c r="C219" s="3"/>
      <c r="D219" s="3" t="s">
        <v>80</v>
      </c>
      <c r="E219" s="3">
        <v>1</v>
      </c>
      <c r="F219" s="3">
        <v>1</v>
      </c>
      <c r="G219" s="3" t="s">
        <v>18</v>
      </c>
      <c r="H219" s="11">
        <v>45777</v>
      </c>
      <c r="I219" s="3" t="s">
        <v>142</v>
      </c>
      <c r="J219" s="3">
        <v>0</v>
      </c>
      <c r="K219" s="3">
        <v>3</v>
      </c>
      <c r="L219" s="3">
        <v>2.2000000000000002</v>
      </c>
      <c r="M219" s="3">
        <v>0</v>
      </c>
      <c r="N219" s="3">
        <v>0</v>
      </c>
      <c r="O219" s="3">
        <f t="shared" si="30"/>
        <v>5.2</v>
      </c>
      <c r="P219" s="3">
        <v>4</v>
      </c>
      <c r="Q219" s="3">
        <v>5</v>
      </c>
      <c r="R219" s="3">
        <v>2</v>
      </c>
      <c r="S219" s="3">
        <v>6</v>
      </c>
      <c r="T219" s="3">
        <v>1</v>
      </c>
      <c r="U219" s="3">
        <f t="shared" si="31"/>
        <v>18</v>
      </c>
      <c r="V219" s="13">
        <f t="shared" si="32"/>
        <v>0.28888888888888892</v>
      </c>
      <c r="W219" s="13">
        <f t="shared" si="33"/>
        <v>0.28888888888888892</v>
      </c>
      <c r="X219" s="3">
        <f t="shared" si="27"/>
        <v>18</v>
      </c>
      <c r="Y219" s="3">
        <f t="shared" si="34"/>
        <v>8.55713533438652E-4</v>
      </c>
      <c r="Z219" s="3"/>
      <c r="AA219" s="3">
        <f t="shared" si="38"/>
        <v>337.6</v>
      </c>
      <c r="AB219" s="3">
        <v>45</v>
      </c>
      <c r="AC219" s="3"/>
      <c r="AD219" s="3"/>
      <c r="AE219" s="3"/>
      <c r="AF219" s="3" t="s">
        <v>143</v>
      </c>
      <c r="AG219" s="3" t="s">
        <v>314</v>
      </c>
      <c r="AH219" s="3"/>
    </row>
    <row r="220" spans="1:34" ht="14.25" customHeight="1" x14ac:dyDescent="0.25">
      <c r="A220" s="3" t="s">
        <v>146</v>
      </c>
      <c r="B220" s="3" t="s">
        <v>79</v>
      </c>
      <c r="C220" s="3"/>
      <c r="D220" s="3" t="s">
        <v>80</v>
      </c>
      <c r="E220" s="3">
        <v>1</v>
      </c>
      <c r="F220" s="3">
        <v>1</v>
      </c>
      <c r="G220" s="3" t="s">
        <v>1</v>
      </c>
      <c r="H220" s="11">
        <v>45777</v>
      </c>
      <c r="I220" s="3" t="s">
        <v>142</v>
      </c>
      <c r="J220" s="3">
        <f>14+12.8+16+16</f>
        <v>58.8</v>
      </c>
      <c r="K220" s="3">
        <f>20.8+9.5</f>
        <v>30.3</v>
      </c>
      <c r="L220" s="3">
        <f>10.5+19</f>
        <v>29.5</v>
      </c>
      <c r="M220" s="3">
        <v>7.3</v>
      </c>
      <c r="N220" s="3">
        <v>11</v>
      </c>
      <c r="O220" s="3">
        <f t="shared" si="30"/>
        <v>136.89999999999998</v>
      </c>
      <c r="P220" s="3">
        <v>6</v>
      </c>
      <c r="Q220" s="3">
        <v>3</v>
      </c>
      <c r="R220" s="3">
        <v>4</v>
      </c>
      <c r="S220" s="3">
        <v>2</v>
      </c>
      <c r="T220" s="3">
        <v>1</v>
      </c>
      <c r="U220" s="3">
        <f t="shared" si="31"/>
        <v>16</v>
      </c>
      <c r="V220" s="13">
        <f t="shared" si="32"/>
        <v>8.5562499999999986</v>
      </c>
      <c r="W220" s="13">
        <f t="shared" si="33"/>
        <v>8.5562499999999986</v>
      </c>
      <c r="X220" s="3">
        <f t="shared" si="27"/>
        <v>16</v>
      </c>
      <c r="Y220" s="3" t="e">
        <f t="shared" si="34"/>
        <v>#DIV/0!</v>
      </c>
      <c r="Z220" s="3"/>
      <c r="AA220" s="3"/>
      <c r="AB220" s="3"/>
      <c r="AC220" s="3" t="s">
        <v>82</v>
      </c>
      <c r="AD220" s="3" t="s">
        <v>83</v>
      </c>
      <c r="AE220" s="3">
        <v>15</v>
      </c>
      <c r="AF220" s="3" t="s">
        <v>143</v>
      </c>
      <c r="AG220" s="3"/>
      <c r="AH220" s="3"/>
    </row>
    <row r="221" spans="1:34" ht="14.25" customHeight="1" x14ac:dyDescent="0.25">
      <c r="A221" s="3" t="s">
        <v>146</v>
      </c>
      <c r="B221" s="3" t="s">
        <v>79</v>
      </c>
      <c r="C221" s="3"/>
      <c r="D221" s="3" t="s">
        <v>80</v>
      </c>
      <c r="E221" s="3">
        <v>1</v>
      </c>
      <c r="F221" s="3">
        <v>1</v>
      </c>
      <c r="G221" s="3" t="s">
        <v>2</v>
      </c>
      <c r="H221" s="11">
        <v>45777</v>
      </c>
      <c r="I221" s="3" t="s">
        <v>142</v>
      </c>
      <c r="J221" s="3">
        <v>2.6</v>
      </c>
      <c r="K221" s="3">
        <v>0</v>
      </c>
      <c r="L221" s="3">
        <v>0</v>
      </c>
      <c r="M221" s="3">
        <v>0</v>
      </c>
      <c r="N221" s="3">
        <v>0</v>
      </c>
      <c r="O221" s="3">
        <f t="shared" si="30"/>
        <v>2.6</v>
      </c>
      <c r="P221" s="3">
        <v>6</v>
      </c>
      <c r="Q221" s="3">
        <v>3</v>
      </c>
      <c r="R221" s="3">
        <v>4</v>
      </c>
      <c r="S221" s="3">
        <v>2</v>
      </c>
      <c r="T221" s="3">
        <v>1</v>
      </c>
      <c r="U221" s="3">
        <f t="shared" si="31"/>
        <v>16</v>
      </c>
      <c r="V221" s="13">
        <f t="shared" si="32"/>
        <v>0.16250000000000001</v>
      </c>
      <c r="W221" s="13">
        <f t="shared" si="33"/>
        <v>0.16250000000000001</v>
      </c>
      <c r="X221" s="3">
        <f t="shared" si="27"/>
        <v>16</v>
      </c>
      <c r="Y221" s="3" t="e">
        <f t="shared" si="34"/>
        <v>#DIV/0!</v>
      </c>
      <c r="Z221" s="3"/>
      <c r="AA221" s="3"/>
      <c r="AB221" s="3"/>
      <c r="AC221" s="3" t="s">
        <v>82</v>
      </c>
      <c r="AD221" s="3" t="s">
        <v>83</v>
      </c>
      <c r="AE221" s="3">
        <v>15</v>
      </c>
      <c r="AF221" s="3" t="s">
        <v>143</v>
      </c>
      <c r="AG221" s="3"/>
      <c r="AH221" s="3"/>
    </row>
    <row r="222" spans="1:34" ht="14.25" customHeight="1" x14ac:dyDescent="0.25">
      <c r="A222" s="3" t="s">
        <v>146</v>
      </c>
      <c r="B222" s="3" t="s">
        <v>79</v>
      </c>
      <c r="C222" s="3"/>
      <c r="D222" s="3" t="s">
        <v>80</v>
      </c>
      <c r="E222" s="3">
        <v>1</v>
      </c>
      <c r="F222" s="3">
        <v>1</v>
      </c>
      <c r="G222" s="3" t="s">
        <v>9</v>
      </c>
      <c r="H222" s="11">
        <v>45777</v>
      </c>
      <c r="I222" s="3" t="s">
        <v>142</v>
      </c>
      <c r="J222" s="3">
        <v>0</v>
      </c>
      <c r="K222" s="3">
        <v>6</v>
      </c>
      <c r="L222" s="3">
        <v>0</v>
      </c>
      <c r="M222" s="3">
        <v>0</v>
      </c>
      <c r="N222" s="3">
        <v>0</v>
      </c>
      <c r="O222" s="3">
        <f t="shared" si="30"/>
        <v>6</v>
      </c>
      <c r="P222" s="3">
        <v>6</v>
      </c>
      <c r="Q222" s="3">
        <v>3</v>
      </c>
      <c r="R222" s="3">
        <v>4</v>
      </c>
      <c r="S222" s="3">
        <v>2</v>
      </c>
      <c r="T222" s="3">
        <v>1</v>
      </c>
      <c r="U222" s="3">
        <f t="shared" si="31"/>
        <v>16</v>
      </c>
      <c r="V222" s="13">
        <f t="shared" si="32"/>
        <v>0.375</v>
      </c>
      <c r="W222" s="13">
        <f t="shared" si="33"/>
        <v>0.375</v>
      </c>
      <c r="X222" s="3">
        <f t="shared" si="27"/>
        <v>16</v>
      </c>
      <c r="Y222" s="3" t="e">
        <f t="shared" si="34"/>
        <v>#DIV/0!</v>
      </c>
      <c r="Z222" s="3"/>
      <c r="AA222" s="3"/>
      <c r="AB222" s="3"/>
      <c r="AC222" s="3" t="s">
        <v>82</v>
      </c>
      <c r="AD222" s="3" t="s">
        <v>83</v>
      </c>
      <c r="AE222" s="3">
        <v>15</v>
      </c>
      <c r="AF222" s="3" t="s">
        <v>143</v>
      </c>
      <c r="AG222" s="3"/>
      <c r="AH222" s="3"/>
    </row>
    <row r="223" spans="1:34" ht="14.25" customHeight="1" x14ac:dyDescent="0.25">
      <c r="A223" s="3" t="s">
        <v>146</v>
      </c>
      <c r="B223" s="3" t="s">
        <v>79</v>
      </c>
      <c r="C223" s="3"/>
      <c r="D223" s="3" t="s">
        <v>80</v>
      </c>
      <c r="E223" s="3">
        <v>1</v>
      </c>
      <c r="F223" s="3">
        <v>1</v>
      </c>
      <c r="G223" s="3" t="s">
        <v>14</v>
      </c>
      <c r="H223" s="11">
        <v>45777</v>
      </c>
      <c r="I223" s="3" t="s">
        <v>142</v>
      </c>
      <c r="J223" s="3">
        <v>0</v>
      </c>
      <c r="K223" s="3">
        <v>0</v>
      </c>
      <c r="L223" s="3">
        <v>3</v>
      </c>
      <c r="M223" s="3">
        <v>4</v>
      </c>
      <c r="N223" s="3">
        <v>0</v>
      </c>
      <c r="O223" s="3">
        <f t="shared" si="30"/>
        <v>7</v>
      </c>
      <c r="P223" s="3">
        <v>6</v>
      </c>
      <c r="Q223" s="3">
        <v>3</v>
      </c>
      <c r="R223" s="3">
        <v>4</v>
      </c>
      <c r="S223" s="3">
        <v>2</v>
      </c>
      <c r="T223" s="3">
        <v>1</v>
      </c>
      <c r="U223" s="3">
        <f t="shared" si="31"/>
        <v>16</v>
      </c>
      <c r="V223" s="13">
        <f t="shared" si="32"/>
        <v>0.4375</v>
      </c>
      <c r="W223" s="13">
        <f t="shared" si="33"/>
        <v>0.4375</v>
      </c>
      <c r="X223" s="3">
        <f t="shared" si="27"/>
        <v>16</v>
      </c>
      <c r="Y223" s="3" t="e">
        <f t="shared" si="34"/>
        <v>#DIV/0!</v>
      </c>
      <c r="Z223" s="3"/>
      <c r="AA223" s="3"/>
      <c r="AB223" s="3"/>
      <c r="AC223" s="3" t="s">
        <v>82</v>
      </c>
      <c r="AD223" s="3" t="s">
        <v>83</v>
      </c>
      <c r="AE223" s="3">
        <v>15</v>
      </c>
      <c r="AF223" s="3" t="s">
        <v>143</v>
      </c>
      <c r="AG223" s="3"/>
      <c r="AH223" s="3"/>
    </row>
    <row r="224" spans="1:34" ht="14.25" customHeight="1" x14ac:dyDescent="0.25">
      <c r="A224" s="3" t="s">
        <v>146</v>
      </c>
      <c r="B224" s="3" t="s">
        <v>79</v>
      </c>
      <c r="C224" s="3"/>
      <c r="D224" s="3" t="s">
        <v>80</v>
      </c>
      <c r="E224" s="3">
        <v>1</v>
      </c>
      <c r="F224" s="3">
        <v>1</v>
      </c>
      <c r="G224" s="3" t="s">
        <v>15</v>
      </c>
      <c r="H224" s="11">
        <v>45777</v>
      </c>
      <c r="I224" s="3" t="s">
        <v>142</v>
      </c>
      <c r="J224" s="3">
        <v>14</v>
      </c>
      <c r="K224" s="3"/>
      <c r="L224" s="3">
        <v>8</v>
      </c>
      <c r="M224" s="3"/>
      <c r="N224" s="3">
        <v>0</v>
      </c>
      <c r="O224" s="3">
        <f t="shared" si="30"/>
        <v>22</v>
      </c>
      <c r="P224" s="3">
        <v>6</v>
      </c>
      <c r="Q224" s="3">
        <v>3</v>
      </c>
      <c r="R224" s="3">
        <v>4</v>
      </c>
      <c r="S224" s="3">
        <v>2</v>
      </c>
      <c r="T224" s="3">
        <v>1</v>
      </c>
      <c r="U224" s="3">
        <f t="shared" si="31"/>
        <v>16</v>
      </c>
      <c r="V224" s="13">
        <f t="shared" si="32"/>
        <v>1.375</v>
      </c>
      <c r="W224" s="13">
        <f t="shared" si="33"/>
        <v>1.375</v>
      </c>
      <c r="X224" s="3">
        <f t="shared" si="27"/>
        <v>16</v>
      </c>
      <c r="Y224" s="3" t="e">
        <f t="shared" si="34"/>
        <v>#DIV/0!</v>
      </c>
      <c r="Z224" s="3"/>
      <c r="AA224" s="3"/>
      <c r="AB224" s="3"/>
      <c r="AC224" s="3" t="s">
        <v>82</v>
      </c>
      <c r="AD224" s="3" t="s">
        <v>83</v>
      </c>
      <c r="AE224" s="3">
        <v>15</v>
      </c>
      <c r="AF224" s="3" t="s">
        <v>143</v>
      </c>
      <c r="AG224" s="3"/>
      <c r="AH224" s="3"/>
    </row>
    <row r="225" spans="1:34" ht="14.25" customHeight="1" x14ac:dyDescent="0.25">
      <c r="A225" s="3" t="s">
        <v>147</v>
      </c>
      <c r="B225" s="3" t="s">
        <v>79</v>
      </c>
      <c r="C225" s="3"/>
      <c r="D225" s="3" t="s">
        <v>80</v>
      </c>
      <c r="E225" s="3">
        <v>2</v>
      </c>
      <c r="F225" s="3">
        <v>1</v>
      </c>
      <c r="G225" s="3" t="s">
        <v>1</v>
      </c>
      <c r="H225" s="11">
        <v>45777</v>
      </c>
      <c r="I225" s="3" t="s">
        <v>142</v>
      </c>
      <c r="J225" s="3">
        <f>16+12</f>
        <v>28</v>
      </c>
      <c r="K225" s="3">
        <f>8+8.6</f>
        <v>16.600000000000001</v>
      </c>
      <c r="L225" s="3">
        <f>13+6+5.4</f>
        <v>24.4</v>
      </c>
      <c r="M225" s="3">
        <f>4.5+11.3</f>
        <v>15.8</v>
      </c>
      <c r="N225" s="3">
        <v>15</v>
      </c>
      <c r="O225" s="3">
        <f t="shared" si="30"/>
        <v>99.8</v>
      </c>
      <c r="P225" s="3">
        <v>3</v>
      </c>
      <c r="Q225" s="3">
        <v>2</v>
      </c>
      <c r="R225" s="3">
        <v>4</v>
      </c>
      <c r="S225" s="3">
        <v>3</v>
      </c>
      <c r="T225" s="3">
        <v>1</v>
      </c>
      <c r="U225" s="3">
        <f t="shared" si="31"/>
        <v>13</v>
      </c>
      <c r="V225" s="13">
        <f t="shared" si="32"/>
        <v>7.6769230769230763</v>
      </c>
      <c r="W225" s="13">
        <f t="shared" si="33"/>
        <v>7.6769230769230763</v>
      </c>
      <c r="X225" s="3">
        <f t="shared" si="27"/>
        <v>13</v>
      </c>
      <c r="Y225" s="3" t="e">
        <f t="shared" si="34"/>
        <v>#DIV/0!</v>
      </c>
      <c r="Z225" s="3"/>
      <c r="AA225" s="3"/>
      <c r="AB225" s="3"/>
      <c r="AC225" s="3" t="s">
        <v>82</v>
      </c>
      <c r="AD225" s="3" t="s">
        <v>83</v>
      </c>
      <c r="AE225" s="3">
        <v>40</v>
      </c>
      <c r="AF225" s="3" t="s">
        <v>143</v>
      </c>
      <c r="AG225" s="3" t="s">
        <v>173</v>
      </c>
      <c r="AH225" s="3"/>
    </row>
    <row r="226" spans="1:34" ht="14.25" customHeight="1" x14ac:dyDescent="0.25">
      <c r="A226" s="3" t="s">
        <v>147</v>
      </c>
      <c r="B226" s="3" t="s">
        <v>79</v>
      </c>
      <c r="C226" s="3"/>
      <c r="D226" s="3" t="s">
        <v>80</v>
      </c>
      <c r="E226" s="3">
        <v>2</v>
      </c>
      <c r="F226" s="3">
        <v>1</v>
      </c>
      <c r="G226" s="3" t="s">
        <v>24</v>
      </c>
      <c r="H226" s="11">
        <v>45777</v>
      </c>
      <c r="I226" s="3" t="s">
        <v>142</v>
      </c>
      <c r="J226" s="3">
        <v>0</v>
      </c>
      <c r="K226" s="3">
        <v>0</v>
      </c>
      <c r="L226" s="3">
        <v>1.4</v>
      </c>
      <c r="M226" s="3">
        <v>0</v>
      </c>
      <c r="N226" s="3">
        <v>0</v>
      </c>
      <c r="O226" s="3">
        <f t="shared" si="30"/>
        <v>1.4</v>
      </c>
      <c r="P226" s="3">
        <v>3</v>
      </c>
      <c r="Q226" s="3">
        <v>2</v>
      </c>
      <c r="R226" s="3">
        <v>4</v>
      </c>
      <c r="S226" s="3">
        <v>3</v>
      </c>
      <c r="T226" s="3">
        <v>1</v>
      </c>
      <c r="U226" s="3">
        <f t="shared" si="31"/>
        <v>13</v>
      </c>
      <c r="V226" s="13">
        <f t="shared" si="32"/>
        <v>0.10769230769230768</v>
      </c>
      <c r="W226" s="13">
        <f t="shared" si="33"/>
        <v>0.10769230769230768</v>
      </c>
      <c r="X226" s="3">
        <f t="shared" si="27"/>
        <v>13</v>
      </c>
      <c r="Y226" s="3" t="e">
        <f t="shared" si="34"/>
        <v>#DIV/0!</v>
      </c>
      <c r="Z226" s="3"/>
      <c r="AA226" s="3"/>
      <c r="AB226" s="3"/>
      <c r="AC226" s="3" t="s">
        <v>82</v>
      </c>
      <c r="AD226" s="3" t="s">
        <v>83</v>
      </c>
      <c r="AE226" s="3">
        <v>40</v>
      </c>
      <c r="AF226" s="3" t="s">
        <v>143</v>
      </c>
      <c r="AG226" s="3" t="s">
        <v>173</v>
      </c>
      <c r="AH226" s="3"/>
    </row>
    <row r="227" spans="1:34" ht="14.25" customHeight="1" x14ac:dyDescent="0.25">
      <c r="A227" s="3" t="s">
        <v>147</v>
      </c>
      <c r="B227" s="3" t="s">
        <v>79</v>
      </c>
      <c r="C227" s="3"/>
      <c r="D227" s="3" t="s">
        <v>80</v>
      </c>
      <c r="E227" s="3">
        <v>2</v>
      </c>
      <c r="F227" s="3">
        <v>1</v>
      </c>
      <c r="G227" s="3" t="s">
        <v>25</v>
      </c>
      <c r="H227" s="11">
        <v>45777</v>
      </c>
      <c r="I227" s="3" t="s">
        <v>142</v>
      </c>
      <c r="J227" s="3">
        <v>21</v>
      </c>
      <c r="K227" s="3">
        <v>14</v>
      </c>
      <c r="L227" s="3">
        <v>0</v>
      </c>
      <c r="M227" s="3">
        <v>9.4</v>
      </c>
      <c r="N227" s="3">
        <v>0</v>
      </c>
      <c r="O227" s="3">
        <f t="shared" si="30"/>
        <v>44.4</v>
      </c>
      <c r="P227" s="3">
        <v>3</v>
      </c>
      <c r="Q227" s="3">
        <v>2</v>
      </c>
      <c r="R227" s="3">
        <v>4</v>
      </c>
      <c r="S227" s="3">
        <v>3</v>
      </c>
      <c r="T227" s="3">
        <v>1</v>
      </c>
      <c r="U227" s="3">
        <f t="shared" si="31"/>
        <v>13</v>
      </c>
      <c r="V227" s="13">
        <f t="shared" si="32"/>
        <v>3.4153846153846152</v>
      </c>
      <c r="W227" s="13">
        <f t="shared" si="33"/>
        <v>3.4153846153846152</v>
      </c>
      <c r="X227" s="3">
        <f t="shared" si="27"/>
        <v>13</v>
      </c>
      <c r="Y227" s="3" t="e">
        <f t="shared" si="34"/>
        <v>#DIV/0!</v>
      </c>
      <c r="Z227" s="3"/>
      <c r="AA227" s="3"/>
      <c r="AB227" s="3"/>
      <c r="AC227" s="3" t="s">
        <v>82</v>
      </c>
      <c r="AD227" s="3" t="s">
        <v>83</v>
      </c>
      <c r="AE227" s="3">
        <v>40</v>
      </c>
      <c r="AF227" s="3" t="s">
        <v>143</v>
      </c>
      <c r="AG227" s="3" t="s">
        <v>173</v>
      </c>
      <c r="AH227" s="3"/>
    </row>
    <row r="228" spans="1:34" ht="14.25" customHeight="1" x14ac:dyDescent="0.25">
      <c r="A228" s="3" t="s">
        <v>148</v>
      </c>
      <c r="B228" s="3" t="s">
        <v>79</v>
      </c>
      <c r="C228" s="3"/>
      <c r="D228" s="3" t="s">
        <v>186</v>
      </c>
      <c r="E228" s="3">
        <v>1</v>
      </c>
      <c r="F228" s="3">
        <v>1</v>
      </c>
      <c r="G228" s="3" t="s">
        <v>14</v>
      </c>
      <c r="H228" s="11">
        <v>45777</v>
      </c>
      <c r="I228" s="3" t="s">
        <v>142</v>
      </c>
      <c r="J228" s="3">
        <f>25+12</f>
        <v>37</v>
      </c>
      <c r="K228" s="3">
        <f>25+12.5</f>
        <v>37.5</v>
      </c>
      <c r="L228" s="3">
        <v>8</v>
      </c>
      <c r="M228" s="3">
        <f>4.8+9+7+6.8</f>
        <v>27.6</v>
      </c>
      <c r="N228" s="3">
        <v>0</v>
      </c>
      <c r="O228" s="3">
        <f t="shared" si="30"/>
        <v>110.1</v>
      </c>
      <c r="P228" s="3">
        <v>2</v>
      </c>
      <c r="Q228" s="3">
        <v>2</v>
      </c>
      <c r="R228" s="3">
        <v>1</v>
      </c>
      <c r="S228" s="3">
        <v>4</v>
      </c>
      <c r="T228" s="3"/>
      <c r="U228" s="3">
        <f t="shared" si="31"/>
        <v>9</v>
      </c>
      <c r="V228" s="13">
        <f t="shared" si="32"/>
        <v>12.233333333333333</v>
      </c>
      <c r="W228" s="13">
        <f t="shared" si="33"/>
        <v>12.233333333333333</v>
      </c>
      <c r="X228" s="3">
        <f t="shared" si="27"/>
        <v>9</v>
      </c>
      <c r="Y228" s="3" t="e">
        <f t="shared" si="34"/>
        <v>#DIV/0!</v>
      </c>
      <c r="Z228" s="3"/>
      <c r="AA228" s="3"/>
      <c r="AB228" s="3"/>
      <c r="AC228" s="3" t="s">
        <v>82</v>
      </c>
      <c r="AD228" s="3" t="s">
        <v>83</v>
      </c>
      <c r="AE228" s="3">
        <v>15</v>
      </c>
      <c r="AF228" s="3" t="s">
        <v>143</v>
      </c>
      <c r="AG228" s="3" t="s">
        <v>194</v>
      </c>
      <c r="AH228" s="3"/>
    </row>
    <row r="229" spans="1:34" ht="14.25" customHeight="1" x14ac:dyDescent="0.25">
      <c r="A229" s="3" t="s">
        <v>148</v>
      </c>
      <c r="B229" s="3" t="s">
        <v>79</v>
      </c>
      <c r="C229" s="3"/>
      <c r="D229" s="3" t="s">
        <v>186</v>
      </c>
      <c r="E229" s="3">
        <v>1</v>
      </c>
      <c r="F229" s="3">
        <v>1</v>
      </c>
      <c r="G229" s="3" t="s">
        <v>16</v>
      </c>
      <c r="H229" s="11">
        <v>45777</v>
      </c>
      <c r="I229" s="3" t="s">
        <v>142</v>
      </c>
      <c r="J229" s="3"/>
      <c r="K229" s="3">
        <v>2.4</v>
      </c>
      <c r="L229" s="3">
        <v>4.7</v>
      </c>
      <c r="M229" s="3">
        <v>2.2000000000000002</v>
      </c>
      <c r="N229" s="3">
        <v>0</v>
      </c>
      <c r="O229" s="3">
        <f t="shared" si="30"/>
        <v>9.3000000000000007</v>
      </c>
      <c r="P229" s="3">
        <v>2</v>
      </c>
      <c r="Q229" s="3">
        <v>2</v>
      </c>
      <c r="R229" s="3">
        <v>1</v>
      </c>
      <c r="S229" s="3">
        <v>4</v>
      </c>
      <c r="T229" s="3"/>
      <c r="U229" s="3">
        <f t="shared" si="31"/>
        <v>9</v>
      </c>
      <c r="V229" s="13">
        <f t="shared" si="32"/>
        <v>1.0333333333333334</v>
      </c>
      <c r="W229" s="13">
        <f t="shared" si="33"/>
        <v>1.0333333333333334</v>
      </c>
      <c r="X229" s="3">
        <f t="shared" si="27"/>
        <v>9</v>
      </c>
      <c r="Y229" s="3" t="e">
        <f t="shared" si="34"/>
        <v>#DIV/0!</v>
      </c>
      <c r="Z229" s="3"/>
      <c r="AA229" s="3"/>
      <c r="AB229" s="3"/>
      <c r="AC229" s="3" t="s">
        <v>82</v>
      </c>
      <c r="AD229" s="3" t="s">
        <v>83</v>
      </c>
      <c r="AE229" s="3">
        <v>15</v>
      </c>
      <c r="AF229" s="3" t="s">
        <v>143</v>
      </c>
      <c r="AG229" s="3" t="s">
        <v>194</v>
      </c>
      <c r="AH229" s="3"/>
    </row>
    <row r="230" spans="1:34" ht="14.25" customHeight="1" x14ac:dyDescent="0.25">
      <c r="A230" s="3" t="s">
        <v>149</v>
      </c>
      <c r="B230" s="3" t="s">
        <v>79</v>
      </c>
      <c r="C230" s="3"/>
      <c r="D230" s="3" t="s">
        <v>80</v>
      </c>
      <c r="E230" s="3">
        <v>2</v>
      </c>
      <c r="F230" s="3">
        <v>1</v>
      </c>
      <c r="G230" s="3" t="s">
        <v>3</v>
      </c>
      <c r="H230" s="11">
        <v>45777</v>
      </c>
      <c r="I230" s="3" t="s">
        <v>142</v>
      </c>
      <c r="J230" s="3">
        <f>16+8+9.5</f>
        <v>33.5</v>
      </c>
      <c r="K230" s="3">
        <v>13.6</v>
      </c>
      <c r="L230" s="3">
        <v>6</v>
      </c>
      <c r="M230" s="3">
        <f>15+3.8</f>
        <v>18.8</v>
      </c>
      <c r="N230" s="3">
        <v>0</v>
      </c>
      <c r="O230" s="3">
        <f t="shared" si="30"/>
        <v>71.900000000000006</v>
      </c>
      <c r="P230" s="3">
        <v>5</v>
      </c>
      <c r="Q230" s="3">
        <v>3</v>
      </c>
      <c r="R230" s="3">
        <v>3</v>
      </c>
      <c r="S230" s="3">
        <v>3</v>
      </c>
      <c r="T230" s="3">
        <v>1</v>
      </c>
      <c r="U230" s="3">
        <f t="shared" si="31"/>
        <v>15</v>
      </c>
      <c r="V230" s="13">
        <f t="shared" si="32"/>
        <v>4.7933333333333339</v>
      </c>
      <c r="W230" s="13">
        <f t="shared" si="33"/>
        <v>4.7933333333333339</v>
      </c>
      <c r="X230" s="3">
        <f t="shared" si="27"/>
        <v>15</v>
      </c>
      <c r="Y230" s="3">
        <f t="shared" si="34"/>
        <v>1.5284863945578235E-2</v>
      </c>
      <c r="Z230" s="3"/>
      <c r="AA230" s="3">
        <f t="shared" ref="AA230:AA236" si="39">8*2.8*14</f>
        <v>313.59999999999997</v>
      </c>
      <c r="AB230" s="3"/>
      <c r="AC230" s="3" t="s">
        <v>82</v>
      </c>
      <c r="AD230" s="3" t="s">
        <v>83</v>
      </c>
      <c r="AE230" s="3">
        <v>15</v>
      </c>
      <c r="AF230" s="3" t="s">
        <v>143</v>
      </c>
      <c r="AG230" s="3" t="s">
        <v>287</v>
      </c>
      <c r="AH230" s="3"/>
    </row>
    <row r="231" spans="1:34" ht="14.25" customHeight="1" x14ac:dyDescent="0.25">
      <c r="A231" s="3" t="s">
        <v>149</v>
      </c>
      <c r="B231" s="3" t="s">
        <v>79</v>
      </c>
      <c r="C231" s="3"/>
      <c r="D231" s="3" t="s">
        <v>80</v>
      </c>
      <c r="E231" s="3">
        <v>2</v>
      </c>
      <c r="F231" s="3">
        <v>1</v>
      </c>
      <c r="G231" s="3" t="s">
        <v>5</v>
      </c>
      <c r="H231" s="11">
        <v>45777</v>
      </c>
      <c r="I231" s="3" t="s">
        <v>142</v>
      </c>
      <c r="J231" s="3">
        <v>0</v>
      </c>
      <c r="K231" s="3">
        <v>0</v>
      </c>
      <c r="L231" s="3">
        <v>1.2</v>
      </c>
      <c r="M231" s="3">
        <v>0</v>
      </c>
      <c r="N231" s="3">
        <v>0</v>
      </c>
      <c r="O231" s="3">
        <f t="shared" si="30"/>
        <v>1.2</v>
      </c>
      <c r="P231" s="3">
        <v>5</v>
      </c>
      <c r="Q231" s="3">
        <v>3</v>
      </c>
      <c r="R231" s="3">
        <v>3</v>
      </c>
      <c r="S231" s="3">
        <v>3</v>
      </c>
      <c r="T231" s="3">
        <v>1</v>
      </c>
      <c r="U231" s="3">
        <f t="shared" si="31"/>
        <v>15</v>
      </c>
      <c r="V231" s="13">
        <f t="shared" si="32"/>
        <v>0.08</v>
      </c>
      <c r="W231" s="13">
        <f t="shared" si="33"/>
        <v>0.08</v>
      </c>
      <c r="X231" s="3">
        <f t="shared" si="27"/>
        <v>15</v>
      </c>
      <c r="Y231" s="3">
        <f t="shared" si="34"/>
        <v>2.5510204081632655E-4</v>
      </c>
      <c r="Z231" s="3"/>
      <c r="AA231" s="3">
        <f t="shared" si="39"/>
        <v>313.59999999999997</v>
      </c>
      <c r="AB231" s="3"/>
      <c r="AC231" s="3" t="s">
        <v>82</v>
      </c>
      <c r="AD231" s="3" t="s">
        <v>83</v>
      </c>
      <c r="AE231" s="3">
        <v>15</v>
      </c>
      <c r="AF231" s="3" t="s">
        <v>143</v>
      </c>
      <c r="AG231" s="3" t="s">
        <v>287</v>
      </c>
      <c r="AH231" s="3"/>
    </row>
    <row r="232" spans="1:34" ht="14.25" customHeight="1" x14ac:dyDescent="0.25">
      <c r="A232" s="3" t="s">
        <v>149</v>
      </c>
      <c r="B232" s="3" t="s">
        <v>79</v>
      </c>
      <c r="C232" s="3"/>
      <c r="D232" s="3" t="s">
        <v>80</v>
      </c>
      <c r="E232" s="3">
        <v>2</v>
      </c>
      <c r="F232" s="3">
        <v>1</v>
      </c>
      <c r="G232" s="3" t="s">
        <v>2</v>
      </c>
      <c r="H232" s="11">
        <v>45777</v>
      </c>
      <c r="I232" s="3" t="s">
        <v>142</v>
      </c>
      <c r="J232" s="3">
        <v>0</v>
      </c>
      <c r="K232" s="3">
        <v>0</v>
      </c>
      <c r="L232" s="3">
        <v>0</v>
      </c>
      <c r="M232" s="3">
        <v>2.7</v>
      </c>
      <c r="N232" s="3">
        <v>0</v>
      </c>
      <c r="O232" s="3">
        <f t="shared" si="30"/>
        <v>2.7</v>
      </c>
      <c r="P232" s="3">
        <v>5</v>
      </c>
      <c r="Q232" s="3">
        <v>3</v>
      </c>
      <c r="R232" s="3">
        <v>3</v>
      </c>
      <c r="S232" s="3">
        <v>3</v>
      </c>
      <c r="T232" s="3">
        <v>1</v>
      </c>
      <c r="U232" s="3">
        <f t="shared" si="31"/>
        <v>15</v>
      </c>
      <c r="V232" s="13">
        <f t="shared" si="32"/>
        <v>0.18000000000000002</v>
      </c>
      <c r="W232" s="13">
        <f t="shared" si="33"/>
        <v>0.18000000000000002</v>
      </c>
      <c r="X232" s="3">
        <f t="shared" ref="X232:X409" si="40">F232*U232</f>
        <v>15</v>
      </c>
      <c r="Y232" s="3">
        <f t="shared" si="34"/>
        <v>5.7397959183673485E-4</v>
      </c>
      <c r="Z232" s="3"/>
      <c r="AA232" s="3">
        <f t="shared" si="39"/>
        <v>313.59999999999997</v>
      </c>
      <c r="AB232" s="3"/>
      <c r="AC232" s="3" t="s">
        <v>82</v>
      </c>
      <c r="AD232" s="3" t="s">
        <v>83</v>
      </c>
      <c r="AE232" s="3">
        <v>15</v>
      </c>
      <c r="AF232" s="3" t="s">
        <v>143</v>
      </c>
      <c r="AG232" s="3" t="s">
        <v>287</v>
      </c>
      <c r="AH232" s="3"/>
    </row>
    <row r="233" spans="1:34" ht="14.25" customHeight="1" x14ac:dyDescent="0.25">
      <c r="A233" s="3" t="s">
        <v>149</v>
      </c>
      <c r="B233" s="3" t="s">
        <v>79</v>
      </c>
      <c r="C233" s="3"/>
      <c r="D233" s="3" t="s">
        <v>80</v>
      </c>
      <c r="E233" s="3">
        <v>2</v>
      </c>
      <c r="F233" s="3">
        <v>1</v>
      </c>
      <c r="G233" s="3" t="s">
        <v>9</v>
      </c>
      <c r="H233" s="11">
        <v>45777</v>
      </c>
      <c r="I233" s="3" t="s">
        <v>142</v>
      </c>
      <c r="J233" s="3">
        <v>3</v>
      </c>
      <c r="K233" s="3">
        <v>0</v>
      </c>
      <c r="L233" s="3">
        <v>0</v>
      </c>
      <c r="M233" s="3">
        <v>0</v>
      </c>
      <c r="N233" s="3">
        <v>0</v>
      </c>
      <c r="O233" s="3">
        <f t="shared" si="30"/>
        <v>3</v>
      </c>
      <c r="P233" s="3">
        <v>5</v>
      </c>
      <c r="Q233" s="3">
        <v>3</v>
      </c>
      <c r="R233" s="3">
        <v>3</v>
      </c>
      <c r="S233" s="3">
        <v>3</v>
      </c>
      <c r="T233" s="3">
        <v>1</v>
      </c>
      <c r="U233" s="3">
        <f t="shared" si="31"/>
        <v>15</v>
      </c>
      <c r="V233" s="13">
        <f t="shared" si="32"/>
        <v>0.2</v>
      </c>
      <c r="W233" s="13">
        <f t="shared" si="33"/>
        <v>0.2</v>
      </c>
      <c r="X233" s="3">
        <f t="shared" si="40"/>
        <v>15</v>
      </c>
      <c r="Y233" s="3">
        <f t="shared" si="34"/>
        <v>6.3775510204081638E-4</v>
      </c>
      <c r="Z233" s="3"/>
      <c r="AA233" s="3">
        <f t="shared" si="39"/>
        <v>313.59999999999997</v>
      </c>
      <c r="AB233" s="3"/>
      <c r="AC233" s="3" t="s">
        <v>82</v>
      </c>
      <c r="AD233" s="3" t="s">
        <v>83</v>
      </c>
      <c r="AE233" s="3">
        <v>15</v>
      </c>
      <c r="AF233" s="3" t="s">
        <v>143</v>
      </c>
      <c r="AG233" s="3" t="s">
        <v>287</v>
      </c>
      <c r="AH233" s="3"/>
    </row>
    <row r="234" spans="1:34" ht="14.25" customHeight="1" x14ac:dyDescent="0.25">
      <c r="A234" s="3" t="s">
        <v>149</v>
      </c>
      <c r="B234" s="3" t="s">
        <v>79</v>
      </c>
      <c r="C234" s="3"/>
      <c r="D234" s="3" t="s">
        <v>80</v>
      </c>
      <c r="E234" s="3">
        <v>2</v>
      </c>
      <c r="F234" s="3">
        <v>1</v>
      </c>
      <c r="G234" s="3" t="s">
        <v>12</v>
      </c>
      <c r="H234" s="11">
        <v>45777</v>
      </c>
      <c r="I234" s="3" t="s">
        <v>142</v>
      </c>
      <c r="J234" s="3">
        <v>1.3</v>
      </c>
      <c r="K234" s="3">
        <v>3.8</v>
      </c>
      <c r="L234" s="3">
        <v>0</v>
      </c>
      <c r="M234" s="3">
        <v>0</v>
      </c>
      <c r="N234" s="3">
        <v>1.1000000000000001</v>
      </c>
      <c r="O234" s="3">
        <f t="shared" si="30"/>
        <v>6.1999999999999993</v>
      </c>
      <c r="P234" s="3">
        <v>5</v>
      </c>
      <c r="Q234" s="3">
        <v>3</v>
      </c>
      <c r="R234" s="3">
        <v>3</v>
      </c>
      <c r="S234" s="3">
        <v>3</v>
      </c>
      <c r="T234" s="3">
        <v>1</v>
      </c>
      <c r="U234" s="3">
        <f t="shared" si="31"/>
        <v>15</v>
      </c>
      <c r="V234" s="13">
        <f t="shared" si="32"/>
        <v>0.41333333333333327</v>
      </c>
      <c r="W234" s="13">
        <f t="shared" si="33"/>
        <v>0.41333333333333327</v>
      </c>
      <c r="X234" s="3">
        <f t="shared" si="40"/>
        <v>15</v>
      </c>
      <c r="Y234" s="3">
        <f t="shared" si="34"/>
        <v>1.3180272108843536E-3</v>
      </c>
      <c r="Z234" s="3"/>
      <c r="AA234" s="3">
        <f t="shared" si="39"/>
        <v>313.59999999999997</v>
      </c>
      <c r="AB234" s="3"/>
      <c r="AC234" s="3" t="s">
        <v>82</v>
      </c>
      <c r="AD234" s="3" t="s">
        <v>83</v>
      </c>
      <c r="AE234" s="3">
        <v>15</v>
      </c>
      <c r="AF234" s="3" t="s">
        <v>143</v>
      </c>
      <c r="AG234" s="3" t="s">
        <v>287</v>
      </c>
      <c r="AH234" s="3"/>
    </row>
    <row r="235" spans="1:34" ht="14.25" customHeight="1" x14ac:dyDescent="0.25">
      <c r="A235" s="3" t="s">
        <v>149</v>
      </c>
      <c r="B235" s="3" t="s">
        <v>79</v>
      </c>
      <c r="C235" s="3"/>
      <c r="D235" s="3" t="s">
        <v>80</v>
      </c>
      <c r="E235" s="3">
        <v>2</v>
      </c>
      <c r="F235" s="3">
        <v>1</v>
      </c>
      <c r="G235" s="3" t="s">
        <v>14</v>
      </c>
      <c r="H235" s="11">
        <v>45777</v>
      </c>
      <c r="I235" s="3" t="s">
        <v>142</v>
      </c>
      <c r="J235" s="3">
        <v>0</v>
      </c>
      <c r="K235" s="3">
        <v>4</v>
      </c>
      <c r="L235" s="3">
        <v>0</v>
      </c>
      <c r="M235" s="3">
        <v>0</v>
      </c>
      <c r="N235" s="3">
        <v>0</v>
      </c>
      <c r="O235" s="3">
        <f t="shared" si="30"/>
        <v>4</v>
      </c>
      <c r="P235" s="3">
        <v>5</v>
      </c>
      <c r="Q235" s="3">
        <v>3</v>
      </c>
      <c r="R235" s="3">
        <v>3</v>
      </c>
      <c r="S235" s="3">
        <v>3</v>
      </c>
      <c r="T235" s="3">
        <v>1</v>
      </c>
      <c r="U235" s="3">
        <f t="shared" si="31"/>
        <v>15</v>
      </c>
      <c r="V235" s="13">
        <f t="shared" si="32"/>
        <v>0.26666666666666666</v>
      </c>
      <c r="W235" s="13">
        <f t="shared" si="33"/>
        <v>0.26666666666666666</v>
      </c>
      <c r="X235" s="3">
        <f t="shared" si="40"/>
        <v>15</v>
      </c>
      <c r="Y235" s="3">
        <f t="shared" si="34"/>
        <v>8.5034013605442185E-4</v>
      </c>
      <c r="Z235" s="3"/>
      <c r="AA235" s="3">
        <f t="shared" si="39"/>
        <v>313.59999999999997</v>
      </c>
      <c r="AB235" s="3"/>
      <c r="AC235" s="3" t="s">
        <v>82</v>
      </c>
      <c r="AD235" s="3" t="s">
        <v>83</v>
      </c>
      <c r="AE235" s="3">
        <v>15</v>
      </c>
      <c r="AF235" s="3" t="s">
        <v>143</v>
      </c>
      <c r="AG235" s="3" t="s">
        <v>287</v>
      </c>
      <c r="AH235" s="3"/>
    </row>
    <row r="236" spans="1:34" ht="14.25" customHeight="1" x14ac:dyDescent="0.25">
      <c r="A236" s="3" t="s">
        <v>149</v>
      </c>
      <c r="B236" s="3" t="s">
        <v>79</v>
      </c>
      <c r="C236" s="3"/>
      <c r="D236" s="3" t="s">
        <v>80</v>
      </c>
      <c r="E236" s="3">
        <v>2</v>
      </c>
      <c r="F236" s="3">
        <v>1</v>
      </c>
      <c r="G236" s="3" t="s">
        <v>25</v>
      </c>
      <c r="H236" s="11">
        <v>45777</v>
      </c>
      <c r="I236" s="3" t="s">
        <v>142</v>
      </c>
      <c r="J236" s="3">
        <v>0</v>
      </c>
      <c r="K236" s="3">
        <v>0</v>
      </c>
      <c r="L236" s="3">
        <v>6.8</v>
      </c>
      <c r="M236" s="3">
        <v>0</v>
      </c>
      <c r="N236" s="3">
        <v>0</v>
      </c>
      <c r="O236" s="3">
        <f t="shared" si="30"/>
        <v>6.8</v>
      </c>
      <c r="P236" s="3">
        <v>5</v>
      </c>
      <c r="Q236" s="3">
        <v>3</v>
      </c>
      <c r="R236" s="3">
        <v>3</v>
      </c>
      <c r="S236" s="3">
        <v>3</v>
      </c>
      <c r="T236" s="3">
        <v>1</v>
      </c>
      <c r="U236" s="3">
        <f t="shared" si="31"/>
        <v>15</v>
      </c>
      <c r="V236" s="13">
        <f t="shared" si="32"/>
        <v>0.45333333333333331</v>
      </c>
      <c r="W236" s="13">
        <f t="shared" si="33"/>
        <v>0.45333333333333331</v>
      </c>
      <c r="X236" s="3">
        <f t="shared" si="40"/>
        <v>15</v>
      </c>
      <c r="Y236" s="3">
        <f t="shared" si="34"/>
        <v>1.4455782312925171E-3</v>
      </c>
      <c r="Z236" s="3"/>
      <c r="AA236" s="3">
        <f t="shared" si="39"/>
        <v>313.59999999999997</v>
      </c>
      <c r="AB236" s="3"/>
      <c r="AC236" s="3" t="s">
        <v>82</v>
      </c>
      <c r="AD236" s="3" t="s">
        <v>83</v>
      </c>
      <c r="AE236" s="3">
        <v>15</v>
      </c>
      <c r="AF236" s="3" t="s">
        <v>143</v>
      </c>
      <c r="AG236" s="3" t="s">
        <v>287</v>
      </c>
      <c r="AH236" s="3"/>
    </row>
    <row r="237" spans="1:34" ht="14.25" customHeight="1" x14ac:dyDescent="0.25">
      <c r="A237" s="3" t="s">
        <v>96</v>
      </c>
      <c r="B237" s="3" t="s">
        <v>79</v>
      </c>
      <c r="C237" s="3"/>
      <c r="D237" s="3" t="s">
        <v>80</v>
      </c>
      <c r="E237" s="3">
        <v>1</v>
      </c>
      <c r="F237" s="3">
        <v>1</v>
      </c>
      <c r="G237" s="3" t="s">
        <v>2</v>
      </c>
      <c r="H237" s="11">
        <v>45777</v>
      </c>
      <c r="I237" s="3" t="s">
        <v>142</v>
      </c>
      <c r="J237" s="3">
        <v>0</v>
      </c>
      <c r="K237" s="3">
        <v>4</v>
      </c>
      <c r="L237" s="3">
        <v>3.8</v>
      </c>
      <c r="M237" s="3">
        <v>0</v>
      </c>
      <c r="N237" s="3">
        <v>0</v>
      </c>
      <c r="O237" s="3">
        <f t="shared" si="30"/>
        <v>7.8</v>
      </c>
      <c r="P237" s="3">
        <v>3</v>
      </c>
      <c r="Q237" s="3">
        <v>4</v>
      </c>
      <c r="R237" s="3">
        <v>3</v>
      </c>
      <c r="S237" s="3">
        <v>6</v>
      </c>
      <c r="T237" s="3"/>
      <c r="U237" s="3">
        <f t="shared" si="31"/>
        <v>16</v>
      </c>
      <c r="V237" s="13">
        <f t="shared" si="32"/>
        <v>0.48749999999999999</v>
      </c>
      <c r="W237" s="13">
        <f t="shared" si="33"/>
        <v>0.48749999999999999</v>
      </c>
      <c r="X237" s="3">
        <f t="shared" si="40"/>
        <v>16</v>
      </c>
      <c r="Y237" s="3" t="e">
        <f t="shared" si="34"/>
        <v>#DIV/0!</v>
      </c>
      <c r="Z237" s="3"/>
      <c r="AA237" s="3"/>
      <c r="AB237" s="3"/>
      <c r="AC237" s="3" t="s">
        <v>82</v>
      </c>
      <c r="AD237" s="3" t="s">
        <v>83</v>
      </c>
      <c r="AE237" s="3">
        <v>40</v>
      </c>
      <c r="AF237" s="3" t="s">
        <v>143</v>
      </c>
      <c r="AG237" s="3" t="s">
        <v>173</v>
      </c>
      <c r="AH237" s="3"/>
    </row>
    <row r="238" spans="1:34" ht="14.25" customHeight="1" x14ac:dyDescent="0.25">
      <c r="A238" s="3" t="s">
        <v>96</v>
      </c>
      <c r="B238" s="3" t="s">
        <v>79</v>
      </c>
      <c r="C238" s="3"/>
      <c r="D238" s="3" t="s">
        <v>80</v>
      </c>
      <c r="E238" s="3">
        <v>1</v>
      </c>
      <c r="F238" s="3">
        <v>1</v>
      </c>
      <c r="G238" s="3" t="s">
        <v>16</v>
      </c>
      <c r="H238" s="11">
        <v>45777</v>
      </c>
      <c r="I238" s="3" t="s">
        <v>142</v>
      </c>
      <c r="J238" s="3">
        <v>0</v>
      </c>
      <c r="K238" s="3">
        <v>0</v>
      </c>
      <c r="L238" s="3">
        <v>5.6</v>
      </c>
      <c r="M238" s="3">
        <f>4.2+2.8</f>
        <v>7</v>
      </c>
      <c r="N238" s="3">
        <v>0</v>
      </c>
      <c r="O238" s="3">
        <f t="shared" si="30"/>
        <v>12.6</v>
      </c>
      <c r="P238" s="3">
        <v>3</v>
      </c>
      <c r="Q238" s="3">
        <v>4</v>
      </c>
      <c r="R238" s="3">
        <v>3</v>
      </c>
      <c r="S238" s="3">
        <v>6</v>
      </c>
      <c r="T238" s="3"/>
      <c r="U238" s="3">
        <f t="shared" si="31"/>
        <v>16</v>
      </c>
      <c r="V238" s="13">
        <f t="shared" si="32"/>
        <v>0.78749999999999998</v>
      </c>
      <c r="W238" s="13">
        <f t="shared" si="33"/>
        <v>0.78749999999999998</v>
      </c>
      <c r="X238" s="3">
        <f t="shared" si="40"/>
        <v>16</v>
      </c>
      <c r="Y238" s="3" t="e">
        <f t="shared" si="34"/>
        <v>#DIV/0!</v>
      </c>
      <c r="Z238" s="3"/>
      <c r="AA238" s="3"/>
      <c r="AB238" s="3"/>
      <c r="AC238" s="3" t="s">
        <v>82</v>
      </c>
      <c r="AD238" s="3" t="s">
        <v>83</v>
      </c>
      <c r="AE238" s="3">
        <v>40</v>
      </c>
      <c r="AF238" s="3" t="s">
        <v>143</v>
      </c>
      <c r="AG238" s="3" t="s">
        <v>173</v>
      </c>
      <c r="AH238" s="3"/>
    </row>
    <row r="239" spans="1:34" ht="14.25" customHeight="1" x14ac:dyDescent="0.25">
      <c r="A239" s="3" t="s">
        <v>96</v>
      </c>
      <c r="B239" s="3" t="s">
        <v>79</v>
      </c>
      <c r="C239" s="3"/>
      <c r="D239" s="3" t="s">
        <v>80</v>
      </c>
      <c r="E239" s="3">
        <v>1</v>
      </c>
      <c r="F239" s="3">
        <v>1</v>
      </c>
      <c r="G239" s="3" t="s">
        <v>18</v>
      </c>
      <c r="H239" s="11">
        <v>45777</v>
      </c>
      <c r="I239" s="3" t="s">
        <v>142</v>
      </c>
      <c r="J239" s="3">
        <f>6+12+10</f>
        <v>28</v>
      </c>
      <c r="K239" s="3">
        <f>10.8+9+15</f>
        <v>34.799999999999997</v>
      </c>
      <c r="L239" s="3">
        <v>7.7</v>
      </c>
      <c r="M239" s="3">
        <f>9.3+17+3.8+4.3+8.5+5</f>
        <v>47.9</v>
      </c>
      <c r="N239" s="3">
        <v>0</v>
      </c>
      <c r="O239" s="3">
        <f t="shared" si="30"/>
        <v>118.4</v>
      </c>
      <c r="P239" s="3">
        <v>3</v>
      </c>
      <c r="Q239" s="3">
        <v>4</v>
      </c>
      <c r="R239" s="3">
        <v>3</v>
      </c>
      <c r="S239" s="3">
        <v>6</v>
      </c>
      <c r="T239" s="3"/>
      <c r="U239" s="3">
        <f t="shared" si="31"/>
        <v>16</v>
      </c>
      <c r="V239" s="13">
        <f t="shared" si="32"/>
        <v>7.4</v>
      </c>
      <c r="W239" s="13">
        <f t="shared" si="33"/>
        <v>7.4</v>
      </c>
      <c r="X239" s="3">
        <f t="shared" si="40"/>
        <v>16</v>
      </c>
      <c r="Y239" s="3" t="e">
        <f t="shared" si="34"/>
        <v>#DIV/0!</v>
      </c>
      <c r="Z239" s="3"/>
      <c r="AA239" s="3"/>
      <c r="AB239" s="3"/>
      <c r="AC239" s="3" t="s">
        <v>82</v>
      </c>
      <c r="AD239" s="3" t="s">
        <v>83</v>
      </c>
      <c r="AE239" s="3">
        <v>40</v>
      </c>
      <c r="AF239" s="3" t="s">
        <v>143</v>
      </c>
      <c r="AG239" s="3" t="s">
        <v>173</v>
      </c>
      <c r="AH239" s="3"/>
    </row>
    <row r="240" spans="1:34" ht="14.25" customHeight="1" x14ac:dyDescent="0.25">
      <c r="A240" s="3" t="s">
        <v>99</v>
      </c>
      <c r="B240" s="3" t="s">
        <v>79</v>
      </c>
      <c r="C240" s="3"/>
      <c r="D240" s="3" t="s">
        <v>80</v>
      </c>
      <c r="E240" s="3">
        <v>2</v>
      </c>
      <c r="F240" s="3">
        <v>1</v>
      </c>
      <c r="G240" s="3" t="s">
        <v>1</v>
      </c>
      <c r="H240" s="11">
        <v>45777</v>
      </c>
      <c r="I240" s="3" t="s">
        <v>142</v>
      </c>
      <c r="J240" s="3">
        <f>4+21+12</f>
        <v>37</v>
      </c>
      <c r="K240" s="3">
        <f>8+14</f>
        <v>22</v>
      </c>
      <c r="L240" s="3">
        <f>6+16</f>
        <v>22</v>
      </c>
      <c r="M240" s="3">
        <f>8+4.6+5.3</f>
        <v>17.899999999999999</v>
      </c>
      <c r="N240" s="3">
        <v>0</v>
      </c>
      <c r="O240" s="3">
        <f t="shared" si="30"/>
        <v>98.9</v>
      </c>
      <c r="P240" s="3">
        <v>3</v>
      </c>
      <c r="Q240" s="3">
        <v>4</v>
      </c>
      <c r="R240" s="3">
        <v>2</v>
      </c>
      <c r="S240" s="3">
        <v>3</v>
      </c>
      <c r="T240" s="3"/>
      <c r="U240" s="3">
        <f t="shared" si="31"/>
        <v>12</v>
      </c>
      <c r="V240" s="13">
        <f t="shared" si="32"/>
        <v>8.2416666666666671</v>
      </c>
      <c r="W240" s="13">
        <f t="shared" si="33"/>
        <v>8.2416666666666671</v>
      </c>
      <c r="X240" s="3">
        <f t="shared" si="40"/>
        <v>12</v>
      </c>
      <c r="Y240" s="3" t="e">
        <f t="shared" si="34"/>
        <v>#DIV/0!</v>
      </c>
      <c r="Z240" s="3"/>
      <c r="AA240" s="3"/>
      <c r="AB240" s="3"/>
      <c r="AC240" s="3" t="s">
        <v>82</v>
      </c>
      <c r="AD240" s="3" t="s">
        <v>83</v>
      </c>
      <c r="AE240" s="3">
        <v>40</v>
      </c>
      <c r="AF240" s="3" t="s">
        <v>143</v>
      </c>
      <c r="AG240" s="3" t="s">
        <v>214</v>
      </c>
      <c r="AH240" s="3"/>
    </row>
    <row r="241" spans="1:34" ht="14.25" customHeight="1" x14ac:dyDescent="0.25">
      <c r="A241" s="3" t="s">
        <v>99</v>
      </c>
      <c r="B241" s="3" t="s">
        <v>79</v>
      </c>
      <c r="C241" s="3"/>
      <c r="D241" s="3" t="s">
        <v>80</v>
      </c>
      <c r="E241" s="3">
        <v>2</v>
      </c>
      <c r="F241" s="3">
        <v>1</v>
      </c>
      <c r="G241" s="3" t="s">
        <v>2</v>
      </c>
      <c r="H241" s="11">
        <v>45777</v>
      </c>
      <c r="I241" s="3" t="s">
        <v>142</v>
      </c>
      <c r="J241" s="3">
        <v>0</v>
      </c>
      <c r="K241" s="3">
        <f>6+5.3</f>
        <v>11.3</v>
      </c>
      <c r="L241" s="3">
        <v>2.2000000000000002</v>
      </c>
      <c r="M241" s="3">
        <v>1.8</v>
      </c>
      <c r="N241" s="3">
        <v>0</v>
      </c>
      <c r="O241" s="3">
        <f t="shared" si="30"/>
        <v>15.3</v>
      </c>
      <c r="P241" s="3">
        <v>3</v>
      </c>
      <c r="Q241" s="3">
        <v>4</v>
      </c>
      <c r="R241" s="3">
        <v>2</v>
      </c>
      <c r="S241" s="3">
        <v>3</v>
      </c>
      <c r="T241" s="3"/>
      <c r="U241" s="3">
        <f t="shared" si="31"/>
        <v>12</v>
      </c>
      <c r="V241" s="13">
        <f t="shared" si="32"/>
        <v>1.2750000000000001</v>
      </c>
      <c r="W241" s="13">
        <f t="shared" si="33"/>
        <v>1.2750000000000001</v>
      </c>
      <c r="X241" s="3">
        <f t="shared" si="40"/>
        <v>12</v>
      </c>
      <c r="Y241" s="3" t="e">
        <f t="shared" si="34"/>
        <v>#DIV/0!</v>
      </c>
      <c r="Z241" s="3"/>
      <c r="AA241" s="3"/>
      <c r="AB241" s="3"/>
      <c r="AC241" s="3" t="s">
        <v>82</v>
      </c>
      <c r="AD241" s="3" t="s">
        <v>83</v>
      </c>
      <c r="AE241" s="3">
        <v>40</v>
      </c>
      <c r="AF241" s="3" t="s">
        <v>143</v>
      </c>
      <c r="AG241" s="3" t="s">
        <v>214</v>
      </c>
      <c r="AH241" s="3"/>
    </row>
    <row r="242" spans="1:34" ht="14.25" customHeight="1" x14ac:dyDescent="0.25">
      <c r="A242" s="3" t="s">
        <v>99</v>
      </c>
      <c r="B242" s="3" t="s">
        <v>79</v>
      </c>
      <c r="C242" s="3"/>
      <c r="D242" s="3" t="s">
        <v>80</v>
      </c>
      <c r="E242" s="3">
        <v>2</v>
      </c>
      <c r="F242" s="3">
        <v>1</v>
      </c>
      <c r="G242" s="3" t="s">
        <v>19</v>
      </c>
      <c r="H242" s="11">
        <v>45777</v>
      </c>
      <c r="I242" s="3" t="s">
        <v>142</v>
      </c>
      <c r="J242" s="3">
        <v>3</v>
      </c>
      <c r="K242" s="3">
        <v>0</v>
      </c>
      <c r="L242" s="3">
        <v>0</v>
      </c>
      <c r="M242" s="3">
        <v>0</v>
      </c>
      <c r="N242" s="3">
        <v>0</v>
      </c>
      <c r="O242" s="3">
        <f t="shared" si="30"/>
        <v>3</v>
      </c>
      <c r="P242" s="3">
        <v>3</v>
      </c>
      <c r="Q242" s="3">
        <v>4</v>
      </c>
      <c r="R242" s="3">
        <v>2</v>
      </c>
      <c r="S242" s="3">
        <v>3</v>
      </c>
      <c r="T242" s="3"/>
      <c r="U242" s="3">
        <f t="shared" si="31"/>
        <v>12</v>
      </c>
      <c r="V242" s="13">
        <f t="shared" si="32"/>
        <v>0.25</v>
      </c>
      <c r="W242" s="13">
        <f t="shared" si="33"/>
        <v>0.25</v>
      </c>
      <c r="X242" s="3">
        <f t="shared" si="40"/>
        <v>12</v>
      </c>
      <c r="Y242" s="3" t="e">
        <f t="shared" si="34"/>
        <v>#DIV/0!</v>
      </c>
      <c r="Z242" s="3"/>
      <c r="AA242" s="3"/>
      <c r="AB242" s="3"/>
      <c r="AC242" s="3" t="s">
        <v>82</v>
      </c>
      <c r="AD242" s="3" t="s">
        <v>83</v>
      </c>
      <c r="AE242" s="3">
        <v>40</v>
      </c>
      <c r="AF242" s="3" t="s">
        <v>143</v>
      </c>
      <c r="AG242" s="3" t="s">
        <v>214</v>
      </c>
      <c r="AH242" s="3"/>
    </row>
    <row r="243" spans="1:34" ht="14.25" customHeight="1" x14ac:dyDescent="0.25">
      <c r="A243" s="3" t="s">
        <v>99</v>
      </c>
      <c r="B243" s="3" t="s">
        <v>79</v>
      </c>
      <c r="C243" s="3"/>
      <c r="D243" s="3" t="s">
        <v>80</v>
      </c>
      <c r="E243" s="3">
        <v>2</v>
      </c>
      <c r="F243" s="3">
        <v>1</v>
      </c>
      <c r="G243" s="3" t="s">
        <v>25</v>
      </c>
      <c r="H243" s="11">
        <v>45777</v>
      </c>
      <c r="I243" s="3" t="s">
        <v>142</v>
      </c>
      <c r="J243" s="3">
        <v>16</v>
      </c>
      <c r="K243" s="3">
        <v>14</v>
      </c>
      <c r="L243" s="3">
        <v>0</v>
      </c>
      <c r="M243" s="3">
        <v>0</v>
      </c>
      <c r="N243" s="3">
        <v>0</v>
      </c>
      <c r="O243" s="3">
        <f t="shared" si="30"/>
        <v>30</v>
      </c>
      <c r="P243" s="3">
        <v>3</v>
      </c>
      <c r="Q243" s="3">
        <v>4</v>
      </c>
      <c r="R243" s="3">
        <v>2</v>
      </c>
      <c r="S243" s="3">
        <v>3</v>
      </c>
      <c r="T243" s="3"/>
      <c r="U243" s="3">
        <f t="shared" si="31"/>
        <v>12</v>
      </c>
      <c r="V243" s="13">
        <f t="shared" si="32"/>
        <v>2.5</v>
      </c>
      <c r="W243" s="13">
        <f t="shared" si="33"/>
        <v>2.5</v>
      </c>
      <c r="X243" s="3">
        <f t="shared" si="40"/>
        <v>12</v>
      </c>
      <c r="Y243" s="3" t="e">
        <f t="shared" si="34"/>
        <v>#DIV/0!</v>
      </c>
      <c r="Z243" s="3"/>
      <c r="AA243" s="3"/>
      <c r="AB243" s="3"/>
      <c r="AC243" s="3" t="s">
        <v>82</v>
      </c>
      <c r="AD243" s="3" t="s">
        <v>83</v>
      </c>
      <c r="AE243" s="3">
        <v>40</v>
      </c>
      <c r="AF243" s="3" t="s">
        <v>143</v>
      </c>
      <c r="AG243" s="3" t="s">
        <v>214</v>
      </c>
      <c r="AH243" s="3"/>
    </row>
    <row r="244" spans="1:34" ht="14.25" customHeight="1" x14ac:dyDescent="0.25">
      <c r="A244" s="3" t="s">
        <v>150</v>
      </c>
      <c r="B244" s="3" t="s">
        <v>79</v>
      </c>
      <c r="C244" s="3"/>
      <c r="D244" s="3" t="s">
        <v>186</v>
      </c>
      <c r="E244" s="3">
        <v>1</v>
      </c>
      <c r="F244" s="3">
        <v>1</v>
      </c>
      <c r="G244" s="3" t="s">
        <v>12</v>
      </c>
      <c r="H244" s="11">
        <v>45777</v>
      </c>
      <c r="I244" s="3" t="s">
        <v>142</v>
      </c>
      <c r="J244" s="3">
        <v>0</v>
      </c>
      <c r="K244" s="3">
        <v>0</v>
      </c>
      <c r="L244" s="3">
        <v>1.1000000000000001</v>
      </c>
      <c r="M244" s="3">
        <v>0</v>
      </c>
      <c r="N244" s="3">
        <v>0</v>
      </c>
      <c r="O244" s="3">
        <f t="shared" si="30"/>
        <v>1.1000000000000001</v>
      </c>
      <c r="P244" s="3">
        <v>3</v>
      </c>
      <c r="Q244" s="3">
        <v>2</v>
      </c>
      <c r="R244" s="3">
        <v>2</v>
      </c>
      <c r="S244" s="3">
        <v>2</v>
      </c>
      <c r="T244" s="3"/>
      <c r="U244" s="3">
        <f t="shared" si="31"/>
        <v>9</v>
      </c>
      <c r="V244" s="13">
        <f t="shared" si="32"/>
        <v>0.12222222222222223</v>
      </c>
      <c r="W244" s="13">
        <f t="shared" si="33"/>
        <v>0.12222222222222223</v>
      </c>
      <c r="X244" s="3">
        <f t="shared" si="40"/>
        <v>9</v>
      </c>
      <c r="Y244" s="3" t="e">
        <f t="shared" si="34"/>
        <v>#DIV/0!</v>
      </c>
      <c r="Z244" s="3"/>
      <c r="AA244" s="3"/>
      <c r="AB244" s="3"/>
      <c r="AC244" s="3" t="s">
        <v>82</v>
      </c>
      <c r="AD244" s="3" t="s">
        <v>83</v>
      </c>
      <c r="AE244" s="3">
        <v>15</v>
      </c>
      <c r="AF244" s="3" t="s">
        <v>143</v>
      </c>
      <c r="AG244" s="3" t="s">
        <v>194</v>
      </c>
      <c r="AH244" s="3"/>
    </row>
    <row r="245" spans="1:34" ht="14.25" customHeight="1" x14ac:dyDescent="0.25">
      <c r="A245" s="3" t="s">
        <v>150</v>
      </c>
      <c r="B245" s="3" t="s">
        <v>79</v>
      </c>
      <c r="C245" s="3"/>
      <c r="D245" s="3" t="s">
        <v>186</v>
      </c>
      <c r="E245" s="3">
        <v>1</v>
      </c>
      <c r="F245" s="3">
        <v>1</v>
      </c>
      <c r="G245" s="3" t="s">
        <v>14</v>
      </c>
      <c r="H245" s="11">
        <v>45777</v>
      </c>
      <c r="I245" s="3" t="s">
        <v>142</v>
      </c>
      <c r="J245" s="3">
        <v>3</v>
      </c>
      <c r="K245" s="3">
        <v>2.8</v>
      </c>
      <c r="L245" s="3">
        <v>2.2999999999999998</v>
      </c>
      <c r="M245" s="3">
        <v>0</v>
      </c>
      <c r="N245" s="3">
        <v>0</v>
      </c>
      <c r="O245" s="3">
        <f t="shared" si="30"/>
        <v>8.1</v>
      </c>
      <c r="P245" s="3">
        <v>3</v>
      </c>
      <c r="Q245" s="3">
        <v>2</v>
      </c>
      <c r="R245" s="3">
        <v>2</v>
      </c>
      <c r="S245" s="3">
        <v>2</v>
      </c>
      <c r="T245" s="3"/>
      <c r="U245" s="3">
        <f t="shared" si="31"/>
        <v>9</v>
      </c>
      <c r="V245" s="13">
        <f t="shared" si="32"/>
        <v>0.89999999999999991</v>
      </c>
      <c r="W245" s="13">
        <f t="shared" si="33"/>
        <v>0.89999999999999991</v>
      </c>
      <c r="X245" s="3">
        <f t="shared" si="40"/>
        <v>9</v>
      </c>
      <c r="Y245" s="3" t="e">
        <f t="shared" si="34"/>
        <v>#DIV/0!</v>
      </c>
      <c r="Z245" s="3"/>
      <c r="AA245" s="3"/>
      <c r="AB245" s="3"/>
      <c r="AC245" s="3" t="s">
        <v>82</v>
      </c>
      <c r="AD245" s="3" t="s">
        <v>83</v>
      </c>
      <c r="AE245" s="3">
        <v>15</v>
      </c>
      <c r="AF245" s="3" t="s">
        <v>143</v>
      </c>
      <c r="AG245" s="3" t="s">
        <v>194</v>
      </c>
      <c r="AH245" s="3"/>
    </row>
    <row r="246" spans="1:34" ht="14.25" customHeight="1" x14ac:dyDescent="0.25">
      <c r="A246" s="3" t="s">
        <v>150</v>
      </c>
      <c r="B246" s="3" t="s">
        <v>79</v>
      </c>
      <c r="C246" s="3"/>
      <c r="D246" s="3" t="s">
        <v>186</v>
      </c>
      <c r="E246" s="3">
        <v>1</v>
      </c>
      <c r="F246" s="3">
        <v>1</v>
      </c>
      <c r="G246" s="3" t="s">
        <v>16</v>
      </c>
      <c r="H246" s="11">
        <v>45777</v>
      </c>
      <c r="I246" s="3" t="s">
        <v>142</v>
      </c>
      <c r="J246" s="3">
        <v>6</v>
      </c>
      <c r="K246" s="3">
        <v>3.8</v>
      </c>
      <c r="L246" s="3">
        <v>0</v>
      </c>
      <c r="M246" s="3">
        <v>2.8</v>
      </c>
      <c r="N246" s="3">
        <v>0</v>
      </c>
      <c r="O246" s="3">
        <f t="shared" si="30"/>
        <v>12.600000000000001</v>
      </c>
      <c r="P246" s="3">
        <v>3</v>
      </c>
      <c r="Q246" s="3">
        <v>2</v>
      </c>
      <c r="R246" s="3">
        <v>2</v>
      </c>
      <c r="S246" s="3">
        <v>2</v>
      </c>
      <c r="T246" s="3"/>
      <c r="U246" s="3">
        <f t="shared" si="31"/>
        <v>9</v>
      </c>
      <c r="V246" s="13">
        <f t="shared" si="32"/>
        <v>1.4000000000000001</v>
      </c>
      <c r="W246" s="13">
        <f t="shared" si="33"/>
        <v>1.4000000000000001</v>
      </c>
      <c r="X246" s="3">
        <f t="shared" si="40"/>
        <v>9</v>
      </c>
      <c r="Y246" s="3" t="e">
        <f t="shared" si="34"/>
        <v>#DIV/0!</v>
      </c>
      <c r="Z246" s="3"/>
      <c r="AA246" s="3"/>
      <c r="AB246" s="3"/>
      <c r="AC246" s="3" t="s">
        <v>82</v>
      </c>
      <c r="AD246" s="3" t="s">
        <v>83</v>
      </c>
      <c r="AE246" s="3">
        <v>15</v>
      </c>
      <c r="AF246" s="3" t="s">
        <v>143</v>
      </c>
      <c r="AG246" s="3" t="s">
        <v>194</v>
      </c>
      <c r="AH246" s="3"/>
    </row>
    <row r="247" spans="1:34" ht="14.25" customHeight="1" x14ac:dyDescent="0.25">
      <c r="A247" s="3" t="s">
        <v>150</v>
      </c>
      <c r="B247" s="3" t="s">
        <v>79</v>
      </c>
      <c r="C247" s="3"/>
      <c r="D247" s="3" t="s">
        <v>186</v>
      </c>
      <c r="E247" s="3">
        <v>1</v>
      </c>
      <c r="F247" s="3">
        <v>1</v>
      </c>
      <c r="G247" s="3" t="s">
        <v>18</v>
      </c>
      <c r="H247" s="11">
        <v>45777</v>
      </c>
      <c r="I247" s="3" t="s">
        <v>142</v>
      </c>
      <c r="J247" s="3">
        <f>4.5+5</f>
        <v>9.5</v>
      </c>
      <c r="K247" s="3">
        <v>4.0999999999999996</v>
      </c>
      <c r="L247" s="3">
        <v>3.5</v>
      </c>
      <c r="M247" s="3">
        <f>6+2.8</f>
        <v>8.8000000000000007</v>
      </c>
      <c r="N247" s="3">
        <v>0</v>
      </c>
      <c r="O247" s="3">
        <f t="shared" si="30"/>
        <v>25.900000000000002</v>
      </c>
      <c r="P247" s="3">
        <v>3</v>
      </c>
      <c r="Q247" s="3">
        <v>2</v>
      </c>
      <c r="R247" s="3">
        <v>2</v>
      </c>
      <c r="S247" s="3">
        <v>2</v>
      </c>
      <c r="T247" s="3"/>
      <c r="U247" s="3">
        <f t="shared" si="31"/>
        <v>9</v>
      </c>
      <c r="V247" s="13">
        <f t="shared" si="32"/>
        <v>2.8777777777777782</v>
      </c>
      <c r="W247" s="13">
        <f t="shared" si="33"/>
        <v>2.8777777777777782</v>
      </c>
      <c r="X247" s="3">
        <f t="shared" si="40"/>
        <v>9</v>
      </c>
      <c r="Y247" s="3" t="e">
        <f t="shared" si="34"/>
        <v>#DIV/0!</v>
      </c>
      <c r="Z247" s="3"/>
      <c r="AA247" s="3"/>
      <c r="AB247" s="3"/>
      <c r="AC247" s="3" t="s">
        <v>82</v>
      </c>
      <c r="AD247" s="3" t="s">
        <v>83</v>
      </c>
      <c r="AE247" s="3">
        <v>15</v>
      </c>
      <c r="AF247" s="3" t="s">
        <v>143</v>
      </c>
      <c r="AG247" s="3" t="s">
        <v>194</v>
      </c>
      <c r="AH247" s="3"/>
    </row>
    <row r="248" spans="1:34" ht="14.25" customHeight="1" x14ac:dyDescent="0.25">
      <c r="A248" s="3" t="s">
        <v>118</v>
      </c>
      <c r="B248" s="3" t="s">
        <v>79</v>
      </c>
      <c r="C248" s="3"/>
      <c r="D248" s="3" t="s">
        <v>117</v>
      </c>
      <c r="E248" s="3">
        <v>1</v>
      </c>
      <c r="F248" s="3">
        <v>1</v>
      </c>
      <c r="G248" s="3" t="s">
        <v>1</v>
      </c>
      <c r="H248" s="11">
        <v>45777</v>
      </c>
      <c r="I248" s="3" t="s">
        <v>142</v>
      </c>
      <c r="J248" s="3">
        <v>25</v>
      </c>
      <c r="K248" s="3">
        <v>10</v>
      </c>
      <c r="L248" s="3">
        <v>0</v>
      </c>
      <c r="M248" s="3">
        <v>10</v>
      </c>
      <c r="N248" s="3">
        <v>0</v>
      </c>
      <c r="O248" s="3">
        <f t="shared" si="30"/>
        <v>45</v>
      </c>
      <c r="P248" s="3">
        <v>5</v>
      </c>
      <c r="Q248" s="3">
        <v>1</v>
      </c>
      <c r="R248" s="3">
        <v>1</v>
      </c>
      <c r="S248" s="3">
        <v>4</v>
      </c>
      <c r="T248" s="3">
        <v>0</v>
      </c>
      <c r="U248" s="3">
        <f t="shared" si="31"/>
        <v>11</v>
      </c>
      <c r="V248" s="13">
        <f t="shared" si="32"/>
        <v>4.0909090909090908</v>
      </c>
      <c r="W248" s="13">
        <f t="shared" si="33"/>
        <v>4.0909090909090908</v>
      </c>
      <c r="X248" s="3">
        <f t="shared" si="40"/>
        <v>11</v>
      </c>
      <c r="Y248" s="3" t="e">
        <f t="shared" si="34"/>
        <v>#DIV/0!</v>
      </c>
      <c r="Z248" s="3"/>
      <c r="AA248" s="3"/>
      <c r="AB248" s="3">
        <f t="shared" ref="AB248:AB265" si="41">12*4</f>
        <v>48</v>
      </c>
      <c r="AC248" s="3" t="s">
        <v>82</v>
      </c>
      <c r="AD248" s="3" t="s">
        <v>83</v>
      </c>
      <c r="AE248" s="3">
        <v>15</v>
      </c>
      <c r="AF248" s="3" t="s">
        <v>151</v>
      </c>
      <c r="AG248" s="3" t="s">
        <v>228</v>
      </c>
      <c r="AH248" s="3"/>
    </row>
    <row r="249" spans="1:34" ht="14.25" customHeight="1" x14ac:dyDescent="0.25">
      <c r="A249" s="3" t="s">
        <v>118</v>
      </c>
      <c r="B249" s="3" t="s">
        <v>79</v>
      </c>
      <c r="C249" s="3"/>
      <c r="D249" s="3" t="s">
        <v>117</v>
      </c>
      <c r="E249" s="3">
        <v>1</v>
      </c>
      <c r="F249" s="3">
        <v>1</v>
      </c>
      <c r="G249" s="3" t="s">
        <v>2</v>
      </c>
      <c r="H249" s="11">
        <v>45777</v>
      </c>
      <c r="I249" s="3" t="s">
        <v>142</v>
      </c>
      <c r="J249" s="3">
        <v>30</v>
      </c>
      <c r="K249" s="3">
        <v>20</v>
      </c>
      <c r="L249" s="3">
        <v>0</v>
      </c>
      <c r="M249" s="3">
        <v>15</v>
      </c>
      <c r="N249" s="3">
        <v>0</v>
      </c>
      <c r="O249" s="3">
        <f t="shared" si="30"/>
        <v>65</v>
      </c>
      <c r="P249" s="3">
        <v>5</v>
      </c>
      <c r="Q249" s="3">
        <v>1</v>
      </c>
      <c r="R249" s="3">
        <v>1</v>
      </c>
      <c r="S249" s="3">
        <v>4</v>
      </c>
      <c r="T249" s="3">
        <v>0</v>
      </c>
      <c r="U249" s="3">
        <f t="shared" si="31"/>
        <v>11</v>
      </c>
      <c r="V249" s="13">
        <f t="shared" si="32"/>
        <v>5.9090909090909092</v>
      </c>
      <c r="W249" s="13">
        <f t="shared" si="33"/>
        <v>5.9090909090909092</v>
      </c>
      <c r="X249" s="3">
        <f t="shared" si="40"/>
        <v>11</v>
      </c>
      <c r="Y249" s="3" t="e">
        <f t="shared" si="34"/>
        <v>#DIV/0!</v>
      </c>
      <c r="Z249" s="3"/>
      <c r="AA249" s="3"/>
      <c r="AB249" s="3">
        <f t="shared" si="41"/>
        <v>48</v>
      </c>
      <c r="AC249" s="3" t="s">
        <v>82</v>
      </c>
      <c r="AD249" s="3" t="s">
        <v>83</v>
      </c>
      <c r="AE249" s="3">
        <v>15</v>
      </c>
      <c r="AF249" s="3" t="s">
        <v>151</v>
      </c>
      <c r="AG249" s="3" t="s">
        <v>228</v>
      </c>
      <c r="AH249" s="3"/>
    </row>
    <row r="250" spans="1:34" ht="14.25" customHeight="1" x14ac:dyDescent="0.25">
      <c r="A250" s="3" t="s">
        <v>118</v>
      </c>
      <c r="B250" s="3" t="s">
        <v>79</v>
      </c>
      <c r="C250" s="3"/>
      <c r="D250" s="3" t="s">
        <v>117</v>
      </c>
      <c r="E250" s="3">
        <v>1</v>
      </c>
      <c r="F250" s="3">
        <v>1</v>
      </c>
      <c r="G250" s="3" t="s">
        <v>14</v>
      </c>
      <c r="H250" s="11">
        <v>45777</v>
      </c>
      <c r="I250" s="3" t="s">
        <v>142</v>
      </c>
      <c r="J250" s="3">
        <v>35</v>
      </c>
      <c r="K250" s="3">
        <v>5</v>
      </c>
      <c r="L250" s="3">
        <v>0</v>
      </c>
      <c r="M250" s="3">
        <v>17</v>
      </c>
      <c r="N250" s="3">
        <v>0</v>
      </c>
      <c r="O250" s="3">
        <f t="shared" si="30"/>
        <v>57</v>
      </c>
      <c r="P250" s="3">
        <v>5</v>
      </c>
      <c r="Q250" s="3">
        <v>1</v>
      </c>
      <c r="R250" s="3">
        <v>1</v>
      </c>
      <c r="S250" s="3">
        <v>4</v>
      </c>
      <c r="T250" s="3">
        <v>0</v>
      </c>
      <c r="U250" s="3">
        <f t="shared" si="31"/>
        <v>11</v>
      </c>
      <c r="V250" s="13">
        <f t="shared" si="32"/>
        <v>5.1818181818181817</v>
      </c>
      <c r="W250" s="13">
        <f t="shared" si="33"/>
        <v>5.1818181818181817</v>
      </c>
      <c r="X250" s="3">
        <f t="shared" si="40"/>
        <v>11</v>
      </c>
      <c r="Y250" s="3" t="e">
        <f t="shared" si="34"/>
        <v>#DIV/0!</v>
      </c>
      <c r="Z250" s="3"/>
      <c r="AA250" s="3"/>
      <c r="AB250" s="3">
        <f t="shared" si="41"/>
        <v>48</v>
      </c>
      <c r="AC250" s="3" t="s">
        <v>82</v>
      </c>
      <c r="AD250" s="3" t="s">
        <v>83</v>
      </c>
      <c r="AE250" s="3">
        <v>15</v>
      </c>
      <c r="AF250" s="3" t="s">
        <v>151</v>
      </c>
      <c r="AG250" s="3" t="s">
        <v>228</v>
      </c>
      <c r="AH250" s="3"/>
    </row>
    <row r="251" spans="1:34" ht="14.25" customHeight="1" x14ac:dyDescent="0.25">
      <c r="A251" s="3" t="s">
        <v>118</v>
      </c>
      <c r="B251" s="3" t="s">
        <v>79</v>
      </c>
      <c r="C251" s="3"/>
      <c r="D251" s="3" t="s">
        <v>117</v>
      </c>
      <c r="E251" s="3">
        <v>1</v>
      </c>
      <c r="F251" s="3">
        <v>1</v>
      </c>
      <c r="G251" s="3" t="s">
        <v>16</v>
      </c>
      <c r="H251" s="11">
        <v>45777</v>
      </c>
      <c r="I251" s="3" t="s">
        <v>142</v>
      </c>
      <c r="J251" s="3">
        <v>40</v>
      </c>
      <c r="K251" s="3">
        <v>16</v>
      </c>
      <c r="L251" s="3">
        <v>0</v>
      </c>
      <c r="M251" s="3">
        <v>12</v>
      </c>
      <c r="N251" s="3">
        <v>0</v>
      </c>
      <c r="O251" s="3">
        <f t="shared" si="30"/>
        <v>68</v>
      </c>
      <c r="P251" s="3">
        <v>5</v>
      </c>
      <c r="Q251" s="3">
        <v>1</v>
      </c>
      <c r="R251" s="3">
        <v>1</v>
      </c>
      <c r="S251" s="3">
        <v>4</v>
      </c>
      <c r="T251" s="3">
        <v>0</v>
      </c>
      <c r="U251" s="3">
        <f t="shared" si="31"/>
        <v>11</v>
      </c>
      <c r="V251" s="13">
        <f t="shared" si="32"/>
        <v>6.1818181818181817</v>
      </c>
      <c r="W251" s="13">
        <f t="shared" si="33"/>
        <v>6.1818181818181817</v>
      </c>
      <c r="X251" s="3">
        <f t="shared" si="40"/>
        <v>11</v>
      </c>
      <c r="Y251" s="3" t="e">
        <f t="shared" si="34"/>
        <v>#DIV/0!</v>
      </c>
      <c r="Z251" s="3"/>
      <c r="AA251" s="3"/>
      <c r="AB251" s="3">
        <f t="shared" si="41"/>
        <v>48</v>
      </c>
      <c r="AC251" s="3" t="s">
        <v>82</v>
      </c>
      <c r="AD251" s="3" t="s">
        <v>83</v>
      </c>
      <c r="AE251" s="3">
        <v>15</v>
      </c>
      <c r="AF251" s="3" t="s">
        <v>151</v>
      </c>
      <c r="AG251" s="3" t="s">
        <v>228</v>
      </c>
      <c r="AH251" s="3"/>
    </row>
    <row r="252" spans="1:34" ht="14.25" customHeight="1" x14ac:dyDescent="0.25">
      <c r="A252" s="3" t="s">
        <v>118</v>
      </c>
      <c r="B252" s="3" t="s">
        <v>79</v>
      </c>
      <c r="C252" s="3"/>
      <c r="D252" s="3" t="s">
        <v>117</v>
      </c>
      <c r="E252" s="3">
        <v>1</v>
      </c>
      <c r="F252" s="3">
        <v>1</v>
      </c>
      <c r="G252" s="3" t="s">
        <v>18</v>
      </c>
      <c r="H252" s="11">
        <v>45777</v>
      </c>
      <c r="I252" s="3" t="s">
        <v>142</v>
      </c>
      <c r="J252" s="3">
        <v>14</v>
      </c>
      <c r="K252" s="3">
        <v>10</v>
      </c>
      <c r="L252" s="3">
        <v>0</v>
      </c>
      <c r="M252" s="3">
        <v>15</v>
      </c>
      <c r="N252" s="3">
        <v>0</v>
      </c>
      <c r="O252" s="3">
        <f t="shared" si="30"/>
        <v>39</v>
      </c>
      <c r="P252" s="3">
        <v>5</v>
      </c>
      <c r="Q252" s="3">
        <v>1</v>
      </c>
      <c r="R252" s="3">
        <v>1</v>
      </c>
      <c r="S252" s="3">
        <v>4</v>
      </c>
      <c r="T252" s="3">
        <v>0</v>
      </c>
      <c r="U252" s="3">
        <f t="shared" si="31"/>
        <v>11</v>
      </c>
      <c r="V252" s="13">
        <f t="shared" si="32"/>
        <v>3.5454545454545454</v>
      </c>
      <c r="W252" s="13">
        <f t="shared" si="33"/>
        <v>3.5454545454545454</v>
      </c>
      <c r="X252" s="3">
        <f t="shared" si="40"/>
        <v>11</v>
      </c>
      <c r="Y252" s="3" t="e">
        <f t="shared" si="34"/>
        <v>#DIV/0!</v>
      </c>
      <c r="Z252" s="3"/>
      <c r="AA252" s="3"/>
      <c r="AB252" s="3">
        <f t="shared" si="41"/>
        <v>48</v>
      </c>
      <c r="AC252" s="3" t="s">
        <v>82</v>
      </c>
      <c r="AD252" s="3" t="s">
        <v>83</v>
      </c>
      <c r="AE252" s="3">
        <v>15</v>
      </c>
      <c r="AF252" s="3" t="s">
        <v>151</v>
      </c>
      <c r="AG252" s="3" t="s">
        <v>228</v>
      </c>
      <c r="AH252" s="3"/>
    </row>
    <row r="253" spans="1:34" ht="14.25" customHeight="1" x14ac:dyDescent="0.25">
      <c r="A253" s="3" t="s">
        <v>118</v>
      </c>
      <c r="B253" s="3" t="s">
        <v>79</v>
      </c>
      <c r="C253" s="3"/>
      <c r="D253" s="3" t="s">
        <v>117</v>
      </c>
      <c r="E253" s="3">
        <v>1</v>
      </c>
      <c r="F253" s="3">
        <v>1</v>
      </c>
      <c r="G253" s="3" t="s">
        <v>19</v>
      </c>
      <c r="H253" s="11">
        <v>45777</v>
      </c>
      <c r="I253" s="3" t="s">
        <v>142</v>
      </c>
      <c r="J253" s="3">
        <v>18</v>
      </c>
      <c r="K253" s="3">
        <v>6</v>
      </c>
      <c r="L253" s="3">
        <v>0</v>
      </c>
      <c r="M253" s="3">
        <v>6</v>
      </c>
      <c r="N253" s="3">
        <v>0</v>
      </c>
      <c r="O253" s="3">
        <f t="shared" si="30"/>
        <v>30</v>
      </c>
      <c r="P253" s="3">
        <v>5</v>
      </c>
      <c r="Q253" s="3">
        <v>1</v>
      </c>
      <c r="R253" s="3">
        <v>1</v>
      </c>
      <c r="S253" s="3">
        <v>4</v>
      </c>
      <c r="T253" s="3">
        <v>0</v>
      </c>
      <c r="U253" s="3">
        <f t="shared" si="31"/>
        <v>11</v>
      </c>
      <c r="V253" s="13">
        <f t="shared" si="32"/>
        <v>2.7272727272727271</v>
      </c>
      <c r="W253" s="13">
        <f t="shared" si="33"/>
        <v>2.7272727272727271</v>
      </c>
      <c r="X253" s="3">
        <f t="shared" si="40"/>
        <v>11</v>
      </c>
      <c r="Y253" s="3" t="e">
        <f t="shared" si="34"/>
        <v>#DIV/0!</v>
      </c>
      <c r="Z253" s="3"/>
      <c r="AA253" s="3"/>
      <c r="AB253" s="3">
        <f t="shared" si="41"/>
        <v>48</v>
      </c>
      <c r="AC253" s="3" t="s">
        <v>82</v>
      </c>
      <c r="AD253" s="3" t="s">
        <v>83</v>
      </c>
      <c r="AE253" s="3">
        <v>15</v>
      </c>
      <c r="AF253" s="3" t="s">
        <v>151</v>
      </c>
      <c r="AG253" s="3" t="s">
        <v>228</v>
      </c>
      <c r="AH253" s="3"/>
    </row>
    <row r="254" spans="1:34" ht="14.25" customHeight="1" x14ac:dyDescent="0.25">
      <c r="A254" s="3" t="s">
        <v>118</v>
      </c>
      <c r="B254" s="3" t="s">
        <v>79</v>
      </c>
      <c r="C254" s="3"/>
      <c r="D254" s="3" t="s">
        <v>117</v>
      </c>
      <c r="E254" s="3">
        <v>1</v>
      </c>
      <c r="F254" s="3">
        <v>1</v>
      </c>
      <c r="G254" s="3" t="s">
        <v>25</v>
      </c>
      <c r="H254" s="11">
        <v>45777</v>
      </c>
      <c r="I254" s="3" t="s">
        <v>142</v>
      </c>
      <c r="J254" s="3">
        <v>28</v>
      </c>
      <c r="K254" s="3">
        <v>21</v>
      </c>
      <c r="L254" s="3">
        <v>0</v>
      </c>
      <c r="M254" s="3">
        <v>18</v>
      </c>
      <c r="N254" s="3">
        <v>0</v>
      </c>
      <c r="O254" s="3">
        <f t="shared" si="30"/>
        <v>67</v>
      </c>
      <c r="P254" s="3">
        <v>5</v>
      </c>
      <c r="Q254" s="3">
        <v>1</v>
      </c>
      <c r="R254" s="3">
        <v>1</v>
      </c>
      <c r="S254" s="3">
        <v>4</v>
      </c>
      <c r="T254" s="3">
        <v>0</v>
      </c>
      <c r="U254" s="3">
        <f t="shared" si="31"/>
        <v>11</v>
      </c>
      <c r="V254" s="13">
        <f t="shared" si="32"/>
        <v>6.0909090909090908</v>
      </c>
      <c r="W254" s="13">
        <f t="shared" si="33"/>
        <v>6.0909090909090908</v>
      </c>
      <c r="X254" s="3">
        <f t="shared" si="40"/>
        <v>11</v>
      </c>
      <c r="Y254" s="3" t="e">
        <f t="shared" si="34"/>
        <v>#DIV/0!</v>
      </c>
      <c r="Z254" s="3"/>
      <c r="AA254" s="3"/>
      <c r="AB254" s="3">
        <f t="shared" si="41"/>
        <v>48</v>
      </c>
      <c r="AC254" s="3" t="s">
        <v>82</v>
      </c>
      <c r="AD254" s="3" t="s">
        <v>83</v>
      </c>
      <c r="AE254" s="3">
        <v>15</v>
      </c>
      <c r="AF254" s="3" t="s">
        <v>151</v>
      </c>
      <c r="AG254" s="3" t="s">
        <v>228</v>
      </c>
      <c r="AH254" s="3"/>
    </row>
    <row r="255" spans="1:34" ht="14.25" customHeight="1" x14ac:dyDescent="0.25">
      <c r="A255" s="3" t="s">
        <v>118</v>
      </c>
      <c r="B255" s="3" t="s">
        <v>79</v>
      </c>
      <c r="C255" s="3"/>
      <c r="D255" s="3" t="s">
        <v>117</v>
      </c>
      <c r="E255" s="3">
        <v>1</v>
      </c>
      <c r="F255" s="3">
        <v>1</v>
      </c>
      <c r="G255" s="3" t="s">
        <v>22</v>
      </c>
      <c r="H255" s="11">
        <v>45777</v>
      </c>
      <c r="I255" s="3" t="s">
        <v>142</v>
      </c>
      <c r="J255" s="3">
        <v>16</v>
      </c>
      <c r="K255" s="3">
        <v>11</v>
      </c>
      <c r="L255" s="3">
        <v>0</v>
      </c>
      <c r="M255" s="3">
        <v>10</v>
      </c>
      <c r="N255" s="3">
        <v>0</v>
      </c>
      <c r="O255" s="3">
        <f t="shared" si="30"/>
        <v>37</v>
      </c>
      <c r="P255" s="3">
        <v>5</v>
      </c>
      <c r="Q255" s="3">
        <v>1</v>
      </c>
      <c r="R255" s="3">
        <v>1</v>
      </c>
      <c r="S255" s="3">
        <v>4</v>
      </c>
      <c r="T255" s="3">
        <v>0</v>
      </c>
      <c r="U255" s="3">
        <f t="shared" si="31"/>
        <v>11</v>
      </c>
      <c r="V255" s="13">
        <f t="shared" si="32"/>
        <v>3.3636363636363638</v>
      </c>
      <c r="W255" s="13">
        <f t="shared" si="33"/>
        <v>3.3636363636363638</v>
      </c>
      <c r="X255" s="3">
        <f t="shared" si="40"/>
        <v>11</v>
      </c>
      <c r="Y255" s="3" t="e">
        <f t="shared" si="34"/>
        <v>#DIV/0!</v>
      </c>
      <c r="Z255" s="3"/>
      <c r="AA255" s="3"/>
      <c r="AB255" s="3">
        <f t="shared" si="41"/>
        <v>48</v>
      </c>
      <c r="AC255" s="3" t="s">
        <v>82</v>
      </c>
      <c r="AD255" s="3" t="s">
        <v>83</v>
      </c>
      <c r="AE255" s="3">
        <v>15</v>
      </c>
      <c r="AF255" s="3" t="s">
        <v>151</v>
      </c>
      <c r="AG255" s="3" t="s">
        <v>228</v>
      </c>
      <c r="AH255" s="3"/>
    </row>
    <row r="256" spans="1:34" ht="14.25" customHeight="1" x14ac:dyDescent="0.25">
      <c r="A256" s="3" t="s">
        <v>118</v>
      </c>
      <c r="B256" s="3" t="s">
        <v>79</v>
      </c>
      <c r="C256" s="3"/>
      <c r="D256" s="3" t="s">
        <v>117</v>
      </c>
      <c r="E256" s="3">
        <v>1</v>
      </c>
      <c r="F256" s="3">
        <v>1</v>
      </c>
      <c r="G256" s="3" t="s">
        <v>15</v>
      </c>
      <c r="H256" s="11">
        <v>45777</v>
      </c>
      <c r="I256" s="3" t="s">
        <v>142</v>
      </c>
      <c r="J256" s="3">
        <v>19</v>
      </c>
      <c r="K256" s="3">
        <v>17</v>
      </c>
      <c r="L256" s="3">
        <v>0</v>
      </c>
      <c r="M256" s="3">
        <v>17</v>
      </c>
      <c r="N256" s="3">
        <v>0</v>
      </c>
      <c r="O256" s="3">
        <f t="shared" si="30"/>
        <v>53</v>
      </c>
      <c r="P256" s="3">
        <v>5</v>
      </c>
      <c r="Q256" s="3">
        <v>1</v>
      </c>
      <c r="R256" s="3">
        <v>1</v>
      </c>
      <c r="S256" s="3">
        <v>4</v>
      </c>
      <c r="T256" s="3">
        <v>0</v>
      </c>
      <c r="U256" s="3">
        <f t="shared" si="31"/>
        <v>11</v>
      </c>
      <c r="V256" s="13">
        <f t="shared" si="32"/>
        <v>4.8181818181818183</v>
      </c>
      <c r="W256" s="13">
        <f t="shared" si="33"/>
        <v>4.8181818181818183</v>
      </c>
      <c r="X256" s="3">
        <f t="shared" si="40"/>
        <v>11</v>
      </c>
      <c r="Y256" s="3" t="e">
        <f t="shared" si="34"/>
        <v>#DIV/0!</v>
      </c>
      <c r="Z256" s="3"/>
      <c r="AA256" s="3"/>
      <c r="AB256" s="3">
        <f t="shared" si="41"/>
        <v>48</v>
      </c>
      <c r="AC256" s="3" t="s">
        <v>82</v>
      </c>
      <c r="AD256" s="3" t="s">
        <v>83</v>
      </c>
      <c r="AE256" s="3">
        <v>15</v>
      </c>
      <c r="AF256" s="3" t="s">
        <v>151</v>
      </c>
      <c r="AG256" s="3" t="s">
        <v>228</v>
      </c>
      <c r="AH256" s="3"/>
    </row>
    <row r="257" spans="1:34" ht="14.25" customHeight="1" x14ac:dyDescent="0.25">
      <c r="A257" s="3" t="s">
        <v>131</v>
      </c>
      <c r="B257" s="3" t="s">
        <v>79</v>
      </c>
      <c r="C257" s="3"/>
      <c r="D257" s="3" t="s">
        <v>117</v>
      </c>
      <c r="E257" s="3">
        <v>1</v>
      </c>
      <c r="F257" s="3">
        <v>1</v>
      </c>
      <c r="G257" s="3" t="s">
        <v>1</v>
      </c>
      <c r="H257" s="11">
        <v>45777</v>
      </c>
      <c r="I257" s="3" t="s">
        <v>142</v>
      </c>
      <c r="J257" s="3">
        <v>15</v>
      </c>
      <c r="K257" s="3">
        <v>15</v>
      </c>
      <c r="L257" s="3">
        <v>0</v>
      </c>
      <c r="M257" s="3">
        <v>15</v>
      </c>
      <c r="N257" s="3">
        <v>0</v>
      </c>
      <c r="O257" s="3">
        <f t="shared" si="30"/>
        <v>45</v>
      </c>
      <c r="P257" s="3">
        <v>5</v>
      </c>
      <c r="Q257" s="3">
        <v>4</v>
      </c>
      <c r="R257" s="3">
        <v>2</v>
      </c>
      <c r="S257" s="3">
        <v>4</v>
      </c>
      <c r="T257" s="3">
        <v>0</v>
      </c>
      <c r="U257" s="3">
        <f t="shared" si="31"/>
        <v>15</v>
      </c>
      <c r="V257" s="13">
        <f t="shared" si="32"/>
        <v>3</v>
      </c>
      <c r="W257" s="13">
        <f t="shared" si="33"/>
        <v>3</v>
      </c>
      <c r="X257" s="3">
        <f t="shared" si="40"/>
        <v>15</v>
      </c>
      <c r="Y257" s="3" t="e">
        <f t="shared" si="34"/>
        <v>#DIV/0!</v>
      </c>
      <c r="Z257" s="3"/>
      <c r="AA257" s="3"/>
      <c r="AB257" s="3">
        <f t="shared" si="41"/>
        <v>48</v>
      </c>
      <c r="AC257" s="3" t="s">
        <v>82</v>
      </c>
      <c r="AD257" s="3" t="s">
        <v>83</v>
      </c>
      <c r="AE257" s="3">
        <v>15</v>
      </c>
      <c r="AF257" s="3" t="s">
        <v>151</v>
      </c>
      <c r="AG257" s="3" t="s">
        <v>228</v>
      </c>
      <c r="AH257" s="3"/>
    </row>
    <row r="258" spans="1:34" ht="14.25" customHeight="1" x14ac:dyDescent="0.25">
      <c r="A258" s="3" t="s">
        <v>131</v>
      </c>
      <c r="B258" s="3" t="s">
        <v>79</v>
      </c>
      <c r="C258" s="3"/>
      <c r="D258" s="3" t="s">
        <v>117</v>
      </c>
      <c r="E258" s="3">
        <v>1</v>
      </c>
      <c r="F258" s="3">
        <v>1</v>
      </c>
      <c r="G258" s="3" t="s">
        <v>2</v>
      </c>
      <c r="H258" s="11">
        <v>45777</v>
      </c>
      <c r="I258" s="3" t="s">
        <v>142</v>
      </c>
      <c r="J258" s="3">
        <v>24</v>
      </c>
      <c r="K258" s="3">
        <v>10</v>
      </c>
      <c r="L258" s="3">
        <v>0</v>
      </c>
      <c r="M258" s="3">
        <v>10</v>
      </c>
      <c r="N258" s="3">
        <v>0</v>
      </c>
      <c r="O258" s="3">
        <f t="shared" si="30"/>
        <v>44</v>
      </c>
      <c r="P258" s="3">
        <v>5</v>
      </c>
      <c r="Q258" s="3">
        <v>4</v>
      </c>
      <c r="R258" s="3">
        <v>2</v>
      </c>
      <c r="S258" s="3">
        <v>4</v>
      </c>
      <c r="T258" s="3">
        <v>0</v>
      </c>
      <c r="U258" s="3">
        <f t="shared" si="31"/>
        <v>15</v>
      </c>
      <c r="V258" s="13">
        <f t="shared" si="32"/>
        <v>2.9333333333333331</v>
      </c>
      <c r="W258" s="13">
        <f t="shared" si="33"/>
        <v>2.9333333333333331</v>
      </c>
      <c r="X258" s="3">
        <f t="shared" si="40"/>
        <v>15</v>
      </c>
      <c r="Y258" s="3" t="e">
        <f t="shared" si="34"/>
        <v>#DIV/0!</v>
      </c>
      <c r="Z258" s="3"/>
      <c r="AA258" s="3"/>
      <c r="AB258" s="3">
        <f t="shared" si="41"/>
        <v>48</v>
      </c>
      <c r="AC258" s="3" t="s">
        <v>82</v>
      </c>
      <c r="AD258" s="3" t="s">
        <v>83</v>
      </c>
      <c r="AE258" s="3">
        <v>15</v>
      </c>
      <c r="AF258" s="3" t="s">
        <v>151</v>
      </c>
      <c r="AG258" s="3" t="s">
        <v>228</v>
      </c>
      <c r="AH258" s="3"/>
    </row>
    <row r="259" spans="1:34" ht="14.25" customHeight="1" x14ac:dyDescent="0.25">
      <c r="A259" s="3" t="s">
        <v>131</v>
      </c>
      <c r="B259" s="3" t="s">
        <v>79</v>
      </c>
      <c r="C259" s="3"/>
      <c r="D259" s="3" t="s">
        <v>117</v>
      </c>
      <c r="E259" s="3">
        <v>1</v>
      </c>
      <c r="F259" s="3">
        <v>1</v>
      </c>
      <c r="G259" s="3" t="s">
        <v>14</v>
      </c>
      <c r="H259" s="11">
        <v>45777</v>
      </c>
      <c r="I259" s="3" t="s">
        <v>142</v>
      </c>
      <c r="J259" s="3">
        <v>15</v>
      </c>
      <c r="K259" s="3">
        <v>10</v>
      </c>
      <c r="L259" s="3">
        <v>0</v>
      </c>
      <c r="M259" s="3">
        <v>15</v>
      </c>
      <c r="N259" s="3">
        <v>0</v>
      </c>
      <c r="O259" s="3">
        <f t="shared" si="30"/>
        <v>40</v>
      </c>
      <c r="P259" s="3">
        <v>5</v>
      </c>
      <c r="Q259" s="3">
        <v>4</v>
      </c>
      <c r="R259" s="3">
        <v>2</v>
      </c>
      <c r="S259" s="3">
        <v>4</v>
      </c>
      <c r="T259" s="3">
        <v>0</v>
      </c>
      <c r="U259" s="3">
        <f t="shared" si="31"/>
        <v>15</v>
      </c>
      <c r="V259" s="13">
        <f t="shared" si="32"/>
        <v>2.6666666666666665</v>
      </c>
      <c r="W259" s="13">
        <f t="shared" ref="W259:W322" si="42">O259/U259/F259</f>
        <v>2.6666666666666665</v>
      </c>
      <c r="X259" s="3">
        <f t="shared" si="40"/>
        <v>15</v>
      </c>
      <c r="Y259" s="3" t="e">
        <f t="shared" ref="Y259:Y322" si="43">O259/U259/AA259</f>
        <v>#DIV/0!</v>
      </c>
      <c r="Z259" s="3"/>
      <c r="AA259" s="3"/>
      <c r="AB259" s="3">
        <f t="shared" si="41"/>
        <v>48</v>
      </c>
      <c r="AC259" s="3" t="s">
        <v>82</v>
      </c>
      <c r="AD259" s="3" t="s">
        <v>83</v>
      </c>
      <c r="AE259" s="3">
        <v>15</v>
      </c>
      <c r="AF259" s="3" t="s">
        <v>151</v>
      </c>
      <c r="AG259" s="3" t="s">
        <v>228</v>
      </c>
      <c r="AH259" s="3"/>
    </row>
    <row r="260" spans="1:34" ht="14.25" customHeight="1" x14ac:dyDescent="0.25">
      <c r="A260" s="3" t="s">
        <v>131</v>
      </c>
      <c r="B260" s="3" t="s">
        <v>79</v>
      </c>
      <c r="C260" s="3"/>
      <c r="D260" s="3" t="s">
        <v>117</v>
      </c>
      <c r="E260" s="3">
        <v>1</v>
      </c>
      <c r="F260" s="3">
        <v>1</v>
      </c>
      <c r="G260" s="3" t="s">
        <v>16</v>
      </c>
      <c r="H260" s="11">
        <v>45777</v>
      </c>
      <c r="I260" s="3" t="s">
        <v>142</v>
      </c>
      <c r="J260" s="3">
        <v>20</v>
      </c>
      <c r="K260" s="3">
        <v>8</v>
      </c>
      <c r="L260" s="3">
        <v>0</v>
      </c>
      <c r="M260" s="3">
        <v>10</v>
      </c>
      <c r="N260" s="3">
        <v>0</v>
      </c>
      <c r="O260" s="3">
        <f t="shared" si="30"/>
        <v>38</v>
      </c>
      <c r="P260" s="3">
        <v>5</v>
      </c>
      <c r="Q260" s="3">
        <v>4</v>
      </c>
      <c r="R260" s="3">
        <v>2</v>
      </c>
      <c r="S260" s="3">
        <v>4</v>
      </c>
      <c r="T260" s="3">
        <v>0</v>
      </c>
      <c r="U260" s="3">
        <f t="shared" si="31"/>
        <v>15</v>
      </c>
      <c r="V260" s="13">
        <f t="shared" si="32"/>
        <v>2.5333333333333332</v>
      </c>
      <c r="W260" s="13">
        <f t="shared" si="42"/>
        <v>2.5333333333333332</v>
      </c>
      <c r="X260" s="3">
        <f t="shared" si="40"/>
        <v>15</v>
      </c>
      <c r="Y260" s="3" t="e">
        <f t="shared" si="43"/>
        <v>#DIV/0!</v>
      </c>
      <c r="Z260" s="3"/>
      <c r="AA260" s="3"/>
      <c r="AB260" s="3">
        <f t="shared" si="41"/>
        <v>48</v>
      </c>
      <c r="AC260" s="3" t="s">
        <v>82</v>
      </c>
      <c r="AD260" s="3" t="s">
        <v>83</v>
      </c>
      <c r="AE260" s="3">
        <v>15</v>
      </c>
      <c r="AF260" s="3" t="s">
        <v>151</v>
      </c>
      <c r="AG260" s="3" t="s">
        <v>228</v>
      </c>
      <c r="AH260" s="3"/>
    </row>
    <row r="261" spans="1:34" ht="14.25" customHeight="1" x14ac:dyDescent="0.25">
      <c r="A261" s="3" t="s">
        <v>131</v>
      </c>
      <c r="B261" s="3" t="s">
        <v>79</v>
      </c>
      <c r="C261" s="3"/>
      <c r="D261" s="3" t="s">
        <v>117</v>
      </c>
      <c r="E261" s="3">
        <v>1</v>
      </c>
      <c r="F261" s="3">
        <v>1</v>
      </c>
      <c r="G261" s="3" t="s">
        <v>18</v>
      </c>
      <c r="H261" s="11">
        <v>45777</v>
      </c>
      <c r="I261" s="3" t="s">
        <v>142</v>
      </c>
      <c r="J261" s="3">
        <v>16</v>
      </c>
      <c r="K261" s="3">
        <v>12</v>
      </c>
      <c r="L261" s="3">
        <v>0</v>
      </c>
      <c r="M261" s="3">
        <v>13</v>
      </c>
      <c r="N261" s="3">
        <v>0</v>
      </c>
      <c r="O261" s="3">
        <f t="shared" si="30"/>
        <v>41</v>
      </c>
      <c r="P261" s="3">
        <v>5</v>
      </c>
      <c r="Q261" s="3">
        <v>4</v>
      </c>
      <c r="R261" s="3">
        <v>2</v>
      </c>
      <c r="S261" s="3">
        <v>4</v>
      </c>
      <c r="T261" s="3">
        <v>0</v>
      </c>
      <c r="U261" s="3">
        <f t="shared" si="31"/>
        <v>15</v>
      </c>
      <c r="V261" s="13">
        <f t="shared" si="32"/>
        <v>2.7333333333333334</v>
      </c>
      <c r="W261" s="13">
        <f t="shared" si="42"/>
        <v>2.7333333333333334</v>
      </c>
      <c r="X261" s="3">
        <f t="shared" si="40"/>
        <v>15</v>
      </c>
      <c r="Y261" s="3" t="e">
        <f t="shared" si="43"/>
        <v>#DIV/0!</v>
      </c>
      <c r="Z261" s="3"/>
      <c r="AA261" s="3"/>
      <c r="AB261" s="3">
        <f t="shared" si="41"/>
        <v>48</v>
      </c>
      <c r="AC261" s="3" t="s">
        <v>82</v>
      </c>
      <c r="AD261" s="3" t="s">
        <v>83</v>
      </c>
      <c r="AE261" s="3">
        <v>15</v>
      </c>
      <c r="AF261" s="3" t="s">
        <v>151</v>
      </c>
      <c r="AG261" s="3" t="s">
        <v>228</v>
      </c>
      <c r="AH261" s="3"/>
    </row>
    <row r="262" spans="1:34" ht="14.25" customHeight="1" x14ac:dyDescent="0.25">
      <c r="A262" s="3" t="s">
        <v>131</v>
      </c>
      <c r="B262" s="3" t="s">
        <v>79</v>
      </c>
      <c r="C262" s="3"/>
      <c r="D262" s="3" t="s">
        <v>117</v>
      </c>
      <c r="E262" s="3">
        <v>1</v>
      </c>
      <c r="F262" s="3">
        <v>1</v>
      </c>
      <c r="G262" s="3" t="s">
        <v>19</v>
      </c>
      <c r="H262" s="11">
        <v>45777</v>
      </c>
      <c r="I262" s="3" t="s">
        <v>142</v>
      </c>
      <c r="J262" s="3">
        <v>10</v>
      </c>
      <c r="K262" s="3">
        <v>8</v>
      </c>
      <c r="L262" s="3">
        <v>0</v>
      </c>
      <c r="M262" s="3">
        <v>8</v>
      </c>
      <c r="N262" s="3">
        <v>0</v>
      </c>
      <c r="O262" s="3">
        <f t="shared" si="30"/>
        <v>26</v>
      </c>
      <c r="P262" s="3">
        <v>5</v>
      </c>
      <c r="Q262" s="3">
        <v>4</v>
      </c>
      <c r="R262" s="3">
        <v>2</v>
      </c>
      <c r="S262" s="3">
        <v>4</v>
      </c>
      <c r="T262" s="3">
        <v>0</v>
      </c>
      <c r="U262" s="3">
        <f t="shared" si="31"/>
        <v>15</v>
      </c>
      <c r="V262" s="13">
        <f t="shared" si="32"/>
        <v>1.7333333333333334</v>
      </c>
      <c r="W262" s="13">
        <f t="shared" si="42"/>
        <v>1.7333333333333334</v>
      </c>
      <c r="X262" s="3">
        <f t="shared" si="40"/>
        <v>15</v>
      </c>
      <c r="Y262" s="3" t="e">
        <f t="shared" si="43"/>
        <v>#DIV/0!</v>
      </c>
      <c r="Z262" s="3"/>
      <c r="AA262" s="3"/>
      <c r="AB262" s="3">
        <f t="shared" si="41"/>
        <v>48</v>
      </c>
      <c r="AC262" s="3" t="s">
        <v>82</v>
      </c>
      <c r="AD262" s="3" t="s">
        <v>83</v>
      </c>
      <c r="AE262" s="3">
        <v>15</v>
      </c>
      <c r="AF262" s="3" t="s">
        <v>151</v>
      </c>
      <c r="AG262" s="3" t="s">
        <v>228</v>
      </c>
      <c r="AH262" s="3"/>
    </row>
    <row r="263" spans="1:34" ht="14.25" customHeight="1" x14ac:dyDescent="0.25">
      <c r="A263" s="3" t="s">
        <v>131</v>
      </c>
      <c r="B263" s="3" t="s">
        <v>79</v>
      </c>
      <c r="C263" s="3"/>
      <c r="D263" s="3" t="s">
        <v>117</v>
      </c>
      <c r="E263" s="3">
        <v>1</v>
      </c>
      <c r="F263" s="3">
        <v>1</v>
      </c>
      <c r="G263" s="3" t="s">
        <v>25</v>
      </c>
      <c r="H263" s="11">
        <v>45777</v>
      </c>
      <c r="I263" s="3" t="s">
        <v>142</v>
      </c>
      <c r="J263" s="3">
        <v>18</v>
      </c>
      <c r="K263" s="3">
        <v>16</v>
      </c>
      <c r="L263" s="3">
        <v>0</v>
      </c>
      <c r="M263" s="3">
        <v>10</v>
      </c>
      <c r="N263" s="3">
        <v>0</v>
      </c>
      <c r="O263" s="3">
        <f t="shared" si="30"/>
        <v>44</v>
      </c>
      <c r="P263" s="3">
        <v>5</v>
      </c>
      <c r="Q263" s="3">
        <v>4</v>
      </c>
      <c r="R263" s="3">
        <v>2</v>
      </c>
      <c r="S263" s="3">
        <v>4</v>
      </c>
      <c r="T263" s="3">
        <v>0</v>
      </c>
      <c r="U263" s="3">
        <f t="shared" si="31"/>
        <v>15</v>
      </c>
      <c r="V263" s="13">
        <f t="shared" si="32"/>
        <v>2.9333333333333331</v>
      </c>
      <c r="W263" s="13">
        <f t="shared" si="42"/>
        <v>2.9333333333333331</v>
      </c>
      <c r="X263" s="3">
        <f t="shared" si="40"/>
        <v>15</v>
      </c>
      <c r="Y263" s="3" t="e">
        <f t="shared" si="43"/>
        <v>#DIV/0!</v>
      </c>
      <c r="Z263" s="3"/>
      <c r="AA263" s="3"/>
      <c r="AB263" s="3">
        <f t="shared" si="41"/>
        <v>48</v>
      </c>
      <c r="AC263" s="3" t="s">
        <v>82</v>
      </c>
      <c r="AD263" s="3" t="s">
        <v>83</v>
      </c>
      <c r="AE263" s="3">
        <v>15</v>
      </c>
      <c r="AF263" s="3" t="s">
        <v>151</v>
      </c>
      <c r="AG263" s="3" t="s">
        <v>228</v>
      </c>
      <c r="AH263" s="3"/>
    </row>
    <row r="264" spans="1:34" ht="14.25" customHeight="1" x14ac:dyDescent="0.25">
      <c r="A264" s="3" t="s">
        <v>131</v>
      </c>
      <c r="B264" s="3" t="s">
        <v>79</v>
      </c>
      <c r="C264" s="3"/>
      <c r="D264" s="3" t="s">
        <v>117</v>
      </c>
      <c r="E264" s="3">
        <v>1</v>
      </c>
      <c r="F264" s="3">
        <v>1</v>
      </c>
      <c r="G264" s="3" t="s">
        <v>22</v>
      </c>
      <c r="H264" s="11">
        <v>45777</v>
      </c>
      <c r="I264" s="3" t="s">
        <v>142</v>
      </c>
      <c r="J264" s="3">
        <v>10</v>
      </c>
      <c r="K264" s="3">
        <v>8</v>
      </c>
      <c r="L264" s="3">
        <v>0</v>
      </c>
      <c r="M264" s="3">
        <v>0</v>
      </c>
      <c r="N264" s="3">
        <v>0</v>
      </c>
      <c r="O264" s="3">
        <f t="shared" si="30"/>
        <v>18</v>
      </c>
      <c r="P264" s="3">
        <v>5</v>
      </c>
      <c r="Q264" s="3">
        <v>4</v>
      </c>
      <c r="R264" s="3">
        <v>2</v>
      </c>
      <c r="S264" s="3">
        <v>4</v>
      </c>
      <c r="T264" s="3">
        <v>0</v>
      </c>
      <c r="U264" s="3">
        <f t="shared" si="31"/>
        <v>15</v>
      </c>
      <c r="V264" s="13">
        <f t="shared" si="32"/>
        <v>1.2</v>
      </c>
      <c r="W264" s="13">
        <f t="shared" si="42"/>
        <v>1.2</v>
      </c>
      <c r="X264" s="3">
        <f t="shared" si="40"/>
        <v>15</v>
      </c>
      <c r="Y264" s="3" t="e">
        <f t="shared" si="43"/>
        <v>#DIV/0!</v>
      </c>
      <c r="Z264" s="3"/>
      <c r="AA264" s="3"/>
      <c r="AB264" s="3">
        <f t="shared" si="41"/>
        <v>48</v>
      </c>
      <c r="AC264" s="3" t="s">
        <v>82</v>
      </c>
      <c r="AD264" s="3" t="s">
        <v>83</v>
      </c>
      <c r="AE264" s="3">
        <v>15</v>
      </c>
      <c r="AF264" s="3" t="s">
        <v>151</v>
      </c>
      <c r="AG264" s="3" t="s">
        <v>228</v>
      </c>
      <c r="AH264" s="3"/>
    </row>
    <row r="265" spans="1:34" ht="14.25" customHeight="1" x14ac:dyDescent="0.25">
      <c r="A265" s="3" t="s">
        <v>131</v>
      </c>
      <c r="B265" s="3" t="s">
        <v>79</v>
      </c>
      <c r="C265" s="3"/>
      <c r="D265" s="3" t="s">
        <v>117</v>
      </c>
      <c r="E265" s="3">
        <v>1</v>
      </c>
      <c r="F265" s="3">
        <v>1</v>
      </c>
      <c r="G265" s="3" t="s">
        <v>15</v>
      </c>
      <c r="H265" s="11">
        <v>45777</v>
      </c>
      <c r="I265" s="3" t="s">
        <v>142</v>
      </c>
      <c r="J265" s="3">
        <v>22</v>
      </c>
      <c r="K265" s="3">
        <v>21</v>
      </c>
      <c r="L265" s="3">
        <v>0</v>
      </c>
      <c r="M265" s="3">
        <v>25</v>
      </c>
      <c r="N265" s="3">
        <v>0</v>
      </c>
      <c r="O265" s="3">
        <f t="shared" si="30"/>
        <v>68</v>
      </c>
      <c r="P265" s="3">
        <v>5</v>
      </c>
      <c r="Q265" s="3">
        <v>4</v>
      </c>
      <c r="R265" s="3">
        <v>2</v>
      </c>
      <c r="S265" s="3">
        <v>4</v>
      </c>
      <c r="T265" s="3">
        <v>0</v>
      </c>
      <c r="U265" s="3">
        <f t="shared" si="31"/>
        <v>15</v>
      </c>
      <c r="V265" s="13">
        <f t="shared" si="32"/>
        <v>4.5333333333333332</v>
      </c>
      <c r="W265" s="13">
        <f t="shared" si="42"/>
        <v>4.5333333333333332</v>
      </c>
      <c r="X265" s="3">
        <f t="shared" si="40"/>
        <v>15</v>
      </c>
      <c r="Y265" s="3" t="e">
        <f t="shared" si="43"/>
        <v>#DIV/0!</v>
      </c>
      <c r="Z265" s="3"/>
      <c r="AA265" s="3"/>
      <c r="AB265" s="3">
        <f t="shared" si="41"/>
        <v>48</v>
      </c>
      <c r="AC265" s="3" t="s">
        <v>82</v>
      </c>
      <c r="AD265" s="3" t="s">
        <v>83</v>
      </c>
      <c r="AE265" s="3">
        <v>15</v>
      </c>
      <c r="AF265" s="3" t="s">
        <v>151</v>
      </c>
      <c r="AG265" s="3" t="s">
        <v>228</v>
      </c>
      <c r="AH265" s="3"/>
    </row>
    <row r="266" spans="1:34" ht="14.25" customHeight="1" x14ac:dyDescent="0.25">
      <c r="A266" s="3" t="s">
        <v>116</v>
      </c>
      <c r="B266" s="3" t="s">
        <v>79</v>
      </c>
      <c r="C266" s="3"/>
      <c r="D266" s="3" t="s">
        <v>117</v>
      </c>
      <c r="E266" s="3">
        <v>1</v>
      </c>
      <c r="F266" s="3">
        <v>1</v>
      </c>
      <c r="G266" s="3" t="s">
        <v>1</v>
      </c>
      <c r="H266" s="11">
        <v>45777</v>
      </c>
      <c r="I266" s="3" t="s">
        <v>142</v>
      </c>
      <c r="J266" s="3">
        <v>0</v>
      </c>
      <c r="K266" s="3">
        <v>5</v>
      </c>
      <c r="L266" s="3">
        <v>9</v>
      </c>
      <c r="M266" s="3">
        <v>0</v>
      </c>
      <c r="N266" s="3">
        <v>0</v>
      </c>
      <c r="O266" s="3">
        <f t="shared" si="30"/>
        <v>14</v>
      </c>
      <c r="P266" s="3">
        <v>4</v>
      </c>
      <c r="Q266" s="3">
        <v>3</v>
      </c>
      <c r="R266" s="3">
        <v>3</v>
      </c>
      <c r="S266" s="3">
        <v>4</v>
      </c>
      <c r="T266" s="3">
        <v>2</v>
      </c>
      <c r="U266" s="3">
        <f t="shared" si="31"/>
        <v>16</v>
      </c>
      <c r="V266" s="13">
        <f t="shared" si="32"/>
        <v>0.875</v>
      </c>
      <c r="W266" s="13">
        <f t="shared" si="42"/>
        <v>0.875</v>
      </c>
      <c r="X266" s="3">
        <f t="shared" si="40"/>
        <v>16</v>
      </c>
      <c r="Y266" s="3" t="e">
        <f t="shared" si="43"/>
        <v>#DIV/0!</v>
      </c>
      <c r="Z266" s="3"/>
      <c r="AA266" s="3"/>
      <c r="AB266" s="3">
        <v>115</v>
      </c>
      <c r="AC266" s="3" t="s">
        <v>82</v>
      </c>
      <c r="AD266" s="3" t="s">
        <v>83</v>
      </c>
      <c r="AE266" s="3">
        <v>25</v>
      </c>
      <c r="AF266" s="3" t="s">
        <v>151</v>
      </c>
      <c r="AG266" s="3" t="s">
        <v>229</v>
      </c>
      <c r="AH266" s="3"/>
    </row>
    <row r="267" spans="1:34" ht="14.25" customHeight="1" x14ac:dyDescent="0.25">
      <c r="A267" s="3" t="s">
        <v>116</v>
      </c>
      <c r="B267" s="3" t="s">
        <v>79</v>
      </c>
      <c r="C267" s="3"/>
      <c r="D267" s="3" t="s">
        <v>117</v>
      </c>
      <c r="E267" s="3">
        <v>1</v>
      </c>
      <c r="F267" s="3">
        <v>1</v>
      </c>
      <c r="G267" s="3" t="s">
        <v>2</v>
      </c>
      <c r="H267" s="11">
        <v>45777</v>
      </c>
      <c r="I267" s="3" t="s">
        <v>142</v>
      </c>
      <c r="J267" s="3">
        <v>0</v>
      </c>
      <c r="K267" s="3">
        <v>0</v>
      </c>
      <c r="L267" s="3">
        <v>0</v>
      </c>
      <c r="M267" s="3">
        <f>4+6</f>
        <v>10</v>
      </c>
      <c r="N267" s="3">
        <v>9</v>
      </c>
      <c r="O267" s="3">
        <f t="shared" si="30"/>
        <v>19</v>
      </c>
      <c r="P267" s="3">
        <v>4</v>
      </c>
      <c r="Q267" s="3">
        <v>3</v>
      </c>
      <c r="R267" s="3">
        <v>3</v>
      </c>
      <c r="S267" s="3">
        <v>4</v>
      </c>
      <c r="T267" s="3">
        <v>2</v>
      </c>
      <c r="U267" s="3">
        <f t="shared" si="31"/>
        <v>16</v>
      </c>
      <c r="V267" s="13">
        <f t="shared" si="32"/>
        <v>1.1875</v>
      </c>
      <c r="W267" s="13">
        <f t="shared" si="42"/>
        <v>1.1875</v>
      </c>
      <c r="X267" s="3">
        <f t="shared" si="40"/>
        <v>16</v>
      </c>
      <c r="Y267" s="3" t="e">
        <f t="shared" si="43"/>
        <v>#DIV/0!</v>
      </c>
      <c r="Z267" s="3"/>
      <c r="AA267" s="3"/>
      <c r="AB267" s="3">
        <v>115</v>
      </c>
      <c r="AC267" s="3" t="s">
        <v>82</v>
      </c>
      <c r="AD267" s="3" t="s">
        <v>83</v>
      </c>
      <c r="AE267" s="3">
        <v>25</v>
      </c>
      <c r="AF267" s="3" t="s">
        <v>151</v>
      </c>
      <c r="AG267" s="3" t="s">
        <v>229</v>
      </c>
      <c r="AH267" s="3"/>
    </row>
    <row r="268" spans="1:34" ht="14.25" customHeight="1" x14ac:dyDescent="0.25">
      <c r="A268" s="3" t="s">
        <v>116</v>
      </c>
      <c r="B268" s="3" t="s">
        <v>79</v>
      </c>
      <c r="C268" s="3"/>
      <c r="D268" s="3" t="s">
        <v>117</v>
      </c>
      <c r="E268" s="3">
        <v>1</v>
      </c>
      <c r="F268" s="3">
        <v>1</v>
      </c>
      <c r="G268" s="3" t="s">
        <v>14</v>
      </c>
      <c r="H268" s="11">
        <v>45777</v>
      </c>
      <c r="I268" s="3" t="s">
        <v>142</v>
      </c>
      <c r="J268" s="3">
        <f>12+6</f>
        <v>18</v>
      </c>
      <c r="K268" s="3">
        <v>0</v>
      </c>
      <c r="L268" s="3">
        <v>0</v>
      </c>
      <c r="M268" s="3">
        <v>0</v>
      </c>
      <c r="N268" s="3">
        <v>0</v>
      </c>
      <c r="O268" s="3">
        <f t="shared" si="30"/>
        <v>18</v>
      </c>
      <c r="P268" s="3">
        <v>4</v>
      </c>
      <c r="Q268" s="3">
        <v>3</v>
      </c>
      <c r="R268" s="3">
        <v>3</v>
      </c>
      <c r="S268" s="3">
        <v>4</v>
      </c>
      <c r="T268" s="3">
        <v>2</v>
      </c>
      <c r="U268" s="3">
        <f t="shared" si="31"/>
        <v>16</v>
      </c>
      <c r="V268" s="13">
        <f t="shared" si="32"/>
        <v>1.125</v>
      </c>
      <c r="W268" s="13">
        <f t="shared" si="42"/>
        <v>1.125</v>
      </c>
      <c r="X268" s="3">
        <f t="shared" si="40"/>
        <v>16</v>
      </c>
      <c r="Y268" s="3" t="e">
        <f t="shared" si="43"/>
        <v>#DIV/0!</v>
      </c>
      <c r="Z268" s="3"/>
      <c r="AA268" s="3"/>
      <c r="AB268" s="3">
        <v>115</v>
      </c>
      <c r="AC268" s="3" t="s">
        <v>82</v>
      </c>
      <c r="AD268" s="3" t="s">
        <v>83</v>
      </c>
      <c r="AE268" s="3">
        <v>25</v>
      </c>
      <c r="AF268" s="3" t="s">
        <v>151</v>
      </c>
      <c r="AG268" s="3" t="s">
        <v>229</v>
      </c>
      <c r="AH268" s="3"/>
    </row>
    <row r="269" spans="1:34" ht="14.25" customHeight="1" x14ac:dyDescent="0.25">
      <c r="A269" s="3" t="s">
        <v>116</v>
      </c>
      <c r="B269" s="3" t="s">
        <v>79</v>
      </c>
      <c r="C269" s="3"/>
      <c r="D269" s="3" t="s">
        <v>117</v>
      </c>
      <c r="E269" s="3">
        <v>1</v>
      </c>
      <c r="F269" s="3">
        <v>1</v>
      </c>
      <c r="G269" s="3" t="s">
        <v>16</v>
      </c>
      <c r="H269" s="11">
        <v>45777</v>
      </c>
      <c r="I269" s="3" t="s">
        <v>142</v>
      </c>
      <c r="J269" s="3">
        <f>5+3+3+9</f>
        <v>20</v>
      </c>
      <c r="K269" s="3">
        <f>4+5</f>
        <v>9</v>
      </c>
      <c r="L269" s="3">
        <v>5</v>
      </c>
      <c r="M269" s="3">
        <f>6+8</f>
        <v>14</v>
      </c>
      <c r="N269" s="3">
        <f>4+3</f>
        <v>7</v>
      </c>
      <c r="O269" s="3">
        <f t="shared" si="30"/>
        <v>55</v>
      </c>
      <c r="P269" s="3">
        <v>4</v>
      </c>
      <c r="Q269" s="3">
        <v>3</v>
      </c>
      <c r="R269" s="3">
        <v>3</v>
      </c>
      <c r="S269" s="3">
        <v>4</v>
      </c>
      <c r="T269" s="3">
        <v>2</v>
      </c>
      <c r="U269" s="3">
        <f t="shared" si="31"/>
        <v>16</v>
      </c>
      <c r="V269" s="13">
        <f t="shared" si="32"/>
        <v>3.4375</v>
      </c>
      <c r="W269" s="13">
        <f t="shared" si="42"/>
        <v>3.4375</v>
      </c>
      <c r="X269" s="3">
        <f t="shared" si="40"/>
        <v>16</v>
      </c>
      <c r="Y269" s="3" t="e">
        <f t="shared" si="43"/>
        <v>#DIV/0!</v>
      </c>
      <c r="Z269" s="3"/>
      <c r="AA269" s="3"/>
      <c r="AB269" s="3">
        <v>115</v>
      </c>
      <c r="AC269" s="3" t="s">
        <v>82</v>
      </c>
      <c r="AD269" s="3" t="s">
        <v>83</v>
      </c>
      <c r="AE269" s="3">
        <v>25</v>
      </c>
      <c r="AF269" s="3" t="s">
        <v>151</v>
      </c>
      <c r="AG269" s="3" t="s">
        <v>229</v>
      </c>
      <c r="AH269" s="3"/>
    </row>
    <row r="270" spans="1:34" ht="14.25" customHeight="1" x14ac:dyDescent="0.25">
      <c r="A270" s="3" t="s">
        <v>116</v>
      </c>
      <c r="B270" s="3" t="s">
        <v>79</v>
      </c>
      <c r="C270" s="3"/>
      <c r="D270" s="3" t="s">
        <v>117</v>
      </c>
      <c r="E270" s="3">
        <v>1</v>
      </c>
      <c r="F270" s="3">
        <v>1</v>
      </c>
      <c r="G270" s="3" t="s">
        <v>18</v>
      </c>
      <c r="H270" s="11">
        <v>45777</v>
      </c>
      <c r="I270" s="3" t="s">
        <v>142</v>
      </c>
      <c r="J270" s="3">
        <f>2+3+1</f>
        <v>6</v>
      </c>
      <c r="K270" s="3">
        <f>5+2</f>
        <v>7</v>
      </c>
      <c r="L270" s="3">
        <v>6</v>
      </c>
      <c r="M270" s="3">
        <v>3</v>
      </c>
      <c r="N270" s="3">
        <f>3+3.5</f>
        <v>6.5</v>
      </c>
      <c r="O270" s="3">
        <f t="shared" si="30"/>
        <v>28.5</v>
      </c>
      <c r="P270" s="3">
        <v>4</v>
      </c>
      <c r="Q270" s="3">
        <v>3</v>
      </c>
      <c r="R270" s="3">
        <v>3</v>
      </c>
      <c r="S270" s="3">
        <v>4</v>
      </c>
      <c r="T270" s="3">
        <v>2</v>
      </c>
      <c r="U270" s="3">
        <f t="shared" si="31"/>
        <v>16</v>
      </c>
      <c r="V270" s="13">
        <f t="shared" si="32"/>
        <v>1.78125</v>
      </c>
      <c r="W270" s="13">
        <f t="shared" si="42"/>
        <v>1.78125</v>
      </c>
      <c r="X270" s="3">
        <f t="shared" si="40"/>
        <v>16</v>
      </c>
      <c r="Y270" s="3" t="e">
        <f t="shared" si="43"/>
        <v>#DIV/0!</v>
      </c>
      <c r="Z270" s="3"/>
      <c r="AA270" s="3"/>
      <c r="AB270" s="3">
        <v>115</v>
      </c>
      <c r="AC270" s="3" t="s">
        <v>82</v>
      </c>
      <c r="AD270" s="3" t="s">
        <v>83</v>
      </c>
      <c r="AE270" s="3">
        <v>25</v>
      </c>
      <c r="AF270" s="3" t="s">
        <v>151</v>
      </c>
      <c r="AG270" s="3" t="s">
        <v>229</v>
      </c>
      <c r="AH270" s="3"/>
    </row>
    <row r="271" spans="1:34" ht="14.25" customHeight="1" x14ac:dyDescent="0.25">
      <c r="A271" s="3" t="s">
        <v>116</v>
      </c>
      <c r="B271" s="3" t="s">
        <v>79</v>
      </c>
      <c r="C271" s="3"/>
      <c r="D271" s="3" t="s">
        <v>117</v>
      </c>
      <c r="E271" s="3">
        <v>1</v>
      </c>
      <c r="F271" s="3">
        <v>1</v>
      </c>
      <c r="G271" s="3" t="s">
        <v>25</v>
      </c>
      <c r="H271" s="11">
        <v>45777</v>
      </c>
      <c r="I271" s="3" t="s">
        <v>142</v>
      </c>
      <c r="J271" s="3">
        <v>0</v>
      </c>
      <c r="K271" s="3">
        <v>0</v>
      </c>
      <c r="L271" s="3">
        <v>10</v>
      </c>
      <c r="M271" s="3">
        <f>10+15</f>
        <v>25</v>
      </c>
      <c r="N271" s="3">
        <v>14</v>
      </c>
      <c r="O271" s="3">
        <f t="shared" si="30"/>
        <v>49</v>
      </c>
      <c r="P271" s="3">
        <v>4</v>
      </c>
      <c r="Q271" s="3">
        <v>3</v>
      </c>
      <c r="R271" s="3">
        <v>3</v>
      </c>
      <c r="S271" s="3">
        <v>4</v>
      </c>
      <c r="T271" s="3">
        <v>2</v>
      </c>
      <c r="U271" s="3">
        <f t="shared" si="31"/>
        <v>16</v>
      </c>
      <c r="V271" s="13">
        <f t="shared" si="32"/>
        <v>3.0625</v>
      </c>
      <c r="W271" s="13">
        <f t="shared" si="42"/>
        <v>3.0625</v>
      </c>
      <c r="X271" s="3">
        <f t="shared" si="40"/>
        <v>16</v>
      </c>
      <c r="Y271" s="3" t="e">
        <f t="shared" si="43"/>
        <v>#DIV/0!</v>
      </c>
      <c r="Z271" s="3"/>
      <c r="AA271" s="3"/>
      <c r="AB271" s="3">
        <v>115</v>
      </c>
      <c r="AC271" s="3" t="s">
        <v>82</v>
      </c>
      <c r="AD271" s="3" t="s">
        <v>83</v>
      </c>
      <c r="AE271" s="3">
        <v>25</v>
      </c>
      <c r="AF271" s="3" t="s">
        <v>151</v>
      </c>
      <c r="AG271" s="3" t="s">
        <v>229</v>
      </c>
      <c r="AH271" s="3"/>
    </row>
    <row r="272" spans="1:34" ht="14.25" customHeight="1" x14ac:dyDescent="0.25">
      <c r="A272" s="3" t="s">
        <v>116</v>
      </c>
      <c r="B272" s="3" t="s">
        <v>79</v>
      </c>
      <c r="C272" s="3"/>
      <c r="D272" s="3" t="s">
        <v>117</v>
      </c>
      <c r="E272" s="3">
        <v>1</v>
      </c>
      <c r="F272" s="3">
        <v>1</v>
      </c>
      <c r="G272" s="3" t="s">
        <v>15</v>
      </c>
      <c r="H272" s="11">
        <v>45777</v>
      </c>
      <c r="I272" s="3" t="s">
        <v>142</v>
      </c>
      <c r="J272" s="3">
        <v>0</v>
      </c>
      <c r="K272" s="3">
        <v>0</v>
      </c>
      <c r="L272" s="3">
        <v>0</v>
      </c>
      <c r="M272" s="3">
        <f>28+12</f>
        <v>40</v>
      </c>
      <c r="N272" s="3">
        <v>31</v>
      </c>
      <c r="O272" s="3">
        <f t="shared" si="30"/>
        <v>71</v>
      </c>
      <c r="P272" s="3">
        <v>4</v>
      </c>
      <c r="Q272" s="3">
        <v>3</v>
      </c>
      <c r="R272" s="3">
        <v>3</v>
      </c>
      <c r="S272" s="3">
        <v>4</v>
      </c>
      <c r="T272" s="3">
        <v>2</v>
      </c>
      <c r="U272" s="3">
        <f t="shared" si="31"/>
        <v>16</v>
      </c>
      <c r="V272" s="13">
        <f t="shared" si="32"/>
        <v>4.4375</v>
      </c>
      <c r="W272" s="13">
        <f t="shared" si="42"/>
        <v>4.4375</v>
      </c>
      <c r="X272" s="3">
        <f t="shared" si="40"/>
        <v>16</v>
      </c>
      <c r="Y272" s="3" t="e">
        <f t="shared" si="43"/>
        <v>#DIV/0!</v>
      </c>
      <c r="Z272" s="3"/>
      <c r="AA272" s="3"/>
      <c r="AB272" s="3">
        <v>115</v>
      </c>
      <c r="AC272" s="3" t="s">
        <v>82</v>
      </c>
      <c r="AD272" s="3" t="s">
        <v>83</v>
      </c>
      <c r="AE272" s="3">
        <v>25</v>
      </c>
      <c r="AF272" s="3" t="s">
        <v>151</v>
      </c>
      <c r="AG272" s="3" t="s">
        <v>229</v>
      </c>
      <c r="AH272" s="3"/>
    </row>
    <row r="273" spans="1:34" ht="14.25" customHeight="1" x14ac:dyDescent="0.25">
      <c r="A273" s="3" t="s">
        <v>133</v>
      </c>
      <c r="B273" s="3" t="s">
        <v>79</v>
      </c>
      <c r="C273" s="3"/>
      <c r="D273" s="3" t="s">
        <v>115</v>
      </c>
      <c r="E273" s="3">
        <v>1</v>
      </c>
      <c r="F273" s="3">
        <v>1</v>
      </c>
      <c r="G273" s="3" t="s">
        <v>1</v>
      </c>
      <c r="H273" s="11">
        <v>45777</v>
      </c>
      <c r="I273" s="3" t="s">
        <v>142</v>
      </c>
      <c r="J273" s="3">
        <f>6+5+6+8+3</f>
        <v>28</v>
      </c>
      <c r="K273" s="3">
        <f>5+4+8+2+5</f>
        <v>24</v>
      </c>
      <c r="L273" s="3">
        <f>2+4+5+4+6</f>
        <v>21</v>
      </c>
      <c r="M273" s="3">
        <f>3+5+8+4+4</f>
        <v>24</v>
      </c>
      <c r="N273" s="3">
        <f>6+5</f>
        <v>11</v>
      </c>
      <c r="O273" s="3">
        <f t="shared" si="30"/>
        <v>108</v>
      </c>
      <c r="P273" s="3">
        <v>7</v>
      </c>
      <c r="Q273" s="3">
        <v>7</v>
      </c>
      <c r="R273" s="3">
        <v>5</v>
      </c>
      <c r="S273" s="3">
        <v>5</v>
      </c>
      <c r="T273" s="3">
        <v>2</v>
      </c>
      <c r="U273" s="3">
        <f t="shared" si="31"/>
        <v>26</v>
      </c>
      <c r="V273" s="13">
        <f t="shared" si="32"/>
        <v>4.1538461538461542</v>
      </c>
      <c r="W273" s="13">
        <f t="shared" si="42"/>
        <v>4.1538461538461542</v>
      </c>
      <c r="X273" s="3">
        <f t="shared" si="40"/>
        <v>26</v>
      </c>
      <c r="Y273" s="3" t="e">
        <f t="shared" si="43"/>
        <v>#DIV/0!</v>
      </c>
      <c r="Z273" s="3"/>
      <c r="AA273" s="3"/>
      <c r="AB273" s="3"/>
      <c r="AC273" s="3" t="s">
        <v>82</v>
      </c>
      <c r="AD273" s="3" t="s">
        <v>83</v>
      </c>
      <c r="AE273" s="3">
        <v>15</v>
      </c>
      <c r="AF273" s="3" t="s">
        <v>151</v>
      </c>
      <c r="AG273" s="3" t="s">
        <v>203</v>
      </c>
      <c r="AH273" s="3"/>
    </row>
    <row r="274" spans="1:34" ht="14.25" customHeight="1" x14ac:dyDescent="0.25">
      <c r="A274" s="3" t="s">
        <v>119</v>
      </c>
      <c r="B274" s="3" t="s">
        <v>79</v>
      </c>
      <c r="C274" s="3"/>
      <c r="D274" s="3" t="s">
        <v>115</v>
      </c>
      <c r="E274" s="3">
        <v>1</v>
      </c>
      <c r="F274" s="3">
        <v>1</v>
      </c>
      <c r="G274" s="3" t="s">
        <v>1</v>
      </c>
      <c r="H274" s="11">
        <v>45777</v>
      </c>
      <c r="I274" s="3" t="s">
        <v>142</v>
      </c>
      <c r="J274" s="3">
        <f>7+10</f>
        <v>17</v>
      </c>
      <c r="K274" s="3">
        <f>20+15</f>
        <v>35</v>
      </c>
      <c r="L274" s="3">
        <f>20+20</f>
        <v>40</v>
      </c>
      <c r="M274" s="3">
        <f>30+14</f>
        <v>44</v>
      </c>
      <c r="N274" s="3">
        <v>15</v>
      </c>
      <c r="O274" s="3">
        <f t="shared" si="30"/>
        <v>151</v>
      </c>
      <c r="P274" s="3">
        <v>3</v>
      </c>
      <c r="Q274" s="3">
        <v>3</v>
      </c>
      <c r="R274" s="3">
        <v>3</v>
      </c>
      <c r="S274" s="3">
        <v>4</v>
      </c>
      <c r="T274" s="3">
        <v>1</v>
      </c>
      <c r="U274" s="3">
        <f t="shared" si="31"/>
        <v>14</v>
      </c>
      <c r="V274" s="13">
        <f t="shared" si="32"/>
        <v>10.785714285714286</v>
      </c>
      <c r="W274" s="13">
        <f t="shared" si="42"/>
        <v>10.785714285714286</v>
      </c>
      <c r="X274" s="3">
        <f t="shared" si="40"/>
        <v>14</v>
      </c>
      <c r="Y274" s="3" t="e">
        <f t="shared" si="43"/>
        <v>#DIV/0!</v>
      </c>
      <c r="Z274" s="3"/>
      <c r="AA274" s="3"/>
      <c r="AB274" s="3"/>
      <c r="AC274" s="3" t="s">
        <v>82</v>
      </c>
      <c r="AD274" s="3" t="s">
        <v>83</v>
      </c>
      <c r="AE274" s="3">
        <v>15</v>
      </c>
      <c r="AF274" s="3" t="s">
        <v>151</v>
      </c>
      <c r="AG274" s="3" t="s">
        <v>347</v>
      </c>
      <c r="AH274" s="3"/>
    </row>
    <row r="275" spans="1:34" ht="14.25" customHeight="1" x14ac:dyDescent="0.25">
      <c r="A275" s="3" t="s">
        <v>119</v>
      </c>
      <c r="B275" s="3" t="s">
        <v>79</v>
      </c>
      <c r="C275" s="3"/>
      <c r="D275" s="3" t="s">
        <v>115</v>
      </c>
      <c r="E275" s="3">
        <v>1</v>
      </c>
      <c r="F275" s="3">
        <v>1</v>
      </c>
      <c r="G275" s="3" t="s">
        <v>2</v>
      </c>
      <c r="H275" s="11">
        <v>45777</v>
      </c>
      <c r="I275" s="3" t="s">
        <v>142</v>
      </c>
      <c r="J275" s="3">
        <v>10</v>
      </c>
      <c r="K275" s="3">
        <v>0</v>
      </c>
      <c r="L275" s="3">
        <v>0</v>
      </c>
      <c r="M275" s="3">
        <v>10</v>
      </c>
      <c r="N275" s="3">
        <v>0</v>
      </c>
      <c r="O275" s="3">
        <f t="shared" si="30"/>
        <v>20</v>
      </c>
      <c r="P275" s="3">
        <v>3</v>
      </c>
      <c r="Q275" s="3">
        <v>3</v>
      </c>
      <c r="R275" s="3">
        <v>3</v>
      </c>
      <c r="S275" s="3">
        <v>4</v>
      </c>
      <c r="T275" s="3">
        <v>1</v>
      </c>
      <c r="U275" s="3">
        <f t="shared" si="31"/>
        <v>14</v>
      </c>
      <c r="V275" s="13">
        <f t="shared" si="32"/>
        <v>1.4285714285714286</v>
      </c>
      <c r="W275" s="13">
        <f t="shared" si="42"/>
        <v>1.4285714285714286</v>
      </c>
      <c r="X275" s="3">
        <f t="shared" si="40"/>
        <v>14</v>
      </c>
      <c r="Y275" s="3" t="e">
        <f t="shared" si="43"/>
        <v>#DIV/0!</v>
      </c>
      <c r="Z275" s="3"/>
      <c r="AA275" s="3"/>
      <c r="AB275" s="3"/>
      <c r="AC275" s="3" t="s">
        <v>82</v>
      </c>
      <c r="AD275" s="3" t="s">
        <v>83</v>
      </c>
      <c r="AE275" s="3">
        <v>15</v>
      </c>
      <c r="AF275" s="3" t="s">
        <v>151</v>
      </c>
      <c r="AG275" s="3" t="s">
        <v>347</v>
      </c>
      <c r="AH275" s="3"/>
    </row>
    <row r="276" spans="1:34" ht="14.25" customHeight="1" x14ac:dyDescent="0.25">
      <c r="A276" s="3" t="s">
        <v>119</v>
      </c>
      <c r="B276" s="3" t="s">
        <v>79</v>
      </c>
      <c r="C276" s="3"/>
      <c r="D276" s="3" t="s">
        <v>115</v>
      </c>
      <c r="E276" s="3">
        <v>1</v>
      </c>
      <c r="F276" s="3">
        <v>1</v>
      </c>
      <c r="G276" s="3" t="s">
        <v>10</v>
      </c>
      <c r="H276" s="11">
        <v>45777</v>
      </c>
      <c r="I276" s="3" t="s">
        <v>142</v>
      </c>
      <c r="J276" s="3">
        <v>0</v>
      </c>
      <c r="K276" s="3">
        <v>0</v>
      </c>
      <c r="L276" s="3">
        <v>0</v>
      </c>
      <c r="M276" s="3">
        <v>10</v>
      </c>
      <c r="N276" s="3">
        <v>0</v>
      </c>
      <c r="O276" s="3">
        <f t="shared" si="30"/>
        <v>10</v>
      </c>
      <c r="P276" s="3">
        <v>3</v>
      </c>
      <c r="Q276" s="3">
        <v>3</v>
      </c>
      <c r="R276" s="3">
        <v>3</v>
      </c>
      <c r="S276" s="3">
        <v>4</v>
      </c>
      <c r="T276" s="3">
        <v>1</v>
      </c>
      <c r="U276" s="3">
        <f t="shared" si="31"/>
        <v>14</v>
      </c>
      <c r="V276" s="13">
        <f t="shared" si="32"/>
        <v>0.7142857142857143</v>
      </c>
      <c r="W276" s="13">
        <f t="shared" si="42"/>
        <v>0.7142857142857143</v>
      </c>
      <c r="X276" s="3">
        <f t="shared" si="40"/>
        <v>14</v>
      </c>
      <c r="Y276" s="3" t="e">
        <f t="shared" si="43"/>
        <v>#DIV/0!</v>
      </c>
      <c r="Z276" s="3"/>
      <c r="AA276" s="3"/>
      <c r="AB276" s="3"/>
      <c r="AC276" s="3" t="s">
        <v>82</v>
      </c>
      <c r="AD276" s="3" t="s">
        <v>83</v>
      </c>
      <c r="AE276" s="3">
        <v>15</v>
      </c>
      <c r="AF276" s="3" t="s">
        <v>151</v>
      </c>
      <c r="AG276" s="3" t="s">
        <v>347</v>
      </c>
      <c r="AH276" s="3"/>
    </row>
    <row r="277" spans="1:34" ht="14.25" customHeight="1" x14ac:dyDescent="0.25">
      <c r="A277" s="3" t="s">
        <v>119</v>
      </c>
      <c r="B277" s="3" t="s">
        <v>79</v>
      </c>
      <c r="C277" s="3"/>
      <c r="D277" s="3" t="s">
        <v>115</v>
      </c>
      <c r="E277" s="3">
        <v>1</v>
      </c>
      <c r="F277" s="3">
        <v>1</v>
      </c>
      <c r="G277" s="3" t="s">
        <v>9</v>
      </c>
      <c r="H277" s="11">
        <v>45777</v>
      </c>
      <c r="I277" s="3" t="s">
        <v>142</v>
      </c>
      <c r="J277" s="3">
        <v>0</v>
      </c>
      <c r="K277" s="3">
        <v>0</v>
      </c>
      <c r="L277" s="3">
        <v>0</v>
      </c>
      <c r="M277" s="3">
        <v>15</v>
      </c>
      <c r="N277" s="3">
        <v>0</v>
      </c>
      <c r="O277" s="3">
        <f t="shared" si="30"/>
        <v>15</v>
      </c>
      <c r="P277" s="3">
        <v>3</v>
      </c>
      <c r="Q277" s="3">
        <v>3</v>
      </c>
      <c r="R277" s="3">
        <v>3</v>
      </c>
      <c r="S277" s="3">
        <v>4</v>
      </c>
      <c r="T277" s="3">
        <v>1</v>
      </c>
      <c r="U277" s="3">
        <f t="shared" si="31"/>
        <v>14</v>
      </c>
      <c r="V277" s="13">
        <f t="shared" si="32"/>
        <v>1.0714285714285714</v>
      </c>
      <c r="W277" s="13">
        <f t="shared" si="42"/>
        <v>1.0714285714285714</v>
      </c>
      <c r="X277" s="3">
        <f t="shared" si="40"/>
        <v>14</v>
      </c>
      <c r="Y277" s="3" t="e">
        <f t="shared" si="43"/>
        <v>#DIV/0!</v>
      </c>
      <c r="Z277" s="3"/>
      <c r="AA277" s="3"/>
      <c r="AB277" s="3"/>
      <c r="AC277" s="3" t="s">
        <v>82</v>
      </c>
      <c r="AD277" s="3" t="s">
        <v>83</v>
      </c>
      <c r="AE277" s="3">
        <v>15</v>
      </c>
      <c r="AF277" s="3" t="s">
        <v>151</v>
      </c>
      <c r="AG277" s="3" t="s">
        <v>347</v>
      </c>
      <c r="AH277" s="3"/>
    </row>
    <row r="278" spans="1:34" ht="14.25" customHeight="1" x14ac:dyDescent="0.25">
      <c r="A278" s="3" t="s">
        <v>119</v>
      </c>
      <c r="B278" s="3" t="s">
        <v>79</v>
      </c>
      <c r="C278" s="3"/>
      <c r="D278" s="3" t="s">
        <v>115</v>
      </c>
      <c r="E278" s="3">
        <v>1</v>
      </c>
      <c r="F278" s="3">
        <v>1</v>
      </c>
      <c r="G278" s="3" t="s">
        <v>14</v>
      </c>
      <c r="H278" s="11">
        <v>45777</v>
      </c>
      <c r="I278" s="3" t="s">
        <v>142</v>
      </c>
      <c r="J278" s="3">
        <v>10</v>
      </c>
      <c r="K278" s="3">
        <v>8</v>
      </c>
      <c r="L278" s="3">
        <v>15</v>
      </c>
      <c r="M278" s="3">
        <v>0</v>
      </c>
      <c r="N278" s="3">
        <v>0</v>
      </c>
      <c r="O278" s="3">
        <f t="shared" si="30"/>
        <v>33</v>
      </c>
      <c r="P278" s="3">
        <v>3</v>
      </c>
      <c r="Q278" s="3">
        <v>3</v>
      </c>
      <c r="R278" s="3">
        <v>3</v>
      </c>
      <c r="S278" s="3">
        <v>4</v>
      </c>
      <c r="T278" s="3">
        <v>1</v>
      </c>
      <c r="U278" s="3">
        <f t="shared" si="31"/>
        <v>14</v>
      </c>
      <c r="V278" s="13">
        <f t="shared" si="32"/>
        <v>2.3571428571428572</v>
      </c>
      <c r="W278" s="13">
        <f t="shared" si="42"/>
        <v>2.3571428571428572</v>
      </c>
      <c r="X278" s="3">
        <f t="shared" si="40"/>
        <v>14</v>
      </c>
      <c r="Y278" s="3" t="e">
        <f t="shared" si="43"/>
        <v>#DIV/0!</v>
      </c>
      <c r="Z278" s="3"/>
      <c r="AA278" s="3"/>
      <c r="AB278" s="3"/>
      <c r="AC278" s="3" t="s">
        <v>82</v>
      </c>
      <c r="AD278" s="3" t="s">
        <v>83</v>
      </c>
      <c r="AE278" s="3">
        <v>15</v>
      </c>
      <c r="AF278" s="3" t="s">
        <v>151</v>
      </c>
      <c r="AG278" s="3" t="s">
        <v>347</v>
      </c>
      <c r="AH278" s="3"/>
    </row>
    <row r="279" spans="1:34" ht="14.25" customHeight="1" x14ac:dyDescent="0.25">
      <c r="A279" s="3" t="s">
        <v>119</v>
      </c>
      <c r="B279" s="3" t="s">
        <v>79</v>
      </c>
      <c r="C279" s="3"/>
      <c r="D279" s="3" t="s">
        <v>115</v>
      </c>
      <c r="E279" s="3">
        <v>1</v>
      </c>
      <c r="F279" s="3">
        <v>1</v>
      </c>
      <c r="G279" s="3" t="s">
        <v>19</v>
      </c>
      <c r="H279" s="11">
        <v>45777</v>
      </c>
      <c r="I279" s="3" t="s">
        <v>142</v>
      </c>
      <c r="J279" s="3">
        <v>0</v>
      </c>
      <c r="K279" s="3">
        <v>0</v>
      </c>
      <c r="L279" s="3">
        <v>0</v>
      </c>
      <c r="M279" s="3">
        <v>13</v>
      </c>
      <c r="N279" s="3">
        <v>0</v>
      </c>
      <c r="O279" s="3">
        <f t="shared" si="30"/>
        <v>13</v>
      </c>
      <c r="P279" s="3">
        <v>3</v>
      </c>
      <c r="Q279" s="3">
        <v>3</v>
      </c>
      <c r="R279" s="3">
        <v>3</v>
      </c>
      <c r="S279" s="3">
        <v>4</v>
      </c>
      <c r="T279" s="3">
        <v>1</v>
      </c>
      <c r="U279" s="3">
        <f t="shared" si="31"/>
        <v>14</v>
      </c>
      <c r="V279" s="13">
        <f t="shared" si="32"/>
        <v>0.9285714285714286</v>
      </c>
      <c r="W279" s="13">
        <f t="shared" si="42"/>
        <v>0.9285714285714286</v>
      </c>
      <c r="X279" s="3">
        <f t="shared" si="40"/>
        <v>14</v>
      </c>
      <c r="Y279" s="3" t="e">
        <f t="shared" si="43"/>
        <v>#DIV/0!</v>
      </c>
      <c r="Z279" s="3"/>
      <c r="AA279" s="3"/>
      <c r="AB279" s="3"/>
      <c r="AC279" s="3" t="s">
        <v>82</v>
      </c>
      <c r="AD279" s="3" t="s">
        <v>83</v>
      </c>
      <c r="AE279" s="3">
        <v>15</v>
      </c>
      <c r="AF279" s="3" t="s">
        <v>151</v>
      </c>
      <c r="AG279" s="3" t="s">
        <v>347</v>
      </c>
      <c r="AH279" s="3"/>
    </row>
    <row r="280" spans="1:34" ht="14.25" customHeight="1" x14ac:dyDescent="0.25">
      <c r="A280" s="3" t="s">
        <v>119</v>
      </c>
      <c r="B280" s="3" t="s">
        <v>79</v>
      </c>
      <c r="C280" s="3"/>
      <c r="D280" s="3" t="s">
        <v>115</v>
      </c>
      <c r="E280" s="3">
        <v>1</v>
      </c>
      <c r="F280" s="3">
        <v>1</v>
      </c>
      <c r="G280" s="3" t="s">
        <v>24</v>
      </c>
      <c r="H280" s="11">
        <v>45777</v>
      </c>
      <c r="I280" s="3" t="s">
        <v>142</v>
      </c>
      <c r="J280" s="3">
        <v>0</v>
      </c>
      <c r="K280" s="3">
        <v>0</v>
      </c>
      <c r="L280" s="3">
        <v>0</v>
      </c>
      <c r="M280" s="3">
        <v>12</v>
      </c>
      <c r="N280" s="3">
        <v>0</v>
      </c>
      <c r="O280" s="3">
        <f t="shared" si="30"/>
        <v>12</v>
      </c>
      <c r="P280" s="3">
        <v>3</v>
      </c>
      <c r="Q280" s="3">
        <v>3</v>
      </c>
      <c r="R280" s="3">
        <v>3</v>
      </c>
      <c r="S280" s="3">
        <v>4</v>
      </c>
      <c r="T280" s="3">
        <v>1</v>
      </c>
      <c r="U280" s="3">
        <f t="shared" si="31"/>
        <v>14</v>
      </c>
      <c r="V280" s="13">
        <f t="shared" si="32"/>
        <v>0.8571428571428571</v>
      </c>
      <c r="W280" s="13">
        <f t="shared" si="42"/>
        <v>0.8571428571428571</v>
      </c>
      <c r="X280" s="3">
        <f t="shared" si="40"/>
        <v>14</v>
      </c>
      <c r="Y280" s="3" t="e">
        <f t="shared" si="43"/>
        <v>#DIV/0!</v>
      </c>
      <c r="Z280" s="3"/>
      <c r="AA280" s="3"/>
      <c r="AB280" s="3"/>
      <c r="AC280" s="3" t="s">
        <v>82</v>
      </c>
      <c r="AD280" s="3" t="s">
        <v>83</v>
      </c>
      <c r="AE280" s="3">
        <v>15</v>
      </c>
      <c r="AF280" s="3" t="s">
        <v>151</v>
      </c>
      <c r="AG280" s="3" t="s">
        <v>347</v>
      </c>
      <c r="AH280" s="3"/>
    </row>
    <row r="281" spans="1:34" ht="14.25" customHeight="1" x14ac:dyDescent="0.25">
      <c r="A281" s="3" t="s">
        <v>119</v>
      </c>
      <c r="B281" s="3" t="s">
        <v>79</v>
      </c>
      <c r="C281" s="3"/>
      <c r="D281" s="3" t="s">
        <v>115</v>
      </c>
      <c r="E281" s="3">
        <v>1</v>
      </c>
      <c r="F281" s="3">
        <v>1</v>
      </c>
      <c r="G281" s="3" t="s">
        <v>15</v>
      </c>
      <c r="H281" s="11">
        <v>45777</v>
      </c>
      <c r="I281" s="3" t="s">
        <v>142</v>
      </c>
      <c r="J281" s="3">
        <v>0</v>
      </c>
      <c r="K281" s="3">
        <v>0</v>
      </c>
      <c r="L281" s="3">
        <v>0</v>
      </c>
      <c r="M281" s="3">
        <v>15</v>
      </c>
      <c r="N281" s="3">
        <v>0</v>
      </c>
      <c r="O281" s="3">
        <f t="shared" si="30"/>
        <v>15</v>
      </c>
      <c r="P281" s="3">
        <v>3</v>
      </c>
      <c r="Q281" s="3">
        <v>3</v>
      </c>
      <c r="R281" s="3">
        <v>3</v>
      </c>
      <c r="S281" s="3">
        <v>4</v>
      </c>
      <c r="T281" s="3">
        <v>1</v>
      </c>
      <c r="U281" s="3">
        <f t="shared" si="31"/>
        <v>14</v>
      </c>
      <c r="V281" s="13">
        <f t="shared" si="32"/>
        <v>1.0714285714285714</v>
      </c>
      <c r="W281" s="13">
        <f t="shared" si="42"/>
        <v>1.0714285714285714</v>
      </c>
      <c r="X281" s="3">
        <f t="shared" si="40"/>
        <v>14</v>
      </c>
      <c r="Y281" s="3" t="e">
        <f t="shared" si="43"/>
        <v>#DIV/0!</v>
      </c>
      <c r="Z281" s="3"/>
      <c r="AA281" s="3"/>
      <c r="AB281" s="3"/>
      <c r="AC281" s="3" t="s">
        <v>82</v>
      </c>
      <c r="AD281" s="3" t="s">
        <v>83</v>
      </c>
      <c r="AE281" s="3">
        <v>15</v>
      </c>
      <c r="AF281" s="3" t="s">
        <v>151</v>
      </c>
      <c r="AG281" s="3" t="s">
        <v>347</v>
      </c>
      <c r="AH281" s="3"/>
    </row>
    <row r="282" spans="1:34" ht="14.25" customHeight="1" x14ac:dyDescent="0.25">
      <c r="A282" s="3" t="s">
        <v>123</v>
      </c>
      <c r="B282" s="3" t="s">
        <v>79</v>
      </c>
      <c r="C282" s="3"/>
      <c r="D282" s="3" t="s">
        <v>121</v>
      </c>
      <c r="E282" s="3">
        <v>1</v>
      </c>
      <c r="F282" s="3">
        <v>1</v>
      </c>
      <c r="G282" s="3" t="s">
        <v>14</v>
      </c>
      <c r="H282" s="11">
        <v>45777</v>
      </c>
      <c r="I282" s="3" t="s">
        <v>142</v>
      </c>
      <c r="J282" s="3">
        <v>3</v>
      </c>
      <c r="K282" s="3">
        <v>0</v>
      </c>
      <c r="L282" s="3">
        <v>0</v>
      </c>
      <c r="M282" s="3">
        <f>0</f>
        <v>0</v>
      </c>
      <c r="N282" s="3">
        <v>0</v>
      </c>
      <c r="O282" s="3">
        <f t="shared" si="30"/>
        <v>3</v>
      </c>
      <c r="P282" s="3">
        <v>2</v>
      </c>
      <c r="Q282" s="3">
        <v>4</v>
      </c>
      <c r="R282" s="3">
        <v>1</v>
      </c>
      <c r="S282" s="3">
        <v>2</v>
      </c>
      <c r="T282" s="3">
        <v>1</v>
      </c>
      <c r="U282" s="3">
        <f t="shared" si="31"/>
        <v>10</v>
      </c>
      <c r="V282" s="13">
        <f t="shared" si="32"/>
        <v>0.3</v>
      </c>
      <c r="W282" s="13">
        <f t="shared" si="42"/>
        <v>0.3</v>
      </c>
      <c r="X282" s="3">
        <f t="shared" si="40"/>
        <v>10</v>
      </c>
      <c r="Y282" s="3" t="e">
        <f t="shared" si="43"/>
        <v>#DIV/0!</v>
      </c>
      <c r="Z282" s="3"/>
      <c r="AA282" s="3"/>
      <c r="AB282" s="3"/>
      <c r="AC282" s="3" t="s">
        <v>82</v>
      </c>
      <c r="AD282" s="3" t="s">
        <v>83</v>
      </c>
      <c r="AE282" s="3">
        <v>15</v>
      </c>
      <c r="AF282" s="3" t="s">
        <v>151</v>
      </c>
      <c r="AG282" s="3" t="s">
        <v>193</v>
      </c>
      <c r="AH282" s="3"/>
    </row>
    <row r="283" spans="1:34" ht="14.25" customHeight="1" x14ac:dyDescent="0.25">
      <c r="A283" s="3" t="s">
        <v>123</v>
      </c>
      <c r="B283" s="3" t="s">
        <v>79</v>
      </c>
      <c r="C283" s="3"/>
      <c r="D283" s="3" t="s">
        <v>121</v>
      </c>
      <c r="E283" s="3">
        <v>1</v>
      </c>
      <c r="F283" s="3">
        <v>1</v>
      </c>
      <c r="G283" s="3" t="s">
        <v>16</v>
      </c>
      <c r="H283" s="11">
        <v>45777</v>
      </c>
      <c r="I283" s="3" t="s">
        <v>142</v>
      </c>
      <c r="J283" s="3">
        <f>8+6</f>
        <v>14</v>
      </c>
      <c r="K283" s="3">
        <f>12+5+3+8</f>
        <v>28</v>
      </c>
      <c r="L283" s="3">
        <v>12</v>
      </c>
      <c r="M283" s="3">
        <f>6+12</f>
        <v>18</v>
      </c>
      <c r="N283" s="3">
        <v>8</v>
      </c>
      <c r="O283" s="3">
        <f t="shared" si="30"/>
        <v>80</v>
      </c>
      <c r="P283" s="3">
        <v>2</v>
      </c>
      <c r="Q283" s="3">
        <v>4</v>
      </c>
      <c r="R283" s="3">
        <v>1</v>
      </c>
      <c r="S283" s="3">
        <v>2</v>
      </c>
      <c r="T283" s="3">
        <v>1</v>
      </c>
      <c r="U283" s="3">
        <f t="shared" si="31"/>
        <v>10</v>
      </c>
      <c r="V283" s="13">
        <f t="shared" si="32"/>
        <v>8</v>
      </c>
      <c r="W283" s="13">
        <f t="shared" si="42"/>
        <v>8</v>
      </c>
      <c r="X283" s="3">
        <f t="shared" si="40"/>
        <v>10</v>
      </c>
      <c r="Y283" s="3" t="e">
        <f t="shared" si="43"/>
        <v>#DIV/0!</v>
      </c>
      <c r="Z283" s="3"/>
      <c r="AA283" s="3"/>
      <c r="AB283" s="3"/>
      <c r="AC283" s="3" t="s">
        <v>82</v>
      </c>
      <c r="AD283" s="3" t="s">
        <v>83</v>
      </c>
      <c r="AE283" s="3">
        <v>15</v>
      </c>
      <c r="AF283" s="3" t="s">
        <v>151</v>
      </c>
      <c r="AG283" s="3" t="s">
        <v>193</v>
      </c>
      <c r="AH283" s="3"/>
    </row>
    <row r="284" spans="1:34" ht="14.25" customHeight="1" x14ac:dyDescent="0.25">
      <c r="A284" s="3" t="s">
        <v>132</v>
      </c>
      <c r="B284" s="3" t="s">
        <v>79</v>
      </c>
      <c r="C284" s="3"/>
      <c r="D284" s="3" t="s">
        <v>117</v>
      </c>
      <c r="E284" s="3">
        <v>1</v>
      </c>
      <c r="F284" s="3">
        <v>1</v>
      </c>
      <c r="G284" s="3" t="s">
        <v>1</v>
      </c>
      <c r="H284" s="11">
        <v>45777</v>
      </c>
      <c r="I284" s="3" t="s">
        <v>142</v>
      </c>
      <c r="J284" s="3">
        <f>8+6+5+9</f>
        <v>28</v>
      </c>
      <c r="K284" s="3">
        <f>10+15+18+8</f>
        <v>51</v>
      </c>
      <c r="L284" s="3">
        <f>6+14+16+8+5</f>
        <v>49</v>
      </c>
      <c r="M284" s="3">
        <f>8+7+11+16+14</f>
        <v>56</v>
      </c>
      <c r="N284" s="3">
        <f>13+11</f>
        <v>24</v>
      </c>
      <c r="O284" s="3">
        <f t="shared" si="30"/>
        <v>208</v>
      </c>
      <c r="P284" s="3">
        <v>5</v>
      </c>
      <c r="Q284" s="3">
        <v>4</v>
      </c>
      <c r="R284" s="3">
        <v>5</v>
      </c>
      <c r="S284" s="3">
        <v>5</v>
      </c>
      <c r="T284" s="3">
        <v>2</v>
      </c>
      <c r="U284" s="3">
        <f t="shared" si="31"/>
        <v>21</v>
      </c>
      <c r="V284" s="13">
        <f t="shared" si="32"/>
        <v>9.9047619047619051</v>
      </c>
      <c r="W284" s="13">
        <f t="shared" si="42"/>
        <v>9.9047619047619051</v>
      </c>
      <c r="X284" s="3">
        <f t="shared" si="40"/>
        <v>21</v>
      </c>
      <c r="Y284" s="3" t="e">
        <f t="shared" si="43"/>
        <v>#DIV/0!</v>
      </c>
      <c r="Z284" s="3"/>
      <c r="AA284" s="3"/>
      <c r="AB284" s="3">
        <v>105</v>
      </c>
      <c r="AC284" s="3" t="s">
        <v>82</v>
      </c>
      <c r="AD284" s="3" t="s">
        <v>83</v>
      </c>
      <c r="AE284" s="3">
        <v>15</v>
      </c>
      <c r="AF284" s="3" t="s">
        <v>151</v>
      </c>
      <c r="AG284" s="3" t="s">
        <v>241</v>
      </c>
      <c r="AH284" s="3"/>
    </row>
    <row r="285" spans="1:34" ht="14.25" customHeight="1" x14ac:dyDescent="0.25">
      <c r="A285" s="3" t="s">
        <v>132</v>
      </c>
      <c r="B285" s="3" t="s">
        <v>79</v>
      </c>
      <c r="C285" s="3"/>
      <c r="D285" s="3" t="s">
        <v>117</v>
      </c>
      <c r="E285" s="3">
        <v>1</v>
      </c>
      <c r="F285" s="3">
        <v>1</v>
      </c>
      <c r="G285" s="3" t="s">
        <v>22</v>
      </c>
      <c r="H285" s="11">
        <v>45777</v>
      </c>
      <c r="I285" s="3" t="s">
        <v>142</v>
      </c>
      <c r="J285" s="3">
        <f>20+11</f>
        <v>31</v>
      </c>
      <c r="K285" s="3">
        <v>0</v>
      </c>
      <c r="L285" s="3">
        <v>0</v>
      </c>
      <c r="M285" s="3">
        <v>0</v>
      </c>
      <c r="N285" s="3">
        <v>0</v>
      </c>
      <c r="O285" s="3">
        <f t="shared" si="30"/>
        <v>31</v>
      </c>
      <c r="P285" s="3">
        <v>5</v>
      </c>
      <c r="Q285" s="3">
        <v>4</v>
      </c>
      <c r="R285" s="3">
        <v>5</v>
      </c>
      <c r="S285" s="3">
        <v>5</v>
      </c>
      <c r="T285" s="3">
        <v>2</v>
      </c>
      <c r="U285" s="3">
        <f t="shared" si="31"/>
        <v>21</v>
      </c>
      <c r="V285" s="13">
        <f t="shared" si="32"/>
        <v>1.4761904761904763</v>
      </c>
      <c r="W285" s="13">
        <f t="shared" si="42"/>
        <v>1.4761904761904763</v>
      </c>
      <c r="X285" s="3">
        <f t="shared" si="40"/>
        <v>21</v>
      </c>
      <c r="Y285" s="3" t="e">
        <f t="shared" si="43"/>
        <v>#DIV/0!</v>
      </c>
      <c r="Z285" s="3"/>
      <c r="AA285" s="3"/>
      <c r="AB285" s="3">
        <v>105</v>
      </c>
      <c r="AC285" s="3" t="s">
        <v>82</v>
      </c>
      <c r="AD285" s="3" t="s">
        <v>83</v>
      </c>
      <c r="AE285" s="3">
        <v>15</v>
      </c>
      <c r="AF285" s="3" t="s">
        <v>151</v>
      </c>
      <c r="AG285" s="3" t="s">
        <v>241</v>
      </c>
      <c r="AH285" s="3"/>
    </row>
    <row r="286" spans="1:34" ht="14.25" customHeight="1" x14ac:dyDescent="0.25">
      <c r="A286" s="3" t="s">
        <v>152</v>
      </c>
      <c r="B286" s="3" t="s">
        <v>79</v>
      </c>
      <c r="C286" s="3"/>
      <c r="D286" s="3" t="s">
        <v>117</v>
      </c>
      <c r="E286" s="3">
        <v>1</v>
      </c>
      <c r="F286" s="3">
        <v>1</v>
      </c>
      <c r="G286" s="3" t="s">
        <v>1</v>
      </c>
      <c r="H286" s="11">
        <v>45777</v>
      </c>
      <c r="I286" s="3" t="s">
        <v>142</v>
      </c>
      <c r="J286" s="3">
        <f>20+15+10+8+13+10</f>
        <v>76</v>
      </c>
      <c r="K286" s="3">
        <f>5+14+8+18</f>
        <v>45</v>
      </c>
      <c r="L286" s="3">
        <f>6+9+8</f>
        <v>23</v>
      </c>
      <c r="M286" s="3">
        <f>15+12+20</f>
        <v>47</v>
      </c>
      <c r="N286" s="3">
        <v>0</v>
      </c>
      <c r="O286" s="3">
        <f t="shared" si="30"/>
        <v>191</v>
      </c>
      <c r="P286" s="3">
        <v>6</v>
      </c>
      <c r="Q286" s="3">
        <v>4</v>
      </c>
      <c r="R286" s="3">
        <v>4</v>
      </c>
      <c r="S286" s="3">
        <v>3</v>
      </c>
      <c r="T286" s="3">
        <v>0</v>
      </c>
      <c r="U286" s="3">
        <f t="shared" si="31"/>
        <v>17</v>
      </c>
      <c r="V286" s="13">
        <f t="shared" si="32"/>
        <v>11.235294117647058</v>
      </c>
      <c r="W286" s="13">
        <f t="shared" si="42"/>
        <v>11.235294117647058</v>
      </c>
      <c r="X286" s="3">
        <f t="shared" si="40"/>
        <v>17</v>
      </c>
      <c r="Y286" s="3">
        <f t="shared" si="43"/>
        <v>1.4980392156862744E-2</v>
      </c>
      <c r="Z286" s="3"/>
      <c r="AA286" s="3">
        <f t="shared" ref="AA286:AA294" si="44">25*3*10</f>
        <v>750</v>
      </c>
      <c r="AB286" s="3">
        <f t="shared" ref="AB286:AB294" si="45">20*3+10</f>
        <v>70</v>
      </c>
      <c r="AC286" s="3" t="s">
        <v>82</v>
      </c>
      <c r="AD286" s="3" t="s">
        <v>83</v>
      </c>
      <c r="AE286" s="3">
        <v>15</v>
      </c>
      <c r="AF286" s="3" t="s">
        <v>151</v>
      </c>
      <c r="AG286" s="3" t="s">
        <v>296</v>
      </c>
      <c r="AH286" s="3"/>
    </row>
    <row r="287" spans="1:34" ht="14.25" customHeight="1" x14ac:dyDescent="0.25">
      <c r="A287" s="3" t="s">
        <v>152</v>
      </c>
      <c r="B287" s="3" t="s">
        <v>79</v>
      </c>
      <c r="C287" s="3"/>
      <c r="D287" s="3" t="s">
        <v>117</v>
      </c>
      <c r="E287" s="3">
        <v>1</v>
      </c>
      <c r="F287" s="3">
        <v>1</v>
      </c>
      <c r="G287" s="3" t="s">
        <v>2</v>
      </c>
      <c r="H287" s="11">
        <v>45777</v>
      </c>
      <c r="I287" s="3" t="s">
        <v>142</v>
      </c>
      <c r="J287" s="3">
        <v>12</v>
      </c>
      <c r="K287" s="3">
        <v>20</v>
      </c>
      <c r="L287" s="3">
        <f>20+3</f>
        <v>23</v>
      </c>
      <c r="M287" s="3">
        <v>0</v>
      </c>
      <c r="N287" s="3">
        <v>0</v>
      </c>
      <c r="O287" s="3">
        <f t="shared" si="30"/>
        <v>55</v>
      </c>
      <c r="P287" s="3">
        <v>6</v>
      </c>
      <c r="Q287" s="3">
        <v>4</v>
      </c>
      <c r="R287" s="3">
        <v>4</v>
      </c>
      <c r="S287" s="3">
        <v>3</v>
      </c>
      <c r="T287" s="3">
        <v>0</v>
      </c>
      <c r="U287" s="3">
        <f t="shared" si="31"/>
        <v>17</v>
      </c>
      <c r="V287" s="13">
        <f t="shared" si="32"/>
        <v>3.2352941176470589</v>
      </c>
      <c r="W287" s="13">
        <f t="shared" si="42"/>
        <v>3.2352941176470589</v>
      </c>
      <c r="X287" s="3">
        <f t="shared" si="40"/>
        <v>17</v>
      </c>
      <c r="Y287" s="3">
        <f t="shared" si="43"/>
        <v>4.3137254901960782E-3</v>
      </c>
      <c r="Z287" s="3"/>
      <c r="AA287" s="3">
        <f t="shared" si="44"/>
        <v>750</v>
      </c>
      <c r="AB287" s="3">
        <f t="shared" si="45"/>
        <v>70</v>
      </c>
      <c r="AC287" s="3" t="s">
        <v>82</v>
      </c>
      <c r="AD287" s="3" t="s">
        <v>83</v>
      </c>
      <c r="AE287" s="3">
        <v>15</v>
      </c>
      <c r="AF287" s="3" t="s">
        <v>151</v>
      </c>
      <c r="AG287" s="3" t="s">
        <v>296</v>
      </c>
      <c r="AH287" s="3"/>
    </row>
    <row r="288" spans="1:34" ht="14.25" customHeight="1" x14ac:dyDescent="0.25">
      <c r="A288" s="3" t="s">
        <v>152</v>
      </c>
      <c r="B288" s="3" t="s">
        <v>79</v>
      </c>
      <c r="C288" s="3"/>
      <c r="D288" s="3" t="s">
        <v>117</v>
      </c>
      <c r="E288" s="3">
        <v>1</v>
      </c>
      <c r="F288" s="3">
        <v>1</v>
      </c>
      <c r="G288" s="3" t="s">
        <v>12</v>
      </c>
      <c r="H288" s="11">
        <v>45777</v>
      </c>
      <c r="I288" s="3" t="s">
        <v>142</v>
      </c>
      <c r="J288" s="3">
        <v>10</v>
      </c>
      <c r="K288" s="3">
        <v>0</v>
      </c>
      <c r="L288" s="3">
        <v>0</v>
      </c>
      <c r="M288" s="3">
        <v>5</v>
      </c>
      <c r="N288" s="3">
        <v>0</v>
      </c>
      <c r="O288" s="3">
        <f t="shared" si="30"/>
        <v>15</v>
      </c>
      <c r="P288" s="3">
        <v>6</v>
      </c>
      <c r="Q288" s="3">
        <v>4</v>
      </c>
      <c r="R288" s="3">
        <v>4</v>
      </c>
      <c r="S288" s="3">
        <v>3</v>
      </c>
      <c r="T288" s="3">
        <v>0</v>
      </c>
      <c r="U288" s="3">
        <f t="shared" si="31"/>
        <v>17</v>
      </c>
      <c r="V288" s="13">
        <f t="shared" si="32"/>
        <v>0.88235294117647056</v>
      </c>
      <c r="W288" s="13">
        <f t="shared" si="42"/>
        <v>0.88235294117647056</v>
      </c>
      <c r="X288" s="3">
        <f t="shared" si="40"/>
        <v>17</v>
      </c>
      <c r="Y288" s="3">
        <f t="shared" si="43"/>
        <v>1.176470588235294E-3</v>
      </c>
      <c r="Z288" s="3"/>
      <c r="AA288" s="3">
        <f t="shared" si="44"/>
        <v>750</v>
      </c>
      <c r="AB288" s="3">
        <f t="shared" si="45"/>
        <v>70</v>
      </c>
      <c r="AC288" s="3" t="s">
        <v>82</v>
      </c>
      <c r="AD288" s="3" t="s">
        <v>83</v>
      </c>
      <c r="AE288" s="3">
        <v>15</v>
      </c>
      <c r="AF288" s="3" t="s">
        <v>151</v>
      </c>
      <c r="AG288" s="3" t="s">
        <v>296</v>
      </c>
      <c r="AH288" s="3"/>
    </row>
    <row r="289" spans="1:34" ht="14.25" customHeight="1" x14ac:dyDescent="0.25">
      <c r="A289" s="3" t="s">
        <v>152</v>
      </c>
      <c r="B289" s="3" t="s">
        <v>79</v>
      </c>
      <c r="C289" s="3"/>
      <c r="D289" s="3" t="s">
        <v>117</v>
      </c>
      <c r="E289" s="3">
        <v>1</v>
      </c>
      <c r="F289" s="3">
        <v>1</v>
      </c>
      <c r="G289" s="3" t="s">
        <v>14</v>
      </c>
      <c r="H289" s="11">
        <v>45777</v>
      </c>
      <c r="I289" s="3" t="s">
        <v>142</v>
      </c>
      <c r="J289" s="3">
        <v>0</v>
      </c>
      <c r="K289" s="3">
        <v>0</v>
      </c>
      <c r="L289" s="3">
        <v>0</v>
      </c>
      <c r="M289" s="3">
        <v>10</v>
      </c>
      <c r="N289" s="3">
        <v>0</v>
      </c>
      <c r="O289" s="3">
        <f t="shared" si="30"/>
        <v>10</v>
      </c>
      <c r="P289" s="3">
        <v>6</v>
      </c>
      <c r="Q289" s="3">
        <v>4</v>
      </c>
      <c r="R289" s="3">
        <v>4</v>
      </c>
      <c r="S289" s="3">
        <v>3</v>
      </c>
      <c r="T289" s="3">
        <v>0</v>
      </c>
      <c r="U289" s="3">
        <f t="shared" si="31"/>
        <v>17</v>
      </c>
      <c r="V289" s="13">
        <f t="shared" si="32"/>
        <v>0.58823529411764708</v>
      </c>
      <c r="W289" s="13">
        <f t="shared" si="42"/>
        <v>0.58823529411764708</v>
      </c>
      <c r="X289" s="3">
        <f t="shared" si="40"/>
        <v>17</v>
      </c>
      <c r="Y289" s="3">
        <f t="shared" si="43"/>
        <v>7.8431372549019615E-4</v>
      </c>
      <c r="Z289" s="3"/>
      <c r="AA289" s="3">
        <f t="shared" si="44"/>
        <v>750</v>
      </c>
      <c r="AB289" s="3">
        <f t="shared" si="45"/>
        <v>70</v>
      </c>
      <c r="AC289" s="3" t="s">
        <v>82</v>
      </c>
      <c r="AD289" s="3" t="s">
        <v>83</v>
      </c>
      <c r="AE289" s="3">
        <v>15</v>
      </c>
      <c r="AF289" s="3" t="s">
        <v>151</v>
      </c>
      <c r="AG289" s="3" t="s">
        <v>296</v>
      </c>
      <c r="AH289" s="3"/>
    </row>
    <row r="290" spans="1:34" ht="14.25" customHeight="1" x14ac:dyDescent="0.25">
      <c r="A290" s="3" t="s">
        <v>152</v>
      </c>
      <c r="B290" s="3" t="s">
        <v>79</v>
      </c>
      <c r="C290" s="3"/>
      <c r="D290" s="3" t="s">
        <v>117</v>
      </c>
      <c r="E290" s="3">
        <v>1</v>
      </c>
      <c r="F290" s="3">
        <v>1</v>
      </c>
      <c r="G290" s="3" t="s">
        <v>19</v>
      </c>
      <c r="H290" s="11">
        <v>45777</v>
      </c>
      <c r="I290" s="3" t="s">
        <v>142</v>
      </c>
      <c r="J290" s="3">
        <v>0</v>
      </c>
      <c r="K290" s="3">
        <v>0</v>
      </c>
      <c r="L290" s="3">
        <v>5</v>
      </c>
      <c r="M290" s="3">
        <v>0</v>
      </c>
      <c r="N290" s="3">
        <v>0</v>
      </c>
      <c r="O290" s="3">
        <f t="shared" si="30"/>
        <v>5</v>
      </c>
      <c r="P290" s="3">
        <v>6</v>
      </c>
      <c r="Q290" s="3">
        <v>4</v>
      </c>
      <c r="R290" s="3">
        <v>4</v>
      </c>
      <c r="S290" s="3">
        <v>3</v>
      </c>
      <c r="T290" s="3">
        <v>0</v>
      </c>
      <c r="U290" s="3">
        <f t="shared" si="31"/>
        <v>17</v>
      </c>
      <c r="V290" s="13">
        <f t="shared" si="32"/>
        <v>0.29411764705882354</v>
      </c>
      <c r="W290" s="13">
        <f t="shared" si="42"/>
        <v>0.29411764705882354</v>
      </c>
      <c r="X290" s="3">
        <f t="shared" si="40"/>
        <v>17</v>
      </c>
      <c r="Y290" s="3">
        <f t="shared" si="43"/>
        <v>3.9215686274509808E-4</v>
      </c>
      <c r="Z290" s="3"/>
      <c r="AA290" s="3">
        <f t="shared" si="44"/>
        <v>750</v>
      </c>
      <c r="AB290" s="3">
        <f t="shared" si="45"/>
        <v>70</v>
      </c>
      <c r="AC290" s="3" t="s">
        <v>82</v>
      </c>
      <c r="AD290" s="3" t="s">
        <v>83</v>
      </c>
      <c r="AE290" s="3">
        <v>15</v>
      </c>
      <c r="AF290" s="3" t="s">
        <v>151</v>
      </c>
      <c r="AG290" s="3" t="s">
        <v>296</v>
      </c>
      <c r="AH290" s="3"/>
    </row>
    <row r="291" spans="1:34" ht="14.25" customHeight="1" x14ac:dyDescent="0.25">
      <c r="A291" s="3" t="s">
        <v>152</v>
      </c>
      <c r="B291" s="3" t="s">
        <v>79</v>
      </c>
      <c r="C291" s="3"/>
      <c r="D291" s="3" t="s">
        <v>117</v>
      </c>
      <c r="E291" s="3">
        <v>1</v>
      </c>
      <c r="F291" s="3">
        <v>1</v>
      </c>
      <c r="G291" s="3" t="s">
        <v>24</v>
      </c>
      <c r="H291" s="11">
        <v>45777</v>
      </c>
      <c r="I291" s="3" t="s">
        <v>142</v>
      </c>
      <c r="J291" s="3">
        <v>0</v>
      </c>
      <c r="K291" s="3">
        <v>0</v>
      </c>
      <c r="L291" s="3">
        <v>0</v>
      </c>
      <c r="M291" s="3">
        <v>5</v>
      </c>
      <c r="N291" s="3">
        <v>0</v>
      </c>
      <c r="O291" s="3">
        <f t="shared" si="30"/>
        <v>5</v>
      </c>
      <c r="P291" s="3">
        <v>6</v>
      </c>
      <c r="Q291" s="3">
        <v>4</v>
      </c>
      <c r="R291" s="3">
        <v>4</v>
      </c>
      <c r="S291" s="3">
        <v>3</v>
      </c>
      <c r="T291" s="3">
        <v>0</v>
      </c>
      <c r="U291" s="3">
        <f t="shared" si="31"/>
        <v>17</v>
      </c>
      <c r="V291" s="13">
        <f t="shared" si="32"/>
        <v>0.29411764705882354</v>
      </c>
      <c r="W291" s="13">
        <f t="shared" si="42"/>
        <v>0.29411764705882354</v>
      </c>
      <c r="X291" s="3">
        <f t="shared" si="40"/>
        <v>17</v>
      </c>
      <c r="Y291" s="3">
        <f t="shared" si="43"/>
        <v>3.9215686274509808E-4</v>
      </c>
      <c r="Z291" s="3"/>
      <c r="AA291" s="3">
        <f t="shared" si="44"/>
        <v>750</v>
      </c>
      <c r="AB291" s="3">
        <f t="shared" si="45"/>
        <v>70</v>
      </c>
      <c r="AC291" s="3" t="s">
        <v>82</v>
      </c>
      <c r="AD291" s="3" t="s">
        <v>83</v>
      </c>
      <c r="AE291" s="3">
        <v>15</v>
      </c>
      <c r="AF291" s="3" t="s">
        <v>151</v>
      </c>
      <c r="AG291" s="3" t="s">
        <v>296</v>
      </c>
      <c r="AH291" s="3"/>
    </row>
    <row r="292" spans="1:34" ht="14.25" customHeight="1" x14ac:dyDescent="0.25">
      <c r="A292" s="3" t="s">
        <v>152</v>
      </c>
      <c r="B292" s="3" t="s">
        <v>79</v>
      </c>
      <c r="C292" s="3"/>
      <c r="D292" s="3" t="s">
        <v>117</v>
      </c>
      <c r="E292" s="3">
        <v>1</v>
      </c>
      <c r="F292" s="3">
        <v>1</v>
      </c>
      <c r="G292" s="3" t="s">
        <v>25</v>
      </c>
      <c r="H292" s="11">
        <v>45777</v>
      </c>
      <c r="I292" s="3" t="s">
        <v>142</v>
      </c>
      <c r="J292" s="3">
        <v>0</v>
      </c>
      <c r="K292" s="3">
        <v>0</v>
      </c>
      <c r="L292" s="3">
        <v>0</v>
      </c>
      <c r="M292" s="3">
        <v>7</v>
      </c>
      <c r="N292" s="3">
        <v>0</v>
      </c>
      <c r="O292" s="3">
        <f t="shared" si="30"/>
        <v>7</v>
      </c>
      <c r="P292" s="3">
        <v>6</v>
      </c>
      <c r="Q292" s="3">
        <v>4</v>
      </c>
      <c r="R292" s="3">
        <v>4</v>
      </c>
      <c r="S292" s="3">
        <v>3</v>
      </c>
      <c r="T292" s="3">
        <v>0</v>
      </c>
      <c r="U292" s="3">
        <f t="shared" si="31"/>
        <v>17</v>
      </c>
      <c r="V292" s="13">
        <f t="shared" si="32"/>
        <v>0.41176470588235292</v>
      </c>
      <c r="W292" s="13">
        <f t="shared" si="42"/>
        <v>0.41176470588235292</v>
      </c>
      <c r="X292" s="3">
        <f t="shared" si="40"/>
        <v>17</v>
      </c>
      <c r="Y292" s="3">
        <f t="shared" si="43"/>
        <v>5.4901960784313724E-4</v>
      </c>
      <c r="Z292" s="3"/>
      <c r="AA292" s="3">
        <f t="shared" si="44"/>
        <v>750</v>
      </c>
      <c r="AB292" s="3">
        <f t="shared" si="45"/>
        <v>70</v>
      </c>
      <c r="AC292" s="3" t="s">
        <v>82</v>
      </c>
      <c r="AD292" s="3" t="s">
        <v>83</v>
      </c>
      <c r="AE292" s="3">
        <v>15</v>
      </c>
      <c r="AF292" s="3" t="s">
        <v>151</v>
      </c>
      <c r="AG292" s="3" t="s">
        <v>296</v>
      </c>
      <c r="AH292" s="3"/>
    </row>
    <row r="293" spans="1:34" ht="14.25" customHeight="1" x14ac:dyDescent="0.25">
      <c r="A293" s="3" t="s">
        <v>152</v>
      </c>
      <c r="B293" s="3" t="s">
        <v>79</v>
      </c>
      <c r="C293" s="3"/>
      <c r="D293" s="3" t="s">
        <v>117</v>
      </c>
      <c r="E293" s="3">
        <v>1</v>
      </c>
      <c r="F293" s="3">
        <v>1</v>
      </c>
      <c r="G293" s="3" t="s">
        <v>22</v>
      </c>
      <c r="H293" s="11">
        <v>45777</v>
      </c>
      <c r="I293" s="3" t="s">
        <v>142</v>
      </c>
      <c r="J293" s="3">
        <f>10+5+20</f>
        <v>35</v>
      </c>
      <c r="K293" s="3">
        <v>0</v>
      </c>
      <c r="L293" s="3">
        <v>0</v>
      </c>
      <c r="M293" s="3">
        <v>0</v>
      </c>
      <c r="N293" s="3">
        <v>0</v>
      </c>
      <c r="O293" s="3">
        <f t="shared" si="30"/>
        <v>35</v>
      </c>
      <c r="P293" s="3">
        <v>6</v>
      </c>
      <c r="Q293" s="3">
        <v>4</v>
      </c>
      <c r="R293" s="3">
        <v>4</v>
      </c>
      <c r="S293" s="3">
        <v>3</v>
      </c>
      <c r="T293" s="3">
        <v>0</v>
      </c>
      <c r="U293" s="3">
        <f t="shared" si="31"/>
        <v>17</v>
      </c>
      <c r="V293" s="13">
        <f t="shared" si="32"/>
        <v>2.0588235294117645</v>
      </c>
      <c r="W293" s="13">
        <f t="shared" si="42"/>
        <v>2.0588235294117645</v>
      </c>
      <c r="X293" s="3">
        <f t="shared" si="40"/>
        <v>17</v>
      </c>
      <c r="Y293" s="3">
        <f t="shared" si="43"/>
        <v>2.7450980392156859E-3</v>
      </c>
      <c r="Z293" s="3"/>
      <c r="AA293" s="3">
        <f t="shared" si="44"/>
        <v>750</v>
      </c>
      <c r="AB293" s="3">
        <f t="shared" si="45"/>
        <v>70</v>
      </c>
      <c r="AC293" s="3" t="s">
        <v>82</v>
      </c>
      <c r="AD293" s="3" t="s">
        <v>83</v>
      </c>
      <c r="AE293" s="3">
        <v>15</v>
      </c>
      <c r="AF293" s="3" t="s">
        <v>151</v>
      </c>
      <c r="AG293" s="3" t="s">
        <v>296</v>
      </c>
      <c r="AH293" s="3"/>
    </row>
    <row r="294" spans="1:34" ht="14.25" customHeight="1" x14ac:dyDescent="0.25">
      <c r="A294" s="3" t="s">
        <v>152</v>
      </c>
      <c r="B294" s="3" t="s">
        <v>79</v>
      </c>
      <c r="C294" s="3"/>
      <c r="D294" s="3" t="s">
        <v>117</v>
      </c>
      <c r="E294" s="3">
        <v>1</v>
      </c>
      <c r="F294" s="3">
        <v>1</v>
      </c>
      <c r="G294" s="3" t="s">
        <v>4</v>
      </c>
      <c r="H294" s="11">
        <v>45777</v>
      </c>
      <c r="I294" s="3" t="s">
        <v>142</v>
      </c>
      <c r="J294" s="3">
        <v>0</v>
      </c>
      <c r="K294" s="3">
        <v>0</v>
      </c>
      <c r="L294" s="3">
        <f>3+3</f>
        <v>6</v>
      </c>
      <c r="M294" s="3">
        <v>0</v>
      </c>
      <c r="N294" s="3">
        <v>0</v>
      </c>
      <c r="O294" s="3">
        <f t="shared" si="30"/>
        <v>6</v>
      </c>
      <c r="P294" s="3">
        <v>6</v>
      </c>
      <c r="Q294" s="3">
        <v>4</v>
      </c>
      <c r="R294" s="3">
        <v>4</v>
      </c>
      <c r="S294" s="3">
        <v>3</v>
      </c>
      <c r="T294" s="3">
        <v>0</v>
      </c>
      <c r="U294" s="3">
        <f t="shared" si="31"/>
        <v>17</v>
      </c>
      <c r="V294" s="13">
        <f t="shared" si="32"/>
        <v>0.35294117647058826</v>
      </c>
      <c r="W294" s="13">
        <f t="shared" si="42"/>
        <v>0.35294117647058826</v>
      </c>
      <c r="X294" s="3">
        <f t="shared" si="40"/>
        <v>17</v>
      </c>
      <c r="Y294" s="3">
        <f t="shared" si="43"/>
        <v>4.7058823529411766E-4</v>
      </c>
      <c r="Z294" s="3"/>
      <c r="AA294" s="3">
        <f t="shared" si="44"/>
        <v>750</v>
      </c>
      <c r="AB294" s="3">
        <f t="shared" si="45"/>
        <v>70</v>
      </c>
      <c r="AC294" s="3" t="s">
        <v>82</v>
      </c>
      <c r="AD294" s="3" t="s">
        <v>83</v>
      </c>
      <c r="AE294" s="3">
        <v>15</v>
      </c>
      <c r="AF294" s="3" t="s">
        <v>151</v>
      </c>
      <c r="AG294" s="3" t="s">
        <v>296</v>
      </c>
      <c r="AH294" s="3"/>
    </row>
    <row r="295" spans="1:34" ht="14.25" customHeight="1" x14ac:dyDescent="0.25">
      <c r="A295" s="3" t="s">
        <v>135</v>
      </c>
      <c r="B295" s="3" t="s">
        <v>79</v>
      </c>
      <c r="C295" s="3"/>
      <c r="D295" s="3" t="s">
        <v>121</v>
      </c>
      <c r="E295" s="3">
        <v>1</v>
      </c>
      <c r="F295" s="3">
        <v>1</v>
      </c>
      <c r="G295" s="3" t="s">
        <v>16</v>
      </c>
      <c r="H295" s="11">
        <v>45777</v>
      </c>
      <c r="I295" s="3" t="s">
        <v>142</v>
      </c>
      <c r="J295" s="3">
        <v>3</v>
      </c>
      <c r="K295" s="3">
        <f>5+5</f>
        <v>10</v>
      </c>
      <c r="L295" s="3">
        <f>8+2</f>
        <v>10</v>
      </c>
      <c r="M295" s="3">
        <v>2</v>
      </c>
      <c r="N295" s="3">
        <v>4</v>
      </c>
      <c r="O295" s="3">
        <f t="shared" si="30"/>
        <v>29</v>
      </c>
      <c r="P295" s="3">
        <v>1</v>
      </c>
      <c r="Q295" s="3">
        <v>2</v>
      </c>
      <c r="R295" s="3">
        <v>2</v>
      </c>
      <c r="S295" s="3">
        <v>2</v>
      </c>
      <c r="T295" s="3">
        <v>1</v>
      </c>
      <c r="U295" s="3">
        <f t="shared" si="31"/>
        <v>8</v>
      </c>
      <c r="V295" s="13">
        <f t="shared" si="32"/>
        <v>3.625</v>
      </c>
      <c r="W295" s="13">
        <f t="shared" si="42"/>
        <v>3.625</v>
      </c>
      <c r="X295" s="3">
        <f t="shared" si="40"/>
        <v>8</v>
      </c>
      <c r="Y295" s="3" t="e">
        <f t="shared" si="43"/>
        <v>#DIV/0!</v>
      </c>
      <c r="Z295" s="3"/>
      <c r="AA295" s="3"/>
      <c r="AB295" s="3"/>
      <c r="AC295" s="3" t="s">
        <v>82</v>
      </c>
      <c r="AD295" s="3" t="s">
        <v>83</v>
      </c>
      <c r="AE295" s="3">
        <v>15</v>
      </c>
      <c r="AF295" s="3" t="s">
        <v>151</v>
      </c>
      <c r="AG295" s="3" t="s">
        <v>203</v>
      </c>
      <c r="AH295" s="3"/>
    </row>
    <row r="296" spans="1:34" ht="14.25" customHeight="1" x14ac:dyDescent="0.25">
      <c r="A296" s="3" t="s">
        <v>135</v>
      </c>
      <c r="B296" s="3" t="s">
        <v>79</v>
      </c>
      <c r="C296" s="3"/>
      <c r="D296" s="3" t="s">
        <v>121</v>
      </c>
      <c r="E296" s="3">
        <v>1</v>
      </c>
      <c r="F296" s="3">
        <v>1</v>
      </c>
      <c r="G296" s="3" t="s">
        <v>18</v>
      </c>
      <c r="H296" s="11">
        <v>45777</v>
      </c>
      <c r="I296" s="3" t="s">
        <v>142</v>
      </c>
      <c r="J296" s="3">
        <v>2</v>
      </c>
      <c r="K296" s="3">
        <v>3</v>
      </c>
      <c r="L296" s="3">
        <v>0</v>
      </c>
      <c r="M296" s="3">
        <f>3+4</f>
        <v>7</v>
      </c>
      <c r="N296" s="3">
        <v>0</v>
      </c>
      <c r="O296" s="3">
        <f t="shared" si="30"/>
        <v>12</v>
      </c>
      <c r="P296" s="3">
        <v>1</v>
      </c>
      <c r="Q296" s="3">
        <v>2</v>
      </c>
      <c r="R296" s="3">
        <v>2</v>
      </c>
      <c r="S296" s="3">
        <v>2</v>
      </c>
      <c r="T296" s="3">
        <v>1</v>
      </c>
      <c r="U296" s="3">
        <f t="shared" si="31"/>
        <v>8</v>
      </c>
      <c r="V296" s="13">
        <f t="shared" si="32"/>
        <v>1.5</v>
      </c>
      <c r="W296" s="13">
        <f t="shared" si="42"/>
        <v>1.5</v>
      </c>
      <c r="X296" s="3">
        <f t="shared" si="40"/>
        <v>8</v>
      </c>
      <c r="Y296" s="3" t="e">
        <f t="shared" si="43"/>
        <v>#DIV/0!</v>
      </c>
      <c r="Z296" s="3"/>
      <c r="AA296" s="3"/>
      <c r="AB296" s="3"/>
      <c r="AC296" s="3" t="s">
        <v>82</v>
      </c>
      <c r="AD296" s="3" t="s">
        <v>83</v>
      </c>
      <c r="AE296" s="3">
        <v>15</v>
      </c>
      <c r="AF296" s="3" t="s">
        <v>151</v>
      </c>
      <c r="AG296" s="3" t="s">
        <v>203</v>
      </c>
      <c r="AH296" s="3"/>
    </row>
    <row r="297" spans="1:34" ht="14.25" customHeight="1" x14ac:dyDescent="0.25">
      <c r="A297" s="3" t="s">
        <v>126</v>
      </c>
      <c r="B297" s="3" t="s">
        <v>79</v>
      </c>
      <c r="C297" s="3"/>
      <c r="D297" s="3" t="s">
        <v>121</v>
      </c>
      <c r="E297" s="3">
        <v>1</v>
      </c>
      <c r="F297" s="3">
        <v>1</v>
      </c>
      <c r="G297" s="3" t="s">
        <v>3</v>
      </c>
      <c r="H297" s="11">
        <v>45777</v>
      </c>
      <c r="I297" s="3" t="s">
        <v>142</v>
      </c>
      <c r="J297" s="3">
        <v>0</v>
      </c>
      <c r="K297" s="3">
        <f>14+12</f>
        <v>26</v>
      </c>
      <c r="L297" s="3">
        <f>8+18</f>
        <v>26</v>
      </c>
      <c r="M297" s="3">
        <v>0</v>
      </c>
      <c r="N297" s="3">
        <v>0</v>
      </c>
      <c r="O297" s="3">
        <f t="shared" si="30"/>
        <v>52</v>
      </c>
      <c r="P297" s="3">
        <v>0</v>
      </c>
      <c r="Q297" s="3">
        <v>2</v>
      </c>
      <c r="R297" s="3">
        <v>2</v>
      </c>
      <c r="S297" s="3">
        <v>0</v>
      </c>
      <c r="T297" s="3">
        <v>0</v>
      </c>
      <c r="U297" s="3">
        <f t="shared" si="31"/>
        <v>4</v>
      </c>
      <c r="V297" s="13">
        <f t="shared" si="32"/>
        <v>13</v>
      </c>
      <c r="W297" s="13">
        <f t="shared" si="42"/>
        <v>13</v>
      </c>
      <c r="X297" s="3">
        <f t="shared" si="40"/>
        <v>4</v>
      </c>
      <c r="Y297" s="3">
        <f t="shared" si="43"/>
        <v>7.2222222222222215E-2</v>
      </c>
      <c r="Z297" s="3"/>
      <c r="AA297" s="3">
        <f>30*2*2+10*2*3</f>
        <v>180</v>
      </c>
      <c r="AB297" s="3"/>
      <c r="AC297" s="3" t="s">
        <v>82</v>
      </c>
      <c r="AD297" s="3" t="s">
        <v>83</v>
      </c>
      <c r="AE297" s="3">
        <v>15</v>
      </c>
      <c r="AF297" s="3" t="s">
        <v>151</v>
      </c>
      <c r="AG297" s="3" t="s">
        <v>297</v>
      </c>
      <c r="AH297" s="3"/>
    </row>
    <row r="298" spans="1:34" ht="14.25" customHeight="1" x14ac:dyDescent="0.25">
      <c r="A298" s="3" t="s">
        <v>128</v>
      </c>
      <c r="B298" s="3" t="s">
        <v>79</v>
      </c>
      <c r="C298" s="3"/>
      <c r="D298" s="3" t="s">
        <v>121</v>
      </c>
      <c r="E298" s="3">
        <v>1</v>
      </c>
      <c r="F298" s="3">
        <v>1</v>
      </c>
      <c r="G298" s="3" t="s">
        <v>16</v>
      </c>
      <c r="H298" s="11">
        <v>45777</v>
      </c>
      <c r="I298" s="3" t="s">
        <v>142</v>
      </c>
      <c r="J298" s="3">
        <f>3+4+3</f>
        <v>10</v>
      </c>
      <c r="K298" s="3">
        <v>4</v>
      </c>
      <c r="L298" s="3">
        <f>8+9</f>
        <v>17</v>
      </c>
      <c r="M298" s="3">
        <v>0</v>
      </c>
      <c r="N298" s="3">
        <v>0</v>
      </c>
      <c r="O298" s="3">
        <f t="shared" si="30"/>
        <v>31</v>
      </c>
      <c r="P298" s="3">
        <v>4</v>
      </c>
      <c r="Q298" s="3">
        <v>2</v>
      </c>
      <c r="R298" s="3">
        <v>3</v>
      </c>
      <c r="S298" s="3">
        <v>1</v>
      </c>
      <c r="T298" s="3">
        <v>0</v>
      </c>
      <c r="U298" s="3">
        <f t="shared" si="31"/>
        <v>10</v>
      </c>
      <c r="V298" s="13">
        <f t="shared" si="32"/>
        <v>3.1</v>
      </c>
      <c r="W298" s="13">
        <f t="shared" si="42"/>
        <v>3.1</v>
      </c>
      <c r="X298" s="3">
        <f t="shared" si="40"/>
        <v>10</v>
      </c>
      <c r="Y298" s="3" t="e">
        <f t="shared" si="43"/>
        <v>#DIV/0!</v>
      </c>
      <c r="Z298" s="3"/>
      <c r="AA298" s="3"/>
      <c r="AB298" s="3">
        <v>20</v>
      </c>
      <c r="AC298" s="3" t="s">
        <v>82</v>
      </c>
      <c r="AD298" s="3" t="s">
        <v>83</v>
      </c>
      <c r="AE298" s="3">
        <v>15</v>
      </c>
      <c r="AF298" s="3" t="s">
        <v>151</v>
      </c>
      <c r="AG298" s="3" t="s">
        <v>230</v>
      </c>
      <c r="AH298" s="3"/>
    </row>
    <row r="299" spans="1:34" ht="14.25" customHeight="1" x14ac:dyDescent="0.25">
      <c r="A299" s="3" t="s">
        <v>128</v>
      </c>
      <c r="B299" s="3" t="s">
        <v>79</v>
      </c>
      <c r="C299" s="3"/>
      <c r="D299" s="3" t="s">
        <v>121</v>
      </c>
      <c r="E299" s="3">
        <v>1</v>
      </c>
      <c r="F299" s="3">
        <v>1</v>
      </c>
      <c r="G299" s="3" t="s">
        <v>18</v>
      </c>
      <c r="H299" s="11">
        <v>45777</v>
      </c>
      <c r="I299" s="3" t="s">
        <v>142</v>
      </c>
      <c r="J299" s="3">
        <f>2+4+2+3</f>
        <v>11</v>
      </c>
      <c r="K299" s="3">
        <f>4+4</f>
        <v>8</v>
      </c>
      <c r="L299" s="3">
        <v>7</v>
      </c>
      <c r="M299" s="3">
        <v>0</v>
      </c>
      <c r="N299" s="3">
        <v>0</v>
      </c>
      <c r="O299" s="3">
        <f t="shared" si="30"/>
        <v>26</v>
      </c>
      <c r="P299" s="3">
        <v>4</v>
      </c>
      <c r="Q299" s="3">
        <v>2</v>
      </c>
      <c r="R299" s="3">
        <v>3</v>
      </c>
      <c r="S299" s="3">
        <v>1</v>
      </c>
      <c r="T299" s="3">
        <v>0</v>
      </c>
      <c r="U299" s="3">
        <f t="shared" si="31"/>
        <v>10</v>
      </c>
      <c r="V299" s="13">
        <f t="shared" si="32"/>
        <v>2.6</v>
      </c>
      <c r="W299" s="13">
        <f t="shared" si="42"/>
        <v>2.6</v>
      </c>
      <c r="X299" s="3">
        <f t="shared" si="40"/>
        <v>10</v>
      </c>
      <c r="Y299" s="3" t="e">
        <f t="shared" si="43"/>
        <v>#DIV/0!</v>
      </c>
      <c r="Z299" s="3"/>
      <c r="AA299" s="3"/>
      <c r="AB299" s="3">
        <v>20</v>
      </c>
      <c r="AC299" s="3" t="s">
        <v>82</v>
      </c>
      <c r="AD299" s="3" t="s">
        <v>83</v>
      </c>
      <c r="AE299" s="3">
        <v>15</v>
      </c>
      <c r="AF299" s="3" t="s">
        <v>151</v>
      </c>
      <c r="AG299" s="3" t="s">
        <v>230</v>
      </c>
      <c r="AH299" s="3"/>
    </row>
    <row r="300" spans="1:34" ht="14.25" customHeight="1" x14ac:dyDescent="0.25">
      <c r="A300" s="3" t="s">
        <v>128</v>
      </c>
      <c r="B300" s="3" t="s">
        <v>79</v>
      </c>
      <c r="C300" s="3"/>
      <c r="D300" s="3" t="s">
        <v>121</v>
      </c>
      <c r="E300" s="3">
        <v>1</v>
      </c>
      <c r="F300" s="3">
        <v>1</v>
      </c>
      <c r="G300" s="3" t="s">
        <v>22</v>
      </c>
      <c r="H300" s="11">
        <v>45777</v>
      </c>
      <c r="I300" s="3" t="s">
        <v>142</v>
      </c>
      <c r="J300" s="3">
        <v>0</v>
      </c>
      <c r="K300" s="3">
        <v>0</v>
      </c>
      <c r="L300" s="3">
        <v>8</v>
      </c>
      <c r="M300" s="3">
        <v>9</v>
      </c>
      <c r="N300" s="3">
        <v>0</v>
      </c>
      <c r="O300" s="3">
        <f t="shared" si="30"/>
        <v>17</v>
      </c>
      <c r="P300" s="3">
        <v>4</v>
      </c>
      <c r="Q300" s="3">
        <v>2</v>
      </c>
      <c r="R300" s="3">
        <v>3</v>
      </c>
      <c r="S300" s="3">
        <v>1</v>
      </c>
      <c r="T300" s="3">
        <v>0</v>
      </c>
      <c r="U300" s="3">
        <f t="shared" si="31"/>
        <v>10</v>
      </c>
      <c r="V300" s="13">
        <f t="shared" si="32"/>
        <v>1.7</v>
      </c>
      <c r="W300" s="13">
        <f t="shared" si="42"/>
        <v>1.7</v>
      </c>
      <c r="X300" s="3">
        <f t="shared" si="40"/>
        <v>10</v>
      </c>
      <c r="Y300" s="3" t="e">
        <f t="shared" si="43"/>
        <v>#DIV/0!</v>
      </c>
      <c r="Z300" s="3"/>
      <c r="AA300" s="3"/>
      <c r="AB300" s="3">
        <v>20</v>
      </c>
      <c r="AC300" s="3" t="s">
        <v>82</v>
      </c>
      <c r="AD300" s="3" t="s">
        <v>83</v>
      </c>
      <c r="AE300" s="3">
        <v>15</v>
      </c>
      <c r="AF300" s="3" t="s">
        <v>151</v>
      </c>
      <c r="AG300" s="3" t="s">
        <v>230</v>
      </c>
      <c r="AH300" s="3"/>
    </row>
    <row r="301" spans="1:34" ht="14.25" customHeight="1" x14ac:dyDescent="0.25">
      <c r="A301" s="3" t="s">
        <v>136</v>
      </c>
      <c r="B301" s="3" t="s">
        <v>79</v>
      </c>
      <c r="C301" s="3"/>
      <c r="D301" s="3" t="s">
        <v>115</v>
      </c>
      <c r="E301" s="3">
        <v>1</v>
      </c>
      <c r="F301" s="3">
        <v>1</v>
      </c>
      <c r="G301" s="3" t="s">
        <v>1</v>
      </c>
      <c r="H301" s="11">
        <v>45777</v>
      </c>
      <c r="I301" s="3" t="s">
        <v>142</v>
      </c>
      <c r="J301" s="3">
        <f>10+11+15+12+8</f>
        <v>56</v>
      </c>
      <c r="K301" s="3">
        <v>5</v>
      </c>
      <c r="L301" s="3">
        <v>0</v>
      </c>
      <c r="M301" s="3">
        <v>12</v>
      </c>
      <c r="N301" s="3">
        <f>6+8</f>
        <v>14</v>
      </c>
      <c r="O301" s="3">
        <f t="shared" si="30"/>
        <v>87</v>
      </c>
      <c r="P301" s="3">
        <v>5</v>
      </c>
      <c r="Q301" s="3">
        <v>1</v>
      </c>
      <c r="R301" s="3">
        <v>0</v>
      </c>
      <c r="S301" s="3">
        <v>1</v>
      </c>
      <c r="T301" s="3">
        <v>2</v>
      </c>
      <c r="U301" s="3">
        <f t="shared" si="31"/>
        <v>9</v>
      </c>
      <c r="V301" s="13">
        <f t="shared" si="32"/>
        <v>9.6666666666666661</v>
      </c>
      <c r="W301" s="13">
        <f t="shared" si="42"/>
        <v>9.6666666666666661</v>
      </c>
      <c r="X301" s="3">
        <f t="shared" si="40"/>
        <v>9</v>
      </c>
      <c r="Y301" s="3" t="e">
        <f t="shared" si="43"/>
        <v>#DIV/0!</v>
      </c>
      <c r="Z301" s="3"/>
      <c r="AA301" s="3"/>
      <c r="AB301" s="3">
        <v>85</v>
      </c>
      <c r="AC301" s="3" t="s">
        <v>82</v>
      </c>
      <c r="AD301" s="3" t="s">
        <v>83</v>
      </c>
      <c r="AE301" s="3">
        <v>15</v>
      </c>
      <c r="AF301" s="3" t="s">
        <v>151</v>
      </c>
      <c r="AG301" s="3" t="s">
        <v>231</v>
      </c>
      <c r="AH301" s="3"/>
    </row>
    <row r="302" spans="1:34" ht="14.25" customHeight="1" x14ac:dyDescent="0.25">
      <c r="A302" s="3" t="s">
        <v>136</v>
      </c>
      <c r="B302" s="3" t="s">
        <v>79</v>
      </c>
      <c r="C302" s="3"/>
      <c r="D302" s="3" t="s">
        <v>115</v>
      </c>
      <c r="E302" s="3">
        <v>1</v>
      </c>
      <c r="F302" s="3">
        <v>1</v>
      </c>
      <c r="G302" s="3" t="s">
        <v>2</v>
      </c>
      <c r="H302" s="11">
        <v>45777</v>
      </c>
      <c r="I302" s="3" t="s">
        <v>142</v>
      </c>
      <c r="J302" s="3">
        <f>2+4</f>
        <v>6</v>
      </c>
      <c r="K302" s="3">
        <v>3</v>
      </c>
      <c r="L302" s="3">
        <v>0</v>
      </c>
      <c r="M302" s="3">
        <v>0</v>
      </c>
      <c r="N302" s="3">
        <v>0</v>
      </c>
      <c r="O302" s="3">
        <f t="shared" si="30"/>
        <v>9</v>
      </c>
      <c r="P302" s="3">
        <v>5</v>
      </c>
      <c r="Q302" s="3">
        <v>1</v>
      </c>
      <c r="R302" s="3">
        <v>0</v>
      </c>
      <c r="S302" s="3">
        <v>1</v>
      </c>
      <c r="T302" s="3">
        <v>2</v>
      </c>
      <c r="U302" s="3">
        <f t="shared" si="31"/>
        <v>9</v>
      </c>
      <c r="V302" s="13">
        <f t="shared" si="32"/>
        <v>1</v>
      </c>
      <c r="W302" s="13">
        <f t="shared" si="42"/>
        <v>1</v>
      </c>
      <c r="X302" s="3">
        <f t="shared" si="40"/>
        <v>9</v>
      </c>
      <c r="Y302" s="3" t="e">
        <f t="shared" si="43"/>
        <v>#DIV/0!</v>
      </c>
      <c r="Z302" s="3"/>
      <c r="AA302" s="3"/>
      <c r="AB302" s="3">
        <v>85</v>
      </c>
      <c r="AC302" s="3" t="s">
        <v>82</v>
      </c>
      <c r="AD302" s="3" t="s">
        <v>83</v>
      </c>
      <c r="AE302" s="3">
        <v>15</v>
      </c>
      <c r="AF302" s="3" t="s">
        <v>151</v>
      </c>
      <c r="AG302" s="3" t="s">
        <v>231</v>
      </c>
      <c r="AH302" s="3"/>
    </row>
    <row r="303" spans="1:34" ht="14.25" customHeight="1" x14ac:dyDescent="0.25">
      <c r="A303" s="3" t="s">
        <v>136</v>
      </c>
      <c r="B303" s="3" t="s">
        <v>79</v>
      </c>
      <c r="C303" s="3"/>
      <c r="D303" s="3" t="s">
        <v>115</v>
      </c>
      <c r="E303" s="3">
        <v>1</v>
      </c>
      <c r="F303" s="3">
        <v>1</v>
      </c>
      <c r="G303" s="3" t="s">
        <v>10</v>
      </c>
      <c r="H303" s="11">
        <v>45777</v>
      </c>
      <c r="I303" s="3" t="s">
        <v>142</v>
      </c>
      <c r="J303" s="3">
        <f>3+4</f>
        <v>7</v>
      </c>
      <c r="K303" s="3">
        <v>0</v>
      </c>
      <c r="L303" s="3">
        <v>0</v>
      </c>
      <c r="M303" s="3">
        <v>0</v>
      </c>
      <c r="N303" s="3">
        <v>0</v>
      </c>
      <c r="O303" s="3">
        <f t="shared" si="30"/>
        <v>7</v>
      </c>
      <c r="P303" s="3">
        <v>5</v>
      </c>
      <c r="Q303" s="3">
        <v>1</v>
      </c>
      <c r="R303" s="3">
        <v>0</v>
      </c>
      <c r="S303" s="3">
        <v>1</v>
      </c>
      <c r="T303" s="3">
        <v>2</v>
      </c>
      <c r="U303" s="3">
        <f t="shared" si="31"/>
        <v>9</v>
      </c>
      <c r="V303" s="13">
        <f t="shared" si="32"/>
        <v>0.77777777777777779</v>
      </c>
      <c r="W303" s="13">
        <f t="shared" si="42"/>
        <v>0.77777777777777779</v>
      </c>
      <c r="X303" s="3">
        <f t="shared" si="40"/>
        <v>9</v>
      </c>
      <c r="Y303" s="3" t="e">
        <f t="shared" si="43"/>
        <v>#DIV/0!</v>
      </c>
      <c r="Z303" s="3"/>
      <c r="AA303" s="3"/>
      <c r="AB303" s="3">
        <v>85</v>
      </c>
      <c r="AC303" s="3" t="s">
        <v>82</v>
      </c>
      <c r="AD303" s="3" t="s">
        <v>83</v>
      </c>
      <c r="AE303" s="3">
        <v>15</v>
      </c>
      <c r="AF303" s="3" t="s">
        <v>151</v>
      </c>
      <c r="AG303" s="3" t="s">
        <v>231</v>
      </c>
      <c r="AH303" s="3"/>
    </row>
    <row r="304" spans="1:34" ht="14.25" customHeight="1" x14ac:dyDescent="0.25">
      <c r="A304" s="3" t="s">
        <v>136</v>
      </c>
      <c r="B304" s="3" t="s">
        <v>79</v>
      </c>
      <c r="C304" s="3"/>
      <c r="D304" s="3" t="s">
        <v>115</v>
      </c>
      <c r="E304" s="3">
        <v>1</v>
      </c>
      <c r="F304" s="3">
        <v>1</v>
      </c>
      <c r="G304" s="3" t="s">
        <v>14</v>
      </c>
      <c r="H304" s="11">
        <v>45777</v>
      </c>
      <c r="I304" s="3" t="s">
        <v>142</v>
      </c>
      <c r="J304" s="3">
        <v>0</v>
      </c>
      <c r="K304" s="3">
        <v>0</v>
      </c>
      <c r="L304" s="3">
        <v>0</v>
      </c>
      <c r="M304" s="3">
        <v>3</v>
      </c>
      <c r="N304" s="3">
        <f>2+3</f>
        <v>5</v>
      </c>
      <c r="O304" s="3">
        <f t="shared" si="30"/>
        <v>8</v>
      </c>
      <c r="P304" s="3">
        <v>5</v>
      </c>
      <c r="Q304" s="3">
        <v>1</v>
      </c>
      <c r="R304" s="3">
        <v>0</v>
      </c>
      <c r="S304" s="3">
        <v>1</v>
      </c>
      <c r="T304" s="3">
        <v>2</v>
      </c>
      <c r="U304" s="3">
        <f t="shared" si="31"/>
        <v>9</v>
      </c>
      <c r="V304" s="13">
        <f t="shared" si="32"/>
        <v>0.88888888888888884</v>
      </c>
      <c r="W304" s="13">
        <f t="shared" si="42"/>
        <v>0.88888888888888884</v>
      </c>
      <c r="X304" s="3">
        <f t="shared" si="40"/>
        <v>9</v>
      </c>
      <c r="Y304" s="3" t="e">
        <f t="shared" si="43"/>
        <v>#DIV/0!</v>
      </c>
      <c r="Z304" s="3"/>
      <c r="AA304" s="3"/>
      <c r="AB304" s="3">
        <v>85</v>
      </c>
      <c r="AC304" s="3" t="s">
        <v>82</v>
      </c>
      <c r="AD304" s="3" t="s">
        <v>83</v>
      </c>
      <c r="AE304" s="3">
        <v>15</v>
      </c>
      <c r="AF304" s="3" t="s">
        <v>151</v>
      </c>
      <c r="AG304" s="3" t="s">
        <v>231</v>
      </c>
      <c r="AH304" s="3"/>
    </row>
    <row r="305" spans="1:34" ht="14.25" customHeight="1" x14ac:dyDescent="0.25">
      <c r="A305" s="3" t="s">
        <v>129</v>
      </c>
      <c r="B305" s="3" t="s">
        <v>79</v>
      </c>
      <c r="C305" s="3"/>
      <c r="D305" s="3" t="s">
        <v>115</v>
      </c>
      <c r="E305" s="3">
        <v>1</v>
      </c>
      <c r="F305" s="3">
        <v>1</v>
      </c>
      <c r="G305" s="3" t="s">
        <v>1</v>
      </c>
      <c r="H305" s="11">
        <v>45777</v>
      </c>
      <c r="I305" s="3" t="s">
        <v>142</v>
      </c>
      <c r="J305" s="3">
        <f>8+4+3+4+8</f>
        <v>27</v>
      </c>
      <c r="K305" s="3">
        <f>4+6+5+8+6</f>
        <v>29</v>
      </c>
      <c r="L305" s="3">
        <f>4+5+8+4+3</f>
        <v>24</v>
      </c>
      <c r="M305" s="3">
        <f>7+4+2+7+5</f>
        <v>25</v>
      </c>
      <c r="N305" s="3">
        <f>4+6</f>
        <v>10</v>
      </c>
      <c r="O305" s="3">
        <f t="shared" si="30"/>
        <v>115</v>
      </c>
      <c r="P305" s="3">
        <v>5</v>
      </c>
      <c r="Q305" s="3">
        <v>5</v>
      </c>
      <c r="R305" s="3">
        <v>5</v>
      </c>
      <c r="S305" s="3">
        <v>5</v>
      </c>
      <c r="T305" s="3">
        <v>2</v>
      </c>
      <c r="U305" s="3">
        <f t="shared" si="31"/>
        <v>22</v>
      </c>
      <c r="V305" s="13">
        <f t="shared" si="32"/>
        <v>5.2272727272727275</v>
      </c>
      <c r="W305" s="13">
        <f t="shared" si="42"/>
        <v>5.2272727272727275</v>
      </c>
      <c r="X305" s="3">
        <f t="shared" si="40"/>
        <v>22</v>
      </c>
      <c r="Y305" s="3" t="e">
        <f t="shared" si="43"/>
        <v>#DIV/0!</v>
      </c>
      <c r="Z305" s="3"/>
      <c r="AA305" s="3"/>
      <c r="AB305" s="3"/>
      <c r="AC305" s="3"/>
      <c r="AD305" s="3"/>
      <c r="AE305" s="3"/>
      <c r="AF305" s="3" t="s">
        <v>151</v>
      </c>
      <c r="AG305" s="3" t="s">
        <v>203</v>
      </c>
      <c r="AH305" s="3"/>
    </row>
    <row r="306" spans="1:34" ht="14.25" customHeight="1" x14ac:dyDescent="0.25">
      <c r="A306" s="3" t="s">
        <v>127</v>
      </c>
      <c r="B306" s="3" t="s">
        <v>79</v>
      </c>
      <c r="C306" s="3"/>
      <c r="D306" s="3" t="s">
        <v>117</v>
      </c>
      <c r="E306" s="3">
        <v>1</v>
      </c>
      <c r="F306" s="3">
        <v>1</v>
      </c>
      <c r="G306" s="3" t="s">
        <v>16</v>
      </c>
      <c r="H306" s="11">
        <v>45777</v>
      </c>
      <c r="I306" s="3" t="s">
        <v>142</v>
      </c>
      <c r="J306" s="3">
        <v>0</v>
      </c>
      <c r="K306" s="3">
        <v>3</v>
      </c>
      <c r="L306" s="3">
        <v>0</v>
      </c>
      <c r="M306" s="3">
        <v>3</v>
      </c>
      <c r="N306" s="3">
        <v>0</v>
      </c>
      <c r="O306" s="3">
        <f t="shared" si="30"/>
        <v>6</v>
      </c>
      <c r="P306" s="3">
        <v>1</v>
      </c>
      <c r="Q306" s="3">
        <v>1</v>
      </c>
      <c r="R306" s="3">
        <v>1</v>
      </c>
      <c r="S306" s="3">
        <v>1</v>
      </c>
      <c r="T306" s="3">
        <v>0</v>
      </c>
      <c r="U306" s="3">
        <f t="shared" si="31"/>
        <v>4</v>
      </c>
      <c r="V306" s="13">
        <f t="shared" si="32"/>
        <v>1.5</v>
      </c>
      <c r="W306" s="13">
        <f t="shared" si="42"/>
        <v>1.5</v>
      </c>
      <c r="X306" s="3">
        <f t="shared" si="40"/>
        <v>4</v>
      </c>
      <c r="Y306" s="3" t="e">
        <f t="shared" si="43"/>
        <v>#DIV/0!</v>
      </c>
      <c r="Z306" s="3"/>
      <c r="AA306" s="3"/>
      <c r="AB306" s="3"/>
      <c r="AC306" s="3" t="s">
        <v>82</v>
      </c>
      <c r="AD306" s="3" t="s">
        <v>83</v>
      </c>
      <c r="AE306" s="3">
        <v>15</v>
      </c>
      <c r="AF306" s="3" t="s">
        <v>151</v>
      </c>
      <c r="AG306" s="3" t="s">
        <v>203</v>
      </c>
      <c r="AH306" s="3"/>
    </row>
    <row r="307" spans="1:34" ht="14.25" customHeight="1" x14ac:dyDescent="0.25">
      <c r="A307" s="3" t="s">
        <v>127</v>
      </c>
      <c r="B307" s="3" t="s">
        <v>79</v>
      </c>
      <c r="C307" s="3"/>
      <c r="D307" s="3" t="s">
        <v>117</v>
      </c>
      <c r="E307" s="3">
        <v>1</v>
      </c>
      <c r="F307" s="3">
        <v>1</v>
      </c>
      <c r="G307" s="3" t="s">
        <v>18</v>
      </c>
      <c r="H307" s="11">
        <v>45777</v>
      </c>
      <c r="I307" s="3" t="s">
        <v>142</v>
      </c>
      <c r="J307" s="3">
        <v>2</v>
      </c>
      <c r="K307" s="3">
        <v>2</v>
      </c>
      <c r="L307" s="3">
        <v>2</v>
      </c>
      <c r="M307" s="3">
        <v>2</v>
      </c>
      <c r="N307" s="3">
        <v>0</v>
      </c>
      <c r="O307" s="3">
        <f t="shared" si="30"/>
        <v>8</v>
      </c>
      <c r="P307" s="3">
        <v>1</v>
      </c>
      <c r="Q307" s="3">
        <v>1</v>
      </c>
      <c r="R307" s="3">
        <v>1</v>
      </c>
      <c r="S307" s="3">
        <v>1</v>
      </c>
      <c r="T307" s="3">
        <v>0</v>
      </c>
      <c r="U307" s="3">
        <f t="shared" si="31"/>
        <v>4</v>
      </c>
      <c r="V307" s="13">
        <f t="shared" si="32"/>
        <v>2</v>
      </c>
      <c r="W307" s="13">
        <f t="shared" si="42"/>
        <v>2</v>
      </c>
      <c r="X307" s="3">
        <f t="shared" si="40"/>
        <v>4</v>
      </c>
      <c r="Y307" s="3" t="e">
        <f t="shared" si="43"/>
        <v>#DIV/0!</v>
      </c>
      <c r="Z307" s="3"/>
      <c r="AA307" s="3"/>
      <c r="AB307" s="3"/>
      <c r="AC307" s="3" t="s">
        <v>82</v>
      </c>
      <c r="AD307" s="3" t="s">
        <v>83</v>
      </c>
      <c r="AE307" s="3">
        <v>15</v>
      </c>
      <c r="AF307" s="3" t="s">
        <v>151</v>
      </c>
      <c r="AG307" s="3" t="s">
        <v>203</v>
      </c>
      <c r="AH307" s="3"/>
    </row>
    <row r="308" spans="1:34" ht="14.25" customHeight="1" x14ac:dyDescent="0.25">
      <c r="A308" s="3" t="s">
        <v>134</v>
      </c>
      <c r="B308" s="3" t="s">
        <v>79</v>
      </c>
      <c r="C308" s="3"/>
      <c r="D308" s="3" t="s">
        <v>115</v>
      </c>
      <c r="E308" s="3">
        <v>1</v>
      </c>
      <c r="F308" s="3">
        <v>1</v>
      </c>
      <c r="G308" s="3" t="s">
        <v>14</v>
      </c>
      <c r="H308" s="11">
        <v>45777</v>
      </c>
      <c r="I308" s="3" t="s">
        <v>142</v>
      </c>
      <c r="J308" s="3">
        <f>3+2</f>
        <v>5</v>
      </c>
      <c r="K308" s="3">
        <v>0</v>
      </c>
      <c r="L308" s="3">
        <v>0</v>
      </c>
      <c r="M308" s="3">
        <v>0</v>
      </c>
      <c r="N308" s="3">
        <v>0</v>
      </c>
      <c r="O308" s="3">
        <f t="shared" si="30"/>
        <v>5</v>
      </c>
      <c r="P308" s="3">
        <v>2</v>
      </c>
      <c r="Q308" s="3">
        <v>1</v>
      </c>
      <c r="R308" s="3">
        <v>1</v>
      </c>
      <c r="S308" s="3">
        <v>1</v>
      </c>
      <c r="T308" s="3">
        <v>0</v>
      </c>
      <c r="U308" s="3">
        <f t="shared" si="31"/>
        <v>5</v>
      </c>
      <c r="V308" s="13">
        <f t="shared" si="32"/>
        <v>1</v>
      </c>
      <c r="W308" s="13">
        <f t="shared" si="42"/>
        <v>1</v>
      </c>
      <c r="X308" s="3">
        <f t="shared" si="40"/>
        <v>5</v>
      </c>
      <c r="Y308" s="3" t="e">
        <f t="shared" si="43"/>
        <v>#DIV/0!</v>
      </c>
      <c r="Z308" s="3"/>
      <c r="AA308" s="3"/>
      <c r="AB308" s="3"/>
      <c r="AC308" s="3" t="s">
        <v>82</v>
      </c>
      <c r="AD308" s="3" t="s">
        <v>83</v>
      </c>
      <c r="AE308" s="3">
        <v>15</v>
      </c>
      <c r="AF308" s="3" t="s">
        <v>151</v>
      </c>
      <c r="AG308" s="3" t="s">
        <v>193</v>
      </c>
      <c r="AH308" s="3"/>
    </row>
    <row r="309" spans="1:34" ht="14.25" customHeight="1" x14ac:dyDescent="0.25">
      <c r="A309" s="3" t="s">
        <v>134</v>
      </c>
      <c r="B309" s="3" t="s">
        <v>79</v>
      </c>
      <c r="C309" s="3"/>
      <c r="D309" s="3" t="s">
        <v>115</v>
      </c>
      <c r="E309" s="3">
        <v>1</v>
      </c>
      <c r="F309" s="3">
        <v>1</v>
      </c>
      <c r="G309" s="3" t="s">
        <v>16</v>
      </c>
      <c r="H309" s="11">
        <v>45777</v>
      </c>
      <c r="I309" s="3" t="s">
        <v>142</v>
      </c>
      <c r="J309" s="3">
        <f>5+5</f>
        <v>10</v>
      </c>
      <c r="K309" s="3">
        <v>4</v>
      </c>
      <c r="L309" s="3">
        <v>3</v>
      </c>
      <c r="M309" s="3">
        <v>3</v>
      </c>
      <c r="N309" s="3">
        <v>0</v>
      </c>
      <c r="O309" s="3">
        <f t="shared" si="30"/>
        <v>20</v>
      </c>
      <c r="P309" s="3">
        <v>2</v>
      </c>
      <c r="Q309" s="3">
        <v>1</v>
      </c>
      <c r="R309" s="3">
        <v>1</v>
      </c>
      <c r="S309" s="3">
        <v>1</v>
      </c>
      <c r="T309" s="3">
        <v>0</v>
      </c>
      <c r="U309" s="3">
        <f t="shared" si="31"/>
        <v>5</v>
      </c>
      <c r="V309" s="13">
        <f t="shared" si="32"/>
        <v>4</v>
      </c>
      <c r="W309" s="13">
        <f t="shared" si="42"/>
        <v>4</v>
      </c>
      <c r="X309" s="3">
        <f t="shared" si="40"/>
        <v>5</v>
      </c>
      <c r="Y309" s="3" t="e">
        <f t="shared" si="43"/>
        <v>#DIV/0!</v>
      </c>
      <c r="Z309" s="3"/>
      <c r="AA309" s="3"/>
      <c r="AB309" s="3"/>
      <c r="AC309" s="3" t="s">
        <v>82</v>
      </c>
      <c r="AD309" s="3" t="s">
        <v>83</v>
      </c>
      <c r="AE309" s="3">
        <v>15</v>
      </c>
      <c r="AF309" s="3" t="s">
        <v>151</v>
      </c>
      <c r="AG309" s="3" t="s">
        <v>349</v>
      </c>
      <c r="AH309" s="3"/>
    </row>
    <row r="310" spans="1:34" ht="14.25" customHeight="1" x14ac:dyDescent="0.25">
      <c r="A310" s="3" t="s">
        <v>134</v>
      </c>
      <c r="B310" s="3" t="s">
        <v>79</v>
      </c>
      <c r="C310" s="3"/>
      <c r="D310" s="3" t="s">
        <v>115</v>
      </c>
      <c r="E310" s="3">
        <v>1</v>
      </c>
      <c r="F310" s="3">
        <v>1</v>
      </c>
      <c r="G310" s="3" t="s">
        <v>18</v>
      </c>
      <c r="H310" s="11">
        <v>45777</v>
      </c>
      <c r="I310" s="3" t="s">
        <v>142</v>
      </c>
      <c r="J310" s="3">
        <v>0</v>
      </c>
      <c r="K310" s="3">
        <v>2</v>
      </c>
      <c r="L310" s="3">
        <v>0</v>
      </c>
      <c r="M310" s="3">
        <v>4</v>
      </c>
      <c r="N310" s="3">
        <v>0</v>
      </c>
      <c r="O310" s="3">
        <f t="shared" si="30"/>
        <v>6</v>
      </c>
      <c r="P310" s="3">
        <v>2</v>
      </c>
      <c r="Q310" s="3">
        <v>1</v>
      </c>
      <c r="R310" s="3">
        <v>1</v>
      </c>
      <c r="S310" s="3">
        <v>1</v>
      </c>
      <c r="T310" s="3">
        <v>0</v>
      </c>
      <c r="U310" s="3">
        <f t="shared" si="31"/>
        <v>5</v>
      </c>
      <c r="V310" s="13">
        <f t="shared" si="32"/>
        <v>1.2</v>
      </c>
      <c r="W310" s="13">
        <f t="shared" si="42"/>
        <v>1.2</v>
      </c>
      <c r="X310" s="3">
        <f t="shared" si="40"/>
        <v>5</v>
      </c>
      <c r="Y310" s="3" t="e">
        <f t="shared" si="43"/>
        <v>#DIV/0!</v>
      </c>
      <c r="Z310" s="3"/>
      <c r="AA310" s="3"/>
      <c r="AB310" s="3"/>
      <c r="AC310" s="3" t="s">
        <v>82</v>
      </c>
      <c r="AD310" s="3" t="s">
        <v>83</v>
      </c>
      <c r="AE310" s="3">
        <v>15</v>
      </c>
      <c r="AF310" s="3" t="s">
        <v>151</v>
      </c>
      <c r="AG310" s="3" t="s">
        <v>350</v>
      </c>
      <c r="AH310" s="3"/>
    </row>
    <row r="311" spans="1:34" ht="14.25" customHeight="1" x14ac:dyDescent="0.25">
      <c r="A311" s="3" t="s">
        <v>153</v>
      </c>
      <c r="B311" s="3" t="s">
        <v>79</v>
      </c>
      <c r="C311" s="3"/>
      <c r="D311" s="3" t="s">
        <v>115</v>
      </c>
      <c r="E311" s="3">
        <v>1</v>
      </c>
      <c r="F311" s="3">
        <v>1</v>
      </c>
      <c r="G311" s="3" t="s">
        <v>1</v>
      </c>
      <c r="H311" s="11">
        <v>45777</v>
      </c>
      <c r="I311" s="3" t="s">
        <v>142</v>
      </c>
      <c r="J311" s="3">
        <v>10</v>
      </c>
      <c r="K311" s="3">
        <v>12</v>
      </c>
      <c r="L311" s="3">
        <v>16</v>
      </c>
      <c r="M311" s="3">
        <v>0</v>
      </c>
      <c r="N311" s="3">
        <v>0</v>
      </c>
      <c r="O311" s="3">
        <f t="shared" si="30"/>
        <v>38</v>
      </c>
      <c r="P311" s="3">
        <v>1</v>
      </c>
      <c r="Q311" s="3">
        <v>1</v>
      </c>
      <c r="R311" s="3">
        <v>1</v>
      </c>
      <c r="S311" s="3">
        <v>0</v>
      </c>
      <c r="T311" s="3">
        <v>0</v>
      </c>
      <c r="U311" s="3">
        <f t="shared" si="31"/>
        <v>3</v>
      </c>
      <c r="V311" s="13">
        <f t="shared" si="32"/>
        <v>12.666666666666666</v>
      </c>
      <c r="W311" s="13">
        <f t="shared" si="42"/>
        <v>12.666666666666666</v>
      </c>
      <c r="X311" s="3">
        <f t="shared" si="40"/>
        <v>3</v>
      </c>
      <c r="Y311" s="3" t="e">
        <f t="shared" si="43"/>
        <v>#DIV/0!</v>
      </c>
      <c r="Z311" s="3"/>
      <c r="AA311" s="3"/>
      <c r="AB311" s="3"/>
      <c r="AC311" s="3" t="s">
        <v>82</v>
      </c>
      <c r="AD311" s="3" t="s">
        <v>83</v>
      </c>
      <c r="AE311" s="3">
        <v>15</v>
      </c>
      <c r="AF311" s="3" t="s">
        <v>151</v>
      </c>
      <c r="AG311" s="3" t="s">
        <v>200</v>
      </c>
      <c r="AH311" s="3"/>
    </row>
    <row r="312" spans="1:34" ht="14.25" customHeight="1" x14ac:dyDescent="0.25">
      <c r="A312" s="3" t="s">
        <v>104</v>
      </c>
      <c r="B312" s="3" t="s">
        <v>79</v>
      </c>
      <c r="C312" s="3"/>
      <c r="D312" s="3" t="s">
        <v>101</v>
      </c>
      <c r="E312" s="3">
        <v>2</v>
      </c>
      <c r="F312" s="3">
        <v>1</v>
      </c>
      <c r="G312" s="3" t="s">
        <v>1</v>
      </c>
      <c r="H312" s="11">
        <v>45777</v>
      </c>
      <c r="I312" s="3" t="s">
        <v>142</v>
      </c>
      <c r="J312" s="3">
        <v>30</v>
      </c>
      <c r="K312" s="3">
        <v>40</v>
      </c>
      <c r="L312" s="3">
        <v>50</v>
      </c>
      <c r="M312" s="3">
        <v>40</v>
      </c>
      <c r="N312" s="3">
        <v>0</v>
      </c>
      <c r="O312" s="3">
        <f t="shared" si="30"/>
        <v>160</v>
      </c>
      <c r="P312" s="3">
        <v>7</v>
      </c>
      <c r="Q312" s="3">
        <v>7</v>
      </c>
      <c r="R312" s="3">
        <v>7</v>
      </c>
      <c r="S312" s="3">
        <v>7</v>
      </c>
      <c r="T312" s="3">
        <v>2</v>
      </c>
      <c r="U312" s="3">
        <f t="shared" si="31"/>
        <v>30</v>
      </c>
      <c r="V312" s="13">
        <f t="shared" si="32"/>
        <v>5.333333333333333</v>
      </c>
      <c r="W312" s="13">
        <f t="shared" si="42"/>
        <v>5.333333333333333</v>
      </c>
      <c r="X312" s="3">
        <f t="shared" si="40"/>
        <v>30</v>
      </c>
      <c r="Y312" s="3">
        <f t="shared" si="43"/>
        <v>8.5744908896034293E-4</v>
      </c>
      <c r="Z312" s="3"/>
      <c r="AA312" s="3">
        <f t="shared" ref="AA312:AA320" si="46">70*7*6+60*6*5+50*5*4+40*4*3</f>
        <v>6220</v>
      </c>
      <c r="AB312" s="3">
        <f t="shared" ref="AB312:AB320" si="47">50+50+50+50</f>
        <v>200</v>
      </c>
      <c r="AC312" s="3" t="s">
        <v>82</v>
      </c>
      <c r="AD312" s="3" t="s">
        <v>83</v>
      </c>
      <c r="AE312" s="3">
        <v>40</v>
      </c>
      <c r="AF312" s="3" t="s">
        <v>102</v>
      </c>
      <c r="AG312" s="3" t="s">
        <v>351</v>
      </c>
      <c r="AH312" s="3"/>
    </row>
    <row r="313" spans="1:34" ht="14.25" customHeight="1" x14ac:dyDescent="0.25">
      <c r="A313" s="3" t="s">
        <v>104</v>
      </c>
      <c r="B313" s="3" t="s">
        <v>79</v>
      </c>
      <c r="C313" s="3"/>
      <c r="D313" s="3" t="s">
        <v>101</v>
      </c>
      <c r="E313" s="3">
        <v>2</v>
      </c>
      <c r="F313" s="3">
        <v>1</v>
      </c>
      <c r="G313" s="3" t="s">
        <v>3</v>
      </c>
      <c r="H313" s="11">
        <v>45777</v>
      </c>
      <c r="I313" s="3" t="s">
        <v>142</v>
      </c>
      <c r="J313" s="3">
        <f>300+50+40+30+20+100+150</f>
        <v>690</v>
      </c>
      <c r="K313" s="3">
        <f>160+170+200+150+130+10+120</f>
        <v>940</v>
      </c>
      <c r="L313" s="3">
        <f>135+200+122+183+145+121+100</f>
        <v>1006</v>
      </c>
      <c r="M313" s="3">
        <f>120+140+150+120+130+180+160</f>
        <v>1000</v>
      </c>
      <c r="N313" s="3">
        <f>190+200</f>
        <v>390</v>
      </c>
      <c r="O313" s="3">
        <f t="shared" si="30"/>
        <v>4026</v>
      </c>
      <c r="P313" s="3">
        <v>7</v>
      </c>
      <c r="Q313" s="3">
        <v>7</v>
      </c>
      <c r="R313" s="3">
        <v>7</v>
      </c>
      <c r="S313" s="3">
        <v>7</v>
      </c>
      <c r="T313" s="3">
        <v>2</v>
      </c>
      <c r="U313" s="3">
        <f t="shared" si="31"/>
        <v>30</v>
      </c>
      <c r="V313" s="13">
        <f t="shared" si="32"/>
        <v>134.19999999999999</v>
      </c>
      <c r="W313" s="13">
        <f t="shared" si="42"/>
        <v>134.19999999999999</v>
      </c>
      <c r="X313" s="3">
        <f t="shared" si="40"/>
        <v>30</v>
      </c>
      <c r="Y313" s="3">
        <f t="shared" si="43"/>
        <v>2.157556270096463E-2</v>
      </c>
      <c r="Z313" s="3"/>
      <c r="AA313" s="3">
        <f t="shared" si="46"/>
        <v>6220</v>
      </c>
      <c r="AB313" s="3">
        <f t="shared" si="47"/>
        <v>200</v>
      </c>
      <c r="AC313" s="3" t="s">
        <v>82</v>
      </c>
      <c r="AD313" s="3" t="s">
        <v>83</v>
      </c>
      <c r="AE313" s="3">
        <v>40</v>
      </c>
      <c r="AF313" s="3" t="s">
        <v>102</v>
      </c>
      <c r="AG313" s="3" t="s">
        <v>351</v>
      </c>
      <c r="AH313" s="3"/>
    </row>
    <row r="314" spans="1:34" ht="14.25" customHeight="1" x14ac:dyDescent="0.25">
      <c r="A314" s="3" t="s">
        <v>104</v>
      </c>
      <c r="B314" s="3" t="s">
        <v>79</v>
      </c>
      <c r="C314" s="3"/>
      <c r="D314" s="3" t="s">
        <v>101</v>
      </c>
      <c r="E314" s="3">
        <v>2</v>
      </c>
      <c r="F314" s="3">
        <v>1</v>
      </c>
      <c r="G314" s="3" t="s">
        <v>2</v>
      </c>
      <c r="H314" s="11">
        <v>45777</v>
      </c>
      <c r="I314" s="3" t="s">
        <v>142</v>
      </c>
      <c r="J314" s="3">
        <v>10</v>
      </c>
      <c r="K314" s="3">
        <v>3</v>
      </c>
      <c r="L314" s="3">
        <v>5</v>
      </c>
      <c r="M314" s="3">
        <v>0</v>
      </c>
      <c r="N314" s="3">
        <v>0</v>
      </c>
      <c r="O314" s="3">
        <f t="shared" si="30"/>
        <v>18</v>
      </c>
      <c r="P314" s="3">
        <v>7</v>
      </c>
      <c r="Q314" s="3">
        <v>7</v>
      </c>
      <c r="R314" s="3">
        <v>7</v>
      </c>
      <c r="S314" s="3">
        <v>7</v>
      </c>
      <c r="T314" s="3">
        <v>2</v>
      </c>
      <c r="U314" s="3">
        <f t="shared" si="31"/>
        <v>30</v>
      </c>
      <c r="V314" s="13">
        <f t="shared" si="32"/>
        <v>0.6</v>
      </c>
      <c r="W314" s="13">
        <f t="shared" si="42"/>
        <v>0.6</v>
      </c>
      <c r="X314" s="3">
        <f t="shared" si="40"/>
        <v>30</v>
      </c>
      <c r="Y314" s="3">
        <f t="shared" si="43"/>
        <v>9.6463022508038579E-5</v>
      </c>
      <c r="Z314" s="3"/>
      <c r="AA314" s="3">
        <f t="shared" si="46"/>
        <v>6220</v>
      </c>
      <c r="AB314" s="3">
        <f t="shared" si="47"/>
        <v>200</v>
      </c>
      <c r="AC314" s="3" t="s">
        <v>82</v>
      </c>
      <c r="AD314" s="3" t="s">
        <v>83</v>
      </c>
      <c r="AE314" s="3">
        <v>40</v>
      </c>
      <c r="AF314" s="3" t="s">
        <v>102</v>
      </c>
      <c r="AG314" s="3" t="s">
        <v>351</v>
      </c>
      <c r="AH314" s="3"/>
    </row>
    <row r="315" spans="1:34" ht="14.25" customHeight="1" x14ac:dyDescent="0.25">
      <c r="A315" s="3" t="s">
        <v>104</v>
      </c>
      <c r="B315" s="3" t="s">
        <v>79</v>
      </c>
      <c r="C315" s="3"/>
      <c r="D315" s="3" t="s">
        <v>101</v>
      </c>
      <c r="E315" s="3">
        <v>2</v>
      </c>
      <c r="F315" s="3">
        <v>1</v>
      </c>
      <c r="G315" s="3" t="s">
        <v>12</v>
      </c>
      <c r="H315" s="11">
        <v>45777</v>
      </c>
      <c r="I315" s="3" t="s">
        <v>142</v>
      </c>
      <c r="J315" s="3">
        <v>5</v>
      </c>
      <c r="K315" s="3">
        <v>0</v>
      </c>
      <c r="L315" s="3">
        <v>0</v>
      </c>
      <c r="M315" s="3">
        <v>0</v>
      </c>
      <c r="N315" s="3">
        <v>0</v>
      </c>
      <c r="O315" s="3">
        <f t="shared" si="30"/>
        <v>5</v>
      </c>
      <c r="P315" s="3">
        <v>7</v>
      </c>
      <c r="Q315" s="3">
        <v>7</v>
      </c>
      <c r="R315" s="3">
        <v>7</v>
      </c>
      <c r="S315" s="3">
        <v>7</v>
      </c>
      <c r="T315" s="3">
        <v>2</v>
      </c>
      <c r="U315" s="3">
        <f t="shared" si="31"/>
        <v>30</v>
      </c>
      <c r="V315" s="13">
        <f t="shared" si="32"/>
        <v>0.16666666666666666</v>
      </c>
      <c r="W315" s="13">
        <f t="shared" si="42"/>
        <v>0.16666666666666666</v>
      </c>
      <c r="X315" s="3">
        <f t="shared" si="40"/>
        <v>30</v>
      </c>
      <c r="Y315" s="3">
        <f t="shared" si="43"/>
        <v>2.6795284030010716E-5</v>
      </c>
      <c r="Z315" s="3"/>
      <c r="AA315" s="3">
        <f t="shared" si="46"/>
        <v>6220</v>
      </c>
      <c r="AB315" s="3">
        <f t="shared" si="47"/>
        <v>200</v>
      </c>
      <c r="AC315" s="3" t="s">
        <v>82</v>
      </c>
      <c r="AD315" s="3" t="s">
        <v>83</v>
      </c>
      <c r="AE315" s="3">
        <v>40</v>
      </c>
      <c r="AF315" s="3" t="s">
        <v>102</v>
      </c>
      <c r="AG315" s="3" t="s">
        <v>351</v>
      </c>
      <c r="AH315" s="3"/>
    </row>
    <row r="316" spans="1:34" ht="14.25" customHeight="1" x14ac:dyDescent="0.25">
      <c r="A316" s="3" t="s">
        <v>104</v>
      </c>
      <c r="B316" s="3" t="s">
        <v>79</v>
      </c>
      <c r="C316" s="3"/>
      <c r="D316" s="3" t="s">
        <v>101</v>
      </c>
      <c r="E316" s="3">
        <v>2</v>
      </c>
      <c r="F316" s="3">
        <v>1</v>
      </c>
      <c r="G316" s="3" t="s">
        <v>14</v>
      </c>
      <c r="H316" s="11">
        <v>45777</v>
      </c>
      <c r="I316" s="3" t="s">
        <v>142</v>
      </c>
      <c r="J316" s="3">
        <v>20</v>
      </c>
      <c r="K316" s="3">
        <v>10</v>
      </c>
      <c r="L316" s="3">
        <v>30</v>
      </c>
      <c r="M316" s="3">
        <v>0</v>
      </c>
      <c r="N316" s="3">
        <v>0</v>
      </c>
      <c r="O316" s="3">
        <f t="shared" si="30"/>
        <v>60</v>
      </c>
      <c r="P316" s="3">
        <v>7</v>
      </c>
      <c r="Q316" s="3">
        <v>7</v>
      </c>
      <c r="R316" s="3">
        <v>7</v>
      </c>
      <c r="S316" s="3">
        <v>7</v>
      </c>
      <c r="T316" s="3">
        <v>2</v>
      </c>
      <c r="U316" s="3">
        <f t="shared" si="31"/>
        <v>30</v>
      </c>
      <c r="V316" s="13">
        <f t="shared" si="32"/>
        <v>2</v>
      </c>
      <c r="W316" s="13">
        <f t="shared" si="42"/>
        <v>2</v>
      </c>
      <c r="X316" s="3">
        <f t="shared" si="40"/>
        <v>30</v>
      </c>
      <c r="Y316" s="3">
        <f t="shared" si="43"/>
        <v>3.2154340836012862E-4</v>
      </c>
      <c r="Z316" s="3"/>
      <c r="AA316" s="3">
        <f t="shared" si="46"/>
        <v>6220</v>
      </c>
      <c r="AB316" s="3">
        <f t="shared" si="47"/>
        <v>200</v>
      </c>
      <c r="AC316" s="3" t="s">
        <v>82</v>
      </c>
      <c r="AD316" s="3" t="s">
        <v>83</v>
      </c>
      <c r="AE316" s="3">
        <v>40</v>
      </c>
      <c r="AF316" s="3" t="s">
        <v>102</v>
      </c>
      <c r="AG316" s="3" t="s">
        <v>351</v>
      </c>
      <c r="AH316" s="3"/>
    </row>
    <row r="317" spans="1:34" ht="14.25" customHeight="1" x14ac:dyDescent="0.25">
      <c r="A317" s="3" t="s">
        <v>104</v>
      </c>
      <c r="B317" s="3" t="s">
        <v>79</v>
      </c>
      <c r="C317" s="3"/>
      <c r="D317" s="3" t="s">
        <v>101</v>
      </c>
      <c r="E317" s="3">
        <v>2</v>
      </c>
      <c r="F317" s="3">
        <v>1</v>
      </c>
      <c r="G317" s="3" t="s">
        <v>16</v>
      </c>
      <c r="H317" s="11">
        <v>45777</v>
      </c>
      <c r="I317" s="3" t="s">
        <v>142</v>
      </c>
      <c r="J317" s="3">
        <v>20</v>
      </c>
      <c r="K317" s="3">
        <v>8</v>
      </c>
      <c r="L317" s="3">
        <v>6</v>
      </c>
      <c r="M317" s="3">
        <v>0</v>
      </c>
      <c r="N317" s="3">
        <v>0</v>
      </c>
      <c r="O317" s="3">
        <f t="shared" si="30"/>
        <v>34</v>
      </c>
      <c r="P317" s="3">
        <v>7</v>
      </c>
      <c r="Q317" s="3">
        <v>7</v>
      </c>
      <c r="R317" s="3">
        <v>7</v>
      </c>
      <c r="S317" s="3">
        <v>7</v>
      </c>
      <c r="T317" s="3">
        <v>2</v>
      </c>
      <c r="U317" s="3">
        <f t="shared" si="31"/>
        <v>30</v>
      </c>
      <c r="V317" s="13">
        <f t="shared" si="32"/>
        <v>1.1333333333333333</v>
      </c>
      <c r="W317" s="13">
        <f t="shared" si="42"/>
        <v>1.1333333333333333</v>
      </c>
      <c r="X317" s="3">
        <f t="shared" si="40"/>
        <v>30</v>
      </c>
      <c r="Y317" s="3">
        <f t="shared" si="43"/>
        <v>1.8220793140407289E-4</v>
      </c>
      <c r="Z317" s="3"/>
      <c r="AA317" s="3">
        <f t="shared" si="46"/>
        <v>6220</v>
      </c>
      <c r="AB317" s="3">
        <f t="shared" si="47"/>
        <v>200</v>
      </c>
      <c r="AC317" s="3" t="s">
        <v>82</v>
      </c>
      <c r="AD317" s="3" t="s">
        <v>83</v>
      </c>
      <c r="AE317" s="3">
        <v>40</v>
      </c>
      <c r="AF317" s="3" t="s">
        <v>102</v>
      </c>
      <c r="AG317" s="3" t="s">
        <v>351</v>
      </c>
      <c r="AH317" s="3"/>
    </row>
    <row r="318" spans="1:34" ht="14.25" customHeight="1" x14ac:dyDescent="0.25">
      <c r="A318" s="3" t="s">
        <v>104</v>
      </c>
      <c r="B318" s="3" t="s">
        <v>79</v>
      </c>
      <c r="C318" s="3"/>
      <c r="D318" s="3" t="s">
        <v>101</v>
      </c>
      <c r="E318" s="3">
        <v>2</v>
      </c>
      <c r="F318" s="3">
        <v>1</v>
      </c>
      <c r="G318" s="3" t="s">
        <v>18</v>
      </c>
      <c r="H318" s="11">
        <v>45777</v>
      </c>
      <c r="I318" s="3" t="s">
        <v>142</v>
      </c>
      <c r="J318" s="3">
        <v>30</v>
      </c>
      <c r="K318" s="3">
        <v>20</v>
      </c>
      <c r="L318" s="3">
        <v>30</v>
      </c>
      <c r="M318" s="3">
        <v>0</v>
      </c>
      <c r="N318" s="3">
        <v>0</v>
      </c>
      <c r="O318" s="3">
        <f t="shared" si="30"/>
        <v>80</v>
      </c>
      <c r="P318" s="3">
        <v>7</v>
      </c>
      <c r="Q318" s="3">
        <v>7</v>
      </c>
      <c r="R318" s="3">
        <v>7</v>
      </c>
      <c r="S318" s="3">
        <v>7</v>
      </c>
      <c r="T318" s="3">
        <v>2</v>
      </c>
      <c r="U318" s="3">
        <f t="shared" si="31"/>
        <v>30</v>
      </c>
      <c r="V318" s="13">
        <f t="shared" si="32"/>
        <v>2.6666666666666665</v>
      </c>
      <c r="W318" s="13">
        <f t="shared" si="42"/>
        <v>2.6666666666666665</v>
      </c>
      <c r="X318" s="3">
        <f t="shared" si="40"/>
        <v>30</v>
      </c>
      <c r="Y318" s="3">
        <f t="shared" si="43"/>
        <v>4.2872454448017146E-4</v>
      </c>
      <c r="Z318" s="3"/>
      <c r="AA318" s="3">
        <f t="shared" si="46"/>
        <v>6220</v>
      </c>
      <c r="AB318" s="3">
        <f t="shared" si="47"/>
        <v>200</v>
      </c>
      <c r="AC318" s="3" t="s">
        <v>82</v>
      </c>
      <c r="AD318" s="3" t="s">
        <v>83</v>
      </c>
      <c r="AE318" s="3">
        <v>40</v>
      </c>
      <c r="AF318" s="3" t="s">
        <v>102</v>
      </c>
      <c r="AG318" s="3" t="s">
        <v>351</v>
      </c>
      <c r="AH318" s="3"/>
    </row>
    <row r="319" spans="1:34" ht="14.25" customHeight="1" x14ac:dyDescent="0.25">
      <c r="A319" s="3" t="s">
        <v>104</v>
      </c>
      <c r="B319" s="3" t="s">
        <v>79</v>
      </c>
      <c r="C319" s="3"/>
      <c r="D319" s="3" t="s">
        <v>101</v>
      </c>
      <c r="E319" s="3">
        <v>2</v>
      </c>
      <c r="F319" s="3">
        <v>1</v>
      </c>
      <c r="G319" s="3" t="s">
        <v>25</v>
      </c>
      <c r="H319" s="11">
        <v>45777</v>
      </c>
      <c r="I319" s="3" t="s">
        <v>142</v>
      </c>
      <c r="J319" s="3">
        <v>5</v>
      </c>
      <c r="K319" s="3">
        <v>5</v>
      </c>
      <c r="L319" s="3">
        <v>0</v>
      </c>
      <c r="M319" s="3">
        <v>0</v>
      </c>
      <c r="N319" s="3">
        <v>0</v>
      </c>
      <c r="O319" s="3">
        <f t="shared" si="30"/>
        <v>10</v>
      </c>
      <c r="P319" s="3">
        <v>7</v>
      </c>
      <c r="Q319" s="3">
        <v>7</v>
      </c>
      <c r="R319" s="3">
        <v>7</v>
      </c>
      <c r="S319" s="3">
        <v>7</v>
      </c>
      <c r="T319" s="3">
        <v>2</v>
      </c>
      <c r="U319" s="3">
        <f t="shared" si="31"/>
        <v>30</v>
      </c>
      <c r="V319" s="13">
        <f t="shared" si="32"/>
        <v>0.33333333333333331</v>
      </c>
      <c r="W319" s="13">
        <f t="shared" si="42"/>
        <v>0.33333333333333331</v>
      </c>
      <c r="X319" s="3">
        <f t="shared" si="40"/>
        <v>30</v>
      </c>
      <c r="Y319" s="3">
        <f t="shared" si="43"/>
        <v>5.3590568060021433E-5</v>
      </c>
      <c r="Z319" s="3"/>
      <c r="AA319" s="3">
        <f t="shared" si="46"/>
        <v>6220</v>
      </c>
      <c r="AB319" s="3">
        <f t="shared" si="47"/>
        <v>200</v>
      </c>
      <c r="AC319" s="3" t="s">
        <v>82</v>
      </c>
      <c r="AD319" s="3" t="s">
        <v>83</v>
      </c>
      <c r="AE319" s="3">
        <v>40</v>
      </c>
      <c r="AF319" s="3" t="s">
        <v>102</v>
      </c>
      <c r="AG319" s="3" t="s">
        <v>351</v>
      </c>
      <c r="AH319" s="3"/>
    </row>
    <row r="320" spans="1:34" ht="14.25" customHeight="1" x14ac:dyDescent="0.25">
      <c r="A320" s="3" t="s">
        <v>104</v>
      </c>
      <c r="B320" s="3" t="s">
        <v>79</v>
      </c>
      <c r="C320" s="3"/>
      <c r="D320" s="3" t="s">
        <v>101</v>
      </c>
      <c r="E320" s="3">
        <v>2</v>
      </c>
      <c r="F320" s="3">
        <v>1</v>
      </c>
      <c r="G320" s="3" t="s">
        <v>22</v>
      </c>
      <c r="H320" s="11">
        <v>45777</v>
      </c>
      <c r="I320" s="3" t="s">
        <v>142</v>
      </c>
      <c r="J320" s="3">
        <v>2</v>
      </c>
      <c r="K320" s="3">
        <v>3</v>
      </c>
      <c r="L320" s="3">
        <v>0</v>
      </c>
      <c r="M320" s="3">
        <v>0</v>
      </c>
      <c r="N320" s="3">
        <v>0</v>
      </c>
      <c r="O320" s="3">
        <f t="shared" si="30"/>
        <v>5</v>
      </c>
      <c r="P320" s="3">
        <v>7</v>
      </c>
      <c r="Q320" s="3">
        <v>7</v>
      </c>
      <c r="R320" s="3">
        <v>7</v>
      </c>
      <c r="S320" s="3">
        <v>7</v>
      </c>
      <c r="T320" s="3">
        <v>2</v>
      </c>
      <c r="U320" s="3">
        <f t="shared" si="31"/>
        <v>30</v>
      </c>
      <c r="V320" s="13">
        <f t="shared" si="32"/>
        <v>0.16666666666666666</v>
      </c>
      <c r="W320" s="13">
        <f t="shared" si="42"/>
        <v>0.16666666666666666</v>
      </c>
      <c r="X320" s="3">
        <f t="shared" si="40"/>
        <v>30</v>
      </c>
      <c r="Y320" s="3">
        <f t="shared" si="43"/>
        <v>2.6795284030010716E-5</v>
      </c>
      <c r="Z320" s="3"/>
      <c r="AA320" s="3">
        <f t="shared" si="46"/>
        <v>6220</v>
      </c>
      <c r="AB320" s="3">
        <f t="shared" si="47"/>
        <v>200</v>
      </c>
      <c r="AC320" s="3" t="s">
        <v>82</v>
      </c>
      <c r="AD320" s="3" t="s">
        <v>83</v>
      </c>
      <c r="AE320" s="3">
        <v>40</v>
      </c>
      <c r="AF320" s="3" t="s">
        <v>102</v>
      </c>
      <c r="AG320" s="3" t="s">
        <v>351</v>
      </c>
      <c r="AH320" s="3"/>
    </row>
    <row r="321" spans="1:34" ht="14.25" customHeight="1" x14ac:dyDescent="0.25">
      <c r="A321" s="3" t="s">
        <v>154</v>
      </c>
      <c r="B321" s="3" t="s">
        <v>79</v>
      </c>
      <c r="C321" s="3"/>
      <c r="D321" s="3" t="s">
        <v>101</v>
      </c>
      <c r="E321" s="3">
        <v>2</v>
      </c>
      <c r="F321" s="3">
        <v>1</v>
      </c>
      <c r="G321" s="3" t="s">
        <v>14</v>
      </c>
      <c r="H321" s="11">
        <v>45777</v>
      </c>
      <c r="I321" s="3" t="s">
        <v>142</v>
      </c>
      <c r="J321" s="3">
        <f>8+15+21+4.4</f>
        <v>48.4</v>
      </c>
      <c r="K321" s="3">
        <f>7.2+13+17</f>
        <v>37.200000000000003</v>
      </c>
      <c r="L321" s="3">
        <v>0</v>
      </c>
      <c r="M321" s="3">
        <v>10.199999999999999</v>
      </c>
      <c r="N321" s="3">
        <v>0</v>
      </c>
      <c r="O321" s="3">
        <f t="shared" si="30"/>
        <v>95.8</v>
      </c>
      <c r="P321" s="3">
        <v>7</v>
      </c>
      <c r="Q321" s="3">
        <v>5</v>
      </c>
      <c r="R321" s="3">
        <v>2</v>
      </c>
      <c r="S321" s="3">
        <v>3</v>
      </c>
      <c r="T321" s="3">
        <v>0</v>
      </c>
      <c r="U321" s="3">
        <v>23</v>
      </c>
      <c r="V321" s="13">
        <f t="shared" si="32"/>
        <v>4.1652173913043473</v>
      </c>
      <c r="W321" s="13">
        <f t="shared" si="42"/>
        <v>4.1652173913043473</v>
      </c>
      <c r="X321" s="3">
        <f t="shared" si="40"/>
        <v>23</v>
      </c>
      <c r="Y321" s="3" t="e">
        <f t="shared" si="43"/>
        <v>#DIV/0!</v>
      </c>
      <c r="Z321" s="3"/>
      <c r="AA321" s="3"/>
      <c r="AB321" s="3"/>
      <c r="AC321" s="3" t="s">
        <v>82</v>
      </c>
      <c r="AD321" s="3" t="s">
        <v>83</v>
      </c>
      <c r="AE321" s="3">
        <v>50</v>
      </c>
      <c r="AF321" s="3" t="s">
        <v>102</v>
      </c>
      <c r="AG321" s="3" t="s">
        <v>206</v>
      </c>
      <c r="AH321" s="3"/>
    </row>
    <row r="322" spans="1:34" ht="14.25" customHeight="1" x14ac:dyDescent="0.25">
      <c r="A322" s="3" t="s">
        <v>154</v>
      </c>
      <c r="B322" s="3" t="s">
        <v>79</v>
      </c>
      <c r="C322" s="3"/>
      <c r="D322" s="3" t="s">
        <v>101</v>
      </c>
      <c r="E322" s="3">
        <v>2</v>
      </c>
      <c r="F322" s="3">
        <v>1</v>
      </c>
      <c r="G322" s="3" t="s">
        <v>16</v>
      </c>
      <c r="H322" s="11">
        <v>45777</v>
      </c>
      <c r="I322" s="3" t="s">
        <v>142</v>
      </c>
      <c r="J322" s="3">
        <f>15.3+9+3+12+13</f>
        <v>52.3</v>
      </c>
      <c r="K322" s="3">
        <v>10</v>
      </c>
      <c r="L322" s="3">
        <v>11</v>
      </c>
      <c r="M322" s="3">
        <v>7.5</v>
      </c>
      <c r="N322" s="3">
        <v>0</v>
      </c>
      <c r="O322" s="3">
        <f t="shared" si="30"/>
        <v>80.8</v>
      </c>
      <c r="P322" s="3">
        <v>7</v>
      </c>
      <c r="Q322" s="3">
        <v>5</v>
      </c>
      <c r="R322" s="3">
        <v>2</v>
      </c>
      <c r="S322" s="3">
        <v>3</v>
      </c>
      <c r="T322" s="3">
        <v>0</v>
      </c>
      <c r="U322" s="3">
        <v>23</v>
      </c>
      <c r="V322" s="13">
        <f t="shared" si="32"/>
        <v>3.5130434782608693</v>
      </c>
      <c r="W322" s="13">
        <f t="shared" si="42"/>
        <v>3.5130434782608693</v>
      </c>
      <c r="X322" s="3">
        <f t="shared" si="40"/>
        <v>23</v>
      </c>
      <c r="Y322" s="3" t="e">
        <f t="shared" si="43"/>
        <v>#DIV/0!</v>
      </c>
      <c r="Z322" s="3"/>
      <c r="AA322" s="3"/>
      <c r="AB322" s="3"/>
      <c r="AC322" s="3" t="s">
        <v>82</v>
      </c>
      <c r="AD322" s="3" t="s">
        <v>83</v>
      </c>
      <c r="AE322" s="3">
        <v>50</v>
      </c>
      <c r="AF322" s="3" t="s">
        <v>102</v>
      </c>
      <c r="AG322" s="3" t="s">
        <v>206</v>
      </c>
      <c r="AH322" s="3"/>
    </row>
    <row r="323" spans="1:34" ht="14.25" customHeight="1" x14ac:dyDescent="0.25">
      <c r="A323" s="3" t="s">
        <v>154</v>
      </c>
      <c r="B323" s="3" t="s">
        <v>79</v>
      </c>
      <c r="C323" s="3"/>
      <c r="D323" s="3" t="s">
        <v>101</v>
      </c>
      <c r="E323" s="3">
        <v>2</v>
      </c>
      <c r="F323" s="3">
        <v>1</v>
      </c>
      <c r="G323" s="3" t="s">
        <v>18</v>
      </c>
      <c r="H323" s="11">
        <v>45777</v>
      </c>
      <c r="I323" s="3" t="s">
        <v>142</v>
      </c>
      <c r="J323" s="3">
        <f>11.4+17+20+7+5+7.5</f>
        <v>67.900000000000006</v>
      </c>
      <c r="K323" s="3">
        <f>14+5.6+7.2</f>
        <v>26.8</v>
      </c>
      <c r="L323" s="3">
        <v>8.3000000000000007</v>
      </c>
      <c r="M323" s="3">
        <f>20+7.8</f>
        <v>27.8</v>
      </c>
      <c r="N323" s="3">
        <v>0</v>
      </c>
      <c r="O323" s="3">
        <f t="shared" si="30"/>
        <v>130.80000000000001</v>
      </c>
      <c r="P323" s="3">
        <v>7</v>
      </c>
      <c r="Q323" s="3">
        <v>5</v>
      </c>
      <c r="R323" s="3">
        <v>2</v>
      </c>
      <c r="S323" s="3">
        <v>3</v>
      </c>
      <c r="T323" s="3">
        <v>0</v>
      </c>
      <c r="U323" s="3">
        <v>23</v>
      </c>
      <c r="V323" s="13">
        <f t="shared" si="32"/>
        <v>5.6869565217391314</v>
      </c>
      <c r="W323" s="13">
        <f t="shared" ref="W323:W386" si="48">O323/U323/F323</f>
        <v>5.6869565217391314</v>
      </c>
      <c r="X323" s="3">
        <f t="shared" si="40"/>
        <v>23</v>
      </c>
      <c r="Y323" s="3" t="e">
        <f t="shared" ref="Y323:Y386" si="49">O323/U323/AA323</f>
        <v>#DIV/0!</v>
      </c>
      <c r="Z323" s="3"/>
      <c r="AA323" s="3"/>
      <c r="AB323" s="3"/>
      <c r="AC323" s="3" t="s">
        <v>82</v>
      </c>
      <c r="AD323" s="3" t="s">
        <v>83</v>
      </c>
      <c r="AE323" s="3">
        <v>50</v>
      </c>
      <c r="AF323" s="3" t="s">
        <v>102</v>
      </c>
      <c r="AG323" s="3" t="s">
        <v>206</v>
      </c>
      <c r="AH323" s="3"/>
    </row>
    <row r="324" spans="1:34" ht="14.25" customHeight="1" x14ac:dyDescent="0.25">
      <c r="A324" s="3" t="s">
        <v>154</v>
      </c>
      <c r="B324" s="3" t="s">
        <v>79</v>
      </c>
      <c r="C324" s="3"/>
      <c r="D324" s="3" t="s">
        <v>101</v>
      </c>
      <c r="E324" s="3">
        <v>2</v>
      </c>
      <c r="F324" s="3">
        <v>1</v>
      </c>
      <c r="G324" s="3" t="s">
        <v>22</v>
      </c>
      <c r="H324" s="11">
        <v>45777</v>
      </c>
      <c r="I324" s="3" t="s">
        <v>142</v>
      </c>
      <c r="J324" s="3">
        <v>0</v>
      </c>
      <c r="K324" s="3">
        <v>7</v>
      </c>
      <c r="L324" s="3">
        <v>0</v>
      </c>
      <c r="M324" s="3">
        <v>0</v>
      </c>
      <c r="N324" s="3">
        <v>0</v>
      </c>
      <c r="O324" s="3">
        <f t="shared" si="30"/>
        <v>7</v>
      </c>
      <c r="P324" s="3">
        <v>7</v>
      </c>
      <c r="Q324" s="3">
        <v>5</v>
      </c>
      <c r="R324" s="3">
        <v>2</v>
      </c>
      <c r="S324" s="3">
        <v>3</v>
      </c>
      <c r="T324" s="3">
        <v>0</v>
      </c>
      <c r="U324" s="3">
        <v>23</v>
      </c>
      <c r="V324" s="13">
        <f t="shared" si="32"/>
        <v>0.30434782608695654</v>
      </c>
      <c r="W324" s="13">
        <f t="shared" si="48"/>
        <v>0.30434782608695654</v>
      </c>
      <c r="X324" s="3">
        <f t="shared" si="40"/>
        <v>23</v>
      </c>
      <c r="Y324" s="3" t="e">
        <f t="shared" si="49"/>
        <v>#DIV/0!</v>
      </c>
      <c r="Z324" s="3"/>
      <c r="AA324" s="3"/>
      <c r="AB324" s="3"/>
      <c r="AC324" s="3" t="s">
        <v>82</v>
      </c>
      <c r="AD324" s="3" t="s">
        <v>83</v>
      </c>
      <c r="AE324" s="3">
        <v>50</v>
      </c>
      <c r="AF324" s="3" t="s">
        <v>102</v>
      </c>
      <c r="AG324" s="3" t="s">
        <v>206</v>
      </c>
      <c r="AH324" s="3"/>
    </row>
    <row r="325" spans="1:34" ht="14.25" customHeight="1" x14ac:dyDescent="0.25">
      <c r="A325" s="3" t="s">
        <v>105</v>
      </c>
      <c r="B325" s="3" t="s">
        <v>79</v>
      </c>
      <c r="C325" s="3"/>
      <c r="D325" s="3" t="s">
        <v>101</v>
      </c>
      <c r="E325" s="3">
        <v>2</v>
      </c>
      <c r="F325" s="3">
        <v>1</v>
      </c>
      <c r="G325" s="3" t="s">
        <v>1</v>
      </c>
      <c r="H325" s="11">
        <v>45777</v>
      </c>
      <c r="I325" s="3" t="s">
        <v>142</v>
      </c>
      <c r="J325" s="3">
        <f>5+9</f>
        <v>14</v>
      </c>
      <c r="K325" s="3">
        <v>0</v>
      </c>
      <c r="L325" s="3">
        <v>4</v>
      </c>
      <c r="M325" s="3">
        <v>0</v>
      </c>
      <c r="N325" s="3">
        <v>0</v>
      </c>
      <c r="O325" s="3">
        <f t="shared" si="30"/>
        <v>18</v>
      </c>
      <c r="P325" s="3">
        <v>5</v>
      </c>
      <c r="Q325" s="3">
        <v>4</v>
      </c>
      <c r="R325" s="3">
        <v>3</v>
      </c>
      <c r="S325" s="3">
        <v>0</v>
      </c>
      <c r="T325" s="3">
        <v>0</v>
      </c>
      <c r="U325" s="3">
        <f t="shared" ref="U325:U328" si="50">SUM(P325:T325)</f>
        <v>12</v>
      </c>
      <c r="V325" s="13">
        <f t="shared" si="32"/>
        <v>1.5</v>
      </c>
      <c r="W325" s="13">
        <f t="shared" si="48"/>
        <v>1.5</v>
      </c>
      <c r="X325" s="3">
        <f t="shared" si="40"/>
        <v>12</v>
      </c>
      <c r="Y325" s="3">
        <f t="shared" si="49"/>
        <v>7.1513706793802142E-3</v>
      </c>
      <c r="Z325" s="3"/>
      <c r="AA325" s="3">
        <f t="shared" ref="AA325:AA328" si="51">20*2.05*1+35*1.95*2+15*2.15*1</f>
        <v>209.75</v>
      </c>
      <c r="AB325" s="3"/>
      <c r="AC325" s="3" t="s">
        <v>82</v>
      </c>
      <c r="AD325" s="3" t="s">
        <v>83</v>
      </c>
      <c r="AE325" s="3">
        <v>15</v>
      </c>
      <c r="AF325" s="3" t="s">
        <v>102</v>
      </c>
      <c r="AG325" s="3" t="s">
        <v>297</v>
      </c>
      <c r="AH325" s="3"/>
    </row>
    <row r="326" spans="1:34" ht="14.25" customHeight="1" x14ac:dyDescent="0.25">
      <c r="A326" s="3" t="s">
        <v>105</v>
      </c>
      <c r="B326" s="3" t="s">
        <v>79</v>
      </c>
      <c r="C326" s="3"/>
      <c r="D326" s="3" t="s">
        <v>101</v>
      </c>
      <c r="E326" s="3">
        <v>2</v>
      </c>
      <c r="F326" s="3">
        <v>1</v>
      </c>
      <c r="G326" s="3" t="s">
        <v>3</v>
      </c>
      <c r="H326" s="11">
        <v>45777</v>
      </c>
      <c r="I326" s="3" t="s">
        <v>142</v>
      </c>
      <c r="J326" s="3">
        <f>11+12+3+6</f>
        <v>32</v>
      </c>
      <c r="K326" s="3">
        <f>9+3+5+4</f>
        <v>21</v>
      </c>
      <c r="L326" s="3">
        <f>8+10+7</f>
        <v>25</v>
      </c>
      <c r="M326" s="3">
        <v>0</v>
      </c>
      <c r="N326" s="3">
        <v>0</v>
      </c>
      <c r="O326" s="3">
        <f t="shared" si="30"/>
        <v>78</v>
      </c>
      <c r="P326" s="3">
        <v>5</v>
      </c>
      <c r="Q326" s="3">
        <v>4</v>
      </c>
      <c r="R326" s="3">
        <v>3</v>
      </c>
      <c r="S326" s="3">
        <v>0</v>
      </c>
      <c r="T326" s="3">
        <v>0</v>
      </c>
      <c r="U326" s="3">
        <f t="shared" si="50"/>
        <v>12</v>
      </c>
      <c r="V326" s="13">
        <f t="shared" si="32"/>
        <v>6.5</v>
      </c>
      <c r="W326" s="13">
        <f t="shared" si="48"/>
        <v>6.5</v>
      </c>
      <c r="X326" s="3">
        <f t="shared" si="40"/>
        <v>12</v>
      </c>
      <c r="Y326" s="3">
        <f t="shared" si="49"/>
        <v>3.098927294398093E-2</v>
      </c>
      <c r="Z326" s="3"/>
      <c r="AA326" s="3">
        <f t="shared" si="51"/>
        <v>209.75</v>
      </c>
      <c r="AB326" s="3"/>
      <c r="AC326" s="3" t="s">
        <v>82</v>
      </c>
      <c r="AD326" s="3" t="s">
        <v>83</v>
      </c>
      <c r="AE326" s="3">
        <v>15</v>
      </c>
      <c r="AF326" s="3" t="s">
        <v>102</v>
      </c>
      <c r="AG326" s="3" t="s">
        <v>297</v>
      </c>
      <c r="AH326" s="3"/>
    </row>
    <row r="327" spans="1:34" ht="14.25" customHeight="1" x14ac:dyDescent="0.25">
      <c r="A327" s="3" t="s">
        <v>105</v>
      </c>
      <c r="B327" s="3" t="s">
        <v>79</v>
      </c>
      <c r="C327" s="3"/>
      <c r="D327" s="3" t="s">
        <v>101</v>
      </c>
      <c r="E327" s="3">
        <v>2</v>
      </c>
      <c r="F327" s="3">
        <v>1</v>
      </c>
      <c r="G327" s="3" t="s">
        <v>2</v>
      </c>
      <c r="H327" s="11">
        <v>45777</v>
      </c>
      <c r="I327" s="3" t="s">
        <v>142</v>
      </c>
      <c r="J327" s="3">
        <v>4</v>
      </c>
      <c r="K327" s="3">
        <v>0</v>
      </c>
      <c r="L327" s="3">
        <v>0</v>
      </c>
      <c r="M327" s="3">
        <v>0</v>
      </c>
      <c r="N327" s="3">
        <v>0</v>
      </c>
      <c r="O327" s="3">
        <f t="shared" si="30"/>
        <v>4</v>
      </c>
      <c r="P327" s="3">
        <v>5</v>
      </c>
      <c r="Q327" s="3">
        <v>4</v>
      </c>
      <c r="R327" s="3">
        <v>3</v>
      </c>
      <c r="S327" s="3">
        <v>0</v>
      </c>
      <c r="T327" s="3">
        <v>0</v>
      </c>
      <c r="U327" s="3">
        <f t="shared" si="50"/>
        <v>12</v>
      </c>
      <c r="V327" s="13">
        <f t="shared" si="32"/>
        <v>0.33333333333333331</v>
      </c>
      <c r="W327" s="13">
        <f t="shared" si="48"/>
        <v>0.33333333333333331</v>
      </c>
      <c r="X327" s="3">
        <f t="shared" si="40"/>
        <v>12</v>
      </c>
      <c r="Y327" s="3">
        <f t="shared" si="49"/>
        <v>1.5891934843067143E-3</v>
      </c>
      <c r="Z327" s="3"/>
      <c r="AA327" s="3">
        <f t="shared" si="51"/>
        <v>209.75</v>
      </c>
      <c r="AB327" s="3"/>
      <c r="AC327" s="3" t="s">
        <v>82</v>
      </c>
      <c r="AD327" s="3" t="s">
        <v>83</v>
      </c>
      <c r="AE327" s="3">
        <v>15</v>
      </c>
      <c r="AF327" s="3" t="s">
        <v>102</v>
      </c>
      <c r="AG327" s="3" t="s">
        <v>297</v>
      </c>
      <c r="AH327" s="3"/>
    </row>
    <row r="328" spans="1:34" ht="14.25" customHeight="1" x14ac:dyDescent="0.25">
      <c r="A328" s="3" t="s">
        <v>105</v>
      </c>
      <c r="B328" s="3" t="s">
        <v>79</v>
      </c>
      <c r="C328" s="3"/>
      <c r="D328" s="3" t="s">
        <v>101</v>
      </c>
      <c r="E328" s="3">
        <v>2</v>
      </c>
      <c r="F328" s="3">
        <v>1</v>
      </c>
      <c r="G328" s="3" t="s">
        <v>14</v>
      </c>
      <c r="H328" s="11">
        <v>45777</v>
      </c>
      <c r="I328" s="3" t="s">
        <v>142</v>
      </c>
      <c r="J328" s="3">
        <v>0</v>
      </c>
      <c r="K328" s="3">
        <f>3+2</f>
        <v>5</v>
      </c>
      <c r="L328" s="3">
        <v>0</v>
      </c>
      <c r="M328" s="3">
        <v>0</v>
      </c>
      <c r="N328" s="3">
        <v>0</v>
      </c>
      <c r="O328" s="3">
        <f t="shared" si="30"/>
        <v>5</v>
      </c>
      <c r="P328" s="3">
        <v>5</v>
      </c>
      <c r="Q328" s="3">
        <v>4</v>
      </c>
      <c r="R328" s="3">
        <v>3</v>
      </c>
      <c r="S328" s="3">
        <v>0</v>
      </c>
      <c r="T328" s="3">
        <v>0</v>
      </c>
      <c r="U328" s="3">
        <f t="shared" si="50"/>
        <v>12</v>
      </c>
      <c r="V328" s="13">
        <f t="shared" si="32"/>
        <v>0.41666666666666669</v>
      </c>
      <c r="W328" s="13">
        <f t="shared" si="48"/>
        <v>0.41666666666666669</v>
      </c>
      <c r="X328" s="3">
        <f t="shared" si="40"/>
        <v>12</v>
      </c>
      <c r="Y328" s="3">
        <f t="shared" si="49"/>
        <v>1.986491855383393E-3</v>
      </c>
      <c r="Z328" s="3"/>
      <c r="AA328" s="3">
        <f t="shared" si="51"/>
        <v>209.75</v>
      </c>
      <c r="AB328" s="3"/>
      <c r="AC328" s="3" t="s">
        <v>82</v>
      </c>
      <c r="AD328" s="3" t="s">
        <v>83</v>
      </c>
      <c r="AE328" s="3">
        <v>15</v>
      </c>
      <c r="AF328" s="3" t="s">
        <v>102</v>
      </c>
      <c r="AG328" s="3" t="s">
        <v>297</v>
      </c>
      <c r="AH328" s="3"/>
    </row>
    <row r="329" spans="1:34" ht="14.25" customHeight="1" x14ac:dyDescent="0.25">
      <c r="A329" s="3" t="s">
        <v>155</v>
      </c>
      <c r="B329" s="3" t="s">
        <v>79</v>
      </c>
      <c r="C329" s="3"/>
      <c r="D329" s="3" t="s">
        <v>101</v>
      </c>
      <c r="E329" s="3">
        <v>1</v>
      </c>
      <c r="F329" s="3">
        <v>1</v>
      </c>
      <c r="G329" s="3" t="s">
        <v>1</v>
      </c>
      <c r="H329" s="11">
        <v>45777</v>
      </c>
      <c r="I329" s="3" t="s">
        <v>142</v>
      </c>
      <c r="J329" s="3">
        <v>20</v>
      </c>
      <c r="K329" s="3">
        <v>0</v>
      </c>
      <c r="L329" s="3">
        <f>10+10</f>
        <v>20</v>
      </c>
      <c r="M329" s="3">
        <v>0</v>
      </c>
      <c r="N329" s="3">
        <v>0</v>
      </c>
      <c r="O329" s="3">
        <f t="shared" si="30"/>
        <v>40</v>
      </c>
      <c r="P329" s="3">
        <v>4</v>
      </c>
      <c r="Q329" s="3">
        <v>1</v>
      </c>
      <c r="R329" s="3">
        <v>3</v>
      </c>
      <c r="S329" s="3">
        <v>2</v>
      </c>
      <c r="T329" s="3">
        <v>0</v>
      </c>
      <c r="U329" s="3">
        <v>22</v>
      </c>
      <c r="V329" s="13">
        <f t="shared" si="32"/>
        <v>1.8181818181818181</v>
      </c>
      <c r="W329" s="13">
        <f t="shared" si="48"/>
        <v>1.8181818181818181</v>
      </c>
      <c r="X329" s="3">
        <f t="shared" si="40"/>
        <v>22</v>
      </c>
      <c r="Y329" s="3">
        <f t="shared" si="49"/>
        <v>3.7878787878787876E-3</v>
      </c>
      <c r="Z329" s="3"/>
      <c r="AA329" s="3">
        <f t="shared" ref="AA329:AA336" si="52">40*3*4</f>
        <v>480</v>
      </c>
      <c r="AB329" s="3">
        <f t="shared" ref="AB329:AB336" si="53">25*3</f>
        <v>75</v>
      </c>
      <c r="AC329" s="3" t="s">
        <v>82</v>
      </c>
      <c r="AD329" s="3" t="s">
        <v>83</v>
      </c>
      <c r="AE329" s="3"/>
      <c r="AF329" s="3" t="s">
        <v>102</v>
      </c>
      <c r="AG329" s="3" t="s">
        <v>352</v>
      </c>
      <c r="AH329" s="3"/>
    </row>
    <row r="330" spans="1:34" ht="14.25" customHeight="1" x14ac:dyDescent="0.25">
      <c r="A330" s="3" t="s">
        <v>155</v>
      </c>
      <c r="B330" s="3" t="s">
        <v>79</v>
      </c>
      <c r="C330" s="3"/>
      <c r="D330" s="3" t="s">
        <v>101</v>
      </c>
      <c r="E330" s="3">
        <v>1</v>
      </c>
      <c r="F330" s="3">
        <v>1</v>
      </c>
      <c r="G330" s="3" t="s">
        <v>3</v>
      </c>
      <c r="H330" s="11">
        <v>45777</v>
      </c>
      <c r="I330" s="3" t="s">
        <v>142</v>
      </c>
      <c r="J330" s="3">
        <v>20</v>
      </c>
      <c r="K330" s="3">
        <v>50</v>
      </c>
      <c r="L330" s="3">
        <v>20</v>
      </c>
      <c r="M330" s="3">
        <v>50</v>
      </c>
      <c r="N330" s="3">
        <v>0</v>
      </c>
      <c r="O330" s="3">
        <f t="shared" si="30"/>
        <v>140</v>
      </c>
      <c r="P330" s="3">
        <v>4</v>
      </c>
      <c r="Q330" s="3">
        <v>1</v>
      </c>
      <c r="R330" s="3">
        <v>3</v>
      </c>
      <c r="S330" s="3">
        <v>2</v>
      </c>
      <c r="T330" s="3">
        <v>0</v>
      </c>
      <c r="U330" s="3">
        <v>22</v>
      </c>
      <c r="V330" s="13">
        <f t="shared" si="32"/>
        <v>6.3636363636363633</v>
      </c>
      <c r="W330" s="13">
        <f t="shared" si="48"/>
        <v>6.3636363636363633</v>
      </c>
      <c r="X330" s="3">
        <f t="shared" si="40"/>
        <v>22</v>
      </c>
      <c r="Y330" s="3">
        <f t="shared" si="49"/>
        <v>1.3257575757575756E-2</v>
      </c>
      <c r="Z330" s="3"/>
      <c r="AA330" s="3">
        <f t="shared" si="52"/>
        <v>480</v>
      </c>
      <c r="AB330" s="3">
        <f t="shared" si="53"/>
        <v>75</v>
      </c>
      <c r="AC330" s="3" t="s">
        <v>82</v>
      </c>
      <c r="AD330" s="3" t="s">
        <v>83</v>
      </c>
      <c r="AE330" s="3"/>
      <c r="AF330" s="3" t="s">
        <v>102</v>
      </c>
      <c r="AG330" s="3" t="s">
        <v>352</v>
      </c>
      <c r="AH330" s="3"/>
    </row>
    <row r="331" spans="1:34" ht="14.25" customHeight="1" x14ac:dyDescent="0.25">
      <c r="A331" s="3" t="s">
        <v>155</v>
      </c>
      <c r="B331" s="3" t="s">
        <v>79</v>
      </c>
      <c r="C331" s="3"/>
      <c r="D331" s="3" t="s">
        <v>101</v>
      </c>
      <c r="E331" s="3">
        <v>1</v>
      </c>
      <c r="F331" s="3">
        <v>1</v>
      </c>
      <c r="G331" s="3" t="s">
        <v>2</v>
      </c>
      <c r="H331" s="11">
        <v>45777</v>
      </c>
      <c r="I331" s="3" t="s">
        <v>142</v>
      </c>
      <c r="J331" s="3">
        <f>10+5</f>
        <v>15</v>
      </c>
      <c r="K331" s="3">
        <v>0</v>
      </c>
      <c r="L331" s="3">
        <v>10</v>
      </c>
      <c r="M331" s="3">
        <v>0</v>
      </c>
      <c r="N331" s="3">
        <v>0</v>
      </c>
      <c r="O331" s="3">
        <f t="shared" si="30"/>
        <v>25</v>
      </c>
      <c r="P331" s="3">
        <v>4</v>
      </c>
      <c r="Q331" s="3">
        <v>1</v>
      </c>
      <c r="R331" s="3">
        <v>3</v>
      </c>
      <c r="S331" s="3">
        <v>2</v>
      </c>
      <c r="T331" s="3">
        <v>0</v>
      </c>
      <c r="U331" s="3">
        <v>22</v>
      </c>
      <c r="V331" s="13">
        <f t="shared" si="32"/>
        <v>1.1363636363636365</v>
      </c>
      <c r="W331" s="13">
        <f t="shared" si="48"/>
        <v>1.1363636363636365</v>
      </c>
      <c r="X331" s="3">
        <f t="shared" si="40"/>
        <v>22</v>
      </c>
      <c r="Y331" s="3">
        <f t="shared" si="49"/>
        <v>2.3674242424242425E-3</v>
      </c>
      <c r="Z331" s="3"/>
      <c r="AA331" s="3">
        <f t="shared" si="52"/>
        <v>480</v>
      </c>
      <c r="AB331" s="3">
        <f t="shared" si="53"/>
        <v>75</v>
      </c>
      <c r="AC331" s="3" t="s">
        <v>82</v>
      </c>
      <c r="AD331" s="3" t="s">
        <v>83</v>
      </c>
      <c r="AE331" s="3"/>
      <c r="AF331" s="3" t="s">
        <v>102</v>
      </c>
      <c r="AG331" s="3" t="s">
        <v>352</v>
      </c>
      <c r="AH331" s="3"/>
    </row>
    <row r="332" spans="1:34" ht="14.25" customHeight="1" x14ac:dyDescent="0.25">
      <c r="A332" s="3" t="s">
        <v>155</v>
      </c>
      <c r="B332" s="3" t="s">
        <v>79</v>
      </c>
      <c r="C332" s="3"/>
      <c r="D332" s="3" t="s">
        <v>101</v>
      </c>
      <c r="E332" s="3">
        <v>1</v>
      </c>
      <c r="F332" s="3">
        <v>1</v>
      </c>
      <c r="G332" s="3" t="s">
        <v>9</v>
      </c>
      <c r="H332" s="11">
        <v>45777</v>
      </c>
      <c r="I332" s="3" t="s">
        <v>142</v>
      </c>
      <c r="J332" s="3">
        <f>5+5</f>
        <v>10</v>
      </c>
      <c r="K332" s="3">
        <v>10</v>
      </c>
      <c r="L332" s="3">
        <v>0</v>
      </c>
      <c r="M332" s="3">
        <v>10</v>
      </c>
      <c r="N332" s="3">
        <v>0</v>
      </c>
      <c r="O332" s="3">
        <f t="shared" si="30"/>
        <v>30</v>
      </c>
      <c r="P332" s="3">
        <v>4</v>
      </c>
      <c r="Q332" s="3">
        <v>1</v>
      </c>
      <c r="R332" s="3">
        <v>3</v>
      </c>
      <c r="S332" s="3">
        <v>2</v>
      </c>
      <c r="T332" s="3">
        <v>0</v>
      </c>
      <c r="U332" s="3">
        <v>22</v>
      </c>
      <c r="V332" s="13">
        <f t="shared" si="32"/>
        <v>1.3636363636363635</v>
      </c>
      <c r="W332" s="13">
        <f t="shared" si="48"/>
        <v>1.3636363636363635</v>
      </c>
      <c r="X332" s="3">
        <f t="shared" si="40"/>
        <v>22</v>
      </c>
      <c r="Y332" s="3">
        <f t="shared" si="49"/>
        <v>2.8409090909090906E-3</v>
      </c>
      <c r="Z332" s="3"/>
      <c r="AA332" s="3">
        <f t="shared" si="52"/>
        <v>480</v>
      </c>
      <c r="AB332" s="3">
        <f t="shared" si="53"/>
        <v>75</v>
      </c>
      <c r="AC332" s="3" t="s">
        <v>82</v>
      </c>
      <c r="AD332" s="3" t="s">
        <v>83</v>
      </c>
      <c r="AE332" s="3"/>
      <c r="AF332" s="3" t="s">
        <v>102</v>
      </c>
      <c r="AG332" s="3" t="s">
        <v>352</v>
      </c>
      <c r="AH332" s="3"/>
    </row>
    <row r="333" spans="1:34" ht="14.25" customHeight="1" x14ac:dyDescent="0.25">
      <c r="A333" s="3" t="s">
        <v>155</v>
      </c>
      <c r="B333" s="3" t="s">
        <v>79</v>
      </c>
      <c r="C333" s="3"/>
      <c r="D333" s="3" t="s">
        <v>101</v>
      </c>
      <c r="E333" s="3">
        <v>1</v>
      </c>
      <c r="F333" s="3">
        <v>1</v>
      </c>
      <c r="G333" s="3" t="s">
        <v>14</v>
      </c>
      <c r="H333" s="11">
        <v>45777</v>
      </c>
      <c r="I333" s="3" t="s">
        <v>142</v>
      </c>
      <c r="J333" s="3">
        <v>0</v>
      </c>
      <c r="K333" s="3">
        <v>0</v>
      </c>
      <c r="L333" s="3">
        <v>10</v>
      </c>
      <c r="M333" s="3">
        <v>0</v>
      </c>
      <c r="N333" s="3">
        <v>0</v>
      </c>
      <c r="O333" s="3">
        <f t="shared" si="30"/>
        <v>10</v>
      </c>
      <c r="P333" s="3">
        <v>4</v>
      </c>
      <c r="Q333" s="3">
        <v>1</v>
      </c>
      <c r="R333" s="3">
        <v>3</v>
      </c>
      <c r="S333" s="3">
        <v>2</v>
      </c>
      <c r="T333" s="3">
        <v>0</v>
      </c>
      <c r="U333" s="3">
        <v>22</v>
      </c>
      <c r="V333" s="13">
        <f t="shared" si="32"/>
        <v>0.45454545454545453</v>
      </c>
      <c r="W333" s="13">
        <f t="shared" si="48"/>
        <v>0.45454545454545453</v>
      </c>
      <c r="X333" s="3">
        <f t="shared" si="40"/>
        <v>22</v>
      </c>
      <c r="Y333" s="3">
        <f t="shared" si="49"/>
        <v>9.4696969696969689E-4</v>
      </c>
      <c r="Z333" s="3"/>
      <c r="AA333" s="3">
        <f t="shared" si="52"/>
        <v>480</v>
      </c>
      <c r="AB333" s="3">
        <f t="shared" si="53"/>
        <v>75</v>
      </c>
      <c r="AC333" s="3" t="s">
        <v>82</v>
      </c>
      <c r="AD333" s="3" t="s">
        <v>83</v>
      </c>
      <c r="AE333" s="3"/>
      <c r="AF333" s="3" t="s">
        <v>102</v>
      </c>
      <c r="AG333" s="3" t="s">
        <v>352</v>
      </c>
      <c r="AH333" s="3"/>
    </row>
    <row r="334" spans="1:34" ht="14.25" customHeight="1" x14ac:dyDescent="0.25">
      <c r="A334" s="3" t="s">
        <v>155</v>
      </c>
      <c r="B334" s="3" t="s">
        <v>79</v>
      </c>
      <c r="C334" s="3"/>
      <c r="D334" s="3" t="s">
        <v>101</v>
      </c>
      <c r="E334" s="3">
        <v>1</v>
      </c>
      <c r="F334" s="3">
        <v>1</v>
      </c>
      <c r="G334" s="3" t="s">
        <v>16</v>
      </c>
      <c r="H334" s="11">
        <v>45777</v>
      </c>
      <c r="I334" s="3" t="s">
        <v>142</v>
      </c>
      <c r="J334" s="3">
        <f>5+10</f>
        <v>15</v>
      </c>
      <c r="K334" s="3">
        <v>0</v>
      </c>
      <c r="L334" s="3">
        <v>10</v>
      </c>
      <c r="M334" s="3">
        <v>15</v>
      </c>
      <c r="N334" s="3">
        <v>0</v>
      </c>
      <c r="O334" s="3">
        <f t="shared" si="30"/>
        <v>40</v>
      </c>
      <c r="P334" s="3">
        <v>4</v>
      </c>
      <c r="Q334" s="3">
        <v>1</v>
      </c>
      <c r="R334" s="3">
        <v>3</v>
      </c>
      <c r="S334" s="3">
        <v>2</v>
      </c>
      <c r="T334" s="3">
        <v>0</v>
      </c>
      <c r="U334" s="3">
        <v>22</v>
      </c>
      <c r="V334" s="13">
        <f t="shared" si="32"/>
        <v>1.8181818181818181</v>
      </c>
      <c r="W334" s="13">
        <f t="shared" si="48"/>
        <v>1.8181818181818181</v>
      </c>
      <c r="X334" s="3">
        <f t="shared" si="40"/>
        <v>22</v>
      </c>
      <c r="Y334" s="3">
        <f t="shared" si="49"/>
        <v>3.7878787878787876E-3</v>
      </c>
      <c r="Z334" s="3"/>
      <c r="AA334" s="3">
        <f t="shared" si="52"/>
        <v>480</v>
      </c>
      <c r="AB334" s="3">
        <f t="shared" si="53"/>
        <v>75</v>
      </c>
      <c r="AC334" s="3" t="s">
        <v>82</v>
      </c>
      <c r="AD334" s="3" t="s">
        <v>83</v>
      </c>
      <c r="AE334" s="3"/>
      <c r="AF334" s="3" t="s">
        <v>102</v>
      </c>
      <c r="AG334" s="3" t="s">
        <v>352</v>
      </c>
      <c r="AH334" s="3"/>
    </row>
    <row r="335" spans="1:34" ht="14.25" customHeight="1" x14ac:dyDescent="0.25">
      <c r="A335" s="3" t="s">
        <v>155</v>
      </c>
      <c r="B335" s="3" t="s">
        <v>79</v>
      </c>
      <c r="C335" s="3"/>
      <c r="D335" s="3" t="s">
        <v>101</v>
      </c>
      <c r="E335" s="3">
        <v>1</v>
      </c>
      <c r="F335" s="3">
        <v>1</v>
      </c>
      <c r="G335" s="3" t="s">
        <v>18</v>
      </c>
      <c r="H335" s="11">
        <v>45777</v>
      </c>
      <c r="I335" s="3" t="s">
        <v>142</v>
      </c>
      <c r="J335" s="3">
        <v>10</v>
      </c>
      <c r="K335" s="3">
        <v>0</v>
      </c>
      <c r="L335" s="3">
        <v>0</v>
      </c>
      <c r="M335" s="3">
        <v>10</v>
      </c>
      <c r="N335" s="3">
        <v>0</v>
      </c>
      <c r="O335" s="3">
        <f t="shared" si="30"/>
        <v>20</v>
      </c>
      <c r="P335" s="3">
        <v>4</v>
      </c>
      <c r="Q335" s="3">
        <v>1</v>
      </c>
      <c r="R335" s="3">
        <v>3</v>
      </c>
      <c r="S335" s="3">
        <v>2</v>
      </c>
      <c r="T335" s="3">
        <v>0</v>
      </c>
      <c r="U335" s="3">
        <v>22</v>
      </c>
      <c r="V335" s="13">
        <f t="shared" si="32"/>
        <v>0.90909090909090906</v>
      </c>
      <c r="W335" s="13">
        <f t="shared" si="48"/>
        <v>0.90909090909090906</v>
      </c>
      <c r="X335" s="3">
        <f t="shared" si="40"/>
        <v>22</v>
      </c>
      <c r="Y335" s="3">
        <f t="shared" si="49"/>
        <v>1.8939393939393938E-3</v>
      </c>
      <c r="Z335" s="3"/>
      <c r="AA335" s="3">
        <f t="shared" si="52"/>
        <v>480</v>
      </c>
      <c r="AB335" s="3">
        <f t="shared" si="53"/>
        <v>75</v>
      </c>
      <c r="AC335" s="3" t="s">
        <v>82</v>
      </c>
      <c r="AD335" s="3" t="s">
        <v>83</v>
      </c>
      <c r="AE335" s="3"/>
      <c r="AF335" s="3" t="s">
        <v>102</v>
      </c>
      <c r="AG335" s="3" t="s">
        <v>352</v>
      </c>
      <c r="AH335" s="3"/>
    </row>
    <row r="336" spans="1:34" ht="14.25" customHeight="1" x14ac:dyDescent="0.25">
      <c r="A336" s="3" t="s">
        <v>155</v>
      </c>
      <c r="B336" s="3" t="s">
        <v>79</v>
      </c>
      <c r="C336" s="3"/>
      <c r="D336" s="3" t="s">
        <v>101</v>
      </c>
      <c r="E336" s="3">
        <v>1</v>
      </c>
      <c r="F336" s="3">
        <v>1</v>
      </c>
      <c r="G336" s="3" t="s">
        <v>22</v>
      </c>
      <c r="H336" s="11">
        <v>45777</v>
      </c>
      <c r="I336" s="3" t="s">
        <v>142</v>
      </c>
      <c r="J336" s="3">
        <f>10+5</f>
        <v>15</v>
      </c>
      <c r="K336" s="3">
        <v>0</v>
      </c>
      <c r="L336" s="3">
        <v>0</v>
      </c>
      <c r="M336" s="3">
        <v>5</v>
      </c>
      <c r="N336" s="3">
        <v>0</v>
      </c>
      <c r="O336" s="3">
        <f t="shared" si="30"/>
        <v>20</v>
      </c>
      <c r="P336" s="3">
        <v>4</v>
      </c>
      <c r="Q336" s="3">
        <v>1</v>
      </c>
      <c r="R336" s="3">
        <v>3</v>
      </c>
      <c r="S336" s="3">
        <v>2</v>
      </c>
      <c r="T336" s="3">
        <v>0</v>
      </c>
      <c r="U336" s="3">
        <v>22</v>
      </c>
      <c r="V336" s="13">
        <f t="shared" si="32"/>
        <v>0.90909090909090906</v>
      </c>
      <c r="W336" s="13">
        <f t="shared" si="48"/>
        <v>0.90909090909090906</v>
      </c>
      <c r="X336" s="3">
        <f t="shared" si="40"/>
        <v>22</v>
      </c>
      <c r="Y336" s="3">
        <f t="shared" si="49"/>
        <v>1.8939393939393938E-3</v>
      </c>
      <c r="Z336" s="3"/>
      <c r="AA336" s="3">
        <f t="shared" si="52"/>
        <v>480</v>
      </c>
      <c r="AB336" s="3">
        <f t="shared" si="53"/>
        <v>75</v>
      </c>
      <c r="AC336" s="3" t="s">
        <v>82</v>
      </c>
      <c r="AD336" s="3" t="s">
        <v>83</v>
      </c>
      <c r="AE336" s="3"/>
      <c r="AF336" s="3" t="s">
        <v>102</v>
      </c>
      <c r="AG336" s="3" t="s">
        <v>352</v>
      </c>
      <c r="AH336" s="3"/>
    </row>
    <row r="337" spans="1:34" ht="14.25" customHeight="1" x14ac:dyDescent="0.25">
      <c r="A337" s="3" t="s">
        <v>106</v>
      </c>
      <c r="B337" s="3" t="s">
        <v>79</v>
      </c>
      <c r="C337" s="3"/>
      <c r="D337" s="3" t="s">
        <v>101</v>
      </c>
      <c r="E337" s="3">
        <v>2</v>
      </c>
      <c r="F337" s="3">
        <v>1</v>
      </c>
      <c r="G337" s="3" t="s">
        <v>14</v>
      </c>
      <c r="H337" s="11">
        <v>45777</v>
      </c>
      <c r="I337" s="3" t="s">
        <v>142</v>
      </c>
      <c r="J337" s="3">
        <f>13+6+9+7</f>
        <v>35</v>
      </c>
      <c r="K337" s="3">
        <f>8+18+7</f>
        <v>33</v>
      </c>
      <c r="L337" s="3">
        <v>0</v>
      </c>
      <c r="M337" s="3">
        <f>9+5+7</f>
        <v>21</v>
      </c>
      <c r="N337" s="3">
        <v>0</v>
      </c>
      <c r="O337" s="3">
        <f t="shared" si="30"/>
        <v>89</v>
      </c>
      <c r="P337" s="3">
        <v>5</v>
      </c>
      <c r="Q337" s="3">
        <v>5</v>
      </c>
      <c r="R337" s="3">
        <v>3</v>
      </c>
      <c r="S337" s="3">
        <v>5</v>
      </c>
      <c r="T337" s="3">
        <v>0</v>
      </c>
      <c r="U337" s="3">
        <f t="shared" ref="U337:U340" si="54">SUM(P337:T337)</f>
        <v>18</v>
      </c>
      <c r="V337" s="13">
        <f t="shared" si="32"/>
        <v>4.9444444444444446</v>
      </c>
      <c r="W337" s="13">
        <f t="shared" si="48"/>
        <v>4.9444444444444446</v>
      </c>
      <c r="X337" s="3">
        <f t="shared" si="40"/>
        <v>18</v>
      </c>
      <c r="Y337" s="3" t="e">
        <f t="shared" si="49"/>
        <v>#DIV/0!</v>
      </c>
      <c r="Z337" s="3"/>
      <c r="AA337" s="3"/>
      <c r="AB337" s="3"/>
      <c r="AC337" s="3" t="s">
        <v>82</v>
      </c>
      <c r="AD337" s="3" t="s">
        <v>83</v>
      </c>
      <c r="AE337" s="3">
        <v>40</v>
      </c>
      <c r="AF337" s="3" t="s">
        <v>102</v>
      </c>
      <c r="AG337" s="3" t="s">
        <v>207</v>
      </c>
      <c r="AH337" s="3"/>
    </row>
    <row r="338" spans="1:34" ht="14.25" customHeight="1" x14ac:dyDescent="0.25">
      <c r="A338" s="3" t="s">
        <v>106</v>
      </c>
      <c r="B338" s="3" t="s">
        <v>79</v>
      </c>
      <c r="C338" s="3"/>
      <c r="D338" s="3" t="s">
        <v>101</v>
      </c>
      <c r="E338" s="3">
        <v>2</v>
      </c>
      <c r="F338" s="3">
        <v>1</v>
      </c>
      <c r="G338" s="3" t="s">
        <v>16</v>
      </c>
      <c r="H338" s="11">
        <v>45777</v>
      </c>
      <c r="I338" s="3" t="s">
        <v>142</v>
      </c>
      <c r="J338" s="3">
        <f>7+4+8+4</f>
        <v>23</v>
      </c>
      <c r="K338" s="3">
        <f>9+7+5</f>
        <v>21</v>
      </c>
      <c r="L338" s="3">
        <v>3</v>
      </c>
      <c r="M338" s="3">
        <f>5+4+10</f>
        <v>19</v>
      </c>
      <c r="N338" s="3">
        <v>0</v>
      </c>
      <c r="O338" s="3">
        <f t="shared" si="30"/>
        <v>66</v>
      </c>
      <c r="P338" s="3">
        <v>5</v>
      </c>
      <c r="Q338" s="3">
        <v>5</v>
      </c>
      <c r="R338" s="3">
        <v>3</v>
      </c>
      <c r="S338" s="3">
        <v>5</v>
      </c>
      <c r="T338" s="3">
        <v>0</v>
      </c>
      <c r="U338" s="3">
        <f t="shared" si="54"/>
        <v>18</v>
      </c>
      <c r="V338" s="13">
        <f t="shared" si="32"/>
        <v>3.6666666666666665</v>
      </c>
      <c r="W338" s="13">
        <f t="shared" si="48"/>
        <v>3.6666666666666665</v>
      </c>
      <c r="X338" s="3">
        <f t="shared" si="40"/>
        <v>18</v>
      </c>
      <c r="Y338" s="3" t="e">
        <f t="shared" si="49"/>
        <v>#DIV/0!</v>
      </c>
      <c r="Z338" s="3"/>
      <c r="AA338" s="3"/>
      <c r="AB338" s="3"/>
      <c r="AC338" s="3" t="s">
        <v>82</v>
      </c>
      <c r="AD338" s="3" t="s">
        <v>83</v>
      </c>
      <c r="AE338" s="3">
        <v>40</v>
      </c>
      <c r="AF338" s="3" t="s">
        <v>102</v>
      </c>
      <c r="AG338" s="3" t="s">
        <v>207</v>
      </c>
      <c r="AH338" s="3"/>
    </row>
    <row r="339" spans="1:34" ht="14.25" customHeight="1" x14ac:dyDescent="0.25">
      <c r="A339" s="3" t="s">
        <v>106</v>
      </c>
      <c r="B339" s="3" t="s">
        <v>79</v>
      </c>
      <c r="C339" s="3"/>
      <c r="D339" s="3" t="s">
        <v>101</v>
      </c>
      <c r="E339" s="3">
        <v>2</v>
      </c>
      <c r="F339" s="3">
        <v>1</v>
      </c>
      <c r="G339" s="3" t="s">
        <v>18</v>
      </c>
      <c r="H339" s="11">
        <v>45777</v>
      </c>
      <c r="I339" s="3" t="s">
        <v>142</v>
      </c>
      <c r="J339" s="3">
        <v>0</v>
      </c>
      <c r="K339" s="3">
        <v>5</v>
      </c>
      <c r="L339" s="3">
        <f>5+8</f>
        <v>13</v>
      </c>
      <c r="M339" s="3">
        <v>6</v>
      </c>
      <c r="N339" s="3">
        <v>0</v>
      </c>
      <c r="O339" s="3">
        <f t="shared" si="30"/>
        <v>24</v>
      </c>
      <c r="P339" s="3">
        <v>5</v>
      </c>
      <c r="Q339" s="3">
        <v>5</v>
      </c>
      <c r="R339" s="3">
        <v>3</v>
      </c>
      <c r="S339" s="3">
        <v>5</v>
      </c>
      <c r="T339" s="3">
        <v>0</v>
      </c>
      <c r="U339" s="3">
        <f t="shared" si="54"/>
        <v>18</v>
      </c>
      <c r="V339" s="13">
        <f t="shared" si="32"/>
        <v>1.3333333333333333</v>
      </c>
      <c r="W339" s="13">
        <f t="shared" si="48"/>
        <v>1.3333333333333333</v>
      </c>
      <c r="X339" s="3">
        <f t="shared" si="40"/>
        <v>18</v>
      </c>
      <c r="Y339" s="3" t="e">
        <f t="shared" si="49"/>
        <v>#DIV/0!</v>
      </c>
      <c r="Z339" s="3"/>
      <c r="AA339" s="3"/>
      <c r="AB339" s="3"/>
      <c r="AC339" s="3" t="s">
        <v>82</v>
      </c>
      <c r="AD339" s="3" t="s">
        <v>83</v>
      </c>
      <c r="AE339" s="3">
        <v>40</v>
      </c>
      <c r="AF339" s="3" t="s">
        <v>102</v>
      </c>
      <c r="AG339" s="3" t="s">
        <v>207</v>
      </c>
      <c r="AH339" s="3"/>
    </row>
    <row r="340" spans="1:34" ht="14.25" customHeight="1" x14ac:dyDescent="0.25">
      <c r="A340" s="3" t="s">
        <v>106</v>
      </c>
      <c r="B340" s="3" t="s">
        <v>79</v>
      </c>
      <c r="C340" s="3"/>
      <c r="D340" s="3" t="s">
        <v>101</v>
      </c>
      <c r="E340" s="3">
        <v>2</v>
      </c>
      <c r="F340" s="3">
        <v>1</v>
      </c>
      <c r="G340" s="3" t="s">
        <v>25</v>
      </c>
      <c r="H340" s="11">
        <v>45777</v>
      </c>
      <c r="I340" s="3" t="s">
        <v>142</v>
      </c>
      <c r="J340" s="3">
        <v>26</v>
      </c>
      <c r="K340" s="3">
        <v>0</v>
      </c>
      <c r="L340" s="3">
        <v>0</v>
      </c>
      <c r="M340" s="3">
        <v>0</v>
      </c>
      <c r="N340" s="3">
        <v>0</v>
      </c>
      <c r="O340" s="3">
        <f t="shared" si="30"/>
        <v>26</v>
      </c>
      <c r="P340" s="3">
        <v>5</v>
      </c>
      <c r="Q340" s="3">
        <v>5</v>
      </c>
      <c r="R340" s="3">
        <v>3</v>
      </c>
      <c r="S340" s="3">
        <v>5</v>
      </c>
      <c r="T340" s="3">
        <v>0</v>
      </c>
      <c r="U340" s="3">
        <f t="shared" si="54"/>
        <v>18</v>
      </c>
      <c r="V340" s="13">
        <f t="shared" si="32"/>
        <v>1.4444444444444444</v>
      </c>
      <c r="W340" s="13">
        <f t="shared" si="48"/>
        <v>1.4444444444444444</v>
      </c>
      <c r="X340" s="3">
        <f t="shared" si="40"/>
        <v>18</v>
      </c>
      <c r="Y340" s="3" t="e">
        <f t="shared" si="49"/>
        <v>#DIV/0!</v>
      </c>
      <c r="Z340" s="3"/>
      <c r="AA340" s="3"/>
      <c r="AB340" s="3"/>
      <c r="AC340" s="3" t="s">
        <v>82</v>
      </c>
      <c r="AD340" s="3" t="s">
        <v>83</v>
      </c>
      <c r="AE340" s="3">
        <v>40</v>
      </c>
      <c r="AF340" s="3" t="s">
        <v>102</v>
      </c>
      <c r="AG340" s="3" t="s">
        <v>207</v>
      </c>
      <c r="AH340" s="3"/>
    </row>
    <row r="341" spans="1:34" ht="14.25" customHeight="1" x14ac:dyDescent="0.25">
      <c r="A341" s="3" t="s">
        <v>156</v>
      </c>
      <c r="B341" s="3" t="s">
        <v>79</v>
      </c>
      <c r="C341" s="3"/>
      <c r="D341" s="3" t="s">
        <v>101</v>
      </c>
      <c r="E341" s="3">
        <v>2</v>
      </c>
      <c r="F341" s="3">
        <v>1</v>
      </c>
      <c r="G341" s="3" t="s">
        <v>1</v>
      </c>
      <c r="H341" s="11">
        <v>45777</v>
      </c>
      <c r="I341" s="3" t="s">
        <v>142</v>
      </c>
      <c r="J341" s="3">
        <f>15+30+8</f>
        <v>53</v>
      </c>
      <c r="K341" s="3">
        <f>18+6</f>
        <v>24</v>
      </c>
      <c r="L341" s="3">
        <f>8</f>
        <v>8</v>
      </c>
      <c r="M341" s="3">
        <f>22+60+12+15</f>
        <v>109</v>
      </c>
      <c r="N341" s="3">
        <f>16+70</f>
        <v>86</v>
      </c>
      <c r="O341" s="3">
        <f t="shared" si="30"/>
        <v>280</v>
      </c>
      <c r="P341" s="3">
        <v>6</v>
      </c>
      <c r="Q341" s="3">
        <v>3</v>
      </c>
      <c r="R341" s="3">
        <v>5</v>
      </c>
      <c r="S341" s="3">
        <v>6</v>
      </c>
      <c r="T341" s="3">
        <v>2</v>
      </c>
      <c r="U341" s="3">
        <v>26</v>
      </c>
      <c r="V341" s="13">
        <f t="shared" si="32"/>
        <v>10.76923076923077</v>
      </c>
      <c r="W341" s="13">
        <f t="shared" si="48"/>
        <v>10.76923076923077</v>
      </c>
      <c r="X341" s="3">
        <f t="shared" si="40"/>
        <v>26</v>
      </c>
      <c r="Y341" s="3">
        <f t="shared" si="49"/>
        <v>5.1282051282051282E-3</v>
      </c>
      <c r="Z341" s="3"/>
      <c r="AA341" s="3">
        <f t="shared" ref="AA341:AA344" si="55">300*2+300*2+80*4.5+120*4.5</f>
        <v>2100</v>
      </c>
      <c r="AB341" s="3">
        <v>500</v>
      </c>
      <c r="AC341" s="3" t="s">
        <v>82</v>
      </c>
      <c r="AD341" s="3" t="s">
        <v>83</v>
      </c>
      <c r="AE341" s="3">
        <v>15</v>
      </c>
      <c r="AF341" s="3" t="s">
        <v>102</v>
      </c>
      <c r="AG341" s="3" t="s">
        <v>298</v>
      </c>
      <c r="AH341" s="3"/>
    </row>
    <row r="342" spans="1:34" ht="14.25" customHeight="1" x14ac:dyDescent="0.25">
      <c r="A342" s="3" t="s">
        <v>156</v>
      </c>
      <c r="B342" s="3" t="s">
        <v>79</v>
      </c>
      <c r="C342" s="3"/>
      <c r="D342" s="3" t="s">
        <v>101</v>
      </c>
      <c r="E342" s="3">
        <v>2</v>
      </c>
      <c r="F342" s="3">
        <v>1</v>
      </c>
      <c r="G342" s="3" t="s">
        <v>3</v>
      </c>
      <c r="H342" s="11">
        <v>45777</v>
      </c>
      <c r="I342" s="3" t="s">
        <v>142</v>
      </c>
      <c r="J342" s="3">
        <f>30+100</f>
        <v>130</v>
      </c>
      <c r="K342" s="3">
        <v>12</v>
      </c>
      <c r="L342" s="3">
        <f>50+10+8</f>
        <v>68</v>
      </c>
      <c r="M342" s="3">
        <v>22</v>
      </c>
      <c r="N342" s="3">
        <v>30</v>
      </c>
      <c r="O342" s="3">
        <f t="shared" si="30"/>
        <v>262</v>
      </c>
      <c r="P342" s="3">
        <v>6</v>
      </c>
      <c r="Q342" s="3">
        <v>3</v>
      </c>
      <c r="R342" s="3">
        <v>5</v>
      </c>
      <c r="S342" s="3">
        <v>6</v>
      </c>
      <c r="T342" s="3">
        <v>2</v>
      </c>
      <c r="U342" s="3">
        <v>26</v>
      </c>
      <c r="V342" s="13">
        <f t="shared" si="32"/>
        <v>10.076923076923077</v>
      </c>
      <c r="W342" s="13">
        <f t="shared" si="48"/>
        <v>10.076923076923077</v>
      </c>
      <c r="X342" s="3">
        <f t="shared" si="40"/>
        <v>26</v>
      </c>
      <c r="Y342" s="3">
        <f t="shared" si="49"/>
        <v>4.7985347985347983E-3</v>
      </c>
      <c r="Z342" s="3"/>
      <c r="AA342" s="3">
        <f t="shared" si="55"/>
        <v>2100</v>
      </c>
      <c r="AB342" s="3">
        <v>500</v>
      </c>
      <c r="AC342" s="3" t="s">
        <v>82</v>
      </c>
      <c r="AD342" s="3" t="s">
        <v>83</v>
      </c>
      <c r="AE342" s="3">
        <v>15</v>
      </c>
      <c r="AF342" s="3" t="s">
        <v>102</v>
      </c>
      <c r="AG342" s="3" t="s">
        <v>298</v>
      </c>
      <c r="AH342" s="3"/>
    </row>
    <row r="343" spans="1:34" ht="14.25" customHeight="1" x14ac:dyDescent="0.25">
      <c r="A343" s="3" t="s">
        <v>156</v>
      </c>
      <c r="B343" s="3" t="s">
        <v>79</v>
      </c>
      <c r="C343" s="3"/>
      <c r="D343" s="3" t="s">
        <v>101</v>
      </c>
      <c r="E343" s="3">
        <v>2</v>
      </c>
      <c r="F343" s="3">
        <v>1</v>
      </c>
      <c r="G343" s="3" t="s">
        <v>5</v>
      </c>
      <c r="H343" s="11">
        <v>45777</v>
      </c>
      <c r="I343" s="3" t="s">
        <v>142</v>
      </c>
      <c r="J343" s="3">
        <v>0</v>
      </c>
      <c r="K343" s="3">
        <v>0</v>
      </c>
      <c r="L343" s="3">
        <v>0</v>
      </c>
      <c r="M343" s="3">
        <v>12</v>
      </c>
      <c r="N343" s="3">
        <v>0</v>
      </c>
      <c r="O343" s="3">
        <f t="shared" si="30"/>
        <v>12</v>
      </c>
      <c r="P343" s="3">
        <v>6</v>
      </c>
      <c r="Q343" s="3">
        <v>3</v>
      </c>
      <c r="R343" s="3">
        <v>5</v>
      </c>
      <c r="S343" s="3">
        <v>6</v>
      </c>
      <c r="T343" s="3">
        <v>2</v>
      </c>
      <c r="U343" s="3">
        <v>26</v>
      </c>
      <c r="V343" s="13">
        <f t="shared" si="32"/>
        <v>0.46153846153846156</v>
      </c>
      <c r="W343" s="13">
        <f t="shared" si="48"/>
        <v>0.46153846153846156</v>
      </c>
      <c r="X343" s="3">
        <f t="shared" si="40"/>
        <v>26</v>
      </c>
      <c r="Y343" s="3">
        <f t="shared" si="49"/>
        <v>2.1978021978021978E-4</v>
      </c>
      <c r="Z343" s="3"/>
      <c r="AA343" s="3">
        <f t="shared" si="55"/>
        <v>2100</v>
      </c>
      <c r="AB343" s="3">
        <v>500</v>
      </c>
      <c r="AC343" s="3" t="s">
        <v>82</v>
      </c>
      <c r="AD343" s="3" t="s">
        <v>83</v>
      </c>
      <c r="AE343" s="3">
        <v>15</v>
      </c>
      <c r="AF343" s="3" t="s">
        <v>102</v>
      </c>
      <c r="AG343" s="3" t="s">
        <v>298</v>
      </c>
      <c r="AH343" s="3"/>
    </row>
    <row r="344" spans="1:34" ht="14.25" customHeight="1" x14ac:dyDescent="0.25">
      <c r="A344" s="3" t="s">
        <v>156</v>
      </c>
      <c r="B344" s="3" t="s">
        <v>79</v>
      </c>
      <c r="C344" s="3"/>
      <c r="D344" s="3" t="s">
        <v>101</v>
      </c>
      <c r="E344" s="3">
        <v>2</v>
      </c>
      <c r="F344" s="3">
        <v>1</v>
      </c>
      <c r="G344" s="3" t="s">
        <v>2</v>
      </c>
      <c r="H344" s="11">
        <v>45777</v>
      </c>
      <c r="I344" s="3" t="s">
        <v>142</v>
      </c>
      <c r="J344" s="3">
        <f>6+5</f>
        <v>11</v>
      </c>
      <c r="K344" s="3">
        <v>0</v>
      </c>
      <c r="L344" s="3">
        <v>6</v>
      </c>
      <c r="M344" s="3">
        <v>20</v>
      </c>
      <c r="N344" s="3">
        <v>0</v>
      </c>
      <c r="O344" s="3">
        <f t="shared" si="30"/>
        <v>37</v>
      </c>
      <c r="P344" s="3">
        <v>6</v>
      </c>
      <c r="Q344" s="3">
        <v>3</v>
      </c>
      <c r="R344" s="3">
        <v>5</v>
      </c>
      <c r="S344" s="3">
        <v>6</v>
      </c>
      <c r="T344" s="3">
        <v>2</v>
      </c>
      <c r="U344" s="3">
        <v>26</v>
      </c>
      <c r="V344" s="13">
        <f t="shared" si="32"/>
        <v>1.4230769230769231</v>
      </c>
      <c r="W344" s="13">
        <f t="shared" si="48"/>
        <v>1.4230769230769231</v>
      </c>
      <c r="X344" s="3">
        <f t="shared" si="40"/>
        <v>26</v>
      </c>
      <c r="Y344" s="3">
        <f t="shared" si="49"/>
        <v>6.7765567765567766E-4</v>
      </c>
      <c r="Z344" s="3"/>
      <c r="AA344" s="3">
        <f t="shared" si="55"/>
        <v>2100</v>
      </c>
      <c r="AB344" s="3">
        <v>500</v>
      </c>
      <c r="AC344" s="3" t="s">
        <v>82</v>
      </c>
      <c r="AD344" s="3" t="s">
        <v>83</v>
      </c>
      <c r="AE344" s="3">
        <v>15</v>
      </c>
      <c r="AF344" s="3" t="s">
        <v>102</v>
      </c>
      <c r="AG344" s="3" t="s">
        <v>298</v>
      </c>
      <c r="AH344" s="3"/>
    </row>
    <row r="345" spans="1:34" ht="14.25" customHeight="1" x14ac:dyDescent="0.25">
      <c r="A345" s="3" t="s">
        <v>108</v>
      </c>
      <c r="B345" s="3" t="s">
        <v>79</v>
      </c>
      <c r="C345" s="3"/>
      <c r="D345" s="3" t="s">
        <v>101</v>
      </c>
      <c r="E345" s="3">
        <v>1</v>
      </c>
      <c r="F345" s="3">
        <v>1</v>
      </c>
      <c r="G345" s="3" t="s">
        <v>5</v>
      </c>
      <c r="H345" s="11">
        <v>45777</v>
      </c>
      <c r="I345" s="3" t="s">
        <v>142</v>
      </c>
      <c r="J345" s="3">
        <v>10</v>
      </c>
      <c r="K345" s="3">
        <v>0</v>
      </c>
      <c r="L345" s="3">
        <v>0</v>
      </c>
      <c r="M345" s="3">
        <v>0</v>
      </c>
      <c r="N345" s="3">
        <v>0</v>
      </c>
      <c r="O345" s="3">
        <f t="shared" si="30"/>
        <v>10</v>
      </c>
      <c r="P345" s="3">
        <v>7</v>
      </c>
      <c r="Q345" s="3">
        <v>7</v>
      </c>
      <c r="R345" s="3">
        <v>7</v>
      </c>
      <c r="S345" s="3">
        <v>7</v>
      </c>
      <c r="T345" s="3">
        <v>2</v>
      </c>
      <c r="U345" s="3">
        <f t="shared" ref="U345:U357" si="56">SUM(P345:T345)</f>
        <v>30</v>
      </c>
      <c r="V345" s="13">
        <f t="shared" si="32"/>
        <v>0.33333333333333331</v>
      </c>
      <c r="W345" s="13">
        <f t="shared" si="48"/>
        <v>0.33333333333333331</v>
      </c>
      <c r="X345" s="3">
        <f t="shared" si="40"/>
        <v>30</v>
      </c>
      <c r="Y345" s="3" t="e">
        <f t="shared" si="49"/>
        <v>#DIV/0!</v>
      </c>
      <c r="Z345" s="3"/>
      <c r="AA345" s="3"/>
      <c r="AB345" s="3"/>
      <c r="AC345" s="3" t="s">
        <v>82</v>
      </c>
      <c r="AD345" s="3" t="s">
        <v>83</v>
      </c>
      <c r="AE345" s="3"/>
      <c r="AF345" s="3" t="s">
        <v>102</v>
      </c>
      <c r="AG345" s="3" t="s">
        <v>232</v>
      </c>
      <c r="AH345" s="3"/>
    </row>
    <row r="346" spans="1:34" ht="14.25" customHeight="1" x14ac:dyDescent="0.25">
      <c r="A346" s="3" t="s">
        <v>108</v>
      </c>
      <c r="B346" s="3" t="s">
        <v>79</v>
      </c>
      <c r="C346" s="3"/>
      <c r="D346" s="3" t="s">
        <v>101</v>
      </c>
      <c r="E346" s="3">
        <v>1</v>
      </c>
      <c r="F346" s="3">
        <v>1</v>
      </c>
      <c r="G346" s="3" t="s">
        <v>2</v>
      </c>
      <c r="H346" s="11">
        <v>45777</v>
      </c>
      <c r="I346" s="3" t="s">
        <v>142</v>
      </c>
      <c r="J346" s="3">
        <f>2+5+2</f>
        <v>9</v>
      </c>
      <c r="K346" s="3">
        <f>2+4+2+4</f>
        <v>12</v>
      </c>
      <c r="L346" s="3">
        <f>3+1+1</f>
        <v>5</v>
      </c>
      <c r="M346" s="3">
        <v>3</v>
      </c>
      <c r="N346" s="3">
        <v>0</v>
      </c>
      <c r="O346" s="3">
        <f t="shared" si="30"/>
        <v>29</v>
      </c>
      <c r="P346" s="3">
        <v>7</v>
      </c>
      <c r="Q346" s="3">
        <v>7</v>
      </c>
      <c r="R346" s="3">
        <v>7</v>
      </c>
      <c r="S346" s="3">
        <v>7</v>
      </c>
      <c r="T346" s="3">
        <v>2</v>
      </c>
      <c r="U346" s="3">
        <f t="shared" si="56"/>
        <v>30</v>
      </c>
      <c r="V346" s="13">
        <f t="shared" si="32"/>
        <v>0.96666666666666667</v>
      </c>
      <c r="W346" s="13">
        <f t="shared" si="48"/>
        <v>0.96666666666666667</v>
      </c>
      <c r="X346" s="3">
        <f t="shared" si="40"/>
        <v>30</v>
      </c>
      <c r="Y346" s="3" t="e">
        <f t="shared" si="49"/>
        <v>#DIV/0!</v>
      </c>
      <c r="Z346" s="3"/>
      <c r="AA346" s="3"/>
      <c r="AB346" s="3"/>
      <c r="AC346" s="3" t="s">
        <v>82</v>
      </c>
      <c r="AD346" s="3" t="s">
        <v>83</v>
      </c>
      <c r="AE346" s="3"/>
      <c r="AF346" s="3" t="s">
        <v>102</v>
      </c>
      <c r="AG346" s="3" t="s">
        <v>232</v>
      </c>
      <c r="AH346" s="3"/>
    </row>
    <row r="347" spans="1:34" ht="14.25" customHeight="1" x14ac:dyDescent="0.25">
      <c r="A347" s="3" t="s">
        <v>108</v>
      </c>
      <c r="B347" s="3" t="s">
        <v>79</v>
      </c>
      <c r="C347" s="3"/>
      <c r="D347" s="3" t="s">
        <v>101</v>
      </c>
      <c r="E347" s="3">
        <v>1</v>
      </c>
      <c r="F347" s="3">
        <v>1</v>
      </c>
      <c r="G347" s="3" t="s">
        <v>10</v>
      </c>
      <c r="H347" s="11">
        <v>45777</v>
      </c>
      <c r="I347" s="3" t="s">
        <v>142</v>
      </c>
      <c r="J347" s="3">
        <v>1</v>
      </c>
      <c r="K347" s="3">
        <v>1</v>
      </c>
      <c r="L347" s="3">
        <v>0</v>
      </c>
      <c r="M347" s="3">
        <v>0</v>
      </c>
      <c r="N347" s="3">
        <v>0</v>
      </c>
      <c r="O347" s="3">
        <f t="shared" si="30"/>
        <v>2</v>
      </c>
      <c r="P347" s="3">
        <v>7</v>
      </c>
      <c r="Q347" s="3">
        <v>7</v>
      </c>
      <c r="R347" s="3">
        <v>7</v>
      </c>
      <c r="S347" s="3">
        <v>7</v>
      </c>
      <c r="T347" s="3">
        <v>2</v>
      </c>
      <c r="U347" s="3">
        <f t="shared" si="56"/>
        <v>30</v>
      </c>
      <c r="V347" s="13">
        <f t="shared" si="32"/>
        <v>6.6666666666666666E-2</v>
      </c>
      <c r="W347" s="13">
        <f t="shared" si="48"/>
        <v>6.6666666666666666E-2</v>
      </c>
      <c r="X347" s="3">
        <f t="shared" si="40"/>
        <v>30</v>
      </c>
      <c r="Y347" s="3" t="e">
        <f t="shared" si="49"/>
        <v>#DIV/0!</v>
      </c>
      <c r="Z347" s="3"/>
      <c r="AA347" s="3"/>
      <c r="AB347" s="3"/>
      <c r="AC347" s="3" t="s">
        <v>82</v>
      </c>
      <c r="AD347" s="3" t="s">
        <v>83</v>
      </c>
      <c r="AE347" s="3"/>
      <c r="AF347" s="3" t="s">
        <v>102</v>
      </c>
      <c r="AG347" s="3" t="s">
        <v>232</v>
      </c>
      <c r="AH347" s="3"/>
    </row>
    <row r="348" spans="1:34" ht="14.25" customHeight="1" x14ac:dyDescent="0.25">
      <c r="A348" s="3" t="s">
        <v>108</v>
      </c>
      <c r="B348" s="3" t="s">
        <v>79</v>
      </c>
      <c r="C348" s="3"/>
      <c r="D348" s="3" t="s">
        <v>101</v>
      </c>
      <c r="E348" s="3">
        <v>1</v>
      </c>
      <c r="F348" s="3">
        <v>1</v>
      </c>
      <c r="G348" s="3" t="s">
        <v>9</v>
      </c>
      <c r="H348" s="11">
        <v>45777</v>
      </c>
      <c r="I348" s="3" t="s">
        <v>142</v>
      </c>
      <c r="J348" s="3">
        <v>0</v>
      </c>
      <c r="K348" s="3">
        <v>2</v>
      </c>
      <c r="L348" s="3">
        <v>0</v>
      </c>
      <c r="M348" s="3">
        <v>0</v>
      </c>
      <c r="N348" s="3">
        <v>0</v>
      </c>
      <c r="O348" s="3">
        <f t="shared" si="30"/>
        <v>2</v>
      </c>
      <c r="P348" s="3">
        <v>7</v>
      </c>
      <c r="Q348" s="3">
        <v>7</v>
      </c>
      <c r="R348" s="3">
        <v>7</v>
      </c>
      <c r="S348" s="3">
        <v>7</v>
      </c>
      <c r="T348" s="3">
        <v>2</v>
      </c>
      <c r="U348" s="3">
        <f t="shared" si="56"/>
        <v>30</v>
      </c>
      <c r="V348" s="13">
        <f t="shared" si="32"/>
        <v>6.6666666666666666E-2</v>
      </c>
      <c r="W348" s="13">
        <f t="shared" si="48"/>
        <v>6.6666666666666666E-2</v>
      </c>
      <c r="X348" s="3">
        <f t="shared" si="40"/>
        <v>30</v>
      </c>
      <c r="Y348" s="3" t="e">
        <f t="shared" si="49"/>
        <v>#DIV/0!</v>
      </c>
      <c r="Z348" s="3"/>
      <c r="AA348" s="3"/>
      <c r="AB348" s="3"/>
      <c r="AC348" s="3" t="s">
        <v>82</v>
      </c>
      <c r="AD348" s="3" t="s">
        <v>83</v>
      </c>
      <c r="AE348" s="3"/>
      <c r="AF348" s="3" t="s">
        <v>102</v>
      </c>
      <c r="AG348" s="3" t="s">
        <v>232</v>
      </c>
      <c r="AH348" s="3"/>
    </row>
    <row r="349" spans="1:34" ht="14.25" customHeight="1" x14ac:dyDescent="0.25">
      <c r="A349" s="3" t="s">
        <v>108</v>
      </c>
      <c r="B349" s="3" t="s">
        <v>79</v>
      </c>
      <c r="C349" s="3"/>
      <c r="D349" s="3" t="s">
        <v>101</v>
      </c>
      <c r="E349" s="3">
        <v>1</v>
      </c>
      <c r="F349" s="3">
        <v>1</v>
      </c>
      <c r="G349" s="3" t="s">
        <v>12</v>
      </c>
      <c r="H349" s="11">
        <v>45777</v>
      </c>
      <c r="I349" s="3" t="s">
        <v>142</v>
      </c>
      <c r="J349" s="3">
        <f>2+3+4+10</f>
        <v>19</v>
      </c>
      <c r="K349" s="3">
        <f>27+50+14+19+2</f>
        <v>112</v>
      </c>
      <c r="L349" s="3">
        <v>4</v>
      </c>
      <c r="M349" s="3">
        <v>0</v>
      </c>
      <c r="N349" s="3">
        <v>0</v>
      </c>
      <c r="O349" s="3">
        <f t="shared" si="30"/>
        <v>135</v>
      </c>
      <c r="P349" s="3">
        <v>7</v>
      </c>
      <c r="Q349" s="3">
        <v>7</v>
      </c>
      <c r="R349" s="3">
        <v>7</v>
      </c>
      <c r="S349" s="3">
        <v>7</v>
      </c>
      <c r="T349" s="3">
        <v>2</v>
      </c>
      <c r="U349" s="3">
        <f t="shared" si="56"/>
        <v>30</v>
      </c>
      <c r="V349" s="13">
        <f t="shared" si="32"/>
        <v>4.5</v>
      </c>
      <c r="W349" s="13">
        <f t="shared" si="48"/>
        <v>4.5</v>
      </c>
      <c r="X349" s="3">
        <f t="shared" si="40"/>
        <v>30</v>
      </c>
      <c r="Y349" s="3" t="e">
        <f t="shared" si="49"/>
        <v>#DIV/0!</v>
      </c>
      <c r="Z349" s="3"/>
      <c r="AA349" s="3"/>
      <c r="AB349" s="3"/>
      <c r="AC349" s="3" t="s">
        <v>82</v>
      </c>
      <c r="AD349" s="3" t="s">
        <v>83</v>
      </c>
      <c r="AE349" s="3"/>
      <c r="AF349" s="3" t="s">
        <v>102</v>
      </c>
      <c r="AG349" s="3" t="s">
        <v>232</v>
      </c>
      <c r="AH349" s="3"/>
    </row>
    <row r="350" spans="1:34" ht="14.25" customHeight="1" x14ac:dyDescent="0.25">
      <c r="A350" s="3" t="s">
        <v>108</v>
      </c>
      <c r="B350" s="3" t="s">
        <v>79</v>
      </c>
      <c r="C350" s="3"/>
      <c r="D350" s="3" t="s">
        <v>101</v>
      </c>
      <c r="E350" s="3">
        <v>1</v>
      </c>
      <c r="F350" s="3">
        <v>1</v>
      </c>
      <c r="G350" s="3" t="s">
        <v>14</v>
      </c>
      <c r="H350" s="11">
        <v>45777</v>
      </c>
      <c r="I350" s="3" t="s">
        <v>142</v>
      </c>
      <c r="J350" s="3">
        <f>10+22+12+10+13+3</f>
        <v>70</v>
      </c>
      <c r="K350" s="3">
        <f>7+3+9+33+20+11+14</f>
        <v>97</v>
      </c>
      <c r="L350" s="3">
        <f>27+30+12+47+5+3+31</f>
        <v>155</v>
      </c>
      <c r="M350" s="3">
        <f>33+8+12+30+55+10+62</f>
        <v>210</v>
      </c>
      <c r="N350" s="3">
        <f>20+11</f>
        <v>31</v>
      </c>
      <c r="O350" s="3">
        <f t="shared" si="30"/>
        <v>563</v>
      </c>
      <c r="P350" s="3">
        <v>7</v>
      </c>
      <c r="Q350" s="3">
        <v>7</v>
      </c>
      <c r="R350" s="3">
        <v>7</v>
      </c>
      <c r="S350" s="3">
        <v>7</v>
      </c>
      <c r="T350" s="3">
        <v>2</v>
      </c>
      <c r="U350" s="3">
        <f t="shared" si="56"/>
        <v>30</v>
      </c>
      <c r="V350" s="13">
        <f t="shared" si="32"/>
        <v>18.766666666666666</v>
      </c>
      <c r="W350" s="13">
        <f t="shared" si="48"/>
        <v>18.766666666666666</v>
      </c>
      <c r="X350" s="3">
        <f t="shared" si="40"/>
        <v>30</v>
      </c>
      <c r="Y350" s="3" t="e">
        <f t="shared" si="49"/>
        <v>#DIV/0!</v>
      </c>
      <c r="Z350" s="3"/>
      <c r="AA350" s="3"/>
      <c r="AB350" s="3"/>
      <c r="AC350" s="3" t="s">
        <v>82</v>
      </c>
      <c r="AD350" s="3" t="s">
        <v>83</v>
      </c>
      <c r="AE350" s="3"/>
      <c r="AF350" s="3" t="s">
        <v>102</v>
      </c>
      <c r="AG350" s="3" t="s">
        <v>232</v>
      </c>
      <c r="AH350" s="3"/>
    </row>
    <row r="351" spans="1:34" ht="14.25" customHeight="1" x14ac:dyDescent="0.25">
      <c r="A351" s="3" t="s">
        <v>108</v>
      </c>
      <c r="B351" s="3" t="s">
        <v>79</v>
      </c>
      <c r="C351" s="3"/>
      <c r="D351" s="3" t="s">
        <v>101</v>
      </c>
      <c r="E351" s="3">
        <v>1</v>
      </c>
      <c r="F351" s="3">
        <v>1</v>
      </c>
      <c r="G351" s="3" t="s">
        <v>16</v>
      </c>
      <c r="H351" s="11">
        <v>45777</v>
      </c>
      <c r="I351" s="3" t="s">
        <v>142</v>
      </c>
      <c r="J351" s="3">
        <f>4+1+3+8+2+3+1</f>
        <v>22</v>
      </c>
      <c r="K351" s="3">
        <f>2+4+7+1+3+4+4</f>
        <v>25</v>
      </c>
      <c r="L351" s="3">
        <f>4+3+2+3+1+2+4</f>
        <v>19</v>
      </c>
      <c r="M351" s="3">
        <f>9+4+5+6+2+3</f>
        <v>29</v>
      </c>
      <c r="N351" s="3">
        <f>5+6</f>
        <v>11</v>
      </c>
      <c r="O351" s="3">
        <f t="shared" si="30"/>
        <v>106</v>
      </c>
      <c r="P351" s="3">
        <v>7</v>
      </c>
      <c r="Q351" s="3">
        <v>7</v>
      </c>
      <c r="R351" s="3">
        <v>7</v>
      </c>
      <c r="S351" s="3">
        <v>7</v>
      </c>
      <c r="T351" s="3">
        <v>2</v>
      </c>
      <c r="U351" s="3">
        <f t="shared" si="56"/>
        <v>30</v>
      </c>
      <c r="V351" s="13">
        <f t="shared" si="32"/>
        <v>3.5333333333333332</v>
      </c>
      <c r="W351" s="13">
        <f t="shared" si="48"/>
        <v>3.5333333333333332</v>
      </c>
      <c r="X351" s="3">
        <f t="shared" si="40"/>
        <v>30</v>
      </c>
      <c r="Y351" s="3" t="e">
        <f t="shared" si="49"/>
        <v>#DIV/0!</v>
      </c>
      <c r="Z351" s="3"/>
      <c r="AA351" s="3"/>
      <c r="AB351" s="3"/>
      <c r="AC351" s="3" t="s">
        <v>82</v>
      </c>
      <c r="AD351" s="3" t="s">
        <v>83</v>
      </c>
      <c r="AE351" s="3"/>
      <c r="AF351" s="3" t="s">
        <v>102</v>
      </c>
      <c r="AG351" s="3" t="s">
        <v>232</v>
      </c>
      <c r="AH351" s="3"/>
    </row>
    <row r="352" spans="1:34" ht="14.25" customHeight="1" x14ac:dyDescent="0.25">
      <c r="A352" s="3" t="s">
        <v>108</v>
      </c>
      <c r="B352" s="3" t="s">
        <v>79</v>
      </c>
      <c r="C352" s="3"/>
      <c r="D352" s="3" t="s">
        <v>101</v>
      </c>
      <c r="E352" s="3">
        <v>1</v>
      </c>
      <c r="F352" s="3">
        <v>1</v>
      </c>
      <c r="G352" s="3" t="s">
        <v>18</v>
      </c>
      <c r="H352" s="11">
        <v>45777</v>
      </c>
      <c r="I352" s="3" t="s">
        <v>142</v>
      </c>
      <c r="J352" s="3">
        <f>20+8+7+14+1+9+12</f>
        <v>71</v>
      </c>
      <c r="K352" s="3">
        <f>13+5+2+14+2+3+11</f>
        <v>50</v>
      </c>
      <c r="L352" s="3">
        <f>7+7+8+4+3+4+18</f>
        <v>51</v>
      </c>
      <c r="M352" s="3">
        <f>8+4+8+3+2+8+4</f>
        <v>37</v>
      </c>
      <c r="N352" s="3">
        <f>7+7</f>
        <v>14</v>
      </c>
      <c r="O352" s="3">
        <f t="shared" si="30"/>
        <v>223</v>
      </c>
      <c r="P352" s="3">
        <v>7</v>
      </c>
      <c r="Q352" s="3">
        <v>7</v>
      </c>
      <c r="R352" s="3">
        <v>7</v>
      </c>
      <c r="S352" s="3">
        <v>7</v>
      </c>
      <c r="T352" s="3">
        <v>2</v>
      </c>
      <c r="U352" s="3">
        <f t="shared" si="56"/>
        <v>30</v>
      </c>
      <c r="V352" s="13">
        <f t="shared" si="32"/>
        <v>7.4333333333333336</v>
      </c>
      <c r="W352" s="13">
        <f t="shared" si="48"/>
        <v>7.4333333333333336</v>
      </c>
      <c r="X352" s="3">
        <f t="shared" si="40"/>
        <v>30</v>
      </c>
      <c r="Y352" s="3" t="e">
        <f t="shared" si="49"/>
        <v>#DIV/0!</v>
      </c>
      <c r="Z352" s="3"/>
      <c r="AA352" s="3"/>
      <c r="AB352" s="3"/>
      <c r="AC352" s="3" t="s">
        <v>82</v>
      </c>
      <c r="AD352" s="3" t="s">
        <v>83</v>
      </c>
      <c r="AE352" s="3"/>
      <c r="AF352" s="3" t="s">
        <v>102</v>
      </c>
      <c r="AG352" s="3" t="s">
        <v>232</v>
      </c>
      <c r="AH352" s="3"/>
    </row>
    <row r="353" spans="1:34" ht="14.25" customHeight="1" x14ac:dyDescent="0.25">
      <c r="A353" s="3" t="s">
        <v>108</v>
      </c>
      <c r="B353" s="3" t="s">
        <v>79</v>
      </c>
      <c r="C353" s="3"/>
      <c r="D353" s="3" t="s">
        <v>101</v>
      </c>
      <c r="E353" s="3">
        <v>1</v>
      </c>
      <c r="F353" s="3">
        <v>1</v>
      </c>
      <c r="G353" s="3" t="s">
        <v>23</v>
      </c>
      <c r="H353" s="11">
        <v>45777</v>
      </c>
      <c r="I353" s="3" t="s">
        <v>142</v>
      </c>
      <c r="J353" s="3">
        <v>0</v>
      </c>
      <c r="K353" s="3">
        <f>3+1</f>
        <v>4</v>
      </c>
      <c r="L353" s="3">
        <v>4</v>
      </c>
      <c r="M353" s="3">
        <v>0</v>
      </c>
      <c r="N353" s="3">
        <v>0</v>
      </c>
      <c r="O353" s="3">
        <f t="shared" si="30"/>
        <v>8</v>
      </c>
      <c r="P353" s="3">
        <v>7</v>
      </c>
      <c r="Q353" s="3">
        <v>7</v>
      </c>
      <c r="R353" s="3">
        <v>7</v>
      </c>
      <c r="S353" s="3">
        <v>7</v>
      </c>
      <c r="T353" s="3">
        <v>2</v>
      </c>
      <c r="U353" s="3">
        <f t="shared" si="56"/>
        <v>30</v>
      </c>
      <c r="V353" s="13">
        <f t="shared" si="32"/>
        <v>0.26666666666666666</v>
      </c>
      <c r="W353" s="13">
        <f t="shared" si="48"/>
        <v>0.26666666666666666</v>
      </c>
      <c r="X353" s="3">
        <f t="shared" si="40"/>
        <v>30</v>
      </c>
      <c r="Y353" s="3" t="e">
        <f t="shared" si="49"/>
        <v>#DIV/0!</v>
      </c>
      <c r="Z353" s="3"/>
      <c r="AA353" s="3"/>
      <c r="AB353" s="3"/>
      <c r="AC353" s="3" t="s">
        <v>82</v>
      </c>
      <c r="AD353" s="3" t="s">
        <v>83</v>
      </c>
      <c r="AE353" s="3"/>
      <c r="AF353" s="3" t="s">
        <v>102</v>
      </c>
      <c r="AG353" s="3" t="s">
        <v>232</v>
      </c>
      <c r="AH353" s="3"/>
    </row>
    <row r="354" spans="1:34" ht="14.25" customHeight="1" x14ac:dyDescent="0.25">
      <c r="A354" s="3" t="s">
        <v>108</v>
      </c>
      <c r="B354" s="3" t="s">
        <v>79</v>
      </c>
      <c r="C354" s="3"/>
      <c r="D354" s="3" t="s">
        <v>101</v>
      </c>
      <c r="E354" s="3">
        <v>1</v>
      </c>
      <c r="F354" s="3">
        <v>1</v>
      </c>
      <c r="G354" s="3" t="s">
        <v>25</v>
      </c>
      <c r="H354" s="11">
        <v>45777</v>
      </c>
      <c r="I354" s="3" t="s">
        <v>142</v>
      </c>
      <c r="J354" s="3">
        <f>0</f>
        <v>0</v>
      </c>
      <c r="K354" s="3">
        <f>3+2+3</f>
        <v>8</v>
      </c>
      <c r="L354" s="3">
        <f t="shared" ref="L354:L355" si="57">2+1</f>
        <v>3</v>
      </c>
      <c r="M354" s="3">
        <v>0</v>
      </c>
      <c r="N354" s="3">
        <v>0</v>
      </c>
      <c r="O354" s="3">
        <f t="shared" si="30"/>
        <v>11</v>
      </c>
      <c r="P354" s="3">
        <v>7</v>
      </c>
      <c r="Q354" s="3">
        <v>7</v>
      </c>
      <c r="R354" s="3">
        <v>7</v>
      </c>
      <c r="S354" s="3">
        <v>7</v>
      </c>
      <c r="T354" s="3">
        <v>2</v>
      </c>
      <c r="U354" s="3">
        <f t="shared" si="56"/>
        <v>30</v>
      </c>
      <c r="V354" s="13">
        <f t="shared" si="32"/>
        <v>0.36666666666666664</v>
      </c>
      <c r="W354" s="13">
        <f t="shared" si="48"/>
        <v>0.36666666666666664</v>
      </c>
      <c r="X354" s="3">
        <f t="shared" si="40"/>
        <v>30</v>
      </c>
      <c r="Y354" s="3" t="e">
        <f t="shared" si="49"/>
        <v>#DIV/0!</v>
      </c>
      <c r="Z354" s="3"/>
      <c r="AA354" s="3"/>
      <c r="AB354" s="3"/>
      <c r="AC354" s="3" t="s">
        <v>82</v>
      </c>
      <c r="AD354" s="3" t="s">
        <v>83</v>
      </c>
      <c r="AE354" s="3"/>
      <c r="AF354" s="3" t="s">
        <v>102</v>
      </c>
      <c r="AG354" s="3" t="s">
        <v>232</v>
      </c>
      <c r="AH354" s="3"/>
    </row>
    <row r="355" spans="1:34" ht="14.25" customHeight="1" x14ac:dyDescent="0.25">
      <c r="A355" s="3" t="s">
        <v>108</v>
      </c>
      <c r="B355" s="3" t="s">
        <v>79</v>
      </c>
      <c r="C355" s="3"/>
      <c r="D355" s="3" t="s">
        <v>101</v>
      </c>
      <c r="E355" s="3">
        <v>1</v>
      </c>
      <c r="F355" s="3">
        <v>1</v>
      </c>
      <c r="G355" s="3" t="s">
        <v>13</v>
      </c>
      <c r="H355" s="11">
        <v>45777</v>
      </c>
      <c r="I355" s="3" t="s">
        <v>142</v>
      </c>
      <c r="J355" s="3">
        <f>16+2</f>
        <v>18</v>
      </c>
      <c r="K355" s="3">
        <f>1+2</f>
        <v>3</v>
      </c>
      <c r="L355" s="3">
        <f t="shared" si="57"/>
        <v>3</v>
      </c>
      <c r="M355" s="3">
        <v>1</v>
      </c>
      <c r="N355" s="3">
        <v>0</v>
      </c>
      <c r="O355" s="3">
        <f t="shared" si="30"/>
        <v>25</v>
      </c>
      <c r="P355" s="3">
        <v>7</v>
      </c>
      <c r="Q355" s="3">
        <v>7</v>
      </c>
      <c r="R355" s="3">
        <v>7</v>
      </c>
      <c r="S355" s="3">
        <v>7</v>
      </c>
      <c r="T355" s="3">
        <v>2</v>
      </c>
      <c r="U355" s="3">
        <f t="shared" si="56"/>
        <v>30</v>
      </c>
      <c r="V355" s="13">
        <f t="shared" si="32"/>
        <v>0.83333333333333337</v>
      </c>
      <c r="W355" s="13">
        <f t="shared" si="48"/>
        <v>0.83333333333333337</v>
      </c>
      <c r="X355" s="3">
        <f t="shared" si="40"/>
        <v>30</v>
      </c>
      <c r="Y355" s="3" t="e">
        <f t="shared" si="49"/>
        <v>#DIV/0!</v>
      </c>
      <c r="Z355" s="3"/>
      <c r="AA355" s="3"/>
      <c r="AB355" s="3"/>
      <c r="AC355" s="3" t="s">
        <v>82</v>
      </c>
      <c r="AD355" s="3" t="s">
        <v>83</v>
      </c>
      <c r="AE355" s="3"/>
      <c r="AF355" s="3" t="s">
        <v>102</v>
      </c>
      <c r="AG355" s="3" t="s">
        <v>232</v>
      </c>
      <c r="AH355" s="3"/>
    </row>
    <row r="356" spans="1:34" ht="14.25" customHeight="1" x14ac:dyDescent="0.25">
      <c r="A356" s="3" t="s">
        <v>108</v>
      </c>
      <c r="B356" s="3" t="s">
        <v>79</v>
      </c>
      <c r="C356" s="3"/>
      <c r="D356" s="3" t="s">
        <v>101</v>
      </c>
      <c r="E356" s="3">
        <v>1</v>
      </c>
      <c r="F356" s="3">
        <v>1</v>
      </c>
      <c r="G356" s="3" t="s">
        <v>22</v>
      </c>
      <c r="H356" s="11">
        <v>45777</v>
      </c>
      <c r="I356" s="3" t="s">
        <v>142</v>
      </c>
      <c r="J356" s="3">
        <f>11+3+1+2+3</f>
        <v>20</v>
      </c>
      <c r="K356" s="3">
        <f>1+1+1+2</f>
        <v>5</v>
      </c>
      <c r="L356" s="3">
        <f>1+2</f>
        <v>3</v>
      </c>
      <c r="M356" s="3">
        <f>3+2</f>
        <v>5</v>
      </c>
      <c r="N356" s="3">
        <v>1</v>
      </c>
      <c r="O356" s="3">
        <f t="shared" si="30"/>
        <v>34</v>
      </c>
      <c r="P356" s="3">
        <v>7</v>
      </c>
      <c r="Q356" s="3">
        <v>7</v>
      </c>
      <c r="R356" s="3">
        <v>7</v>
      </c>
      <c r="S356" s="3">
        <v>7</v>
      </c>
      <c r="T356" s="3">
        <v>2</v>
      </c>
      <c r="U356" s="3">
        <f t="shared" si="56"/>
        <v>30</v>
      </c>
      <c r="V356" s="13">
        <f t="shared" si="32"/>
        <v>1.1333333333333333</v>
      </c>
      <c r="W356" s="13">
        <f t="shared" si="48"/>
        <v>1.1333333333333333</v>
      </c>
      <c r="X356" s="3">
        <f t="shared" si="40"/>
        <v>30</v>
      </c>
      <c r="Y356" s="3" t="e">
        <f t="shared" si="49"/>
        <v>#DIV/0!</v>
      </c>
      <c r="Z356" s="3"/>
      <c r="AA356" s="3"/>
      <c r="AB356" s="3"/>
      <c r="AC356" s="3" t="s">
        <v>82</v>
      </c>
      <c r="AD356" s="3" t="s">
        <v>83</v>
      </c>
      <c r="AE356" s="3"/>
      <c r="AF356" s="3" t="s">
        <v>102</v>
      </c>
      <c r="AG356" s="3" t="s">
        <v>232</v>
      </c>
      <c r="AH356" s="3"/>
    </row>
    <row r="357" spans="1:34" ht="14.25" customHeight="1" x14ac:dyDescent="0.25">
      <c r="A357" s="3" t="s">
        <v>108</v>
      </c>
      <c r="B357" s="3" t="s">
        <v>79</v>
      </c>
      <c r="C357" s="3"/>
      <c r="D357" s="3" t="s">
        <v>101</v>
      </c>
      <c r="E357" s="3">
        <v>1</v>
      </c>
      <c r="F357" s="3">
        <v>1</v>
      </c>
      <c r="G357" s="3" t="s">
        <v>15</v>
      </c>
      <c r="H357" s="11">
        <v>45777</v>
      </c>
      <c r="I357" s="3" t="s">
        <v>142</v>
      </c>
      <c r="J357" s="3">
        <v>0</v>
      </c>
      <c r="K357" s="3">
        <v>1</v>
      </c>
      <c r="L357" s="3">
        <v>1</v>
      </c>
      <c r="M357" s="3">
        <v>0</v>
      </c>
      <c r="N357" s="3">
        <v>0</v>
      </c>
      <c r="O357" s="3">
        <f t="shared" si="30"/>
        <v>2</v>
      </c>
      <c r="P357" s="3">
        <v>7</v>
      </c>
      <c r="Q357" s="3">
        <v>7</v>
      </c>
      <c r="R357" s="3">
        <v>7</v>
      </c>
      <c r="S357" s="3">
        <v>7</v>
      </c>
      <c r="T357" s="3">
        <v>2</v>
      </c>
      <c r="U357" s="3">
        <f t="shared" si="56"/>
        <v>30</v>
      </c>
      <c r="V357" s="13">
        <f t="shared" si="32"/>
        <v>6.6666666666666666E-2</v>
      </c>
      <c r="W357" s="13">
        <f t="shared" si="48"/>
        <v>6.6666666666666666E-2</v>
      </c>
      <c r="X357" s="3">
        <f t="shared" si="40"/>
        <v>30</v>
      </c>
      <c r="Y357" s="3" t="e">
        <f t="shared" si="49"/>
        <v>#DIV/0!</v>
      </c>
      <c r="Z357" s="3"/>
      <c r="AA357" s="3"/>
      <c r="AB357" s="3"/>
      <c r="AC357" s="3" t="s">
        <v>82</v>
      </c>
      <c r="AD357" s="3" t="s">
        <v>83</v>
      </c>
      <c r="AE357" s="3"/>
      <c r="AF357" s="3" t="s">
        <v>102</v>
      </c>
      <c r="AG357" s="3" t="s">
        <v>232</v>
      </c>
      <c r="AH357" s="3"/>
    </row>
    <row r="358" spans="1:34" ht="14.25" customHeight="1" x14ac:dyDescent="0.25">
      <c r="A358" s="3" t="s">
        <v>111</v>
      </c>
      <c r="B358" s="3" t="s">
        <v>79</v>
      </c>
      <c r="C358" s="3"/>
      <c r="D358" s="3" t="s">
        <v>101</v>
      </c>
      <c r="E358" s="3">
        <v>2</v>
      </c>
      <c r="F358" s="3">
        <v>1</v>
      </c>
      <c r="G358" s="3" t="s">
        <v>16</v>
      </c>
      <c r="H358" s="11">
        <v>45777</v>
      </c>
      <c r="I358" s="3" t="s">
        <v>142</v>
      </c>
      <c r="J358" s="3">
        <v>3</v>
      </c>
      <c r="K358" s="3">
        <f>4.8+10+2.9</f>
        <v>17.7</v>
      </c>
      <c r="L358" s="3">
        <v>6</v>
      </c>
      <c r="M358" s="3">
        <v>0</v>
      </c>
      <c r="N358" s="3">
        <v>0</v>
      </c>
      <c r="O358" s="3">
        <f t="shared" si="30"/>
        <v>26.7</v>
      </c>
      <c r="P358" s="3">
        <v>5</v>
      </c>
      <c r="Q358" s="3">
        <v>3</v>
      </c>
      <c r="R358" s="3">
        <v>1</v>
      </c>
      <c r="S358" s="3">
        <v>2</v>
      </c>
      <c r="T358" s="3">
        <v>2</v>
      </c>
      <c r="U358" s="3">
        <v>23</v>
      </c>
      <c r="V358" s="13">
        <f t="shared" si="32"/>
        <v>1.1608695652173913</v>
      </c>
      <c r="W358" s="13">
        <f t="shared" si="48"/>
        <v>1.1608695652173913</v>
      </c>
      <c r="X358" s="3">
        <f t="shared" si="40"/>
        <v>23</v>
      </c>
      <c r="Y358" s="3" t="e">
        <f t="shared" si="49"/>
        <v>#DIV/0!</v>
      </c>
      <c r="Z358" s="3"/>
      <c r="AA358" s="3"/>
      <c r="AB358" s="3"/>
      <c r="AC358" s="3" t="s">
        <v>82</v>
      </c>
      <c r="AD358" s="3" t="s">
        <v>83</v>
      </c>
      <c r="AE358" s="3">
        <v>50</v>
      </c>
      <c r="AF358" s="3" t="s">
        <v>102</v>
      </c>
      <c r="AG358" s="3" t="s">
        <v>208</v>
      </c>
      <c r="AH358" s="3"/>
    </row>
    <row r="359" spans="1:34" ht="14.25" customHeight="1" x14ac:dyDescent="0.25">
      <c r="A359" s="3" t="s">
        <v>111</v>
      </c>
      <c r="B359" s="3" t="s">
        <v>79</v>
      </c>
      <c r="C359" s="3"/>
      <c r="D359" s="3" t="s">
        <v>101</v>
      </c>
      <c r="E359" s="3">
        <v>2</v>
      </c>
      <c r="F359" s="3">
        <v>1</v>
      </c>
      <c r="G359" s="3" t="s">
        <v>18</v>
      </c>
      <c r="H359" s="11">
        <v>45777</v>
      </c>
      <c r="I359" s="3" t="s">
        <v>142</v>
      </c>
      <c r="J359" s="3">
        <f>3+6+7+4.3+3.8</f>
        <v>24.1</v>
      </c>
      <c r="K359" s="3">
        <f>5.3+5+1.9</f>
        <v>12.200000000000001</v>
      </c>
      <c r="L359" s="3">
        <v>10</v>
      </c>
      <c r="M359" s="3">
        <f>4.3+8.9</f>
        <v>13.2</v>
      </c>
      <c r="N359" s="3">
        <f>2.1+6.2</f>
        <v>8.3000000000000007</v>
      </c>
      <c r="O359" s="3">
        <f t="shared" si="30"/>
        <v>67.8</v>
      </c>
      <c r="P359" s="3">
        <v>5</v>
      </c>
      <c r="Q359" s="3">
        <v>3</v>
      </c>
      <c r="R359" s="3">
        <v>1</v>
      </c>
      <c r="S359" s="3">
        <v>2</v>
      </c>
      <c r="T359" s="3">
        <v>2</v>
      </c>
      <c r="U359" s="3">
        <v>23</v>
      </c>
      <c r="V359" s="13">
        <f t="shared" si="32"/>
        <v>2.9478260869565216</v>
      </c>
      <c r="W359" s="13">
        <f t="shared" si="48"/>
        <v>2.9478260869565216</v>
      </c>
      <c r="X359" s="3">
        <f t="shared" si="40"/>
        <v>23</v>
      </c>
      <c r="Y359" s="3" t="e">
        <f t="shared" si="49"/>
        <v>#DIV/0!</v>
      </c>
      <c r="Z359" s="3"/>
      <c r="AA359" s="3"/>
      <c r="AB359" s="3"/>
      <c r="AC359" s="3" t="s">
        <v>82</v>
      </c>
      <c r="AD359" s="3" t="s">
        <v>83</v>
      </c>
      <c r="AE359" s="3">
        <v>50</v>
      </c>
      <c r="AF359" s="3" t="s">
        <v>102</v>
      </c>
      <c r="AG359" s="3" t="s">
        <v>208</v>
      </c>
      <c r="AH359" s="3"/>
    </row>
    <row r="360" spans="1:34" ht="14.25" customHeight="1" x14ac:dyDescent="0.25">
      <c r="A360" s="3" t="s">
        <v>111</v>
      </c>
      <c r="B360" s="3" t="s">
        <v>79</v>
      </c>
      <c r="C360" s="3"/>
      <c r="D360" s="3" t="s">
        <v>101</v>
      </c>
      <c r="E360" s="3">
        <v>2</v>
      </c>
      <c r="F360" s="3">
        <v>1</v>
      </c>
      <c r="G360" s="3" t="s">
        <v>22</v>
      </c>
      <c r="H360" s="11">
        <v>45777</v>
      </c>
      <c r="I360" s="3" t="s">
        <v>142</v>
      </c>
      <c r="J360" s="3">
        <v>4</v>
      </c>
      <c r="K360" s="3">
        <v>0</v>
      </c>
      <c r="L360" s="3">
        <v>0</v>
      </c>
      <c r="M360" s="3">
        <v>0</v>
      </c>
      <c r="N360" s="3">
        <v>0</v>
      </c>
      <c r="O360" s="3">
        <f t="shared" si="30"/>
        <v>4</v>
      </c>
      <c r="P360" s="3">
        <v>5</v>
      </c>
      <c r="Q360" s="3">
        <v>3</v>
      </c>
      <c r="R360" s="3">
        <v>1</v>
      </c>
      <c r="S360" s="3">
        <v>2</v>
      </c>
      <c r="T360" s="3">
        <v>2</v>
      </c>
      <c r="U360" s="3">
        <v>23</v>
      </c>
      <c r="V360" s="13">
        <f t="shared" si="32"/>
        <v>0.17391304347826086</v>
      </c>
      <c r="W360" s="13">
        <f t="shared" si="48"/>
        <v>0.17391304347826086</v>
      </c>
      <c r="X360" s="3">
        <f t="shared" si="40"/>
        <v>23</v>
      </c>
      <c r="Y360" s="3" t="e">
        <f t="shared" si="49"/>
        <v>#DIV/0!</v>
      </c>
      <c r="Z360" s="3"/>
      <c r="AA360" s="3"/>
      <c r="AB360" s="3"/>
      <c r="AC360" s="3" t="s">
        <v>82</v>
      </c>
      <c r="AD360" s="3" t="s">
        <v>83</v>
      </c>
      <c r="AE360" s="3">
        <v>50</v>
      </c>
      <c r="AF360" s="3" t="s">
        <v>102</v>
      </c>
      <c r="AG360" s="3" t="s">
        <v>208</v>
      </c>
      <c r="AH360" s="3"/>
    </row>
    <row r="361" spans="1:34" ht="14.25" customHeight="1" x14ac:dyDescent="0.25">
      <c r="A361" s="3" t="s">
        <v>109</v>
      </c>
      <c r="B361" s="3" t="s">
        <v>79</v>
      </c>
      <c r="C361" s="3"/>
      <c r="D361" s="3" t="s">
        <v>101</v>
      </c>
      <c r="E361" s="3">
        <v>2</v>
      </c>
      <c r="F361" s="3">
        <v>1</v>
      </c>
      <c r="G361" s="3" t="s">
        <v>1</v>
      </c>
      <c r="H361" s="11">
        <v>45777</v>
      </c>
      <c r="I361" s="3" t="s">
        <v>142</v>
      </c>
      <c r="J361" s="3">
        <f>8+2.3+6</f>
        <v>16.3</v>
      </c>
      <c r="K361" s="3">
        <v>0</v>
      </c>
      <c r="L361" s="3">
        <v>15</v>
      </c>
      <c r="M361" s="3">
        <v>0</v>
      </c>
      <c r="N361" s="3">
        <v>0</v>
      </c>
      <c r="O361" s="3">
        <f t="shared" si="30"/>
        <v>31.3</v>
      </c>
      <c r="P361" s="3">
        <v>6</v>
      </c>
      <c r="Q361" s="3">
        <v>6</v>
      </c>
      <c r="R361" s="3">
        <v>4</v>
      </c>
      <c r="S361" s="3">
        <v>5</v>
      </c>
      <c r="T361" s="3">
        <v>0</v>
      </c>
      <c r="U361" s="3">
        <f t="shared" ref="U361:U364" si="58">SUM(P361:T361)</f>
        <v>21</v>
      </c>
      <c r="V361" s="13">
        <f t="shared" si="32"/>
        <v>1.4904761904761905</v>
      </c>
      <c r="W361" s="13">
        <f t="shared" si="48"/>
        <v>1.4904761904761905</v>
      </c>
      <c r="X361" s="3">
        <f t="shared" si="40"/>
        <v>21</v>
      </c>
      <c r="Y361" s="3" t="e">
        <f t="shared" si="49"/>
        <v>#DIV/0!</v>
      </c>
      <c r="Z361" s="3"/>
      <c r="AA361" s="3"/>
      <c r="AB361" s="3">
        <f t="shared" ref="AB361:AB364" si="59">30*4</f>
        <v>120</v>
      </c>
      <c r="AC361" s="3" t="s">
        <v>82</v>
      </c>
      <c r="AD361" s="3" t="s">
        <v>83</v>
      </c>
      <c r="AE361" s="3">
        <v>40</v>
      </c>
      <c r="AF361" s="3" t="s">
        <v>102</v>
      </c>
      <c r="AG361" s="3" t="s">
        <v>233</v>
      </c>
      <c r="AH361" s="3"/>
    </row>
    <row r="362" spans="1:34" ht="14.25" customHeight="1" x14ac:dyDescent="0.25">
      <c r="A362" s="3" t="s">
        <v>109</v>
      </c>
      <c r="B362" s="3" t="s">
        <v>79</v>
      </c>
      <c r="C362" s="3"/>
      <c r="D362" s="3" t="s">
        <v>101</v>
      </c>
      <c r="E362" s="3">
        <v>2</v>
      </c>
      <c r="F362" s="3">
        <v>1</v>
      </c>
      <c r="G362" s="3" t="s">
        <v>14</v>
      </c>
      <c r="H362" s="11">
        <v>45777</v>
      </c>
      <c r="I362" s="3" t="s">
        <v>142</v>
      </c>
      <c r="J362" s="3">
        <f>7+3</f>
        <v>10</v>
      </c>
      <c r="K362" s="3">
        <f>7.5+3.8+2.9+10</f>
        <v>24.200000000000003</v>
      </c>
      <c r="L362" s="3">
        <v>5</v>
      </c>
      <c r="M362" s="3">
        <f>6.3+2.3</f>
        <v>8.6</v>
      </c>
      <c r="N362" s="3">
        <v>0</v>
      </c>
      <c r="O362" s="3">
        <f t="shared" si="30"/>
        <v>47.800000000000004</v>
      </c>
      <c r="P362" s="3">
        <v>6</v>
      </c>
      <c r="Q362" s="3">
        <v>6</v>
      </c>
      <c r="R362" s="3">
        <v>4</v>
      </c>
      <c r="S362" s="3">
        <v>5</v>
      </c>
      <c r="T362" s="3">
        <v>0</v>
      </c>
      <c r="U362" s="3">
        <f t="shared" si="58"/>
        <v>21</v>
      </c>
      <c r="V362" s="13">
        <f t="shared" si="32"/>
        <v>2.2761904761904765</v>
      </c>
      <c r="W362" s="13">
        <f t="shared" si="48"/>
        <v>2.2761904761904765</v>
      </c>
      <c r="X362" s="3">
        <f t="shared" si="40"/>
        <v>21</v>
      </c>
      <c r="Y362" s="3" t="e">
        <f t="shared" si="49"/>
        <v>#DIV/0!</v>
      </c>
      <c r="Z362" s="3"/>
      <c r="AA362" s="3"/>
      <c r="AB362" s="3">
        <f t="shared" si="59"/>
        <v>120</v>
      </c>
      <c r="AC362" s="3" t="s">
        <v>82</v>
      </c>
      <c r="AD362" s="3" t="s">
        <v>83</v>
      </c>
      <c r="AE362" s="3">
        <v>40</v>
      </c>
      <c r="AF362" s="3" t="s">
        <v>102</v>
      </c>
      <c r="AG362" s="3" t="s">
        <v>233</v>
      </c>
      <c r="AH362" s="3"/>
    </row>
    <row r="363" spans="1:34" ht="14.25" customHeight="1" x14ac:dyDescent="0.25">
      <c r="A363" s="3" t="s">
        <v>109</v>
      </c>
      <c r="B363" s="3" t="s">
        <v>79</v>
      </c>
      <c r="C363" s="3"/>
      <c r="D363" s="3" t="s">
        <v>101</v>
      </c>
      <c r="E363" s="3">
        <v>2</v>
      </c>
      <c r="F363" s="3">
        <v>1</v>
      </c>
      <c r="G363" s="3" t="s">
        <v>16</v>
      </c>
      <c r="H363" s="11">
        <v>45777</v>
      </c>
      <c r="I363" s="3" t="s">
        <v>142</v>
      </c>
      <c r="J363" s="3">
        <v>5</v>
      </c>
      <c r="K363" s="3">
        <v>6</v>
      </c>
      <c r="L363" s="3">
        <v>0</v>
      </c>
      <c r="M363" s="3">
        <v>0</v>
      </c>
      <c r="N363" s="3">
        <v>0</v>
      </c>
      <c r="O363" s="3">
        <f t="shared" si="30"/>
        <v>11</v>
      </c>
      <c r="P363" s="3">
        <v>6</v>
      </c>
      <c r="Q363" s="3">
        <v>6</v>
      </c>
      <c r="R363" s="3">
        <v>4</v>
      </c>
      <c r="S363" s="3">
        <v>5</v>
      </c>
      <c r="T363" s="3">
        <v>0</v>
      </c>
      <c r="U363" s="3">
        <f t="shared" si="58"/>
        <v>21</v>
      </c>
      <c r="V363" s="13">
        <f t="shared" si="32"/>
        <v>0.52380952380952384</v>
      </c>
      <c r="W363" s="13">
        <f t="shared" si="48"/>
        <v>0.52380952380952384</v>
      </c>
      <c r="X363" s="3">
        <f t="shared" si="40"/>
        <v>21</v>
      </c>
      <c r="Y363" s="3" t="e">
        <f t="shared" si="49"/>
        <v>#DIV/0!</v>
      </c>
      <c r="Z363" s="3"/>
      <c r="AA363" s="3"/>
      <c r="AB363" s="3">
        <f t="shared" si="59"/>
        <v>120</v>
      </c>
      <c r="AC363" s="3" t="s">
        <v>82</v>
      </c>
      <c r="AD363" s="3" t="s">
        <v>83</v>
      </c>
      <c r="AE363" s="3">
        <v>40</v>
      </c>
      <c r="AF363" s="3" t="s">
        <v>102</v>
      </c>
      <c r="AG363" s="3" t="s">
        <v>233</v>
      </c>
      <c r="AH363" s="3"/>
    </row>
    <row r="364" spans="1:34" ht="14.25" customHeight="1" x14ac:dyDescent="0.25">
      <c r="A364" s="3" t="s">
        <v>109</v>
      </c>
      <c r="B364" s="3" t="s">
        <v>79</v>
      </c>
      <c r="C364" s="3"/>
      <c r="D364" s="3" t="s">
        <v>101</v>
      </c>
      <c r="E364" s="3">
        <v>2</v>
      </c>
      <c r="F364" s="3">
        <v>1</v>
      </c>
      <c r="G364" s="3" t="s">
        <v>18</v>
      </c>
      <c r="H364" s="11">
        <v>45777</v>
      </c>
      <c r="I364" s="3" t="s">
        <v>142</v>
      </c>
      <c r="J364" s="3">
        <v>6</v>
      </c>
      <c r="K364" s="3">
        <f>9+7</f>
        <v>16</v>
      </c>
      <c r="L364" s="3">
        <f>12+5</f>
        <v>17</v>
      </c>
      <c r="M364" s="3">
        <f>3+7+8</f>
        <v>18</v>
      </c>
      <c r="N364" s="3">
        <v>0</v>
      </c>
      <c r="O364" s="3">
        <f t="shared" si="30"/>
        <v>57</v>
      </c>
      <c r="P364" s="3">
        <v>6</v>
      </c>
      <c r="Q364" s="3">
        <v>6</v>
      </c>
      <c r="R364" s="3">
        <v>4</v>
      </c>
      <c r="S364" s="3">
        <v>5</v>
      </c>
      <c r="T364" s="3">
        <v>0</v>
      </c>
      <c r="U364" s="3">
        <f t="shared" si="58"/>
        <v>21</v>
      </c>
      <c r="V364" s="13">
        <f t="shared" si="32"/>
        <v>2.7142857142857144</v>
      </c>
      <c r="W364" s="13">
        <f t="shared" si="48"/>
        <v>2.7142857142857144</v>
      </c>
      <c r="X364" s="3">
        <f t="shared" si="40"/>
        <v>21</v>
      </c>
      <c r="Y364" s="3" t="e">
        <f t="shared" si="49"/>
        <v>#DIV/0!</v>
      </c>
      <c r="Z364" s="3"/>
      <c r="AA364" s="3"/>
      <c r="AB364" s="3">
        <f t="shared" si="59"/>
        <v>120</v>
      </c>
      <c r="AC364" s="3" t="s">
        <v>82</v>
      </c>
      <c r="AD364" s="3" t="s">
        <v>83</v>
      </c>
      <c r="AE364" s="3">
        <v>40</v>
      </c>
      <c r="AF364" s="3" t="s">
        <v>102</v>
      </c>
      <c r="AG364" s="3" t="s">
        <v>233</v>
      </c>
      <c r="AH364" s="3"/>
    </row>
    <row r="365" spans="1:34" ht="14.25" customHeight="1" x14ac:dyDescent="0.25">
      <c r="A365" s="3" t="s">
        <v>110</v>
      </c>
      <c r="B365" s="3" t="s">
        <v>79</v>
      </c>
      <c r="C365" s="3"/>
      <c r="D365" s="3" t="s">
        <v>101</v>
      </c>
      <c r="E365" s="3">
        <v>2</v>
      </c>
      <c r="F365" s="3">
        <v>1</v>
      </c>
      <c r="G365" s="3" t="s">
        <v>1</v>
      </c>
      <c r="H365" s="11">
        <v>45777</v>
      </c>
      <c r="I365" s="3" t="s">
        <v>142</v>
      </c>
      <c r="J365" s="3">
        <f>25</f>
        <v>25</v>
      </c>
      <c r="K365" s="3">
        <f>15+20</f>
        <v>35</v>
      </c>
      <c r="L365" s="3">
        <v>0</v>
      </c>
      <c r="M365" s="3">
        <f>30+16</f>
        <v>46</v>
      </c>
      <c r="N365" s="3">
        <v>0</v>
      </c>
      <c r="O365" s="3">
        <f t="shared" si="30"/>
        <v>106</v>
      </c>
      <c r="P365" s="3">
        <v>4</v>
      </c>
      <c r="Q365" s="3">
        <v>5</v>
      </c>
      <c r="R365" s="3">
        <v>1</v>
      </c>
      <c r="S365" s="3">
        <v>5</v>
      </c>
      <c r="T365" s="3">
        <v>1</v>
      </c>
      <c r="U365" s="3">
        <v>23</v>
      </c>
      <c r="V365" s="13">
        <f t="shared" si="32"/>
        <v>4.6086956521739131</v>
      </c>
      <c r="W365" s="13">
        <f t="shared" si="48"/>
        <v>4.6086956521739131</v>
      </c>
      <c r="X365" s="3">
        <f t="shared" si="40"/>
        <v>23</v>
      </c>
      <c r="Y365" s="3" t="e">
        <f t="shared" si="49"/>
        <v>#DIV/0!</v>
      </c>
      <c r="Z365" s="3"/>
      <c r="AA365" s="3"/>
      <c r="AB365" s="3">
        <f t="shared" ref="AB365:AB371" si="60">200+30</f>
        <v>230</v>
      </c>
      <c r="AC365" s="3" t="s">
        <v>82</v>
      </c>
      <c r="AD365" s="3" t="s">
        <v>83</v>
      </c>
      <c r="AE365" s="3">
        <v>60</v>
      </c>
      <c r="AF365" s="3" t="s">
        <v>102</v>
      </c>
      <c r="AG365" s="3" t="s">
        <v>234</v>
      </c>
      <c r="AH365" s="3"/>
    </row>
    <row r="366" spans="1:34" ht="14.25" customHeight="1" x14ac:dyDescent="0.25">
      <c r="A366" s="3" t="s">
        <v>110</v>
      </c>
      <c r="B366" s="3" t="s">
        <v>79</v>
      </c>
      <c r="C366" s="3"/>
      <c r="D366" s="3" t="s">
        <v>101</v>
      </c>
      <c r="E366" s="3">
        <v>2</v>
      </c>
      <c r="F366" s="3">
        <v>1</v>
      </c>
      <c r="G366" s="3" t="s">
        <v>5</v>
      </c>
      <c r="H366" s="11">
        <v>45777</v>
      </c>
      <c r="I366" s="3" t="s">
        <v>142</v>
      </c>
      <c r="J366" s="3">
        <f>18</f>
        <v>18</v>
      </c>
      <c r="K366" s="3">
        <v>0</v>
      </c>
      <c r="L366" s="3">
        <v>0</v>
      </c>
      <c r="M366" s="3">
        <v>0</v>
      </c>
      <c r="N366" s="3">
        <v>0</v>
      </c>
      <c r="O366" s="3">
        <f t="shared" si="30"/>
        <v>18</v>
      </c>
      <c r="P366" s="3">
        <v>4</v>
      </c>
      <c r="Q366" s="3">
        <v>5</v>
      </c>
      <c r="R366" s="3">
        <v>1</v>
      </c>
      <c r="S366" s="3">
        <v>5</v>
      </c>
      <c r="T366" s="3">
        <v>1</v>
      </c>
      <c r="U366" s="3">
        <v>23</v>
      </c>
      <c r="V366" s="13">
        <f t="shared" si="32"/>
        <v>0.78260869565217395</v>
      </c>
      <c r="W366" s="13">
        <f t="shared" si="48"/>
        <v>0.78260869565217395</v>
      </c>
      <c r="X366" s="3">
        <f t="shared" si="40"/>
        <v>23</v>
      </c>
      <c r="Y366" s="3" t="e">
        <f t="shared" si="49"/>
        <v>#DIV/0!</v>
      </c>
      <c r="Z366" s="3"/>
      <c r="AA366" s="3"/>
      <c r="AB366" s="3">
        <f t="shared" si="60"/>
        <v>230</v>
      </c>
      <c r="AC366" s="3" t="s">
        <v>82</v>
      </c>
      <c r="AD366" s="3" t="s">
        <v>83</v>
      </c>
      <c r="AE366" s="3">
        <v>60</v>
      </c>
      <c r="AF366" s="3" t="s">
        <v>102</v>
      </c>
      <c r="AG366" s="3" t="s">
        <v>234</v>
      </c>
      <c r="AH366" s="3"/>
    </row>
    <row r="367" spans="1:34" ht="14.25" customHeight="1" x14ac:dyDescent="0.25">
      <c r="A367" s="3" t="s">
        <v>110</v>
      </c>
      <c r="B367" s="3" t="s">
        <v>79</v>
      </c>
      <c r="C367" s="3"/>
      <c r="D367" s="3" t="s">
        <v>101</v>
      </c>
      <c r="E367" s="3">
        <v>2</v>
      </c>
      <c r="F367" s="3">
        <v>1</v>
      </c>
      <c r="G367" s="3" t="s">
        <v>2</v>
      </c>
      <c r="H367" s="11">
        <v>45777</v>
      </c>
      <c r="I367" s="3" t="s">
        <v>142</v>
      </c>
      <c r="J367" s="3">
        <v>8</v>
      </c>
      <c r="K367" s="3">
        <v>12</v>
      </c>
      <c r="L367" s="3">
        <v>0</v>
      </c>
      <c r="M367" s="3">
        <v>11</v>
      </c>
      <c r="N367" s="3">
        <v>0</v>
      </c>
      <c r="O367" s="3">
        <f t="shared" si="30"/>
        <v>31</v>
      </c>
      <c r="P367" s="3">
        <v>4</v>
      </c>
      <c r="Q367" s="3">
        <v>5</v>
      </c>
      <c r="R367" s="3">
        <v>1</v>
      </c>
      <c r="S367" s="3">
        <v>5</v>
      </c>
      <c r="T367" s="3">
        <v>1</v>
      </c>
      <c r="U367" s="3">
        <v>23</v>
      </c>
      <c r="V367" s="13">
        <f t="shared" si="32"/>
        <v>1.3478260869565217</v>
      </c>
      <c r="W367" s="13">
        <f t="shared" si="48"/>
        <v>1.3478260869565217</v>
      </c>
      <c r="X367" s="3">
        <f t="shared" si="40"/>
        <v>23</v>
      </c>
      <c r="Y367" s="3" t="e">
        <f t="shared" si="49"/>
        <v>#DIV/0!</v>
      </c>
      <c r="Z367" s="3"/>
      <c r="AA367" s="3"/>
      <c r="AB367" s="3">
        <f t="shared" si="60"/>
        <v>230</v>
      </c>
      <c r="AC367" s="3" t="s">
        <v>82</v>
      </c>
      <c r="AD367" s="3" t="s">
        <v>83</v>
      </c>
      <c r="AE367" s="3">
        <v>60</v>
      </c>
      <c r="AF367" s="3" t="s">
        <v>102</v>
      </c>
      <c r="AG367" s="3" t="s">
        <v>234</v>
      </c>
      <c r="AH367" s="3"/>
    </row>
    <row r="368" spans="1:34" ht="14.25" customHeight="1" x14ac:dyDescent="0.25">
      <c r="A368" s="3" t="s">
        <v>110</v>
      </c>
      <c r="B368" s="3" t="s">
        <v>79</v>
      </c>
      <c r="C368" s="3"/>
      <c r="D368" s="3" t="s">
        <v>101</v>
      </c>
      <c r="E368" s="3">
        <v>2</v>
      </c>
      <c r="F368" s="3">
        <v>1</v>
      </c>
      <c r="G368" s="3" t="s">
        <v>14</v>
      </c>
      <c r="H368" s="11">
        <v>45777</v>
      </c>
      <c r="I368" s="3" t="s">
        <v>142</v>
      </c>
      <c r="J368" s="3">
        <v>12</v>
      </c>
      <c r="K368" s="3">
        <v>0</v>
      </c>
      <c r="L368" s="3">
        <v>16</v>
      </c>
      <c r="M368" s="3">
        <v>15</v>
      </c>
      <c r="N368" s="3">
        <v>16</v>
      </c>
      <c r="O368" s="3">
        <f t="shared" si="30"/>
        <v>59</v>
      </c>
      <c r="P368" s="3">
        <v>4</v>
      </c>
      <c r="Q368" s="3">
        <v>5</v>
      </c>
      <c r="R368" s="3">
        <v>1</v>
      </c>
      <c r="S368" s="3">
        <v>5</v>
      </c>
      <c r="T368" s="3">
        <v>1</v>
      </c>
      <c r="U368" s="3">
        <v>23</v>
      </c>
      <c r="V368" s="13">
        <f t="shared" si="32"/>
        <v>2.5652173913043477</v>
      </c>
      <c r="W368" s="13">
        <f t="shared" si="48"/>
        <v>2.5652173913043477</v>
      </c>
      <c r="X368" s="3">
        <f t="shared" si="40"/>
        <v>23</v>
      </c>
      <c r="Y368" s="3" t="e">
        <f t="shared" si="49"/>
        <v>#DIV/0!</v>
      </c>
      <c r="Z368" s="3"/>
      <c r="AA368" s="3"/>
      <c r="AB368" s="3">
        <f t="shared" si="60"/>
        <v>230</v>
      </c>
      <c r="AC368" s="3" t="s">
        <v>82</v>
      </c>
      <c r="AD368" s="3" t="s">
        <v>83</v>
      </c>
      <c r="AE368" s="3">
        <v>60</v>
      </c>
      <c r="AF368" s="3" t="s">
        <v>102</v>
      </c>
      <c r="AG368" s="3" t="s">
        <v>234</v>
      </c>
      <c r="AH368" s="3"/>
    </row>
    <row r="369" spans="1:34" ht="14.25" customHeight="1" x14ac:dyDescent="0.25">
      <c r="A369" s="3" t="s">
        <v>110</v>
      </c>
      <c r="B369" s="3" t="s">
        <v>79</v>
      </c>
      <c r="C369" s="3"/>
      <c r="D369" s="3" t="s">
        <v>101</v>
      </c>
      <c r="E369" s="3">
        <v>2</v>
      </c>
      <c r="F369" s="3">
        <v>1</v>
      </c>
      <c r="G369" s="3" t="s">
        <v>16</v>
      </c>
      <c r="H369" s="11">
        <v>45777</v>
      </c>
      <c r="I369" s="3" t="s">
        <v>142</v>
      </c>
      <c r="J369" s="3">
        <f>15+10</f>
        <v>25</v>
      </c>
      <c r="K369" s="3">
        <v>16</v>
      </c>
      <c r="L369" s="3">
        <v>0</v>
      </c>
      <c r="M369" s="3">
        <v>14</v>
      </c>
      <c r="N369" s="3">
        <v>0</v>
      </c>
      <c r="O369" s="3">
        <f t="shared" si="30"/>
        <v>55</v>
      </c>
      <c r="P369" s="3">
        <v>4</v>
      </c>
      <c r="Q369" s="3">
        <v>5</v>
      </c>
      <c r="R369" s="3">
        <v>1</v>
      </c>
      <c r="S369" s="3">
        <v>5</v>
      </c>
      <c r="T369" s="3">
        <v>1</v>
      </c>
      <c r="U369" s="3">
        <v>23</v>
      </c>
      <c r="V369" s="13">
        <f t="shared" si="32"/>
        <v>2.3913043478260869</v>
      </c>
      <c r="W369" s="13">
        <f t="shared" si="48"/>
        <v>2.3913043478260869</v>
      </c>
      <c r="X369" s="3">
        <f t="shared" si="40"/>
        <v>23</v>
      </c>
      <c r="Y369" s="3" t="e">
        <f t="shared" si="49"/>
        <v>#DIV/0!</v>
      </c>
      <c r="Z369" s="3"/>
      <c r="AA369" s="3"/>
      <c r="AB369" s="3">
        <f t="shared" si="60"/>
        <v>230</v>
      </c>
      <c r="AC369" s="3" t="s">
        <v>82</v>
      </c>
      <c r="AD369" s="3" t="s">
        <v>83</v>
      </c>
      <c r="AE369" s="3">
        <v>60</v>
      </c>
      <c r="AF369" s="3" t="s">
        <v>102</v>
      </c>
      <c r="AG369" s="3" t="s">
        <v>234</v>
      </c>
      <c r="AH369" s="3"/>
    </row>
    <row r="370" spans="1:34" ht="14.25" customHeight="1" x14ac:dyDescent="0.25">
      <c r="A370" s="3" t="s">
        <v>110</v>
      </c>
      <c r="B370" s="3" t="s">
        <v>79</v>
      </c>
      <c r="C370" s="3"/>
      <c r="D370" s="3" t="s">
        <v>101</v>
      </c>
      <c r="E370" s="3">
        <v>2</v>
      </c>
      <c r="F370" s="3">
        <v>1</v>
      </c>
      <c r="G370" s="3" t="s">
        <v>18</v>
      </c>
      <c r="H370" s="11">
        <v>45777</v>
      </c>
      <c r="I370" s="3" t="s">
        <v>142</v>
      </c>
      <c r="J370" s="3">
        <v>20</v>
      </c>
      <c r="K370" s="3">
        <v>21</v>
      </c>
      <c r="L370" s="3">
        <v>0</v>
      </c>
      <c r="M370" s="3">
        <v>11</v>
      </c>
      <c r="N370" s="3">
        <v>0</v>
      </c>
      <c r="O370" s="3">
        <f t="shared" si="30"/>
        <v>52</v>
      </c>
      <c r="P370" s="3">
        <v>4</v>
      </c>
      <c r="Q370" s="3">
        <v>5</v>
      </c>
      <c r="R370" s="3">
        <v>1</v>
      </c>
      <c r="S370" s="3">
        <v>5</v>
      </c>
      <c r="T370" s="3">
        <v>1</v>
      </c>
      <c r="U370" s="3">
        <v>23</v>
      </c>
      <c r="V370" s="13">
        <f t="shared" si="32"/>
        <v>2.2608695652173911</v>
      </c>
      <c r="W370" s="13">
        <f t="shared" si="48"/>
        <v>2.2608695652173911</v>
      </c>
      <c r="X370" s="3">
        <f t="shared" si="40"/>
        <v>23</v>
      </c>
      <c r="Y370" s="3" t="e">
        <f t="shared" si="49"/>
        <v>#DIV/0!</v>
      </c>
      <c r="Z370" s="3"/>
      <c r="AA370" s="3"/>
      <c r="AB370" s="3">
        <f t="shared" si="60"/>
        <v>230</v>
      </c>
      <c r="AC370" s="3" t="s">
        <v>82</v>
      </c>
      <c r="AD370" s="3" t="s">
        <v>83</v>
      </c>
      <c r="AE370" s="3">
        <v>60</v>
      </c>
      <c r="AF370" s="3" t="s">
        <v>102</v>
      </c>
      <c r="AG370" s="3" t="s">
        <v>234</v>
      </c>
      <c r="AH370" s="3"/>
    </row>
    <row r="371" spans="1:34" ht="14.25" customHeight="1" x14ac:dyDescent="0.25">
      <c r="A371" s="3" t="s">
        <v>110</v>
      </c>
      <c r="B371" s="3" t="s">
        <v>79</v>
      </c>
      <c r="C371" s="3"/>
      <c r="D371" s="3" t="s">
        <v>101</v>
      </c>
      <c r="E371" s="3">
        <v>2</v>
      </c>
      <c r="F371" s="3">
        <v>1</v>
      </c>
      <c r="G371" s="3" t="s">
        <v>25</v>
      </c>
      <c r="H371" s="11">
        <v>45777</v>
      </c>
      <c r="I371" s="3" t="s">
        <v>142</v>
      </c>
      <c r="J371" s="3">
        <v>20</v>
      </c>
      <c r="K371" s="3">
        <v>19</v>
      </c>
      <c r="L371" s="3">
        <v>0</v>
      </c>
      <c r="M371" s="3">
        <v>0</v>
      </c>
      <c r="N371" s="3">
        <v>0</v>
      </c>
      <c r="O371" s="3">
        <f t="shared" si="30"/>
        <v>39</v>
      </c>
      <c r="P371" s="3">
        <v>4</v>
      </c>
      <c r="Q371" s="3">
        <v>5</v>
      </c>
      <c r="R371" s="3">
        <v>1</v>
      </c>
      <c r="S371" s="3">
        <v>5</v>
      </c>
      <c r="T371" s="3">
        <v>1</v>
      </c>
      <c r="U371" s="3">
        <v>23</v>
      </c>
      <c r="V371" s="13">
        <f t="shared" si="32"/>
        <v>1.6956521739130435</v>
      </c>
      <c r="W371" s="13">
        <f t="shared" si="48"/>
        <v>1.6956521739130435</v>
      </c>
      <c r="X371" s="3">
        <f t="shared" si="40"/>
        <v>23</v>
      </c>
      <c r="Y371" s="3" t="e">
        <f t="shared" si="49"/>
        <v>#DIV/0!</v>
      </c>
      <c r="Z371" s="3"/>
      <c r="AA371" s="3"/>
      <c r="AB371" s="3">
        <f t="shared" si="60"/>
        <v>230</v>
      </c>
      <c r="AC371" s="3" t="s">
        <v>82</v>
      </c>
      <c r="AD371" s="3" t="s">
        <v>83</v>
      </c>
      <c r="AE371" s="3">
        <v>60</v>
      </c>
      <c r="AF371" s="3" t="s">
        <v>102</v>
      </c>
      <c r="AG371" s="3" t="s">
        <v>234</v>
      </c>
      <c r="AH371" s="3"/>
    </row>
    <row r="372" spans="1:34" ht="14.25" customHeight="1" x14ac:dyDescent="0.25">
      <c r="A372" s="3" t="s">
        <v>112</v>
      </c>
      <c r="B372" s="3" t="s">
        <v>79</v>
      </c>
      <c r="C372" s="3"/>
      <c r="D372" s="3" t="s">
        <v>101</v>
      </c>
      <c r="E372" s="3">
        <v>2</v>
      </c>
      <c r="F372" s="3">
        <v>1</v>
      </c>
      <c r="G372" s="3" t="s">
        <v>1</v>
      </c>
      <c r="H372" s="11">
        <v>45777</v>
      </c>
      <c r="I372" s="3" t="s">
        <v>142</v>
      </c>
      <c r="J372" s="3">
        <v>2</v>
      </c>
      <c r="K372" s="3">
        <v>2</v>
      </c>
      <c r="L372" s="3">
        <v>0</v>
      </c>
      <c r="M372" s="3">
        <v>2</v>
      </c>
      <c r="N372" s="3">
        <v>1</v>
      </c>
      <c r="O372" s="3">
        <f t="shared" si="30"/>
        <v>7</v>
      </c>
      <c r="P372" s="3">
        <v>7</v>
      </c>
      <c r="Q372" s="3">
        <v>5</v>
      </c>
      <c r="R372" s="3">
        <v>6</v>
      </c>
      <c r="S372" s="3">
        <v>4</v>
      </c>
      <c r="T372" s="3">
        <v>2</v>
      </c>
      <c r="U372" s="3">
        <v>25</v>
      </c>
      <c r="V372" s="13">
        <f t="shared" si="32"/>
        <v>0.28000000000000003</v>
      </c>
      <c r="W372" s="13">
        <f t="shared" si="48"/>
        <v>0.28000000000000003</v>
      </c>
      <c r="X372" s="3">
        <f t="shared" si="40"/>
        <v>25</v>
      </c>
      <c r="Y372" s="3" t="e">
        <f t="shared" si="49"/>
        <v>#DIV/0!</v>
      </c>
      <c r="Z372" s="3"/>
      <c r="AA372" s="3"/>
      <c r="AB372" s="3"/>
      <c r="AC372" s="3" t="s">
        <v>82</v>
      </c>
      <c r="AD372" s="3" t="s">
        <v>83</v>
      </c>
      <c r="AE372" s="3"/>
      <c r="AF372" s="3" t="s">
        <v>102</v>
      </c>
      <c r="AG372" s="3" t="s">
        <v>195</v>
      </c>
      <c r="AH372" s="3"/>
    </row>
    <row r="373" spans="1:34" ht="14.25" customHeight="1" x14ac:dyDescent="0.25">
      <c r="A373" s="3" t="s">
        <v>112</v>
      </c>
      <c r="B373" s="3" t="s">
        <v>79</v>
      </c>
      <c r="C373" s="3"/>
      <c r="D373" s="3" t="s">
        <v>101</v>
      </c>
      <c r="E373" s="3">
        <v>2</v>
      </c>
      <c r="F373" s="3">
        <v>1</v>
      </c>
      <c r="G373" s="3" t="s">
        <v>3</v>
      </c>
      <c r="H373" s="11">
        <v>45777</v>
      </c>
      <c r="I373" s="3" t="s">
        <v>142</v>
      </c>
      <c r="J373" s="3">
        <v>3</v>
      </c>
      <c r="K373" s="3">
        <v>0</v>
      </c>
      <c r="L373" s="3">
        <v>0</v>
      </c>
      <c r="M373" s="3">
        <v>1</v>
      </c>
      <c r="N373" s="3">
        <v>0</v>
      </c>
      <c r="O373" s="3">
        <f t="shared" si="30"/>
        <v>4</v>
      </c>
      <c r="P373" s="3">
        <v>7</v>
      </c>
      <c r="Q373" s="3">
        <v>5</v>
      </c>
      <c r="R373" s="3">
        <v>6</v>
      </c>
      <c r="S373" s="3">
        <v>4</v>
      </c>
      <c r="T373" s="3">
        <v>2</v>
      </c>
      <c r="U373" s="3">
        <v>25</v>
      </c>
      <c r="V373" s="13">
        <f t="shared" si="32"/>
        <v>0.16</v>
      </c>
      <c r="W373" s="13">
        <f t="shared" si="48"/>
        <v>0.16</v>
      </c>
      <c r="X373" s="3">
        <f t="shared" si="40"/>
        <v>25</v>
      </c>
      <c r="Y373" s="3" t="e">
        <f t="shared" si="49"/>
        <v>#DIV/0!</v>
      </c>
      <c r="Z373" s="3"/>
      <c r="AA373" s="3"/>
      <c r="AB373" s="3"/>
      <c r="AC373" s="3" t="s">
        <v>82</v>
      </c>
      <c r="AD373" s="3" t="s">
        <v>83</v>
      </c>
      <c r="AE373" s="3"/>
      <c r="AF373" s="3" t="s">
        <v>102</v>
      </c>
      <c r="AG373" s="3" t="s">
        <v>195</v>
      </c>
      <c r="AH373" s="3"/>
    </row>
    <row r="374" spans="1:34" ht="14.25" customHeight="1" x14ac:dyDescent="0.25">
      <c r="A374" s="3" t="s">
        <v>112</v>
      </c>
      <c r="B374" s="3" t="s">
        <v>79</v>
      </c>
      <c r="C374" s="3"/>
      <c r="D374" s="3" t="s">
        <v>101</v>
      </c>
      <c r="E374" s="3">
        <v>2</v>
      </c>
      <c r="F374" s="3">
        <v>1</v>
      </c>
      <c r="G374" s="3" t="s">
        <v>5</v>
      </c>
      <c r="H374" s="11">
        <v>45777</v>
      </c>
      <c r="I374" s="3" t="s">
        <v>142</v>
      </c>
      <c r="J374" s="3">
        <v>1</v>
      </c>
      <c r="K374" s="3">
        <v>0</v>
      </c>
      <c r="L374" s="3">
        <v>0</v>
      </c>
      <c r="M374" s="3">
        <v>0</v>
      </c>
      <c r="N374" s="3">
        <v>0</v>
      </c>
      <c r="O374" s="3">
        <f t="shared" si="30"/>
        <v>1</v>
      </c>
      <c r="P374" s="3">
        <v>7</v>
      </c>
      <c r="Q374" s="3">
        <v>5</v>
      </c>
      <c r="R374" s="3">
        <v>6</v>
      </c>
      <c r="S374" s="3">
        <v>4</v>
      </c>
      <c r="T374" s="3">
        <v>2</v>
      </c>
      <c r="U374" s="3">
        <v>25</v>
      </c>
      <c r="V374" s="13">
        <f t="shared" si="32"/>
        <v>0.04</v>
      </c>
      <c r="W374" s="13">
        <f t="shared" si="48"/>
        <v>0.04</v>
      </c>
      <c r="X374" s="3">
        <f t="shared" si="40"/>
        <v>25</v>
      </c>
      <c r="Y374" s="3" t="e">
        <f t="shared" si="49"/>
        <v>#DIV/0!</v>
      </c>
      <c r="Z374" s="3"/>
      <c r="AA374" s="3"/>
      <c r="AB374" s="3"/>
      <c r="AC374" s="3" t="s">
        <v>82</v>
      </c>
      <c r="AD374" s="3" t="s">
        <v>83</v>
      </c>
      <c r="AE374" s="3"/>
      <c r="AF374" s="3" t="s">
        <v>102</v>
      </c>
      <c r="AG374" s="3" t="s">
        <v>195</v>
      </c>
      <c r="AH374" s="3"/>
    </row>
    <row r="375" spans="1:34" ht="14.25" customHeight="1" x14ac:dyDescent="0.25">
      <c r="A375" s="3" t="s">
        <v>112</v>
      </c>
      <c r="B375" s="3" t="s">
        <v>79</v>
      </c>
      <c r="C375" s="3"/>
      <c r="D375" s="3" t="s">
        <v>101</v>
      </c>
      <c r="E375" s="3">
        <v>2</v>
      </c>
      <c r="F375" s="3">
        <v>1</v>
      </c>
      <c r="G375" s="3" t="s">
        <v>2</v>
      </c>
      <c r="H375" s="11">
        <v>45777</v>
      </c>
      <c r="I375" s="3" t="s">
        <v>142</v>
      </c>
      <c r="J375" s="3">
        <v>0</v>
      </c>
      <c r="K375" s="3">
        <v>0</v>
      </c>
      <c r="L375" s="3">
        <v>2</v>
      </c>
      <c r="M375" s="3">
        <v>0</v>
      </c>
      <c r="N375" s="3">
        <v>0</v>
      </c>
      <c r="O375" s="3">
        <f t="shared" si="30"/>
        <v>2</v>
      </c>
      <c r="P375" s="3">
        <v>7</v>
      </c>
      <c r="Q375" s="3">
        <v>5</v>
      </c>
      <c r="R375" s="3">
        <v>6</v>
      </c>
      <c r="S375" s="3">
        <v>4</v>
      </c>
      <c r="T375" s="3">
        <v>2</v>
      </c>
      <c r="U375" s="3">
        <v>25</v>
      </c>
      <c r="V375" s="13">
        <f t="shared" si="32"/>
        <v>0.08</v>
      </c>
      <c r="W375" s="13">
        <f t="shared" si="48"/>
        <v>0.08</v>
      </c>
      <c r="X375" s="3">
        <f t="shared" si="40"/>
        <v>25</v>
      </c>
      <c r="Y375" s="3" t="e">
        <f t="shared" si="49"/>
        <v>#DIV/0!</v>
      </c>
      <c r="Z375" s="3"/>
      <c r="AA375" s="3"/>
      <c r="AB375" s="3"/>
      <c r="AC375" s="3" t="s">
        <v>82</v>
      </c>
      <c r="AD375" s="3" t="s">
        <v>83</v>
      </c>
      <c r="AE375" s="3"/>
      <c r="AF375" s="3" t="s">
        <v>102</v>
      </c>
      <c r="AG375" s="3" t="s">
        <v>195</v>
      </c>
      <c r="AH375" s="3"/>
    </row>
    <row r="376" spans="1:34" ht="14.25" customHeight="1" x14ac:dyDescent="0.25">
      <c r="A376" s="3" t="s">
        <v>112</v>
      </c>
      <c r="B376" s="3" t="s">
        <v>79</v>
      </c>
      <c r="C376" s="3"/>
      <c r="D376" s="3" t="s">
        <v>101</v>
      </c>
      <c r="E376" s="3">
        <v>2</v>
      </c>
      <c r="F376" s="3">
        <v>1</v>
      </c>
      <c r="G376" s="3" t="s">
        <v>10</v>
      </c>
      <c r="H376" s="11">
        <v>45777</v>
      </c>
      <c r="I376" s="3" t="s">
        <v>142</v>
      </c>
      <c r="J376" s="3">
        <v>1</v>
      </c>
      <c r="K376" s="3">
        <v>1</v>
      </c>
      <c r="L376" s="3">
        <v>0</v>
      </c>
      <c r="M376" s="3">
        <v>2</v>
      </c>
      <c r="N376" s="3">
        <v>0</v>
      </c>
      <c r="O376" s="3">
        <f t="shared" si="30"/>
        <v>4</v>
      </c>
      <c r="P376" s="3">
        <v>7</v>
      </c>
      <c r="Q376" s="3">
        <v>5</v>
      </c>
      <c r="R376" s="3">
        <v>6</v>
      </c>
      <c r="S376" s="3">
        <v>4</v>
      </c>
      <c r="T376" s="3">
        <v>2</v>
      </c>
      <c r="U376" s="3">
        <v>25</v>
      </c>
      <c r="V376" s="13">
        <f t="shared" si="32"/>
        <v>0.16</v>
      </c>
      <c r="W376" s="13">
        <f t="shared" si="48"/>
        <v>0.16</v>
      </c>
      <c r="X376" s="3">
        <f t="shared" si="40"/>
        <v>25</v>
      </c>
      <c r="Y376" s="3" t="e">
        <f t="shared" si="49"/>
        <v>#DIV/0!</v>
      </c>
      <c r="Z376" s="3"/>
      <c r="AA376" s="3"/>
      <c r="AB376" s="3"/>
      <c r="AC376" s="3" t="s">
        <v>82</v>
      </c>
      <c r="AD376" s="3" t="s">
        <v>83</v>
      </c>
      <c r="AE376" s="3"/>
      <c r="AF376" s="3" t="s">
        <v>102</v>
      </c>
      <c r="AG376" s="3" t="s">
        <v>195</v>
      </c>
      <c r="AH376" s="3"/>
    </row>
    <row r="377" spans="1:34" ht="14.25" customHeight="1" x14ac:dyDescent="0.25">
      <c r="A377" s="3" t="s">
        <v>112</v>
      </c>
      <c r="B377" s="3" t="s">
        <v>79</v>
      </c>
      <c r="C377" s="3"/>
      <c r="D377" s="3" t="s">
        <v>101</v>
      </c>
      <c r="E377" s="3">
        <v>2</v>
      </c>
      <c r="F377" s="3">
        <v>1</v>
      </c>
      <c r="G377" s="3" t="s">
        <v>9</v>
      </c>
      <c r="H377" s="11">
        <v>45777</v>
      </c>
      <c r="I377" s="3" t="s">
        <v>142</v>
      </c>
      <c r="J377" s="3">
        <v>0</v>
      </c>
      <c r="K377" s="3">
        <v>1</v>
      </c>
      <c r="L377" s="3">
        <v>0</v>
      </c>
      <c r="M377" s="3">
        <v>2</v>
      </c>
      <c r="N377" s="3">
        <v>0</v>
      </c>
      <c r="O377" s="3">
        <f t="shared" si="30"/>
        <v>3</v>
      </c>
      <c r="P377" s="3">
        <v>7</v>
      </c>
      <c r="Q377" s="3">
        <v>5</v>
      </c>
      <c r="R377" s="3">
        <v>6</v>
      </c>
      <c r="S377" s="3">
        <v>4</v>
      </c>
      <c r="T377" s="3">
        <v>2</v>
      </c>
      <c r="U377" s="3">
        <v>25</v>
      </c>
      <c r="V377" s="13">
        <f t="shared" si="32"/>
        <v>0.12</v>
      </c>
      <c r="W377" s="13">
        <f t="shared" si="48"/>
        <v>0.12</v>
      </c>
      <c r="X377" s="3">
        <f t="shared" si="40"/>
        <v>25</v>
      </c>
      <c r="Y377" s="3" t="e">
        <f t="shared" si="49"/>
        <v>#DIV/0!</v>
      </c>
      <c r="Z377" s="3"/>
      <c r="AA377" s="3"/>
      <c r="AB377" s="3"/>
      <c r="AC377" s="3" t="s">
        <v>82</v>
      </c>
      <c r="AD377" s="3" t="s">
        <v>83</v>
      </c>
      <c r="AE377" s="3"/>
      <c r="AF377" s="3" t="s">
        <v>102</v>
      </c>
      <c r="AG377" s="3" t="s">
        <v>195</v>
      </c>
      <c r="AH377" s="3"/>
    </row>
    <row r="378" spans="1:34" ht="14.25" customHeight="1" x14ac:dyDescent="0.25">
      <c r="A378" s="3" t="s">
        <v>112</v>
      </c>
      <c r="B378" s="3" t="s">
        <v>79</v>
      </c>
      <c r="C378" s="3"/>
      <c r="D378" s="3" t="s">
        <v>101</v>
      </c>
      <c r="E378" s="3">
        <v>2</v>
      </c>
      <c r="F378" s="3">
        <v>1</v>
      </c>
      <c r="G378" s="3" t="s">
        <v>12</v>
      </c>
      <c r="H378" s="11">
        <v>45777</v>
      </c>
      <c r="I378" s="3" t="s">
        <v>142</v>
      </c>
      <c r="J378" s="3">
        <v>1</v>
      </c>
      <c r="K378" s="3">
        <v>2</v>
      </c>
      <c r="L378" s="3">
        <v>0</v>
      </c>
      <c r="M378" s="3">
        <v>0</v>
      </c>
      <c r="N378" s="3">
        <v>0</v>
      </c>
      <c r="O378" s="3">
        <f t="shared" si="30"/>
        <v>3</v>
      </c>
      <c r="P378" s="3">
        <v>7</v>
      </c>
      <c r="Q378" s="3">
        <v>5</v>
      </c>
      <c r="R378" s="3">
        <v>6</v>
      </c>
      <c r="S378" s="3">
        <v>4</v>
      </c>
      <c r="T378" s="3">
        <v>2</v>
      </c>
      <c r="U378" s="3">
        <v>25</v>
      </c>
      <c r="V378" s="13">
        <f t="shared" si="32"/>
        <v>0.12</v>
      </c>
      <c r="W378" s="13">
        <f t="shared" si="48"/>
        <v>0.12</v>
      </c>
      <c r="X378" s="3">
        <f t="shared" si="40"/>
        <v>25</v>
      </c>
      <c r="Y378" s="3" t="e">
        <f t="shared" si="49"/>
        <v>#DIV/0!</v>
      </c>
      <c r="Z378" s="3"/>
      <c r="AA378" s="3"/>
      <c r="AB378" s="3"/>
      <c r="AC378" s="3" t="s">
        <v>82</v>
      </c>
      <c r="AD378" s="3" t="s">
        <v>83</v>
      </c>
      <c r="AE378" s="3"/>
      <c r="AF378" s="3" t="s">
        <v>102</v>
      </c>
      <c r="AG378" s="3" t="s">
        <v>195</v>
      </c>
      <c r="AH378" s="3"/>
    </row>
    <row r="379" spans="1:34" ht="14.25" customHeight="1" x14ac:dyDescent="0.25">
      <c r="A379" s="3" t="s">
        <v>112</v>
      </c>
      <c r="B379" s="3" t="s">
        <v>79</v>
      </c>
      <c r="C379" s="3"/>
      <c r="D379" s="3" t="s">
        <v>101</v>
      </c>
      <c r="E379" s="3">
        <v>2</v>
      </c>
      <c r="F379" s="3">
        <v>1</v>
      </c>
      <c r="G379" s="3" t="s">
        <v>14</v>
      </c>
      <c r="H379" s="11">
        <v>45777</v>
      </c>
      <c r="I379" s="3" t="s">
        <v>142</v>
      </c>
      <c r="J379" s="3">
        <v>0</v>
      </c>
      <c r="K379" s="3">
        <v>0</v>
      </c>
      <c r="L379" s="3">
        <v>0</v>
      </c>
      <c r="M379" s="3">
        <v>1</v>
      </c>
      <c r="N379" s="3">
        <v>0</v>
      </c>
      <c r="O379" s="3">
        <f t="shared" si="30"/>
        <v>1</v>
      </c>
      <c r="P379" s="3">
        <v>7</v>
      </c>
      <c r="Q379" s="3">
        <v>5</v>
      </c>
      <c r="R379" s="3">
        <v>6</v>
      </c>
      <c r="S379" s="3">
        <v>4</v>
      </c>
      <c r="T379" s="3">
        <v>2</v>
      </c>
      <c r="U379" s="3">
        <v>25</v>
      </c>
      <c r="V379" s="13">
        <f t="shared" si="32"/>
        <v>0.04</v>
      </c>
      <c r="W379" s="13">
        <f t="shared" si="48"/>
        <v>0.04</v>
      </c>
      <c r="X379" s="3">
        <f t="shared" si="40"/>
        <v>25</v>
      </c>
      <c r="Y379" s="3" t="e">
        <f t="shared" si="49"/>
        <v>#DIV/0!</v>
      </c>
      <c r="Z379" s="3"/>
      <c r="AA379" s="3"/>
      <c r="AB379" s="3"/>
      <c r="AC379" s="3" t="s">
        <v>82</v>
      </c>
      <c r="AD379" s="3" t="s">
        <v>83</v>
      </c>
      <c r="AE379" s="3"/>
      <c r="AF379" s="3" t="s">
        <v>102</v>
      </c>
      <c r="AG379" s="3" t="s">
        <v>195</v>
      </c>
      <c r="AH379" s="3"/>
    </row>
    <row r="380" spans="1:34" ht="14.25" customHeight="1" x14ac:dyDescent="0.25">
      <c r="A380" s="3" t="s">
        <v>112</v>
      </c>
      <c r="B380" s="3" t="s">
        <v>79</v>
      </c>
      <c r="C380" s="3"/>
      <c r="D380" s="3" t="s">
        <v>101</v>
      </c>
      <c r="E380" s="3">
        <v>2</v>
      </c>
      <c r="F380" s="3">
        <v>1</v>
      </c>
      <c r="G380" s="3" t="s">
        <v>16</v>
      </c>
      <c r="H380" s="11">
        <v>45777</v>
      </c>
      <c r="I380" s="3" t="s">
        <v>142</v>
      </c>
      <c r="J380" s="3">
        <f>1+2</f>
        <v>3</v>
      </c>
      <c r="K380" s="3">
        <v>1</v>
      </c>
      <c r="L380" s="3">
        <v>0</v>
      </c>
      <c r="M380" s="3">
        <v>2</v>
      </c>
      <c r="N380" s="3">
        <v>0</v>
      </c>
      <c r="O380" s="3">
        <f t="shared" si="30"/>
        <v>6</v>
      </c>
      <c r="P380" s="3">
        <v>7</v>
      </c>
      <c r="Q380" s="3">
        <v>5</v>
      </c>
      <c r="R380" s="3">
        <v>6</v>
      </c>
      <c r="S380" s="3">
        <v>4</v>
      </c>
      <c r="T380" s="3">
        <v>2</v>
      </c>
      <c r="U380" s="3">
        <v>25</v>
      </c>
      <c r="V380" s="13">
        <f t="shared" si="32"/>
        <v>0.24</v>
      </c>
      <c r="W380" s="13">
        <f t="shared" si="48"/>
        <v>0.24</v>
      </c>
      <c r="X380" s="3">
        <f t="shared" si="40"/>
        <v>25</v>
      </c>
      <c r="Y380" s="3" t="e">
        <f t="shared" si="49"/>
        <v>#DIV/0!</v>
      </c>
      <c r="Z380" s="3"/>
      <c r="AA380" s="3"/>
      <c r="AB380" s="3"/>
      <c r="AC380" s="3" t="s">
        <v>82</v>
      </c>
      <c r="AD380" s="3" t="s">
        <v>83</v>
      </c>
      <c r="AE380" s="3"/>
      <c r="AF380" s="3" t="s">
        <v>102</v>
      </c>
      <c r="AG380" s="3" t="s">
        <v>195</v>
      </c>
      <c r="AH380" s="3"/>
    </row>
    <row r="381" spans="1:34" ht="14.25" customHeight="1" x14ac:dyDescent="0.25">
      <c r="A381" s="3" t="s">
        <v>112</v>
      </c>
      <c r="B381" s="3" t="s">
        <v>79</v>
      </c>
      <c r="C381" s="3"/>
      <c r="D381" s="3" t="s">
        <v>101</v>
      </c>
      <c r="E381" s="3">
        <v>2</v>
      </c>
      <c r="F381" s="3">
        <v>1</v>
      </c>
      <c r="G381" s="3" t="s">
        <v>18</v>
      </c>
      <c r="H381" s="11">
        <v>45777</v>
      </c>
      <c r="I381" s="3" t="s">
        <v>142</v>
      </c>
      <c r="J381" s="3">
        <v>0</v>
      </c>
      <c r="K381" s="3">
        <v>2</v>
      </c>
      <c r="L381" s="3">
        <f>2+1</f>
        <v>3</v>
      </c>
      <c r="M381" s="3">
        <v>0</v>
      </c>
      <c r="N381" s="3">
        <v>0</v>
      </c>
      <c r="O381" s="3">
        <f t="shared" si="30"/>
        <v>5</v>
      </c>
      <c r="P381" s="3">
        <v>7</v>
      </c>
      <c r="Q381" s="3">
        <v>5</v>
      </c>
      <c r="R381" s="3">
        <v>6</v>
      </c>
      <c r="S381" s="3">
        <v>4</v>
      </c>
      <c r="T381" s="3">
        <v>2</v>
      </c>
      <c r="U381" s="3">
        <v>25</v>
      </c>
      <c r="V381" s="13">
        <f t="shared" si="32"/>
        <v>0.2</v>
      </c>
      <c r="W381" s="13">
        <f t="shared" si="48"/>
        <v>0.2</v>
      </c>
      <c r="X381" s="3">
        <f t="shared" si="40"/>
        <v>25</v>
      </c>
      <c r="Y381" s="3" t="e">
        <f t="shared" si="49"/>
        <v>#DIV/0!</v>
      </c>
      <c r="Z381" s="3"/>
      <c r="AA381" s="3"/>
      <c r="AB381" s="3"/>
      <c r="AC381" s="3" t="s">
        <v>82</v>
      </c>
      <c r="AD381" s="3" t="s">
        <v>83</v>
      </c>
      <c r="AE381" s="3"/>
      <c r="AF381" s="3" t="s">
        <v>102</v>
      </c>
      <c r="AG381" s="3" t="s">
        <v>195</v>
      </c>
      <c r="AH381" s="3"/>
    </row>
    <row r="382" spans="1:34" ht="14.25" customHeight="1" x14ac:dyDescent="0.25">
      <c r="A382" s="3" t="s">
        <v>112</v>
      </c>
      <c r="B382" s="3" t="s">
        <v>79</v>
      </c>
      <c r="C382" s="3"/>
      <c r="D382" s="3" t="s">
        <v>101</v>
      </c>
      <c r="E382" s="3">
        <v>2</v>
      </c>
      <c r="F382" s="3">
        <v>1</v>
      </c>
      <c r="G382" s="3" t="s">
        <v>19</v>
      </c>
      <c r="H382" s="11">
        <v>45777</v>
      </c>
      <c r="I382" s="3" t="s">
        <v>142</v>
      </c>
      <c r="J382" s="3">
        <f>1+3+6+1</f>
        <v>11</v>
      </c>
      <c r="K382" s="3">
        <v>0</v>
      </c>
      <c r="L382" s="3">
        <v>0</v>
      </c>
      <c r="M382" s="3">
        <v>0</v>
      </c>
      <c r="N382" s="3">
        <v>0</v>
      </c>
      <c r="O382" s="3">
        <f t="shared" si="30"/>
        <v>11</v>
      </c>
      <c r="P382" s="3">
        <v>7</v>
      </c>
      <c r="Q382" s="3">
        <v>5</v>
      </c>
      <c r="R382" s="3">
        <v>6</v>
      </c>
      <c r="S382" s="3">
        <v>4</v>
      </c>
      <c r="T382" s="3">
        <v>2</v>
      </c>
      <c r="U382" s="3">
        <v>25</v>
      </c>
      <c r="V382" s="13">
        <f t="shared" si="32"/>
        <v>0.44</v>
      </c>
      <c r="W382" s="13">
        <f t="shared" si="48"/>
        <v>0.44</v>
      </c>
      <c r="X382" s="3">
        <f t="shared" si="40"/>
        <v>25</v>
      </c>
      <c r="Y382" s="3" t="e">
        <f t="shared" si="49"/>
        <v>#DIV/0!</v>
      </c>
      <c r="Z382" s="3"/>
      <c r="AA382" s="3"/>
      <c r="AB382" s="3"/>
      <c r="AC382" s="3" t="s">
        <v>82</v>
      </c>
      <c r="AD382" s="3" t="s">
        <v>83</v>
      </c>
      <c r="AE382" s="3"/>
      <c r="AF382" s="3" t="s">
        <v>102</v>
      </c>
      <c r="AG382" s="3" t="s">
        <v>195</v>
      </c>
      <c r="AH382" s="3"/>
    </row>
    <row r="383" spans="1:34" ht="14.25" customHeight="1" x14ac:dyDescent="0.25">
      <c r="A383" s="3" t="s">
        <v>112</v>
      </c>
      <c r="B383" s="3" t="s">
        <v>79</v>
      </c>
      <c r="C383" s="3"/>
      <c r="D383" s="3" t="s">
        <v>101</v>
      </c>
      <c r="E383" s="3">
        <v>2</v>
      </c>
      <c r="F383" s="3">
        <v>1</v>
      </c>
      <c r="G383" s="3" t="s">
        <v>24</v>
      </c>
      <c r="H383" s="11">
        <v>45777</v>
      </c>
      <c r="I383" s="3" t="s">
        <v>142</v>
      </c>
      <c r="J383" s="3">
        <v>0</v>
      </c>
      <c r="K383" s="3">
        <v>0</v>
      </c>
      <c r="L383" s="3">
        <v>1</v>
      </c>
      <c r="M383" s="3">
        <v>0</v>
      </c>
      <c r="N383" s="3">
        <v>0</v>
      </c>
      <c r="O383" s="3">
        <f t="shared" si="30"/>
        <v>1</v>
      </c>
      <c r="P383" s="3">
        <v>7</v>
      </c>
      <c r="Q383" s="3">
        <v>5</v>
      </c>
      <c r="R383" s="3">
        <v>6</v>
      </c>
      <c r="S383" s="3">
        <v>4</v>
      </c>
      <c r="T383" s="3">
        <v>2</v>
      </c>
      <c r="U383" s="3">
        <v>25</v>
      </c>
      <c r="V383" s="13">
        <f t="shared" si="32"/>
        <v>0.04</v>
      </c>
      <c r="W383" s="13">
        <f t="shared" si="48"/>
        <v>0.04</v>
      </c>
      <c r="X383" s="3">
        <f t="shared" si="40"/>
        <v>25</v>
      </c>
      <c r="Y383" s="3" t="e">
        <f t="shared" si="49"/>
        <v>#DIV/0!</v>
      </c>
      <c r="Z383" s="3"/>
      <c r="AA383" s="3"/>
      <c r="AB383" s="3"/>
      <c r="AC383" s="3" t="s">
        <v>82</v>
      </c>
      <c r="AD383" s="3" t="s">
        <v>83</v>
      </c>
      <c r="AE383" s="3"/>
      <c r="AF383" s="3" t="s">
        <v>102</v>
      </c>
      <c r="AG383" s="3" t="s">
        <v>195</v>
      </c>
      <c r="AH383" s="3"/>
    </row>
    <row r="384" spans="1:34" ht="14.25" customHeight="1" x14ac:dyDescent="0.25">
      <c r="A384" s="3" t="s">
        <v>112</v>
      </c>
      <c r="B384" s="3" t="s">
        <v>79</v>
      </c>
      <c r="C384" s="3"/>
      <c r="D384" s="3" t="s">
        <v>101</v>
      </c>
      <c r="E384" s="3">
        <v>2</v>
      </c>
      <c r="F384" s="3">
        <v>1</v>
      </c>
      <c r="G384" s="3" t="s">
        <v>13</v>
      </c>
      <c r="H384" s="11">
        <v>45777</v>
      </c>
      <c r="I384" s="3" t="s">
        <v>142</v>
      </c>
      <c r="J384" s="3">
        <v>0</v>
      </c>
      <c r="K384" s="3">
        <v>0</v>
      </c>
      <c r="L384" s="3">
        <v>1</v>
      </c>
      <c r="M384" s="3">
        <v>0</v>
      </c>
      <c r="N384" s="3">
        <v>0</v>
      </c>
      <c r="O384" s="3">
        <f t="shared" si="30"/>
        <v>1</v>
      </c>
      <c r="P384" s="3">
        <v>7</v>
      </c>
      <c r="Q384" s="3">
        <v>5</v>
      </c>
      <c r="R384" s="3">
        <v>6</v>
      </c>
      <c r="S384" s="3">
        <v>4</v>
      </c>
      <c r="T384" s="3">
        <v>2</v>
      </c>
      <c r="U384" s="3">
        <v>25</v>
      </c>
      <c r="V384" s="13">
        <f t="shared" si="32"/>
        <v>0.04</v>
      </c>
      <c r="W384" s="13">
        <f t="shared" si="48"/>
        <v>0.04</v>
      </c>
      <c r="X384" s="3">
        <f t="shared" si="40"/>
        <v>25</v>
      </c>
      <c r="Y384" s="3" t="e">
        <f t="shared" si="49"/>
        <v>#DIV/0!</v>
      </c>
      <c r="Z384" s="3"/>
      <c r="AA384" s="3"/>
      <c r="AB384" s="3"/>
      <c r="AC384" s="3" t="s">
        <v>82</v>
      </c>
      <c r="AD384" s="3" t="s">
        <v>83</v>
      </c>
      <c r="AE384" s="3"/>
      <c r="AF384" s="3" t="s">
        <v>102</v>
      </c>
      <c r="AG384" s="3" t="s">
        <v>195</v>
      </c>
      <c r="AH384" s="3"/>
    </row>
    <row r="385" spans="1:34" ht="14.25" customHeight="1" x14ac:dyDescent="0.25">
      <c r="A385" s="3" t="s">
        <v>112</v>
      </c>
      <c r="B385" s="3" t="s">
        <v>79</v>
      </c>
      <c r="C385" s="3"/>
      <c r="D385" s="3" t="s">
        <v>101</v>
      </c>
      <c r="E385" s="3">
        <v>2</v>
      </c>
      <c r="F385" s="3">
        <v>1</v>
      </c>
      <c r="G385" s="3" t="s">
        <v>22</v>
      </c>
      <c r="H385" s="11">
        <v>45777</v>
      </c>
      <c r="I385" s="3" t="s">
        <v>142</v>
      </c>
      <c r="J385" s="3">
        <v>1</v>
      </c>
      <c r="K385" s="3">
        <v>1</v>
      </c>
      <c r="L385" s="3">
        <v>3</v>
      </c>
      <c r="M385" s="3">
        <v>1</v>
      </c>
      <c r="N385" s="3">
        <v>1</v>
      </c>
      <c r="O385" s="3">
        <f t="shared" si="30"/>
        <v>7</v>
      </c>
      <c r="P385" s="3">
        <v>7</v>
      </c>
      <c r="Q385" s="3">
        <v>5</v>
      </c>
      <c r="R385" s="3">
        <v>6</v>
      </c>
      <c r="S385" s="3">
        <v>4</v>
      </c>
      <c r="T385" s="3">
        <v>2</v>
      </c>
      <c r="U385" s="3">
        <v>25</v>
      </c>
      <c r="V385" s="13">
        <f t="shared" si="32"/>
        <v>0.28000000000000003</v>
      </c>
      <c r="W385" s="13">
        <f t="shared" si="48"/>
        <v>0.28000000000000003</v>
      </c>
      <c r="X385" s="3">
        <f t="shared" si="40"/>
        <v>25</v>
      </c>
      <c r="Y385" s="3" t="e">
        <f t="shared" si="49"/>
        <v>#DIV/0!</v>
      </c>
      <c r="Z385" s="3"/>
      <c r="AA385" s="3"/>
      <c r="AB385" s="3"/>
      <c r="AC385" s="3" t="s">
        <v>82</v>
      </c>
      <c r="AD385" s="3" t="s">
        <v>83</v>
      </c>
      <c r="AE385" s="3"/>
      <c r="AF385" s="3" t="s">
        <v>102</v>
      </c>
      <c r="AG385" s="3" t="s">
        <v>195</v>
      </c>
      <c r="AH385" s="3"/>
    </row>
    <row r="386" spans="1:34" ht="14.25" customHeight="1" x14ac:dyDescent="0.25">
      <c r="A386" s="3" t="s">
        <v>113</v>
      </c>
      <c r="B386" s="3" t="s">
        <v>79</v>
      </c>
      <c r="C386" s="3"/>
      <c r="D386" s="3" t="s">
        <v>101</v>
      </c>
      <c r="E386" s="3">
        <v>2</v>
      </c>
      <c r="F386" s="3">
        <v>1</v>
      </c>
      <c r="G386" s="3" t="s">
        <v>16</v>
      </c>
      <c r="H386" s="11">
        <v>45777</v>
      </c>
      <c r="I386" s="3" t="s">
        <v>142</v>
      </c>
      <c r="J386" s="3">
        <f>3+1</f>
        <v>4</v>
      </c>
      <c r="K386" s="3">
        <f>2+2</f>
        <v>4</v>
      </c>
      <c r="L386" s="3">
        <f>1+3+0+2+2</f>
        <v>8</v>
      </c>
      <c r="M386" s="3">
        <f>1+3+2</f>
        <v>6</v>
      </c>
      <c r="N386" s="3">
        <v>0</v>
      </c>
      <c r="O386" s="3">
        <f t="shared" si="30"/>
        <v>22</v>
      </c>
      <c r="P386" s="3">
        <v>5</v>
      </c>
      <c r="Q386" s="3">
        <v>7</v>
      </c>
      <c r="R386" s="3">
        <v>7</v>
      </c>
      <c r="S386" s="3">
        <v>5</v>
      </c>
      <c r="T386" s="3">
        <v>2</v>
      </c>
      <c r="U386" s="3">
        <f t="shared" ref="U386:U388" si="61">SUM(P386:T386)</f>
        <v>26</v>
      </c>
      <c r="V386" s="13">
        <f t="shared" si="32"/>
        <v>0.84615384615384615</v>
      </c>
      <c r="W386" s="13">
        <f t="shared" si="48"/>
        <v>0.84615384615384615</v>
      </c>
      <c r="X386" s="3">
        <f t="shared" si="40"/>
        <v>26</v>
      </c>
      <c r="Y386" s="3" t="e">
        <f t="shared" si="49"/>
        <v>#DIV/0!</v>
      </c>
      <c r="Z386" s="3"/>
      <c r="AA386" s="3"/>
      <c r="AB386" s="3"/>
      <c r="AC386" s="3" t="s">
        <v>82</v>
      </c>
      <c r="AD386" s="3" t="s">
        <v>83</v>
      </c>
      <c r="AE386" s="3"/>
      <c r="AF386" s="3" t="s">
        <v>102</v>
      </c>
      <c r="AG386" s="3" t="s">
        <v>204</v>
      </c>
      <c r="AH386" s="3"/>
    </row>
    <row r="387" spans="1:34" ht="14.25" customHeight="1" x14ac:dyDescent="0.25">
      <c r="A387" s="3" t="s">
        <v>113</v>
      </c>
      <c r="B387" s="3" t="s">
        <v>79</v>
      </c>
      <c r="C387" s="3"/>
      <c r="D387" s="3" t="s">
        <v>101</v>
      </c>
      <c r="E387" s="3">
        <v>2</v>
      </c>
      <c r="F387" s="3">
        <v>1</v>
      </c>
      <c r="G387" s="3" t="s">
        <v>18</v>
      </c>
      <c r="H387" s="11">
        <v>45777</v>
      </c>
      <c r="I387" s="3" t="s">
        <v>142</v>
      </c>
      <c r="J387" s="3">
        <f>4+2</f>
        <v>6</v>
      </c>
      <c r="K387" s="3">
        <f>5+1+2+1+2</f>
        <v>11</v>
      </c>
      <c r="L387" s="3">
        <f>1+1+1+2</f>
        <v>5</v>
      </c>
      <c r="M387" s="3">
        <f>1+3</f>
        <v>4</v>
      </c>
      <c r="N387" s="3">
        <v>1</v>
      </c>
      <c r="O387" s="3">
        <f t="shared" si="30"/>
        <v>27</v>
      </c>
      <c r="P387" s="3">
        <v>5</v>
      </c>
      <c r="Q387" s="3">
        <v>7</v>
      </c>
      <c r="R387" s="3">
        <v>7</v>
      </c>
      <c r="S387" s="3">
        <v>5</v>
      </c>
      <c r="T387" s="3">
        <v>2</v>
      </c>
      <c r="U387" s="3">
        <f t="shared" si="61"/>
        <v>26</v>
      </c>
      <c r="V387" s="13">
        <f t="shared" si="32"/>
        <v>1.0384615384615385</v>
      </c>
      <c r="W387" s="13">
        <f t="shared" ref="W387:W450" si="62">O387/U387/F387</f>
        <v>1.0384615384615385</v>
      </c>
      <c r="X387" s="3">
        <f t="shared" si="40"/>
        <v>26</v>
      </c>
      <c r="Y387" s="3" t="e">
        <f t="shared" ref="Y387:Y450" si="63">O387/U387/AA387</f>
        <v>#DIV/0!</v>
      </c>
      <c r="Z387" s="3"/>
      <c r="AA387" s="3"/>
      <c r="AB387" s="3"/>
      <c r="AC387" s="3" t="s">
        <v>82</v>
      </c>
      <c r="AD387" s="3" t="s">
        <v>83</v>
      </c>
      <c r="AE387" s="3"/>
      <c r="AF387" s="3" t="s">
        <v>102</v>
      </c>
      <c r="AG387" s="3" t="s">
        <v>204</v>
      </c>
      <c r="AH387" s="3"/>
    </row>
    <row r="388" spans="1:34" ht="14.25" customHeight="1" x14ac:dyDescent="0.25">
      <c r="A388" s="3" t="s">
        <v>113</v>
      </c>
      <c r="B388" s="3" t="s">
        <v>79</v>
      </c>
      <c r="C388" s="3"/>
      <c r="D388" s="3" t="s">
        <v>101</v>
      </c>
      <c r="E388" s="3">
        <v>2</v>
      </c>
      <c r="F388" s="3">
        <v>1</v>
      </c>
      <c r="G388" s="3" t="s">
        <v>22</v>
      </c>
      <c r="H388" s="11">
        <v>45777</v>
      </c>
      <c r="I388" s="3" t="s">
        <v>142</v>
      </c>
      <c r="J388" s="3">
        <f t="shared" ref="J388:K388" si="64">1+1</f>
        <v>2</v>
      </c>
      <c r="K388" s="3">
        <f t="shared" si="64"/>
        <v>2</v>
      </c>
      <c r="L388" s="3">
        <v>1</v>
      </c>
      <c r="M388" s="3">
        <f>1+1</f>
        <v>2</v>
      </c>
      <c r="N388" s="3">
        <v>1</v>
      </c>
      <c r="O388" s="3">
        <f t="shared" si="30"/>
        <v>8</v>
      </c>
      <c r="P388" s="3">
        <v>5</v>
      </c>
      <c r="Q388" s="3">
        <v>7</v>
      </c>
      <c r="R388" s="3">
        <v>7</v>
      </c>
      <c r="S388" s="3">
        <v>5</v>
      </c>
      <c r="T388" s="3">
        <v>2</v>
      </c>
      <c r="U388" s="3">
        <f t="shared" si="61"/>
        <v>26</v>
      </c>
      <c r="V388" s="13">
        <f t="shared" si="32"/>
        <v>0.30769230769230771</v>
      </c>
      <c r="W388" s="13">
        <f t="shared" si="62"/>
        <v>0.30769230769230771</v>
      </c>
      <c r="X388" s="3">
        <f t="shared" si="40"/>
        <v>26</v>
      </c>
      <c r="Y388" s="3" t="e">
        <f t="shared" si="63"/>
        <v>#DIV/0!</v>
      </c>
      <c r="Z388" s="3"/>
      <c r="AA388" s="3"/>
      <c r="AB388" s="3"/>
      <c r="AC388" s="3" t="s">
        <v>82</v>
      </c>
      <c r="AD388" s="3" t="s">
        <v>83</v>
      </c>
      <c r="AE388" s="3"/>
      <c r="AF388" s="3" t="s">
        <v>102</v>
      </c>
      <c r="AG388" s="3" t="s">
        <v>204</v>
      </c>
      <c r="AH388" s="3"/>
    </row>
    <row r="389" spans="1:34" ht="14.25" customHeight="1" x14ac:dyDescent="0.25">
      <c r="A389" s="3" t="s">
        <v>157</v>
      </c>
      <c r="B389" s="3" t="s">
        <v>79</v>
      </c>
      <c r="C389" s="3"/>
      <c r="D389" s="3" t="s">
        <v>101</v>
      </c>
      <c r="E389" s="3">
        <v>2</v>
      </c>
      <c r="F389" s="3">
        <v>1</v>
      </c>
      <c r="G389" s="3" t="s">
        <v>1</v>
      </c>
      <c r="H389" s="11">
        <v>45777</v>
      </c>
      <c r="I389" s="3" t="s">
        <v>142</v>
      </c>
      <c r="J389" s="3">
        <v>10</v>
      </c>
      <c r="K389" s="3">
        <v>15</v>
      </c>
      <c r="L389" s="3">
        <v>0</v>
      </c>
      <c r="M389" s="3">
        <v>0</v>
      </c>
      <c r="N389" s="3">
        <v>0</v>
      </c>
      <c r="O389" s="3">
        <f t="shared" si="30"/>
        <v>25</v>
      </c>
      <c r="P389" s="3">
        <v>3</v>
      </c>
      <c r="Q389" s="3">
        <v>1</v>
      </c>
      <c r="R389" s="3">
        <v>0</v>
      </c>
      <c r="S389" s="3">
        <v>0</v>
      </c>
      <c r="T389" s="3">
        <v>0</v>
      </c>
      <c r="U389" s="3">
        <v>20</v>
      </c>
      <c r="V389" s="13">
        <f t="shared" si="32"/>
        <v>1.25</v>
      </c>
      <c r="W389" s="13">
        <f t="shared" si="62"/>
        <v>1.25</v>
      </c>
      <c r="X389" s="3">
        <f t="shared" si="40"/>
        <v>20</v>
      </c>
      <c r="Y389" s="3">
        <f t="shared" si="63"/>
        <v>2.232142857142857E-3</v>
      </c>
      <c r="Z389" s="3"/>
      <c r="AA389" s="3">
        <f t="shared" ref="AA389:AA393" si="65">50*2.8*4</f>
        <v>560</v>
      </c>
      <c r="AB389" s="3">
        <f t="shared" ref="AB389:AB393" si="66">30*5</f>
        <v>150</v>
      </c>
      <c r="AC389" s="3" t="s">
        <v>82</v>
      </c>
      <c r="AD389" s="3"/>
      <c r="AE389" s="3"/>
      <c r="AF389" s="3" t="s">
        <v>102</v>
      </c>
      <c r="AG389" s="3" t="s">
        <v>299</v>
      </c>
      <c r="AH389" s="3"/>
    </row>
    <row r="390" spans="1:34" ht="14.25" customHeight="1" x14ac:dyDescent="0.25">
      <c r="A390" s="3" t="s">
        <v>157</v>
      </c>
      <c r="B390" s="3" t="s">
        <v>79</v>
      </c>
      <c r="C390" s="3"/>
      <c r="D390" s="3" t="s">
        <v>101</v>
      </c>
      <c r="E390" s="3">
        <v>2</v>
      </c>
      <c r="F390" s="3">
        <v>1</v>
      </c>
      <c r="G390" s="3" t="s">
        <v>3</v>
      </c>
      <c r="H390" s="11">
        <v>45777</v>
      </c>
      <c r="I390" s="3" t="s">
        <v>142</v>
      </c>
      <c r="J390" s="3">
        <v>150</v>
      </c>
      <c r="K390" s="3">
        <v>30</v>
      </c>
      <c r="L390" s="3">
        <v>0</v>
      </c>
      <c r="M390" s="3">
        <v>0</v>
      </c>
      <c r="N390" s="3">
        <v>0</v>
      </c>
      <c r="O390" s="3">
        <f t="shared" si="30"/>
        <v>180</v>
      </c>
      <c r="P390" s="3">
        <v>3</v>
      </c>
      <c r="Q390" s="3">
        <v>1</v>
      </c>
      <c r="R390" s="3">
        <v>0</v>
      </c>
      <c r="S390" s="3">
        <v>0</v>
      </c>
      <c r="T390" s="3">
        <v>0</v>
      </c>
      <c r="U390" s="3">
        <v>20</v>
      </c>
      <c r="V390" s="13">
        <f t="shared" si="32"/>
        <v>9</v>
      </c>
      <c r="W390" s="13">
        <f t="shared" si="62"/>
        <v>9</v>
      </c>
      <c r="X390" s="3">
        <f t="shared" si="40"/>
        <v>20</v>
      </c>
      <c r="Y390" s="3">
        <f t="shared" si="63"/>
        <v>1.607142857142857E-2</v>
      </c>
      <c r="Z390" s="3"/>
      <c r="AA390" s="3">
        <f t="shared" si="65"/>
        <v>560</v>
      </c>
      <c r="AB390" s="3">
        <f t="shared" si="66"/>
        <v>150</v>
      </c>
      <c r="AC390" s="3" t="s">
        <v>82</v>
      </c>
      <c r="AD390" s="3"/>
      <c r="AE390" s="3"/>
      <c r="AF390" s="3" t="s">
        <v>102</v>
      </c>
      <c r="AG390" s="3" t="s">
        <v>299</v>
      </c>
      <c r="AH390" s="3"/>
    </row>
    <row r="391" spans="1:34" ht="14.25" customHeight="1" x14ac:dyDescent="0.25">
      <c r="A391" s="3" t="s">
        <v>157</v>
      </c>
      <c r="B391" s="3" t="s">
        <v>79</v>
      </c>
      <c r="C391" s="3"/>
      <c r="D391" s="3" t="s">
        <v>101</v>
      </c>
      <c r="E391" s="3">
        <v>2</v>
      </c>
      <c r="F391" s="3">
        <v>1</v>
      </c>
      <c r="G391" s="3" t="s">
        <v>14</v>
      </c>
      <c r="H391" s="11">
        <v>45777</v>
      </c>
      <c r="I391" s="3" t="s">
        <v>142</v>
      </c>
      <c r="J391" s="3">
        <f>12+9</f>
        <v>21</v>
      </c>
      <c r="K391" s="3">
        <v>10</v>
      </c>
      <c r="L391" s="3">
        <v>0</v>
      </c>
      <c r="M391" s="3">
        <v>0</v>
      </c>
      <c r="N391" s="3">
        <v>0</v>
      </c>
      <c r="O391" s="3">
        <f t="shared" si="30"/>
        <v>31</v>
      </c>
      <c r="P391" s="3">
        <v>3</v>
      </c>
      <c r="Q391" s="3">
        <v>1</v>
      </c>
      <c r="R391" s="3">
        <v>0</v>
      </c>
      <c r="S391" s="3">
        <v>0</v>
      </c>
      <c r="T391" s="3">
        <v>0</v>
      </c>
      <c r="U391" s="3">
        <v>20</v>
      </c>
      <c r="V391" s="13">
        <f t="shared" si="32"/>
        <v>1.55</v>
      </c>
      <c r="W391" s="13">
        <f t="shared" si="62"/>
        <v>1.55</v>
      </c>
      <c r="X391" s="3">
        <f t="shared" si="40"/>
        <v>20</v>
      </c>
      <c r="Y391" s="3">
        <f t="shared" si="63"/>
        <v>2.7678571428571431E-3</v>
      </c>
      <c r="Z391" s="3"/>
      <c r="AA391" s="3">
        <f t="shared" si="65"/>
        <v>560</v>
      </c>
      <c r="AB391" s="3">
        <f t="shared" si="66"/>
        <v>150</v>
      </c>
      <c r="AC391" s="3" t="s">
        <v>82</v>
      </c>
      <c r="AD391" s="3"/>
      <c r="AE391" s="3"/>
      <c r="AF391" s="3" t="s">
        <v>102</v>
      </c>
      <c r="AG391" s="3" t="s">
        <v>299</v>
      </c>
      <c r="AH391" s="3"/>
    </row>
    <row r="392" spans="1:34" ht="14.25" customHeight="1" x14ac:dyDescent="0.25">
      <c r="A392" s="3" t="s">
        <v>157</v>
      </c>
      <c r="B392" s="3" t="s">
        <v>79</v>
      </c>
      <c r="C392" s="3"/>
      <c r="D392" s="3" t="s">
        <v>101</v>
      </c>
      <c r="E392" s="3">
        <v>2</v>
      </c>
      <c r="F392" s="3">
        <v>1</v>
      </c>
      <c r="G392" s="3" t="s">
        <v>13</v>
      </c>
      <c r="H392" s="11">
        <v>45777</v>
      </c>
      <c r="I392" s="3" t="s">
        <v>142</v>
      </c>
      <c r="J392" s="3">
        <v>6</v>
      </c>
      <c r="K392" s="3">
        <v>0</v>
      </c>
      <c r="L392" s="3">
        <v>0</v>
      </c>
      <c r="M392" s="3">
        <v>0</v>
      </c>
      <c r="N392" s="3">
        <v>0</v>
      </c>
      <c r="O392" s="3">
        <f t="shared" si="30"/>
        <v>6</v>
      </c>
      <c r="P392" s="3">
        <v>3</v>
      </c>
      <c r="Q392" s="3">
        <v>1</v>
      </c>
      <c r="R392" s="3">
        <v>0</v>
      </c>
      <c r="S392" s="3">
        <v>0</v>
      </c>
      <c r="T392" s="3">
        <v>0</v>
      </c>
      <c r="U392" s="3">
        <v>20</v>
      </c>
      <c r="V392" s="13">
        <f t="shared" si="32"/>
        <v>0.3</v>
      </c>
      <c r="W392" s="13">
        <f t="shared" si="62"/>
        <v>0.3</v>
      </c>
      <c r="X392" s="3">
        <f t="shared" si="40"/>
        <v>20</v>
      </c>
      <c r="Y392" s="3">
        <f t="shared" si="63"/>
        <v>5.3571428571428574E-4</v>
      </c>
      <c r="Z392" s="3"/>
      <c r="AA392" s="3">
        <f t="shared" si="65"/>
        <v>560</v>
      </c>
      <c r="AB392" s="3">
        <f t="shared" si="66"/>
        <v>150</v>
      </c>
      <c r="AC392" s="3" t="s">
        <v>82</v>
      </c>
      <c r="AD392" s="3"/>
      <c r="AE392" s="3"/>
      <c r="AF392" s="3" t="s">
        <v>102</v>
      </c>
      <c r="AG392" s="3" t="s">
        <v>299</v>
      </c>
      <c r="AH392" s="3"/>
    </row>
    <row r="393" spans="1:34" ht="14.25" customHeight="1" x14ac:dyDescent="0.25">
      <c r="A393" s="3" t="s">
        <v>157</v>
      </c>
      <c r="B393" s="3" t="s">
        <v>79</v>
      </c>
      <c r="C393" s="3"/>
      <c r="D393" s="3" t="s">
        <v>101</v>
      </c>
      <c r="E393" s="3">
        <v>2</v>
      </c>
      <c r="F393" s="3">
        <v>1</v>
      </c>
      <c r="G393" s="3" t="s">
        <v>22</v>
      </c>
      <c r="H393" s="11">
        <v>45777</v>
      </c>
      <c r="I393" s="3" t="s">
        <v>142</v>
      </c>
      <c r="J393" s="3">
        <v>9</v>
      </c>
      <c r="K393" s="3">
        <v>10</v>
      </c>
      <c r="L393" s="3">
        <v>0</v>
      </c>
      <c r="M393" s="3">
        <v>0</v>
      </c>
      <c r="N393" s="3">
        <v>0</v>
      </c>
      <c r="O393" s="3">
        <f t="shared" si="30"/>
        <v>19</v>
      </c>
      <c r="P393" s="3">
        <v>3</v>
      </c>
      <c r="Q393" s="3">
        <v>1</v>
      </c>
      <c r="R393" s="3">
        <v>0</v>
      </c>
      <c r="S393" s="3">
        <v>0</v>
      </c>
      <c r="T393" s="3">
        <v>0</v>
      </c>
      <c r="U393" s="3">
        <v>20</v>
      </c>
      <c r="V393" s="13">
        <f t="shared" si="32"/>
        <v>0.95</v>
      </c>
      <c r="W393" s="13">
        <f t="shared" si="62"/>
        <v>0.95</v>
      </c>
      <c r="X393" s="3">
        <f t="shared" si="40"/>
        <v>20</v>
      </c>
      <c r="Y393" s="3">
        <f t="shared" si="63"/>
        <v>1.6964285714285714E-3</v>
      </c>
      <c r="Z393" s="3"/>
      <c r="AA393" s="3">
        <f t="shared" si="65"/>
        <v>560</v>
      </c>
      <c r="AB393" s="3">
        <f t="shared" si="66"/>
        <v>150</v>
      </c>
      <c r="AC393" s="3" t="s">
        <v>82</v>
      </c>
      <c r="AD393" s="3"/>
      <c r="AE393" s="3"/>
      <c r="AF393" s="3" t="s">
        <v>102</v>
      </c>
      <c r="AG393" s="3" t="s">
        <v>299</v>
      </c>
      <c r="AH393" s="3"/>
    </row>
    <row r="394" spans="1:34" ht="14.25" customHeight="1" x14ac:dyDescent="0.25">
      <c r="A394" s="3" t="s">
        <v>158</v>
      </c>
      <c r="B394" s="3" t="s">
        <v>79</v>
      </c>
      <c r="C394" s="3"/>
      <c r="D394" s="3" t="s">
        <v>101</v>
      </c>
      <c r="E394" s="3">
        <v>1</v>
      </c>
      <c r="F394" s="3">
        <v>1</v>
      </c>
      <c r="G394" s="3" t="s">
        <v>1</v>
      </c>
      <c r="H394" s="11">
        <v>45777</v>
      </c>
      <c r="I394" s="3" t="s">
        <v>142</v>
      </c>
      <c r="J394" s="3">
        <v>0</v>
      </c>
      <c r="K394" s="3">
        <f>15+30</f>
        <v>45</v>
      </c>
      <c r="L394" s="3">
        <v>0</v>
      </c>
      <c r="M394" s="3">
        <v>0</v>
      </c>
      <c r="N394" s="3">
        <v>0</v>
      </c>
      <c r="O394" s="3">
        <f t="shared" si="30"/>
        <v>45</v>
      </c>
      <c r="P394" s="3">
        <v>2</v>
      </c>
      <c r="Q394" s="3">
        <v>4</v>
      </c>
      <c r="R394" s="3">
        <v>1</v>
      </c>
      <c r="S394" s="3">
        <v>2</v>
      </c>
      <c r="T394" s="3">
        <v>1</v>
      </c>
      <c r="U394" s="3">
        <f t="shared" ref="U394:U399" si="67">SUM(P394:T394)</f>
        <v>10</v>
      </c>
      <c r="V394" s="13">
        <f t="shared" si="32"/>
        <v>4.5</v>
      </c>
      <c r="W394" s="13">
        <f t="shared" si="62"/>
        <v>4.5</v>
      </c>
      <c r="X394" s="3">
        <f t="shared" si="40"/>
        <v>10</v>
      </c>
      <c r="Y394" s="3">
        <f t="shared" si="63"/>
        <v>5.3571428571428572E-3</v>
      </c>
      <c r="Z394" s="3"/>
      <c r="AA394" s="3">
        <f t="shared" ref="AA394:AA399" si="68">60*2*4+30*3*4</f>
        <v>840</v>
      </c>
      <c r="AB394" s="3"/>
      <c r="AC394" s="3" t="s">
        <v>82</v>
      </c>
      <c r="AD394" s="3" t="s">
        <v>83</v>
      </c>
      <c r="AE394" s="3">
        <v>15</v>
      </c>
      <c r="AF394" s="3" t="s">
        <v>102</v>
      </c>
      <c r="AG394" s="3" t="s">
        <v>300</v>
      </c>
      <c r="AH394" s="3"/>
    </row>
    <row r="395" spans="1:34" ht="14.25" customHeight="1" x14ac:dyDescent="0.25">
      <c r="A395" s="3" t="s">
        <v>158</v>
      </c>
      <c r="B395" s="3" t="s">
        <v>79</v>
      </c>
      <c r="C395" s="3"/>
      <c r="D395" s="3" t="s">
        <v>101</v>
      </c>
      <c r="E395" s="3">
        <v>1</v>
      </c>
      <c r="F395" s="3">
        <v>1</v>
      </c>
      <c r="G395" s="3" t="s">
        <v>3</v>
      </c>
      <c r="H395" s="11">
        <v>45777</v>
      </c>
      <c r="I395" s="3" t="s">
        <v>142</v>
      </c>
      <c r="J395" s="3">
        <v>15</v>
      </c>
      <c r="K395" s="3">
        <v>18</v>
      </c>
      <c r="L395" s="3">
        <v>0</v>
      </c>
      <c r="M395" s="3">
        <v>0</v>
      </c>
      <c r="N395" s="3">
        <v>0</v>
      </c>
      <c r="O395" s="3">
        <f t="shared" si="30"/>
        <v>33</v>
      </c>
      <c r="P395" s="3">
        <v>2</v>
      </c>
      <c r="Q395" s="3">
        <v>4</v>
      </c>
      <c r="R395" s="3">
        <v>1</v>
      </c>
      <c r="S395" s="3">
        <v>2</v>
      </c>
      <c r="T395" s="3">
        <v>1</v>
      </c>
      <c r="U395" s="3">
        <f t="shared" si="67"/>
        <v>10</v>
      </c>
      <c r="V395" s="13">
        <f t="shared" si="32"/>
        <v>3.3</v>
      </c>
      <c r="W395" s="13">
        <f t="shared" si="62"/>
        <v>3.3</v>
      </c>
      <c r="X395" s="3">
        <f t="shared" si="40"/>
        <v>10</v>
      </c>
      <c r="Y395" s="3">
        <f t="shared" si="63"/>
        <v>3.928571428571428E-3</v>
      </c>
      <c r="Z395" s="3"/>
      <c r="AA395" s="3">
        <f t="shared" si="68"/>
        <v>840</v>
      </c>
      <c r="AB395" s="3"/>
      <c r="AC395" s="3" t="s">
        <v>82</v>
      </c>
      <c r="AD395" s="3" t="s">
        <v>83</v>
      </c>
      <c r="AE395" s="3">
        <v>15</v>
      </c>
      <c r="AF395" s="3" t="s">
        <v>102</v>
      </c>
      <c r="AG395" s="3" t="s">
        <v>300</v>
      </c>
      <c r="AH395" s="3"/>
    </row>
    <row r="396" spans="1:34" ht="14.25" customHeight="1" x14ac:dyDescent="0.25">
      <c r="A396" s="3" t="s">
        <v>158</v>
      </c>
      <c r="B396" s="3" t="s">
        <v>79</v>
      </c>
      <c r="C396" s="3"/>
      <c r="D396" s="3" t="s">
        <v>101</v>
      </c>
      <c r="E396" s="3">
        <v>1</v>
      </c>
      <c r="F396" s="3">
        <v>1</v>
      </c>
      <c r="G396" s="3" t="s">
        <v>2</v>
      </c>
      <c r="H396" s="11">
        <v>45777</v>
      </c>
      <c r="I396" s="3" t="s">
        <v>142</v>
      </c>
      <c r="J396" s="3">
        <v>0</v>
      </c>
      <c r="K396" s="3">
        <v>30</v>
      </c>
      <c r="L396" s="3">
        <v>0</v>
      </c>
      <c r="M396" s="3">
        <v>0</v>
      </c>
      <c r="N396" s="3">
        <v>9.5</v>
      </c>
      <c r="O396" s="3">
        <f t="shared" si="30"/>
        <v>39.5</v>
      </c>
      <c r="P396" s="3">
        <v>2</v>
      </c>
      <c r="Q396" s="3">
        <v>4</v>
      </c>
      <c r="R396" s="3">
        <v>1</v>
      </c>
      <c r="S396" s="3">
        <v>2</v>
      </c>
      <c r="T396" s="3">
        <v>1</v>
      </c>
      <c r="U396" s="3">
        <f t="shared" si="67"/>
        <v>10</v>
      </c>
      <c r="V396" s="13">
        <f t="shared" si="32"/>
        <v>3.95</v>
      </c>
      <c r="W396" s="13">
        <f t="shared" si="62"/>
        <v>3.95</v>
      </c>
      <c r="X396" s="3">
        <f t="shared" si="40"/>
        <v>10</v>
      </c>
      <c r="Y396" s="3">
        <f t="shared" si="63"/>
        <v>4.7023809523809527E-3</v>
      </c>
      <c r="Z396" s="3"/>
      <c r="AA396" s="3">
        <f t="shared" si="68"/>
        <v>840</v>
      </c>
      <c r="AB396" s="3"/>
      <c r="AC396" s="3" t="s">
        <v>82</v>
      </c>
      <c r="AD396" s="3" t="s">
        <v>83</v>
      </c>
      <c r="AE396" s="3">
        <v>15</v>
      </c>
      <c r="AF396" s="3" t="s">
        <v>102</v>
      </c>
      <c r="AG396" s="3" t="s">
        <v>300</v>
      </c>
      <c r="AH396" s="3"/>
    </row>
    <row r="397" spans="1:34" ht="14.25" customHeight="1" x14ac:dyDescent="0.25">
      <c r="A397" s="3" t="s">
        <v>158</v>
      </c>
      <c r="B397" s="3" t="s">
        <v>79</v>
      </c>
      <c r="C397" s="3"/>
      <c r="D397" s="3" t="s">
        <v>101</v>
      </c>
      <c r="E397" s="3">
        <v>1</v>
      </c>
      <c r="F397" s="3">
        <v>1</v>
      </c>
      <c r="G397" s="3" t="s">
        <v>18</v>
      </c>
      <c r="H397" s="11">
        <v>45777</v>
      </c>
      <c r="I397" s="3" t="s">
        <v>142</v>
      </c>
      <c r="J397" s="3">
        <v>0</v>
      </c>
      <c r="K397" s="3">
        <v>0</v>
      </c>
      <c r="L397" s="3">
        <v>40</v>
      </c>
      <c r="M397" s="3">
        <v>0</v>
      </c>
      <c r="N397" s="3">
        <v>0</v>
      </c>
      <c r="O397" s="3">
        <f t="shared" si="30"/>
        <v>40</v>
      </c>
      <c r="P397" s="3">
        <v>2</v>
      </c>
      <c r="Q397" s="3">
        <v>4</v>
      </c>
      <c r="R397" s="3">
        <v>1</v>
      </c>
      <c r="S397" s="3">
        <v>2</v>
      </c>
      <c r="T397" s="3">
        <v>1</v>
      </c>
      <c r="U397" s="3">
        <f t="shared" si="67"/>
        <v>10</v>
      </c>
      <c r="V397" s="13">
        <f t="shared" si="32"/>
        <v>4</v>
      </c>
      <c r="W397" s="13">
        <f t="shared" si="62"/>
        <v>4</v>
      </c>
      <c r="X397" s="3">
        <f t="shared" si="40"/>
        <v>10</v>
      </c>
      <c r="Y397" s="3">
        <f t="shared" si="63"/>
        <v>4.7619047619047623E-3</v>
      </c>
      <c r="Z397" s="3"/>
      <c r="AA397" s="3">
        <f t="shared" si="68"/>
        <v>840</v>
      </c>
      <c r="AB397" s="3"/>
      <c r="AC397" s="3" t="s">
        <v>82</v>
      </c>
      <c r="AD397" s="3" t="s">
        <v>83</v>
      </c>
      <c r="AE397" s="3">
        <v>15</v>
      </c>
      <c r="AF397" s="3" t="s">
        <v>102</v>
      </c>
      <c r="AG397" s="3" t="s">
        <v>300</v>
      </c>
      <c r="AH397" s="3"/>
    </row>
    <row r="398" spans="1:34" ht="14.25" customHeight="1" x14ac:dyDescent="0.25">
      <c r="A398" s="3" t="s">
        <v>158</v>
      </c>
      <c r="B398" s="3" t="s">
        <v>79</v>
      </c>
      <c r="C398" s="3"/>
      <c r="D398" s="3" t="s">
        <v>101</v>
      </c>
      <c r="E398" s="3">
        <v>1</v>
      </c>
      <c r="F398" s="3">
        <v>1</v>
      </c>
      <c r="G398" s="3" t="s">
        <v>25</v>
      </c>
      <c r="H398" s="11">
        <v>45777</v>
      </c>
      <c r="I398" s="3" t="s">
        <v>142</v>
      </c>
      <c r="J398" s="3">
        <v>0</v>
      </c>
      <c r="K398" s="3">
        <v>0</v>
      </c>
      <c r="L398" s="3">
        <v>0</v>
      </c>
      <c r="M398" s="3">
        <f>7.9+11.4</f>
        <v>19.3</v>
      </c>
      <c r="N398" s="3">
        <v>0</v>
      </c>
      <c r="O398" s="3">
        <f t="shared" si="30"/>
        <v>19.3</v>
      </c>
      <c r="P398" s="3">
        <v>2</v>
      </c>
      <c r="Q398" s="3">
        <v>4</v>
      </c>
      <c r="R398" s="3">
        <v>1</v>
      </c>
      <c r="S398" s="3">
        <v>2</v>
      </c>
      <c r="T398" s="3">
        <v>1</v>
      </c>
      <c r="U398" s="3">
        <f t="shared" si="67"/>
        <v>10</v>
      </c>
      <c r="V398" s="13">
        <f t="shared" si="32"/>
        <v>1.9300000000000002</v>
      </c>
      <c r="W398" s="13">
        <f t="shared" si="62"/>
        <v>1.9300000000000002</v>
      </c>
      <c r="X398" s="3">
        <f t="shared" si="40"/>
        <v>10</v>
      </c>
      <c r="Y398" s="3">
        <f t="shared" si="63"/>
        <v>2.2976190476190479E-3</v>
      </c>
      <c r="Z398" s="3"/>
      <c r="AA398" s="3">
        <f t="shared" si="68"/>
        <v>840</v>
      </c>
      <c r="AB398" s="3"/>
      <c r="AC398" s="3" t="s">
        <v>82</v>
      </c>
      <c r="AD398" s="3" t="s">
        <v>83</v>
      </c>
      <c r="AE398" s="3">
        <v>15</v>
      </c>
      <c r="AF398" s="3" t="s">
        <v>102</v>
      </c>
      <c r="AG398" s="3" t="s">
        <v>300</v>
      </c>
      <c r="AH398" s="3"/>
    </row>
    <row r="399" spans="1:34" ht="14.25" customHeight="1" x14ac:dyDescent="0.25">
      <c r="A399" s="3" t="s">
        <v>158</v>
      </c>
      <c r="B399" s="3" t="s">
        <v>79</v>
      </c>
      <c r="C399" s="3"/>
      <c r="D399" s="3" t="s">
        <v>101</v>
      </c>
      <c r="E399" s="3">
        <v>1</v>
      </c>
      <c r="F399" s="3">
        <v>1</v>
      </c>
      <c r="G399" s="3" t="s">
        <v>22</v>
      </c>
      <c r="H399" s="11">
        <v>45777</v>
      </c>
      <c r="I399" s="3" t="s">
        <v>142</v>
      </c>
      <c r="J399" s="3">
        <v>30</v>
      </c>
      <c r="K399" s="3">
        <v>0</v>
      </c>
      <c r="L399" s="3">
        <v>0</v>
      </c>
      <c r="M399" s="3">
        <v>0</v>
      </c>
      <c r="N399" s="3">
        <v>0</v>
      </c>
      <c r="O399" s="3">
        <f t="shared" si="30"/>
        <v>30</v>
      </c>
      <c r="P399" s="3">
        <v>2</v>
      </c>
      <c r="Q399" s="3">
        <v>4</v>
      </c>
      <c r="R399" s="3">
        <v>1</v>
      </c>
      <c r="S399" s="3">
        <v>2</v>
      </c>
      <c r="T399" s="3">
        <v>1</v>
      </c>
      <c r="U399" s="3">
        <f t="shared" si="67"/>
        <v>10</v>
      </c>
      <c r="V399" s="13">
        <f t="shared" si="32"/>
        <v>3</v>
      </c>
      <c r="W399" s="13">
        <f t="shared" si="62"/>
        <v>3</v>
      </c>
      <c r="X399" s="3">
        <f t="shared" si="40"/>
        <v>10</v>
      </c>
      <c r="Y399" s="3">
        <f t="shared" si="63"/>
        <v>3.5714285714285713E-3</v>
      </c>
      <c r="Z399" s="3"/>
      <c r="AA399" s="3">
        <f t="shared" si="68"/>
        <v>840</v>
      </c>
      <c r="AB399" s="3"/>
      <c r="AC399" s="3" t="s">
        <v>82</v>
      </c>
      <c r="AD399" s="3" t="s">
        <v>83</v>
      </c>
      <c r="AE399" s="3">
        <v>15</v>
      </c>
      <c r="AF399" s="3" t="s">
        <v>102</v>
      </c>
      <c r="AG399" s="3" t="s">
        <v>300</v>
      </c>
      <c r="AH399" s="3"/>
    </row>
    <row r="400" spans="1:34" ht="14.25" customHeight="1" x14ac:dyDescent="0.25">
      <c r="A400" s="3" t="s">
        <v>137</v>
      </c>
      <c r="B400" s="3" t="s">
        <v>79</v>
      </c>
      <c r="C400" s="3"/>
      <c r="D400" s="3" t="s">
        <v>101</v>
      </c>
      <c r="E400" s="3">
        <v>2</v>
      </c>
      <c r="F400" s="3">
        <v>1</v>
      </c>
      <c r="G400" s="3" t="s">
        <v>1</v>
      </c>
      <c r="H400" s="11">
        <v>45777</v>
      </c>
      <c r="I400" s="3" t="s">
        <v>142</v>
      </c>
      <c r="J400" s="3">
        <f>0</f>
        <v>0</v>
      </c>
      <c r="K400" s="3">
        <v>23.7</v>
      </c>
      <c r="L400" s="3">
        <v>0</v>
      </c>
      <c r="M400" s="3">
        <v>0</v>
      </c>
      <c r="N400" s="3">
        <v>0</v>
      </c>
      <c r="O400" s="3">
        <f t="shared" si="30"/>
        <v>23.7</v>
      </c>
      <c r="P400" s="3">
        <v>6</v>
      </c>
      <c r="Q400" s="3">
        <v>6</v>
      </c>
      <c r="R400" s="3">
        <v>1</v>
      </c>
      <c r="S400" s="3">
        <v>4</v>
      </c>
      <c r="T400" s="3">
        <v>0</v>
      </c>
      <c r="U400" s="3">
        <v>20</v>
      </c>
      <c r="V400" s="13">
        <f t="shared" si="32"/>
        <v>1.1850000000000001</v>
      </c>
      <c r="W400" s="13">
        <f t="shared" si="62"/>
        <v>1.1850000000000001</v>
      </c>
      <c r="X400" s="3">
        <f t="shared" si="40"/>
        <v>20</v>
      </c>
      <c r="Y400" s="3" t="e">
        <f t="shared" si="63"/>
        <v>#DIV/0!</v>
      </c>
      <c r="Z400" s="3"/>
      <c r="AA400" s="3"/>
      <c r="AB400" s="3"/>
      <c r="AC400" s="3" t="s">
        <v>82</v>
      </c>
      <c r="AD400" s="3" t="s">
        <v>83</v>
      </c>
      <c r="AE400" s="3">
        <v>40</v>
      </c>
      <c r="AF400" s="3" t="s">
        <v>102</v>
      </c>
      <c r="AG400" s="3" t="s">
        <v>204</v>
      </c>
      <c r="AH400" s="3"/>
    </row>
    <row r="401" spans="1:34" ht="14.25" customHeight="1" x14ac:dyDescent="0.25">
      <c r="A401" s="3" t="s">
        <v>137</v>
      </c>
      <c r="B401" s="3" t="s">
        <v>79</v>
      </c>
      <c r="C401" s="3"/>
      <c r="D401" s="3" t="s">
        <v>101</v>
      </c>
      <c r="E401" s="3">
        <v>2</v>
      </c>
      <c r="F401" s="3">
        <v>1</v>
      </c>
      <c r="G401" s="3" t="s">
        <v>3</v>
      </c>
      <c r="H401" s="11">
        <v>45777</v>
      </c>
      <c r="I401" s="3" t="s">
        <v>142</v>
      </c>
      <c r="J401" s="3">
        <v>0</v>
      </c>
      <c r="K401" s="3">
        <v>140</v>
      </c>
      <c r="L401" s="3">
        <v>0</v>
      </c>
      <c r="M401" s="3">
        <v>0</v>
      </c>
      <c r="N401" s="3">
        <v>0</v>
      </c>
      <c r="O401" s="3">
        <f t="shared" si="30"/>
        <v>140</v>
      </c>
      <c r="P401" s="3">
        <v>6</v>
      </c>
      <c r="Q401" s="3">
        <v>6</v>
      </c>
      <c r="R401" s="3">
        <v>1</v>
      </c>
      <c r="S401" s="3">
        <v>4</v>
      </c>
      <c r="T401" s="3">
        <v>0</v>
      </c>
      <c r="U401" s="3">
        <v>20</v>
      </c>
      <c r="V401" s="13">
        <f t="shared" si="32"/>
        <v>7</v>
      </c>
      <c r="W401" s="13">
        <f t="shared" si="62"/>
        <v>7</v>
      </c>
      <c r="X401" s="3">
        <f t="shared" si="40"/>
        <v>20</v>
      </c>
      <c r="Y401" s="3" t="e">
        <f t="shared" si="63"/>
        <v>#DIV/0!</v>
      </c>
      <c r="Z401" s="3"/>
      <c r="AA401" s="3"/>
      <c r="AB401" s="3"/>
      <c r="AC401" s="3" t="s">
        <v>82</v>
      </c>
      <c r="AD401" s="3" t="s">
        <v>83</v>
      </c>
      <c r="AE401" s="3">
        <v>40</v>
      </c>
      <c r="AF401" s="3" t="s">
        <v>102</v>
      </c>
      <c r="AG401" s="3" t="s">
        <v>204</v>
      </c>
      <c r="AH401" s="3"/>
    </row>
    <row r="402" spans="1:34" ht="14.25" customHeight="1" x14ac:dyDescent="0.25">
      <c r="A402" s="3" t="s">
        <v>137</v>
      </c>
      <c r="B402" s="3" t="s">
        <v>79</v>
      </c>
      <c r="C402" s="3"/>
      <c r="D402" s="3" t="s">
        <v>101</v>
      </c>
      <c r="E402" s="3">
        <v>2</v>
      </c>
      <c r="F402" s="3">
        <v>1</v>
      </c>
      <c r="G402" s="3" t="s">
        <v>14</v>
      </c>
      <c r="H402" s="11">
        <v>45777</v>
      </c>
      <c r="I402" s="3" t="s">
        <v>142</v>
      </c>
      <c r="J402" s="3">
        <f>7.2+5.3</f>
        <v>12.5</v>
      </c>
      <c r="K402" s="3">
        <v>0</v>
      </c>
      <c r="L402" s="3">
        <v>0</v>
      </c>
      <c r="M402" s="3">
        <v>0</v>
      </c>
      <c r="N402" s="3">
        <v>0</v>
      </c>
      <c r="O402" s="3">
        <f t="shared" si="30"/>
        <v>12.5</v>
      </c>
      <c r="P402" s="3">
        <v>6</v>
      </c>
      <c r="Q402" s="3">
        <v>6</v>
      </c>
      <c r="R402" s="3">
        <v>1</v>
      </c>
      <c r="S402" s="3">
        <v>4</v>
      </c>
      <c r="T402" s="3">
        <v>0</v>
      </c>
      <c r="U402" s="3">
        <v>20</v>
      </c>
      <c r="V402" s="13">
        <f t="shared" si="32"/>
        <v>0.625</v>
      </c>
      <c r="W402" s="13">
        <f t="shared" si="62"/>
        <v>0.625</v>
      </c>
      <c r="X402" s="3">
        <f t="shared" si="40"/>
        <v>20</v>
      </c>
      <c r="Y402" s="3" t="e">
        <f t="shared" si="63"/>
        <v>#DIV/0!</v>
      </c>
      <c r="Z402" s="3"/>
      <c r="AA402" s="3"/>
      <c r="AB402" s="3"/>
      <c r="AC402" s="3" t="s">
        <v>82</v>
      </c>
      <c r="AD402" s="3" t="s">
        <v>83</v>
      </c>
      <c r="AE402" s="3">
        <v>40</v>
      </c>
      <c r="AF402" s="3" t="s">
        <v>102</v>
      </c>
      <c r="AG402" s="3" t="s">
        <v>204</v>
      </c>
      <c r="AH402" s="3"/>
    </row>
    <row r="403" spans="1:34" ht="14.25" customHeight="1" x14ac:dyDescent="0.25">
      <c r="A403" s="3" t="s">
        <v>137</v>
      </c>
      <c r="B403" s="3" t="s">
        <v>79</v>
      </c>
      <c r="C403" s="3"/>
      <c r="D403" s="3" t="s">
        <v>101</v>
      </c>
      <c r="E403" s="3">
        <v>2</v>
      </c>
      <c r="F403" s="3">
        <v>1</v>
      </c>
      <c r="G403" s="3" t="s">
        <v>16</v>
      </c>
      <c r="H403" s="11">
        <v>45777</v>
      </c>
      <c r="I403" s="3" t="s">
        <v>142</v>
      </c>
      <c r="J403" s="3">
        <f>5.2+7.5</f>
        <v>12.7</v>
      </c>
      <c r="K403" s="3">
        <f>8.2+9.8+2.3</f>
        <v>20.3</v>
      </c>
      <c r="L403" s="3">
        <f>3.7</f>
        <v>3.7</v>
      </c>
      <c r="M403" s="3">
        <v>0</v>
      </c>
      <c r="N403" s="3">
        <v>0</v>
      </c>
      <c r="O403" s="3">
        <f t="shared" si="30"/>
        <v>36.700000000000003</v>
      </c>
      <c r="P403" s="3">
        <v>6</v>
      </c>
      <c r="Q403" s="3">
        <v>6</v>
      </c>
      <c r="R403" s="3">
        <v>1</v>
      </c>
      <c r="S403" s="3">
        <v>4</v>
      </c>
      <c r="T403" s="3">
        <v>0</v>
      </c>
      <c r="U403" s="3">
        <v>20</v>
      </c>
      <c r="V403" s="13">
        <f t="shared" si="32"/>
        <v>1.8350000000000002</v>
      </c>
      <c r="W403" s="13">
        <f t="shared" si="62"/>
        <v>1.8350000000000002</v>
      </c>
      <c r="X403" s="3">
        <f t="shared" si="40"/>
        <v>20</v>
      </c>
      <c r="Y403" s="3" t="e">
        <f t="shared" si="63"/>
        <v>#DIV/0!</v>
      </c>
      <c r="Z403" s="3"/>
      <c r="AA403" s="3"/>
      <c r="AB403" s="3"/>
      <c r="AC403" s="3" t="s">
        <v>82</v>
      </c>
      <c r="AD403" s="3" t="s">
        <v>83</v>
      </c>
      <c r="AE403" s="3">
        <v>40</v>
      </c>
      <c r="AF403" s="3" t="s">
        <v>102</v>
      </c>
      <c r="AG403" s="3" t="s">
        <v>204</v>
      </c>
      <c r="AH403" s="3"/>
    </row>
    <row r="404" spans="1:34" ht="14.25" customHeight="1" x14ac:dyDescent="0.25">
      <c r="A404" s="3" t="s">
        <v>137</v>
      </c>
      <c r="B404" s="3" t="s">
        <v>79</v>
      </c>
      <c r="C404" s="3"/>
      <c r="D404" s="3" t="s">
        <v>101</v>
      </c>
      <c r="E404" s="3">
        <v>2</v>
      </c>
      <c r="F404" s="3">
        <v>1</v>
      </c>
      <c r="G404" s="3" t="s">
        <v>18</v>
      </c>
      <c r="H404" s="11">
        <v>45777</v>
      </c>
      <c r="I404" s="3" t="s">
        <v>142</v>
      </c>
      <c r="J404" s="3">
        <f>10.2+17+12+13</f>
        <v>52.2</v>
      </c>
      <c r="K404" s="3">
        <f>14.3+4.3+30+5.3</f>
        <v>53.9</v>
      </c>
      <c r="L404" s="3">
        <v>19.7</v>
      </c>
      <c r="M404" s="3">
        <f>15.5+17.2+10.2+6</f>
        <v>48.900000000000006</v>
      </c>
      <c r="N404" s="3">
        <v>0</v>
      </c>
      <c r="O404" s="3">
        <f t="shared" si="30"/>
        <v>174.7</v>
      </c>
      <c r="P404" s="3">
        <v>6</v>
      </c>
      <c r="Q404" s="3">
        <v>6</v>
      </c>
      <c r="R404" s="3">
        <v>1</v>
      </c>
      <c r="S404" s="3">
        <v>4</v>
      </c>
      <c r="T404" s="3">
        <v>0</v>
      </c>
      <c r="U404" s="3">
        <v>20</v>
      </c>
      <c r="V404" s="13">
        <f t="shared" si="32"/>
        <v>8.7349999999999994</v>
      </c>
      <c r="W404" s="13">
        <f t="shared" si="62"/>
        <v>8.7349999999999994</v>
      </c>
      <c r="X404" s="3">
        <f t="shared" si="40"/>
        <v>20</v>
      </c>
      <c r="Y404" s="3" t="e">
        <f t="shared" si="63"/>
        <v>#DIV/0!</v>
      </c>
      <c r="Z404" s="3"/>
      <c r="AA404" s="3"/>
      <c r="AB404" s="3"/>
      <c r="AC404" s="3" t="s">
        <v>82</v>
      </c>
      <c r="AD404" s="3" t="s">
        <v>83</v>
      </c>
      <c r="AE404" s="3">
        <v>40</v>
      </c>
      <c r="AF404" s="3" t="s">
        <v>102</v>
      </c>
      <c r="AG404" s="3" t="s">
        <v>204</v>
      </c>
      <c r="AH404" s="3"/>
    </row>
    <row r="405" spans="1:34" ht="14.25" customHeight="1" x14ac:dyDescent="0.25">
      <c r="A405" s="3" t="s">
        <v>114</v>
      </c>
      <c r="B405" s="3" t="s">
        <v>79</v>
      </c>
      <c r="C405" s="19"/>
      <c r="D405" s="3" t="s">
        <v>115</v>
      </c>
      <c r="E405" s="3">
        <v>1</v>
      </c>
      <c r="F405" s="3">
        <v>1</v>
      </c>
      <c r="G405" s="3" t="s">
        <v>1</v>
      </c>
      <c r="H405" s="11">
        <v>45777</v>
      </c>
      <c r="I405" s="3" t="s">
        <v>142</v>
      </c>
      <c r="J405" s="3">
        <f>15+11+15+12</f>
        <v>53</v>
      </c>
      <c r="K405" s="3">
        <f>8+11</f>
        <v>19</v>
      </c>
      <c r="L405" s="3">
        <f>14+16</f>
        <v>30</v>
      </c>
      <c r="M405" s="3">
        <f>16+12+12+11</f>
        <v>51</v>
      </c>
      <c r="N405" s="3">
        <f>10+16</f>
        <v>26</v>
      </c>
      <c r="O405" s="3">
        <f t="shared" si="30"/>
        <v>179</v>
      </c>
      <c r="P405" s="3">
        <v>5</v>
      </c>
      <c r="Q405" s="3">
        <v>2</v>
      </c>
      <c r="R405" s="3">
        <v>2</v>
      </c>
      <c r="S405" s="3">
        <v>6</v>
      </c>
      <c r="T405" s="3">
        <v>2</v>
      </c>
      <c r="U405" s="3">
        <f t="shared" ref="U405:U409" si="69">SUM(P405:T405)</f>
        <v>17</v>
      </c>
      <c r="V405" s="13">
        <f t="shared" si="32"/>
        <v>10.529411764705882</v>
      </c>
      <c r="W405" s="13">
        <f t="shared" si="62"/>
        <v>10.529411764705882</v>
      </c>
      <c r="X405" s="3">
        <f t="shared" si="40"/>
        <v>17</v>
      </c>
      <c r="Y405" s="3" t="e">
        <f t="shared" si="63"/>
        <v>#DIV/0!</v>
      </c>
      <c r="Z405" s="19"/>
      <c r="AA405" s="19"/>
      <c r="AB405" s="3">
        <v>25</v>
      </c>
      <c r="AC405" s="3" t="s">
        <v>82</v>
      </c>
      <c r="AD405" s="19"/>
      <c r="AE405" s="3">
        <v>18</v>
      </c>
      <c r="AF405" s="3" t="s">
        <v>151</v>
      </c>
      <c r="AG405" s="3" t="s">
        <v>235</v>
      </c>
      <c r="AH405" s="3"/>
    </row>
    <row r="406" spans="1:34" ht="14.25" customHeight="1" x14ac:dyDescent="0.25">
      <c r="A406" s="3" t="s">
        <v>114</v>
      </c>
      <c r="B406" s="3" t="s">
        <v>79</v>
      </c>
      <c r="C406" s="19"/>
      <c r="D406" s="3" t="s">
        <v>115</v>
      </c>
      <c r="E406" s="3">
        <v>1</v>
      </c>
      <c r="F406" s="3">
        <v>1</v>
      </c>
      <c r="G406" s="3" t="s">
        <v>2</v>
      </c>
      <c r="H406" s="11">
        <v>45777</v>
      </c>
      <c r="I406" s="3" t="s">
        <v>142</v>
      </c>
      <c r="J406" s="3">
        <v>3</v>
      </c>
      <c r="K406" s="3">
        <v>0</v>
      </c>
      <c r="L406" s="3">
        <v>0</v>
      </c>
      <c r="M406" s="3">
        <f>7+6</f>
        <v>13</v>
      </c>
      <c r="N406" s="3">
        <v>8</v>
      </c>
      <c r="O406" s="3">
        <f t="shared" si="30"/>
        <v>24</v>
      </c>
      <c r="P406" s="3">
        <v>5</v>
      </c>
      <c r="Q406" s="3">
        <v>2</v>
      </c>
      <c r="R406" s="3">
        <v>2</v>
      </c>
      <c r="S406" s="3">
        <v>6</v>
      </c>
      <c r="T406" s="3">
        <v>2</v>
      </c>
      <c r="U406" s="3">
        <f t="shared" si="69"/>
        <v>17</v>
      </c>
      <c r="V406" s="13">
        <f t="shared" si="32"/>
        <v>1.411764705882353</v>
      </c>
      <c r="W406" s="13">
        <f t="shared" si="62"/>
        <v>1.411764705882353</v>
      </c>
      <c r="X406" s="3">
        <f t="shared" si="40"/>
        <v>17</v>
      </c>
      <c r="Y406" s="3" t="e">
        <f t="shared" si="63"/>
        <v>#DIV/0!</v>
      </c>
      <c r="Z406" s="19"/>
      <c r="AA406" s="19"/>
      <c r="AB406" s="3">
        <v>25</v>
      </c>
      <c r="AC406" s="3" t="s">
        <v>82</v>
      </c>
      <c r="AD406" s="19"/>
      <c r="AE406" s="3">
        <v>18</v>
      </c>
      <c r="AF406" s="3" t="s">
        <v>151</v>
      </c>
      <c r="AG406" s="3" t="s">
        <v>235</v>
      </c>
      <c r="AH406" s="3"/>
    </row>
    <row r="407" spans="1:34" ht="14.25" customHeight="1" x14ac:dyDescent="0.25">
      <c r="A407" s="3" t="s">
        <v>114</v>
      </c>
      <c r="B407" s="3" t="s">
        <v>79</v>
      </c>
      <c r="C407" s="19"/>
      <c r="D407" s="3" t="s">
        <v>115</v>
      </c>
      <c r="E407" s="3">
        <v>1</v>
      </c>
      <c r="F407" s="3">
        <v>1</v>
      </c>
      <c r="G407" s="3" t="s">
        <v>19</v>
      </c>
      <c r="H407" s="11">
        <v>45777</v>
      </c>
      <c r="I407" s="3" t="s">
        <v>142</v>
      </c>
      <c r="J407" s="3">
        <v>0</v>
      </c>
      <c r="K407" s="3">
        <v>0</v>
      </c>
      <c r="L407" s="3">
        <v>0</v>
      </c>
      <c r="M407" s="3">
        <v>2</v>
      </c>
      <c r="N407" s="3">
        <v>0</v>
      </c>
      <c r="O407" s="3">
        <f t="shared" si="30"/>
        <v>2</v>
      </c>
      <c r="P407" s="3">
        <v>5</v>
      </c>
      <c r="Q407" s="3">
        <v>2</v>
      </c>
      <c r="R407" s="3">
        <v>2</v>
      </c>
      <c r="S407" s="3">
        <v>6</v>
      </c>
      <c r="T407" s="3">
        <v>2</v>
      </c>
      <c r="U407" s="3">
        <f t="shared" si="69"/>
        <v>17</v>
      </c>
      <c r="V407" s="13">
        <f t="shared" si="32"/>
        <v>0.11764705882352941</v>
      </c>
      <c r="W407" s="13">
        <f t="shared" si="62"/>
        <v>0.11764705882352941</v>
      </c>
      <c r="X407" s="3">
        <f t="shared" si="40"/>
        <v>17</v>
      </c>
      <c r="Y407" s="3" t="e">
        <f t="shared" si="63"/>
        <v>#DIV/0!</v>
      </c>
      <c r="Z407" s="19"/>
      <c r="AA407" s="19"/>
      <c r="AB407" s="3">
        <v>25</v>
      </c>
      <c r="AC407" s="3" t="s">
        <v>82</v>
      </c>
      <c r="AD407" s="19"/>
      <c r="AE407" s="3">
        <v>18</v>
      </c>
      <c r="AF407" s="3" t="s">
        <v>151</v>
      </c>
      <c r="AG407" s="3" t="s">
        <v>235</v>
      </c>
      <c r="AH407" s="3"/>
    </row>
    <row r="408" spans="1:34" ht="14.25" customHeight="1" x14ac:dyDescent="0.25">
      <c r="A408" s="3" t="s">
        <v>114</v>
      </c>
      <c r="B408" s="3" t="s">
        <v>79</v>
      </c>
      <c r="C408" s="19"/>
      <c r="D408" s="3" t="s">
        <v>115</v>
      </c>
      <c r="E408" s="3">
        <v>1</v>
      </c>
      <c r="F408" s="3">
        <v>1</v>
      </c>
      <c r="G408" s="3" t="s">
        <v>24</v>
      </c>
      <c r="H408" s="11">
        <v>45777</v>
      </c>
      <c r="I408" s="3" t="s">
        <v>142</v>
      </c>
      <c r="J408" s="3">
        <v>0</v>
      </c>
      <c r="K408" s="3">
        <v>0</v>
      </c>
      <c r="L408" s="3">
        <v>0</v>
      </c>
      <c r="M408" s="3">
        <f>6+5</f>
        <v>11</v>
      </c>
      <c r="N408" s="3">
        <v>0</v>
      </c>
      <c r="O408" s="3">
        <f t="shared" si="30"/>
        <v>11</v>
      </c>
      <c r="P408" s="3">
        <v>5</v>
      </c>
      <c r="Q408" s="3">
        <v>2</v>
      </c>
      <c r="R408" s="3">
        <v>2</v>
      </c>
      <c r="S408" s="3">
        <v>6</v>
      </c>
      <c r="T408" s="3">
        <v>2</v>
      </c>
      <c r="U408" s="3">
        <f t="shared" si="69"/>
        <v>17</v>
      </c>
      <c r="V408" s="13">
        <f t="shared" si="32"/>
        <v>0.6470588235294118</v>
      </c>
      <c r="W408" s="13">
        <f t="shared" si="62"/>
        <v>0.6470588235294118</v>
      </c>
      <c r="X408" s="3">
        <f t="shared" si="40"/>
        <v>17</v>
      </c>
      <c r="Y408" s="3" t="e">
        <f t="shared" si="63"/>
        <v>#DIV/0!</v>
      </c>
      <c r="Z408" s="19"/>
      <c r="AA408" s="19"/>
      <c r="AB408" s="3">
        <v>25</v>
      </c>
      <c r="AC408" s="3" t="s">
        <v>82</v>
      </c>
      <c r="AD408" s="19"/>
      <c r="AE408" s="3">
        <v>18</v>
      </c>
      <c r="AF408" s="3" t="s">
        <v>151</v>
      </c>
      <c r="AG408" s="3" t="s">
        <v>235</v>
      </c>
      <c r="AH408" s="3"/>
    </row>
    <row r="409" spans="1:34" ht="14.25" customHeight="1" x14ac:dyDescent="0.25">
      <c r="A409" s="3" t="s">
        <v>114</v>
      </c>
      <c r="B409" s="3" t="s">
        <v>79</v>
      </c>
      <c r="C409" s="19"/>
      <c r="D409" s="3" t="s">
        <v>115</v>
      </c>
      <c r="E409" s="3">
        <v>1</v>
      </c>
      <c r="F409" s="3">
        <v>1</v>
      </c>
      <c r="G409" s="3" t="s">
        <v>28</v>
      </c>
      <c r="H409" s="11">
        <v>45777</v>
      </c>
      <c r="I409" s="3" t="s">
        <v>142</v>
      </c>
      <c r="J409" s="3">
        <v>6</v>
      </c>
      <c r="K409" s="3">
        <v>0</v>
      </c>
      <c r="L409" s="3">
        <v>0</v>
      </c>
      <c r="M409" s="3">
        <f>8+10</f>
        <v>18</v>
      </c>
      <c r="N409" s="3">
        <v>0</v>
      </c>
      <c r="O409" s="3">
        <f t="shared" si="30"/>
        <v>24</v>
      </c>
      <c r="P409" s="3">
        <v>5</v>
      </c>
      <c r="Q409" s="3">
        <v>2</v>
      </c>
      <c r="R409" s="3">
        <v>2</v>
      </c>
      <c r="S409" s="3">
        <v>6</v>
      </c>
      <c r="T409" s="3">
        <v>2</v>
      </c>
      <c r="U409" s="3">
        <f t="shared" si="69"/>
        <v>17</v>
      </c>
      <c r="V409" s="13">
        <f t="shared" si="32"/>
        <v>1.411764705882353</v>
      </c>
      <c r="W409" s="13">
        <f t="shared" si="62"/>
        <v>1.411764705882353</v>
      </c>
      <c r="X409" s="3">
        <f t="shared" si="40"/>
        <v>17</v>
      </c>
      <c r="Y409" s="3" t="e">
        <f t="shared" si="63"/>
        <v>#DIV/0!</v>
      </c>
      <c r="Z409" s="19"/>
      <c r="AA409" s="19"/>
      <c r="AB409" s="3">
        <v>25</v>
      </c>
      <c r="AC409" s="3" t="s">
        <v>82</v>
      </c>
      <c r="AD409" s="19"/>
      <c r="AE409" s="3">
        <v>18</v>
      </c>
      <c r="AF409" s="3" t="s">
        <v>151</v>
      </c>
      <c r="AG409" s="3" t="s">
        <v>235</v>
      </c>
      <c r="AH409" s="3"/>
    </row>
    <row r="410" spans="1:34" ht="14.25" customHeight="1" x14ac:dyDescent="0.25">
      <c r="A410" s="3" t="s">
        <v>156</v>
      </c>
      <c r="B410" s="3" t="s">
        <v>79</v>
      </c>
      <c r="C410" s="3"/>
      <c r="D410" s="3" t="s">
        <v>101</v>
      </c>
      <c r="E410" s="3">
        <v>2</v>
      </c>
      <c r="F410" s="3">
        <v>1</v>
      </c>
      <c r="G410" s="3" t="s">
        <v>1</v>
      </c>
      <c r="H410" s="11">
        <v>45808</v>
      </c>
      <c r="I410" s="3" t="s">
        <v>159</v>
      </c>
      <c r="J410" s="3">
        <f>15+25+12</f>
        <v>52</v>
      </c>
      <c r="K410" s="3">
        <v>22</v>
      </c>
      <c r="L410" s="3">
        <f>33+12+12</f>
        <v>57</v>
      </c>
      <c r="M410" s="3">
        <f>15+40</f>
        <v>55</v>
      </c>
      <c r="N410" s="3">
        <v>32</v>
      </c>
      <c r="O410" s="3">
        <f t="shared" ref="O410:O569" si="70">SUM(J410:N410)</f>
        <v>218</v>
      </c>
      <c r="P410" s="3">
        <v>6</v>
      </c>
      <c r="Q410" s="3">
        <v>7</v>
      </c>
      <c r="R410" s="3">
        <v>5</v>
      </c>
      <c r="S410" s="3">
        <v>6</v>
      </c>
      <c r="T410" s="3">
        <v>1</v>
      </c>
      <c r="U410" s="3">
        <f t="shared" ref="U410:U414" si="71">SUM(P410:T410)</f>
        <v>25</v>
      </c>
      <c r="V410" s="13">
        <f t="shared" ref="V410:V445" si="72">3/U410/F410</f>
        <v>0.12</v>
      </c>
      <c r="W410" s="13">
        <f t="shared" si="62"/>
        <v>8.7200000000000006</v>
      </c>
      <c r="X410" s="20">
        <f t="shared" ref="X410:X569" si="73">F410*U410</f>
        <v>25</v>
      </c>
      <c r="Y410" s="3">
        <f t="shared" si="63"/>
        <v>2.2177009155645981E-3</v>
      </c>
      <c r="Z410" s="3"/>
      <c r="AA410" s="3">
        <f t="shared" ref="AA410:AA414" si="74">100*2.2*11+90*4.2*4</f>
        <v>3932.0000000000005</v>
      </c>
      <c r="AB410" s="3"/>
      <c r="AC410" s="3" t="s">
        <v>82</v>
      </c>
      <c r="AD410" s="3" t="s">
        <v>83</v>
      </c>
      <c r="AE410" s="3">
        <v>15</v>
      </c>
      <c r="AF410" s="3" t="s">
        <v>102</v>
      </c>
      <c r="AG410" s="3" t="s">
        <v>301</v>
      </c>
      <c r="AH410" s="3"/>
    </row>
    <row r="411" spans="1:34" ht="14.25" customHeight="1" x14ac:dyDescent="0.25">
      <c r="A411" s="3" t="s">
        <v>156</v>
      </c>
      <c r="B411" s="3" t="s">
        <v>79</v>
      </c>
      <c r="C411" s="3"/>
      <c r="D411" s="3" t="s">
        <v>101</v>
      </c>
      <c r="E411" s="3">
        <v>2</v>
      </c>
      <c r="F411" s="3">
        <v>1</v>
      </c>
      <c r="G411" s="3" t="s">
        <v>3</v>
      </c>
      <c r="H411" s="11">
        <v>45808</v>
      </c>
      <c r="I411" s="3" t="s">
        <v>159</v>
      </c>
      <c r="J411" s="3">
        <v>75</v>
      </c>
      <c r="K411" s="3">
        <f>90+40+22</f>
        <v>152</v>
      </c>
      <c r="L411" s="3">
        <v>11</v>
      </c>
      <c r="M411" s="3">
        <f>20+25+12</f>
        <v>57</v>
      </c>
      <c r="N411" s="3">
        <v>0</v>
      </c>
      <c r="O411" s="3">
        <f t="shared" si="70"/>
        <v>295</v>
      </c>
      <c r="P411" s="3">
        <v>6</v>
      </c>
      <c r="Q411" s="3">
        <v>7</v>
      </c>
      <c r="R411" s="3">
        <v>5</v>
      </c>
      <c r="S411" s="3">
        <v>6</v>
      </c>
      <c r="T411" s="3">
        <v>1</v>
      </c>
      <c r="U411" s="3">
        <f t="shared" si="71"/>
        <v>25</v>
      </c>
      <c r="V411" s="13">
        <f t="shared" si="72"/>
        <v>0.12</v>
      </c>
      <c r="W411" s="13">
        <f t="shared" si="62"/>
        <v>11.8</v>
      </c>
      <c r="X411" s="20">
        <f t="shared" si="73"/>
        <v>25</v>
      </c>
      <c r="Y411" s="3">
        <f t="shared" si="63"/>
        <v>3.0010172939979652E-3</v>
      </c>
      <c r="Z411" s="3"/>
      <c r="AA411" s="3">
        <f t="shared" si="74"/>
        <v>3932.0000000000005</v>
      </c>
      <c r="AB411" s="3"/>
      <c r="AC411" s="3" t="s">
        <v>82</v>
      </c>
      <c r="AD411" s="3" t="s">
        <v>83</v>
      </c>
      <c r="AE411" s="3">
        <v>15</v>
      </c>
      <c r="AF411" s="3" t="s">
        <v>102</v>
      </c>
      <c r="AG411" s="3" t="s">
        <v>301</v>
      </c>
      <c r="AH411" s="3"/>
    </row>
    <row r="412" spans="1:34" ht="14.25" customHeight="1" x14ac:dyDescent="0.25">
      <c r="A412" s="3" t="s">
        <v>156</v>
      </c>
      <c r="B412" s="3" t="s">
        <v>79</v>
      </c>
      <c r="C412" s="3"/>
      <c r="D412" s="3" t="s">
        <v>101</v>
      </c>
      <c r="E412" s="3">
        <v>2</v>
      </c>
      <c r="F412" s="3">
        <v>1</v>
      </c>
      <c r="G412" s="3" t="s">
        <v>7</v>
      </c>
      <c r="H412" s="11">
        <v>45808</v>
      </c>
      <c r="I412" s="3" t="s">
        <v>159</v>
      </c>
      <c r="J412" s="3">
        <f>5+3+8</f>
        <v>16</v>
      </c>
      <c r="K412" s="3">
        <v>11</v>
      </c>
      <c r="L412" s="3">
        <v>0</v>
      </c>
      <c r="M412" s="3">
        <v>0</v>
      </c>
      <c r="N412" s="3">
        <v>0</v>
      </c>
      <c r="O412" s="3">
        <f t="shared" si="70"/>
        <v>27</v>
      </c>
      <c r="P412" s="3">
        <v>6</v>
      </c>
      <c r="Q412" s="3">
        <v>7</v>
      </c>
      <c r="R412" s="3">
        <v>5</v>
      </c>
      <c r="S412" s="3">
        <v>6</v>
      </c>
      <c r="T412" s="3">
        <v>1</v>
      </c>
      <c r="U412" s="3">
        <f t="shared" si="71"/>
        <v>25</v>
      </c>
      <c r="V412" s="13">
        <f t="shared" si="72"/>
        <v>0.12</v>
      </c>
      <c r="W412" s="13">
        <f t="shared" si="62"/>
        <v>1.08</v>
      </c>
      <c r="X412" s="20">
        <f t="shared" si="73"/>
        <v>25</v>
      </c>
      <c r="Y412" s="3">
        <f t="shared" si="63"/>
        <v>2.7466937945066122E-4</v>
      </c>
      <c r="Z412" s="3"/>
      <c r="AA412" s="3">
        <f t="shared" si="74"/>
        <v>3932.0000000000005</v>
      </c>
      <c r="AB412" s="3"/>
      <c r="AC412" s="3" t="s">
        <v>82</v>
      </c>
      <c r="AD412" s="3" t="s">
        <v>83</v>
      </c>
      <c r="AE412" s="3">
        <v>15</v>
      </c>
      <c r="AF412" s="3" t="s">
        <v>102</v>
      </c>
      <c r="AG412" s="3" t="s">
        <v>301</v>
      </c>
      <c r="AH412" s="3"/>
    </row>
    <row r="413" spans="1:34" ht="14.25" customHeight="1" x14ac:dyDescent="0.25">
      <c r="A413" s="3" t="s">
        <v>156</v>
      </c>
      <c r="B413" s="3" t="s">
        <v>79</v>
      </c>
      <c r="C413" s="3"/>
      <c r="D413" s="3" t="s">
        <v>101</v>
      </c>
      <c r="E413" s="3">
        <v>2</v>
      </c>
      <c r="F413" s="3">
        <v>1</v>
      </c>
      <c r="G413" s="3" t="s">
        <v>2</v>
      </c>
      <c r="H413" s="11">
        <v>45808</v>
      </c>
      <c r="I413" s="3" t="s">
        <v>159</v>
      </c>
      <c r="J413" s="3">
        <v>0</v>
      </c>
      <c r="K413" s="3">
        <v>22</v>
      </c>
      <c r="L413" s="3">
        <v>7</v>
      </c>
      <c r="M413" s="3">
        <f>6+12+8</f>
        <v>26</v>
      </c>
      <c r="N413" s="3">
        <v>0</v>
      </c>
      <c r="O413" s="3">
        <f t="shared" si="70"/>
        <v>55</v>
      </c>
      <c r="P413" s="3">
        <v>6</v>
      </c>
      <c r="Q413" s="3">
        <v>7</v>
      </c>
      <c r="R413" s="3">
        <v>5</v>
      </c>
      <c r="S413" s="3">
        <v>6</v>
      </c>
      <c r="T413" s="3">
        <v>1</v>
      </c>
      <c r="U413" s="3">
        <f t="shared" si="71"/>
        <v>25</v>
      </c>
      <c r="V413" s="13">
        <f t="shared" si="72"/>
        <v>0.12</v>
      </c>
      <c r="W413" s="13">
        <f t="shared" si="62"/>
        <v>2.2000000000000002</v>
      </c>
      <c r="X413" s="20">
        <f t="shared" si="73"/>
        <v>25</v>
      </c>
      <c r="Y413" s="3">
        <f t="shared" si="63"/>
        <v>5.5951169888097659E-4</v>
      </c>
      <c r="Z413" s="3"/>
      <c r="AA413" s="3">
        <f t="shared" si="74"/>
        <v>3932.0000000000005</v>
      </c>
      <c r="AB413" s="3"/>
      <c r="AC413" s="3" t="s">
        <v>82</v>
      </c>
      <c r="AD413" s="3" t="s">
        <v>83</v>
      </c>
      <c r="AE413" s="3">
        <v>15</v>
      </c>
      <c r="AF413" s="3" t="s">
        <v>102</v>
      </c>
      <c r="AG413" s="3" t="s">
        <v>301</v>
      </c>
      <c r="AH413" s="3"/>
    </row>
    <row r="414" spans="1:34" ht="14.25" customHeight="1" x14ac:dyDescent="0.25">
      <c r="A414" s="3" t="s">
        <v>156</v>
      </c>
      <c r="B414" s="3" t="s">
        <v>79</v>
      </c>
      <c r="C414" s="3"/>
      <c r="D414" s="3" t="s">
        <v>101</v>
      </c>
      <c r="E414" s="3">
        <v>2</v>
      </c>
      <c r="F414" s="3">
        <v>1</v>
      </c>
      <c r="G414" s="3" t="s">
        <v>9</v>
      </c>
      <c r="H414" s="11">
        <v>45808</v>
      </c>
      <c r="I414" s="3" t="s">
        <v>159</v>
      </c>
      <c r="J414" s="3">
        <f>10+22+17</f>
        <v>49</v>
      </c>
      <c r="K414" s="3">
        <f>15+10+8</f>
        <v>33</v>
      </c>
      <c r="L414" s="3">
        <f>6+8</f>
        <v>14</v>
      </c>
      <c r="M414" s="3">
        <v>0</v>
      </c>
      <c r="N414" s="3">
        <v>0</v>
      </c>
      <c r="O414" s="3">
        <f t="shared" si="70"/>
        <v>96</v>
      </c>
      <c r="P414" s="3">
        <v>6</v>
      </c>
      <c r="Q414" s="3">
        <v>7</v>
      </c>
      <c r="R414" s="3">
        <v>5</v>
      </c>
      <c r="S414" s="3">
        <v>6</v>
      </c>
      <c r="T414" s="3">
        <v>1</v>
      </c>
      <c r="U414" s="3">
        <f t="shared" si="71"/>
        <v>25</v>
      </c>
      <c r="V414" s="13">
        <f t="shared" si="72"/>
        <v>0.12</v>
      </c>
      <c r="W414" s="13">
        <f t="shared" si="62"/>
        <v>3.84</v>
      </c>
      <c r="X414" s="20">
        <f t="shared" si="73"/>
        <v>25</v>
      </c>
      <c r="Y414" s="3">
        <f t="shared" si="63"/>
        <v>9.7660223804679541E-4</v>
      </c>
      <c r="Z414" s="3"/>
      <c r="AA414" s="3">
        <f t="shared" si="74"/>
        <v>3932.0000000000005</v>
      </c>
      <c r="AB414" s="3"/>
      <c r="AC414" s="3" t="s">
        <v>82</v>
      </c>
      <c r="AD414" s="3" t="s">
        <v>83</v>
      </c>
      <c r="AE414" s="3">
        <v>15</v>
      </c>
      <c r="AF414" s="3" t="s">
        <v>102</v>
      </c>
      <c r="AG414" s="3" t="s">
        <v>301</v>
      </c>
      <c r="AH414" s="3"/>
    </row>
    <row r="415" spans="1:34" ht="14.25" customHeight="1" x14ac:dyDescent="0.25">
      <c r="A415" s="3" t="s">
        <v>154</v>
      </c>
      <c r="B415" s="3" t="s">
        <v>79</v>
      </c>
      <c r="C415" s="3"/>
      <c r="D415" s="3" t="s">
        <v>101</v>
      </c>
      <c r="E415" s="3">
        <v>2</v>
      </c>
      <c r="F415" s="3">
        <v>1</v>
      </c>
      <c r="G415" s="3" t="s">
        <v>2</v>
      </c>
      <c r="H415" s="11">
        <v>45808</v>
      </c>
      <c r="I415" s="3" t="s">
        <v>159</v>
      </c>
      <c r="J415" s="3">
        <v>0</v>
      </c>
      <c r="K415" s="3">
        <v>6</v>
      </c>
      <c r="L415" s="3">
        <v>0</v>
      </c>
      <c r="M415" s="3">
        <v>0</v>
      </c>
      <c r="N415" s="3">
        <v>0</v>
      </c>
      <c r="O415" s="3">
        <f t="shared" si="70"/>
        <v>6</v>
      </c>
      <c r="P415" s="3">
        <v>4</v>
      </c>
      <c r="Q415" s="3">
        <v>3</v>
      </c>
      <c r="R415" s="3">
        <v>3</v>
      </c>
      <c r="S415" s="3">
        <v>3</v>
      </c>
      <c r="T415" s="3">
        <v>1</v>
      </c>
      <c r="U415" s="3">
        <v>15</v>
      </c>
      <c r="V415" s="13">
        <f t="shared" si="72"/>
        <v>0.2</v>
      </c>
      <c r="W415" s="13">
        <f t="shared" si="62"/>
        <v>0.4</v>
      </c>
      <c r="X415" s="20">
        <f t="shared" si="73"/>
        <v>15</v>
      </c>
      <c r="Y415" s="3" t="e">
        <f t="shared" si="63"/>
        <v>#DIV/0!</v>
      </c>
      <c r="Z415" s="3"/>
      <c r="AA415" s="3"/>
      <c r="AB415" s="3"/>
      <c r="AC415" s="3" t="s">
        <v>82</v>
      </c>
      <c r="AD415" s="3" t="s">
        <v>83</v>
      </c>
      <c r="AE415" s="3">
        <v>50</v>
      </c>
      <c r="AF415" s="3" t="s">
        <v>102</v>
      </c>
      <c r="AG415" s="3" t="s">
        <v>196</v>
      </c>
      <c r="AH415" s="3"/>
    </row>
    <row r="416" spans="1:34" ht="14.25" customHeight="1" x14ac:dyDescent="0.25">
      <c r="A416" s="3" t="s">
        <v>154</v>
      </c>
      <c r="B416" s="3" t="s">
        <v>79</v>
      </c>
      <c r="C416" s="3"/>
      <c r="D416" s="3" t="s">
        <v>101</v>
      </c>
      <c r="E416" s="3">
        <v>2</v>
      </c>
      <c r="F416" s="3">
        <v>1</v>
      </c>
      <c r="G416" s="3" t="s">
        <v>12</v>
      </c>
      <c r="H416" s="11">
        <v>45808</v>
      </c>
      <c r="I416" s="3" t="s">
        <v>159</v>
      </c>
      <c r="J416" s="3">
        <v>3</v>
      </c>
      <c r="K416" s="3">
        <v>0</v>
      </c>
      <c r="L416" s="3">
        <v>0</v>
      </c>
      <c r="M416" s="3">
        <v>0</v>
      </c>
      <c r="N416" s="3">
        <v>0</v>
      </c>
      <c r="O416" s="3">
        <f t="shared" si="70"/>
        <v>3</v>
      </c>
      <c r="P416" s="3">
        <v>4</v>
      </c>
      <c r="Q416" s="3">
        <v>3</v>
      </c>
      <c r="R416" s="3">
        <v>3</v>
      </c>
      <c r="S416" s="3">
        <v>3</v>
      </c>
      <c r="T416" s="3">
        <v>1</v>
      </c>
      <c r="U416" s="3">
        <v>15</v>
      </c>
      <c r="V416" s="13">
        <f t="shared" si="72"/>
        <v>0.2</v>
      </c>
      <c r="W416" s="13">
        <f t="shared" si="62"/>
        <v>0.2</v>
      </c>
      <c r="X416" s="20">
        <f t="shared" si="73"/>
        <v>15</v>
      </c>
      <c r="Y416" s="3" t="e">
        <f t="shared" si="63"/>
        <v>#DIV/0!</v>
      </c>
      <c r="Z416" s="3"/>
      <c r="AA416" s="3"/>
      <c r="AB416" s="3"/>
      <c r="AC416" s="3" t="s">
        <v>82</v>
      </c>
      <c r="AD416" s="3" t="s">
        <v>83</v>
      </c>
      <c r="AE416" s="3">
        <v>50</v>
      </c>
      <c r="AF416" s="3" t="s">
        <v>102</v>
      </c>
      <c r="AG416" s="3" t="s">
        <v>196</v>
      </c>
      <c r="AH416" s="3"/>
    </row>
    <row r="417" spans="1:34" ht="14.25" customHeight="1" x14ac:dyDescent="0.25">
      <c r="A417" s="3" t="s">
        <v>154</v>
      </c>
      <c r="B417" s="3" t="s">
        <v>79</v>
      </c>
      <c r="C417" s="3"/>
      <c r="D417" s="3" t="s">
        <v>101</v>
      </c>
      <c r="E417" s="3">
        <v>2</v>
      </c>
      <c r="F417" s="3">
        <v>1</v>
      </c>
      <c r="G417" s="3" t="s">
        <v>14</v>
      </c>
      <c r="H417" s="11">
        <v>45808</v>
      </c>
      <c r="I417" s="3" t="s">
        <v>159</v>
      </c>
      <c r="J417" s="3">
        <v>7.3</v>
      </c>
      <c r="K417" s="3">
        <v>0</v>
      </c>
      <c r="L417" s="3">
        <f>14.5+4.2</f>
        <v>18.7</v>
      </c>
      <c r="M417" s="3">
        <v>10.5</v>
      </c>
      <c r="N417" s="3">
        <v>0</v>
      </c>
      <c r="O417" s="3">
        <f t="shared" si="70"/>
        <v>36.5</v>
      </c>
      <c r="P417" s="3">
        <v>4</v>
      </c>
      <c r="Q417" s="3">
        <v>3</v>
      </c>
      <c r="R417" s="3">
        <v>3</v>
      </c>
      <c r="S417" s="3">
        <v>3</v>
      </c>
      <c r="T417" s="3">
        <v>1</v>
      </c>
      <c r="U417" s="3">
        <v>15</v>
      </c>
      <c r="V417" s="13">
        <f t="shared" si="72"/>
        <v>0.2</v>
      </c>
      <c r="W417" s="13">
        <f t="shared" si="62"/>
        <v>2.4333333333333331</v>
      </c>
      <c r="X417" s="20">
        <f t="shared" si="73"/>
        <v>15</v>
      </c>
      <c r="Y417" s="3" t="e">
        <f t="shared" si="63"/>
        <v>#DIV/0!</v>
      </c>
      <c r="Z417" s="3"/>
      <c r="AA417" s="3"/>
      <c r="AB417" s="3"/>
      <c r="AC417" s="3" t="s">
        <v>82</v>
      </c>
      <c r="AD417" s="3" t="s">
        <v>83</v>
      </c>
      <c r="AE417" s="3">
        <v>50</v>
      </c>
      <c r="AF417" s="3" t="s">
        <v>102</v>
      </c>
      <c r="AG417" s="3" t="s">
        <v>196</v>
      </c>
      <c r="AH417" s="3"/>
    </row>
    <row r="418" spans="1:34" ht="14.25" customHeight="1" x14ac:dyDescent="0.25">
      <c r="A418" s="3" t="s">
        <v>154</v>
      </c>
      <c r="B418" s="3" t="s">
        <v>79</v>
      </c>
      <c r="C418" s="3"/>
      <c r="D418" s="3" t="s">
        <v>101</v>
      </c>
      <c r="E418" s="3">
        <v>2</v>
      </c>
      <c r="F418" s="3">
        <v>1</v>
      </c>
      <c r="G418" s="3" t="s">
        <v>16</v>
      </c>
      <c r="H418" s="11">
        <v>45808</v>
      </c>
      <c r="I418" s="3" t="s">
        <v>159</v>
      </c>
      <c r="J418" s="3">
        <v>3.5</v>
      </c>
      <c r="K418" s="3">
        <v>10</v>
      </c>
      <c r="L418" s="3">
        <v>5.3</v>
      </c>
      <c r="M418" s="3">
        <f>3.5+5.4</f>
        <v>8.9</v>
      </c>
      <c r="N418" s="3">
        <v>0</v>
      </c>
      <c r="O418" s="3">
        <f t="shared" si="70"/>
        <v>27.700000000000003</v>
      </c>
      <c r="P418" s="3">
        <v>4</v>
      </c>
      <c r="Q418" s="3">
        <v>3</v>
      </c>
      <c r="R418" s="3">
        <v>3</v>
      </c>
      <c r="S418" s="3">
        <v>3</v>
      </c>
      <c r="T418" s="3">
        <v>1</v>
      </c>
      <c r="U418" s="3">
        <v>15</v>
      </c>
      <c r="V418" s="13">
        <f t="shared" si="72"/>
        <v>0.2</v>
      </c>
      <c r="W418" s="13">
        <f t="shared" si="62"/>
        <v>1.8466666666666669</v>
      </c>
      <c r="X418" s="20">
        <f t="shared" si="73"/>
        <v>15</v>
      </c>
      <c r="Y418" s="3" t="e">
        <f t="shared" si="63"/>
        <v>#DIV/0!</v>
      </c>
      <c r="Z418" s="3"/>
      <c r="AA418" s="3"/>
      <c r="AB418" s="3"/>
      <c r="AC418" s="3" t="s">
        <v>82</v>
      </c>
      <c r="AD418" s="3" t="s">
        <v>83</v>
      </c>
      <c r="AE418" s="3">
        <v>50</v>
      </c>
      <c r="AF418" s="3" t="s">
        <v>102</v>
      </c>
      <c r="AG418" s="3" t="s">
        <v>196</v>
      </c>
      <c r="AH418" s="3"/>
    </row>
    <row r="419" spans="1:34" ht="14.25" customHeight="1" x14ac:dyDescent="0.25">
      <c r="A419" s="3" t="s">
        <v>154</v>
      </c>
      <c r="B419" s="3" t="s">
        <v>79</v>
      </c>
      <c r="C419" s="3"/>
      <c r="D419" s="3" t="s">
        <v>101</v>
      </c>
      <c r="E419" s="3">
        <v>2</v>
      </c>
      <c r="F419" s="3">
        <v>1</v>
      </c>
      <c r="G419" s="3" t="s">
        <v>18</v>
      </c>
      <c r="H419" s="11">
        <v>45808</v>
      </c>
      <c r="I419" s="3" t="s">
        <v>159</v>
      </c>
      <c r="J419" s="3">
        <v>4.2</v>
      </c>
      <c r="K419" s="3">
        <v>7.2</v>
      </c>
      <c r="L419" s="3">
        <v>0</v>
      </c>
      <c r="M419" s="3">
        <v>7.2</v>
      </c>
      <c r="N419" s="3">
        <v>5</v>
      </c>
      <c r="O419" s="3">
        <f t="shared" si="70"/>
        <v>23.6</v>
      </c>
      <c r="P419" s="3">
        <v>4</v>
      </c>
      <c r="Q419" s="3">
        <v>3</v>
      </c>
      <c r="R419" s="3">
        <v>3</v>
      </c>
      <c r="S419" s="3">
        <v>3</v>
      </c>
      <c r="T419" s="3">
        <v>1</v>
      </c>
      <c r="U419" s="3">
        <v>15</v>
      </c>
      <c r="V419" s="13">
        <f t="shared" si="72"/>
        <v>0.2</v>
      </c>
      <c r="W419" s="13">
        <f t="shared" si="62"/>
        <v>1.5733333333333335</v>
      </c>
      <c r="X419" s="20">
        <f t="shared" si="73"/>
        <v>15</v>
      </c>
      <c r="Y419" s="3" t="e">
        <f t="shared" si="63"/>
        <v>#DIV/0!</v>
      </c>
      <c r="Z419" s="3"/>
      <c r="AA419" s="3"/>
      <c r="AB419" s="3"/>
      <c r="AC419" s="3" t="s">
        <v>82</v>
      </c>
      <c r="AD419" s="3" t="s">
        <v>83</v>
      </c>
      <c r="AE419" s="3">
        <v>50</v>
      </c>
      <c r="AF419" s="3" t="s">
        <v>102</v>
      </c>
      <c r="AG419" s="3" t="s">
        <v>196</v>
      </c>
      <c r="AH419" s="3"/>
    </row>
    <row r="420" spans="1:34" ht="14.25" customHeight="1" x14ac:dyDescent="0.25">
      <c r="A420" s="3" t="s">
        <v>105</v>
      </c>
      <c r="B420" s="3" t="s">
        <v>79</v>
      </c>
      <c r="C420" s="3"/>
      <c r="D420" s="3" t="s">
        <v>101</v>
      </c>
      <c r="E420" s="3">
        <v>2</v>
      </c>
      <c r="F420" s="3">
        <v>1</v>
      </c>
      <c r="G420" s="3" t="s">
        <v>1</v>
      </c>
      <c r="H420" s="11">
        <v>45808</v>
      </c>
      <c r="I420" s="3" t="s">
        <v>159</v>
      </c>
      <c r="J420" s="3">
        <v>0</v>
      </c>
      <c r="K420" s="3">
        <v>4</v>
      </c>
      <c r="L420" s="3">
        <v>0</v>
      </c>
      <c r="M420" s="3">
        <v>0</v>
      </c>
      <c r="N420" s="3">
        <v>0</v>
      </c>
      <c r="O420" s="3">
        <f t="shared" si="70"/>
        <v>4</v>
      </c>
      <c r="P420" s="3">
        <v>3</v>
      </c>
      <c r="Q420" s="3">
        <v>2</v>
      </c>
      <c r="R420" s="3">
        <v>0</v>
      </c>
      <c r="S420" s="3">
        <v>2</v>
      </c>
      <c r="T420" s="3">
        <v>0</v>
      </c>
      <c r="U420" s="3">
        <v>17</v>
      </c>
      <c r="V420" s="13">
        <f t="shared" si="72"/>
        <v>0.17647058823529413</v>
      </c>
      <c r="W420" s="13">
        <f t="shared" si="62"/>
        <v>0.23529411764705882</v>
      </c>
      <c r="X420" s="20">
        <f t="shared" si="73"/>
        <v>17</v>
      </c>
      <c r="Y420" s="3">
        <f t="shared" si="63"/>
        <v>1.1007911936704506E-3</v>
      </c>
      <c r="Z420" s="3"/>
      <c r="AA420" s="3">
        <f t="shared" ref="AA420:AA423" si="75">35*1.75*3+20*1.5*1</f>
        <v>213.75</v>
      </c>
      <c r="AB420" s="3"/>
      <c r="AC420" s="3" t="s">
        <v>82</v>
      </c>
      <c r="AD420" s="3" t="s">
        <v>83</v>
      </c>
      <c r="AE420" s="3">
        <v>15</v>
      </c>
      <c r="AF420" s="3" t="s">
        <v>102</v>
      </c>
      <c r="AG420" s="3" t="s">
        <v>287</v>
      </c>
      <c r="AH420" s="3"/>
    </row>
    <row r="421" spans="1:34" ht="14.25" customHeight="1" x14ac:dyDescent="0.25">
      <c r="A421" s="3" t="s">
        <v>105</v>
      </c>
      <c r="B421" s="3" t="s">
        <v>79</v>
      </c>
      <c r="C421" s="3"/>
      <c r="D421" s="3" t="s">
        <v>101</v>
      </c>
      <c r="E421" s="3">
        <v>2</v>
      </c>
      <c r="F421" s="3">
        <v>1</v>
      </c>
      <c r="G421" s="3" t="s">
        <v>3</v>
      </c>
      <c r="H421" s="11">
        <v>45808</v>
      </c>
      <c r="I421" s="3" t="s">
        <v>159</v>
      </c>
      <c r="J421" s="3">
        <f>6+6+9</f>
        <v>21</v>
      </c>
      <c r="K421" s="3">
        <v>3</v>
      </c>
      <c r="L421" s="3">
        <v>0</v>
      </c>
      <c r="M421" s="3">
        <v>8</v>
      </c>
      <c r="N421" s="3">
        <v>0</v>
      </c>
      <c r="O421" s="3">
        <f t="shared" si="70"/>
        <v>32</v>
      </c>
      <c r="P421" s="3">
        <v>3</v>
      </c>
      <c r="Q421" s="3">
        <v>2</v>
      </c>
      <c r="R421" s="3">
        <v>0</v>
      </c>
      <c r="S421" s="3">
        <v>2</v>
      </c>
      <c r="T421" s="3">
        <v>0</v>
      </c>
      <c r="U421" s="3">
        <v>17</v>
      </c>
      <c r="V421" s="13">
        <f t="shared" si="72"/>
        <v>0.17647058823529413</v>
      </c>
      <c r="W421" s="13">
        <f t="shared" si="62"/>
        <v>1.8823529411764706</v>
      </c>
      <c r="X421" s="20">
        <f t="shared" si="73"/>
        <v>17</v>
      </c>
      <c r="Y421" s="3">
        <f t="shared" si="63"/>
        <v>8.8063295493636048E-3</v>
      </c>
      <c r="Z421" s="3"/>
      <c r="AA421" s="3">
        <f t="shared" si="75"/>
        <v>213.75</v>
      </c>
      <c r="AB421" s="3"/>
      <c r="AC421" s="3" t="s">
        <v>82</v>
      </c>
      <c r="AD421" s="3" t="s">
        <v>83</v>
      </c>
      <c r="AE421" s="3">
        <v>15</v>
      </c>
      <c r="AF421" s="3" t="s">
        <v>102</v>
      </c>
      <c r="AG421" s="3" t="s">
        <v>287</v>
      </c>
      <c r="AH421" s="3"/>
    </row>
    <row r="422" spans="1:34" ht="14.25" customHeight="1" x14ac:dyDescent="0.25">
      <c r="A422" s="3" t="s">
        <v>105</v>
      </c>
      <c r="B422" s="3" t="s">
        <v>79</v>
      </c>
      <c r="C422" s="3"/>
      <c r="D422" s="3" t="s">
        <v>101</v>
      </c>
      <c r="E422" s="3">
        <v>2</v>
      </c>
      <c r="F422" s="3">
        <v>1</v>
      </c>
      <c r="G422" s="3" t="s">
        <v>2</v>
      </c>
      <c r="H422" s="11">
        <v>45808</v>
      </c>
      <c r="I422" s="3" t="s">
        <v>159</v>
      </c>
      <c r="J422" s="3">
        <v>0</v>
      </c>
      <c r="K422" s="3">
        <v>0</v>
      </c>
      <c r="L422" s="3">
        <v>0</v>
      </c>
      <c r="M422" s="3">
        <v>4</v>
      </c>
      <c r="N422" s="3">
        <v>0</v>
      </c>
      <c r="O422" s="3">
        <f t="shared" si="70"/>
        <v>4</v>
      </c>
      <c r="P422" s="3">
        <v>3</v>
      </c>
      <c r="Q422" s="3">
        <v>2</v>
      </c>
      <c r="R422" s="3">
        <v>0</v>
      </c>
      <c r="S422" s="3">
        <v>2</v>
      </c>
      <c r="T422" s="3">
        <v>0</v>
      </c>
      <c r="U422" s="3">
        <v>17</v>
      </c>
      <c r="V422" s="13">
        <f t="shared" si="72"/>
        <v>0.17647058823529413</v>
      </c>
      <c r="W422" s="13">
        <f t="shared" si="62"/>
        <v>0.23529411764705882</v>
      </c>
      <c r="X422" s="20">
        <f t="shared" si="73"/>
        <v>17</v>
      </c>
      <c r="Y422" s="3">
        <f t="shared" si="63"/>
        <v>1.1007911936704506E-3</v>
      </c>
      <c r="Z422" s="3"/>
      <c r="AA422" s="3">
        <f t="shared" si="75"/>
        <v>213.75</v>
      </c>
      <c r="AB422" s="3"/>
      <c r="AC422" s="3" t="s">
        <v>82</v>
      </c>
      <c r="AD422" s="3" t="s">
        <v>83</v>
      </c>
      <c r="AE422" s="3">
        <v>15</v>
      </c>
      <c r="AF422" s="3" t="s">
        <v>102</v>
      </c>
      <c r="AG422" s="3" t="s">
        <v>287</v>
      </c>
      <c r="AH422" s="3"/>
    </row>
    <row r="423" spans="1:34" ht="14.25" customHeight="1" x14ac:dyDescent="0.25">
      <c r="A423" s="3" t="s">
        <v>105</v>
      </c>
      <c r="B423" s="3" t="s">
        <v>79</v>
      </c>
      <c r="C423" s="3"/>
      <c r="D423" s="3" t="s">
        <v>101</v>
      </c>
      <c r="E423" s="3">
        <v>2</v>
      </c>
      <c r="F423" s="3">
        <v>1</v>
      </c>
      <c r="G423" s="3" t="s">
        <v>14</v>
      </c>
      <c r="H423" s="11">
        <v>45808</v>
      </c>
      <c r="I423" s="3" t="s">
        <v>159</v>
      </c>
      <c r="J423" s="3">
        <v>4</v>
      </c>
      <c r="K423" s="3">
        <v>0</v>
      </c>
      <c r="L423" s="3">
        <v>0</v>
      </c>
      <c r="M423" s="3">
        <v>0</v>
      </c>
      <c r="N423" s="3">
        <v>0</v>
      </c>
      <c r="O423" s="3">
        <f t="shared" si="70"/>
        <v>4</v>
      </c>
      <c r="P423" s="3">
        <v>3</v>
      </c>
      <c r="Q423" s="3">
        <v>2</v>
      </c>
      <c r="R423" s="3">
        <v>0</v>
      </c>
      <c r="S423" s="3">
        <v>2</v>
      </c>
      <c r="T423" s="3">
        <v>0</v>
      </c>
      <c r="U423" s="3">
        <v>17</v>
      </c>
      <c r="V423" s="13">
        <f t="shared" si="72"/>
        <v>0.17647058823529413</v>
      </c>
      <c r="W423" s="13">
        <f t="shared" si="62"/>
        <v>0.23529411764705882</v>
      </c>
      <c r="X423" s="20">
        <f t="shared" si="73"/>
        <v>17</v>
      </c>
      <c r="Y423" s="3">
        <f t="shared" si="63"/>
        <v>1.1007911936704506E-3</v>
      </c>
      <c r="Z423" s="3"/>
      <c r="AA423" s="3">
        <f t="shared" si="75"/>
        <v>213.75</v>
      </c>
      <c r="AB423" s="3"/>
      <c r="AC423" s="3" t="s">
        <v>82</v>
      </c>
      <c r="AD423" s="3" t="s">
        <v>83</v>
      </c>
      <c r="AE423" s="3">
        <v>15</v>
      </c>
      <c r="AF423" s="3" t="s">
        <v>102</v>
      </c>
      <c r="AG423" s="3" t="s">
        <v>287</v>
      </c>
      <c r="AH423" s="3"/>
    </row>
    <row r="424" spans="1:34" ht="14.25" customHeight="1" x14ac:dyDescent="0.25">
      <c r="A424" s="3" t="s">
        <v>107</v>
      </c>
      <c r="B424" s="3" t="s">
        <v>79</v>
      </c>
      <c r="C424" s="3"/>
      <c r="D424" s="3" t="s">
        <v>101</v>
      </c>
      <c r="E424" s="3">
        <v>2</v>
      </c>
      <c r="F424" s="3">
        <v>1</v>
      </c>
      <c r="G424" s="3" t="s">
        <v>3</v>
      </c>
      <c r="H424" s="11">
        <v>45808</v>
      </c>
      <c r="I424" s="3" t="s">
        <v>159</v>
      </c>
      <c r="J424" s="3">
        <v>12</v>
      </c>
      <c r="K424" s="3">
        <v>0</v>
      </c>
      <c r="L424" s="3">
        <v>0</v>
      </c>
      <c r="M424" s="3">
        <v>0</v>
      </c>
      <c r="N424" s="3">
        <v>0</v>
      </c>
      <c r="O424" s="3">
        <f t="shared" si="70"/>
        <v>12</v>
      </c>
      <c r="P424" s="3">
        <v>2</v>
      </c>
      <c r="Q424" s="3">
        <v>1</v>
      </c>
      <c r="R424" s="3">
        <v>1</v>
      </c>
      <c r="S424" s="3">
        <v>1</v>
      </c>
      <c r="T424" s="3">
        <v>0</v>
      </c>
      <c r="U424" s="3">
        <v>15</v>
      </c>
      <c r="V424" s="13">
        <f t="shared" si="72"/>
        <v>0.2</v>
      </c>
      <c r="W424" s="13">
        <f t="shared" si="62"/>
        <v>0.8</v>
      </c>
      <c r="X424" s="20">
        <f t="shared" si="73"/>
        <v>15</v>
      </c>
      <c r="Y424" s="3" t="e">
        <f t="shared" si="63"/>
        <v>#DIV/0!</v>
      </c>
      <c r="Z424" s="3"/>
      <c r="AA424" s="3"/>
      <c r="AB424" s="3"/>
      <c r="AC424" s="3" t="s">
        <v>82</v>
      </c>
      <c r="AD424" s="3" t="s">
        <v>83</v>
      </c>
      <c r="AE424" s="3"/>
      <c r="AF424" s="3" t="s">
        <v>102</v>
      </c>
      <c r="AG424" s="3" t="s">
        <v>359</v>
      </c>
      <c r="AH424" s="3"/>
    </row>
    <row r="425" spans="1:34" ht="14.25" customHeight="1" x14ac:dyDescent="0.25">
      <c r="A425" s="3" t="s">
        <v>107</v>
      </c>
      <c r="B425" s="3" t="s">
        <v>79</v>
      </c>
      <c r="C425" s="3"/>
      <c r="D425" s="3" t="s">
        <v>101</v>
      </c>
      <c r="E425" s="3">
        <v>2</v>
      </c>
      <c r="F425" s="3">
        <v>1</v>
      </c>
      <c r="G425" s="3" t="s">
        <v>14</v>
      </c>
      <c r="H425" s="11">
        <v>45808</v>
      </c>
      <c r="I425" s="3" t="s">
        <v>159</v>
      </c>
      <c r="J425" s="3">
        <v>5.5</v>
      </c>
      <c r="K425" s="3">
        <v>0</v>
      </c>
      <c r="L425" s="3">
        <v>0</v>
      </c>
      <c r="M425" s="3">
        <v>10</v>
      </c>
      <c r="N425" s="3">
        <v>0</v>
      </c>
      <c r="O425" s="3">
        <f t="shared" si="70"/>
        <v>15.5</v>
      </c>
      <c r="P425" s="3">
        <v>2</v>
      </c>
      <c r="Q425" s="3">
        <v>1</v>
      </c>
      <c r="R425" s="3">
        <v>1</v>
      </c>
      <c r="S425" s="3">
        <v>1</v>
      </c>
      <c r="T425" s="3">
        <v>0</v>
      </c>
      <c r="U425" s="3">
        <v>15</v>
      </c>
      <c r="V425" s="13">
        <f t="shared" si="72"/>
        <v>0.2</v>
      </c>
      <c r="W425" s="13">
        <f t="shared" si="62"/>
        <v>1.0333333333333334</v>
      </c>
      <c r="X425" s="20">
        <f t="shared" si="73"/>
        <v>15</v>
      </c>
      <c r="Y425" s="3" t="e">
        <f t="shared" si="63"/>
        <v>#DIV/0!</v>
      </c>
      <c r="Z425" s="3"/>
      <c r="AA425" s="3"/>
      <c r="AB425" s="3"/>
      <c r="AC425" s="3" t="s">
        <v>82</v>
      </c>
      <c r="AD425" s="3" t="s">
        <v>83</v>
      </c>
      <c r="AE425" s="3"/>
      <c r="AF425" s="3" t="s">
        <v>102</v>
      </c>
      <c r="AG425" s="3" t="s">
        <v>359</v>
      </c>
      <c r="AH425" s="3"/>
    </row>
    <row r="426" spans="1:34" ht="14.25" customHeight="1" x14ac:dyDescent="0.25">
      <c r="A426" s="3" t="s">
        <v>107</v>
      </c>
      <c r="B426" s="3" t="s">
        <v>79</v>
      </c>
      <c r="C426" s="3"/>
      <c r="D426" s="3" t="s">
        <v>101</v>
      </c>
      <c r="E426" s="3">
        <v>2</v>
      </c>
      <c r="F426" s="3">
        <v>1</v>
      </c>
      <c r="G426" s="3" t="s">
        <v>16</v>
      </c>
      <c r="H426" s="11">
        <v>45808</v>
      </c>
      <c r="I426" s="3" t="s">
        <v>159</v>
      </c>
      <c r="J426" s="3">
        <v>0</v>
      </c>
      <c r="K426" s="3">
        <v>2.4</v>
      </c>
      <c r="L426" s="3">
        <v>3.1</v>
      </c>
      <c r="M426" s="3">
        <v>0</v>
      </c>
      <c r="N426" s="3">
        <v>0</v>
      </c>
      <c r="O426" s="3">
        <f t="shared" si="70"/>
        <v>5.5</v>
      </c>
      <c r="P426" s="3">
        <v>2</v>
      </c>
      <c r="Q426" s="3">
        <v>1</v>
      </c>
      <c r="R426" s="3">
        <v>1</v>
      </c>
      <c r="S426" s="3">
        <v>1</v>
      </c>
      <c r="T426" s="3">
        <v>0</v>
      </c>
      <c r="U426" s="3">
        <v>15</v>
      </c>
      <c r="V426" s="13">
        <f t="shared" si="72"/>
        <v>0.2</v>
      </c>
      <c r="W426" s="13">
        <f t="shared" si="62"/>
        <v>0.36666666666666664</v>
      </c>
      <c r="X426" s="20">
        <f t="shared" si="73"/>
        <v>15</v>
      </c>
      <c r="Y426" s="3" t="e">
        <f t="shared" si="63"/>
        <v>#DIV/0!</v>
      </c>
      <c r="Z426" s="3"/>
      <c r="AA426" s="3"/>
      <c r="AB426" s="3"/>
      <c r="AC426" s="3" t="s">
        <v>82</v>
      </c>
      <c r="AD426" s="3" t="s">
        <v>83</v>
      </c>
      <c r="AE426" s="3"/>
      <c r="AF426" s="3" t="s">
        <v>102</v>
      </c>
      <c r="AG426" s="3" t="s">
        <v>359</v>
      </c>
      <c r="AH426" s="3"/>
    </row>
    <row r="427" spans="1:34" ht="14.25" customHeight="1" x14ac:dyDescent="0.25">
      <c r="A427" s="3" t="s">
        <v>137</v>
      </c>
      <c r="B427" s="3" t="s">
        <v>79</v>
      </c>
      <c r="C427" s="3"/>
      <c r="D427" s="3" t="s">
        <v>101</v>
      </c>
      <c r="E427" s="3">
        <v>2</v>
      </c>
      <c r="F427" s="3">
        <v>1</v>
      </c>
      <c r="G427" s="3" t="s">
        <v>14</v>
      </c>
      <c r="H427" s="11">
        <v>45808</v>
      </c>
      <c r="I427" s="3" t="s">
        <v>159</v>
      </c>
      <c r="J427" s="3">
        <f>9+15</f>
        <v>24</v>
      </c>
      <c r="K427" s="3">
        <v>0</v>
      </c>
      <c r="L427" s="3">
        <v>0</v>
      </c>
      <c r="M427" s="3">
        <v>0</v>
      </c>
      <c r="N427" s="3">
        <v>0</v>
      </c>
      <c r="O427" s="3">
        <f t="shared" si="70"/>
        <v>24</v>
      </c>
      <c r="P427" s="3">
        <v>6</v>
      </c>
      <c r="Q427" s="3">
        <v>2</v>
      </c>
      <c r="R427" s="3">
        <v>0</v>
      </c>
      <c r="S427" s="3">
        <v>0</v>
      </c>
      <c r="T427" s="3">
        <v>0</v>
      </c>
      <c r="U427" s="3">
        <v>23</v>
      </c>
      <c r="V427" s="13">
        <f t="shared" si="72"/>
        <v>0.13043478260869565</v>
      </c>
      <c r="W427" s="13">
        <f t="shared" si="62"/>
        <v>1.0434782608695652</v>
      </c>
      <c r="X427" s="20">
        <f t="shared" si="73"/>
        <v>23</v>
      </c>
      <c r="Y427" s="3" t="e">
        <f t="shared" si="63"/>
        <v>#DIV/0!</v>
      </c>
      <c r="Z427" s="3"/>
      <c r="AA427" s="3"/>
      <c r="AB427" s="3"/>
      <c r="AC427" s="3" t="s">
        <v>82</v>
      </c>
      <c r="AD427" s="3" t="s">
        <v>83</v>
      </c>
      <c r="AE427" s="3"/>
      <c r="AF427" s="3" t="s">
        <v>102</v>
      </c>
      <c r="AG427" s="3" t="s">
        <v>236</v>
      </c>
      <c r="AH427" s="3"/>
    </row>
    <row r="428" spans="1:34" ht="14.25" customHeight="1" x14ac:dyDescent="0.25">
      <c r="A428" s="3" t="s">
        <v>137</v>
      </c>
      <c r="B428" s="3" t="s">
        <v>79</v>
      </c>
      <c r="C428" s="3"/>
      <c r="D428" s="3" t="s">
        <v>101</v>
      </c>
      <c r="E428" s="3">
        <v>2</v>
      </c>
      <c r="F428" s="3">
        <v>1</v>
      </c>
      <c r="G428" s="3" t="s">
        <v>16</v>
      </c>
      <c r="H428" s="11">
        <v>45808</v>
      </c>
      <c r="I428" s="3" t="s">
        <v>159</v>
      </c>
      <c r="J428" s="3">
        <f>3.5+7.6</f>
        <v>11.1</v>
      </c>
      <c r="K428" s="3">
        <v>0</v>
      </c>
      <c r="L428" s="3">
        <v>0</v>
      </c>
      <c r="M428" s="3">
        <v>0</v>
      </c>
      <c r="N428" s="3">
        <v>0</v>
      </c>
      <c r="O428" s="3">
        <f t="shared" si="70"/>
        <v>11.1</v>
      </c>
      <c r="P428" s="3">
        <v>6</v>
      </c>
      <c r="Q428" s="3">
        <v>2</v>
      </c>
      <c r="R428" s="3">
        <v>0</v>
      </c>
      <c r="S428" s="3">
        <v>0</v>
      </c>
      <c r="T428" s="3">
        <v>0</v>
      </c>
      <c r="U428" s="3">
        <v>23</v>
      </c>
      <c r="V428" s="13">
        <f t="shared" si="72"/>
        <v>0.13043478260869565</v>
      </c>
      <c r="W428" s="13">
        <f t="shared" si="62"/>
        <v>0.4826086956521739</v>
      </c>
      <c r="X428" s="20">
        <f t="shared" si="73"/>
        <v>23</v>
      </c>
      <c r="Y428" s="3" t="e">
        <f t="shared" si="63"/>
        <v>#DIV/0!</v>
      </c>
      <c r="Z428" s="3"/>
      <c r="AA428" s="3"/>
      <c r="AB428" s="3"/>
      <c r="AC428" s="3" t="s">
        <v>82</v>
      </c>
      <c r="AD428" s="3" t="s">
        <v>83</v>
      </c>
      <c r="AE428" s="3"/>
      <c r="AF428" s="3" t="s">
        <v>102</v>
      </c>
      <c r="AG428" s="3" t="s">
        <v>236</v>
      </c>
      <c r="AH428" s="3"/>
    </row>
    <row r="429" spans="1:34" ht="14.25" customHeight="1" x14ac:dyDescent="0.25">
      <c r="A429" s="3" t="s">
        <v>137</v>
      </c>
      <c r="B429" s="3" t="s">
        <v>79</v>
      </c>
      <c r="C429" s="3"/>
      <c r="D429" s="3" t="s">
        <v>101</v>
      </c>
      <c r="E429" s="3">
        <v>2</v>
      </c>
      <c r="F429" s="3">
        <v>1</v>
      </c>
      <c r="G429" s="3" t="s">
        <v>18</v>
      </c>
      <c r="H429" s="11">
        <v>45808</v>
      </c>
      <c r="I429" s="3" t="s">
        <v>159</v>
      </c>
      <c r="J429" s="3">
        <f>7+5+9+14+4+6.5</f>
        <v>45.5</v>
      </c>
      <c r="K429" s="3">
        <v>0</v>
      </c>
      <c r="L429" s="3">
        <v>0</v>
      </c>
      <c r="M429" s="3">
        <v>0</v>
      </c>
      <c r="N429" s="3">
        <v>0</v>
      </c>
      <c r="O429" s="3">
        <f t="shared" si="70"/>
        <v>45.5</v>
      </c>
      <c r="P429" s="3">
        <v>6</v>
      </c>
      <c r="Q429" s="3">
        <v>2</v>
      </c>
      <c r="R429" s="3">
        <v>0</v>
      </c>
      <c r="S429" s="3">
        <v>0</v>
      </c>
      <c r="T429" s="3">
        <v>0</v>
      </c>
      <c r="U429" s="3">
        <v>23</v>
      </c>
      <c r="V429" s="13">
        <f t="shared" si="72"/>
        <v>0.13043478260869565</v>
      </c>
      <c r="W429" s="13">
        <f t="shared" si="62"/>
        <v>1.9782608695652173</v>
      </c>
      <c r="X429" s="20">
        <f t="shared" si="73"/>
        <v>23</v>
      </c>
      <c r="Y429" s="3" t="e">
        <f t="shared" si="63"/>
        <v>#DIV/0!</v>
      </c>
      <c r="Z429" s="3"/>
      <c r="AA429" s="3"/>
      <c r="AB429" s="3"/>
      <c r="AC429" s="3" t="s">
        <v>82</v>
      </c>
      <c r="AD429" s="3" t="s">
        <v>83</v>
      </c>
      <c r="AE429" s="3"/>
      <c r="AF429" s="3" t="s">
        <v>102</v>
      </c>
      <c r="AG429" s="3" t="s">
        <v>236</v>
      </c>
      <c r="AH429" s="3"/>
    </row>
    <row r="430" spans="1:34" ht="14.25" customHeight="1" x14ac:dyDescent="0.25">
      <c r="A430" s="3" t="s">
        <v>137</v>
      </c>
      <c r="B430" s="3" t="s">
        <v>79</v>
      </c>
      <c r="C430" s="3"/>
      <c r="D430" s="3" t="s">
        <v>101</v>
      </c>
      <c r="E430" s="3">
        <v>2</v>
      </c>
      <c r="F430" s="3">
        <v>1</v>
      </c>
      <c r="G430" s="3" t="s">
        <v>22</v>
      </c>
      <c r="H430" s="11">
        <v>45808</v>
      </c>
      <c r="I430" s="3" t="s">
        <v>159</v>
      </c>
      <c r="J430" s="3">
        <v>5.5</v>
      </c>
      <c r="K430" s="3">
        <v>10</v>
      </c>
      <c r="L430" s="3">
        <v>0</v>
      </c>
      <c r="M430" s="3">
        <v>0</v>
      </c>
      <c r="N430" s="3">
        <v>0</v>
      </c>
      <c r="O430" s="3">
        <f t="shared" si="70"/>
        <v>15.5</v>
      </c>
      <c r="P430" s="3">
        <v>6</v>
      </c>
      <c r="Q430" s="3">
        <v>2</v>
      </c>
      <c r="R430" s="3">
        <v>0</v>
      </c>
      <c r="S430" s="3">
        <v>0</v>
      </c>
      <c r="T430" s="3">
        <v>0</v>
      </c>
      <c r="U430" s="3">
        <v>23</v>
      </c>
      <c r="V430" s="13">
        <f t="shared" si="72"/>
        <v>0.13043478260869565</v>
      </c>
      <c r="W430" s="13">
        <f t="shared" si="62"/>
        <v>0.67391304347826086</v>
      </c>
      <c r="X430" s="20">
        <f t="shared" si="73"/>
        <v>23</v>
      </c>
      <c r="Y430" s="3" t="e">
        <f t="shared" si="63"/>
        <v>#DIV/0!</v>
      </c>
      <c r="Z430" s="3"/>
      <c r="AA430" s="3"/>
      <c r="AB430" s="3"/>
      <c r="AC430" s="3" t="s">
        <v>82</v>
      </c>
      <c r="AD430" s="3" t="s">
        <v>83</v>
      </c>
      <c r="AE430" s="3"/>
      <c r="AF430" s="3" t="s">
        <v>102</v>
      </c>
      <c r="AG430" s="3" t="s">
        <v>236</v>
      </c>
      <c r="AH430" s="3"/>
    </row>
    <row r="431" spans="1:34" ht="14.25" customHeight="1" x14ac:dyDescent="0.25">
      <c r="A431" s="3" t="s">
        <v>109</v>
      </c>
      <c r="B431" s="3" t="s">
        <v>79</v>
      </c>
      <c r="C431" s="3"/>
      <c r="D431" s="3" t="s">
        <v>101</v>
      </c>
      <c r="E431" s="3">
        <v>2</v>
      </c>
      <c r="F431" s="3">
        <v>1</v>
      </c>
      <c r="G431" s="3" t="s">
        <v>1</v>
      </c>
      <c r="H431" s="11">
        <v>45808</v>
      </c>
      <c r="I431" s="3" t="s">
        <v>159</v>
      </c>
      <c r="J431" s="3">
        <v>15</v>
      </c>
      <c r="K431" s="3">
        <v>5</v>
      </c>
      <c r="L431" s="3">
        <v>20</v>
      </c>
      <c r="M431" s="3">
        <v>10</v>
      </c>
      <c r="N431" s="3">
        <v>0</v>
      </c>
      <c r="O431" s="3">
        <f t="shared" si="70"/>
        <v>50</v>
      </c>
      <c r="P431" s="3">
        <v>1</v>
      </c>
      <c r="Q431" s="3">
        <v>3</v>
      </c>
      <c r="R431" s="3">
        <v>2</v>
      </c>
      <c r="S431" s="3">
        <v>2</v>
      </c>
      <c r="T431" s="3">
        <v>0</v>
      </c>
      <c r="U431" s="3">
        <v>20</v>
      </c>
      <c r="V431" s="13">
        <f t="shared" si="72"/>
        <v>0.15</v>
      </c>
      <c r="W431" s="13">
        <f t="shared" si="62"/>
        <v>2.5</v>
      </c>
      <c r="X431" s="20">
        <f t="shared" si="73"/>
        <v>20</v>
      </c>
      <c r="Y431" s="3" t="e">
        <f t="shared" si="63"/>
        <v>#DIV/0!</v>
      </c>
      <c r="Z431" s="3"/>
      <c r="AA431" s="3"/>
      <c r="AB431" s="3">
        <v>30</v>
      </c>
      <c r="AC431" s="3" t="s">
        <v>82</v>
      </c>
      <c r="AD431" s="3" t="s">
        <v>83</v>
      </c>
      <c r="AE431" s="3">
        <v>40</v>
      </c>
      <c r="AF431" s="3" t="s">
        <v>102</v>
      </c>
      <c r="AG431" s="3" t="s">
        <v>237</v>
      </c>
      <c r="AH431" s="3"/>
    </row>
    <row r="432" spans="1:34" ht="14.25" customHeight="1" x14ac:dyDescent="0.25">
      <c r="A432" s="3" t="s">
        <v>109</v>
      </c>
      <c r="B432" s="3" t="s">
        <v>79</v>
      </c>
      <c r="C432" s="3"/>
      <c r="D432" s="3" t="s">
        <v>101</v>
      </c>
      <c r="E432" s="3">
        <v>2</v>
      </c>
      <c r="F432" s="3">
        <v>1</v>
      </c>
      <c r="G432" s="3" t="s">
        <v>18</v>
      </c>
      <c r="H432" s="11">
        <v>45808</v>
      </c>
      <c r="I432" s="3" t="s">
        <v>159</v>
      </c>
      <c r="J432" s="3">
        <v>0</v>
      </c>
      <c r="K432" s="3">
        <v>12.8</v>
      </c>
      <c r="L432" s="3">
        <v>0</v>
      </c>
      <c r="M432" s="3">
        <v>0</v>
      </c>
      <c r="N432" s="3">
        <v>0</v>
      </c>
      <c r="O432" s="3">
        <f t="shared" si="70"/>
        <v>12.8</v>
      </c>
      <c r="P432" s="3">
        <v>1</v>
      </c>
      <c r="Q432" s="3">
        <v>3</v>
      </c>
      <c r="R432" s="3">
        <v>2</v>
      </c>
      <c r="S432" s="3">
        <v>2</v>
      </c>
      <c r="T432" s="3">
        <v>0</v>
      </c>
      <c r="U432" s="3">
        <v>20</v>
      </c>
      <c r="V432" s="13">
        <f t="shared" si="72"/>
        <v>0.15</v>
      </c>
      <c r="W432" s="13">
        <f t="shared" si="62"/>
        <v>0.64</v>
      </c>
      <c r="X432" s="20">
        <f t="shared" si="73"/>
        <v>20</v>
      </c>
      <c r="Y432" s="3" t="e">
        <f t="shared" si="63"/>
        <v>#DIV/0!</v>
      </c>
      <c r="Z432" s="3"/>
      <c r="AA432" s="3"/>
      <c r="AB432" s="3">
        <v>30</v>
      </c>
      <c r="AC432" s="3" t="s">
        <v>82</v>
      </c>
      <c r="AD432" s="3" t="s">
        <v>83</v>
      </c>
      <c r="AE432" s="3">
        <v>40</v>
      </c>
      <c r="AF432" s="3" t="s">
        <v>102</v>
      </c>
      <c r="AG432" s="3" t="s">
        <v>237</v>
      </c>
      <c r="AH432" s="3"/>
    </row>
    <row r="433" spans="1:34" ht="14.25" customHeight="1" x14ac:dyDescent="0.25">
      <c r="A433" s="3" t="s">
        <v>111</v>
      </c>
      <c r="B433" s="3" t="s">
        <v>79</v>
      </c>
      <c r="C433" s="3"/>
      <c r="D433" s="3" t="s">
        <v>101</v>
      </c>
      <c r="E433" s="3">
        <v>2</v>
      </c>
      <c r="F433" s="3">
        <v>1</v>
      </c>
      <c r="G433" s="3" t="s">
        <v>1</v>
      </c>
      <c r="H433" s="11">
        <v>45808</v>
      </c>
      <c r="I433" s="3" t="s">
        <v>159</v>
      </c>
      <c r="J433" s="3">
        <v>0</v>
      </c>
      <c r="K433" s="3">
        <v>0</v>
      </c>
      <c r="L433" s="3">
        <v>30</v>
      </c>
      <c r="M433" s="3">
        <v>0</v>
      </c>
      <c r="N433" s="3">
        <v>0</v>
      </c>
      <c r="O433" s="3">
        <f t="shared" si="70"/>
        <v>30</v>
      </c>
      <c r="P433" s="3">
        <v>2</v>
      </c>
      <c r="Q433" s="3">
        <v>1</v>
      </c>
      <c r="R433" s="3">
        <v>1</v>
      </c>
      <c r="S433" s="3">
        <v>2</v>
      </c>
      <c r="T433" s="3">
        <v>0</v>
      </c>
      <c r="U433" s="3">
        <v>23</v>
      </c>
      <c r="V433" s="13">
        <f t="shared" si="72"/>
        <v>0.13043478260869565</v>
      </c>
      <c r="W433" s="13">
        <f t="shared" si="62"/>
        <v>1.3043478260869565</v>
      </c>
      <c r="X433" s="20">
        <f t="shared" si="73"/>
        <v>23</v>
      </c>
      <c r="Y433" s="3" t="e">
        <f t="shared" si="63"/>
        <v>#DIV/0!</v>
      </c>
      <c r="Z433" s="3"/>
      <c r="AA433" s="3"/>
      <c r="AB433" s="3"/>
      <c r="AC433" s="3" t="s">
        <v>82</v>
      </c>
      <c r="AD433" s="3" t="s">
        <v>83</v>
      </c>
      <c r="AE433" s="3">
        <v>50</v>
      </c>
      <c r="AF433" s="3" t="s">
        <v>102</v>
      </c>
      <c r="AG433" s="3" t="s">
        <v>209</v>
      </c>
      <c r="AH433" s="3"/>
    </row>
    <row r="434" spans="1:34" ht="14.25" customHeight="1" x14ac:dyDescent="0.25">
      <c r="A434" s="3" t="s">
        <v>111</v>
      </c>
      <c r="B434" s="3" t="s">
        <v>79</v>
      </c>
      <c r="C434" s="3"/>
      <c r="D434" s="3" t="s">
        <v>101</v>
      </c>
      <c r="E434" s="3">
        <v>2</v>
      </c>
      <c r="F434" s="3">
        <v>1</v>
      </c>
      <c r="G434" s="3" t="s">
        <v>18</v>
      </c>
      <c r="H434" s="11">
        <v>45808</v>
      </c>
      <c r="I434" s="3" t="s">
        <v>159</v>
      </c>
      <c r="J434" s="3">
        <f>8+3</f>
        <v>11</v>
      </c>
      <c r="K434" s="3">
        <v>10</v>
      </c>
      <c r="L434" s="3">
        <v>7</v>
      </c>
      <c r="M434" s="3">
        <f>6+2.5</f>
        <v>8.5</v>
      </c>
      <c r="N434" s="3">
        <v>0</v>
      </c>
      <c r="O434" s="3">
        <f t="shared" si="70"/>
        <v>36.5</v>
      </c>
      <c r="P434" s="3">
        <v>2</v>
      </c>
      <c r="Q434" s="3">
        <v>1</v>
      </c>
      <c r="R434" s="3">
        <v>1</v>
      </c>
      <c r="S434" s="3">
        <v>2</v>
      </c>
      <c r="T434" s="3">
        <v>0</v>
      </c>
      <c r="U434" s="3">
        <v>23</v>
      </c>
      <c r="V434" s="13">
        <f t="shared" si="72"/>
        <v>0.13043478260869565</v>
      </c>
      <c r="W434" s="13">
        <f t="shared" si="62"/>
        <v>1.5869565217391304</v>
      </c>
      <c r="X434" s="20">
        <f t="shared" si="73"/>
        <v>23</v>
      </c>
      <c r="Y434" s="3" t="e">
        <f t="shared" si="63"/>
        <v>#DIV/0!</v>
      </c>
      <c r="Z434" s="3"/>
      <c r="AA434" s="3"/>
      <c r="AB434" s="3"/>
      <c r="AC434" s="3" t="s">
        <v>82</v>
      </c>
      <c r="AD434" s="3" t="s">
        <v>83</v>
      </c>
      <c r="AE434" s="3">
        <v>50</v>
      </c>
      <c r="AF434" s="3" t="s">
        <v>102</v>
      </c>
      <c r="AG434" s="3" t="s">
        <v>209</v>
      </c>
      <c r="AH434" s="3"/>
    </row>
    <row r="435" spans="1:34" ht="14.25" customHeight="1" x14ac:dyDescent="0.25">
      <c r="A435" s="3" t="s">
        <v>111</v>
      </c>
      <c r="B435" s="3" t="s">
        <v>79</v>
      </c>
      <c r="C435" s="3"/>
      <c r="D435" s="3" t="s">
        <v>101</v>
      </c>
      <c r="E435" s="3">
        <v>2</v>
      </c>
      <c r="F435" s="3">
        <v>1</v>
      </c>
      <c r="G435" s="3" t="s">
        <v>15</v>
      </c>
      <c r="H435" s="11">
        <v>45808</v>
      </c>
      <c r="I435" s="3" t="s">
        <v>159</v>
      </c>
      <c r="J435" s="3">
        <v>0</v>
      </c>
      <c r="K435" s="3">
        <v>0</v>
      </c>
      <c r="L435" s="3">
        <v>25</v>
      </c>
      <c r="M435" s="3">
        <v>0</v>
      </c>
      <c r="N435" s="3">
        <v>0</v>
      </c>
      <c r="O435" s="3">
        <f t="shared" si="70"/>
        <v>25</v>
      </c>
      <c r="P435" s="3">
        <v>2</v>
      </c>
      <c r="Q435" s="3">
        <v>1</v>
      </c>
      <c r="R435" s="3">
        <v>1</v>
      </c>
      <c r="S435" s="3">
        <v>2</v>
      </c>
      <c r="T435" s="3">
        <v>0</v>
      </c>
      <c r="U435" s="3">
        <v>23</v>
      </c>
      <c r="V435" s="13">
        <f t="shared" si="72"/>
        <v>0.13043478260869565</v>
      </c>
      <c r="W435" s="13">
        <f t="shared" si="62"/>
        <v>1.0869565217391304</v>
      </c>
      <c r="X435" s="20">
        <f t="shared" si="73"/>
        <v>23</v>
      </c>
      <c r="Y435" s="3" t="e">
        <f t="shared" si="63"/>
        <v>#DIV/0!</v>
      </c>
      <c r="Z435" s="3"/>
      <c r="AA435" s="3"/>
      <c r="AB435" s="3"/>
      <c r="AC435" s="3" t="s">
        <v>82</v>
      </c>
      <c r="AD435" s="3" t="s">
        <v>83</v>
      </c>
      <c r="AE435" s="3">
        <v>50</v>
      </c>
      <c r="AF435" s="3" t="s">
        <v>102</v>
      </c>
      <c r="AG435" s="3" t="s">
        <v>209</v>
      </c>
      <c r="AH435" s="3"/>
    </row>
    <row r="436" spans="1:34" ht="14.25" customHeight="1" x14ac:dyDescent="0.25">
      <c r="A436" s="3" t="s">
        <v>158</v>
      </c>
      <c r="B436" s="3" t="s">
        <v>79</v>
      </c>
      <c r="C436" s="3"/>
      <c r="D436" s="3" t="s">
        <v>101</v>
      </c>
      <c r="E436" s="3">
        <v>1</v>
      </c>
      <c r="F436" s="3">
        <v>1</v>
      </c>
      <c r="G436" s="3" t="s">
        <v>1</v>
      </c>
      <c r="H436" s="11">
        <v>45808</v>
      </c>
      <c r="I436" s="3" t="s">
        <v>159</v>
      </c>
      <c r="J436" s="3">
        <v>18</v>
      </c>
      <c r="K436" s="3">
        <v>0</v>
      </c>
      <c r="L436" s="3">
        <v>16</v>
      </c>
      <c r="M436" s="3">
        <v>0</v>
      </c>
      <c r="N436" s="3">
        <v>0</v>
      </c>
      <c r="O436" s="3">
        <f t="shared" si="70"/>
        <v>34</v>
      </c>
      <c r="P436" s="3">
        <v>1</v>
      </c>
      <c r="Q436" s="3">
        <v>3</v>
      </c>
      <c r="R436" s="3">
        <v>3</v>
      </c>
      <c r="S436" s="3">
        <v>0</v>
      </c>
      <c r="T436" s="3">
        <v>0</v>
      </c>
      <c r="U436" s="3">
        <v>23</v>
      </c>
      <c r="V436" s="13">
        <f t="shared" si="72"/>
        <v>0.13043478260869565</v>
      </c>
      <c r="W436" s="13">
        <f t="shared" si="62"/>
        <v>1.4782608695652173</v>
      </c>
      <c r="X436" s="20">
        <f t="shared" si="73"/>
        <v>23</v>
      </c>
      <c r="Y436" s="3">
        <f t="shared" si="63"/>
        <v>1.7598343685300206E-3</v>
      </c>
      <c r="Z436" s="3"/>
      <c r="AA436" s="3">
        <f t="shared" ref="AA436:AA440" si="76">30*3*4+60*2*4</f>
        <v>840</v>
      </c>
      <c r="AB436" s="3"/>
      <c r="AC436" s="3" t="s">
        <v>82</v>
      </c>
      <c r="AD436" s="3" t="s">
        <v>83</v>
      </c>
      <c r="AE436" s="3">
        <v>15</v>
      </c>
      <c r="AF436" s="3" t="s">
        <v>102</v>
      </c>
      <c r="AG436" s="3" t="s">
        <v>300</v>
      </c>
      <c r="AH436" s="3"/>
    </row>
    <row r="437" spans="1:34" ht="14.25" customHeight="1" x14ac:dyDescent="0.25">
      <c r="A437" s="3" t="s">
        <v>158</v>
      </c>
      <c r="B437" s="3" t="s">
        <v>79</v>
      </c>
      <c r="C437" s="3"/>
      <c r="D437" s="3" t="s">
        <v>101</v>
      </c>
      <c r="E437" s="3">
        <v>1</v>
      </c>
      <c r="F437" s="3">
        <v>1</v>
      </c>
      <c r="G437" s="3" t="s">
        <v>3</v>
      </c>
      <c r="H437" s="11">
        <v>45808</v>
      </c>
      <c r="I437" s="3" t="s">
        <v>159</v>
      </c>
      <c r="J437" s="3">
        <v>0</v>
      </c>
      <c r="K437" s="3">
        <v>20</v>
      </c>
      <c r="L437" s="3">
        <v>15</v>
      </c>
      <c r="M437" s="3">
        <v>0</v>
      </c>
      <c r="N437" s="3">
        <v>0</v>
      </c>
      <c r="O437" s="3">
        <f t="shared" si="70"/>
        <v>35</v>
      </c>
      <c r="P437" s="3">
        <v>1</v>
      </c>
      <c r="Q437" s="3">
        <v>3</v>
      </c>
      <c r="R437" s="3">
        <v>3</v>
      </c>
      <c r="S437" s="3">
        <v>0</v>
      </c>
      <c r="T437" s="3">
        <v>0</v>
      </c>
      <c r="U437" s="3">
        <v>23</v>
      </c>
      <c r="V437" s="13">
        <f t="shared" si="72"/>
        <v>0.13043478260869565</v>
      </c>
      <c r="W437" s="13">
        <f t="shared" si="62"/>
        <v>1.5217391304347827</v>
      </c>
      <c r="X437" s="20">
        <f t="shared" si="73"/>
        <v>23</v>
      </c>
      <c r="Y437" s="3">
        <f t="shared" si="63"/>
        <v>1.8115942028985507E-3</v>
      </c>
      <c r="Z437" s="3"/>
      <c r="AA437" s="3">
        <f t="shared" si="76"/>
        <v>840</v>
      </c>
      <c r="AB437" s="3"/>
      <c r="AC437" s="3" t="s">
        <v>82</v>
      </c>
      <c r="AD437" s="3" t="s">
        <v>83</v>
      </c>
      <c r="AE437" s="3">
        <v>15</v>
      </c>
      <c r="AF437" s="3" t="s">
        <v>102</v>
      </c>
      <c r="AG437" s="3" t="s">
        <v>300</v>
      </c>
      <c r="AH437" s="3"/>
    </row>
    <row r="438" spans="1:34" ht="14.25" customHeight="1" x14ac:dyDescent="0.25">
      <c r="A438" s="3" t="s">
        <v>158</v>
      </c>
      <c r="B438" s="3" t="s">
        <v>79</v>
      </c>
      <c r="C438" s="3"/>
      <c r="D438" s="3" t="s">
        <v>101</v>
      </c>
      <c r="E438" s="3">
        <v>1</v>
      </c>
      <c r="F438" s="3">
        <v>1</v>
      </c>
      <c r="G438" s="3" t="s">
        <v>2</v>
      </c>
      <c r="H438" s="11">
        <v>45808</v>
      </c>
      <c r="I438" s="3" t="s">
        <v>159</v>
      </c>
      <c r="J438" s="3">
        <v>0</v>
      </c>
      <c r="K438" s="3">
        <v>0</v>
      </c>
      <c r="L438" s="3">
        <v>19</v>
      </c>
      <c r="M438" s="3">
        <v>0</v>
      </c>
      <c r="N438" s="3">
        <v>0</v>
      </c>
      <c r="O438" s="3">
        <f t="shared" si="70"/>
        <v>19</v>
      </c>
      <c r="P438" s="3">
        <v>1</v>
      </c>
      <c r="Q438" s="3">
        <v>3</v>
      </c>
      <c r="R438" s="3">
        <v>3</v>
      </c>
      <c r="S438" s="3">
        <v>0</v>
      </c>
      <c r="T438" s="3">
        <v>0</v>
      </c>
      <c r="U438" s="3">
        <v>23</v>
      </c>
      <c r="V438" s="13">
        <f t="shared" si="72"/>
        <v>0.13043478260869565</v>
      </c>
      <c r="W438" s="13">
        <f t="shared" si="62"/>
        <v>0.82608695652173914</v>
      </c>
      <c r="X438" s="20">
        <f t="shared" si="73"/>
        <v>23</v>
      </c>
      <c r="Y438" s="3">
        <f t="shared" si="63"/>
        <v>9.8343685300207031E-4</v>
      </c>
      <c r="Z438" s="3"/>
      <c r="AA438" s="3">
        <f t="shared" si="76"/>
        <v>840</v>
      </c>
      <c r="AB438" s="3"/>
      <c r="AC438" s="3" t="s">
        <v>82</v>
      </c>
      <c r="AD438" s="3" t="s">
        <v>83</v>
      </c>
      <c r="AE438" s="3">
        <v>15</v>
      </c>
      <c r="AF438" s="3" t="s">
        <v>102</v>
      </c>
      <c r="AG438" s="3" t="s">
        <v>300</v>
      </c>
      <c r="AH438" s="3"/>
    </row>
    <row r="439" spans="1:34" ht="14.25" customHeight="1" x14ac:dyDescent="0.25">
      <c r="A439" s="3" t="s">
        <v>158</v>
      </c>
      <c r="B439" s="3" t="s">
        <v>79</v>
      </c>
      <c r="C439" s="3"/>
      <c r="D439" s="3" t="s">
        <v>101</v>
      </c>
      <c r="E439" s="3">
        <v>1</v>
      </c>
      <c r="F439" s="3">
        <v>1</v>
      </c>
      <c r="G439" s="3" t="s">
        <v>16</v>
      </c>
      <c r="H439" s="11">
        <v>45808</v>
      </c>
      <c r="I439" s="3" t="s">
        <v>159</v>
      </c>
      <c r="J439" s="3">
        <v>0</v>
      </c>
      <c r="K439" s="3">
        <v>11</v>
      </c>
      <c r="L439" s="3">
        <v>0</v>
      </c>
      <c r="M439" s="3">
        <v>0</v>
      </c>
      <c r="N439" s="3">
        <v>0</v>
      </c>
      <c r="O439" s="3">
        <f t="shared" si="70"/>
        <v>11</v>
      </c>
      <c r="P439" s="3">
        <v>1</v>
      </c>
      <c r="Q439" s="3">
        <v>3</v>
      </c>
      <c r="R439" s="3">
        <v>3</v>
      </c>
      <c r="S439" s="3">
        <v>0</v>
      </c>
      <c r="T439" s="3">
        <v>0</v>
      </c>
      <c r="U439" s="3">
        <v>23</v>
      </c>
      <c r="V439" s="13">
        <f t="shared" si="72"/>
        <v>0.13043478260869565</v>
      </c>
      <c r="W439" s="13">
        <f t="shared" si="62"/>
        <v>0.47826086956521741</v>
      </c>
      <c r="X439" s="20">
        <f t="shared" si="73"/>
        <v>23</v>
      </c>
      <c r="Y439" s="3">
        <f t="shared" si="63"/>
        <v>5.693581780538302E-4</v>
      </c>
      <c r="Z439" s="3"/>
      <c r="AA439" s="3">
        <f t="shared" si="76"/>
        <v>840</v>
      </c>
      <c r="AB439" s="3"/>
      <c r="AC439" s="3" t="s">
        <v>82</v>
      </c>
      <c r="AD439" s="3" t="s">
        <v>83</v>
      </c>
      <c r="AE439" s="3">
        <v>15</v>
      </c>
      <c r="AF439" s="3" t="s">
        <v>102</v>
      </c>
      <c r="AG439" s="3" t="s">
        <v>300</v>
      </c>
      <c r="AH439" s="3"/>
    </row>
    <row r="440" spans="1:34" ht="14.25" customHeight="1" x14ac:dyDescent="0.25">
      <c r="A440" s="3" t="s">
        <v>158</v>
      </c>
      <c r="B440" s="3" t="s">
        <v>79</v>
      </c>
      <c r="C440" s="3"/>
      <c r="D440" s="3" t="s">
        <v>101</v>
      </c>
      <c r="E440" s="3">
        <v>1</v>
      </c>
      <c r="F440" s="3">
        <v>1</v>
      </c>
      <c r="G440" s="3" t="s">
        <v>25</v>
      </c>
      <c r="H440" s="11">
        <v>45808</v>
      </c>
      <c r="I440" s="3" t="s">
        <v>159</v>
      </c>
      <c r="J440" s="3">
        <v>0</v>
      </c>
      <c r="K440" s="3">
        <v>19</v>
      </c>
      <c r="L440" s="3">
        <v>0</v>
      </c>
      <c r="M440" s="3">
        <v>0</v>
      </c>
      <c r="N440" s="3">
        <v>0</v>
      </c>
      <c r="O440" s="3">
        <f t="shared" si="70"/>
        <v>19</v>
      </c>
      <c r="P440" s="3">
        <v>1</v>
      </c>
      <c r="Q440" s="3">
        <v>3</v>
      </c>
      <c r="R440" s="3">
        <v>3</v>
      </c>
      <c r="S440" s="3">
        <v>0</v>
      </c>
      <c r="T440" s="3">
        <v>0</v>
      </c>
      <c r="U440" s="3">
        <v>23</v>
      </c>
      <c r="V440" s="13">
        <f t="shared" si="72"/>
        <v>0.13043478260869565</v>
      </c>
      <c r="W440" s="13">
        <f t="shared" si="62"/>
        <v>0.82608695652173914</v>
      </c>
      <c r="X440" s="20">
        <f t="shared" si="73"/>
        <v>23</v>
      </c>
      <c r="Y440" s="3">
        <f t="shared" si="63"/>
        <v>9.8343685300207031E-4</v>
      </c>
      <c r="Z440" s="3"/>
      <c r="AA440" s="3">
        <f t="shared" si="76"/>
        <v>840</v>
      </c>
      <c r="AB440" s="3"/>
      <c r="AC440" s="3" t="s">
        <v>82</v>
      </c>
      <c r="AD440" s="3" t="s">
        <v>83</v>
      </c>
      <c r="AE440" s="3">
        <v>15</v>
      </c>
      <c r="AF440" s="3" t="s">
        <v>102</v>
      </c>
      <c r="AG440" s="3" t="s">
        <v>300</v>
      </c>
      <c r="AH440" s="3"/>
    </row>
    <row r="441" spans="1:34" ht="14.25" customHeight="1" x14ac:dyDescent="0.25">
      <c r="A441" s="3" t="s">
        <v>110</v>
      </c>
      <c r="B441" s="3" t="s">
        <v>79</v>
      </c>
      <c r="C441" s="3"/>
      <c r="D441" s="3" t="s">
        <v>101</v>
      </c>
      <c r="E441" s="3">
        <v>2</v>
      </c>
      <c r="F441" s="3">
        <v>1</v>
      </c>
      <c r="G441" s="3" t="s">
        <v>1</v>
      </c>
      <c r="H441" s="11">
        <v>45808</v>
      </c>
      <c r="I441" s="3" t="s">
        <v>159</v>
      </c>
      <c r="J441" s="3">
        <v>0</v>
      </c>
      <c r="K441" s="3">
        <v>50</v>
      </c>
      <c r="L441" s="3">
        <v>0</v>
      </c>
      <c r="M441" s="3">
        <v>0</v>
      </c>
      <c r="N441" s="3">
        <v>0</v>
      </c>
      <c r="O441" s="3">
        <f t="shared" si="70"/>
        <v>50</v>
      </c>
      <c r="P441" s="3">
        <v>3</v>
      </c>
      <c r="Q441" s="3">
        <v>1</v>
      </c>
      <c r="R441" s="3">
        <v>1</v>
      </c>
      <c r="S441" s="3">
        <v>0</v>
      </c>
      <c r="T441" s="3">
        <v>0</v>
      </c>
      <c r="U441" s="3">
        <f t="shared" ref="U441:U569" si="77">SUM(P441:T441)</f>
        <v>5</v>
      </c>
      <c r="V441" s="13">
        <f t="shared" si="72"/>
        <v>0.6</v>
      </c>
      <c r="W441" s="13">
        <f t="shared" si="62"/>
        <v>10</v>
      </c>
      <c r="X441" s="20">
        <f t="shared" si="73"/>
        <v>5</v>
      </c>
      <c r="Y441" s="3">
        <f t="shared" si="63"/>
        <v>4.0816326530612249E-3</v>
      </c>
      <c r="Z441" s="3"/>
      <c r="AA441" s="3">
        <f t="shared" ref="AA441:AA445" si="78">70*7*5</f>
        <v>2450</v>
      </c>
      <c r="AB441" s="3">
        <v>200</v>
      </c>
      <c r="AC441" s="3" t="s">
        <v>82</v>
      </c>
      <c r="AD441" s="3" t="s">
        <v>83</v>
      </c>
      <c r="AE441" s="3">
        <v>15</v>
      </c>
      <c r="AF441" s="3" t="s">
        <v>102</v>
      </c>
      <c r="AG441" s="3" t="s">
        <v>302</v>
      </c>
      <c r="AH441" s="3"/>
    </row>
    <row r="442" spans="1:34" ht="14.25" customHeight="1" x14ac:dyDescent="0.25">
      <c r="A442" s="3" t="s">
        <v>110</v>
      </c>
      <c r="B442" s="3" t="s">
        <v>79</v>
      </c>
      <c r="C442" s="3"/>
      <c r="D442" s="3" t="s">
        <v>101</v>
      </c>
      <c r="E442" s="3">
        <v>2</v>
      </c>
      <c r="F442" s="3">
        <v>1</v>
      </c>
      <c r="G442" s="3" t="s">
        <v>5</v>
      </c>
      <c r="H442" s="11">
        <v>45808</v>
      </c>
      <c r="I442" s="3" t="s">
        <v>159</v>
      </c>
      <c r="J442" s="3">
        <v>0</v>
      </c>
      <c r="K442" s="3">
        <v>0</v>
      </c>
      <c r="L442" s="3">
        <v>150</v>
      </c>
      <c r="M442" s="3">
        <v>0</v>
      </c>
      <c r="N442" s="3">
        <v>0</v>
      </c>
      <c r="O442" s="3">
        <f t="shared" si="70"/>
        <v>150</v>
      </c>
      <c r="P442" s="3">
        <v>3</v>
      </c>
      <c r="Q442" s="3">
        <v>1</v>
      </c>
      <c r="R442" s="3">
        <v>1</v>
      </c>
      <c r="S442" s="3">
        <v>0</v>
      </c>
      <c r="T442" s="3">
        <v>0</v>
      </c>
      <c r="U442" s="3">
        <f t="shared" si="77"/>
        <v>5</v>
      </c>
      <c r="V442" s="13">
        <f t="shared" si="72"/>
        <v>0.6</v>
      </c>
      <c r="W442" s="13">
        <f t="shared" si="62"/>
        <v>30</v>
      </c>
      <c r="X442" s="20">
        <f t="shared" si="73"/>
        <v>5</v>
      </c>
      <c r="Y442" s="3">
        <f t="shared" si="63"/>
        <v>1.2244897959183673E-2</v>
      </c>
      <c r="Z442" s="3"/>
      <c r="AA442" s="3">
        <f t="shared" si="78"/>
        <v>2450</v>
      </c>
      <c r="AB442" s="3">
        <v>200</v>
      </c>
      <c r="AC442" s="3" t="s">
        <v>82</v>
      </c>
      <c r="AD442" s="3" t="s">
        <v>83</v>
      </c>
      <c r="AE442" s="3">
        <v>15</v>
      </c>
      <c r="AF442" s="3" t="s">
        <v>102</v>
      </c>
      <c r="AG442" s="3" t="s">
        <v>302</v>
      </c>
      <c r="AH442" s="3"/>
    </row>
    <row r="443" spans="1:34" ht="14.25" customHeight="1" x14ac:dyDescent="0.25">
      <c r="A443" s="3" t="s">
        <v>110</v>
      </c>
      <c r="B443" s="3" t="s">
        <v>79</v>
      </c>
      <c r="C443" s="3"/>
      <c r="D443" s="3" t="s">
        <v>101</v>
      </c>
      <c r="E443" s="3">
        <v>2</v>
      </c>
      <c r="F443" s="3">
        <v>1</v>
      </c>
      <c r="G443" s="3" t="s">
        <v>14</v>
      </c>
      <c r="H443" s="11">
        <v>45808</v>
      </c>
      <c r="I443" s="3" t="s">
        <v>159</v>
      </c>
      <c r="J443" s="3">
        <v>15</v>
      </c>
      <c r="K443" s="3">
        <v>0</v>
      </c>
      <c r="L443" s="3">
        <v>0</v>
      </c>
      <c r="M443" s="3">
        <v>0</v>
      </c>
      <c r="N443" s="3">
        <v>0</v>
      </c>
      <c r="O443" s="3">
        <f t="shared" si="70"/>
        <v>15</v>
      </c>
      <c r="P443" s="3">
        <v>3</v>
      </c>
      <c r="Q443" s="3">
        <v>1</v>
      </c>
      <c r="R443" s="3">
        <v>1</v>
      </c>
      <c r="S443" s="3">
        <v>0</v>
      </c>
      <c r="T443" s="3">
        <v>0</v>
      </c>
      <c r="U443" s="3">
        <f t="shared" si="77"/>
        <v>5</v>
      </c>
      <c r="V443" s="13">
        <f t="shared" si="72"/>
        <v>0.6</v>
      </c>
      <c r="W443" s="13">
        <f t="shared" si="62"/>
        <v>3</v>
      </c>
      <c r="X443" s="20">
        <f t="shared" si="73"/>
        <v>5</v>
      </c>
      <c r="Y443" s="3">
        <f t="shared" si="63"/>
        <v>1.2244897959183673E-3</v>
      </c>
      <c r="Z443" s="3"/>
      <c r="AA443" s="3">
        <f t="shared" si="78"/>
        <v>2450</v>
      </c>
      <c r="AB443" s="3">
        <v>200</v>
      </c>
      <c r="AC443" s="3" t="s">
        <v>82</v>
      </c>
      <c r="AD443" s="3" t="s">
        <v>83</v>
      </c>
      <c r="AE443" s="3">
        <v>15</v>
      </c>
      <c r="AF443" s="3" t="s">
        <v>102</v>
      </c>
      <c r="AG443" s="3" t="s">
        <v>302</v>
      </c>
      <c r="AH443" s="3"/>
    </row>
    <row r="444" spans="1:34" ht="14.25" customHeight="1" x14ac:dyDescent="0.25">
      <c r="A444" s="3" t="s">
        <v>110</v>
      </c>
      <c r="B444" s="3" t="s">
        <v>79</v>
      </c>
      <c r="C444" s="3"/>
      <c r="D444" s="3" t="s">
        <v>101</v>
      </c>
      <c r="E444" s="3">
        <v>2</v>
      </c>
      <c r="F444" s="3">
        <v>1</v>
      </c>
      <c r="G444" s="3" t="s">
        <v>16</v>
      </c>
      <c r="H444" s="11">
        <v>45808</v>
      </c>
      <c r="I444" s="3" t="s">
        <v>159</v>
      </c>
      <c r="J444" s="3">
        <v>20</v>
      </c>
      <c r="K444" s="3">
        <v>0</v>
      </c>
      <c r="L444" s="3">
        <v>0</v>
      </c>
      <c r="M444" s="3">
        <v>0</v>
      </c>
      <c r="N444" s="3">
        <v>0</v>
      </c>
      <c r="O444" s="3">
        <f t="shared" si="70"/>
        <v>20</v>
      </c>
      <c r="P444" s="3">
        <v>3</v>
      </c>
      <c r="Q444" s="3">
        <v>1</v>
      </c>
      <c r="R444" s="3">
        <v>1</v>
      </c>
      <c r="S444" s="3">
        <v>0</v>
      </c>
      <c r="T444" s="3">
        <v>0</v>
      </c>
      <c r="U444" s="3">
        <f t="shared" si="77"/>
        <v>5</v>
      </c>
      <c r="V444" s="13">
        <f t="shared" si="72"/>
        <v>0.6</v>
      </c>
      <c r="W444" s="13">
        <f t="shared" si="62"/>
        <v>4</v>
      </c>
      <c r="X444" s="20">
        <f t="shared" si="73"/>
        <v>5</v>
      </c>
      <c r="Y444" s="3">
        <f t="shared" si="63"/>
        <v>1.6326530612244899E-3</v>
      </c>
      <c r="Z444" s="3"/>
      <c r="AA444" s="3">
        <f t="shared" si="78"/>
        <v>2450</v>
      </c>
      <c r="AB444" s="3">
        <v>200</v>
      </c>
      <c r="AC444" s="3" t="s">
        <v>82</v>
      </c>
      <c r="AD444" s="3" t="s">
        <v>83</v>
      </c>
      <c r="AE444" s="3">
        <v>15</v>
      </c>
      <c r="AF444" s="3" t="s">
        <v>102</v>
      </c>
      <c r="AG444" s="3" t="s">
        <v>302</v>
      </c>
      <c r="AH444" s="3"/>
    </row>
    <row r="445" spans="1:34" ht="14.25" customHeight="1" x14ac:dyDescent="0.25">
      <c r="A445" s="3" t="s">
        <v>110</v>
      </c>
      <c r="B445" s="3" t="s">
        <v>79</v>
      </c>
      <c r="C445" s="3"/>
      <c r="D445" s="3" t="s">
        <v>101</v>
      </c>
      <c r="E445" s="3">
        <v>2</v>
      </c>
      <c r="F445" s="3">
        <v>1</v>
      </c>
      <c r="G445" s="3" t="s">
        <v>18</v>
      </c>
      <c r="H445" s="11">
        <v>45808</v>
      </c>
      <c r="I445" s="3" t="s">
        <v>159</v>
      </c>
      <c r="J445" s="3">
        <v>35</v>
      </c>
      <c r="K445" s="3">
        <v>0</v>
      </c>
      <c r="L445" s="3">
        <v>0</v>
      </c>
      <c r="M445" s="3">
        <v>0</v>
      </c>
      <c r="N445" s="3">
        <v>0</v>
      </c>
      <c r="O445" s="3">
        <f t="shared" si="70"/>
        <v>35</v>
      </c>
      <c r="P445" s="3">
        <v>3</v>
      </c>
      <c r="Q445" s="3">
        <v>1</v>
      </c>
      <c r="R445" s="3">
        <v>1</v>
      </c>
      <c r="S445" s="3">
        <v>0</v>
      </c>
      <c r="T445" s="3">
        <v>0</v>
      </c>
      <c r="U445" s="3">
        <f t="shared" si="77"/>
        <v>5</v>
      </c>
      <c r="V445" s="13">
        <f t="shared" si="72"/>
        <v>0.6</v>
      </c>
      <c r="W445" s="13">
        <f t="shared" si="62"/>
        <v>7</v>
      </c>
      <c r="X445" s="20">
        <f t="shared" si="73"/>
        <v>5</v>
      </c>
      <c r="Y445" s="3">
        <f t="shared" si="63"/>
        <v>2.8571428571428571E-3</v>
      </c>
      <c r="Z445" s="3"/>
      <c r="AA445" s="3">
        <f t="shared" si="78"/>
        <v>2450</v>
      </c>
      <c r="AB445" s="3">
        <v>200</v>
      </c>
      <c r="AC445" s="3" t="s">
        <v>82</v>
      </c>
      <c r="AD445" s="3" t="s">
        <v>83</v>
      </c>
      <c r="AE445" s="3">
        <v>15</v>
      </c>
      <c r="AF445" s="3" t="s">
        <v>102</v>
      </c>
      <c r="AG445" s="3" t="s">
        <v>302</v>
      </c>
      <c r="AH445" s="3"/>
    </row>
    <row r="446" spans="1:34" ht="14.25" customHeight="1" x14ac:dyDescent="0.25">
      <c r="A446" s="3" t="s">
        <v>86</v>
      </c>
      <c r="B446" s="3" t="s">
        <v>79</v>
      </c>
      <c r="C446" s="3"/>
      <c r="D446" s="3" t="s">
        <v>80</v>
      </c>
      <c r="E446" s="3">
        <v>1</v>
      </c>
      <c r="F446" s="3">
        <v>1</v>
      </c>
      <c r="G446" s="3" t="s">
        <v>1</v>
      </c>
      <c r="H446" s="11">
        <v>45808</v>
      </c>
      <c r="I446" s="3" t="s">
        <v>159</v>
      </c>
      <c r="J446" s="3">
        <f>30+28+26+27+19</f>
        <v>130</v>
      </c>
      <c r="K446" s="3">
        <f>23.5+29+41+38</f>
        <v>131.5</v>
      </c>
      <c r="L446" s="3">
        <f>28.5+27.3+32+38</f>
        <v>125.8</v>
      </c>
      <c r="M446" s="3">
        <f>33+27+29.5+42+36</f>
        <v>167.5</v>
      </c>
      <c r="N446" s="3">
        <f>24+25.8+21</f>
        <v>70.8</v>
      </c>
      <c r="O446" s="3">
        <f t="shared" si="70"/>
        <v>625.59999999999991</v>
      </c>
      <c r="P446" s="3">
        <v>7</v>
      </c>
      <c r="Q446" s="3">
        <v>6</v>
      </c>
      <c r="R446" s="3">
        <v>7</v>
      </c>
      <c r="S446" s="3">
        <v>5</v>
      </c>
      <c r="T446" s="3">
        <v>3</v>
      </c>
      <c r="U446" s="3">
        <f t="shared" si="77"/>
        <v>28</v>
      </c>
      <c r="V446" s="13">
        <f t="shared" ref="V446:V569" si="79">O446/U446/F446</f>
        <v>22.342857142857138</v>
      </c>
      <c r="W446" s="13">
        <f t="shared" si="62"/>
        <v>22.342857142857138</v>
      </c>
      <c r="X446" s="3">
        <f t="shared" si="73"/>
        <v>28</v>
      </c>
      <c r="Y446" s="3" t="e">
        <f t="shared" si="63"/>
        <v>#DIV/0!</v>
      </c>
      <c r="Z446" s="3"/>
      <c r="AA446" s="3"/>
      <c r="AB446" s="3">
        <f t="shared" ref="AB446:AB448" si="80">35*5+15*3</f>
        <v>220</v>
      </c>
      <c r="AC446" s="3" t="s">
        <v>82</v>
      </c>
      <c r="AD446" s="3" t="s">
        <v>83</v>
      </c>
      <c r="AE446" s="3">
        <v>20</v>
      </c>
      <c r="AF446" s="3" t="s">
        <v>143</v>
      </c>
      <c r="AG446" s="3" t="s">
        <v>360</v>
      </c>
      <c r="AH446" s="3"/>
    </row>
    <row r="447" spans="1:34" ht="14.25" customHeight="1" x14ac:dyDescent="0.25">
      <c r="A447" s="3" t="s">
        <v>86</v>
      </c>
      <c r="B447" s="3" t="s">
        <v>79</v>
      </c>
      <c r="C447" s="3"/>
      <c r="D447" s="3" t="s">
        <v>80</v>
      </c>
      <c r="E447" s="3">
        <v>1</v>
      </c>
      <c r="F447" s="3">
        <v>1</v>
      </c>
      <c r="G447" s="3" t="s">
        <v>2</v>
      </c>
      <c r="H447" s="11">
        <v>45808</v>
      </c>
      <c r="I447" s="3" t="s">
        <v>159</v>
      </c>
      <c r="J447" s="3">
        <v>2.7</v>
      </c>
      <c r="K447" s="3">
        <v>0</v>
      </c>
      <c r="L447" s="3">
        <v>0</v>
      </c>
      <c r="M447" s="3">
        <v>0</v>
      </c>
      <c r="N447" s="3">
        <v>0</v>
      </c>
      <c r="O447" s="3">
        <f t="shared" si="70"/>
        <v>2.7</v>
      </c>
      <c r="P447" s="3">
        <v>7</v>
      </c>
      <c r="Q447" s="3">
        <v>6</v>
      </c>
      <c r="R447" s="3">
        <v>7</v>
      </c>
      <c r="S447" s="3">
        <v>5</v>
      </c>
      <c r="T447" s="3">
        <v>3</v>
      </c>
      <c r="U447" s="3">
        <f t="shared" si="77"/>
        <v>28</v>
      </c>
      <c r="V447" s="13">
        <f t="shared" si="79"/>
        <v>9.6428571428571433E-2</v>
      </c>
      <c r="W447" s="13">
        <f t="shared" si="62"/>
        <v>9.6428571428571433E-2</v>
      </c>
      <c r="X447" s="3">
        <f t="shared" si="73"/>
        <v>28</v>
      </c>
      <c r="Y447" s="3" t="e">
        <f t="shared" si="63"/>
        <v>#DIV/0!</v>
      </c>
      <c r="Z447" s="3"/>
      <c r="AA447" s="3"/>
      <c r="AB447" s="3">
        <f t="shared" si="80"/>
        <v>220</v>
      </c>
      <c r="AC447" s="3" t="s">
        <v>82</v>
      </c>
      <c r="AD447" s="3" t="s">
        <v>83</v>
      </c>
      <c r="AE447" s="3">
        <v>20</v>
      </c>
      <c r="AF447" s="3" t="s">
        <v>143</v>
      </c>
      <c r="AG447" s="3" t="s">
        <v>360</v>
      </c>
      <c r="AH447" s="3"/>
    </row>
    <row r="448" spans="1:34" ht="14.25" customHeight="1" x14ac:dyDescent="0.25">
      <c r="A448" s="3" t="s">
        <v>86</v>
      </c>
      <c r="B448" s="3" t="s">
        <v>79</v>
      </c>
      <c r="C448" s="3"/>
      <c r="D448" s="3" t="s">
        <v>80</v>
      </c>
      <c r="E448" s="3">
        <v>1</v>
      </c>
      <c r="F448" s="3">
        <v>1</v>
      </c>
      <c r="G448" s="3" t="s">
        <v>15</v>
      </c>
      <c r="H448" s="11">
        <v>45808</v>
      </c>
      <c r="I448" s="3" t="s">
        <v>159</v>
      </c>
      <c r="J448" s="3">
        <v>16</v>
      </c>
      <c r="K448" s="3">
        <v>0</v>
      </c>
      <c r="L448" s="3">
        <v>0</v>
      </c>
      <c r="M448" s="3">
        <v>13</v>
      </c>
      <c r="N448" s="3">
        <v>0</v>
      </c>
      <c r="O448" s="3">
        <f t="shared" si="70"/>
        <v>29</v>
      </c>
      <c r="P448" s="3">
        <v>7</v>
      </c>
      <c r="Q448" s="3">
        <v>6</v>
      </c>
      <c r="R448" s="3">
        <v>7</v>
      </c>
      <c r="S448" s="3">
        <v>5</v>
      </c>
      <c r="T448" s="3">
        <v>3</v>
      </c>
      <c r="U448" s="3">
        <f t="shared" si="77"/>
        <v>28</v>
      </c>
      <c r="V448" s="13">
        <f t="shared" si="79"/>
        <v>1.0357142857142858</v>
      </c>
      <c r="W448" s="13">
        <f t="shared" si="62"/>
        <v>1.0357142857142858</v>
      </c>
      <c r="X448" s="3">
        <f t="shared" si="73"/>
        <v>28</v>
      </c>
      <c r="Y448" s="3" t="e">
        <f t="shared" si="63"/>
        <v>#DIV/0!</v>
      </c>
      <c r="Z448" s="3"/>
      <c r="AA448" s="3"/>
      <c r="AB448" s="3">
        <f t="shared" si="80"/>
        <v>220</v>
      </c>
      <c r="AC448" s="3" t="s">
        <v>82</v>
      </c>
      <c r="AD448" s="3" t="s">
        <v>83</v>
      </c>
      <c r="AE448" s="3">
        <v>20</v>
      </c>
      <c r="AF448" s="3" t="s">
        <v>143</v>
      </c>
      <c r="AG448" s="3" t="s">
        <v>360</v>
      </c>
      <c r="AH448" s="3"/>
    </row>
    <row r="449" spans="1:34" ht="14.25" customHeight="1" x14ac:dyDescent="0.25">
      <c r="A449" s="3" t="s">
        <v>160</v>
      </c>
      <c r="B449" s="3" t="s">
        <v>79</v>
      </c>
      <c r="C449" s="3"/>
      <c r="D449" s="3" t="s">
        <v>117</v>
      </c>
      <c r="E449" s="3">
        <v>2</v>
      </c>
      <c r="F449" s="3">
        <v>1</v>
      </c>
      <c r="G449" s="3" t="s">
        <v>1</v>
      </c>
      <c r="H449" s="11">
        <v>45808</v>
      </c>
      <c r="I449" s="3" t="s">
        <v>159</v>
      </c>
      <c r="J449" s="3">
        <v>0</v>
      </c>
      <c r="K449" s="3">
        <v>0</v>
      </c>
      <c r="L449" s="3">
        <f>2.2+4.7+5.8</f>
        <v>12.7</v>
      </c>
      <c r="M449" s="3">
        <f>8+6.7+1.8</f>
        <v>16.5</v>
      </c>
      <c r="N449" s="3">
        <v>0</v>
      </c>
      <c r="O449" s="3">
        <f t="shared" si="70"/>
        <v>29.2</v>
      </c>
      <c r="P449" s="3">
        <v>0</v>
      </c>
      <c r="Q449" s="3">
        <v>0</v>
      </c>
      <c r="R449" s="3">
        <v>3</v>
      </c>
      <c r="S449" s="3">
        <v>3</v>
      </c>
      <c r="T449" s="3">
        <v>0</v>
      </c>
      <c r="U449" s="3">
        <f t="shared" si="77"/>
        <v>6</v>
      </c>
      <c r="V449" s="13">
        <f t="shared" si="79"/>
        <v>4.8666666666666663</v>
      </c>
      <c r="W449" s="13">
        <f t="shared" si="62"/>
        <v>4.8666666666666663</v>
      </c>
      <c r="X449" s="3">
        <f t="shared" si="73"/>
        <v>6</v>
      </c>
      <c r="Y449" s="3" t="e">
        <f t="shared" si="63"/>
        <v>#DIV/0!</v>
      </c>
      <c r="Z449" s="3"/>
      <c r="AA449" s="3"/>
      <c r="AB449" s="3">
        <f t="shared" ref="AB449:AB450" si="81">35*2+17*2</f>
        <v>104</v>
      </c>
      <c r="AC449" s="3" t="s">
        <v>82</v>
      </c>
      <c r="AD449" s="3" t="s">
        <v>83</v>
      </c>
      <c r="AE449" s="3">
        <v>15</v>
      </c>
      <c r="AF449" s="3" t="s">
        <v>143</v>
      </c>
      <c r="AG449" s="3" t="s">
        <v>361</v>
      </c>
      <c r="AH449" s="3"/>
    </row>
    <row r="450" spans="1:34" ht="14.25" customHeight="1" x14ac:dyDescent="0.25">
      <c r="A450" s="3" t="s">
        <v>160</v>
      </c>
      <c r="B450" s="3" t="s">
        <v>79</v>
      </c>
      <c r="C450" s="3"/>
      <c r="D450" s="3" t="s">
        <v>117</v>
      </c>
      <c r="E450" s="3">
        <v>2</v>
      </c>
      <c r="F450" s="3">
        <v>1</v>
      </c>
      <c r="G450" s="3" t="s">
        <v>22</v>
      </c>
      <c r="H450" s="11">
        <v>45808</v>
      </c>
      <c r="I450" s="3" t="s">
        <v>159</v>
      </c>
      <c r="J450" s="3">
        <v>0</v>
      </c>
      <c r="K450" s="3">
        <v>0</v>
      </c>
      <c r="L450" s="3">
        <f>2.3+3.8+3.8</f>
        <v>9.8999999999999986</v>
      </c>
      <c r="M450" s="3">
        <f>4.8+6.9</f>
        <v>11.7</v>
      </c>
      <c r="N450" s="3">
        <v>0</v>
      </c>
      <c r="O450" s="3">
        <f t="shared" si="70"/>
        <v>21.599999999999998</v>
      </c>
      <c r="P450" s="3">
        <v>0</v>
      </c>
      <c r="Q450" s="3">
        <v>0</v>
      </c>
      <c r="R450" s="3">
        <v>3</v>
      </c>
      <c r="S450" s="3">
        <v>3</v>
      </c>
      <c r="T450" s="3">
        <v>0</v>
      </c>
      <c r="U450" s="3">
        <f t="shared" si="77"/>
        <v>6</v>
      </c>
      <c r="V450" s="13">
        <f t="shared" si="79"/>
        <v>3.5999999999999996</v>
      </c>
      <c r="W450" s="13">
        <f t="shared" si="62"/>
        <v>3.5999999999999996</v>
      </c>
      <c r="X450" s="3">
        <f t="shared" si="73"/>
        <v>6</v>
      </c>
      <c r="Y450" s="3" t="e">
        <f t="shared" si="63"/>
        <v>#DIV/0!</v>
      </c>
      <c r="Z450" s="3"/>
      <c r="AA450" s="3"/>
      <c r="AB450" s="3">
        <f t="shared" si="81"/>
        <v>104</v>
      </c>
      <c r="AC450" s="3" t="s">
        <v>82</v>
      </c>
      <c r="AD450" s="3" t="s">
        <v>83</v>
      </c>
      <c r="AE450" s="3">
        <v>15</v>
      </c>
      <c r="AF450" s="3" t="s">
        <v>143</v>
      </c>
      <c r="AG450" s="3" t="s">
        <v>361</v>
      </c>
      <c r="AH450" s="3"/>
    </row>
    <row r="451" spans="1:34" ht="14.25" customHeight="1" x14ac:dyDescent="0.25">
      <c r="A451" s="3" t="s">
        <v>78</v>
      </c>
      <c r="B451" s="3" t="s">
        <v>79</v>
      </c>
      <c r="C451" s="3"/>
      <c r="D451" s="3" t="s">
        <v>80</v>
      </c>
      <c r="E451" s="3">
        <v>1</v>
      </c>
      <c r="F451" s="3">
        <v>1</v>
      </c>
      <c r="G451" s="3" t="s">
        <v>14</v>
      </c>
      <c r="H451" s="11">
        <v>45808</v>
      </c>
      <c r="I451" s="3" t="s">
        <v>159</v>
      </c>
      <c r="J451" s="3">
        <v>0</v>
      </c>
      <c r="K451" s="3">
        <v>0</v>
      </c>
      <c r="L451" s="3">
        <v>3.2</v>
      </c>
      <c r="M451" s="3">
        <v>3.8</v>
      </c>
      <c r="N451" s="3">
        <v>0</v>
      </c>
      <c r="O451" s="3">
        <f t="shared" si="70"/>
        <v>7</v>
      </c>
      <c r="P451" s="3">
        <v>4</v>
      </c>
      <c r="Q451" s="3">
        <v>5</v>
      </c>
      <c r="R451" s="3">
        <v>1</v>
      </c>
      <c r="S451" s="3">
        <v>6</v>
      </c>
      <c r="T451" s="3">
        <v>0</v>
      </c>
      <c r="U451" s="3">
        <f t="shared" si="77"/>
        <v>16</v>
      </c>
      <c r="V451" s="13">
        <f t="shared" si="79"/>
        <v>0.4375</v>
      </c>
      <c r="W451" s="13">
        <f t="shared" ref="W451:W514" si="82">O451/U451/F451</f>
        <v>0.4375</v>
      </c>
      <c r="X451" s="3">
        <f t="shared" si="73"/>
        <v>16</v>
      </c>
      <c r="Y451" s="3" t="e">
        <f t="shared" ref="Y451:Y514" si="83">O451/U451/AA451</f>
        <v>#DIV/0!</v>
      </c>
      <c r="Z451" s="3"/>
      <c r="AA451" s="3"/>
      <c r="AB451" s="3"/>
      <c r="AC451" s="3" t="s">
        <v>82</v>
      </c>
      <c r="AD451" s="3" t="s">
        <v>83</v>
      </c>
      <c r="AE451" s="3">
        <v>15</v>
      </c>
      <c r="AF451" s="3" t="s">
        <v>143</v>
      </c>
      <c r="AG451" s="3" t="s">
        <v>173</v>
      </c>
      <c r="AH451" s="3"/>
    </row>
    <row r="452" spans="1:34" ht="14.25" customHeight="1" x14ac:dyDescent="0.25">
      <c r="A452" s="3" t="s">
        <v>78</v>
      </c>
      <c r="B452" s="3" t="s">
        <v>79</v>
      </c>
      <c r="C452" s="3"/>
      <c r="D452" s="3" t="s">
        <v>80</v>
      </c>
      <c r="E452" s="3">
        <v>1</v>
      </c>
      <c r="F452" s="3">
        <v>1</v>
      </c>
      <c r="G452" s="3" t="s">
        <v>16</v>
      </c>
      <c r="H452" s="11">
        <v>45808</v>
      </c>
      <c r="I452" s="3" t="s">
        <v>159</v>
      </c>
      <c r="J452" s="3">
        <v>0</v>
      </c>
      <c r="K452" s="3">
        <v>0</v>
      </c>
      <c r="L452" s="3">
        <v>2.9</v>
      </c>
      <c r="M452" s="3">
        <v>1.8</v>
      </c>
      <c r="N452" s="3">
        <v>0</v>
      </c>
      <c r="O452" s="3">
        <f t="shared" si="70"/>
        <v>4.7</v>
      </c>
      <c r="P452" s="3">
        <v>4</v>
      </c>
      <c r="Q452" s="3">
        <v>5</v>
      </c>
      <c r="R452" s="3">
        <v>1</v>
      </c>
      <c r="S452" s="3">
        <v>6</v>
      </c>
      <c r="T452" s="3">
        <v>0</v>
      </c>
      <c r="U452" s="3">
        <f t="shared" si="77"/>
        <v>16</v>
      </c>
      <c r="V452" s="13">
        <f t="shared" si="79"/>
        <v>0.29375000000000001</v>
      </c>
      <c r="W452" s="13">
        <f t="shared" si="82"/>
        <v>0.29375000000000001</v>
      </c>
      <c r="X452" s="3">
        <f t="shared" si="73"/>
        <v>16</v>
      </c>
      <c r="Y452" s="3" t="e">
        <f t="shared" si="83"/>
        <v>#DIV/0!</v>
      </c>
      <c r="Z452" s="3"/>
      <c r="AA452" s="3"/>
      <c r="AB452" s="3"/>
      <c r="AC452" s="3" t="s">
        <v>82</v>
      </c>
      <c r="AD452" s="3" t="s">
        <v>83</v>
      </c>
      <c r="AE452" s="3">
        <v>15</v>
      </c>
      <c r="AF452" s="3" t="s">
        <v>143</v>
      </c>
      <c r="AG452" s="3" t="s">
        <v>173</v>
      </c>
      <c r="AH452" s="3"/>
    </row>
    <row r="453" spans="1:34" ht="14.25" customHeight="1" x14ac:dyDescent="0.25">
      <c r="A453" s="3" t="s">
        <v>78</v>
      </c>
      <c r="B453" s="3" t="s">
        <v>79</v>
      </c>
      <c r="C453" s="3"/>
      <c r="D453" s="3" t="s">
        <v>80</v>
      </c>
      <c r="E453" s="3">
        <v>1</v>
      </c>
      <c r="F453" s="3">
        <v>1</v>
      </c>
      <c r="G453" s="3" t="s">
        <v>18</v>
      </c>
      <c r="H453" s="11">
        <v>45808</v>
      </c>
      <c r="I453" s="3" t="s">
        <v>159</v>
      </c>
      <c r="J453" s="3">
        <f>6+8+5.5+13</f>
        <v>32.5</v>
      </c>
      <c r="K453" s="3">
        <f>7.5+6.8+11+8.2+4.3</f>
        <v>37.799999999999997</v>
      </c>
      <c r="L453" s="3">
        <v>0</v>
      </c>
      <c r="M453" s="3">
        <f>10+8+13+6.6+4.8</f>
        <v>42.4</v>
      </c>
      <c r="N453" s="3">
        <v>0</v>
      </c>
      <c r="O453" s="3">
        <f t="shared" si="70"/>
        <v>112.69999999999999</v>
      </c>
      <c r="P453" s="3">
        <v>4</v>
      </c>
      <c r="Q453" s="3">
        <v>5</v>
      </c>
      <c r="R453" s="3">
        <v>1</v>
      </c>
      <c r="S453" s="3">
        <v>6</v>
      </c>
      <c r="T453" s="3">
        <v>0</v>
      </c>
      <c r="U453" s="3">
        <f t="shared" si="77"/>
        <v>16</v>
      </c>
      <c r="V453" s="13">
        <f t="shared" si="79"/>
        <v>7.0437499999999993</v>
      </c>
      <c r="W453" s="13">
        <f t="shared" si="82"/>
        <v>7.0437499999999993</v>
      </c>
      <c r="X453" s="3">
        <f t="shared" si="73"/>
        <v>16</v>
      </c>
      <c r="Y453" s="3" t="e">
        <f t="shared" si="83"/>
        <v>#DIV/0!</v>
      </c>
      <c r="Z453" s="3"/>
      <c r="AA453" s="3"/>
      <c r="AB453" s="3"/>
      <c r="AC453" s="3" t="s">
        <v>82</v>
      </c>
      <c r="AD453" s="3" t="s">
        <v>83</v>
      </c>
      <c r="AE453" s="3">
        <v>15</v>
      </c>
      <c r="AF453" s="3" t="s">
        <v>143</v>
      </c>
      <c r="AG453" s="3" t="s">
        <v>173</v>
      </c>
      <c r="AH453" s="3"/>
    </row>
    <row r="454" spans="1:34" ht="14.25" customHeight="1" x14ac:dyDescent="0.25">
      <c r="A454" s="3" t="s">
        <v>161</v>
      </c>
      <c r="B454" s="3" t="s">
        <v>79</v>
      </c>
      <c r="C454" s="3"/>
      <c r="D454" s="3" t="s">
        <v>80</v>
      </c>
      <c r="E454" s="3">
        <v>2</v>
      </c>
      <c r="F454" s="3">
        <v>1</v>
      </c>
      <c r="G454" s="3" t="s">
        <v>1</v>
      </c>
      <c r="H454" s="11">
        <v>45808</v>
      </c>
      <c r="I454" s="3" t="s">
        <v>159</v>
      </c>
      <c r="J454" s="3">
        <f>4.4+4.5+2.6+4.3</f>
        <v>15.8</v>
      </c>
      <c r="K454" s="3">
        <f>2.5+9+9.6+7.3</f>
        <v>28.400000000000002</v>
      </c>
      <c r="L454" s="3">
        <f>8+6.3</f>
        <v>14.3</v>
      </c>
      <c r="M454" s="3">
        <f>4.8+2.2+5.6+6.5</f>
        <v>19.100000000000001</v>
      </c>
      <c r="N454" s="3">
        <f>7.7+6.6</f>
        <v>14.3</v>
      </c>
      <c r="O454" s="3">
        <f t="shared" si="70"/>
        <v>91.899999999999991</v>
      </c>
      <c r="P454" s="3">
        <v>4</v>
      </c>
      <c r="Q454" s="3">
        <v>4</v>
      </c>
      <c r="R454" s="3">
        <v>2</v>
      </c>
      <c r="S454" s="3">
        <v>4</v>
      </c>
      <c r="T454" s="3">
        <v>2</v>
      </c>
      <c r="U454" s="3">
        <f t="shared" si="77"/>
        <v>16</v>
      </c>
      <c r="V454" s="13">
        <f t="shared" si="79"/>
        <v>5.7437499999999995</v>
      </c>
      <c r="W454" s="13">
        <f t="shared" si="82"/>
        <v>5.7437499999999995</v>
      </c>
      <c r="X454" s="3">
        <f t="shared" si="73"/>
        <v>16</v>
      </c>
      <c r="Y454" s="3" t="e">
        <f t="shared" si="83"/>
        <v>#DIV/0!</v>
      </c>
      <c r="Z454" s="3"/>
      <c r="AA454" s="3"/>
      <c r="AB454" s="3">
        <f t="shared" ref="AB454:AB455" si="84">25*5</f>
        <v>125</v>
      </c>
      <c r="AC454" s="3" t="s">
        <v>162</v>
      </c>
      <c r="AD454" s="3" t="s">
        <v>88</v>
      </c>
      <c r="AE454" s="3">
        <v>90</v>
      </c>
      <c r="AF454" s="3" t="s">
        <v>143</v>
      </c>
      <c r="AG454" s="3" t="s">
        <v>238</v>
      </c>
      <c r="AH454" s="3"/>
    </row>
    <row r="455" spans="1:34" ht="14.25" customHeight="1" x14ac:dyDescent="0.25">
      <c r="A455" s="3" t="s">
        <v>161</v>
      </c>
      <c r="B455" s="3" t="s">
        <v>79</v>
      </c>
      <c r="C455" s="3"/>
      <c r="D455" s="3" t="s">
        <v>80</v>
      </c>
      <c r="E455" s="3">
        <v>2</v>
      </c>
      <c r="F455" s="3">
        <v>1</v>
      </c>
      <c r="G455" s="3" t="s">
        <v>19</v>
      </c>
      <c r="H455" s="11">
        <v>45808</v>
      </c>
      <c r="I455" s="3" t="s">
        <v>159</v>
      </c>
      <c r="J455" s="3">
        <f>1.8+2.6+4.8+6.5</f>
        <v>15.7</v>
      </c>
      <c r="K455" s="3">
        <f>4+2.6+4.3+3.6</f>
        <v>14.499999999999998</v>
      </c>
      <c r="L455" s="3">
        <f>5.2+4.5</f>
        <v>9.6999999999999993</v>
      </c>
      <c r="M455" s="3">
        <f>3.3+4.7+5.2+8</f>
        <v>21.2</v>
      </c>
      <c r="N455" s="3">
        <f>3.8+5.7</f>
        <v>9.5</v>
      </c>
      <c r="O455" s="3">
        <f t="shared" si="70"/>
        <v>70.599999999999994</v>
      </c>
      <c r="P455" s="3">
        <v>4</v>
      </c>
      <c r="Q455" s="3">
        <v>4</v>
      </c>
      <c r="R455" s="3">
        <v>2</v>
      </c>
      <c r="S455" s="3">
        <v>4</v>
      </c>
      <c r="T455" s="3">
        <v>2</v>
      </c>
      <c r="U455" s="3">
        <f t="shared" si="77"/>
        <v>16</v>
      </c>
      <c r="V455" s="13">
        <f t="shared" si="79"/>
        <v>4.4124999999999996</v>
      </c>
      <c r="W455" s="13">
        <f t="shared" si="82"/>
        <v>4.4124999999999996</v>
      </c>
      <c r="X455" s="3">
        <f t="shared" si="73"/>
        <v>16</v>
      </c>
      <c r="Y455" s="3" t="e">
        <f t="shared" si="83"/>
        <v>#DIV/0!</v>
      </c>
      <c r="Z455" s="3"/>
      <c r="AA455" s="3"/>
      <c r="AB455" s="3">
        <f t="shared" si="84"/>
        <v>125</v>
      </c>
      <c r="AC455" s="3" t="s">
        <v>162</v>
      </c>
      <c r="AD455" s="3" t="s">
        <v>88</v>
      </c>
      <c r="AE455" s="3">
        <v>90</v>
      </c>
      <c r="AF455" s="3" t="s">
        <v>143</v>
      </c>
      <c r="AG455" s="3" t="s">
        <v>238</v>
      </c>
      <c r="AH455" s="3"/>
    </row>
    <row r="456" spans="1:34" ht="14.25" customHeight="1" x14ac:dyDescent="0.25">
      <c r="A456" s="3" t="s">
        <v>85</v>
      </c>
      <c r="B456" s="3" t="s">
        <v>79</v>
      </c>
      <c r="C456" s="3"/>
      <c r="D456" s="3" t="s">
        <v>80</v>
      </c>
      <c r="E456" s="3">
        <v>1</v>
      </c>
      <c r="F456" s="3">
        <v>1</v>
      </c>
      <c r="G456" s="3" t="s">
        <v>2</v>
      </c>
      <c r="H456" s="11">
        <v>45808</v>
      </c>
      <c r="I456" s="3" t="s">
        <v>159</v>
      </c>
      <c r="J456" s="3">
        <f>3+5.2+1.8+2.5</f>
        <v>12.5</v>
      </c>
      <c r="K456" s="3">
        <f>1.7+1.3+4+1.9+2.1</f>
        <v>11</v>
      </c>
      <c r="L456" s="3">
        <v>1.8</v>
      </c>
      <c r="M456" s="3">
        <v>1.8</v>
      </c>
      <c r="N456" s="3">
        <v>0</v>
      </c>
      <c r="O456" s="3">
        <f t="shared" si="70"/>
        <v>27.1</v>
      </c>
      <c r="P456" s="3">
        <v>5</v>
      </c>
      <c r="Q456" s="3">
        <v>5</v>
      </c>
      <c r="R456" s="3">
        <v>2</v>
      </c>
      <c r="S456" s="3">
        <v>5</v>
      </c>
      <c r="T456" s="3">
        <v>1</v>
      </c>
      <c r="U456" s="3">
        <f t="shared" si="77"/>
        <v>18</v>
      </c>
      <c r="V456" s="13">
        <f t="shared" si="79"/>
        <v>1.5055555555555555</v>
      </c>
      <c r="W456" s="13">
        <f t="shared" si="82"/>
        <v>1.5055555555555555</v>
      </c>
      <c r="X456" s="3">
        <f t="shared" si="73"/>
        <v>18</v>
      </c>
      <c r="Y456" s="3" t="e">
        <f t="shared" si="83"/>
        <v>#DIV/0!</v>
      </c>
      <c r="Z456" s="3"/>
      <c r="AA456" s="3"/>
      <c r="AB456" s="3">
        <f t="shared" ref="AB456:AB462" si="85">30*3+15*3</f>
        <v>135</v>
      </c>
      <c r="AC456" s="3" t="s">
        <v>82</v>
      </c>
      <c r="AD456" s="3" t="s">
        <v>83</v>
      </c>
      <c r="AE456" s="3">
        <v>20</v>
      </c>
      <c r="AF456" s="3" t="s">
        <v>143</v>
      </c>
      <c r="AG456" s="3" t="s">
        <v>239</v>
      </c>
      <c r="AH456" s="3"/>
    </row>
    <row r="457" spans="1:34" ht="14.25" customHeight="1" x14ac:dyDescent="0.25">
      <c r="A457" s="3" t="s">
        <v>85</v>
      </c>
      <c r="B457" s="3" t="s">
        <v>79</v>
      </c>
      <c r="C457" s="3"/>
      <c r="D457" s="3" t="s">
        <v>80</v>
      </c>
      <c r="E457" s="3">
        <v>1</v>
      </c>
      <c r="F457" s="3">
        <v>1</v>
      </c>
      <c r="G457" s="3" t="s">
        <v>10</v>
      </c>
      <c r="H457" s="11">
        <v>45808</v>
      </c>
      <c r="I457" s="3" t="s">
        <v>159</v>
      </c>
      <c r="J457" s="3">
        <v>0</v>
      </c>
      <c r="K457" s="3">
        <v>0</v>
      </c>
      <c r="L457" s="3">
        <v>0</v>
      </c>
      <c r="M457" s="3">
        <v>3.6</v>
      </c>
      <c r="N457" s="3">
        <v>0</v>
      </c>
      <c r="O457" s="3">
        <f t="shared" si="70"/>
        <v>3.6</v>
      </c>
      <c r="P457" s="3">
        <v>5</v>
      </c>
      <c r="Q457" s="3">
        <v>5</v>
      </c>
      <c r="R457" s="3">
        <v>2</v>
      </c>
      <c r="S457" s="3">
        <v>5</v>
      </c>
      <c r="T457" s="3">
        <v>1</v>
      </c>
      <c r="U457" s="3">
        <f t="shared" si="77"/>
        <v>18</v>
      </c>
      <c r="V457" s="13">
        <f t="shared" si="79"/>
        <v>0.2</v>
      </c>
      <c r="W457" s="13">
        <f t="shared" si="82"/>
        <v>0.2</v>
      </c>
      <c r="X457" s="3">
        <f t="shared" si="73"/>
        <v>18</v>
      </c>
      <c r="Y457" s="3" t="e">
        <f t="shared" si="83"/>
        <v>#DIV/0!</v>
      </c>
      <c r="Z457" s="3"/>
      <c r="AA457" s="3"/>
      <c r="AB457" s="3">
        <f t="shared" si="85"/>
        <v>135</v>
      </c>
      <c r="AC457" s="3" t="s">
        <v>82</v>
      </c>
      <c r="AD457" s="3" t="s">
        <v>83</v>
      </c>
      <c r="AE457" s="3">
        <v>20</v>
      </c>
      <c r="AF457" s="3" t="s">
        <v>143</v>
      </c>
      <c r="AG457" s="3" t="s">
        <v>239</v>
      </c>
      <c r="AH457" s="3"/>
    </row>
    <row r="458" spans="1:34" ht="14.25" customHeight="1" x14ac:dyDescent="0.25">
      <c r="A458" s="3" t="s">
        <v>85</v>
      </c>
      <c r="B458" s="3" t="s">
        <v>79</v>
      </c>
      <c r="C458" s="3"/>
      <c r="D458" s="3" t="s">
        <v>80</v>
      </c>
      <c r="E458" s="3">
        <v>1</v>
      </c>
      <c r="F458" s="3">
        <v>1</v>
      </c>
      <c r="G458" s="3" t="s">
        <v>14</v>
      </c>
      <c r="H458" s="11">
        <v>45808</v>
      </c>
      <c r="I458" s="3" t="s">
        <v>159</v>
      </c>
      <c r="J458" s="3">
        <f>3+6+4.8</f>
        <v>13.8</v>
      </c>
      <c r="K458" s="3">
        <f>2.2+3.3</f>
        <v>5.5</v>
      </c>
      <c r="L458" s="3">
        <f>8+3.2</f>
        <v>11.2</v>
      </c>
      <c r="M458" s="3">
        <v>4.8</v>
      </c>
      <c r="N458" s="3">
        <v>9.8000000000000007</v>
      </c>
      <c r="O458" s="3">
        <f t="shared" si="70"/>
        <v>45.099999999999994</v>
      </c>
      <c r="P458" s="3">
        <v>5</v>
      </c>
      <c r="Q458" s="3">
        <v>5</v>
      </c>
      <c r="R458" s="3">
        <v>2</v>
      </c>
      <c r="S458" s="3">
        <v>5</v>
      </c>
      <c r="T458" s="3">
        <v>1</v>
      </c>
      <c r="U458" s="3">
        <f t="shared" si="77"/>
        <v>18</v>
      </c>
      <c r="V458" s="13">
        <f t="shared" si="79"/>
        <v>2.5055555555555551</v>
      </c>
      <c r="W458" s="13">
        <f t="shared" si="82"/>
        <v>2.5055555555555551</v>
      </c>
      <c r="X458" s="3">
        <f t="shared" si="73"/>
        <v>18</v>
      </c>
      <c r="Y458" s="3" t="e">
        <f t="shared" si="83"/>
        <v>#DIV/0!</v>
      </c>
      <c r="Z458" s="3"/>
      <c r="AA458" s="3"/>
      <c r="AB458" s="3">
        <f t="shared" si="85"/>
        <v>135</v>
      </c>
      <c r="AC458" s="3" t="s">
        <v>82</v>
      </c>
      <c r="AD458" s="3" t="s">
        <v>83</v>
      </c>
      <c r="AE458" s="3">
        <v>20</v>
      </c>
      <c r="AF458" s="3" t="s">
        <v>143</v>
      </c>
      <c r="AG458" s="3" t="s">
        <v>239</v>
      </c>
      <c r="AH458" s="3"/>
    </row>
    <row r="459" spans="1:34" ht="14.25" customHeight="1" x14ac:dyDescent="0.25">
      <c r="A459" s="3" t="s">
        <v>85</v>
      </c>
      <c r="B459" s="3" t="s">
        <v>79</v>
      </c>
      <c r="C459" s="3"/>
      <c r="D459" s="3" t="s">
        <v>80</v>
      </c>
      <c r="E459" s="3">
        <v>1</v>
      </c>
      <c r="F459" s="3">
        <v>1</v>
      </c>
      <c r="G459" s="3" t="s">
        <v>16</v>
      </c>
      <c r="H459" s="11">
        <v>45808</v>
      </c>
      <c r="I459" s="3" t="s">
        <v>159</v>
      </c>
      <c r="J459" s="3">
        <f>2.8+1.9</f>
        <v>4.6999999999999993</v>
      </c>
      <c r="K459" s="3">
        <v>3</v>
      </c>
      <c r="L459" s="3">
        <v>0</v>
      </c>
      <c r="M459" s="3">
        <v>2.7</v>
      </c>
      <c r="N459" s="3">
        <v>0</v>
      </c>
      <c r="O459" s="3">
        <f t="shared" si="70"/>
        <v>10.399999999999999</v>
      </c>
      <c r="P459" s="3">
        <v>5</v>
      </c>
      <c r="Q459" s="3">
        <v>5</v>
      </c>
      <c r="R459" s="3">
        <v>2</v>
      </c>
      <c r="S459" s="3">
        <v>5</v>
      </c>
      <c r="T459" s="3">
        <v>1</v>
      </c>
      <c r="U459" s="3">
        <f t="shared" si="77"/>
        <v>18</v>
      </c>
      <c r="V459" s="13">
        <f t="shared" si="79"/>
        <v>0.57777777777777772</v>
      </c>
      <c r="W459" s="13">
        <f t="shared" si="82"/>
        <v>0.57777777777777772</v>
      </c>
      <c r="X459" s="3">
        <f t="shared" si="73"/>
        <v>18</v>
      </c>
      <c r="Y459" s="3" t="e">
        <f t="shared" si="83"/>
        <v>#DIV/0!</v>
      </c>
      <c r="Z459" s="3"/>
      <c r="AA459" s="3"/>
      <c r="AB459" s="3">
        <f t="shared" si="85"/>
        <v>135</v>
      </c>
      <c r="AC459" s="3" t="s">
        <v>82</v>
      </c>
      <c r="AD459" s="3" t="s">
        <v>83</v>
      </c>
      <c r="AE459" s="3">
        <v>20</v>
      </c>
      <c r="AF459" s="3" t="s">
        <v>143</v>
      </c>
      <c r="AG459" s="3" t="s">
        <v>239</v>
      </c>
      <c r="AH459" s="3"/>
    </row>
    <row r="460" spans="1:34" ht="14.25" customHeight="1" x14ac:dyDescent="0.25">
      <c r="A460" s="3" t="s">
        <v>85</v>
      </c>
      <c r="B460" s="3" t="s">
        <v>79</v>
      </c>
      <c r="C460" s="3"/>
      <c r="D460" s="3" t="s">
        <v>80</v>
      </c>
      <c r="E460" s="3">
        <v>1</v>
      </c>
      <c r="F460" s="3">
        <v>1</v>
      </c>
      <c r="G460" s="3" t="s">
        <v>18</v>
      </c>
      <c r="H460" s="11">
        <v>45808</v>
      </c>
      <c r="I460" s="3" t="s">
        <v>159</v>
      </c>
      <c r="J460" s="3">
        <v>4.3</v>
      </c>
      <c r="K460" s="3">
        <v>1.8</v>
      </c>
      <c r="L460" s="3">
        <v>6</v>
      </c>
      <c r="M460" s="3">
        <v>0</v>
      </c>
      <c r="N460" s="3">
        <v>0</v>
      </c>
      <c r="O460" s="3">
        <f t="shared" si="70"/>
        <v>12.1</v>
      </c>
      <c r="P460" s="3">
        <v>5</v>
      </c>
      <c r="Q460" s="3">
        <v>5</v>
      </c>
      <c r="R460" s="3">
        <v>2</v>
      </c>
      <c r="S460" s="3">
        <v>5</v>
      </c>
      <c r="T460" s="3">
        <v>1</v>
      </c>
      <c r="U460" s="3">
        <f t="shared" si="77"/>
        <v>18</v>
      </c>
      <c r="V460" s="13">
        <f t="shared" si="79"/>
        <v>0.67222222222222217</v>
      </c>
      <c r="W460" s="13">
        <f t="shared" si="82"/>
        <v>0.67222222222222217</v>
      </c>
      <c r="X460" s="3">
        <f t="shared" si="73"/>
        <v>18</v>
      </c>
      <c r="Y460" s="3" t="e">
        <f t="shared" si="83"/>
        <v>#DIV/0!</v>
      </c>
      <c r="Z460" s="3"/>
      <c r="AA460" s="3"/>
      <c r="AB460" s="3">
        <f t="shared" si="85"/>
        <v>135</v>
      </c>
      <c r="AC460" s="3" t="s">
        <v>82</v>
      </c>
      <c r="AD460" s="3" t="s">
        <v>83</v>
      </c>
      <c r="AE460" s="3">
        <v>20</v>
      </c>
      <c r="AF460" s="3" t="s">
        <v>143</v>
      </c>
      <c r="AG460" s="3" t="s">
        <v>239</v>
      </c>
      <c r="AH460" s="3"/>
    </row>
    <row r="461" spans="1:34" ht="14.25" customHeight="1" x14ac:dyDescent="0.25">
      <c r="A461" s="3" t="s">
        <v>85</v>
      </c>
      <c r="B461" s="3" t="s">
        <v>79</v>
      </c>
      <c r="C461" s="3"/>
      <c r="D461" s="3" t="s">
        <v>80</v>
      </c>
      <c r="E461" s="3">
        <v>1</v>
      </c>
      <c r="F461" s="3">
        <v>1</v>
      </c>
      <c r="G461" s="3" t="s">
        <v>25</v>
      </c>
      <c r="H461" s="11">
        <v>45808</v>
      </c>
      <c r="I461" s="3" t="s">
        <v>159</v>
      </c>
      <c r="J461" s="3">
        <v>0</v>
      </c>
      <c r="K461" s="3">
        <v>0</v>
      </c>
      <c r="L461" s="3">
        <v>0</v>
      </c>
      <c r="M461" s="3">
        <v>9.4</v>
      </c>
      <c r="N461" s="3">
        <v>0</v>
      </c>
      <c r="O461" s="3">
        <f t="shared" si="70"/>
        <v>9.4</v>
      </c>
      <c r="P461" s="3">
        <v>5</v>
      </c>
      <c r="Q461" s="3">
        <v>5</v>
      </c>
      <c r="R461" s="3">
        <v>2</v>
      </c>
      <c r="S461" s="3">
        <v>5</v>
      </c>
      <c r="T461" s="3">
        <v>1</v>
      </c>
      <c r="U461" s="3">
        <f t="shared" si="77"/>
        <v>18</v>
      </c>
      <c r="V461" s="13">
        <f t="shared" si="79"/>
        <v>0.52222222222222225</v>
      </c>
      <c r="W461" s="13">
        <f t="shared" si="82"/>
        <v>0.52222222222222225</v>
      </c>
      <c r="X461" s="3">
        <f t="shared" si="73"/>
        <v>18</v>
      </c>
      <c r="Y461" s="3" t="e">
        <f t="shared" si="83"/>
        <v>#DIV/0!</v>
      </c>
      <c r="Z461" s="3"/>
      <c r="AA461" s="3"/>
      <c r="AB461" s="3">
        <f t="shared" si="85"/>
        <v>135</v>
      </c>
      <c r="AC461" s="3" t="s">
        <v>82</v>
      </c>
      <c r="AD461" s="3" t="s">
        <v>83</v>
      </c>
      <c r="AE461" s="3">
        <v>20</v>
      </c>
      <c r="AF461" s="3" t="s">
        <v>143</v>
      </c>
      <c r="AG461" s="3" t="s">
        <v>239</v>
      </c>
      <c r="AH461" s="3"/>
    </row>
    <row r="462" spans="1:34" ht="14.25" customHeight="1" x14ac:dyDescent="0.25">
      <c r="A462" s="3" t="s">
        <v>85</v>
      </c>
      <c r="B462" s="3" t="s">
        <v>79</v>
      </c>
      <c r="C462" s="3"/>
      <c r="D462" s="3" t="s">
        <v>80</v>
      </c>
      <c r="E462" s="3">
        <v>1</v>
      </c>
      <c r="F462" s="3">
        <v>1</v>
      </c>
      <c r="G462" s="3" t="s">
        <v>22</v>
      </c>
      <c r="H462" s="11">
        <v>45808</v>
      </c>
      <c r="I462" s="3" t="s">
        <v>159</v>
      </c>
      <c r="J462" s="3">
        <v>3.2</v>
      </c>
      <c r="K462" s="3">
        <v>2.7</v>
      </c>
      <c r="L462" s="3">
        <v>0</v>
      </c>
      <c r="M462" s="3">
        <v>3.4</v>
      </c>
      <c r="N462" s="3">
        <v>0</v>
      </c>
      <c r="O462" s="3">
        <f t="shared" si="70"/>
        <v>9.3000000000000007</v>
      </c>
      <c r="P462" s="3">
        <v>5</v>
      </c>
      <c r="Q462" s="3">
        <v>5</v>
      </c>
      <c r="R462" s="3">
        <v>2</v>
      </c>
      <c r="S462" s="3">
        <v>5</v>
      </c>
      <c r="T462" s="3">
        <v>1</v>
      </c>
      <c r="U462" s="3">
        <f t="shared" si="77"/>
        <v>18</v>
      </c>
      <c r="V462" s="13">
        <f t="shared" si="79"/>
        <v>0.51666666666666672</v>
      </c>
      <c r="W462" s="13">
        <f t="shared" si="82"/>
        <v>0.51666666666666672</v>
      </c>
      <c r="X462" s="3">
        <f t="shared" si="73"/>
        <v>18</v>
      </c>
      <c r="Y462" s="3" t="e">
        <f t="shared" si="83"/>
        <v>#DIV/0!</v>
      </c>
      <c r="Z462" s="3"/>
      <c r="AA462" s="3"/>
      <c r="AB462" s="3">
        <f t="shared" si="85"/>
        <v>135</v>
      </c>
      <c r="AC462" s="3" t="s">
        <v>82</v>
      </c>
      <c r="AD462" s="3" t="s">
        <v>83</v>
      </c>
      <c r="AE462" s="3">
        <v>20</v>
      </c>
      <c r="AF462" s="3" t="s">
        <v>143</v>
      </c>
      <c r="AG462" s="3" t="s">
        <v>239</v>
      </c>
      <c r="AH462" s="3"/>
    </row>
    <row r="463" spans="1:34" ht="14.25" customHeight="1" x14ac:dyDescent="0.25">
      <c r="A463" s="3" t="s">
        <v>90</v>
      </c>
      <c r="B463" s="3" t="s">
        <v>79</v>
      </c>
      <c r="C463" s="3"/>
      <c r="D463" s="3" t="s">
        <v>80</v>
      </c>
      <c r="E463" s="3">
        <v>2</v>
      </c>
      <c r="F463" s="3">
        <v>1</v>
      </c>
      <c r="G463" s="3" t="s">
        <v>2</v>
      </c>
      <c r="H463" s="11">
        <v>45808</v>
      </c>
      <c r="I463" s="3" t="s">
        <v>159</v>
      </c>
      <c r="J463" s="3">
        <v>2.6</v>
      </c>
      <c r="K463" s="3">
        <v>2.2000000000000002</v>
      </c>
      <c r="L463" s="3">
        <v>5.6</v>
      </c>
      <c r="M463" s="3">
        <v>2.8</v>
      </c>
      <c r="N463" s="3">
        <v>0</v>
      </c>
      <c r="O463" s="3">
        <f t="shared" si="70"/>
        <v>13.2</v>
      </c>
      <c r="P463" s="3">
        <v>5</v>
      </c>
      <c r="Q463" s="3">
        <v>3</v>
      </c>
      <c r="R463" s="3">
        <v>2</v>
      </c>
      <c r="S463" s="3">
        <v>5</v>
      </c>
      <c r="T463" s="3">
        <v>0</v>
      </c>
      <c r="U463" s="3">
        <f t="shared" si="77"/>
        <v>15</v>
      </c>
      <c r="V463" s="13">
        <f t="shared" si="79"/>
        <v>0.88</v>
      </c>
      <c r="W463" s="13">
        <f t="shared" si="82"/>
        <v>0.88</v>
      </c>
      <c r="X463" s="3">
        <f t="shared" si="73"/>
        <v>15</v>
      </c>
      <c r="Y463" s="3" t="e">
        <f t="shared" si="83"/>
        <v>#DIV/0!</v>
      </c>
      <c r="Z463" s="3"/>
      <c r="AA463" s="3"/>
      <c r="AB463" s="3">
        <f t="shared" ref="AB463:AB468" si="86">25*2+10*3</f>
        <v>80</v>
      </c>
      <c r="AC463" s="3" t="s">
        <v>82</v>
      </c>
      <c r="AD463" s="3" t="s">
        <v>83</v>
      </c>
      <c r="AE463" s="3">
        <v>15</v>
      </c>
      <c r="AF463" s="3" t="s">
        <v>143</v>
      </c>
      <c r="AG463" s="3" t="s">
        <v>240</v>
      </c>
      <c r="AH463" s="3"/>
    </row>
    <row r="464" spans="1:34" ht="14.25" customHeight="1" x14ac:dyDescent="0.25">
      <c r="A464" s="3" t="s">
        <v>90</v>
      </c>
      <c r="B464" s="3" t="s">
        <v>79</v>
      </c>
      <c r="C464" s="3"/>
      <c r="D464" s="3" t="s">
        <v>80</v>
      </c>
      <c r="E464" s="3">
        <v>2</v>
      </c>
      <c r="F464" s="3">
        <v>1</v>
      </c>
      <c r="G464" s="3" t="s">
        <v>14</v>
      </c>
      <c r="H464" s="11">
        <v>45808</v>
      </c>
      <c r="I464" s="3" t="s">
        <v>159</v>
      </c>
      <c r="J464" s="3">
        <f>2.5+1.8</f>
        <v>4.3</v>
      </c>
      <c r="K464" s="3">
        <v>2.2000000000000002</v>
      </c>
      <c r="L464" s="3">
        <v>0</v>
      </c>
      <c r="M464" s="3">
        <f>2.8+1.6</f>
        <v>4.4000000000000004</v>
      </c>
      <c r="N464" s="3">
        <v>0</v>
      </c>
      <c r="O464" s="3">
        <f t="shared" si="70"/>
        <v>10.9</v>
      </c>
      <c r="P464" s="3">
        <v>5</v>
      </c>
      <c r="Q464" s="3">
        <v>3</v>
      </c>
      <c r="R464" s="3">
        <v>2</v>
      </c>
      <c r="S464" s="3">
        <v>5</v>
      </c>
      <c r="T464" s="3">
        <v>0</v>
      </c>
      <c r="U464" s="3">
        <f t="shared" si="77"/>
        <v>15</v>
      </c>
      <c r="V464" s="13">
        <f t="shared" si="79"/>
        <v>0.72666666666666668</v>
      </c>
      <c r="W464" s="13">
        <f t="shared" si="82"/>
        <v>0.72666666666666668</v>
      </c>
      <c r="X464" s="3">
        <f t="shared" si="73"/>
        <v>15</v>
      </c>
      <c r="Y464" s="3" t="e">
        <f t="shared" si="83"/>
        <v>#DIV/0!</v>
      </c>
      <c r="Z464" s="3"/>
      <c r="AA464" s="3"/>
      <c r="AB464" s="3">
        <f t="shared" si="86"/>
        <v>80</v>
      </c>
      <c r="AC464" s="3" t="s">
        <v>82</v>
      </c>
      <c r="AD464" s="3" t="s">
        <v>83</v>
      </c>
      <c r="AE464" s="3">
        <v>15</v>
      </c>
      <c r="AF464" s="3" t="s">
        <v>143</v>
      </c>
      <c r="AG464" s="3" t="s">
        <v>240</v>
      </c>
      <c r="AH464" s="3"/>
    </row>
    <row r="465" spans="1:34" ht="14.25" customHeight="1" x14ac:dyDescent="0.25">
      <c r="A465" s="3" t="s">
        <v>90</v>
      </c>
      <c r="B465" s="3" t="s">
        <v>79</v>
      </c>
      <c r="C465" s="3"/>
      <c r="D465" s="3" t="s">
        <v>80</v>
      </c>
      <c r="E465" s="3">
        <v>2</v>
      </c>
      <c r="F465" s="3">
        <v>1</v>
      </c>
      <c r="G465" s="3" t="s">
        <v>16</v>
      </c>
      <c r="H465" s="11">
        <v>45808</v>
      </c>
      <c r="I465" s="3" t="s">
        <v>159</v>
      </c>
      <c r="J465" s="3">
        <v>4.3</v>
      </c>
      <c r="K465" s="3">
        <v>0</v>
      </c>
      <c r="L465" s="3">
        <v>0</v>
      </c>
      <c r="M465" s="3">
        <v>2.2999999999999998</v>
      </c>
      <c r="N465" s="3">
        <v>0</v>
      </c>
      <c r="O465" s="3">
        <f t="shared" si="70"/>
        <v>6.6</v>
      </c>
      <c r="P465" s="3">
        <v>5</v>
      </c>
      <c r="Q465" s="3">
        <v>3</v>
      </c>
      <c r="R465" s="3">
        <v>2</v>
      </c>
      <c r="S465" s="3">
        <v>5</v>
      </c>
      <c r="T465" s="3">
        <v>0</v>
      </c>
      <c r="U465" s="3">
        <f t="shared" si="77"/>
        <v>15</v>
      </c>
      <c r="V465" s="13">
        <f t="shared" si="79"/>
        <v>0.44</v>
      </c>
      <c r="W465" s="13">
        <f t="shared" si="82"/>
        <v>0.44</v>
      </c>
      <c r="X465" s="3">
        <f t="shared" si="73"/>
        <v>15</v>
      </c>
      <c r="Y465" s="3" t="e">
        <f t="shared" si="83"/>
        <v>#DIV/0!</v>
      </c>
      <c r="Z465" s="3"/>
      <c r="AA465" s="3"/>
      <c r="AB465" s="3">
        <f t="shared" si="86"/>
        <v>80</v>
      </c>
      <c r="AC465" s="3" t="s">
        <v>82</v>
      </c>
      <c r="AD465" s="3" t="s">
        <v>83</v>
      </c>
      <c r="AE465" s="3">
        <v>15</v>
      </c>
      <c r="AF465" s="3" t="s">
        <v>143</v>
      </c>
      <c r="AG465" s="3" t="s">
        <v>240</v>
      </c>
      <c r="AH465" s="3"/>
    </row>
    <row r="466" spans="1:34" ht="14.25" customHeight="1" x14ac:dyDescent="0.25">
      <c r="A466" s="3" t="s">
        <v>90</v>
      </c>
      <c r="B466" s="3" t="s">
        <v>79</v>
      </c>
      <c r="C466" s="3"/>
      <c r="D466" s="3" t="s">
        <v>80</v>
      </c>
      <c r="E466" s="3">
        <v>2</v>
      </c>
      <c r="F466" s="3">
        <v>1</v>
      </c>
      <c r="G466" s="3" t="s">
        <v>18</v>
      </c>
      <c r="H466" s="11">
        <v>45808</v>
      </c>
      <c r="I466" s="3" t="s">
        <v>159</v>
      </c>
      <c r="J466" s="3">
        <f>3.6+4.4+5.5+5.3</f>
        <v>18.8</v>
      </c>
      <c r="K466" s="3">
        <f>4.8+6.2</f>
        <v>11</v>
      </c>
      <c r="L466" s="3">
        <v>0</v>
      </c>
      <c r="M466" s="3">
        <f>6.6+4.3+4.6+2.8</f>
        <v>18.299999999999997</v>
      </c>
      <c r="N466" s="3">
        <v>0</v>
      </c>
      <c r="O466" s="3">
        <f t="shared" si="70"/>
        <v>48.099999999999994</v>
      </c>
      <c r="P466" s="3">
        <v>5</v>
      </c>
      <c r="Q466" s="3">
        <v>3</v>
      </c>
      <c r="R466" s="3">
        <v>2</v>
      </c>
      <c r="S466" s="3">
        <v>5</v>
      </c>
      <c r="T466" s="3">
        <v>0</v>
      </c>
      <c r="U466" s="3">
        <f t="shared" si="77"/>
        <v>15</v>
      </c>
      <c r="V466" s="13">
        <f t="shared" si="79"/>
        <v>3.2066666666666661</v>
      </c>
      <c r="W466" s="13">
        <f t="shared" si="82"/>
        <v>3.2066666666666661</v>
      </c>
      <c r="X466" s="3">
        <f t="shared" si="73"/>
        <v>15</v>
      </c>
      <c r="Y466" s="3" t="e">
        <f t="shared" si="83"/>
        <v>#DIV/0!</v>
      </c>
      <c r="Z466" s="3"/>
      <c r="AA466" s="3"/>
      <c r="AB466" s="3">
        <f t="shared" si="86"/>
        <v>80</v>
      </c>
      <c r="AC466" s="3" t="s">
        <v>82</v>
      </c>
      <c r="AD466" s="3" t="s">
        <v>83</v>
      </c>
      <c r="AE466" s="3">
        <v>15</v>
      </c>
      <c r="AF466" s="3" t="s">
        <v>143</v>
      </c>
      <c r="AG466" s="3" t="s">
        <v>240</v>
      </c>
      <c r="AH466" s="3"/>
    </row>
    <row r="467" spans="1:34" ht="14.25" customHeight="1" x14ac:dyDescent="0.25">
      <c r="A467" s="3" t="s">
        <v>90</v>
      </c>
      <c r="B467" s="3" t="s">
        <v>79</v>
      </c>
      <c r="C467" s="3"/>
      <c r="D467" s="3" t="s">
        <v>80</v>
      </c>
      <c r="E467" s="3">
        <v>2</v>
      </c>
      <c r="F467" s="3">
        <v>1</v>
      </c>
      <c r="G467" s="3" t="s">
        <v>25</v>
      </c>
      <c r="H467" s="11">
        <v>45808</v>
      </c>
      <c r="I467" s="3" t="s">
        <v>159</v>
      </c>
      <c r="J467" s="3">
        <v>12</v>
      </c>
      <c r="K467" s="3">
        <v>0</v>
      </c>
      <c r="L467" s="3">
        <v>7.2</v>
      </c>
      <c r="M467" s="3">
        <v>13</v>
      </c>
      <c r="N467" s="3">
        <v>0</v>
      </c>
      <c r="O467" s="3">
        <f t="shared" si="70"/>
        <v>32.200000000000003</v>
      </c>
      <c r="P467" s="3">
        <v>5</v>
      </c>
      <c r="Q467" s="3">
        <v>3</v>
      </c>
      <c r="R467" s="3">
        <v>2</v>
      </c>
      <c r="S467" s="3">
        <v>5</v>
      </c>
      <c r="T467" s="3">
        <v>0</v>
      </c>
      <c r="U467" s="3">
        <f t="shared" si="77"/>
        <v>15</v>
      </c>
      <c r="V467" s="13">
        <f t="shared" si="79"/>
        <v>2.1466666666666669</v>
      </c>
      <c r="W467" s="13">
        <f t="shared" si="82"/>
        <v>2.1466666666666669</v>
      </c>
      <c r="X467" s="3">
        <f t="shared" si="73"/>
        <v>15</v>
      </c>
      <c r="Y467" s="3" t="e">
        <f t="shared" si="83"/>
        <v>#DIV/0!</v>
      </c>
      <c r="Z467" s="3"/>
      <c r="AA467" s="3"/>
      <c r="AB467" s="3">
        <f t="shared" si="86"/>
        <v>80</v>
      </c>
      <c r="AC467" s="3" t="s">
        <v>82</v>
      </c>
      <c r="AD467" s="3" t="s">
        <v>83</v>
      </c>
      <c r="AE467" s="3">
        <v>15</v>
      </c>
      <c r="AF467" s="3" t="s">
        <v>143</v>
      </c>
      <c r="AG467" s="3" t="s">
        <v>240</v>
      </c>
      <c r="AH467" s="3"/>
    </row>
    <row r="468" spans="1:34" ht="14.25" customHeight="1" x14ac:dyDescent="0.25">
      <c r="A468" s="3" t="s">
        <v>90</v>
      </c>
      <c r="B468" s="3" t="s">
        <v>79</v>
      </c>
      <c r="C468" s="3"/>
      <c r="D468" s="3" t="s">
        <v>80</v>
      </c>
      <c r="E468" s="3">
        <v>2</v>
      </c>
      <c r="F468" s="3">
        <v>1</v>
      </c>
      <c r="G468" s="3" t="s">
        <v>22</v>
      </c>
      <c r="H468" s="11">
        <v>45808</v>
      </c>
      <c r="I468" s="3" t="s">
        <v>159</v>
      </c>
      <c r="J468" s="3">
        <v>3.5</v>
      </c>
      <c r="K468" s="3">
        <v>2.9</v>
      </c>
      <c r="L468" s="3">
        <v>4.2</v>
      </c>
      <c r="M468" s="3">
        <v>0</v>
      </c>
      <c r="N468" s="3">
        <v>0</v>
      </c>
      <c r="O468" s="3">
        <f t="shared" si="70"/>
        <v>10.600000000000001</v>
      </c>
      <c r="P468" s="3">
        <v>5</v>
      </c>
      <c r="Q468" s="3">
        <v>3</v>
      </c>
      <c r="R468" s="3">
        <v>2</v>
      </c>
      <c r="S468" s="3">
        <v>5</v>
      </c>
      <c r="T468" s="3">
        <v>0</v>
      </c>
      <c r="U468" s="3">
        <f t="shared" si="77"/>
        <v>15</v>
      </c>
      <c r="V468" s="13">
        <f t="shared" si="79"/>
        <v>0.70666666666666678</v>
      </c>
      <c r="W468" s="13">
        <f t="shared" si="82"/>
        <v>0.70666666666666678</v>
      </c>
      <c r="X468" s="3">
        <f t="shared" si="73"/>
        <v>15</v>
      </c>
      <c r="Y468" s="3" t="e">
        <f t="shared" si="83"/>
        <v>#DIV/0!</v>
      </c>
      <c r="Z468" s="3"/>
      <c r="AA468" s="3"/>
      <c r="AB468" s="3">
        <f t="shared" si="86"/>
        <v>80</v>
      </c>
      <c r="AC468" s="3" t="s">
        <v>82</v>
      </c>
      <c r="AD468" s="3" t="s">
        <v>83</v>
      </c>
      <c r="AE468" s="3">
        <v>15</v>
      </c>
      <c r="AF468" s="3" t="s">
        <v>143</v>
      </c>
      <c r="AG468" s="3" t="s">
        <v>240</v>
      </c>
      <c r="AH468" s="3"/>
    </row>
    <row r="469" spans="1:34" ht="14.25" customHeight="1" x14ac:dyDescent="0.25">
      <c r="A469" s="3" t="s">
        <v>89</v>
      </c>
      <c r="B469" s="3" t="s">
        <v>79</v>
      </c>
      <c r="C469" s="3"/>
      <c r="D469" s="3" t="s">
        <v>80</v>
      </c>
      <c r="E469" s="3">
        <v>2</v>
      </c>
      <c r="F469" s="3">
        <v>1</v>
      </c>
      <c r="G469" s="3" t="s">
        <v>1</v>
      </c>
      <c r="H469" s="11">
        <v>45808</v>
      </c>
      <c r="I469" s="3" t="s">
        <v>159</v>
      </c>
      <c r="J469" s="3">
        <v>6</v>
      </c>
      <c r="K469" s="3">
        <v>0</v>
      </c>
      <c r="L469" s="3">
        <v>0</v>
      </c>
      <c r="M469" s="3">
        <v>0</v>
      </c>
      <c r="N469" s="3">
        <v>0</v>
      </c>
      <c r="O469" s="3">
        <f t="shared" si="70"/>
        <v>6</v>
      </c>
      <c r="P469" s="3">
        <v>5</v>
      </c>
      <c r="Q469" s="3">
        <v>4</v>
      </c>
      <c r="R469" s="3">
        <v>0</v>
      </c>
      <c r="S469" s="3">
        <v>3</v>
      </c>
      <c r="T469" s="3">
        <v>0</v>
      </c>
      <c r="U469" s="3">
        <f t="shared" si="77"/>
        <v>12</v>
      </c>
      <c r="V469" s="13">
        <f t="shared" si="79"/>
        <v>0.5</v>
      </c>
      <c r="W469" s="13">
        <f t="shared" si="82"/>
        <v>0.5</v>
      </c>
      <c r="X469" s="3">
        <f t="shared" si="73"/>
        <v>12</v>
      </c>
      <c r="Y469" s="3">
        <f t="shared" si="83"/>
        <v>9.9206349206349201E-4</v>
      </c>
      <c r="Z469" s="3"/>
      <c r="AA469" s="3">
        <f t="shared" ref="AA469:AA474" si="87">60*2.8*3</f>
        <v>504</v>
      </c>
      <c r="AB469" s="3">
        <f t="shared" ref="AB469:AB474" si="88">15*3+15*4</f>
        <v>105</v>
      </c>
      <c r="AC469" s="3" t="s">
        <v>82</v>
      </c>
      <c r="AD469" s="3" t="s">
        <v>83</v>
      </c>
      <c r="AE469" s="3">
        <v>40</v>
      </c>
      <c r="AF469" s="3" t="s">
        <v>143</v>
      </c>
      <c r="AG469" s="3" t="s">
        <v>353</v>
      </c>
      <c r="AH469" s="3"/>
    </row>
    <row r="470" spans="1:34" ht="14.25" customHeight="1" x14ac:dyDescent="0.25">
      <c r="A470" s="3" t="s">
        <v>89</v>
      </c>
      <c r="B470" s="3" t="s">
        <v>79</v>
      </c>
      <c r="C470" s="3"/>
      <c r="D470" s="3" t="s">
        <v>80</v>
      </c>
      <c r="E470" s="3">
        <v>2</v>
      </c>
      <c r="F470" s="3">
        <v>1</v>
      </c>
      <c r="G470" s="3" t="s">
        <v>3</v>
      </c>
      <c r="H470" s="11">
        <v>45808</v>
      </c>
      <c r="I470" s="3" t="s">
        <v>159</v>
      </c>
      <c r="J470" s="3">
        <f>70+28</f>
        <v>98</v>
      </c>
      <c r="K470" s="3">
        <f>44+32+18</f>
        <v>94</v>
      </c>
      <c r="L470" s="3">
        <v>0</v>
      </c>
      <c r="M470" s="3">
        <f>38+36+72</f>
        <v>146</v>
      </c>
      <c r="N470" s="3">
        <v>0</v>
      </c>
      <c r="O470" s="3">
        <f t="shared" si="70"/>
        <v>338</v>
      </c>
      <c r="P470" s="3">
        <v>5</v>
      </c>
      <c r="Q470" s="3">
        <v>4</v>
      </c>
      <c r="R470" s="3">
        <v>0</v>
      </c>
      <c r="S470" s="3">
        <v>3</v>
      </c>
      <c r="T470" s="3">
        <v>0</v>
      </c>
      <c r="U470" s="3">
        <f t="shared" si="77"/>
        <v>12</v>
      </c>
      <c r="V470" s="13">
        <f t="shared" si="79"/>
        <v>28.166666666666668</v>
      </c>
      <c r="W470" s="13">
        <f t="shared" si="82"/>
        <v>28.166666666666668</v>
      </c>
      <c r="X470" s="3">
        <f t="shared" si="73"/>
        <v>12</v>
      </c>
      <c r="Y470" s="3">
        <f t="shared" si="83"/>
        <v>5.5886243386243387E-2</v>
      </c>
      <c r="Z470" s="3"/>
      <c r="AA470" s="3">
        <f t="shared" si="87"/>
        <v>504</v>
      </c>
      <c r="AB470" s="3">
        <f t="shared" si="88"/>
        <v>105</v>
      </c>
      <c r="AC470" s="3" t="s">
        <v>82</v>
      </c>
      <c r="AD470" s="3" t="s">
        <v>83</v>
      </c>
      <c r="AE470" s="3">
        <v>40</v>
      </c>
      <c r="AF470" s="3" t="s">
        <v>143</v>
      </c>
      <c r="AG470" s="3" t="s">
        <v>353</v>
      </c>
      <c r="AH470" s="3"/>
    </row>
    <row r="471" spans="1:34" ht="14.25" customHeight="1" x14ac:dyDescent="0.25">
      <c r="A471" s="3" t="s">
        <v>89</v>
      </c>
      <c r="B471" s="3" t="s">
        <v>79</v>
      </c>
      <c r="C471" s="3"/>
      <c r="D471" s="3" t="s">
        <v>80</v>
      </c>
      <c r="E471" s="3">
        <v>2</v>
      </c>
      <c r="F471" s="3">
        <v>1</v>
      </c>
      <c r="G471" s="3" t="s">
        <v>14</v>
      </c>
      <c r="H471" s="11">
        <v>45808</v>
      </c>
      <c r="I471" s="3" t="s">
        <v>159</v>
      </c>
      <c r="J471" s="3">
        <v>3.3</v>
      </c>
      <c r="K471" s="3">
        <f>3.8</f>
        <v>3.8</v>
      </c>
      <c r="L471" s="3">
        <v>0</v>
      </c>
      <c r="M471" s="3">
        <v>0</v>
      </c>
      <c r="N471" s="3">
        <v>0</v>
      </c>
      <c r="O471" s="3">
        <f t="shared" si="70"/>
        <v>7.1</v>
      </c>
      <c r="P471" s="3">
        <v>5</v>
      </c>
      <c r="Q471" s="3">
        <v>4</v>
      </c>
      <c r="R471" s="3">
        <v>0</v>
      </c>
      <c r="S471" s="3">
        <v>3</v>
      </c>
      <c r="T471" s="3">
        <v>0</v>
      </c>
      <c r="U471" s="3">
        <f t="shared" si="77"/>
        <v>12</v>
      </c>
      <c r="V471" s="13">
        <f t="shared" si="79"/>
        <v>0.59166666666666667</v>
      </c>
      <c r="W471" s="13">
        <f t="shared" si="82"/>
        <v>0.59166666666666667</v>
      </c>
      <c r="X471" s="3">
        <f t="shared" si="73"/>
        <v>12</v>
      </c>
      <c r="Y471" s="3">
        <f t="shared" si="83"/>
        <v>1.173941798941799E-3</v>
      </c>
      <c r="Z471" s="3"/>
      <c r="AA471" s="3">
        <f t="shared" si="87"/>
        <v>504</v>
      </c>
      <c r="AB471" s="3">
        <f t="shared" si="88"/>
        <v>105</v>
      </c>
      <c r="AC471" s="3" t="s">
        <v>82</v>
      </c>
      <c r="AD471" s="3" t="s">
        <v>83</v>
      </c>
      <c r="AE471" s="3">
        <v>40</v>
      </c>
      <c r="AF471" s="3" t="s">
        <v>143</v>
      </c>
      <c r="AG471" s="3" t="s">
        <v>353</v>
      </c>
      <c r="AH471" s="3"/>
    </row>
    <row r="472" spans="1:34" ht="14.25" customHeight="1" x14ac:dyDescent="0.25">
      <c r="A472" s="3" t="s">
        <v>89</v>
      </c>
      <c r="B472" s="3" t="s">
        <v>79</v>
      </c>
      <c r="C472" s="3"/>
      <c r="D472" s="3" t="s">
        <v>80</v>
      </c>
      <c r="E472" s="3">
        <v>2</v>
      </c>
      <c r="F472" s="3">
        <v>1</v>
      </c>
      <c r="G472" s="3" t="s">
        <v>16</v>
      </c>
      <c r="H472" s="11">
        <v>45808</v>
      </c>
      <c r="I472" s="3" t="s">
        <v>159</v>
      </c>
      <c r="J472" s="3">
        <v>1.9</v>
      </c>
      <c r="K472" s="3">
        <v>2.8</v>
      </c>
      <c r="L472" s="3">
        <v>0</v>
      </c>
      <c r="M472" s="3">
        <v>0</v>
      </c>
      <c r="N472" s="3">
        <v>0</v>
      </c>
      <c r="O472" s="3">
        <f t="shared" si="70"/>
        <v>4.6999999999999993</v>
      </c>
      <c r="P472" s="3">
        <v>5</v>
      </c>
      <c r="Q472" s="3">
        <v>4</v>
      </c>
      <c r="R472" s="3">
        <v>0</v>
      </c>
      <c r="S472" s="3">
        <v>3</v>
      </c>
      <c r="T472" s="3">
        <v>0</v>
      </c>
      <c r="U472" s="3">
        <f t="shared" si="77"/>
        <v>12</v>
      </c>
      <c r="V472" s="13">
        <f t="shared" si="79"/>
        <v>0.39166666666666661</v>
      </c>
      <c r="W472" s="13">
        <f t="shared" si="82"/>
        <v>0.39166666666666661</v>
      </c>
      <c r="X472" s="3">
        <f t="shared" si="73"/>
        <v>12</v>
      </c>
      <c r="Y472" s="3">
        <f t="shared" si="83"/>
        <v>7.7711640211640203E-4</v>
      </c>
      <c r="Z472" s="3"/>
      <c r="AA472" s="3">
        <f t="shared" si="87"/>
        <v>504</v>
      </c>
      <c r="AB472" s="3">
        <f t="shared" si="88"/>
        <v>105</v>
      </c>
      <c r="AC472" s="3" t="s">
        <v>82</v>
      </c>
      <c r="AD472" s="3" t="s">
        <v>83</v>
      </c>
      <c r="AE472" s="3">
        <v>40</v>
      </c>
      <c r="AF472" s="3" t="s">
        <v>143</v>
      </c>
      <c r="AG472" s="3" t="s">
        <v>353</v>
      </c>
      <c r="AH472" s="3"/>
    </row>
    <row r="473" spans="1:34" ht="14.25" customHeight="1" x14ac:dyDescent="0.25">
      <c r="A473" s="3" t="s">
        <v>89</v>
      </c>
      <c r="B473" s="3" t="s">
        <v>79</v>
      </c>
      <c r="C473" s="3"/>
      <c r="D473" s="3" t="s">
        <v>80</v>
      </c>
      <c r="E473" s="3">
        <v>2</v>
      </c>
      <c r="F473" s="3">
        <v>1</v>
      </c>
      <c r="G473" s="3" t="s">
        <v>25</v>
      </c>
      <c r="H473" s="11">
        <v>45808</v>
      </c>
      <c r="I473" s="3" t="s">
        <v>159</v>
      </c>
      <c r="J473" s="3">
        <v>9.6</v>
      </c>
      <c r="K473" s="3">
        <v>17</v>
      </c>
      <c r="L473" s="3">
        <v>0</v>
      </c>
      <c r="M473" s="3">
        <v>0</v>
      </c>
      <c r="N473" s="3">
        <v>0</v>
      </c>
      <c r="O473" s="3">
        <f t="shared" si="70"/>
        <v>26.6</v>
      </c>
      <c r="P473" s="3">
        <v>5</v>
      </c>
      <c r="Q473" s="3">
        <v>4</v>
      </c>
      <c r="R473" s="3">
        <v>0</v>
      </c>
      <c r="S473" s="3">
        <v>3</v>
      </c>
      <c r="T473" s="3">
        <v>0</v>
      </c>
      <c r="U473" s="3">
        <f t="shared" si="77"/>
        <v>12</v>
      </c>
      <c r="V473" s="13">
        <f t="shared" si="79"/>
        <v>2.2166666666666668</v>
      </c>
      <c r="W473" s="13">
        <f t="shared" si="82"/>
        <v>2.2166666666666668</v>
      </c>
      <c r="X473" s="3">
        <f t="shared" si="73"/>
        <v>12</v>
      </c>
      <c r="Y473" s="3">
        <f t="shared" si="83"/>
        <v>4.3981481481481484E-3</v>
      </c>
      <c r="Z473" s="3"/>
      <c r="AA473" s="3">
        <f t="shared" si="87"/>
        <v>504</v>
      </c>
      <c r="AB473" s="3">
        <f t="shared" si="88"/>
        <v>105</v>
      </c>
      <c r="AC473" s="3" t="s">
        <v>82</v>
      </c>
      <c r="AD473" s="3" t="s">
        <v>83</v>
      </c>
      <c r="AE473" s="3">
        <v>40</v>
      </c>
      <c r="AF473" s="3" t="s">
        <v>143</v>
      </c>
      <c r="AG473" s="3" t="s">
        <v>353</v>
      </c>
      <c r="AH473" s="3"/>
    </row>
    <row r="474" spans="1:34" ht="14.25" customHeight="1" x14ac:dyDescent="0.25">
      <c r="A474" s="3" t="s">
        <v>89</v>
      </c>
      <c r="B474" s="3" t="s">
        <v>79</v>
      </c>
      <c r="C474" s="3"/>
      <c r="D474" s="3" t="s">
        <v>80</v>
      </c>
      <c r="E474" s="3">
        <v>2</v>
      </c>
      <c r="F474" s="3">
        <v>1</v>
      </c>
      <c r="G474" s="3" t="s">
        <v>22</v>
      </c>
      <c r="H474" s="11">
        <v>45808</v>
      </c>
      <c r="I474" s="3" t="s">
        <v>159</v>
      </c>
      <c r="J474" s="3">
        <f>3.8+3.9</f>
        <v>7.6999999999999993</v>
      </c>
      <c r="K474" s="3">
        <v>4.3</v>
      </c>
      <c r="L474" s="3">
        <v>0</v>
      </c>
      <c r="M474" s="3">
        <f>4.3+2.8</f>
        <v>7.1</v>
      </c>
      <c r="N474" s="3">
        <v>0</v>
      </c>
      <c r="O474" s="3">
        <f t="shared" si="70"/>
        <v>19.100000000000001</v>
      </c>
      <c r="P474" s="3">
        <v>5</v>
      </c>
      <c r="Q474" s="3">
        <v>4</v>
      </c>
      <c r="R474" s="3">
        <v>0</v>
      </c>
      <c r="S474" s="3">
        <v>3</v>
      </c>
      <c r="T474" s="3">
        <v>0</v>
      </c>
      <c r="U474" s="3">
        <f t="shared" si="77"/>
        <v>12</v>
      </c>
      <c r="V474" s="13">
        <f t="shared" si="79"/>
        <v>1.5916666666666668</v>
      </c>
      <c r="W474" s="13">
        <f t="shared" si="82"/>
        <v>1.5916666666666668</v>
      </c>
      <c r="X474" s="3">
        <f t="shared" si="73"/>
        <v>12</v>
      </c>
      <c r="Y474" s="3">
        <f t="shared" si="83"/>
        <v>3.1580687830687834E-3</v>
      </c>
      <c r="Z474" s="3"/>
      <c r="AA474" s="3">
        <f t="shared" si="87"/>
        <v>504</v>
      </c>
      <c r="AB474" s="3">
        <f t="shared" si="88"/>
        <v>105</v>
      </c>
      <c r="AC474" s="3" t="s">
        <v>82</v>
      </c>
      <c r="AD474" s="3" t="s">
        <v>83</v>
      </c>
      <c r="AE474" s="3">
        <v>40</v>
      </c>
      <c r="AF474" s="3" t="s">
        <v>143</v>
      </c>
      <c r="AG474" s="3" t="s">
        <v>353</v>
      </c>
      <c r="AH474" s="3"/>
    </row>
    <row r="475" spans="1:34" ht="14.25" customHeight="1" x14ac:dyDescent="0.25">
      <c r="A475" s="3" t="s">
        <v>97</v>
      </c>
      <c r="B475" s="3" t="s">
        <v>79</v>
      </c>
      <c r="C475" s="3"/>
      <c r="D475" s="3" t="s">
        <v>80</v>
      </c>
      <c r="E475" s="3">
        <v>1</v>
      </c>
      <c r="F475" s="3">
        <v>1</v>
      </c>
      <c r="G475" s="3" t="s">
        <v>18</v>
      </c>
      <c r="H475" s="11">
        <v>45808</v>
      </c>
      <c r="I475" s="3" t="s">
        <v>159</v>
      </c>
      <c r="J475" s="3">
        <v>12.5</v>
      </c>
      <c r="K475" s="3">
        <f>9+5.4</f>
        <v>14.4</v>
      </c>
      <c r="L475" s="3">
        <f>12+6</f>
        <v>18</v>
      </c>
      <c r="M475" s="3">
        <f>12+7.5+4.8</f>
        <v>24.3</v>
      </c>
      <c r="N475" s="3">
        <v>0</v>
      </c>
      <c r="O475" s="3">
        <f t="shared" si="70"/>
        <v>69.2</v>
      </c>
      <c r="P475" s="3">
        <v>2</v>
      </c>
      <c r="Q475" s="3">
        <v>2</v>
      </c>
      <c r="R475" s="3">
        <v>2</v>
      </c>
      <c r="S475" s="3">
        <v>3</v>
      </c>
      <c r="T475" s="3">
        <v>0</v>
      </c>
      <c r="U475" s="3">
        <f t="shared" si="77"/>
        <v>9</v>
      </c>
      <c r="V475" s="13">
        <f t="shared" si="79"/>
        <v>7.6888888888888891</v>
      </c>
      <c r="W475" s="13">
        <f t="shared" si="82"/>
        <v>7.6888888888888891</v>
      </c>
      <c r="X475" s="3">
        <f t="shared" si="73"/>
        <v>9</v>
      </c>
      <c r="Y475" s="3" t="e">
        <f t="shared" si="83"/>
        <v>#DIV/0!</v>
      </c>
      <c r="Z475" s="3"/>
      <c r="AA475" s="3"/>
      <c r="AB475" s="3"/>
      <c r="AC475" s="3" t="s">
        <v>82</v>
      </c>
      <c r="AD475" s="3"/>
      <c r="AE475" s="3">
        <v>15</v>
      </c>
      <c r="AF475" s="3" t="s">
        <v>143</v>
      </c>
      <c r="AG475" s="3" t="s">
        <v>173</v>
      </c>
      <c r="AH475" s="3"/>
    </row>
    <row r="476" spans="1:34" ht="14.25" customHeight="1" x14ac:dyDescent="0.25">
      <c r="A476" s="3" t="s">
        <v>145</v>
      </c>
      <c r="B476" s="3" t="s">
        <v>79</v>
      </c>
      <c r="C476" s="3"/>
      <c r="D476" s="3" t="s">
        <v>186</v>
      </c>
      <c r="E476" s="3">
        <v>1</v>
      </c>
      <c r="F476" s="3">
        <v>1</v>
      </c>
      <c r="G476" s="3" t="s">
        <v>3</v>
      </c>
      <c r="H476" s="11">
        <v>45808</v>
      </c>
      <c r="I476" s="3" t="s">
        <v>159</v>
      </c>
      <c r="J476" s="3">
        <f>14+11+10+22</f>
        <v>57</v>
      </c>
      <c r="K476" s="3">
        <f>16+11</f>
        <v>27</v>
      </c>
      <c r="L476" s="3">
        <v>18</v>
      </c>
      <c r="M476" s="3">
        <v>14</v>
      </c>
      <c r="N476" s="3">
        <v>15.5</v>
      </c>
      <c r="O476" s="3">
        <f t="shared" si="70"/>
        <v>131.5</v>
      </c>
      <c r="P476" s="3">
        <v>4</v>
      </c>
      <c r="Q476" s="3">
        <v>2</v>
      </c>
      <c r="R476" s="3">
        <v>3</v>
      </c>
      <c r="S476" s="3">
        <v>3</v>
      </c>
      <c r="T476" s="3">
        <v>1</v>
      </c>
      <c r="U476" s="3">
        <f t="shared" si="77"/>
        <v>13</v>
      </c>
      <c r="V476" s="13">
        <f t="shared" si="79"/>
        <v>10.115384615384615</v>
      </c>
      <c r="W476" s="13">
        <f t="shared" si="82"/>
        <v>10.115384615384615</v>
      </c>
      <c r="X476" s="3">
        <f t="shared" si="73"/>
        <v>13</v>
      </c>
      <c r="Y476" s="3">
        <f t="shared" si="83"/>
        <v>3.192987567987568E-2</v>
      </c>
      <c r="Z476" s="3"/>
      <c r="AA476" s="3">
        <f t="shared" ref="AA476:AA482" si="89">9*2.2*16</f>
        <v>316.8</v>
      </c>
      <c r="AB476" s="3"/>
      <c r="AC476" s="3" t="s">
        <v>82</v>
      </c>
      <c r="AD476" s="3" t="s">
        <v>83</v>
      </c>
      <c r="AE476" s="3">
        <v>15</v>
      </c>
      <c r="AF476" s="3" t="s">
        <v>143</v>
      </c>
      <c r="AG476" s="3" t="s">
        <v>303</v>
      </c>
      <c r="AH476" s="3"/>
    </row>
    <row r="477" spans="1:34" ht="14.25" customHeight="1" x14ac:dyDescent="0.25">
      <c r="A477" s="3" t="s">
        <v>145</v>
      </c>
      <c r="B477" s="3" t="s">
        <v>79</v>
      </c>
      <c r="C477" s="3"/>
      <c r="D477" s="3" t="s">
        <v>186</v>
      </c>
      <c r="E477" s="3">
        <v>1</v>
      </c>
      <c r="F477" s="3">
        <v>1</v>
      </c>
      <c r="G477" s="3" t="s">
        <v>10</v>
      </c>
      <c r="H477" s="11">
        <v>45808</v>
      </c>
      <c r="I477" s="3" t="s">
        <v>159</v>
      </c>
      <c r="J477" s="3">
        <v>0</v>
      </c>
      <c r="K477" s="3">
        <v>0</v>
      </c>
      <c r="L477" s="3">
        <v>3</v>
      </c>
      <c r="M477" s="3">
        <v>0</v>
      </c>
      <c r="N477" s="3">
        <v>0</v>
      </c>
      <c r="O477" s="3">
        <f t="shared" si="70"/>
        <v>3</v>
      </c>
      <c r="P477" s="3">
        <v>4</v>
      </c>
      <c r="Q477" s="3">
        <v>2</v>
      </c>
      <c r="R477" s="3">
        <v>3</v>
      </c>
      <c r="S477" s="3">
        <v>3</v>
      </c>
      <c r="T477" s="3">
        <v>1</v>
      </c>
      <c r="U477" s="3">
        <f t="shared" si="77"/>
        <v>13</v>
      </c>
      <c r="V477" s="13">
        <f t="shared" si="79"/>
        <v>0.23076923076923078</v>
      </c>
      <c r="W477" s="13">
        <f t="shared" si="82"/>
        <v>0.23076923076923078</v>
      </c>
      <c r="X477" s="3">
        <f t="shared" si="73"/>
        <v>13</v>
      </c>
      <c r="Y477" s="3">
        <f t="shared" si="83"/>
        <v>7.2843822843822849E-4</v>
      </c>
      <c r="Z477" s="3"/>
      <c r="AA477" s="3">
        <f t="shared" si="89"/>
        <v>316.8</v>
      </c>
      <c r="AB477" s="3"/>
      <c r="AC477" s="3" t="s">
        <v>82</v>
      </c>
      <c r="AD477" s="3" t="s">
        <v>83</v>
      </c>
      <c r="AE477" s="3">
        <v>15</v>
      </c>
      <c r="AF477" s="3" t="s">
        <v>143</v>
      </c>
      <c r="AG477" s="3" t="s">
        <v>303</v>
      </c>
      <c r="AH477" s="3"/>
    </row>
    <row r="478" spans="1:34" ht="14.25" customHeight="1" x14ac:dyDescent="0.25">
      <c r="A478" s="3" t="s">
        <v>145</v>
      </c>
      <c r="B478" s="3" t="s">
        <v>79</v>
      </c>
      <c r="C478" s="3"/>
      <c r="D478" s="3" t="s">
        <v>186</v>
      </c>
      <c r="E478" s="3">
        <v>1</v>
      </c>
      <c r="F478" s="3">
        <v>1</v>
      </c>
      <c r="G478" s="3" t="s">
        <v>12</v>
      </c>
      <c r="H478" s="11">
        <v>45808</v>
      </c>
      <c r="I478" s="3" t="s">
        <v>159</v>
      </c>
      <c r="J478" s="3">
        <v>0</v>
      </c>
      <c r="K478" s="3">
        <v>0</v>
      </c>
      <c r="L478" s="3">
        <v>0</v>
      </c>
      <c r="M478" s="3">
        <v>1.2</v>
      </c>
      <c r="N478" s="3">
        <v>0</v>
      </c>
      <c r="O478" s="3">
        <f t="shared" si="70"/>
        <v>1.2</v>
      </c>
      <c r="P478" s="3">
        <v>4</v>
      </c>
      <c r="Q478" s="3">
        <v>2</v>
      </c>
      <c r="R478" s="3">
        <v>3</v>
      </c>
      <c r="S478" s="3">
        <v>3</v>
      </c>
      <c r="T478" s="3">
        <v>1</v>
      </c>
      <c r="U478" s="3">
        <f t="shared" si="77"/>
        <v>13</v>
      </c>
      <c r="V478" s="13">
        <f t="shared" si="79"/>
        <v>9.2307692307692299E-2</v>
      </c>
      <c r="W478" s="13">
        <f t="shared" si="82"/>
        <v>9.2307692307692299E-2</v>
      </c>
      <c r="X478" s="3">
        <f t="shared" si="73"/>
        <v>13</v>
      </c>
      <c r="Y478" s="3">
        <f t="shared" si="83"/>
        <v>2.9137529137529132E-4</v>
      </c>
      <c r="Z478" s="3"/>
      <c r="AA478" s="3">
        <f t="shared" si="89"/>
        <v>316.8</v>
      </c>
      <c r="AB478" s="3"/>
      <c r="AC478" s="3" t="s">
        <v>82</v>
      </c>
      <c r="AD478" s="3" t="s">
        <v>83</v>
      </c>
      <c r="AE478" s="3">
        <v>15</v>
      </c>
      <c r="AF478" s="3" t="s">
        <v>143</v>
      </c>
      <c r="AG478" s="3" t="s">
        <v>303</v>
      </c>
      <c r="AH478" s="3"/>
    </row>
    <row r="479" spans="1:34" ht="14.25" customHeight="1" x14ac:dyDescent="0.25">
      <c r="A479" s="3" t="s">
        <v>145</v>
      </c>
      <c r="B479" s="3" t="s">
        <v>79</v>
      </c>
      <c r="C479" s="3"/>
      <c r="D479" s="3" t="s">
        <v>186</v>
      </c>
      <c r="E479" s="3">
        <v>1</v>
      </c>
      <c r="F479" s="3">
        <v>1</v>
      </c>
      <c r="G479" s="3" t="s">
        <v>14</v>
      </c>
      <c r="H479" s="11">
        <v>45808</v>
      </c>
      <c r="I479" s="3" t="s">
        <v>159</v>
      </c>
      <c r="J479" s="3">
        <v>6</v>
      </c>
      <c r="K479" s="3">
        <v>0</v>
      </c>
      <c r="L479" s="3">
        <v>3</v>
      </c>
      <c r="M479" s="3">
        <v>0</v>
      </c>
      <c r="N479" s="3">
        <v>0</v>
      </c>
      <c r="O479" s="3">
        <f t="shared" si="70"/>
        <v>9</v>
      </c>
      <c r="P479" s="3">
        <v>4</v>
      </c>
      <c r="Q479" s="3">
        <v>2</v>
      </c>
      <c r="R479" s="3">
        <v>3</v>
      </c>
      <c r="S479" s="3">
        <v>3</v>
      </c>
      <c r="T479" s="3">
        <v>1</v>
      </c>
      <c r="U479" s="3">
        <f t="shared" si="77"/>
        <v>13</v>
      </c>
      <c r="V479" s="13">
        <f t="shared" si="79"/>
        <v>0.69230769230769229</v>
      </c>
      <c r="W479" s="13">
        <f t="shared" si="82"/>
        <v>0.69230769230769229</v>
      </c>
      <c r="X479" s="3">
        <f t="shared" si="73"/>
        <v>13</v>
      </c>
      <c r="Y479" s="3">
        <f t="shared" si="83"/>
        <v>2.185314685314685E-3</v>
      </c>
      <c r="Z479" s="3"/>
      <c r="AA479" s="3">
        <f t="shared" si="89"/>
        <v>316.8</v>
      </c>
      <c r="AB479" s="3"/>
      <c r="AC479" s="3" t="s">
        <v>82</v>
      </c>
      <c r="AD479" s="3" t="s">
        <v>83</v>
      </c>
      <c r="AE479" s="3">
        <v>15</v>
      </c>
      <c r="AF479" s="3" t="s">
        <v>143</v>
      </c>
      <c r="AG479" s="3" t="s">
        <v>303</v>
      </c>
      <c r="AH479" s="3"/>
    </row>
    <row r="480" spans="1:34" ht="14.25" customHeight="1" x14ac:dyDescent="0.25">
      <c r="A480" s="3" t="s">
        <v>145</v>
      </c>
      <c r="B480" s="3" t="s">
        <v>79</v>
      </c>
      <c r="C480" s="3"/>
      <c r="D480" s="3" t="s">
        <v>186</v>
      </c>
      <c r="E480" s="3">
        <v>1</v>
      </c>
      <c r="F480" s="3">
        <v>1</v>
      </c>
      <c r="G480" s="3" t="s">
        <v>16</v>
      </c>
      <c r="H480" s="11">
        <v>45808</v>
      </c>
      <c r="I480" s="3" t="s">
        <v>159</v>
      </c>
      <c r="J480" s="3">
        <v>1.6</v>
      </c>
      <c r="K480" s="3">
        <v>0</v>
      </c>
      <c r="L480" s="3">
        <v>4.8</v>
      </c>
      <c r="M480" s="3">
        <v>1.9</v>
      </c>
      <c r="N480" s="3">
        <v>0</v>
      </c>
      <c r="O480" s="3">
        <f t="shared" si="70"/>
        <v>8.3000000000000007</v>
      </c>
      <c r="P480" s="3">
        <v>4</v>
      </c>
      <c r="Q480" s="3">
        <v>2</v>
      </c>
      <c r="R480" s="3">
        <v>3</v>
      </c>
      <c r="S480" s="3">
        <v>3</v>
      </c>
      <c r="T480" s="3">
        <v>1</v>
      </c>
      <c r="U480" s="3">
        <f t="shared" si="77"/>
        <v>13</v>
      </c>
      <c r="V480" s="13">
        <f t="shared" si="79"/>
        <v>0.63846153846153852</v>
      </c>
      <c r="W480" s="13">
        <f t="shared" si="82"/>
        <v>0.63846153846153852</v>
      </c>
      <c r="X480" s="3">
        <f t="shared" si="73"/>
        <v>13</v>
      </c>
      <c r="Y480" s="3">
        <f t="shared" si="83"/>
        <v>2.0153457653457655E-3</v>
      </c>
      <c r="Z480" s="3"/>
      <c r="AA480" s="3">
        <f t="shared" si="89"/>
        <v>316.8</v>
      </c>
      <c r="AB480" s="3"/>
      <c r="AC480" s="3" t="s">
        <v>82</v>
      </c>
      <c r="AD480" s="3" t="s">
        <v>83</v>
      </c>
      <c r="AE480" s="3">
        <v>15</v>
      </c>
      <c r="AF480" s="3" t="s">
        <v>143</v>
      </c>
      <c r="AG480" s="3" t="s">
        <v>303</v>
      </c>
      <c r="AH480" s="3"/>
    </row>
    <row r="481" spans="1:34" ht="14.25" customHeight="1" x14ac:dyDescent="0.25">
      <c r="A481" s="3" t="s">
        <v>145</v>
      </c>
      <c r="B481" s="3" t="s">
        <v>79</v>
      </c>
      <c r="C481" s="3"/>
      <c r="D481" s="3" t="s">
        <v>186</v>
      </c>
      <c r="E481" s="3">
        <v>1</v>
      </c>
      <c r="F481" s="3">
        <v>1</v>
      </c>
      <c r="G481" s="3" t="s">
        <v>25</v>
      </c>
      <c r="H481" s="11">
        <v>45808</v>
      </c>
      <c r="I481" s="3" t="s">
        <v>159</v>
      </c>
      <c r="J481" s="3">
        <v>0</v>
      </c>
      <c r="K481" s="3">
        <v>0</v>
      </c>
      <c r="L481" s="3">
        <v>0</v>
      </c>
      <c r="M481" s="3">
        <v>8</v>
      </c>
      <c r="N481" s="3">
        <v>0</v>
      </c>
      <c r="O481" s="3">
        <f t="shared" si="70"/>
        <v>8</v>
      </c>
      <c r="P481" s="3">
        <v>4</v>
      </c>
      <c r="Q481" s="3">
        <v>2</v>
      </c>
      <c r="R481" s="3">
        <v>3</v>
      </c>
      <c r="S481" s="3">
        <v>3</v>
      </c>
      <c r="T481" s="3">
        <v>1</v>
      </c>
      <c r="U481" s="3">
        <f t="shared" si="77"/>
        <v>13</v>
      </c>
      <c r="V481" s="13">
        <f t="shared" si="79"/>
        <v>0.61538461538461542</v>
      </c>
      <c r="W481" s="13">
        <f t="shared" si="82"/>
        <v>0.61538461538461542</v>
      </c>
      <c r="X481" s="3">
        <f t="shared" si="73"/>
        <v>13</v>
      </c>
      <c r="Y481" s="3">
        <f t="shared" si="83"/>
        <v>1.9425019425019425E-3</v>
      </c>
      <c r="Z481" s="3"/>
      <c r="AA481" s="3">
        <f t="shared" si="89"/>
        <v>316.8</v>
      </c>
      <c r="AB481" s="3"/>
      <c r="AC481" s="3" t="s">
        <v>82</v>
      </c>
      <c r="AD481" s="3" t="s">
        <v>83</v>
      </c>
      <c r="AE481" s="3">
        <v>15</v>
      </c>
      <c r="AF481" s="3" t="s">
        <v>143</v>
      </c>
      <c r="AG481" s="3" t="s">
        <v>303</v>
      </c>
      <c r="AH481" s="3"/>
    </row>
    <row r="482" spans="1:34" ht="14.25" customHeight="1" x14ac:dyDescent="0.25">
      <c r="A482" s="3" t="s">
        <v>145</v>
      </c>
      <c r="B482" s="3" t="s">
        <v>79</v>
      </c>
      <c r="C482" s="3"/>
      <c r="D482" s="3" t="s">
        <v>186</v>
      </c>
      <c r="E482" s="3">
        <v>1</v>
      </c>
      <c r="F482" s="3">
        <v>1</v>
      </c>
      <c r="G482" s="3" t="s">
        <v>22</v>
      </c>
      <c r="H482" s="11">
        <v>45808</v>
      </c>
      <c r="I482" s="3" t="s">
        <v>159</v>
      </c>
      <c r="J482" s="3">
        <v>0</v>
      </c>
      <c r="K482" s="3">
        <v>0</v>
      </c>
      <c r="L482" s="3">
        <v>3.7</v>
      </c>
      <c r="M482" s="3">
        <v>0</v>
      </c>
      <c r="N482" s="3">
        <v>0</v>
      </c>
      <c r="O482" s="3">
        <f t="shared" si="70"/>
        <v>3.7</v>
      </c>
      <c r="P482" s="3">
        <v>4</v>
      </c>
      <c r="Q482" s="3">
        <v>2</v>
      </c>
      <c r="R482" s="3">
        <v>3</v>
      </c>
      <c r="S482" s="3">
        <v>3</v>
      </c>
      <c r="T482" s="3">
        <v>1</v>
      </c>
      <c r="U482" s="3">
        <f t="shared" si="77"/>
        <v>13</v>
      </c>
      <c r="V482" s="13">
        <f t="shared" si="79"/>
        <v>0.2846153846153846</v>
      </c>
      <c r="W482" s="13">
        <f t="shared" si="82"/>
        <v>0.2846153846153846</v>
      </c>
      <c r="X482" s="3">
        <f t="shared" si="73"/>
        <v>13</v>
      </c>
      <c r="Y482" s="3">
        <f t="shared" si="83"/>
        <v>8.9840714840714838E-4</v>
      </c>
      <c r="Z482" s="3"/>
      <c r="AA482" s="3">
        <f t="shared" si="89"/>
        <v>316.8</v>
      </c>
      <c r="AB482" s="3"/>
      <c r="AC482" s="3" t="s">
        <v>82</v>
      </c>
      <c r="AD482" s="3" t="s">
        <v>83</v>
      </c>
      <c r="AE482" s="3">
        <v>15</v>
      </c>
      <c r="AF482" s="3" t="s">
        <v>143</v>
      </c>
      <c r="AG482" s="3" t="s">
        <v>303</v>
      </c>
      <c r="AH482" s="3"/>
    </row>
    <row r="483" spans="1:34" ht="14.25" customHeight="1" x14ac:dyDescent="0.25">
      <c r="A483" s="3" t="s">
        <v>148</v>
      </c>
      <c r="B483" s="3" t="s">
        <v>79</v>
      </c>
      <c r="C483" s="3"/>
      <c r="D483" s="3" t="s">
        <v>186</v>
      </c>
      <c r="E483" s="3">
        <v>1</v>
      </c>
      <c r="F483" s="3">
        <v>1</v>
      </c>
      <c r="G483" s="3" t="s">
        <v>14</v>
      </c>
      <c r="H483" s="11">
        <v>45808</v>
      </c>
      <c r="I483" s="3" t="s">
        <v>159</v>
      </c>
      <c r="J483" s="3">
        <f>9+11+22+18</f>
        <v>60</v>
      </c>
      <c r="K483" s="3">
        <f>6+15+5.2+4.7</f>
        <v>30.9</v>
      </c>
      <c r="L483" s="3">
        <v>9.8000000000000007</v>
      </c>
      <c r="M483" s="3">
        <f>11+16+12</f>
        <v>39</v>
      </c>
      <c r="N483" s="3">
        <v>0</v>
      </c>
      <c r="O483" s="3">
        <f t="shared" si="70"/>
        <v>139.69999999999999</v>
      </c>
      <c r="P483" s="3">
        <v>4</v>
      </c>
      <c r="Q483" s="3">
        <v>4</v>
      </c>
      <c r="R483" s="3">
        <v>1</v>
      </c>
      <c r="S483" s="3">
        <v>4</v>
      </c>
      <c r="T483" s="3">
        <v>0</v>
      </c>
      <c r="U483" s="3">
        <f t="shared" si="77"/>
        <v>13</v>
      </c>
      <c r="V483" s="13">
        <f t="shared" si="79"/>
        <v>10.746153846153845</v>
      </c>
      <c r="W483" s="13">
        <f t="shared" si="82"/>
        <v>10.746153846153845</v>
      </c>
      <c r="X483" s="3">
        <f t="shared" si="73"/>
        <v>13</v>
      </c>
      <c r="Y483" s="3" t="e">
        <f t="shared" si="83"/>
        <v>#DIV/0!</v>
      </c>
      <c r="Z483" s="3"/>
      <c r="AA483" s="3"/>
      <c r="AB483" s="3"/>
      <c r="AC483" s="3" t="s">
        <v>82</v>
      </c>
      <c r="AD483" s="3" t="s">
        <v>83</v>
      </c>
      <c r="AE483" s="3">
        <v>15</v>
      </c>
      <c r="AF483" s="3" t="s">
        <v>143</v>
      </c>
      <c r="AG483" s="3" t="s">
        <v>173</v>
      </c>
      <c r="AH483" s="3"/>
    </row>
    <row r="484" spans="1:34" ht="14.25" customHeight="1" x14ac:dyDescent="0.25">
      <c r="A484" s="3" t="s">
        <v>148</v>
      </c>
      <c r="B484" s="3" t="s">
        <v>79</v>
      </c>
      <c r="C484" s="3"/>
      <c r="D484" s="3" t="s">
        <v>186</v>
      </c>
      <c r="E484" s="3">
        <v>1</v>
      </c>
      <c r="F484" s="3">
        <v>1</v>
      </c>
      <c r="G484" s="3" t="s">
        <v>16</v>
      </c>
      <c r="H484" s="11">
        <v>45808</v>
      </c>
      <c r="I484" s="3" t="s">
        <v>159</v>
      </c>
      <c r="J484" s="3">
        <v>0</v>
      </c>
      <c r="K484" s="3">
        <v>0</v>
      </c>
      <c r="L484" s="3">
        <v>0</v>
      </c>
      <c r="M484" s="3">
        <v>2.2999999999999998</v>
      </c>
      <c r="N484" s="3">
        <v>0</v>
      </c>
      <c r="O484" s="3">
        <f t="shared" si="70"/>
        <v>2.2999999999999998</v>
      </c>
      <c r="P484" s="3">
        <v>4</v>
      </c>
      <c r="Q484" s="3">
        <v>4</v>
      </c>
      <c r="R484" s="3">
        <v>1</v>
      </c>
      <c r="S484" s="3">
        <v>4</v>
      </c>
      <c r="T484" s="3">
        <v>0</v>
      </c>
      <c r="U484" s="3">
        <f t="shared" si="77"/>
        <v>13</v>
      </c>
      <c r="V484" s="13">
        <f t="shared" si="79"/>
        <v>0.17692307692307691</v>
      </c>
      <c r="W484" s="13">
        <f t="shared" si="82"/>
        <v>0.17692307692307691</v>
      </c>
      <c r="X484" s="3">
        <f t="shared" si="73"/>
        <v>13</v>
      </c>
      <c r="Y484" s="3" t="e">
        <f t="shared" si="83"/>
        <v>#DIV/0!</v>
      </c>
      <c r="Z484" s="3"/>
      <c r="AA484" s="3"/>
      <c r="AB484" s="3"/>
      <c r="AC484" s="3" t="s">
        <v>82</v>
      </c>
      <c r="AD484" s="3" t="s">
        <v>83</v>
      </c>
      <c r="AE484" s="3">
        <v>15</v>
      </c>
      <c r="AF484" s="3" t="s">
        <v>143</v>
      </c>
      <c r="AG484" s="3" t="s">
        <v>173</v>
      </c>
      <c r="AH484" s="3"/>
    </row>
    <row r="485" spans="1:34" ht="14.25" customHeight="1" x14ac:dyDescent="0.25">
      <c r="A485" s="3" t="s">
        <v>147</v>
      </c>
      <c r="B485" s="3" t="s">
        <v>79</v>
      </c>
      <c r="C485" s="3"/>
      <c r="D485" s="3" t="s">
        <v>80</v>
      </c>
      <c r="E485" s="3">
        <v>2</v>
      </c>
      <c r="F485" s="3">
        <v>1</v>
      </c>
      <c r="G485" s="3" t="s">
        <v>1</v>
      </c>
      <c r="H485" s="11">
        <v>45808</v>
      </c>
      <c r="I485" s="3" t="s">
        <v>159</v>
      </c>
      <c r="J485" s="3">
        <f>6.6+9+12+8.3</f>
        <v>35.900000000000006</v>
      </c>
      <c r="K485" s="3">
        <f>12+7.5+13</f>
        <v>32.5</v>
      </c>
      <c r="L485" s="3">
        <v>14</v>
      </c>
      <c r="M485" s="3">
        <f>8+8.8+15</f>
        <v>31.8</v>
      </c>
      <c r="N485" s="3">
        <v>0</v>
      </c>
      <c r="O485" s="3">
        <f t="shared" si="70"/>
        <v>114.2</v>
      </c>
      <c r="P485" s="3">
        <v>4</v>
      </c>
      <c r="Q485" s="3">
        <v>4</v>
      </c>
      <c r="R485" s="3">
        <v>1</v>
      </c>
      <c r="S485" s="3">
        <v>3</v>
      </c>
      <c r="T485" s="3">
        <v>0</v>
      </c>
      <c r="U485" s="3">
        <f t="shared" si="77"/>
        <v>12</v>
      </c>
      <c r="V485" s="13">
        <f t="shared" si="79"/>
        <v>9.5166666666666675</v>
      </c>
      <c r="W485" s="13">
        <f t="shared" si="82"/>
        <v>9.5166666666666675</v>
      </c>
      <c r="X485" s="3">
        <f t="shared" si="73"/>
        <v>12</v>
      </c>
      <c r="Y485" s="3" t="e">
        <f t="shared" si="83"/>
        <v>#DIV/0!</v>
      </c>
      <c r="Z485" s="3"/>
      <c r="AA485" s="3"/>
      <c r="AB485" s="3"/>
      <c r="AC485" s="3" t="s">
        <v>82</v>
      </c>
      <c r="AD485" s="3" t="s">
        <v>83</v>
      </c>
      <c r="AE485" s="3">
        <v>40</v>
      </c>
      <c r="AF485" s="3" t="s">
        <v>143</v>
      </c>
      <c r="AG485" s="3" t="s">
        <v>214</v>
      </c>
      <c r="AH485" s="3"/>
    </row>
    <row r="486" spans="1:34" ht="14.25" customHeight="1" x14ac:dyDescent="0.25">
      <c r="A486" s="3" t="s">
        <v>147</v>
      </c>
      <c r="B486" s="3" t="s">
        <v>79</v>
      </c>
      <c r="C486" s="3"/>
      <c r="D486" s="3" t="s">
        <v>80</v>
      </c>
      <c r="E486" s="3">
        <v>2</v>
      </c>
      <c r="F486" s="3">
        <v>1</v>
      </c>
      <c r="G486" s="3" t="s">
        <v>25</v>
      </c>
      <c r="H486" s="11">
        <v>45808</v>
      </c>
      <c r="I486" s="3" t="s">
        <v>159</v>
      </c>
      <c r="J486" s="3">
        <v>0</v>
      </c>
      <c r="K486" s="3">
        <v>17</v>
      </c>
      <c r="L486" s="3">
        <v>0</v>
      </c>
      <c r="M486" s="3">
        <v>0</v>
      </c>
      <c r="N486" s="3">
        <v>0</v>
      </c>
      <c r="O486" s="3">
        <f t="shared" si="70"/>
        <v>17</v>
      </c>
      <c r="P486" s="3">
        <v>4</v>
      </c>
      <c r="Q486" s="3">
        <v>4</v>
      </c>
      <c r="R486" s="3">
        <v>1</v>
      </c>
      <c r="S486" s="3">
        <v>3</v>
      </c>
      <c r="T486" s="3">
        <v>0</v>
      </c>
      <c r="U486" s="3">
        <f t="shared" si="77"/>
        <v>12</v>
      </c>
      <c r="V486" s="13">
        <f t="shared" si="79"/>
        <v>1.4166666666666667</v>
      </c>
      <c r="W486" s="13">
        <f t="shared" si="82"/>
        <v>1.4166666666666667</v>
      </c>
      <c r="X486" s="3">
        <f t="shared" si="73"/>
        <v>12</v>
      </c>
      <c r="Y486" s="3" t="e">
        <f t="shared" si="83"/>
        <v>#DIV/0!</v>
      </c>
      <c r="Z486" s="3"/>
      <c r="AA486" s="3"/>
      <c r="AB486" s="3"/>
      <c r="AC486" s="3" t="s">
        <v>82</v>
      </c>
      <c r="AD486" s="3" t="s">
        <v>83</v>
      </c>
      <c r="AE486" s="3">
        <v>40</v>
      </c>
      <c r="AF486" s="3" t="s">
        <v>143</v>
      </c>
      <c r="AG486" s="3" t="s">
        <v>214</v>
      </c>
      <c r="AH486" s="3"/>
    </row>
    <row r="487" spans="1:34" ht="14.25" customHeight="1" x14ac:dyDescent="0.25">
      <c r="A487" s="3" t="s">
        <v>149</v>
      </c>
      <c r="B487" s="3" t="s">
        <v>79</v>
      </c>
      <c r="C487" s="3"/>
      <c r="D487" s="3" t="s">
        <v>80</v>
      </c>
      <c r="E487" s="3">
        <v>2</v>
      </c>
      <c r="F487" s="3">
        <v>1</v>
      </c>
      <c r="G487" s="3" t="s">
        <v>3</v>
      </c>
      <c r="H487" s="11">
        <v>45808</v>
      </c>
      <c r="I487" s="3" t="s">
        <v>159</v>
      </c>
      <c r="J487" s="3">
        <f>6+9+8.3+11</f>
        <v>34.299999999999997</v>
      </c>
      <c r="K487" s="3">
        <f>14+10.3+6.5</f>
        <v>30.8</v>
      </c>
      <c r="L487" s="3">
        <f>13+9.8</f>
        <v>22.8</v>
      </c>
      <c r="M487" s="3">
        <f>9+8.3+5.1</f>
        <v>22.4</v>
      </c>
      <c r="N487" s="3">
        <v>0</v>
      </c>
      <c r="O487" s="3">
        <f t="shared" si="70"/>
        <v>110.29999999999998</v>
      </c>
      <c r="P487" s="3">
        <v>4</v>
      </c>
      <c r="Q487" s="3">
        <v>3</v>
      </c>
      <c r="R487" s="3">
        <v>2</v>
      </c>
      <c r="S487" s="3">
        <v>4</v>
      </c>
      <c r="T487" s="3">
        <v>0</v>
      </c>
      <c r="U487" s="3">
        <f t="shared" si="77"/>
        <v>13</v>
      </c>
      <c r="V487" s="13">
        <f t="shared" si="79"/>
        <v>8.4846153846153829</v>
      </c>
      <c r="W487" s="13">
        <f t="shared" si="82"/>
        <v>8.4846153846153829</v>
      </c>
      <c r="X487" s="3">
        <f t="shared" si="73"/>
        <v>13</v>
      </c>
      <c r="Y487" s="3">
        <f t="shared" si="83"/>
        <v>2.6782245532245525E-2</v>
      </c>
      <c r="Z487" s="3"/>
      <c r="AA487" s="3">
        <f t="shared" ref="AA487:AA494" si="90">9*2.2*16</f>
        <v>316.8</v>
      </c>
      <c r="AB487" s="3"/>
      <c r="AC487" s="3" t="s">
        <v>82</v>
      </c>
      <c r="AD487" s="3" t="s">
        <v>83</v>
      </c>
      <c r="AE487" s="3">
        <v>15</v>
      </c>
      <c r="AF487" s="3" t="s">
        <v>143</v>
      </c>
      <c r="AG487" s="3" t="s">
        <v>287</v>
      </c>
      <c r="AH487" s="3"/>
    </row>
    <row r="488" spans="1:34" ht="14.25" customHeight="1" x14ac:dyDescent="0.25">
      <c r="A488" s="3" t="s">
        <v>149</v>
      </c>
      <c r="B488" s="3" t="s">
        <v>79</v>
      </c>
      <c r="C488" s="3"/>
      <c r="D488" s="3" t="s">
        <v>80</v>
      </c>
      <c r="E488" s="3">
        <v>2</v>
      </c>
      <c r="F488" s="3">
        <v>1</v>
      </c>
      <c r="G488" s="3" t="s">
        <v>5</v>
      </c>
      <c r="H488" s="11">
        <v>45808</v>
      </c>
      <c r="I488" s="3" t="s">
        <v>159</v>
      </c>
      <c r="J488" s="3">
        <v>1.2</v>
      </c>
      <c r="K488" s="3">
        <v>0</v>
      </c>
      <c r="L488" s="3">
        <v>0</v>
      </c>
      <c r="M488" s="3">
        <v>1.3</v>
      </c>
      <c r="N488" s="3">
        <v>0</v>
      </c>
      <c r="O488" s="3">
        <f t="shared" si="70"/>
        <v>2.5</v>
      </c>
      <c r="P488" s="3">
        <v>4</v>
      </c>
      <c r="Q488" s="3">
        <v>3</v>
      </c>
      <c r="R488" s="3">
        <v>2</v>
      </c>
      <c r="S488" s="3">
        <v>4</v>
      </c>
      <c r="T488" s="3">
        <v>0</v>
      </c>
      <c r="U488" s="3">
        <f t="shared" si="77"/>
        <v>13</v>
      </c>
      <c r="V488" s="13">
        <f t="shared" si="79"/>
        <v>0.19230769230769232</v>
      </c>
      <c r="W488" s="13">
        <f t="shared" si="82"/>
        <v>0.19230769230769232</v>
      </c>
      <c r="X488" s="3">
        <f t="shared" si="73"/>
        <v>13</v>
      </c>
      <c r="Y488" s="3">
        <f t="shared" si="83"/>
        <v>6.07031857031857E-4</v>
      </c>
      <c r="Z488" s="3"/>
      <c r="AA488" s="3">
        <f t="shared" si="90"/>
        <v>316.8</v>
      </c>
      <c r="AB488" s="3"/>
      <c r="AC488" s="3" t="s">
        <v>82</v>
      </c>
      <c r="AD488" s="3" t="s">
        <v>83</v>
      </c>
      <c r="AE488" s="3">
        <v>15</v>
      </c>
      <c r="AF488" s="3" t="s">
        <v>143</v>
      </c>
      <c r="AG488" s="3" t="s">
        <v>287</v>
      </c>
      <c r="AH488" s="3"/>
    </row>
    <row r="489" spans="1:34" ht="14.25" customHeight="1" x14ac:dyDescent="0.25">
      <c r="A489" s="3" t="s">
        <v>149</v>
      </c>
      <c r="B489" s="3" t="s">
        <v>79</v>
      </c>
      <c r="C489" s="3"/>
      <c r="D489" s="3" t="s">
        <v>80</v>
      </c>
      <c r="E489" s="3">
        <v>2</v>
      </c>
      <c r="F489" s="3">
        <v>1</v>
      </c>
      <c r="G489" s="3" t="s">
        <v>10</v>
      </c>
      <c r="H489" s="11">
        <v>45808</v>
      </c>
      <c r="I489" s="3" t="s">
        <v>159</v>
      </c>
      <c r="J489" s="3">
        <v>0</v>
      </c>
      <c r="K489" s="3">
        <v>1.8</v>
      </c>
      <c r="L489" s="3">
        <v>0</v>
      </c>
      <c r="M489" s="3">
        <v>0</v>
      </c>
      <c r="N489" s="3">
        <v>0</v>
      </c>
      <c r="O489" s="3">
        <f t="shared" si="70"/>
        <v>1.8</v>
      </c>
      <c r="P489" s="3">
        <v>4</v>
      </c>
      <c r="Q489" s="3">
        <v>3</v>
      </c>
      <c r="R489" s="3">
        <v>2</v>
      </c>
      <c r="S489" s="3">
        <v>4</v>
      </c>
      <c r="T489" s="3">
        <v>0</v>
      </c>
      <c r="U489" s="3">
        <f t="shared" si="77"/>
        <v>13</v>
      </c>
      <c r="V489" s="13">
        <f t="shared" si="79"/>
        <v>0.13846153846153847</v>
      </c>
      <c r="W489" s="13">
        <f t="shared" si="82"/>
        <v>0.13846153846153847</v>
      </c>
      <c r="X489" s="3">
        <f t="shared" si="73"/>
        <v>13</v>
      </c>
      <c r="Y489" s="3">
        <f t="shared" si="83"/>
        <v>4.3706293706293706E-4</v>
      </c>
      <c r="Z489" s="3"/>
      <c r="AA489" s="3">
        <f t="shared" si="90"/>
        <v>316.8</v>
      </c>
      <c r="AB489" s="3"/>
      <c r="AC489" s="3" t="s">
        <v>82</v>
      </c>
      <c r="AD489" s="3" t="s">
        <v>83</v>
      </c>
      <c r="AE489" s="3">
        <v>15</v>
      </c>
      <c r="AF489" s="3" t="s">
        <v>143</v>
      </c>
      <c r="AG489" s="3" t="s">
        <v>287</v>
      </c>
      <c r="AH489" s="3"/>
    </row>
    <row r="490" spans="1:34" ht="14.25" customHeight="1" x14ac:dyDescent="0.25">
      <c r="A490" s="3" t="s">
        <v>149</v>
      </c>
      <c r="B490" s="3" t="s">
        <v>79</v>
      </c>
      <c r="C490" s="3"/>
      <c r="D490" s="3" t="s">
        <v>80</v>
      </c>
      <c r="E490" s="3">
        <v>2</v>
      </c>
      <c r="F490" s="3">
        <v>1</v>
      </c>
      <c r="G490" s="3" t="s">
        <v>9</v>
      </c>
      <c r="H490" s="11">
        <v>45808</v>
      </c>
      <c r="I490" s="3" t="s">
        <v>159</v>
      </c>
      <c r="J490" s="3">
        <v>0</v>
      </c>
      <c r="K490" s="3">
        <v>0</v>
      </c>
      <c r="L490" s="3">
        <v>0</v>
      </c>
      <c r="M490" s="3">
        <v>6.3</v>
      </c>
      <c r="N490" s="3">
        <v>0</v>
      </c>
      <c r="O490" s="3">
        <f t="shared" si="70"/>
        <v>6.3</v>
      </c>
      <c r="P490" s="3">
        <v>4</v>
      </c>
      <c r="Q490" s="3">
        <v>3</v>
      </c>
      <c r="R490" s="3">
        <v>2</v>
      </c>
      <c r="S490" s="3">
        <v>4</v>
      </c>
      <c r="T490" s="3">
        <v>0</v>
      </c>
      <c r="U490" s="3">
        <f t="shared" si="77"/>
        <v>13</v>
      </c>
      <c r="V490" s="13">
        <f t="shared" si="79"/>
        <v>0.48461538461538461</v>
      </c>
      <c r="W490" s="13">
        <f t="shared" si="82"/>
        <v>0.48461538461538461</v>
      </c>
      <c r="X490" s="3">
        <f t="shared" si="73"/>
        <v>13</v>
      </c>
      <c r="Y490" s="3">
        <f t="shared" si="83"/>
        <v>1.5297202797202797E-3</v>
      </c>
      <c r="Z490" s="3"/>
      <c r="AA490" s="3">
        <f t="shared" si="90"/>
        <v>316.8</v>
      </c>
      <c r="AB490" s="3"/>
      <c r="AC490" s="3" t="s">
        <v>82</v>
      </c>
      <c r="AD490" s="3" t="s">
        <v>83</v>
      </c>
      <c r="AE490" s="3">
        <v>15</v>
      </c>
      <c r="AF490" s="3" t="s">
        <v>143</v>
      </c>
      <c r="AG490" s="3" t="s">
        <v>287</v>
      </c>
      <c r="AH490" s="3"/>
    </row>
    <row r="491" spans="1:34" ht="14.25" customHeight="1" x14ac:dyDescent="0.25">
      <c r="A491" s="3" t="s">
        <v>149</v>
      </c>
      <c r="B491" s="3" t="s">
        <v>79</v>
      </c>
      <c r="C491" s="3"/>
      <c r="D491" s="3" t="s">
        <v>80</v>
      </c>
      <c r="E491" s="3">
        <v>2</v>
      </c>
      <c r="F491" s="3">
        <v>1</v>
      </c>
      <c r="G491" s="3" t="s">
        <v>12</v>
      </c>
      <c r="H491" s="11">
        <v>45808</v>
      </c>
      <c r="I491" s="3" t="s">
        <v>159</v>
      </c>
      <c r="J491" s="3">
        <v>0</v>
      </c>
      <c r="K491" s="3">
        <v>1.8</v>
      </c>
      <c r="L491" s="3">
        <v>0</v>
      </c>
      <c r="M491" s="3">
        <v>2.2000000000000002</v>
      </c>
      <c r="N491" s="3">
        <v>0</v>
      </c>
      <c r="O491" s="3">
        <f t="shared" si="70"/>
        <v>4</v>
      </c>
      <c r="P491" s="3">
        <v>4</v>
      </c>
      <c r="Q491" s="3">
        <v>3</v>
      </c>
      <c r="R491" s="3">
        <v>2</v>
      </c>
      <c r="S491" s="3">
        <v>4</v>
      </c>
      <c r="T491" s="3">
        <v>0</v>
      </c>
      <c r="U491" s="3">
        <f t="shared" si="77"/>
        <v>13</v>
      </c>
      <c r="V491" s="13">
        <f t="shared" si="79"/>
        <v>0.30769230769230771</v>
      </c>
      <c r="W491" s="13">
        <f t="shared" si="82"/>
        <v>0.30769230769230771</v>
      </c>
      <c r="X491" s="3">
        <f t="shared" si="73"/>
        <v>13</v>
      </c>
      <c r="Y491" s="3">
        <f t="shared" si="83"/>
        <v>9.7125097125097125E-4</v>
      </c>
      <c r="Z491" s="3"/>
      <c r="AA491" s="3">
        <f t="shared" si="90"/>
        <v>316.8</v>
      </c>
      <c r="AB491" s="3"/>
      <c r="AC491" s="3" t="s">
        <v>82</v>
      </c>
      <c r="AD491" s="3" t="s">
        <v>83</v>
      </c>
      <c r="AE491" s="3">
        <v>15</v>
      </c>
      <c r="AF491" s="3" t="s">
        <v>143</v>
      </c>
      <c r="AG491" s="3" t="s">
        <v>287</v>
      </c>
      <c r="AH491" s="3"/>
    </row>
    <row r="492" spans="1:34" ht="14.25" customHeight="1" x14ac:dyDescent="0.25">
      <c r="A492" s="3" t="s">
        <v>149</v>
      </c>
      <c r="B492" s="3" t="s">
        <v>79</v>
      </c>
      <c r="C492" s="3"/>
      <c r="D492" s="3" t="s">
        <v>80</v>
      </c>
      <c r="E492" s="3">
        <v>2</v>
      </c>
      <c r="F492" s="3">
        <v>1</v>
      </c>
      <c r="G492" s="3" t="s">
        <v>14</v>
      </c>
      <c r="H492" s="11">
        <v>45808</v>
      </c>
      <c r="I492" s="3" t="s">
        <v>159</v>
      </c>
      <c r="J492" s="3">
        <v>2.8</v>
      </c>
      <c r="K492" s="3">
        <v>0</v>
      </c>
      <c r="L492" s="3">
        <v>0</v>
      </c>
      <c r="M492" s="3">
        <v>2.8</v>
      </c>
      <c r="N492" s="3">
        <v>0</v>
      </c>
      <c r="O492" s="3">
        <f t="shared" si="70"/>
        <v>5.6</v>
      </c>
      <c r="P492" s="3">
        <v>4</v>
      </c>
      <c r="Q492" s="3">
        <v>3</v>
      </c>
      <c r="R492" s="3">
        <v>2</v>
      </c>
      <c r="S492" s="3">
        <v>4</v>
      </c>
      <c r="T492" s="3">
        <v>0</v>
      </c>
      <c r="U492" s="3">
        <f t="shared" si="77"/>
        <v>13</v>
      </c>
      <c r="V492" s="13">
        <f t="shared" si="79"/>
        <v>0.43076923076923074</v>
      </c>
      <c r="W492" s="13">
        <f t="shared" si="82"/>
        <v>0.43076923076923074</v>
      </c>
      <c r="X492" s="3">
        <f t="shared" si="73"/>
        <v>13</v>
      </c>
      <c r="Y492" s="3">
        <f t="shared" si="83"/>
        <v>1.3597513597513595E-3</v>
      </c>
      <c r="Z492" s="3"/>
      <c r="AA492" s="3">
        <f t="shared" si="90"/>
        <v>316.8</v>
      </c>
      <c r="AB492" s="3"/>
      <c r="AC492" s="3" t="s">
        <v>82</v>
      </c>
      <c r="AD492" s="3" t="s">
        <v>83</v>
      </c>
      <c r="AE492" s="3">
        <v>15</v>
      </c>
      <c r="AF492" s="3" t="s">
        <v>143</v>
      </c>
      <c r="AG492" s="3" t="s">
        <v>287</v>
      </c>
      <c r="AH492" s="3"/>
    </row>
    <row r="493" spans="1:34" ht="14.25" customHeight="1" x14ac:dyDescent="0.25">
      <c r="A493" s="3" t="s">
        <v>149</v>
      </c>
      <c r="B493" s="3" t="s">
        <v>79</v>
      </c>
      <c r="C493" s="3"/>
      <c r="D493" s="3" t="s">
        <v>80</v>
      </c>
      <c r="E493" s="3">
        <v>2</v>
      </c>
      <c r="F493" s="3">
        <v>1</v>
      </c>
      <c r="G493" s="3" t="s">
        <v>18</v>
      </c>
      <c r="H493" s="11">
        <v>45808</v>
      </c>
      <c r="I493" s="3" t="s">
        <v>159</v>
      </c>
      <c r="J493" s="3">
        <v>0</v>
      </c>
      <c r="K493" s="3">
        <v>0</v>
      </c>
      <c r="L493" s="3">
        <v>0</v>
      </c>
      <c r="M493" s="3">
        <v>1.8</v>
      </c>
      <c r="N493" s="3">
        <v>0</v>
      </c>
      <c r="O493" s="3">
        <f t="shared" si="70"/>
        <v>1.8</v>
      </c>
      <c r="P493" s="3">
        <v>4</v>
      </c>
      <c r="Q493" s="3">
        <v>3</v>
      </c>
      <c r="R493" s="3">
        <v>2</v>
      </c>
      <c r="S493" s="3">
        <v>4</v>
      </c>
      <c r="T493" s="3">
        <v>0</v>
      </c>
      <c r="U493" s="3">
        <f t="shared" si="77"/>
        <v>13</v>
      </c>
      <c r="V493" s="13">
        <f t="shared" si="79"/>
        <v>0.13846153846153847</v>
      </c>
      <c r="W493" s="13">
        <f t="shared" si="82"/>
        <v>0.13846153846153847</v>
      </c>
      <c r="X493" s="3">
        <f t="shared" si="73"/>
        <v>13</v>
      </c>
      <c r="Y493" s="3">
        <f t="shared" si="83"/>
        <v>4.3706293706293706E-4</v>
      </c>
      <c r="Z493" s="3"/>
      <c r="AA493" s="3">
        <f t="shared" si="90"/>
        <v>316.8</v>
      </c>
      <c r="AB493" s="3"/>
      <c r="AC493" s="3" t="s">
        <v>82</v>
      </c>
      <c r="AD493" s="3" t="s">
        <v>83</v>
      </c>
      <c r="AE493" s="3">
        <v>15</v>
      </c>
      <c r="AF493" s="3" t="s">
        <v>143</v>
      </c>
      <c r="AG493" s="3" t="s">
        <v>287</v>
      </c>
      <c r="AH493" s="3"/>
    </row>
    <row r="494" spans="1:34" ht="14.25" customHeight="1" x14ac:dyDescent="0.25">
      <c r="A494" s="3" t="s">
        <v>149</v>
      </c>
      <c r="B494" s="3" t="s">
        <v>79</v>
      </c>
      <c r="C494" s="3"/>
      <c r="D494" s="3" t="s">
        <v>80</v>
      </c>
      <c r="E494" s="3">
        <v>2</v>
      </c>
      <c r="F494" s="3">
        <v>1</v>
      </c>
      <c r="G494" s="3" t="s">
        <v>24</v>
      </c>
      <c r="H494" s="11">
        <v>45808</v>
      </c>
      <c r="I494" s="3" t="s">
        <v>159</v>
      </c>
      <c r="J494" s="3">
        <v>1.3</v>
      </c>
      <c r="K494" s="3">
        <v>0.9</v>
      </c>
      <c r="L494" s="3">
        <v>0</v>
      </c>
      <c r="M494" s="3">
        <v>0</v>
      </c>
      <c r="N494" s="3">
        <v>0</v>
      </c>
      <c r="O494" s="3">
        <f t="shared" si="70"/>
        <v>2.2000000000000002</v>
      </c>
      <c r="P494" s="3">
        <v>4</v>
      </c>
      <c r="Q494" s="3">
        <v>3</v>
      </c>
      <c r="R494" s="3">
        <v>2</v>
      </c>
      <c r="S494" s="3">
        <v>4</v>
      </c>
      <c r="T494" s="3">
        <v>0</v>
      </c>
      <c r="U494" s="3">
        <f t="shared" si="77"/>
        <v>13</v>
      </c>
      <c r="V494" s="13">
        <f t="shared" si="79"/>
        <v>0.16923076923076924</v>
      </c>
      <c r="W494" s="13">
        <f t="shared" si="82"/>
        <v>0.16923076923076924</v>
      </c>
      <c r="X494" s="3">
        <f t="shared" si="73"/>
        <v>13</v>
      </c>
      <c r="Y494" s="3">
        <f t="shared" si="83"/>
        <v>5.3418803418803424E-4</v>
      </c>
      <c r="Z494" s="3"/>
      <c r="AA494" s="3">
        <f t="shared" si="90"/>
        <v>316.8</v>
      </c>
      <c r="AB494" s="3"/>
      <c r="AC494" s="3" t="s">
        <v>82</v>
      </c>
      <c r="AD494" s="3" t="s">
        <v>83</v>
      </c>
      <c r="AE494" s="3">
        <v>15</v>
      </c>
      <c r="AF494" s="3" t="s">
        <v>143</v>
      </c>
      <c r="AG494" s="3" t="s">
        <v>287</v>
      </c>
      <c r="AH494" s="3"/>
    </row>
    <row r="495" spans="1:34" ht="14.25" customHeight="1" x14ac:dyDescent="0.25">
      <c r="A495" s="3" t="s">
        <v>163</v>
      </c>
      <c r="B495" s="3" t="s">
        <v>79</v>
      </c>
      <c r="C495" s="3"/>
      <c r="D495" s="3" t="s">
        <v>98</v>
      </c>
      <c r="E495" s="3">
        <v>2</v>
      </c>
      <c r="F495" s="3">
        <v>1</v>
      </c>
      <c r="G495" s="3" t="s">
        <v>1</v>
      </c>
      <c r="H495" s="11">
        <v>45808</v>
      </c>
      <c r="I495" s="3" t="s">
        <v>159</v>
      </c>
      <c r="J495" s="3">
        <f>16+6+6.4</f>
        <v>28.4</v>
      </c>
      <c r="K495" s="3">
        <f>8.2+12+7</f>
        <v>27.2</v>
      </c>
      <c r="L495" s="3">
        <v>5.8</v>
      </c>
      <c r="M495" s="3">
        <f>7+4.2+6.2</f>
        <v>17.399999999999999</v>
      </c>
      <c r="N495" s="3">
        <v>0</v>
      </c>
      <c r="O495" s="3">
        <f t="shared" si="70"/>
        <v>78.799999999999983</v>
      </c>
      <c r="P495" s="3">
        <v>5</v>
      </c>
      <c r="Q495" s="3">
        <v>4</v>
      </c>
      <c r="R495" s="3">
        <v>3</v>
      </c>
      <c r="S495" s="3">
        <v>5</v>
      </c>
      <c r="T495" s="3">
        <v>1</v>
      </c>
      <c r="U495" s="3">
        <f t="shared" si="77"/>
        <v>18</v>
      </c>
      <c r="V495" s="13">
        <f t="shared" si="79"/>
        <v>4.3777777777777764</v>
      </c>
      <c r="W495" s="13">
        <f t="shared" si="82"/>
        <v>4.3777777777777764</v>
      </c>
      <c r="X495" s="3">
        <f t="shared" si="73"/>
        <v>18</v>
      </c>
      <c r="Y495" s="3">
        <f t="shared" si="83"/>
        <v>1.2436868686868684E-2</v>
      </c>
      <c r="Z495" s="3"/>
      <c r="AA495" s="3">
        <f t="shared" ref="AA495:AA501" si="91">10*2.2*16</f>
        <v>352</v>
      </c>
      <c r="AB495" s="3">
        <f t="shared" ref="AB495:AB501" si="92">25*4</f>
        <v>100</v>
      </c>
      <c r="AC495" s="3" t="s">
        <v>82</v>
      </c>
      <c r="AD495" s="3" t="s">
        <v>164</v>
      </c>
      <c r="AE495" s="3"/>
      <c r="AF495" s="3" t="s">
        <v>143</v>
      </c>
      <c r="AG495" s="3" t="s">
        <v>304</v>
      </c>
      <c r="AH495" s="3"/>
    </row>
    <row r="496" spans="1:34" ht="14.25" customHeight="1" x14ac:dyDescent="0.25">
      <c r="A496" s="3" t="s">
        <v>163</v>
      </c>
      <c r="B496" s="3" t="s">
        <v>79</v>
      </c>
      <c r="C496" s="3"/>
      <c r="D496" s="3" t="s">
        <v>98</v>
      </c>
      <c r="E496" s="3">
        <v>2</v>
      </c>
      <c r="F496" s="3">
        <v>1</v>
      </c>
      <c r="G496" s="3" t="s">
        <v>3</v>
      </c>
      <c r="H496" s="11">
        <v>45808</v>
      </c>
      <c r="I496" s="3" t="s">
        <v>159</v>
      </c>
      <c r="J496" s="3">
        <v>11</v>
      </c>
      <c r="K496" s="3">
        <f>9+10+6</f>
        <v>25</v>
      </c>
      <c r="L496" s="3">
        <v>0</v>
      </c>
      <c r="M496" s="3">
        <f>14+5.6</f>
        <v>19.600000000000001</v>
      </c>
      <c r="N496" s="3">
        <v>0</v>
      </c>
      <c r="O496" s="3">
        <f t="shared" si="70"/>
        <v>55.6</v>
      </c>
      <c r="P496" s="3">
        <v>5</v>
      </c>
      <c r="Q496" s="3">
        <v>4</v>
      </c>
      <c r="R496" s="3">
        <v>3</v>
      </c>
      <c r="S496" s="3">
        <v>5</v>
      </c>
      <c r="T496" s="3">
        <v>1</v>
      </c>
      <c r="U496" s="3">
        <f t="shared" si="77"/>
        <v>18</v>
      </c>
      <c r="V496" s="13">
        <f t="shared" si="79"/>
        <v>3.088888888888889</v>
      </c>
      <c r="W496" s="13">
        <f t="shared" si="82"/>
        <v>3.088888888888889</v>
      </c>
      <c r="X496" s="3">
        <f t="shared" si="73"/>
        <v>18</v>
      </c>
      <c r="Y496" s="3">
        <f t="shared" si="83"/>
        <v>8.7752525252525262E-3</v>
      </c>
      <c r="Z496" s="3"/>
      <c r="AA496" s="3">
        <f t="shared" si="91"/>
        <v>352</v>
      </c>
      <c r="AB496" s="3">
        <f t="shared" si="92"/>
        <v>100</v>
      </c>
      <c r="AC496" s="3" t="s">
        <v>82</v>
      </c>
      <c r="AD496" s="3" t="s">
        <v>164</v>
      </c>
      <c r="AE496" s="3"/>
      <c r="AF496" s="3" t="s">
        <v>143</v>
      </c>
      <c r="AG496" s="3" t="s">
        <v>304</v>
      </c>
      <c r="AH496" s="3"/>
    </row>
    <row r="497" spans="1:34" ht="14.25" customHeight="1" x14ac:dyDescent="0.25">
      <c r="A497" s="3" t="s">
        <v>163</v>
      </c>
      <c r="B497" s="3" t="s">
        <v>79</v>
      </c>
      <c r="C497" s="3"/>
      <c r="D497" s="3" t="s">
        <v>98</v>
      </c>
      <c r="E497" s="3">
        <v>2</v>
      </c>
      <c r="F497" s="3">
        <v>1</v>
      </c>
      <c r="G497" s="3" t="s">
        <v>14</v>
      </c>
      <c r="H497" s="11">
        <v>45808</v>
      </c>
      <c r="I497" s="3" t="s">
        <v>159</v>
      </c>
      <c r="J497" s="3">
        <v>2.2000000000000002</v>
      </c>
      <c r="K497" s="3">
        <v>0</v>
      </c>
      <c r="L497" s="3">
        <v>0</v>
      </c>
      <c r="M497" s="3">
        <v>3</v>
      </c>
      <c r="N497" s="3">
        <v>0</v>
      </c>
      <c r="O497" s="3">
        <f t="shared" si="70"/>
        <v>5.2</v>
      </c>
      <c r="P497" s="3">
        <v>5</v>
      </c>
      <c r="Q497" s="3">
        <v>4</v>
      </c>
      <c r="R497" s="3">
        <v>3</v>
      </c>
      <c r="S497" s="3">
        <v>5</v>
      </c>
      <c r="T497" s="3">
        <v>1</v>
      </c>
      <c r="U497" s="3">
        <f t="shared" si="77"/>
        <v>18</v>
      </c>
      <c r="V497" s="13">
        <f t="shared" si="79"/>
        <v>0.28888888888888892</v>
      </c>
      <c r="W497" s="13">
        <f t="shared" si="82"/>
        <v>0.28888888888888892</v>
      </c>
      <c r="X497" s="3">
        <f t="shared" si="73"/>
        <v>18</v>
      </c>
      <c r="Y497" s="3">
        <f t="shared" si="83"/>
        <v>8.2070707070707079E-4</v>
      </c>
      <c r="Z497" s="3"/>
      <c r="AA497" s="3">
        <f t="shared" si="91"/>
        <v>352</v>
      </c>
      <c r="AB497" s="3">
        <f t="shared" si="92"/>
        <v>100</v>
      </c>
      <c r="AC497" s="3" t="s">
        <v>82</v>
      </c>
      <c r="AD497" s="3" t="s">
        <v>164</v>
      </c>
      <c r="AE497" s="3"/>
      <c r="AF497" s="3" t="s">
        <v>143</v>
      </c>
      <c r="AG497" s="3" t="s">
        <v>304</v>
      </c>
      <c r="AH497" s="3"/>
    </row>
    <row r="498" spans="1:34" ht="14.25" customHeight="1" x14ac:dyDescent="0.25">
      <c r="A498" s="3" t="s">
        <v>163</v>
      </c>
      <c r="B498" s="3" t="s">
        <v>79</v>
      </c>
      <c r="C498" s="3"/>
      <c r="D498" s="3" t="s">
        <v>98</v>
      </c>
      <c r="E498" s="3">
        <v>2</v>
      </c>
      <c r="F498" s="3">
        <v>1</v>
      </c>
      <c r="G498" s="3" t="s">
        <v>16</v>
      </c>
      <c r="H498" s="11">
        <v>45808</v>
      </c>
      <c r="I498" s="3" t="s">
        <v>159</v>
      </c>
      <c r="J498" s="3">
        <v>4</v>
      </c>
      <c r="K498" s="3">
        <v>0</v>
      </c>
      <c r="L498" s="3">
        <v>1.8</v>
      </c>
      <c r="M498" s="3">
        <v>2.2999999999999998</v>
      </c>
      <c r="N498" s="3">
        <v>3.6</v>
      </c>
      <c r="O498" s="3">
        <f t="shared" si="70"/>
        <v>11.7</v>
      </c>
      <c r="P498" s="3">
        <v>5</v>
      </c>
      <c r="Q498" s="3">
        <v>4</v>
      </c>
      <c r="R498" s="3">
        <v>3</v>
      </c>
      <c r="S498" s="3">
        <v>5</v>
      </c>
      <c r="T498" s="3">
        <v>1</v>
      </c>
      <c r="U498" s="3">
        <f t="shared" si="77"/>
        <v>18</v>
      </c>
      <c r="V498" s="13">
        <f t="shared" si="79"/>
        <v>0.64999999999999991</v>
      </c>
      <c r="W498" s="13">
        <f t="shared" si="82"/>
        <v>0.64999999999999991</v>
      </c>
      <c r="X498" s="3">
        <f t="shared" si="73"/>
        <v>18</v>
      </c>
      <c r="Y498" s="3">
        <f t="shared" si="83"/>
        <v>1.8465909090909088E-3</v>
      </c>
      <c r="Z498" s="3"/>
      <c r="AA498" s="3">
        <f t="shared" si="91"/>
        <v>352</v>
      </c>
      <c r="AB498" s="3">
        <f t="shared" si="92"/>
        <v>100</v>
      </c>
      <c r="AC498" s="3" t="s">
        <v>82</v>
      </c>
      <c r="AD498" s="3" t="s">
        <v>164</v>
      </c>
      <c r="AE498" s="3"/>
      <c r="AF498" s="3" t="s">
        <v>143</v>
      </c>
      <c r="AG498" s="3" t="s">
        <v>304</v>
      </c>
      <c r="AH498" s="3"/>
    </row>
    <row r="499" spans="1:34" ht="14.25" customHeight="1" x14ac:dyDescent="0.25">
      <c r="A499" s="3" t="s">
        <v>163</v>
      </c>
      <c r="B499" s="3" t="s">
        <v>79</v>
      </c>
      <c r="C499" s="3"/>
      <c r="D499" s="3" t="s">
        <v>98</v>
      </c>
      <c r="E499" s="3">
        <v>2</v>
      </c>
      <c r="F499" s="3">
        <v>1</v>
      </c>
      <c r="G499" s="3" t="s">
        <v>18</v>
      </c>
      <c r="H499" s="11">
        <v>45808</v>
      </c>
      <c r="I499" s="3" t="s">
        <v>159</v>
      </c>
      <c r="J499" s="3">
        <v>3</v>
      </c>
      <c r="K499" s="3">
        <v>0</v>
      </c>
      <c r="L499" s="3">
        <v>0</v>
      </c>
      <c r="M499" s="3">
        <v>0</v>
      </c>
      <c r="N499" s="3">
        <v>0</v>
      </c>
      <c r="O499" s="3">
        <f t="shared" si="70"/>
        <v>3</v>
      </c>
      <c r="P499" s="3">
        <v>5</v>
      </c>
      <c r="Q499" s="3">
        <v>4</v>
      </c>
      <c r="R499" s="3">
        <v>3</v>
      </c>
      <c r="S499" s="3">
        <v>5</v>
      </c>
      <c r="T499" s="3">
        <v>1</v>
      </c>
      <c r="U499" s="3">
        <f t="shared" si="77"/>
        <v>18</v>
      </c>
      <c r="V499" s="13">
        <f t="shared" si="79"/>
        <v>0.16666666666666666</v>
      </c>
      <c r="W499" s="13">
        <f t="shared" si="82"/>
        <v>0.16666666666666666</v>
      </c>
      <c r="X499" s="3">
        <f t="shared" si="73"/>
        <v>18</v>
      </c>
      <c r="Y499" s="3">
        <f t="shared" si="83"/>
        <v>4.7348484848484844E-4</v>
      </c>
      <c r="Z499" s="3"/>
      <c r="AA499" s="3">
        <f t="shared" si="91"/>
        <v>352</v>
      </c>
      <c r="AB499" s="3">
        <f t="shared" si="92"/>
        <v>100</v>
      </c>
      <c r="AC499" s="3" t="s">
        <v>82</v>
      </c>
      <c r="AD499" s="3" t="s">
        <v>164</v>
      </c>
      <c r="AE499" s="3"/>
      <c r="AF499" s="3" t="s">
        <v>143</v>
      </c>
      <c r="AG499" s="3" t="s">
        <v>304</v>
      </c>
      <c r="AH499" s="3"/>
    </row>
    <row r="500" spans="1:34" ht="14.25" customHeight="1" x14ac:dyDescent="0.25">
      <c r="A500" s="3" t="s">
        <v>163</v>
      </c>
      <c r="B500" s="3" t="s">
        <v>79</v>
      </c>
      <c r="C500" s="3"/>
      <c r="D500" s="3" t="s">
        <v>98</v>
      </c>
      <c r="E500" s="3">
        <v>2</v>
      </c>
      <c r="F500" s="3">
        <v>1</v>
      </c>
      <c r="G500" s="3" t="s">
        <v>25</v>
      </c>
      <c r="H500" s="11">
        <v>45808</v>
      </c>
      <c r="I500" s="3" t="s">
        <v>159</v>
      </c>
      <c r="J500" s="3">
        <v>0</v>
      </c>
      <c r="K500" s="3">
        <v>18</v>
      </c>
      <c r="L500" s="3">
        <v>0</v>
      </c>
      <c r="M500" s="3">
        <v>0</v>
      </c>
      <c r="N500" s="3">
        <v>0</v>
      </c>
      <c r="O500" s="3">
        <f t="shared" si="70"/>
        <v>18</v>
      </c>
      <c r="P500" s="3">
        <v>5</v>
      </c>
      <c r="Q500" s="3">
        <v>4</v>
      </c>
      <c r="R500" s="3">
        <v>3</v>
      </c>
      <c r="S500" s="3">
        <v>5</v>
      </c>
      <c r="T500" s="3">
        <v>1</v>
      </c>
      <c r="U500" s="3">
        <f t="shared" si="77"/>
        <v>18</v>
      </c>
      <c r="V500" s="13">
        <f t="shared" si="79"/>
        <v>1</v>
      </c>
      <c r="W500" s="13">
        <f t="shared" si="82"/>
        <v>1</v>
      </c>
      <c r="X500" s="3">
        <f t="shared" si="73"/>
        <v>18</v>
      </c>
      <c r="Y500" s="3">
        <f t="shared" si="83"/>
        <v>2.840909090909091E-3</v>
      </c>
      <c r="Z500" s="3"/>
      <c r="AA500" s="3">
        <f t="shared" si="91"/>
        <v>352</v>
      </c>
      <c r="AB500" s="3">
        <f t="shared" si="92"/>
        <v>100</v>
      </c>
      <c r="AC500" s="3" t="s">
        <v>82</v>
      </c>
      <c r="AD500" s="3" t="s">
        <v>164</v>
      </c>
      <c r="AE500" s="3"/>
      <c r="AF500" s="3" t="s">
        <v>143</v>
      </c>
      <c r="AG500" s="3" t="s">
        <v>304</v>
      </c>
      <c r="AH500" s="3"/>
    </row>
    <row r="501" spans="1:34" ht="14.25" customHeight="1" x14ac:dyDescent="0.25">
      <c r="A501" s="3" t="s">
        <v>163</v>
      </c>
      <c r="B501" s="3" t="s">
        <v>79</v>
      </c>
      <c r="C501" s="3"/>
      <c r="D501" s="3" t="s">
        <v>98</v>
      </c>
      <c r="E501" s="3">
        <v>2</v>
      </c>
      <c r="F501" s="3">
        <v>1</v>
      </c>
      <c r="G501" s="3" t="s">
        <v>22</v>
      </c>
      <c r="H501" s="11">
        <v>45808</v>
      </c>
      <c r="I501" s="3" t="s">
        <v>159</v>
      </c>
      <c r="J501" s="3">
        <v>0</v>
      </c>
      <c r="K501" s="3">
        <v>0</v>
      </c>
      <c r="L501" s="3">
        <v>2.8</v>
      </c>
      <c r="M501" s="3">
        <v>0</v>
      </c>
      <c r="N501" s="3">
        <v>0</v>
      </c>
      <c r="O501" s="3">
        <f t="shared" si="70"/>
        <v>2.8</v>
      </c>
      <c r="P501" s="3">
        <v>5</v>
      </c>
      <c r="Q501" s="3">
        <v>4</v>
      </c>
      <c r="R501" s="3">
        <v>3</v>
      </c>
      <c r="S501" s="3">
        <v>5</v>
      </c>
      <c r="T501" s="3">
        <v>1</v>
      </c>
      <c r="U501" s="3">
        <f t="shared" si="77"/>
        <v>18</v>
      </c>
      <c r="V501" s="13">
        <f t="shared" si="79"/>
        <v>0.15555555555555556</v>
      </c>
      <c r="W501" s="13">
        <f t="shared" si="82"/>
        <v>0.15555555555555556</v>
      </c>
      <c r="X501" s="3">
        <f t="shared" si="73"/>
        <v>18</v>
      </c>
      <c r="Y501" s="3">
        <f t="shared" si="83"/>
        <v>4.4191919191919195E-4</v>
      </c>
      <c r="Z501" s="3"/>
      <c r="AA501" s="3">
        <f t="shared" si="91"/>
        <v>352</v>
      </c>
      <c r="AB501" s="3">
        <f t="shared" si="92"/>
        <v>100</v>
      </c>
      <c r="AC501" s="3" t="s">
        <v>82</v>
      </c>
      <c r="AD501" s="3" t="s">
        <v>164</v>
      </c>
      <c r="AE501" s="3"/>
      <c r="AF501" s="3" t="s">
        <v>143</v>
      </c>
      <c r="AG501" s="3" t="s">
        <v>304</v>
      </c>
      <c r="AH501" s="3"/>
    </row>
    <row r="502" spans="1:34" ht="14.25" customHeight="1" x14ac:dyDescent="0.25">
      <c r="A502" s="3" t="s">
        <v>146</v>
      </c>
      <c r="B502" s="3" t="s">
        <v>79</v>
      </c>
      <c r="C502" s="3"/>
      <c r="D502" s="3" t="s">
        <v>80</v>
      </c>
      <c r="E502" s="3">
        <v>1</v>
      </c>
      <c r="F502" s="3">
        <v>1</v>
      </c>
      <c r="G502" s="3" t="s">
        <v>1</v>
      </c>
      <c r="H502" s="11">
        <v>45808</v>
      </c>
      <c r="I502" s="3" t="s">
        <v>159</v>
      </c>
      <c r="J502" s="3">
        <f>14+10+9.7+9.3</f>
        <v>43</v>
      </c>
      <c r="K502" s="3">
        <f>9+8.5+6.3</f>
        <v>23.8</v>
      </c>
      <c r="L502" s="3">
        <v>16</v>
      </c>
      <c r="M502" s="3">
        <f>14+11+9+7.7+12</f>
        <v>53.7</v>
      </c>
      <c r="N502" s="3">
        <v>0</v>
      </c>
      <c r="O502" s="3">
        <f t="shared" si="70"/>
        <v>136.5</v>
      </c>
      <c r="P502" s="3">
        <v>4</v>
      </c>
      <c r="Q502" s="3">
        <v>4</v>
      </c>
      <c r="R502" s="3">
        <v>4</v>
      </c>
      <c r="S502" s="3">
        <v>6</v>
      </c>
      <c r="T502" s="3">
        <v>1</v>
      </c>
      <c r="U502" s="3">
        <f t="shared" si="77"/>
        <v>19</v>
      </c>
      <c r="V502" s="13">
        <f t="shared" si="79"/>
        <v>7.1842105263157894</v>
      </c>
      <c r="W502" s="13">
        <f t="shared" si="82"/>
        <v>7.1842105263157894</v>
      </c>
      <c r="X502" s="3">
        <f t="shared" si="73"/>
        <v>19</v>
      </c>
      <c r="Y502" s="3">
        <f t="shared" si="83"/>
        <v>2.1381578947368422E-2</v>
      </c>
      <c r="Z502" s="3"/>
      <c r="AA502" s="3">
        <f t="shared" ref="AA502:AA506" si="93">40*2.8*3</f>
        <v>336</v>
      </c>
      <c r="AB502" s="3">
        <f t="shared" ref="AB502:AB506" si="94">25*6</f>
        <v>150</v>
      </c>
      <c r="AC502" s="3" t="s">
        <v>82</v>
      </c>
      <c r="AD502" s="3" t="s">
        <v>83</v>
      </c>
      <c r="AE502" s="3">
        <v>30</v>
      </c>
      <c r="AF502" s="3" t="s">
        <v>143</v>
      </c>
      <c r="AG502" s="3" t="s">
        <v>305</v>
      </c>
      <c r="AH502" s="3"/>
    </row>
    <row r="503" spans="1:34" ht="14.25" customHeight="1" x14ac:dyDescent="0.25">
      <c r="A503" s="3" t="s">
        <v>146</v>
      </c>
      <c r="B503" s="3" t="s">
        <v>79</v>
      </c>
      <c r="C503" s="3"/>
      <c r="D503" s="3" t="s">
        <v>80</v>
      </c>
      <c r="E503" s="3">
        <v>1</v>
      </c>
      <c r="F503" s="3">
        <v>1</v>
      </c>
      <c r="G503" s="3" t="s">
        <v>3</v>
      </c>
      <c r="H503" s="11">
        <v>45808</v>
      </c>
      <c r="I503" s="3" t="s">
        <v>159</v>
      </c>
      <c r="J503" s="3">
        <f>8+4.5+2.8</f>
        <v>15.3</v>
      </c>
      <c r="K503" s="3">
        <f>4+2.7</f>
        <v>6.7</v>
      </c>
      <c r="L503" s="3">
        <f>6.5+4</f>
        <v>10.5</v>
      </c>
      <c r="M503" s="3">
        <v>4</v>
      </c>
      <c r="N503" s="3">
        <v>8</v>
      </c>
      <c r="O503" s="3">
        <f t="shared" si="70"/>
        <v>44.5</v>
      </c>
      <c r="P503" s="3">
        <v>4</v>
      </c>
      <c r="Q503" s="3">
        <v>4</v>
      </c>
      <c r="R503" s="3">
        <v>4</v>
      </c>
      <c r="S503" s="3">
        <v>6</v>
      </c>
      <c r="T503" s="3">
        <v>1</v>
      </c>
      <c r="U503" s="3">
        <f t="shared" si="77"/>
        <v>19</v>
      </c>
      <c r="V503" s="13">
        <f t="shared" si="79"/>
        <v>2.3421052631578947</v>
      </c>
      <c r="W503" s="13">
        <f t="shared" si="82"/>
        <v>2.3421052631578947</v>
      </c>
      <c r="X503" s="3">
        <f t="shared" si="73"/>
        <v>19</v>
      </c>
      <c r="Y503" s="3">
        <f t="shared" si="83"/>
        <v>6.9705513784461149E-3</v>
      </c>
      <c r="Z503" s="3"/>
      <c r="AA503" s="3">
        <f t="shared" si="93"/>
        <v>336</v>
      </c>
      <c r="AB503" s="3">
        <f t="shared" si="94"/>
        <v>150</v>
      </c>
      <c r="AC503" s="3" t="s">
        <v>82</v>
      </c>
      <c r="AD503" s="3" t="s">
        <v>83</v>
      </c>
      <c r="AE503" s="3">
        <v>30</v>
      </c>
      <c r="AF503" s="3" t="s">
        <v>143</v>
      </c>
      <c r="AG503" s="3" t="s">
        <v>305</v>
      </c>
      <c r="AH503" s="3"/>
    </row>
    <row r="504" spans="1:34" ht="14.25" customHeight="1" x14ac:dyDescent="0.25">
      <c r="A504" s="3" t="s">
        <v>146</v>
      </c>
      <c r="B504" s="3" t="s">
        <v>79</v>
      </c>
      <c r="C504" s="3"/>
      <c r="D504" s="3" t="s">
        <v>80</v>
      </c>
      <c r="E504" s="3">
        <v>1</v>
      </c>
      <c r="F504" s="3">
        <v>1</v>
      </c>
      <c r="G504" s="3" t="s">
        <v>5</v>
      </c>
      <c r="H504" s="11">
        <v>45808</v>
      </c>
      <c r="I504" s="3" t="s">
        <v>159</v>
      </c>
      <c r="J504" s="3">
        <f>0</f>
        <v>0</v>
      </c>
      <c r="K504" s="3">
        <v>2.2000000000000002</v>
      </c>
      <c r="L504" s="3">
        <f>0</f>
        <v>0</v>
      </c>
      <c r="M504" s="3">
        <v>0</v>
      </c>
      <c r="N504" s="3">
        <v>0</v>
      </c>
      <c r="O504" s="3">
        <f t="shared" si="70"/>
        <v>2.2000000000000002</v>
      </c>
      <c r="P504" s="3">
        <v>4</v>
      </c>
      <c r="Q504" s="3">
        <v>4</v>
      </c>
      <c r="R504" s="3">
        <v>4</v>
      </c>
      <c r="S504" s="3">
        <v>6</v>
      </c>
      <c r="T504" s="3">
        <v>1</v>
      </c>
      <c r="U504" s="3">
        <f t="shared" si="77"/>
        <v>19</v>
      </c>
      <c r="V504" s="13">
        <f t="shared" si="79"/>
        <v>0.11578947368421054</v>
      </c>
      <c r="W504" s="13">
        <f t="shared" si="82"/>
        <v>0.11578947368421054</v>
      </c>
      <c r="X504" s="3">
        <f t="shared" si="73"/>
        <v>19</v>
      </c>
      <c r="Y504" s="3">
        <f t="shared" si="83"/>
        <v>3.4461152882205519E-4</v>
      </c>
      <c r="Z504" s="3"/>
      <c r="AA504" s="3">
        <f t="shared" si="93"/>
        <v>336</v>
      </c>
      <c r="AB504" s="3">
        <f t="shared" si="94"/>
        <v>150</v>
      </c>
      <c r="AC504" s="3" t="s">
        <v>82</v>
      </c>
      <c r="AD504" s="3" t="s">
        <v>83</v>
      </c>
      <c r="AE504" s="3">
        <v>30</v>
      </c>
      <c r="AF504" s="3" t="s">
        <v>143</v>
      </c>
      <c r="AG504" s="3" t="s">
        <v>305</v>
      </c>
      <c r="AH504" s="3"/>
    </row>
    <row r="505" spans="1:34" ht="14.25" customHeight="1" x14ac:dyDescent="0.25">
      <c r="A505" s="3" t="s">
        <v>146</v>
      </c>
      <c r="B505" s="3" t="s">
        <v>79</v>
      </c>
      <c r="C505" s="3"/>
      <c r="D505" s="3" t="s">
        <v>80</v>
      </c>
      <c r="E505" s="3">
        <v>1</v>
      </c>
      <c r="F505" s="3">
        <v>1</v>
      </c>
      <c r="G505" s="3" t="s">
        <v>9</v>
      </c>
      <c r="H505" s="11">
        <v>45808</v>
      </c>
      <c r="I505" s="3" t="s">
        <v>159</v>
      </c>
      <c r="J505" s="3">
        <f>4+1.3+1.6+2.2</f>
        <v>9.1000000000000014</v>
      </c>
      <c r="K505" s="3">
        <f>3.8+1.7</f>
        <v>5.5</v>
      </c>
      <c r="L505" s="3">
        <f>3+2.8</f>
        <v>5.8</v>
      </c>
      <c r="M505" s="3">
        <f>1.7+1.5</f>
        <v>3.2</v>
      </c>
      <c r="N505" s="3">
        <v>0</v>
      </c>
      <c r="O505" s="3">
        <f t="shared" si="70"/>
        <v>23.6</v>
      </c>
      <c r="P505" s="3">
        <v>4</v>
      </c>
      <c r="Q505" s="3">
        <v>4</v>
      </c>
      <c r="R505" s="3">
        <v>4</v>
      </c>
      <c r="S505" s="3">
        <v>6</v>
      </c>
      <c r="T505" s="3">
        <v>1</v>
      </c>
      <c r="U505" s="3">
        <f t="shared" si="77"/>
        <v>19</v>
      </c>
      <c r="V505" s="13">
        <f t="shared" si="79"/>
        <v>1.2421052631578948</v>
      </c>
      <c r="W505" s="13">
        <f t="shared" si="82"/>
        <v>1.2421052631578948</v>
      </c>
      <c r="X505" s="3">
        <f t="shared" si="73"/>
        <v>19</v>
      </c>
      <c r="Y505" s="3">
        <f t="shared" si="83"/>
        <v>3.6967418546365919E-3</v>
      </c>
      <c r="Z505" s="3"/>
      <c r="AA505" s="3">
        <f t="shared" si="93"/>
        <v>336</v>
      </c>
      <c r="AB505" s="3">
        <f t="shared" si="94"/>
        <v>150</v>
      </c>
      <c r="AC505" s="3" t="s">
        <v>82</v>
      </c>
      <c r="AD505" s="3" t="s">
        <v>83</v>
      </c>
      <c r="AE505" s="3">
        <v>30</v>
      </c>
      <c r="AF505" s="3" t="s">
        <v>143</v>
      </c>
      <c r="AG505" s="3" t="s">
        <v>305</v>
      </c>
      <c r="AH505" s="3"/>
    </row>
    <row r="506" spans="1:34" ht="14.25" customHeight="1" x14ac:dyDescent="0.25">
      <c r="A506" s="3" t="s">
        <v>146</v>
      </c>
      <c r="B506" s="3" t="s">
        <v>79</v>
      </c>
      <c r="C506" s="3"/>
      <c r="D506" s="3" t="s">
        <v>80</v>
      </c>
      <c r="E506" s="3">
        <v>1</v>
      </c>
      <c r="F506" s="3">
        <v>1</v>
      </c>
      <c r="G506" s="3" t="s">
        <v>24</v>
      </c>
      <c r="H506" s="11">
        <v>45808</v>
      </c>
      <c r="I506" s="3" t="s">
        <v>159</v>
      </c>
      <c r="J506" s="3">
        <f>0.9+1.3+1</f>
        <v>3.2</v>
      </c>
      <c r="K506" s="3">
        <v>1.2</v>
      </c>
      <c r="L506" s="3">
        <f>1+0.8</f>
        <v>1.8</v>
      </c>
      <c r="M506" s="3">
        <v>1.2</v>
      </c>
      <c r="N506" s="3">
        <v>0</v>
      </c>
      <c r="O506" s="3">
        <f t="shared" si="70"/>
        <v>7.4</v>
      </c>
      <c r="P506" s="3">
        <v>4</v>
      </c>
      <c r="Q506" s="3">
        <v>4</v>
      </c>
      <c r="R506" s="3">
        <v>4</v>
      </c>
      <c r="S506" s="3">
        <v>6</v>
      </c>
      <c r="T506" s="3">
        <v>1</v>
      </c>
      <c r="U506" s="3">
        <f t="shared" si="77"/>
        <v>19</v>
      </c>
      <c r="V506" s="13">
        <f t="shared" si="79"/>
        <v>0.38947368421052636</v>
      </c>
      <c r="W506" s="13">
        <f t="shared" si="82"/>
        <v>0.38947368421052636</v>
      </c>
      <c r="X506" s="3">
        <f t="shared" si="73"/>
        <v>19</v>
      </c>
      <c r="Y506" s="3">
        <f t="shared" si="83"/>
        <v>1.1591478696741857E-3</v>
      </c>
      <c r="Z506" s="3"/>
      <c r="AA506" s="3">
        <f t="shared" si="93"/>
        <v>336</v>
      </c>
      <c r="AB506" s="3">
        <f t="shared" si="94"/>
        <v>150</v>
      </c>
      <c r="AC506" s="3" t="s">
        <v>82</v>
      </c>
      <c r="AD506" s="3" t="s">
        <v>83</v>
      </c>
      <c r="AE506" s="3">
        <v>30</v>
      </c>
      <c r="AF506" s="3" t="s">
        <v>143</v>
      </c>
      <c r="AG506" s="3" t="s">
        <v>305</v>
      </c>
      <c r="AH506" s="3"/>
    </row>
    <row r="507" spans="1:34" ht="14.25" customHeight="1" x14ac:dyDescent="0.25">
      <c r="A507" s="3" t="s">
        <v>99</v>
      </c>
      <c r="B507" s="3" t="s">
        <v>79</v>
      </c>
      <c r="C507" s="3"/>
      <c r="D507" s="3" t="s">
        <v>80</v>
      </c>
      <c r="E507" s="3">
        <v>2</v>
      </c>
      <c r="F507" s="3">
        <v>1</v>
      </c>
      <c r="G507" s="3" t="s">
        <v>1</v>
      </c>
      <c r="H507" s="11">
        <v>45808</v>
      </c>
      <c r="I507" s="3" t="s">
        <v>159</v>
      </c>
      <c r="J507" s="3">
        <f>16+12+13.2</f>
        <v>41.2</v>
      </c>
      <c r="K507" s="3">
        <f>7+8.3+9.7</f>
        <v>25</v>
      </c>
      <c r="L507" s="3">
        <v>5.5</v>
      </c>
      <c r="M507" s="3">
        <f>10.5+7.6+9.3+9+8.8</f>
        <v>45.2</v>
      </c>
      <c r="N507" s="3">
        <v>16</v>
      </c>
      <c r="O507" s="3">
        <f t="shared" si="70"/>
        <v>132.9</v>
      </c>
      <c r="P507" s="3">
        <v>5</v>
      </c>
      <c r="Q507" s="3">
        <v>3</v>
      </c>
      <c r="R507" s="3">
        <v>3</v>
      </c>
      <c r="S507" s="3">
        <v>6</v>
      </c>
      <c r="T507" s="3">
        <v>1</v>
      </c>
      <c r="U507" s="3">
        <f t="shared" si="77"/>
        <v>18</v>
      </c>
      <c r="V507" s="13">
        <f t="shared" si="79"/>
        <v>7.3833333333333337</v>
      </c>
      <c r="W507" s="13">
        <f t="shared" si="82"/>
        <v>7.3833333333333337</v>
      </c>
      <c r="X507" s="3">
        <f t="shared" si="73"/>
        <v>18</v>
      </c>
      <c r="Y507" s="3" t="e">
        <f t="shared" si="83"/>
        <v>#DIV/0!</v>
      </c>
      <c r="Z507" s="3"/>
      <c r="AA507" s="3"/>
      <c r="AB507" s="3"/>
      <c r="AC507" s="3" t="s">
        <v>82</v>
      </c>
      <c r="AD507" s="3" t="s">
        <v>83</v>
      </c>
      <c r="AE507" s="3">
        <v>40</v>
      </c>
      <c r="AF507" s="3" t="s">
        <v>143</v>
      </c>
      <c r="AG507" s="3" t="s">
        <v>173</v>
      </c>
      <c r="AH507" s="3"/>
    </row>
    <row r="508" spans="1:34" ht="14.25" customHeight="1" x14ac:dyDescent="0.25">
      <c r="A508" s="3" t="s">
        <v>99</v>
      </c>
      <c r="B508" s="3" t="s">
        <v>79</v>
      </c>
      <c r="C508" s="3"/>
      <c r="D508" s="3" t="s">
        <v>80</v>
      </c>
      <c r="E508" s="3">
        <v>2</v>
      </c>
      <c r="F508" s="3">
        <v>1</v>
      </c>
      <c r="G508" s="3" t="s">
        <v>25</v>
      </c>
      <c r="H508" s="11">
        <v>45808</v>
      </c>
      <c r="I508" s="3" t="s">
        <v>159</v>
      </c>
      <c r="J508" s="3">
        <v>0</v>
      </c>
      <c r="K508" s="3">
        <v>0</v>
      </c>
      <c r="L508" s="3">
        <v>0</v>
      </c>
      <c r="M508" s="3">
        <v>21</v>
      </c>
      <c r="N508" s="3">
        <v>0</v>
      </c>
      <c r="O508" s="3">
        <f t="shared" si="70"/>
        <v>21</v>
      </c>
      <c r="P508" s="3">
        <v>5</v>
      </c>
      <c r="Q508" s="3">
        <v>3</v>
      </c>
      <c r="R508" s="3">
        <v>3</v>
      </c>
      <c r="S508" s="3">
        <v>6</v>
      </c>
      <c r="T508" s="3">
        <v>1</v>
      </c>
      <c r="U508" s="3">
        <f t="shared" si="77"/>
        <v>18</v>
      </c>
      <c r="V508" s="13">
        <f t="shared" si="79"/>
        <v>1.1666666666666667</v>
      </c>
      <c r="W508" s="13">
        <f t="shared" si="82"/>
        <v>1.1666666666666667</v>
      </c>
      <c r="X508" s="3">
        <f t="shared" si="73"/>
        <v>18</v>
      </c>
      <c r="Y508" s="3" t="e">
        <f t="shared" si="83"/>
        <v>#DIV/0!</v>
      </c>
      <c r="Z508" s="3"/>
      <c r="AA508" s="3"/>
      <c r="AB508" s="3"/>
      <c r="AC508" s="3" t="s">
        <v>82</v>
      </c>
      <c r="AD508" s="3" t="s">
        <v>83</v>
      </c>
      <c r="AE508" s="3">
        <v>40</v>
      </c>
      <c r="AF508" s="3" t="s">
        <v>143</v>
      </c>
      <c r="AG508" s="3" t="s">
        <v>173</v>
      </c>
      <c r="AH508" s="3"/>
    </row>
    <row r="509" spans="1:34" ht="14.25" customHeight="1" x14ac:dyDescent="0.25">
      <c r="A509" s="3" t="s">
        <v>99</v>
      </c>
      <c r="B509" s="3" t="s">
        <v>79</v>
      </c>
      <c r="C509" s="3"/>
      <c r="D509" s="3" t="s">
        <v>80</v>
      </c>
      <c r="E509" s="3">
        <v>2</v>
      </c>
      <c r="F509" s="3">
        <v>1</v>
      </c>
      <c r="G509" s="3" t="s">
        <v>22</v>
      </c>
      <c r="H509" s="11">
        <v>45808</v>
      </c>
      <c r="I509" s="3" t="s">
        <v>159</v>
      </c>
      <c r="J509" s="3">
        <f>8.6+4.5+2.9</f>
        <v>16</v>
      </c>
      <c r="K509" s="3">
        <f>5.8</f>
        <v>5.8</v>
      </c>
      <c r="L509" s="3">
        <f>3.9+5.2</f>
        <v>9.1</v>
      </c>
      <c r="M509" s="3">
        <f>3.8+4.2</f>
        <v>8</v>
      </c>
      <c r="N509" s="3">
        <v>0</v>
      </c>
      <c r="O509" s="3">
        <f t="shared" si="70"/>
        <v>38.9</v>
      </c>
      <c r="P509" s="3">
        <v>5</v>
      </c>
      <c r="Q509" s="3">
        <v>3</v>
      </c>
      <c r="R509" s="3">
        <v>3</v>
      </c>
      <c r="S509" s="3">
        <v>6</v>
      </c>
      <c r="T509" s="3">
        <v>1</v>
      </c>
      <c r="U509" s="3">
        <f t="shared" si="77"/>
        <v>18</v>
      </c>
      <c r="V509" s="13">
        <f t="shared" si="79"/>
        <v>2.161111111111111</v>
      </c>
      <c r="W509" s="13">
        <f t="shared" si="82"/>
        <v>2.161111111111111</v>
      </c>
      <c r="X509" s="3">
        <f t="shared" si="73"/>
        <v>18</v>
      </c>
      <c r="Y509" s="3" t="e">
        <f t="shared" si="83"/>
        <v>#DIV/0!</v>
      </c>
      <c r="Z509" s="3"/>
      <c r="AA509" s="3"/>
      <c r="AB509" s="3"/>
      <c r="AC509" s="3" t="s">
        <v>82</v>
      </c>
      <c r="AD509" s="3" t="s">
        <v>83</v>
      </c>
      <c r="AE509" s="3">
        <v>40</v>
      </c>
      <c r="AF509" s="3" t="s">
        <v>143</v>
      </c>
      <c r="AG509" s="3" t="s">
        <v>173</v>
      </c>
      <c r="AH509" s="3"/>
    </row>
    <row r="510" spans="1:34" ht="14.25" customHeight="1" x14ac:dyDescent="0.25">
      <c r="A510" s="3" t="s">
        <v>96</v>
      </c>
      <c r="B510" s="3" t="s">
        <v>79</v>
      </c>
      <c r="C510" s="3"/>
      <c r="D510" s="3" t="s">
        <v>80</v>
      </c>
      <c r="E510" s="3">
        <v>1</v>
      </c>
      <c r="F510" s="3">
        <v>1</v>
      </c>
      <c r="G510" s="3" t="s">
        <v>14</v>
      </c>
      <c r="H510" s="11">
        <v>45808</v>
      </c>
      <c r="I510" s="3" t="s">
        <v>159</v>
      </c>
      <c r="J510" s="3">
        <v>0</v>
      </c>
      <c r="K510" s="3">
        <v>0</v>
      </c>
      <c r="L510" s="3">
        <v>0</v>
      </c>
      <c r="M510" s="3">
        <f>2.9+4.4+5.7</f>
        <v>13</v>
      </c>
      <c r="N510" s="3">
        <v>2.2000000000000002</v>
      </c>
      <c r="O510" s="3">
        <f t="shared" si="70"/>
        <v>15.2</v>
      </c>
      <c r="P510" s="3">
        <v>4</v>
      </c>
      <c r="Q510" s="3">
        <v>4</v>
      </c>
      <c r="R510" s="3">
        <v>2</v>
      </c>
      <c r="S510" s="3">
        <v>4</v>
      </c>
      <c r="T510" s="3">
        <v>1</v>
      </c>
      <c r="U510" s="3">
        <f t="shared" si="77"/>
        <v>15</v>
      </c>
      <c r="V510" s="13">
        <f t="shared" si="79"/>
        <v>1.0133333333333332</v>
      </c>
      <c r="W510" s="13">
        <f t="shared" si="82"/>
        <v>1.0133333333333332</v>
      </c>
      <c r="X510" s="3">
        <f t="shared" si="73"/>
        <v>15</v>
      </c>
      <c r="Y510" s="3" t="e">
        <f t="shared" si="83"/>
        <v>#DIV/0!</v>
      </c>
      <c r="Z510" s="3"/>
      <c r="AA510" s="3"/>
      <c r="AB510" s="3"/>
      <c r="AC510" s="3" t="s">
        <v>82</v>
      </c>
      <c r="AD510" s="3" t="s">
        <v>83</v>
      </c>
      <c r="AE510" s="3">
        <v>40</v>
      </c>
      <c r="AF510" s="3" t="s">
        <v>143</v>
      </c>
      <c r="AG510" s="3" t="s">
        <v>173</v>
      </c>
      <c r="AH510" s="3"/>
    </row>
    <row r="511" spans="1:34" ht="14.25" customHeight="1" x14ac:dyDescent="0.25">
      <c r="A511" s="3" t="s">
        <v>96</v>
      </c>
      <c r="B511" s="3" t="s">
        <v>79</v>
      </c>
      <c r="C511" s="3"/>
      <c r="D511" s="3" t="s">
        <v>80</v>
      </c>
      <c r="E511" s="3">
        <v>1</v>
      </c>
      <c r="F511" s="3">
        <v>1</v>
      </c>
      <c r="G511" s="3" t="s">
        <v>16</v>
      </c>
      <c r="H511" s="11">
        <v>45808</v>
      </c>
      <c r="I511" s="3" t="s">
        <v>159</v>
      </c>
      <c r="J511" s="3">
        <v>2.2000000000000002</v>
      </c>
      <c r="K511" s="3">
        <v>3.3</v>
      </c>
      <c r="L511" s="3">
        <v>0</v>
      </c>
      <c r="M511" s="3">
        <f>3.2+2.3</f>
        <v>5.5</v>
      </c>
      <c r="N511" s="3">
        <v>1.8</v>
      </c>
      <c r="O511" s="3">
        <f t="shared" si="70"/>
        <v>12.8</v>
      </c>
      <c r="P511" s="3">
        <v>4</v>
      </c>
      <c r="Q511" s="3">
        <v>4</v>
      </c>
      <c r="R511" s="3">
        <v>2</v>
      </c>
      <c r="S511" s="3">
        <v>4</v>
      </c>
      <c r="T511" s="3">
        <v>1</v>
      </c>
      <c r="U511" s="3">
        <f t="shared" si="77"/>
        <v>15</v>
      </c>
      <c r="V511" s="13">
        <f t="shared" si="79"/>
        <v>0.85333333333333339</v>
      </c>
      <c r="W511" s="13">
        <f t="shared" si="82"/>
        <v>0.85333333333333339</v>
      </c>
      <c r="X511" s="3">
        <f t="shared" si="73"/>
        <v>15</v>
      </c>
      <c r="Y511" s="3" t="e">
        <f t="shared" si="83"/>
        <v>#DIV/0!</v>
      </c>
      <c r="Z511" s="3"/>
      <c r="AA511" s="3"/>
      <c r="AB511" s="3"/>
      <c r="AC511" s="3" t="s">
        <v>82</v>
      </c>
      <c r="AD511" s="3" t="s">
        <v>83</v>
      </c>
      <c r="AE511" s="3">
        <v>40</v>
      </c>
      <c r="AF511" s="3" t="s">
        <v>143</v>
      </c>
      <c r="AG511" s="3" t="s">
        <v>173</v>
      </c>
      <c r="AH511" s="3"/>
    </row>
    <row r="512" spans="1:34" ht="14.25" customHeight="1" x14ac:dyDescent="0.25">
      <c r="A512" s="3" t="s">
        <v>96</v>
      </c>
      <c r="B512" s="3" t="s">
        <v>79</v>
      </c>
      <c r="C512" s="3"/>
      <c r="D512" s="3" t="s">
        <v>80</v>
      </c>
      <c r="E512" s="3">
        <v>1</v>
      </c>
      <c r="F512" s="3">
        <v>1</v>
      </c>
      <c r="G512" s="3" t="s">
        <v>18</v>
      </c>
      <c r="H512" s="11">
        <v>45808</v>
      </c>
      <c r="I512" s="3" t="s">
        <v>159</v>
      </c>
      <c r="J512" s="3">
        <f>7+5+3.8</f>
        <v>15.8</v>
      </c>
      <c r="K512" s="3">
        <f>6.9+4.6+6.1</f>
        <v>17.600000000000001</v>
      </c>
      <c r="L512" s="3">
        <f>4+8.2</f>
        <v>12.2</v>
      </c>
      <c r="M512" s="3">
        <f>2.8+5</f>
        <v>7.8</v>
      </c>
      <c r="N512" s="3">
        <v>0</v>
      </c>
      <c r="O512" s="3">
        <f t="shared" si="70"/>
        <v>53.400000000000006</v>
      </c>
      <c r="P512" s="3">
        <v>4</v>
      </c>
      <c r="Q512" s="3">
        <v>4</v>
      </c>
      <c r="R512" s="3">
        <v>2</v>
      </c>
      <c r="S512" s="3">
        <v>4</v>
      </c>
      <c r="T512" s="3">
        <v>1</v>
      </c>
      <c r="U512" s="3">
        <f t="shared" si="77"/>
        <v>15</v>
      </c>
      <c r="V512" s="13">
        <f t="shared" si="79"/>
        <v>3.5600000000000005</v>
      </c>
      <c r="W512" s="13">
        <f t="shared" si="82"/>
        <v>3.5600000000000005</v>
      </c>
      <c r="X512" s="3">
        <f t="shared" si="73"/>
        <v>15</v>
      </c>
      <c r="Y512" s="3" t="e">
        <f t="shared" si="83"/>
        <v>#DIV/0!</v>
      </c>
      <c r="Z512" s="3"/>
      <c r="AA512" s="3"/>
      <c r="AB512" s="3"/>
      <c r="AC512" s="3" t="s">
        <v>82</v>
      </c>
      <c r="AD512" s="3" t="s">
        <v>83</v>
      </c>
      <c r="AE512" s="3">
        <v>40</v>
      </c>
      <c r="AF512" s="3" t="s">
        <v>143</v>
      </c>
      <c r="AG512" s="3" t="s">
        <v>173</v>
      </c>
      <c r="AH512" s="3"/>
    </row>
    <row r="513" spans="1:34" ht="14.25" customHeight="1" x14ac:dyDescent="0.25">
      <c r="A513" s="3" t="s">
        <v>96</v>
      </c>
      <c r="B513" s="3" t="s">
        <v>79</v>
      </c>
      <c r="C513" s="3"/>
      <c r="D513" s="3" t="s">
        <v>80</v>
      </c>
      <c r="E513" s="3">
        <v>1</v>
      </c>
      <c r="F513" s="3">
        <v>1</v>
      </c>
      <c r="G513" s="3" t="s">
        <v>22</v>
      </c>
      <c r="H513" s="11">
        <v>45808</v>
      </c>
      <c r="I513" s="3" t="s">
        <v>159</v>
      </c>
      <c r="J513" s="3">
        <v>2.8</v>
      </c>
      <c r="K513" s="3">
        <v>4.4000000000000004</v>
      </c>
      <c r="L513" s="3">
        <v>0</v>
      </c>
      <c r="M513" s="3">
        <v>3.8</v>
      </c>
      <c r="N513" s="3">
        <v>0</v>
      </c>
      <c r="O513" s="3">
        <f t="shared" si="70"/>
        <v>11</v>
      </c>
      <c r="P513" s="3">
        <v>4</v>
      </c>
      <c r="Q513" s="3">
        <v>4</v>
      </c>
      <c r="R513" s="3">
        <v>2</v>
      </c>
      <c r="S513" s="3">
        <v>4</v>
      </c>
      <c r="T513" s="3">
        <v>1</v>
      </c>
      <c r="U513" s="3">
        <f t="shared" si="77"/>
        <v>15</v>
      </c>
      <c r="V513" s="13">
        <f t="shared" si="79"/>
        <v>0.73333333333333328</v>
      </c>
      <c r="W513" s="13">
        <f t="shared" si="82"/>
        <v>0.73333333333333328</v>
      </c>
      <c r="X513" s="3">
        <f t="shared" si="73"/>
        <v>15</v>
      </c>
      <c r="Y513" s="3" t="e">
        <f t="shared" si="83"/>
        <v>#DIV/0!</v>
      </c>
      <c r="Z513" s="3"/>
      <c r="AA513" s="3"/>
      <c r="AB513" s="3"/>
      <c r="AC513" s="3" t="s">
        <v>82</v>
      </c>
      <c r="AD513" s="3" t="s">
        <v>83</v>
      </c>
      <c r="AE513" s="3">
        <v>40</v>
      </c>
      <c r="AF513" s="3" t="s">
        <v>143</v>
      </c>
      <c r="AG513" s="3" t="s">
        <v>173</v>
      </c>
      <c r="AH513" s="3"/>
    </row>
    <row r="514" spans="1:34" ht="14.25" customHeight="1" x14ac:dyDescent="0.25">
      <c r="A514" s="3" t="s">
        <v>126</v>
      </c>
      <c r="B514" s="3" t="s">
        <v>79</v>
      </c>
      <c r="C514" s="3"/>
      <c r="D514" s="3" t="s">
        <v>121</v>
      </c>
      <c r="E514" s="3">
        <v>2</v>
      </c>
      <c r="F514" s="3">
        <v>1</v>
      </c>
      <c r="G514" s="3" t="s">
        <v>3</v>
      </c>
      <c r="H514" s="11">
        <v>45808</v>
      </c>
      <c r="I514" s="3" t="s">
        <v>159</v>
      </c>
      <c r="J514" s="3">
        <v>0</v>
      </c>
      <c r="K514" s="3">
        <f>19+16+11</f>
        <v>46</v>
      </c>
      <c r="L514" s="3">
        <v>0</v>
      </c>
      <c r="M514" s="3">
        <f>20+17+22</f>
        <v>59</v>
      </c>
      <c r="N514" s="3">
        <f>19+25</f>
        <v>44</v>
      </c>
      <c r="O514" s="3">
        <f t="shared" si="70"/>
        <v>149</v>
      </c>
      <c r="P514" s="3">
        <v>0</v>
      </c>
      <c r="Q514" s="3">
        <v>3</v>
      </c>
      <c r="R514" s="3">
        <v>0</v>
      </c>
      <c r="S514" s="3">
        <v>3</v>
      </c>
      <c r="T514" s="3">
        <v>2</v>
      </c>
      <c r="U514" s="3">
        <f t="shared" si="77"/>
        <v>8</v>
      </c>
      <c r="V514" s="13">
        <f t="shared" si="79"/>
        <v>18.625</v>
      </c>
      <c r="W514" s="13">
        <f t="shared" si="82"/>
        <v>18.625</v>
      </c>
      <c r="X514" s="3">
        <f t="shared" si="73"/>
        <v>8</v>
      </c>
      <c r="Y514" s="3">
        <f t="shared" si="83"/>
        <v>5.8569182389937108E-2</v>
      </c>
      <c r="Z514" s="3"/>
      <c r="AA514" s="3">
        <f t="shared" ref="AA514:AA516" si="95">40*1.5*5+3*1.5*4</f>
        <v>318</v>
      </c>
      <c r="AB514" s="3"/>
      <c r="AC514" s="3" t="s">
        <v>82</v>
      </c>
      <c r="AD514" s="3" t="s">
        <v>83</v>
      </c>
      <c r="AE514" s="3">
        <v>25</v>
      </c>
      <c r="AF514" s="3" t="s">
        <v>151</v>
      </c>
      <c r="AG514" s="3" t="s">
        <v>297</v>
      </c>
      <c r="AH514" s="3"/>
    </row>
    <row r="515" spans="1:34" ht="14.25" customHeight="1" x14ac:dyDescent="0.25">
      <c r="A515" s="3" t="s">
        <v>126</v>
      </c>
      <c r="B515" s="3" t="s">
        <v>79</v>
      </c>
      <c r="C515" s="3"/>
      <c r="D515" s="3" t="s">
        <v>121</v>
      </c>
      <c r="E515" s="3">
        <v>2</v>
      </c>
      <c r="F515" s="3">
        <v>1</v>
      </c>
      <c r="G515" s="3" t="s">
        <v>12</v>
      </c>
      <c r="H515" s="11">
        <v>45808</v>
      </c>
      <c r="I515" s="3" t="s">
        <v>159</v>
      </c>
      <c r="J515" s="3">
        <v>0</v>
      </c>
      <c r="K515" s="3">
        <v>0</v>
      </c>
      <c r="L515" s="3">
        <v>0</v>
      </c>
      <c r="M515" s="3">
        <v>0</v>
      </c>
      <c r="N515" s="3">
        <v>11</v>
      </c>
      <c r="O515" s="3">
        <f t="shared" si="70"/>
        <v>11</v>
      </c>
      <c r="P515" s="3">
        <v>0</v>
      </c>
      <c r="Q515" s="3">
        <v>3</v>
      </c>
      <c r="R515" s="3">
        <v>0</v>
      </c>
      <c r="S515" s="3">
        <v>3</v>
      </c>
      <c r="T515" s="3">
        <v>2</v>
      </c>
      <c r="U515" s="3">
        <f t="shared" si="77"/>
        <v>8</v>
      </c>
      <c r="V515" s="13">
        <f t="shared" si="79"/>
        <v>1.375</v>
      </c>
      <c r="W515" s="13">
        <f t="shared" ref="W515:W578" si="96">O515/U515/F515</f>
        <v>1.375</v>
      </c>
      <c r="X515" s="3">
        <f t="shared" si="73"/>
        <v>8</v>
      </c>
      <c r="Y515" s="3">
        <f t="shared" ref="Y515:Y578" si="97">O515/U515/AA515</f>
        <v>4.3238993710691823E-3</v>
      </c>
      <c r="Z515" s="3"/>
      <c r="AA515" s="3">
        <f t="shared" si="95"/>
        <v>318</v>
      </c>
      <c r="AB515" s="3"/>
      <c r="AC515" s="3" t="s">
        <v>82</v>
      </c>
      <c r="AD515" s="3" t="s">
        <v>83</v>
      </c>
      <c r="AE515" s="3">
        <v>25</v>
      </c>
      <c r="AF515" s="3" t="s">
        <v>151</v>
      </c>
      <c r="AG515" s="3" t="s">
        <v>297</v>
      </c>
      <c r="AH515" s="3"/>
    </row>
    <row r="516" spans="1:34" ht="14.25" customHeight="1" x14ac:dyDescent="0.25">
      <c r="A516" s="3" t="s">
        <v>126</v>
      </c>
      <c r="B516" s="3" t="s">
        <v>79</v>
      </c>
      <c r="C516" s="3"/>
      <c r="D516" s="3" t="s">
        <v>121</v>
      </c>
      <c r="E516" s="3">
        <v>2</v>
      </c>
      <c r="F516" s="3">
        <v>1</v>
      </c>
      <c r="G516" s="3" t="s">
        <v>18</v>
      </c>
      <c r="H516" s="11">
        <v>45808</v>
      </c>
      <c r="I516" s="3" t="s">
        <v>159</v>
      </c>
      <c r="J516" s="3">
        <v>0</v>
      </c>
      <c r="K516" s="3">
        <f>2+3</f>
        <v>5</v>
      </c>
      <c r="L516" s="3">
        <v>0</v>
      </c>
      <c r="M516" s="3">
        <v>0</v>
      </c>
      <c r="N516" s="3">
        <v>0</v>
      </c>
      <c r="O516" s="3">
        <f t="shared" si="70"/>
        <v>5</v>
      </c>
      <c r="P516" s="3">
        <v>0</v>
      </c>
      <c r="Q516" s="3">
        <v>3</v>
      </c>
      <c r="R516" s="3">
        <v>0</v>
      </c>
      <c r="S516" s="3">
        <v>3</v>
      </c>
      <c r="T516" s="3">
        <v>2</v>
      </c>
      <c r="U516" s="3">
        <f t="shared" si="77"/>
        <v>8</v>
      </c>
      <c r="V516" s="13">
        <f t="shared" si="79"/>
        <v>0.625</v>
      </c>
      <c r="W516" s="13">
        <f t="shared" si="96"/>
        <v>0.625</v>
      </c>
      <c r="X516" s="3">
        <f t="shared" si="73"/>
        <v>8</v>
      </c>
      <c r="Y516" s="3">
        <f t="shared" si="97"/>
        <v>1.9654088050314465E-3</v>
      </c>
      <c r="Z516" s="3"/>
      <c r="AA516" s="3">
        <f t="shared" si="95"/>
        <v>318</v>
      </c>
      <c r="AB516" s="3"/>
      <c r="AC516" s="3" t="s">
        <v>82</v>
      </c>
      <c r="AD516" s="3" t="s">
        <v>83</v>
      </c>
      <c r="AE516" s="3">
        <v>25</v>
      </c>
      <c r="AF516" s="3" t="s">
        <v>151</v>
      </c>
      <c r="AG516" s="3" t="s">
        <v>297</v>
      </c>
      <c r="AH516" s="3"/>
    </row>
    <row r="517" spans="1:34" ht="14.25" customHeight="1" x14ac:dyDescent="0.25">
      <c r="A517" s="3" t="s">
        <v>133</v>
      </c>
      <c r="B517" s="3" t="s">
        <v>79</v>
      </c>
      <c r="C517" s="3"/>
      <c r="D517" s="3" t="s">
        <v>117</v>
      </c>
      <c r="E517" s="3">
        <v>1</v>
      </c>
      <c r="F517" s="3">
        <v>1</v>
      </c>
      <c r="G517" s="3" t="s">
        <v>1</v>
      </c>
      <c r="H517" s="11">
        <v>45808</v>
      </c>
      <c r="I517" s="3" t="s">
        <v>159</v>
      </c>
      <c r="J517" s="3">
        <f>7+16+10+4</f>
        <v>37</v>
      </c>
      <c r="K517" s="3">
        <f>5+12+15+7+8</f>
        <v>47</v>
      </c>
      <c r="L517" s="3">
        <f>9+13+5+16+13+12</f>
        <v>68</v>
      </c>
      <c r="M517" s="3">
        <f>8+6+3+5+9+8</f>
        <v>39</v>
      </c>
      <c r="N517" s="3">
        <f>10+12+13</f>
        <v>35</v>
      </c>
      <c r="O517" s="3">
        <f t="shared" si="70"/>
        <v>226</v>
      </c>
      <c r="P517" s="3">
        <v>6</v>
      </c>
      <c r="Q517" s="3">
        <v>6</v>
      </c>
      <c r="R517" s="3">
        <v>7</v>
      </c>
      <c r="S517" s="3">
        <v>6</v>
      </c>
      <c r="T517" s="3">
        <v>3</v>
      </c>
      <c r="U517" s="3">
        <f t="shared" si="77"/>
        <v>28</v>
      </c>
      <c r="V517" s="13">
        <f t="shared" si="79"/>
        <v>8.0714285714285712</v>
      </c>
      <c r="W517" s="13">
        <f t="shared" si="96"/>
        <v>8.0714285714285712</v>
      </c>
      <c r="X517" s="3">
        <f t="shared" si="73"/>
        <v>28</v>
      </c>
      <c r="Y517" s="3">
        <f t="shared" si="97"/>
        <v>3.2285714285714286E-2</v>
      </c>
      <c r="Z517" s="3"/>
      <c r="AA517" s="3">
        <f t="shared" ref="AA517:AA527" si="98">10*2.5*10</f>
        <v>250</v>
      </c>
      <c r="AB517" s="3"/>
      <c r="AC517" s="3" t="s">
        <v>82</v>
      </c>
      <c r="AD517" s="3" t="s">
        <v>83</v>
      </c>
      <c r="AE517" s="3">
        <v>15</v>
      </c>
      <c r="AF517" s="3" t="s">
        <v>151</v>
      </c>
      <c r="AG517" s="3" t="s">
        <v>306</v>
      </c>
      <c r="AH517" s="3"/>
    </row>
    <row r="518" spans="1:34" ht="14.25" customHeight="1" x14ac:dyDescent="0.25">
      <c r="A518" s="3" t="s">
        <v>133</v>
      </c>
      <c r="B518" s="3" t="s">
        <v>79</v>
      </c>
      <c r="C518" s="3"/>
      <c r="D518" s="3" t="s">
        <v>117</v>
      </c>
      <c r="E518" s="3">
        <v>1</v>
      </c>
      <c r="F518" s="3">
        <v>1</v>
      </c>
      <c r="G518" s="3" t="s">
        <v>3</v>
      </c>
      <c r="H518" s="11">
        <v>45808</v>
      </c>
      <c r="I518" s="3" t="s">
        <v>159</v>
      </c>
      <c r="J518" s="3">
        <f>3+8+5</f>
        <v>16</v>
      </c>
      <c r="K518" s="3">
        <f>10+8+4</f>
        <v>22</v>
      </c>
      <c r="L518" s="3">
        <f>10+6</f>
        <v>16</v>
      </c>
      <c r="M518" s="3">
        <f>10+12+7</f>
        <v>29</v>
      </c>
      <c r="N518" s="3">
        <v>0</v>
      </c>
      <c r="O518" s="3">
        <f t="shared" si="70"/>
        <v>83</v>
      </c>
      <c r="P518" s="3">
        <v>6</v>
      </c>
      <c r="Q518" s="3">
        <v>6</v>
      </c>
      <c r="R518" s="3">
        <v>7</v>
      </c>
      <c r="S518" s="3">
        <v>6</v>
      </c>
      <c r="T518" s="3">
        <v>3</v>
      </c>
      <c r="U518" s="3">
        <f t="shared" si="77"/>
        <v>28</v>
      </c>
      <c r="V518" s="13">
        <f t="shared" si="79"/>
        <v>2.9642857142857144</v>
      </c>
      <c r="W518" s="13">
        <f t="shared" si="96"/>
        <v>2.9642857142857144</v>
      </c>
      <c r="X518" s="3">
        <f t="shared" si="73"/>
        <v>28</v>
      </c>
      <c r="Y518" s="3">
        <f t="shared" si="97"/>
        <v>1.1857142857142858E-2</v>
      </c>
      <c r="Z518" s="3"/>
      <c r="AA518" s="3">
        <f t="shared" si="98"/>
        <v>250</v>
      </c>
      <c r="AB518" s="3"/>
      <c r="AC518" s="3" t="s">
        <v>82</v>
      </c>
      <c r="AD518" s="3" t="s">
        <v>83</v>
      </c>
      <c r="AE518" s="3">
        <v>15</v>
      </c>
      <c r="AF518" s="3" t="s">
        <v>151</v>
      </c>
      <c r="AG518" s="3" t="s">
        <v>306</v>
      </c>
      <c r="AH518" s="3"/>
    </row>
    <row r="519" spans="1:34" ht="14.25" customHeight="1" x14ac:dyDescent="0.25">
      <c r="A519" s="3" t="s">
        <v>133</v>
      </c>
      <c r="B519" s="3" t="s">
        <v>79</v>
      </c>
      <c r="C519" s="3"/>
      <c r="D519" s="3" t="s">
        <v>117</v>
      </c>
      <c r="E519" s="3">
        <v>1</v>
      </c>
      <c r="F519" s="3">
        <v>1</v>
      </c>
      <c r="G519" s="3" t="s">
        <v>2</v>
      </c>
      <c r="H519" s="11">
        <v>45808</v>
      </c>
      <c r="I519" s="3" t="s">
        <v>159</v>
      </c>
      <c r="J519" s="3">
        <f>7+5+4+10</f>
        <v>26</v>
      </c>
      <c r="K519" s="3">
        <f>6+8+7</f>
        <v>21</v>
      </c>
      <c r="L519" s="3">
        <f>6+5+7</f>
        <v>18</v>
      </c>
      <c r="M519" s="3">
        <f>5+3</f>
        <v>8</v>
      </c>
      <c r="N519" s="3">
        <v>4</v>
      </c>
      <c r="O519" s="3">
        <f t="shared" si="70"/>
        <v>77</v>
      </c>
      <c r="P519" s="3">
        <v>6</v>
      </c>
      <c r="Q519" s="3">
        <v>6</v>
      </c>
      <c r="R519" s="3">
        <v>7</v>
      </c>
      <c r="S519" s="3">
        <v>6</v>
      </c>
      <c r="T519" s="3">
        <v>3</v>
      </c>
      <c r="U519" s="3">
        <f t="shared" si="77"/>
        <v>28</v>
      </c>
      <c r="V519" s="13">
        <f t="shared" si="79"/>
        <v>2.75</v>
      </c>
      <c r="W519" s="13">
        <f t="shared" si="96"/>
        <v>2.75</v>
      </c>
      <c r="X519" s="3">
        <f t="shared" si="73"/>
        <v>28</v>
      </c>
      <c r="Y519" s="3">
        <f t="shared" si="97"/>
        <v>1.0999999999999999E-2</v>
      </c>
      <c r="Z519" s="3"/>
      <c r="AA519" s="3">
        <f t="shared" si="98"/>
        <v>250</v>
      </c>
      <c r="AB519" s="3"/>
      <c r="AC519" s="3" t="s">
        <v>82</v>
      </c>
      <c r="AD519" s="3" t="s">
        <v>83</v>
      </c>
      <c r="AE519" s="3">
        <v>15</v>
      </c>
      <c r="AF519" s="3" t="s">
        <v>151</v>
      </c>
      <c r="AG519" s="3" t="s">
        <v>306</v>
      </c>
      <c r="AH519" s="3"/>
    </row>
    <row r="520" spans="1:34" ht="14.25" customHeight="1" x14ac:dyDescent="0.25">
      <c r="A520" s="3" t="s">
        <v>133</v>
      </c>
      <c r="B520" s="3" t="s">
        <v>79</v>
      </c>
      <c r="C520" s="3"/>
      <c r="D520" s="3" t="s">
        <v>117</v>
      </c>
      <c r="E520" s="3">
        <v>1</v>
      </c>
      <c r="F520" s="3">
        <v>1</v>
      </c>
      <c r="G520" s="3" t="s">
        <v>16</v>
      </c>
      <c r="H520" s="11">
        <v>45808</v>
      </c>
      <c r="I520" s="3" t="s">
        <v>159</v>
      </c>
      <c r="J520" s="3">
        <v>0</v>
      </c>
      <c r="K520" s="3">
        <v>0</v>
      </c>
      <c r="L520" s="3">
        <v>0</v>
      </c>
      <c r="M520" s="3">
        <f>3+2</f>
        <v>5</v>
      </c>
      <c r="N520" s="3">
        <v>0</v>
      </c>
      <c r="O520" s="3">
        <f t="shared" si="70"/>
        <v>5</v>
      </c>
      <c r="P520" s="3">
        <v>6</v>
      </c>
      <c r="Q520" s="3">
        <v>6</v>
      </c>
      <c r="R520" s="3">
        <v>7</v>
      </c>
      <c r="S520" s="3">
        <v>6</v>
      </c>
      <c r="T520" s="3">
        <v>3</v>
      </c>
      <c r="U520" s="3">
        <f t="shared" si="77"/>
        <v>28</v>
      </c>
      <c r="V520" s="13">
        <f t="shared" si="79"/>
        <v>0.17857142857142858</v>
      </c>
      <c r="W520" s="13">
        <f t="shared" si="96"/>
        <v>0.17857142857142858</v>
      </c>
      <c r="X520" s="3">
        <f t="shared" si="73"/>
        <v>28</v>
      </c>
      <c r="Y520" s="3">
        <f t="shared" si="97"/>
        <v>7.1428571428571429E-4</v>
      </c>
      <c r="Z520" s="3"/>
      <c r="AA520" s="3">
        <f t="shared" si="98"/>
        <v>250</v>
      </c>
      <c r="AB520" s="3"/>
      <c r="AC520" s="3" t="s">
        <v>82</v>
      </c>
      <c r="AD520" s="3" t="s">
        <v>83</v>
      </c>
      <c r="AE520" s="3">
        <v>15</v>
      </c>
      <c r="AF520" s="3" t="s">
        <v>151</v>
      </c>
      <c r="AG520" s="3" t="s">
        <v>306</v>
      </c>
      <c r="AH520" s="3"/>
    </row>
    <row r="521" spans="1:34" ht="14.25" customHeight="1" x14ac:dyDescent="0.25">
      <c r="A521" s="3" t="s">
        <v>133</v>
      </c>
      <c r="B521" s="3" t="s">
        <v>79</v>
      </c>
      <c r="C521" s="3"/>
      <c r="D521" s="3" t="s">
        <v>117</v>
      </c>
      <c r="E521" s="3">
        <v>1</v>
      </c>
      <c r="F521" s="3">
        <v>1</v>
      </c>
      <c r="G521" s="3" t="s">
        <v>18</v>
      </c>
      <c r="H521" s="11">
        <v>45808</v>
      </c>
      <c r="I521" s="3" t="s">
        <v>159</v>
      </c>
      <c r="J521" s="3">
        <v>0</v>
      </c>
      <c r="K521" s="3">
        <v>0</v>
      </c>
      <c r="L521" s="3">
        <v>0</v>
      </c>
      <c r="M521" s="3">
        <f>2+3+4</f>
        <v>9</v>
      </c>
      <c r="N521" s="3">
        <v>0</v>
      </c>
      <c r="O521" s="3">
        <f t="shared" si="70"/>
        <v>9</v>
      </c>
      <c r="P521" s="3">
        <v>6</v>
      </c>
      <c r="Q521" s="3">
        <v>6</v>
      </c>
      <c r="R521" s="3">
        <v>7</v>
      </c>
      <c r="S521" s="3">
        <v>6</v>
      </c>
      <c r="T521" s="3">
        <v>3</v>
      </c>
      <c r="U521" s="3">
        <f t="shared" si="77"/>
        <v>28</v>
      </c>
      <c r="V521" s="13">
        <f t="shared" si="79"/>
        <v>0.32142857142857145</v>
      </c>
      <c r="W521" s="13">
        <f t="shared" si="96"/>
        <v>0.32142857142857145</v>
      </c>
      <c r="X521" s="3">
        <f t="shared" si="73"/>
        <v>28</v>
      </c>
      <c r="Y521" s="3">
        <f t="shared" si="97"/>
        <v>1.2857142857142859E-3</v>
      </c>
      <c r="Z521" s="3"/>
      <c r="AA521" s="3">
        <f t="shared" si="98"/>
        <v>250</v>
      </c>
      <c r="AB521" s="3"/>
      <c r="AC521" s="3" t="s">
        <v>82</v>
      </c>
      <c r="AD521" s="3" t="s">
        <v>83</v>
      </c>
      <c r="AE521" s="3">
        <v>15</v>
      </c>
      <c r="AF521" s="3" t="s">
        <v>151</v>
      </c>
      <c r="AG521" s="3" t="s">
        <v>306</v>
      </c>
      <c r="AH521" s="3"/>
    </row>
    <row r="522" spans="1:34" ht="14.25" customHeight="1" x14ac:dyDescent="0.25">
      <c r="A522" s="3" t="s">
        <v>133</v>
      </c>
      <c r="B522" s="3" t="s">
        <v>79</v>
      </c>
      <c r="C522" s="3"/>
      <c r="D522" s="3" t="s">
        <v>117</v>
      </c>
      <c r="E522" s="3">
        <v>1</v>
      </c>
      <c r="F522" s="3">
        <v>1</v>
      </c>
      <c r="G522" s="3" t="s">
        <v>22</v>
      </c>
      <c r="H522" s="11">
        <v>45808</v>
      </c>
      <c r="I522" s="3" t="s">
        <v>159</v>
      </c>
      <c r="J522" s="3">
        <f>5+3</f>
        <v>8</v>
      </c>
      <c r="K522" s="3">
        <v>4</v>
      </c>
      <c r="L522" s="3">
        <v>3</v>
      </c>
      <c r="M522" s="3">
        <f>3+7</f>
        <v>10</v>
      </c>
      <c r="N522" s="3">
        <v>4</v>
      </c>
      <c r="O522" s="3">
        <f t="shared" si="70"/>
        <v>29</v>
      </c>
      <c r="P522" s="3">
        <v>6</v>
      </c>
      <c r="Q522" s="3">
        <v>6</v>
      </c>
      <c r="R522" s="3">
        <v>7</v>
      </c>
      <c r="S522" s="3">
        <v>6</v>
      </c>
      <c r="T522" s="3">
        <v>3</v>
      </c>
      <c r="U522" s="3">
        <f t="shared" si="77"/>
        <v>28</v>
      </c>
      <c r="V522" s="13">
        <f t="shared" si="79"/>
        <v>1.0357142857142858</v>
      </c>
      <c r="W522" s="13">
        <f t="shared" si="96"/>
        <v>1.0357142857142858</v>
      </c>
      <c r="X522" s="3">
        <f t="shared" si="73"/>
        <v>28</v>
      </c>
      <c r="Y522" s="3">
        <f t="shared" si="97"/>
        <v>4.1428571428571434E-3</v>
      </c>
      <c r="Z522" s="3"/>
      <c r="AA522" s="3">
        <f t="shared" si="98"/>
        <v>250</v>
      </c>
      <c r="AB522" s="3"/>
      <c r="AC522" s="3" t="s">
        <v>82</v>
      </c>
      <c r="AD522" s="3" t="s">
        <v>83</v>
      </c>
      <c r="AE522" s="3">
        <v>15</v>
      </c>
      <c r="AF522" s="3" t="s">
        <v>151</v>
      </c>
      <c r="AG522" s="3" t="s">
        <v>306</v>
      </c>
      <c r="AH522" s="3"/>
    </row>
    <row r="523" spans="1:34" ht="14.25" customHeight="1" x14ac:dyDescent="0.25">
      <c r="A523" s="3" t="s">
        <v>129</v>
      </c>
      <c r="B523" s="3" t="s">
        <v>79</v>
      </c>
      <c r="C523" s="3"/>
      <c r="D523" s="3" t="s">
        <v>115</v>
      </c>
      <c r="E523" s="3">
        <v>2</v>
      </c>
      <c r="F523" s="3">
        <v>1</v>
      </c>
      <c r="G523" s="3" t="s">
        <v>1</v>
      </c>
      <c r="H523" s="11">
        <v>45808</v>
      </c>
      <c r="I523" s="3" t="s">
        <v>159</v>
      </c>
      <c r="J523" s="3">
        <f>8+10+2</f>
        <v>20</v>
      </c>
      <c r="K523" s="3">
        <f>10+12+8+6</f>
        <v>36</v>
      </c>
      <c r="L523" s="3">
        <f>4+7+5+10+8</f>
        <v>34</v>
      </c>
      <c r="M523" s="3">
        <f>5+7+8+9</f>
        <v>29</v>
      </c>
      <c r="N523" s="3">
        <f>13+4</f>
        <v>17</v>
      </c>
      <c r="O523" s="3">
        <f t="shared" si="70"/>
        <v>136</v>
      </c>
      <c r="P523" s="3">
        <v>6</v>
      </c>
      <c r="Q523" s="3">
        <v>4</v>
      </c>
      <c r="R523" s="3">
        <v>5</v>
      </c>
      <c r="S523" s="3">
        <v>4</v>
      </c>
      <c r="T523" s="3">
        <v>2</v>
      </c>
      <c r="U523" s="3">
        <f t="shared" si="77"/>
        <v>21</v>
      </c>
      <c r="V523" s="13">
        <f t="shared" si="79"/>
        <v>6.4761904761904763</v>
      </c>
      <c r="W523" s="13">
        <f t="shared" si="96"/>
        <v>6.4761904761904763</v>
      </c>
      <c r="X523" s="3">
        <f t="shared" si="73"/>
        <v>21</v>
      </c>
      <c r="Y523" s="3">
        <f t="shared" si="97"/>
        <v>2.5904761904761906E-2</v>
      </c>
      <c r="Z523" s="3"/>
      <c r="AA523" s="3">
        <f t="shared" si="98"/>
        <v>250</v>
      </c>
      <c r="AB523" s="3"/>
      <c r="AC523" s="3" t="s">
        <v>82</v>
      </c>
      <c r="AD523" s="3"/>
      <c r="AE523" s="3">
        <v>15</v>
      </c>
      <c r="AF523" s="3" t="s">
        <v>151</v>
      </c>
      <c r="AG523" s="3" t="s">
        <v>306</v>
      </c>
      <c r="AH523" s="3"/>
    </row>
    <row r="524" spans="1:34" ht="14.25" customHeight="1" x14ac:dyDescent="0.25">
      <c r="A524" s="3" t="s">
        <v>129</v>
      </c>
      <c r="B524" s="3" t="s">
        <v>79</v>
      </c>
      <c r="C524" s="3"/>
      <c r="D524" s="3" t="s">
        <v>115</v>
      </c>
      <c r="E524" s="3">
        <v>2</v>
      </c>
      <c r="F524" s="3">
        <v>1</v>
      </c>
      <c r="G524" s="3" t="s">
        <v>3</v>
      </c>
      <c r="H524" s="11">
        <v>45808</v>
      </c>
      <c r="I524" s="3" t="s">
        <v>159</v>
      </c>
      <c r="J524" s="3">
        <f>3+4</f>
        <v>7</v>
      </c>
      <c r="K524" s="3">
        <v>3</v>
      </c>
      <c r="L524" s="3">
        <f>8+6</f>
        <v>14</v>
      </c>
      <c r="M524" s="3">
        <f>4+5+8</f>
        <v>17</v>
      </c>
      <c r="N524" s="3">
        <v>0</v>
      </c>
      <c r="O524" s="3">
        <f t="shared" si="70"/>
        <v>41</v>
      </c>
      <c r="P524" s="3">
        <v>6</v>
      </c>
      <c r="Q524" s="3">
        <v>4</v>
      </c>
      <c r="R524" s="3">
        <v>5</v>
      </c>
      <c r="S524" s="3">
        <v>4</v>
      </c>
      <c r="T524" s="3">
        <v>2</v>
      </c>
      <c r="U524" s="3">
        <f t="shared" si="77"/>
        <v>21</v>
      </c>
      <c r="V524" s="13">
        <f t="shared" si="79"/>
        <v>1.9523809523809523</v>
      </c>
      <c r="W524" s="13">
        <f t="shared" si="96"/>
        <v>1.9523809523809523</v>
      </c>
      <c r="X524" s="3">
        <f t="shared" si="73"/>
        <v>21</v>
      </c>
      <c r="Y524" s="3">
        <f t="shared" si="97"/>
        <v>7.8095238095238096E-3</v>
      </c>
      <c r="Z524" s="3"/>
      <c r="AA524" s="3">
        <f t="shared" si="98"/>
        <v>250</v>
      </c>
      <c r="AB524" s="3"/>
      <c r="AC524" s="3" t="s">
        <v>82</v>
      </c>
      <c r="AD524" s="3"/>
      <c r="AE524" s="3">
        <v>15</v>
      </c>
      <c r="AF524" s="3" t="s">
        <v>151</v>
      </c>
      <c r="AG524" s="3" t="s">
        <v>306</v>
      </c>
      <c r="AH524" s="3"/>
    </row>
    <row r="525" spans="1:34" ht="14.25" customHeight="1" x14ac:dyDescent="0.25">
      <c r="A525" s="3" t="s">
        <v>129</v>
      </c>
      <c r="B525" s="3" t="s">
        <v>79</v>
      </c>
      <c r="C525" s="3"/>
      <c r="D525" s="3" t="s">
        <v>115</v>
      </c>
      <c r="E525" s="3">
        <v>2</v>
      </c>
      <c r="F525" s="3">
        <v>1</v>
      </c>
      <c r="G525" s="3" t="s">
        <v>2</v>
      </c>
      <c r="H525" s="11">
        <v>45808</v>
      </c>
      <c r="I525" s="3" t="s">
        <v>159</v>
      </c>
      <c r="J525" s="3">
        <f>4+3</f>
        <v>7</v>
      </c>
      <c r="K525" s="3">
        <v>0</v>
      </c>
      <c r="L525" s="3">
        <v>0</v>
      </c>
      <c r="M525" s="3">
        <v>4</v>
      </c>
      <c r="N525" s="3">
        <v>0</v>
      </c>
      <c r="O525" s="3">
        <f t="shared" si="70"/>
        <v>11</v>
      </c>
      <c r="P525" s="3">
        <v>6</v>
      </c>
      <c r="Q525" s="3">
        <v>4</v>
      </c>
      <c r="R525" s="3">
        <v>5</v>
      </c>
      <c r="S525" s="3">
        <v>4</v>
      </c>
      <c r="T525" s="3">
        <v>2</v>
      </c>
      <c r="U525" s="3">
        <f t="shared" si="77"/>
        <v>21</v>
      </c>
      <c r="V525" s="13">
        <f t="shared" si="79"/>
        <v>0.52380952380952384</v>
      </c>
      <c r="W525" s="13">
        <f t="shared" si="96"/>
        <v>0.52380952380952384</v>
      </c>
      <c r="X525" s="3">
        <f t="shared" si="73"/>
        <v>21</v>
      </c>
      <c r="Y525" s="3">
        <f t="shared" si="97"/>
        <v>2.0952380952380953E-3</v>
      </c>
      <c r="Z525" s="3"/>
      <c r="AA525" s="3">
        <f t="shared" si="98"/>
        <v>250</v>
      </c>
      <c r="AB525" s="3"/>
      <c r="AC525" s="3" t="s">
        <v>82</v>
      </c>
      <c r="AD525" s="3"/>
      <c r="AE525" s="3">
        <v>15</v>
      </c>
      <c r="AF525" s="3" t="s">
        <v>151</v>
      </c>
      <c r="AG525" s="3" t="s">
        <v>306</v>
      </c>
      <c r="AH525" s="3"/>
    </row>
    <row r="526" spans="1:34" ht="14.25" customHeight="1" x14ac:dyDescent="0.25">
      <c r="A526" s="3" t="s">
        <v>129</v>
      </c>
      <c r="B526" s="3" t="s">
        <v>79</v>
      </c>
      <c r="C526" s="3"/>
      <c r="D526" s="3" t="s">
        <v>115</v>
      </c>
      <c r="E526" s="3">
        <v>2</v>
      </c>
      <c r="F526" s="3">
        <v>1</v>
      </c>
      <c r="G526" s="3" t="s">
        <v>18</v>
      </c>
      <c r="H526" s="11">
        <v>45808</v>
      </c>
      <c r="I526" s="3" t="s">
        <v>159</v>
      </c>
      <c r="J526" s="3">
        <f>3+2</f>
        <v>5</v>
      </c>
      <c r="K526" s="3">
        <v>4</v>
      </c>
      <c r="L526" s="3">
        <v>3</v>
      </c>
      <c r="M526" s="3">
        <v>0</v>
      </c>
      <c r="N526" s="3">
        <v>0</v>
      </c>
      <c r="O526" s="3">
        <f t="shared" si="70"/>
        <v>12</v>
      </c>
      <c r="P526" s="3">
        <v>6</v>
      </c>
      <c r="Q526" s="3">
        <v>4</v>
      </c>
      <c r="R526" s="3">
        <v>5</v>
      </c>
      <c r="S526" s="3">
        <v>4</v>
      </c>
      <c r="T526" s="3">
        <v>2</v>
      </c>
      <c r="U526" s="3">
        <f t="shared" si="77"/>
        <v>21</v>
      </c>
      <c r="V526" s="13">
        <f t="shared" si="79"/>
        <v>0.5714285714285714</v>
      </c>
      <c r="W526" s="13">
        <f t="shared" si="96"/>
        <v>0.5714285714285714</v>
      </c>
      <c r="X526" s="3">
        <f t="shared" si="73"/>
        <v>21</v>
      </c>
      <c r="Y526" s="3">
        <f t="shared" si="97"/>
        <v>2.2857142857142855E-3</v>
      </c>
      <c r="Z526" s="3"/>
      <c r="AA526" s="3">
        <f t="shared" si="98"/>
        <v>250</v>
      </c>
      <c r="AB526" s="3"/>
      <c r="AC526" s="3" t="s">
        <v>82</v>
      </c>
      <c r="AD526" s="3"/>
      <c r="AE526" s="3">
        <v>15</v>
      </c>
      <c r="AF526" s="3" t="s">
        <v>151</v>
      </c>
      <c r="AG526" s="3" t="s">
        <v>306</v>
      </c>
      <c r="AH526" s="3"/>
    </row>
    <row r="527" spans="1:34" ht="14.25" customHeight="1" x14ac:dyDescent="0.25">
      <c r="A527" s="3" t="s">
        <v>129</v>
      </c>
      <c r="B527" s="3" t="s">
        <v>79</v>
      </c>
      <c r="C527" s="3"/>
      <c r="D527" s="3" t="s">
        <v>115</v>
      </c>
      <c r="E527" s="3">
        <v>2</v>
      </c>
      <c r="F527" s="3">
        <v>1</v>
      </c>
      <c r="G527" s="3" t="s">
        <v>22</v>
      </c>
      <c r="H527" s="11">
        <v>45808</v>
      </c>
      <c r="I527" s="3" t="s">
        <v>159</v>
      </c>
      <c r="J527" s="3">
        <f>4+3</f>
        <v>7</v>
      </c>
      <c r="K527" s="3">
        <v>0</v>
      </c>
      <c r="L527" s="3">
        <v>4</v>
      </c>
      <c r="M527" s="3">
        <v>0</v>
      </c>
      <c r="N527" s="3">
        <v>0</v>
      </c>
      <c r="O527" s="3">
        <f t="shared" si="70"/>
        <v>11</v>
      </c>
      <c r="P527" s="3">
        <v>6</v>
      </c>
      <c r="Q527" s="3">
        <v>4</v>
      </c>
      <c r="R527" s="3">
        <v>5</v>
      </c>
      <c r="S527" s="3">
        <v>4</v>
      </c>
      <c r="T527" s="3">
        <v>2</v>
      </c>
      <c r="U527" s="3">
        <f t="shared" si="77"/>
        <v>21</v>
      </c>
      <c r="V527" s="13">
        <f t="shared" si="79"/>
        <v>0.52380952380952384</v>
      </c>
      <c r="W527" s="13">
        <f t="shared" si="96"/>
        <v>0.52380952380952384</v>
      </c>
      <c r="X527" s="3">
        <f t="shared" si="73"/>
        <v>21</v>
      </c>
      <c r="Y527" s="3">
        <f t="shared" si="97"/>
        <v>2.0952380952380953E-3</v>
      </c>
      <c r="Z527" s="3"/>
      <c r="AA527" s="3">
        <f t="shared" si="98"/>
        <v>250</v>
      </c>
      <c r="AB527" s="3"/>
      <c r="AC527" s="3" t="s">
        <v>82</v>
      </c>
      <c r="AD527" s="3"/>
      <c r="AE527" s="3">
        <v>15</v>
      </c>
      <c r="AF527" s="3" t="s">
        <v>151</v>
      </c>
      <c r="AG527" s="3" t="s">
        <v>306</v>
      </c>
      <c r="AH527" s="3"/>
    </row>
    <row r="528" spans="1:34" ht="14.25" customHeight="1" x14ac:dyDescent="0.25">
      <c r="A528" s="3" t="s">
        <v>165</v>
      </c>
      <c r="B528" s="3" t="s">
        <v>79</v>
      </c>
      <c r="C528" s="3"/>
      <c r="D528" s="3" t="s">
        <v>117</v>
      </c>
      <c r="E528" s="3">
        <v>1</v>
      </c>
      <c r="F528" s="3">
        <v>1</v>
      </c>
      <c r="G528" s="3" t="s">
        <v>1</v>
      </c>
      <c r="H528" s="11">
        <v>45808</v>
      </c>
      <c r="I528" s="3" t="s">
        <v>159</v>
      </c>
      <c r="J528" s="3">
        <f>10+6+3+8+4</f>
        <v>31</v>
      </c>
      <c r="K528" s="3">
        <f>11+4+10+7+3</f>
        <v>35</v>
      </c>
      <c r="L528" s="3">
        <f>11+13+6+9+14+5</f>
        <v>58</v>
      </c>
      <c r="M528" s="3">
        <f>10+7+9+11+15+12+4</f>
        <v>68</v>
      </c>
      <c r="N528" s="3">
        <v>6</v>
      </c>
      <c r="O528" s="3">
        <f t="shared" si="70"/>
        <v>198</v>
      </c>
      <c r="P528" s="3">
        <v>5</v>
      </c>
      <c r="Q528" s="3">
        <v>6</v>
      </c>
      <c r="R528" s="3">
        <v>6</v>
      </c>
      <c r="S528" s="3">
        <v>7</v>
      </c>
      <c r="T528" s="3">
        <v>1</v>
      </c>
      <c r="U528" s="3">
        <f t="shared" si="77"/>
        <v>25</v>
      </c>
      <c r="V528" s="13">
        <f t="shared" si="79"/>
        <v>7.92</v>
      </c>
      <c r="W528" s="13">
        <f t="shared" si="96"/>
        <v>7.92</v>
      </c>
      <c r="X528" s="3">
        <f t="shared" si="73"/>
        <v>25</v>
      </c>
      <c r="Y528" s="3" t="e">
        <f t="shared" si="97"/>
        <v>#DIV/0!</v>
      </c>
      <c r="Z528" s="3"/>
      <c r="AA528" s="3"/>
      <c r="AB528" s="3"/>
      <c r="AC528" s="3" t="s">
        <v>82</v>
      </c>
      <c r="AD528" s="3" t="s">
        <v>83</v>
      </c>
      <c r="AE528" s="3">
        <v>15</v>
      </c>
      <c r="AF528" s="3" t="s">
        <v>151</v>
      </c>
      <c r="AG528" s="3" t="s">
        <v>166</v>
      </c>
      <c r="AH528" s="3"/>
    </row>
    <row r="529" spans="1:34" ht="14.25" customHeight="1" x14ac:dyDescent="0.25">
      <c r="A529" s="3" t="s">
        <v>165</v>
      </c>
      <c r="B529" s="3" t="s">
        <v>79</v>
      </c>
      <c r="C529" s="3"/>
      <c r="D529" s="3" t="s">
        <v>117</v>
      </c>
      <c r="E529" s="3">
        <v>1</v>
      </c>
      <c r="F529" s="3">
        <v>1</v>
      </c>
      <c r="G529" s="3" t="s">
        <v>2</v>
      </c>
      <c r="H529" s="11">
        <v>45808</v>
      </c>
      <c r="I529" s="3" t="s">
        <v>159</v>
      </c>
      <c r="J529" s="3">
        <v>6</v>
      </c>
      <c r="K529" s="3">
        <v>4</v>
      </c>
      <c r="L529" s="3">
        <v>0</v>
      </c>
      <c r="M529" s="3">
        <v>0</v>
      </c>
      <c r="N529" s="3">
        <v>0</v>
      </c>
      <c r="O529" s="3">
        <f t="shared" si="70"/>
        <v>10</v>
      </c>
      <c r="P529" s="3">
        <v>5</v>
      </c>
      <c r="Q529" s="3">
        <v>6</v>
      </c>
      <c r="R529" s="3">
        <v>6</v>
      </c>
      <c r="S529" s="3">
        <v>7</v>
      </c>
      <c r="T529" s="3">
        <v>1</v>
      </c>
      <c r="U529" s="3">
        <f t="shared" si="77"/>
        <v>25</v>
      </c>
      <c r="V529" s="13">
        <f t="shared" si="79"/>
        <v>0.4</v>
      </c>
      <c r="W529" s="13">
        <f t="shared" si="96"/>
        <v>0.4</v>
      </c>
      <c r="X529" s="3">
        <f t="shared" si="73"/>
        <v>25</v>
      </c>
      <c r="Y529" s="3" t="e">
        <f t="shared" si="97"/>
        <v>#DIV/0!</v>
      </c>
      <c r="Z529" s="3"/>
      <c r="AA529" s="3"/>
      <c r="AB529" s="3"/>
      <c r="AC529" s="3" t="s">
        <v>82</v>
      </c>
      <c r="AD529" s="3" t="s">
        <v>83</v>
      </c>
      <c r="AE529" s="3">
        <v>15</v>
      </c>
      <c r="AF529" s="3" t="s">
        <v>151</v>
      </c>
      <c r="AG529" s="3" t="s">
        <v>166</v>
      </c>
      <c r="AH529" s="3"/>
    </row>
    <row r="530" spans="1:34" ht="14.25" customHeight="1" x14ac:dyDescent="0.25">
      <c r="A530" s="3" t="s">
        <v>165</v>
      </c>
      <c r="B530" s="3" t="s">
        <v>79</v>
      </c>
      <c r="C530" s="3"/>
      <c r="D530" s="3" t="s">
        <v>117</v>
      </c>
      <c r="E530" s="3">
        <v>1</v>
      </c>
      <c r="F530" s="3">
        <v>1</v>
      </c>
      <c r="G530" s="3" t="s">
        <v>14</v>
      </c>
      <c r="H530" s="11">
        <v>45808</v>
      </c>
      <c r="I530" s="3" t="s">
        <v>159</v>
      </c>
      <c r="J530" s="3">
        <v>10</v>
      </c>
      <c r="K530" s="3">
        <f>3+3</f>
        <v>6</v>
      </c>
      <c r="L530" s="3">
        <f>5+4+6</f>
        <v>15</v>
      </c>
      <c r="M530" s="3">
        <f>2+4+3</f>
        <v>9</v>
      </c>
      <c r="N530" s="3">
        <v>0</v>
      </c>
      <c r="O530" s="3">
        <f t="shared" si="70"/>
        <v>40</v>
      </c>
      <c r="P530" s="3">
        <v>5</v>
      </c>
      <c r="Q530" s="3">
        <v>6</v>
      </c>
      <c r="R530" s="3">
        <v>6</v>
      </c>
      <c r="S530" s="3">
        <v>7</v>
      </c>
      <c r="T530" s="3">
        <v>1</v>
      </c>
      <c r="U530" s="3">
        <f t="shared" si="77"/>
        <v>25</v>
      </c>
      <c r="V530" s="13">
        <f t="shared" si="79"/>
        <v>1.6</v>
      </c>
      <c r="W530" s="13">
        <f t="shared" si="96"/>
        <v>1.6</v>
      </c>
      <c r="X530" s="3">
        <f t="shared" si="73"/>
        <v>25</v>
      </c>
      <c r="Y530" s="3" t="e">
        <f t="shared" si="97"/>
        <v>#DIV/0!</v>
      </c>
      <c r="Z530" s="3"/>
      <c r="AA530" s="3"/>
      <c r="AB530" s="3"/>
      <c r="AC530" s="3" t="s">
        <v>82</v>
      </c>
      <c r="AD530" s="3" t="s">
        <v>83</v>
      </c>
      <c r="AE530" s="3">
        <v>15</v>
      </c>
      <c r="AF530" s="3" t="s">
        <v>151</v>
      </c>
      <c r="AG530" s="3" t="s">
        <v>166</v>
      </c>
      <c r="AH530" s="3"/>
    </row>
    <row r="531" spans="1:34" ht="14.25" customHeight="1" x14ac:dyDescent="0.25">
      <c r="A531" s="3" t="s">
        <v>165</v>
      </c>
      <c r="B531" s="3" t="s">
        <v>79</v>
      </c>
      <c r="C531" s="3"/>
      <c r="D531" s="3" t="s">
        <v>117</v>
      </c>
      <c r="E531" s="3">
        <v>1</v>
      </c>
      <c r="F531" s="3">
        <v>1</v>
      </c>
      <c r="G531" s="3" t="s">
        <v>22</v>
      </c>
      <c r="H531" s="11">
        <v>45808</v>
      </c>
      <c r="I531" s="3" t="s">
        <v>159</v>
      </c>
      <c r="J531" s="3">
        <v>6</v>
      </c>
      <c r="K531" s="3">
        <v>0</v>
      </c>
      <c r="L531" s="3">
        <v>0</v>
      </c>
      <c r="M531" s="3">
        <v>0</v>
      </c>
      <c r="N531" s="3">
        <v>0</v>
      </c>
      <c r="O531" s="3">
        <f t="shared" si="70"/>
        <v>6</v>
      </c>
      <c r="P531" s="3">
        <v>5</v>
      </c>
      <c r="Q531" s="3">
        <v>6</v>
      </c>
      <c r="R531" s="3">
        <v>6</v>
      </c>
      <c r="S531" s="3">
        <v>7</v>
      </c>
      <c r="T531" s="3">
        <v>1</v>
      </c>
      <c r="U531" s="3">
        <f t="shared" si="77"/>
        <v>25</v>
      </c>
      <c r="V531" s="13">
        <f t="shared" si="79"/>
        <v>0.24</v>
      </c>
      <c r="W531" s="13">
        <f t="shared" si="96"/>
        <v>0.24</v>
      </c>
      <c r="X531" s="3">
        <f t="shared" si="73"/>
        <v>25</v>
      </c>
      <c r="Y531" s="3" t="e">
        <f t="shared" si="97"/>
        <v>#DIV/0!</v>
      </c>
      <c r="Z531" s="3"/>
      <c r="AA531" s="3"/>
      <c r="AB531" s="3"/>
      <c r="AC531" s="3" t="s">
        <v>82</v>
      </c>
      <c r="AD531" s="3" t="s">
        <v>83</v>
      </c>
      <c r="AE531" s="3">
        <v>15</v>
      </c>
      <c r="AF531" s="3" t="s">
        <v>151</v>
      </c>
      <c r="AG531" s="3" t="s">
        <v>166</v>
      </c>
      <c r="AH531" s="3"/>
    </row>
    <row r="532" spans="1:34" ht="14.25" customHeight="1" x14ac:dyDescent="0.25">
      <c r="A532" s="3" t="s">
        <v>165</v>
      </c>
      <c r="B532" s="3" t="s">
        <v>79</v>
      </c>
      <c r="C532" s="3"/>
      <c r="D532" s="3" t="s">
        <v>117</v>
      </c>
      <c r="E532" s="3">
        <v>1</v>
      </c>
      <c r="F532" s="3">
        <v>1</v>
      </c>
      <c r="G532" s="3" t="s">
        <v>15</v>
      </c>
      <c r="H532" s="11">
        <v>45808</v>
      </c>
      <c r="I532" s="3" t="s">
        <v>159</v>
      </c>
      <c r="J532" s="3">
        <v>18</v>
      </c>
      <c r="K532" s="3">
        <v>0</v>
      </c>
      <c r="L532" s="3">
        <v>0</v>
      </c>
      <c r="M532" s="3">
        <v>0</v>
      </c>
      <c r="N532" s="3">
        <v>0</v>
      </c>
      <c r="O532" s="3">
        <f t="shared" si="70"/>
        <v>18</v>
      </c>
      <c r="P532" s="3">
        <v>5</v>
      </c>
      <c r="Q532" s="3">
        <v>6</v>
      </c>
      <c r="R532" s="3">
        <v>6</v>
      </c>
      <c r="S532" s="3">
        <v>7</v>
      </c>
      <c r="T532" s="3">
        <v>1</v>
      </c>
      <c r="U532" s="3">
        <f t="shared" si="77"/>
        <v>25</v>
      </c>
      <c r="V532" s="13">
        <f t="shared" si="79"/>
        <v>0.72</v>
      </c>
      <c r="W532" s="13">
        <f t="shared" si="96"/>
        <v>0.72</v>
      </c>
      <c r="X532" s="3">
        <f t="shared" si="73"/>
        <v>25</v>
      </c>
      <c r="Y532" s="3" t="e">
        <f t="shared" si="97"/>
        <v>#DIV/0!</v>
      </c>
      <c r="Z532" s="3"/>
      <c r="AA532" s="3"/>
      <c r="AB532" s="3"/>
      <c r="AC532" s="3" t="s">
        <v>82</v>
      </c>
      <c r="AD532" s="3" t="s">
        <v>83</v>
      </c>
      <c r="AE532" s="3">
        <v>15</v>
      </c>
      <c r="AF532" s="3" t="s">
        <v>151</v>
      </c>
      <c r="AG532" s="3" t="s">
        <v>166</v>
      </c>
      <c r="AH532" s="3"/>
    </row>
    <row r="533" spans="1:34" ht="14.25" customHeight="1" x14ac:dyDescent="0.25">
      <c r="A533" s="3" t="s">
        <v>130</v>
      </c>
      <c r="B533" s="3" t="s">
        <v>79</v>
      </c>
      <c r="C533" s="3"/>
      <c r="D533" s="3" t="s">
        <v>121</v>
      </c>
      <c r="E533" s="3">
        <v>1</v>
      </c>
      <c r="F533" s="3">
        <v>1</v>
      </c>
      <c r="G533" s="3" t="s">
        <v>1</v>
      </c>
      <c r="H533" s="11">
        <v>45808</v>
      </c>
      <c r="I533" s="3" t="s">
        <v>159</v>
      </c>
      <c r="J533" s="3">
        <f>7+10+11+13+9+6+8</f>
        <v>64</v>
      </c>
      <c r="K533" s="3">
        <f>7+14+3+6+4+7</f>
        <v>41</v>
      </c>
      <c r="L533" s="3">
        <f>10+13+15+16+11</f>
        <v>65</v>
      </c>
      <c r="M533" s="3">
        <f>3+6+9+10+14+7+4</f>
        <v>53</v>
      </c>
      <c r="N533" s="3">
        <v>2</v>
      </c>
      <c r="O533" s="3">
        <f t="shared" si="70"/>
        <v>225</v>
      </c>
      <c r="P533" s="3">
        <v>7</v>
      </c>
      <c r="Q533" s="3">
        <v>6</v>
      </c>
      <c r="R533" s="3">
        <v>5</v>
      </c>
      <c r="S533" s="3">
        <v>7</v>
      </c>
      <c r="T533" s="3">
        <v>1</v>
      </c>
      <c r="U533" s="3">
        <f t="shared" si="77"/>
        <v>26</v>
      </c>
      <c r="V533" s="13">
        <f t="shared" si="79"/>
        <v>8.6538461538461533</v>
      </c>
      <c r="W533" s="13">
        <f t="shared" si="96"/>
        <v>8.6538461538461533</v>
      </c>
      <c r="X533" s="3">
        <f t="shared" si="73"/>
        <v>26</v>
      </c>
      <c r="Y533" s="3" t="e">
        <f t="shared" si="97"/>
        <v>#DIV/0!</v>
      </c>
      <c r="Z533" s="3"/>
      <c r="AA533" s="3"/>
      <c r="AB533" s="3"/>
      <c r="AC533" s="3" t="s">
        <v>82</v>
      </c>
      <c r="AD533" s="3" t="s">
        <v>83</v>
      </c>
      <c r="AE533" s="3">
        <v>15</v>
      </c>
      <c r="AF533" s="3" t="s">
        <v>151</v>
      </c>
      <c r="AG533" s="3" t="s">
        <v>166</v>
      </c>
      <c r="AH533" s="3"/>
    </row>
    <row r="534" spans="1:34" ht="14.25" customHeight="1" x14ac:dyDescent="0.25">
      <c r="A534" s="3" t="s">
        <v>130</v>
      </c>
      <c r="B534" s="3" t="s">
        <v>79</v>
      </c>
      <c r="C534" s="3"/>
      <c r="D534" s="3" t="s">
        <v>121</v>
      </c>
      <c r="E534" s="3">
        <v>1</v>
      </c>
      <c r="F534" s="3">
        <v>1</v>
      </c>
      <c r="G534" s="3" t="s">
        <v>14</v>
      </c>
      <c r="H534" s="11">
        <v>45808</v>
      </c>
      <c r="I534" s="3" t="s">
        <v>159</v>
      </c>
      <c r="J534" s="3">
        <f>4+2+6</f>
        <v>12</v>
      </c>
      <c r="K534" s="3">
        <f>2+6</f>
        <v>8</v>
      </c>
      <c r="L534" s="3">
        <v>4</v>
      </c>
      <c r="M534" s="3">
        <f>5+6</f>
        <v>11</v>
      </c>
      <c r="N534" s="3">
        <v>7</v>
      </c>
      <c r="O534" s="3">
        <f t="shared" si="70"/>
        <v>42</v>
      </c>
      <c r="P534" s="3">
        <v>7</v>
      </c>
      <c r="Q534" s="3">
        <v>6</v>
      </c>
      <c r="R534" s="3">
        <v>5</v>
      </c>
      <c r="S534" s="3">
        <v>7</v>
      </c>
      <c r="T534" s="3">
        <v>1</v>
      </c>
      <c r="U534" s="3">
        <f t="shared" si="77"/>
        <v>26</v>
      </c>
      <c r="V534" s="13">
        <f t="shared" si="79"/>
        <v>1.6153846153846154</v>
      </c>
      <c r="W534" s="13">
        <f t="shared" si="96"/>
        <v>1.6153846153846154</v>
      </c>
      <c r="X534" s="3">
        <f t="shared" si="73"/>
        <v>26</v>
      </c>
      <c r="Y534" s="3" t="e">
        <f t="shared" si="97"/>
        <v>#DIV/0!</v>
      </c>
      <c r="Z534" s="3"/>
      <c r="AA534" s="3"/>
      <c r="AB534" s="3"/>
      <c r="AC534" s="3" t="s">
        <v>82</v>
      </c>
      <c r="AD534" s="3" t="s">
        <v>83</v>
      </c>
      <c r="AE534" s="3">
        <v>15</v>
      </c>
      <c r="AF534" s="3" t="s">
        <v>151</v>
      </c>
      <c r="AG534" s="3" t="s">
        <v>166</v>
      </c>
      <c r="AH534" s="3"/>
    </row>
    <row r="535" spans="1:34" ht="14.25" customHeight="1" x14ac:dyDescent="0.25">
      <c r="A535" s="3" t="s">
        <v>130</v>
      </c>
      <c r="B535" s="3" t="s">
        <v>79</v>
      </c>
      <c r="C535" s="3"/>
      <c r="D535" s="3" t="s">
        <v>121</v>
      </c>
      <c r="E535" s="3">
        <v>1</v>
      </c>
      <c r="F535" s="3">
        <v>1</v>
      </c>
      <c r="G535" s="3" t="s">
        <v>22</v>
      </c>
      <c r="H535" s="11">
        <v>45808</v>
      </c>
      <c r="I535" s="3" t="s">
        <v>159</v>
      </c>
      <c r="J535" s="3">
        <f>4+6</f>
        <v>10</v>
      </c>
      <c r="K535" s="3">
        <v>0</v>
      </c>
      <c r="L535" s="3">
        <v>0</v>
      </c>
      <c r="M535" s="3">
        <f>5+4</f>
        <v>9</v>
      </c>
      <c r="N535" s="3">
        <v>0</v>
      </c>
      <c r="O535" s="3">
        <f t="shared" si="70"/>
        <v>19</v>
      </c>
      <c r="P535" s="3">
        <v>7</v>
      </c>
      <c r="Q535" s="3">
        <v>6</v>
      </c>
      <c r="R535" s="3">
        <v>5</v>
      </c>
      <c r="S535" s="3">
        <v>7</v>
      </c>
      <c r="T535" s="3">
        <v>1</v>
      </c>
      <c r="U535" s="3">
        <f t="shared" si="77"/>
        <v>26</v>
      </c>
      <c r="V535" s="13">
        <f t="shared" si="79"/>
        <v>0.73076923076923073</v>
      </c>
      <c r="W535" s="13">
        <f t="shared" si="96"/>
        <v>0.73076923076923073</v>
      </c>
      <c r="X535" s="3">
        <f t="shared" si="73"/>
        <v>26</v>
      </c>
      <c r="Y535" s="3" t="e">
        <f t="shared" si="97"/>
        <v>#DIV/0!</v>
      </c>
      <c r="Z535" s="3"/>
      <c r="AA535" s="3"/>
      <c r="AB535" s="3"/>
      <c r="AC535" s="3" t="s">
        <v>82</v>
      </c>
      <c r="AD535" s="3" t="s">
        <v>83</v>
      </c>
      <c r="AE535" s="3">
        <v>15</v>
      </c>
      <c r="AF535" s="3" t="s">
        <v>151</v>
      </c>
      <c r="AG535" s="3" t="s">
        <v>166</v>
      </c>
      <c r="AH535" s="3"/>
    </row>
    <row r="536" spans="1:34" ht="14.25" customHeight="1" x14ac:dyDescent="0.25">
      <c r="A536" s="3" t="s">
        <v>124</v>
      </c>
      <c r="B536" s="3" t="s">
        <v>79</v>
      </c>
      <c r="C536" s="3"/>
      <c r="D536" s="3" t="s">
        <v>121</v>
      </c>
      <c r="E536" s="3">
        <v>1</v>
      </c>
      <c r="F536" s="3">
        <v>1</v>
      </c>
      <c r="G536" s="3" t="s">
        <v>1</v>
      </c>
      <c r="H536" s="11">
        <v>45808</v>
      </c>
      <c r="I536" s="3" t="s">
        <v>159</v>
      </c>
      <c r="J536" s="3">
        <f>5+3+9+11+4+7+2</f>
        <v>41</v>
      </c>
      <c r="K536" s="3">
        <f>6+10+3+5+7+9</f>
        <v>40</v>
      </c>
      <c r="L536" s="3">
        <f>4+11+13+6+3+6</f>
        <v>43</v>
      </c>
      <c r="M536" s="3">
        <f>4+7+10+8+11+3+5</f>
        <v>48</v>
      </c>
      <c r="N536" s="3">
        <f>12+6</f>
        <v>18</v>
      </c>
      <c r="O536" s="3">
        <f t="shared" si="70"/>
        <v>190</v>
      </c>
      <c r="P536" s="3">
        <v>7</v>
      </c>
      <c r="Q536" s="3">
        <v>6</v>
      </c>
      <c r="R536" s="3">
        <v>6</v>
      </c>
      <c r="S536" s="3">
        <v>7</v>
      </c>
      <c r="T536" s="3">
        <v>2</v>
      </c>
      <c r="U536" s="3">
        <f t="shared" si="77"/>
        <v>28</v>
      </c>
      <c r="V536" s="13">
        <f t="shared" si="79"/>
        <v>6.7857142857142856</v>
      </c>
      <c r="W536" s="13">
        <f t="shared" si="96"/>
        <v>6.7857142857142856</v>
      </c>
      <c r="X536" s="3">
        <f t="shared" si="73"/>
        <v>28</v>
      </c>
      <c r="Y536" s="3" t="e">
        <f t="shared" si="97"/>
        <v>#DIV/0!</v>
      </c>
      <c r="Z536" s="3"/>
      <c r="AA536" s="3"/>
      <c r="AB536" s="3"/>
      <c r="AC536" s="3" t="s">
        <v>82</v>
      </c>
      <c r="AD536" s="3" t="s">
        <v>83</v>
      </c>
      <c r="AE536" s="3">
        <v>15</v>
      </c>
      <c r="AF536" s="3" t="s">
        <v>151</v>
      </c>
      <c r="AG536" s="3" t="s">
        <v>166</v>
      </c>
      <c r="AH536" s="3"/>
    </row>
    <row r="537" spans="1:34" ht="14.25" customHeight="1" x14ac:dyDescent="0.25">
      <c r="A537" s="3" t="s">
        <v>124</v>
      </c>
      <c r="B537" s="3" t="s">
        <v>79</v>
      </c>
      <c r="C537" s="3"/>
      <c r="D537" s="3" t="s">
        <v>121</v>
      </c>
      <c r="E537" s="3">
        <v>1</v>
      </c>
      <c r="F537" s="3">
        <v>1</v>
      </c>
      <c r="G537" s="3" t="s">
        <v>14</v>
      </c>
      <c r="H537" s="11">
        <v>45808</v>
      </c>
      <c r="I537" s="3" t="s">
        <v>159</v>
      </c>
      <c r="J537" s="3">
        <f>3+7+2</f>
        <v>12</v>
      </c>
      <c r="K537" s="3">
        <f>2+6</f>
        <v>8</v>
      </c>
      <c r="L537" s="3">
        <f>4+6</f>
        <v>10</v>
      </c>
      <c r="M537" s="3">
        <f>5+3</f>
        <v>8</v>
      </c>
      <c r="N537" s="3">
        <v>0</v>
      </c>
      <c r="O537" s="3">
        <f t="shared" si="70"/>
        <v>38</v>
      </c>
      <c r="P537" s="3">
        <v>7</v>
      </c>
      <c r="Q537" s="3">
        <v>6</v>
      </c>
      <c r="R537" s="3">
        <v>6</v>
      </c>
      <c r="S537" s="3">
        <v>7</v>
      </c>
      <c r="T537" s="3">
        <v>2</v>
      </c>
      <c r="U537" s="3">
        <f t="shared" si="77"/>
        <v>28</v>
      </c>
      <c r="V537" s="13">
        <f t="shared" si="79"/>
        <v>1.3571428571428572</v>
      </c>
      <c r="W537" s="13">
        <f t="shared" si="96"/>
        <v>1.3571428571428572</v>
      </c>
      <c r="X537" s="3">
        <f t="shared" si="73"/>
        <v>28</v>
      </c>
      <c r="Y537" s="3" t="e">
        <f t="shared" si="97"/>
        <v>#DIV/0!</v>
      </c>
      <c r="Z537" s="3"/>
      <c r="AA537" s="3"/>
      <c r="AB537" s="3"/>
      <c r="AC537" s="3" t="s">
        <v>82</v>
      </c>
      <c r="AD537" s="3" t="s">
        <v>83</v>
      </c>
      <c r="AE537" s="3">
        <v>15</v>
      </c>
      <c r="AF537" s="3" t="s">
        <v>151</v>
      </c>
      <c r="AG537" s="3" t="s">
        <v>166</v>
      </c>
      <c r="AH537" s="3"/>
    </row>
    <row r="538" spans="1:34" ht="14.25" customHeight="1" x14ac:dyDescent="0.25">
      <c r="A538" s="3" t="s">
        <v>132</v>
      </c>
      <c r="B538" s="3" t="s">
        <v>79</v>
      </c>
      <c r="C538" s="3"/>
      <c r="D538" s="3" t="s">
        <v>117</v>
      </c>
      <c r="E538" s="3">
        <v>1</v>
      </c>
      <c r="F538" s="3">
        <v>1</v>
      </c>
      <c r="G538" s="3" t="s">
        <v>1</v>
      </c>
      <c r="H538" s="11">
        <v>45808</v>
      </c>
      <c r="I538" s="3" t="s">
        <v>159</v>
      </c>
      <c r="J538" s="3">
        <f>10+6+5+15</f>
        <v>36</v>
      </c>
      <c r="K538" s="3">
        <f>20+17+9+7+9+15</f>
        <v>77</v>
      </c>
      <c r="L538" s="3">
        <f>20+25+10+9+10+5+20</f>
        <v>99</v>
      </c>
      <c r="M538" s="3">
        <f>30+17+18+14+19+9+10</f>
        <v>117</v>
      </c>
      <c r="N538" s="3">
        <f>20+14+19</f>
        <v>53</v>
      </c>
      <c r="O538" s="3">
        <f t="shared" si="70"/>
        <v>382</v>
      </c>
      <c r="P538" s="3">
        <v>5</v>
      </c>
      <c r="Q538" s="3">
        <v>6</v>
      </c>
      <c r="R538" s="3">
        <v>7</v>
      </c>
      <c r="S538" s="3">
        <v>7</v>
      </c>
      <c r="T538" s="3">
        <v>3</v>
      </c>
      <c r="U538" s="3">
        <f t="shared" si="77"/>
        <v>28</v>
      </c>
      <c r="V538" s="13">
        <f t="shared" si="79"/>
        <v>13.642857142857142</v>
      </c>
      <c r="W538" s="13">
        <f t="shared" si="96"/>
        <v>13.642857142857142</v>
      </c>
      <c r="X538" s="3">
        <f t="shared" si="73"/>
        <v>28</v>
      </c>
      <c r="Y538" s="3" t="e">
        <f t="shared" si="97"/>
        <v>#DIV/0!</v>
      </c>
      <c r="Z538" s="3"/>
      <c r="AA538" s="3"/>
      <c r="AB538" s="3">
        <v>108</v>
      </c>
      <c r="AC538" s="3" t="s">
        <v>82</v>
      </c>
      <c r="AD538" s="3" t="s">
        <v>83</v>
      </c>
      <c r="AE538" s="3">
        <v>15</v>
      </c>
      <c r="AF538" s="3" t="s">
        <v>151</v>
      </c>
      <c r="AG538" s="3" t="s">
        <v>241</v>
      </c>
      <c r="AH538" s="3"/>
    </row>
    <row r="539" spans="1:34" ht="14.25" customHeight="1" x14ac:dyDescent="0.25">
      <c r="A539" s="3" t="s">
        <v>132</v>
      </c>
      <c r="B539" s="3" t="s">
        <v>79</v>
      </c>
      <c r="C539" s="3"/>
      <c r="D539" s="3" t="s">
        <v>117</v>
      </c>
      <c r="E539" s="3">
        <v>1</v>
      </c>
      <c r="F539" s="3">
        <v>1</v>
      </c>
      <c r="G539" s="3" t="s">
        <v>3</v>
      </c>
      <c r="H539" s="11">
        <v>45808</v>
      </c>
      <c r="I539" s="3" t="s">
        <v>159</v>
      </c>
      <c r="J539" s="3">
        <v>4</v>
      </c>
      <c r="K539" s="3">
        <v>7</v>
      </c>
      <c r="L539" s="3">
        <f>4+6</f>
        <v>10</v>
      </c>
      <c r="M539" s="3">
        <v>0</v>
      </c>
      <c r="N539" s="3">
        <v>0</v>
      </c>
      <c r="O539" s="3">
        <f t="shared" si="70"/>
        <v>21</v>
      </c>
      <c r="P539" s="3">
        <v>5</v>
      </c>
      <c r="Q539" s="3">
        <v>6</v>
      </c>
      <c r="R539" s="3">
        <v>7</v>
      </c>
      <c r="S539" s="3">
        <v>7</v>
      </c>
      <c r="T539" s="3">
        <v>3</v>
      </c>
      <c r="U539" s="3">
        <f t="shared" si="77"/>
        <v>28</v>
      </c>
      <c r="V539" s="13">
        <f t="shared" si="79"/>
        <v>0.75</v>
      </c>
      <c r="W539" s="13">
        <f t="shared" si="96"/>
        <v>0.75</v>
      </c>
      <c r="X539" s="3">
        <f t="shared" si="73"/>
        <v>28</v>
      </c>
      <c r="Y539" s="3" t="e">
        <f t="shared" si="97"/>
        <v>#DIV/0!</v>
      </c>
      <c r="Z539" s="3"/>
      <c r="AA539" s="3"/>
      <c r="AB539" s="3">
        <v>108</v>
      </c>
      <c r="AC539" s="3" t="s">
        <v>82</v>
      </c>
      <c r="AD539" s="3" t="s">
        <v>83</v>
      </c>
      <c r="AE539" s="3">
        <v>15</v>
      </c>
      <c r="AF539" s="3" t="s">
        <v>151</v>
      </c>
      <c r="AG539" s="3" t="s">
        <v>241</v>
      </c>
      <c r="AH539" s="3"/>
    </row>
    <row r="540" spans="1:34" ht="14.25" customHeight="1" x14ac:dyDescent="0.25">
      <c r="A540" s="3" t="s">
        <v>132</v>
      </c>
      <c r="B540" s="3" t="s">
        <v>79</v>
      </c>
      <c r="C540" s="3"/>
      <c r="D540" s="3" t="s">
        <v>117</v>
      </c>
      <c r="E540" s="3">
        <v>1</v>
      </c>
      <c r="F540" s="3">
        <v>1</v>
      </c>
      <c r="G540" s="3" t="s">
        <v>19</v>
      </c>
      <c r="H540" s="11">
        <v>45808</v>
      </c>
      <c r="I540" s="3" t="s">
        <v>159</v>
      </c>
      <c r="J540" s="3">
        <f>3+5</f>
        <v>8</v>
      </c>
      <c r="K540" s="3">
        <f>6+7</f>
        <v>13</v>
      </c>
      <c r="L540" s="3">
        <f>4+2+9</f>
        <v>15</v>
      </c>
      <c r="M540" s="3">
        <v>0</v>
      </c>
      <c r="N540" s="3">
        <v>0</v>
      </c>
      <c r="O540" s="3">
        <f t="shared" si="70"/>
        <v>36</v>
      </c>
      <c r="P540" s="3">
        <v>5</v>
      </c>
      <c r="Q540" s="3">
        <v>6</v>
      </c>
      <c r="R540" s="3">
        <v>7</v>
      </c>
      <c r="S540" s="3">
        <v>7</v>
      </c>
      <c r="T540" s="3">
        <v>3</v>
      </c>
      <c r="U540" s="3">
        <f t="shared" si="77"/>
        <v>28</v>
      </c>
      <c r="V540" s="13">
        <f t="shared" si="79"/>
        <v>1.2857142857142858</v>
      </c>
      <c r="W540" s="13">
        <f t="shared" si="96"/>
        <v>1.2857142857142858</v>
      </c>
      <c r="X540" s="3">
        <f t="shared" si="73"/>
        <v>28</v>
      </c>
      <c r="Y540" s="3" t="e">
        <f t="shared" si="97"/>
        <v>#DIV/0!</v>
      </c>
      <c r="Z540" s="3"/>
      <c r="AA540" s="3"/>
      <c r="AB540" s="3">
        <v>108</v>
      </c>
      <c r="AC540" s="3" t="s">
        <v>82</v>
      </c>
      <c r="AD540" s="3" t="s">
        <v>83</v>
      </c>
      <c r="AE540" s="3">
        <v>15</v>
      </c>
      <c r="AF540" s="3" t="s">
        <v>151</v>
      </c>
      <c r="AG540" s="3" t="s">
        <v>241</v>
      </c>
      <c r="AH540" s="3"/>
    </row>
    <row r="541" spans="1:34" ht="14.25" customHeight="1" x14ac:dyDescent="0.25">
      <c r="A541" s="3" t="s">
        <v>132</v>
      </c>
      <c r="B541" s="3" t="s">
        <v>79</v>
      </c>
      <c r="C541" s="3"/>
      <c r="D541" s="3" t="s">
        <v>117</v>
      </c>
      <c r="E541" s="3">
        <v>1</v>
      </c>
      <c r="F541" s="3">
        <v>1</v>
      </c>
      <c r="G541" s="3" t="s">
        <v>22</v>
      </c>
      <c r="H541" s="11">
        <v>45808</v>
      </c>
      <c r="I541" s="3" t="s">
        <v>159</v>
      </c>
      <c r="J541" s="3">
        <f>6+7</f>
        <v>13</v>
      </c>
      <c r="K541" s="3">
        <v>0</v>
      </c>
      <c r="L541" s="3">
        <v>0</v>
      </c>
      <c r="M541" s="3">
        <v>0</v>
      </c>
      <c r="N541" s="3">
        <v>0</v>
      </c>
      <c r="O541" s="3">
        <f t="shared" si="70"/>
        <v>13</v>
      </c>
      <c r="P541" s="3">
        <v>5</v>
      </c>
      <c r="Q541" s="3">
        <v>6</v>
      </c>
      <c r="R541" s="3">
        <v>7</v>
      </c>
      <c r="S541" s="3">
        <v>7</v>
      </c>
      <c r="T541" s="3">
        <v>3</v>
      </c>
      <c r="U541" s="3">
        <f t="shared" si="77"/>
        <v>28</v>
      </c>
      <c r="V541" s="13">
        <f t="shared" si="79"/>
        <v>0.4642857142857143</v>
      </c>
      <c r="W541" s="13">
        <f t="shared" si="96"/>
        <v>0.4642857142857143</v>
      </c>
      <c r="X541" s="3">
        <f t="shared" si="73"/>
        <v>28</v>
      </c>
      <c r="Y541" s="3" t="e">
        <f t="shared" si="97"/>
        <v>#DIV/0!</v>
      </c>
      <c r="Z541" s="3"/>
      <c r="AA541" s="3"/>
      <c r="AB541" s="3">
        <v>108</v>
      </c>
      <c r="AC541" s="3" t="s">
        <v>82</v>
      </c>
      <c r="AD541" s="3" t="s">
        <v>83</v>
      </c>
      <c r="AE541" s="3">
        <v>15</v>
      </c>
      <c r="AF541" s="3" t="s">
        <v>151</v>
      </c>
      <c r="AG541" s="3" t="s">
        <v>241</v>
      </c>
      <c r="AH541" s="3"/>
    </row>
    <row r="542" spans="1:34" ht="14.25" customHeight="1" x14ac:dyDescent="0.25">
      <c r="A542" s="3" t="s">
        <v>127</v>
      </c>
      <c r="B542" s="3" t="s">
        <v>79</v>
      </c>
      <c r="C542" s="3"/>
      <c r="D542" s="3" t="s">
        <v>117</v>
      </c>
      <c r="E542" s="3">
        <v>1</v>
      </c>
      <c r="F542" s="3">
        <v>1</v>
      </c>
      <c r="G542" s="3" t="s">
        <v>16</v>
      </c>
      <c r="H542" s="11">
        <v>45808</v>
      </c>
      <c r="I542" s="3" t="s">
        <v>159</v>
      </c>
      <c r="J542" s="3">
        <f>4+5</f>
        <v>9</v>
      </c>
      <c r="K542" s="3">
        <f>4+3</f>
        <v>7</v>
      </c>
      <c r="L542" s="3">
        <v>6</v>
      </c>
      <c r="M542" s="3">
        <v>0</v>
      </c>
      <c r="N542" s="3">
        <v>0</v>
      </c>
      <c r="O542" s="3">
        <f t="shared" si="70"/>
        <v>22</v>
      </c>
      <c r="P542" s="3">
        <v>3</v>
      </c>
      <c r="Q542" s="3">
        <v>3</v>
      </c>
      <c r="R542" s="3">
        <v>4</v>
      </c>
      <c r="S542" s="3">
        <v>6</v>
      </c>
      <c r="T542" s="3">
        <v>3</v>
      </c>
      <c r="U542" s="3">
        <f t="shared" si="77"/>
        <v>19</v>
      </c>
      <c r="V542" s="13">
        <f t="shared" si="79"/>
        <v>1.1578947368421053</v>
      </c>
      <c r="W542" s="13">
        <f t="shared" si="96"/>
        <v>1.1578947368421053</v>
      </c>
      <c r="X542" s="3">
        <f t="shared" si="73"/>
        <v>19</v>
      </c>
      <c r="Y542" s="3" t="e">
        <f t="shared" si="97"/>
        <v>#DIV/0!</v>
      </c>
      <c r="Z542" s="3"/>
      <c r="AA542" s="3"/>
      <c r="AB542" s="3"/>
      <c r="AC542" s="3" t="s">
        <v>82</v>
      </c>
      <c r="AD542" s="3" t="s">
        <v>83</v>
      </c>
      <c r="AE542" s="3">
        <v>15</v>
      </c>
      <c r="AF542" s="3" t="s">
        <v>151</v>
      </c>
      <c r="AG542" s="3" t="s">
        <v>197</v>
      </c>
      <c r="AH542" s="3"/>
    </row>
    <row r="543" spans="1:34" ht="14.25" customHeight="1" x14ac:dyDescent="0.25">
      <c r="A543" s="3" t="s">
        <v>127</v>
      </c>
      <c r="B543" s="3" t="s">
        <v>79</v>
      </c>
      <c r="C543" s="3"/>
      <c r="D543" s="3" t="s">
        <v>117</v>
      </c>
      <c r="E543" s="3">
        <v>1</v>
      </c>
      <c r="F543" s="3">
        <v>1</v>
      </c>
      <c r="G543" s="3" t="s">
        <v>18</v>
      </c>
      <c r="H543" s="11">
        <v>45808</v>
      </c>
      <c r="I543" s="3" t="s">
        <v>159</v>
      </c>
      <c r="J543" s="3">
        <v>2</v>
      </c>
      <c r="K543" s="3">
        <f>4+6</f>
        <v>10</v>
      </c>
      <c r="L543" s="3">
        <f>2+4+7+10</f>
        <v>23</v>
      </c>
      <c r="M543" s="3">
        <f>7+4+2+7+9+9</f>
        <v>38</v>
      </c>
      <c r="N543" s="3">
        <f>5+7+1</f>
        <v>13</v>
      </c>
      <c r="O543" s="3">
        <f t="shared" si="70"/>
        <v>86</v>
      </c>
      <c r="P543" s="3">
        <v>3</v>
      </c>
      <c r="Q543" s="3">
        <v>3</v>
      </c>
      <c r="R543" s="3">
        <v>4</v>
      </c>
      <c r="S543" s="3">
        <v>6</v>
      </c>
      <c r="T543" s="3">
        <v>3</v>
      </c>
      <c r="U543" s="3">
        <f t="shared" si="77"/>
        <v>19</v>
      </c>
      <c r="V543" s="13">
        <f t="shared" si="79"/>
        <v>4.5263157894736841</v>
      </c>
      <c r="W543" s="13">
        <f t="shared" si="96"/>
        <v>4.5263157894736841</v>
      </c>
      <c r="X543" s="3">
        <f t="shared" si="73"/>
        <v>19</v>
      </c>
      <c r="Y543" s="3" t="e">
        <f t="shared" si="97"/>
        <v>#DIV/0!</v>
      </c>
      <c r="Z543" s="3"/>
      <c r="AA543" s="3"/>
      <c r="AB543" s="3"/>
      <c r="AC543" s="3" t="s">
        <v>82</v>
      </c>
      <c r="AD543" s="3" t="s">
        <v>83</v>
      </c>
      <c r="AE543" s="3">
        <v>15</v>
      </c>
      <c r="AF543" s="3" t="s">
        <v>151</v>
      </c>
      <c r="AG543" s="3" t="s">
        <v>197</v>
      </c>
      <c r="AH543" s="3"/>
    </row>
    <row r="544" spans="1:34" ht="14.25" customHeight="1" x14ac:dyDescent="0.25">
      <c r="A544" s="3" t="s">
        <v>118</v>
      </c>
      <c r="B544" s="3" t="s">
        <v>79</v>
      </c>
      <c r="C544" s="19"/>
      <c r="D544" s="3" t="s">
        <v>117</v>
      </c>
      <c r="E544" s="3">
        <v>1</v>
      </c>
      <c r="F544" s="3">
        <v>1</v>
      </c>
      <c r="G544" s="3" t="s">
        <v>1</v>
      </c>
      <c r="H544" s="11">
        <v>45808</v>
      </c>
      <c r="I544" s="3" t="s">
        <v>159</v>
      </c>
      <c r="J544" s="3">
        <v>10</v>
      </c>
      <c r="K544" s="3">
        <v>28</v>
      </c>
      <c r="L544" s="3">
        <v>35</v>
      </c>
      <c r="M544" s="3">
        <f>12+8+10</f>
        <v>30</v>
      </c>
      <c r="N544" s="3">
        <f>16+21+33</f>
        <v>70</v>
      </c>
      <c r="O544" s="3">
        <f t="shared" si="70"/>
        <v>173</v>
      </c>
      <c r="P544" s="3">
        <v>1</v>
      </c>
      <c r="Q544" s="3">
        <v>2</v>
      </c>
      <c r="R544" s="3">
        <v>1</v>
      </c>
      <c r="S544" s="3">
        <v>3</v>
      </c>
      <c r="T544" s="3">
        <v>3</v>
      </c>
      <c r="U544" s="3">
        <f t="shared" si="77"/>
        <v>10</v>
      </c>
      <c r="V544" s="13">
        <f t="shared" si="79"/>
        <v>17.3</v>
      </c>
      <c r="W544" s="13">
        <f t="shared" si="96"/>
        <v>17.3</v>
      </c>
      <c r="X544" s="3">
        <f t="shared" si="73"/>
        <v>10</v>
      </c>
      <c r="Y544" s="3" t="e">
        <f t="shared" si="97"/>
        <v>#DIV/0!</v>
      </c>
      <c r="Z544" s="19"/>
      <c r="AA544" s="19"/>
      <c r="AB544" s="3">
        <f t="shared" ref="AB544:AB563" si="99">7*4</f>
        <v>28</v>
      </c>
      <c r="AC544" s="3" t="s">
        <v>82</v>
      </c>
      <c r="AD544" s="3" t="s">
        <v>83</v>
      </c>
      <c r="AE544" s="3">
        <v>15</v>
      </c>
      <c r="AF544" s="3" t="s">
        <v>151</v>
      </c>
      <c r="AG544" s="3" t="s">
        <v>242</v>
      </c>
      <c r="AH544" s="3"/>
    </row>
    <row r="545" spans="1:34" ht="14.25" customHeight="1" x14ac:dyDescent="0.25">
      <c r="A545" s="3" t="s">
        <v>118</v>
      </c>
      <c r="B545" s="3" t="s">
        <v>79</v>
      </c>
      <c r="C545" s="19"/>
      <c r="D545" s="3" t="s">
        <v>117</v>
      </c>
      <c r="E545" s="3">
        <v>1</v>
      </c>
      <c r="F545" s="3">
        <v>1</v>
      </c>
      <c r="G545" s="3" t="s">
        <v>3</v>
      </c>
      <c r="H545" s="11">
        <v>45808</v>
      </c>
      <c r="I545" s="3" t="s">
        <v>159</v>
      </c>
      <c r="J545" s="3">
        <v>12</v>
      </c>
      <c r="K545" s="3">
        <v>39</v>
      </c>
      <c r="L545" s="3">
        <v>17</v>
      </c>
      <c r="M545" s="3">
        <v>0</v>
      </c>
      <c r="N545" s="3">
        <v>0</v>
      </c>
      <c r="O545" s="3">
        <f t="shared" si="70"/>
        <v>68</v>
      </c>
      <c r="P545" s="3">
        <v>1</v>
      </c>
      <c r="Q545" s="3">
        <v>2</v>
      </c>
      <c r="R545" s="3">
        <v>1</v>
      </c>
      <c r="S545" s="3">
        <v>3</v>
      </c>
      <c r="T545" s="3">
        <v>3</v>
      </c>
      <c r="U545" s="3">
        <f t="shared" si="77"/>
        <v>10</v>
      </c>
      <c r="V545" s="13">
        <f t="shared" si="79"/>
        <v>6.8</v>
      </c>
      <c r="W545" s="13">
        <f t="shared" si="96"/>
        <v>6.8</v>
      </c>
      <c r="X545" s="3">
        <f t="shared" si="73"/>
        <v>10</v>
      </c>
      <c r="Y545" s="3" t="e">
        <f t="shared" si="97"/>
        <v>#DIV/0!</v>
      </c>
      <c r="Z545" s="19"/>
      <c r="AA545" s="19"/>
      <c r="AB545" s="3">
        <f t="shared" si="99"/>
        <v>28</v>
      </c>
      <c r="AC545" s="3" t="s">
        <v>82</v>
      </c>
      <c r="AD545" s="3" t="s">
        <v>83</v>
      </c>
      <c r="AE545" s="3">
        <v>15</v>
      </c>
      <c r="AF545" s="3" t="s">
        <v>151</v>
      </c>
      <c r="AG545" s="3" t="s">
        <v>242</v>
      </c>
      <c r="AH545" s="3"/>
    </row>
    <row r="546" spans="1:34" ht="14.25" customHeight="1" x14ac:dyDescent="0.25">
      <c r="A546" s="3" t="s">
        <v>118</v>
      </c>
      <c r="B546" s="3" t="s">
        <v>79</v>
      </c>
      <c r="C546" s="19"/>
      <c r="D546" s="3" t="s">
        <v>117</v>
      </c>
      <c r="E546" s="3">
        <v>1</v>
      </c>
      <c r="F546" s="3">
        <v>1</v>
      </c>
      <c r="G546" s="3" t="s">
        <v>2</v>
      </c>
      <c r="H546" s="11">
        <v>45808</v>
      </c>
      <c r="I546" s="3" t="s">
        <v>159</v>
      </c>
      <c r="J546" s="3">
        <v>15</v>
      </c>
      <c r="K546" s="3">
        <v>40</v>
      </c>
      <c r="L546" s="3">
        <v>28</v>
      </c>
      <c r="M546" s="3">
        <v>0</v>
      </c>
      <c r="N546" s="3">
        <v>0</v>
      </c>
      <c r="O546" s="3">
        <f t="shared" si="70"/>
        <v>83</v>
      </c>
      <c r="P546" s="3">
        <v>1</v>
      </c>
      <c r="Q546" s="3">
        <v>2</v>
      </c>
      <c r="R546" s="3">
        <v>1</v>
      </c>
      <c r="S546" s="3">
        <v>3</v>
      </c>
      <c r="T546" s="3">
        <v>3</v>
      </c>
      <c r="U546" s="3">
        <f t="shared" si="77"/>
        <v>10</v>
      </c>
      <c r="V546" s="13">
        <f t="shared" si="79"/>
        <v>8.3000000000000007</v>
      </c>
      <c r="W546" s="13">
        <f t="shared" si="96"/>
        <v>8.3000000000000007</v>
      </c>
      <c r="X546" s="3">
        <f t="shared" si="73"/>
        <v>10</v>
      </c>
      <c r="Y546" s="3" t="e">
        <f t="shared" si="97"/>
        <v>#DIV/0!</v>
      </c>
      <c r="Z546" s="19"/>
      <c r="AA546" s="19"/>
      <c r="AB546" s="3">
        <f t="shared" si="99"/>
        <v>28</v>
      </c>
      <c r="AC546" s="3" t="s">
        <v>82</v>
      </c>
      <c r="AD546" s="3" t="s">
        <v>83</v>
      </c>
      <c r="AE546" s="3">
        <v>15</v>
      </c>
      <c r="AF546" s="3" t="s">
        <v>151</v>
      </c>
      <c r="AG546" s="3" t="s">
        <v>242</v>
      </c>
      <c r="AH546" s="3"/>
    </row>
    <row r="547" spans="1:34" ht="14.25" customHeight="1" x14ac:dyDescent="0.25">
      <c r="A547" s="3" t="s">
        <v>118</v>
      </c>
      <c r="B547" s="3" t="s">
        <v>79</v>
      </c>
      <c r="C547" s="19"/>
      <c r="D547" s="3" t="s">
        <v>117</v>
      </c>
      <c r="E547" s="3">
        <v>1</v>
      </c>
      <c r="F547" s="3">
        <v>1</v>
      </c>
      <c r="G547" s="3" t="s">
        <v>14</v>
      </c>
      <c r="H547" s="11">
        <v>45808</v>
      </c>
      <c r="I547" s="3" t="s">
        <v>159</v>
      </c>
      <c r="J547" s="3">
        <v>14</v>
      </c>
      <c r="K547" s="3">
        <v>27</v>
      </c>
      <c r="L547" s="3">
        <v>15</v>
      </c>
      <c r="M547" s="3">
        <v>0</v>
      </c>
      <c r="N547" s="3">
        <v>0</v>
      </c>
      <c r="O547" s="3">
        <f t="shared" si="70"/>
        <v>56</v>
      </c>
      <c r="P547" s="3">
        <v>1</v>
      </c>
      <c r="Q547" s="3">
        <v>2</v>
      </c>
      <c r="R547" s="3">
        <v>1</v>
      </c>
      <c r="S547" s="3">
        <v>3</v>
      </c>
      <c r="T547" s="3">
        <v>3</v>
      </c>
      <c r="U547" s="3">
        <f t="shared" si="77"/>
        <v>10</v>
      </c>
      <c r="V547" s="13">
        <f t="shared" si="79"/>
        <v>5.6</v>
      </c>
      <c r="W547" s="13">
        <f t="shared" si="96"/>
        <v>5.6</v>
      </c>
      <c r="X547" s="3">
        <f t="shared" si="73"/>
        <v>10</v>
      </c>
      <c r="Y547" s="3" t="e">
        <f t="shared" si="97"/>
        <v>#DIV/0!</v>
      </c>
      <c r="Z547" s="19"/>
      <c r="AA547" s="19"/>
      <c r="AB547" s="3">
        <f t="shared" si="99"/>
        <v>28</v>
      </c>
      <c r="AC547" s="3" t="s">
        <v>82</v>
      </c>
      <c r="AD547" s="3" t="s">
        <v>83</v>
      </c>
      <c r="AE547" s="3">
        <v>15</v>
      </c>
      <c r="AF547" s="3" t="s">
        <v>151</v>
      </c>
      <c r="AG547" s="3" t="s">
        <v>242</v>
      </c>
      <c r="AH547" s="3"/>
    </row>
    <row r="548" spans="1:34" ht="14.25" customHeight="1" x14ac:dyDescent="0.25">
      <c r="A548" s="3" t="s">
        <v>118</v>
      </c>
      <c r="B548" s="3" t="s">
        <v>79</v>
      </c>
      <c r="C548" s="19"/>
      <c r="D548" s="3" t="s">
        <v>117</v>
      </c>
      <c r="E548" s="3">
        <v>1</v>
      </c>
      <c r="F548" s="3">
        <v>1</v>
      </c>
      <c r="G548" s="3" t="s">
        <v>16</v>
      </c>
      <c r="H548" s="11">
        <v>45808</v>
      </c>
      <c r="I548" s="3" t="s">
        <v>159</v>
      </c>
      <c r="J548" s="3">
        <v>20</v>
      </c>
      <c r="K548" s="3">
        <f>17+28</f>
        <v>45</v>
      </c>
      <c r="L548" s="3">
        <v>17</v>
      </c>
      <c r="M548" s="3">
        <v>0</v>
      </c>
      <c r="N548" s="3">
        <v>0</v>
      </c>
      <c r="O548" s="3">
        <f t="shared" si="70"/>
        <v>82</v>
      </c>
      <c r="P548" s="3">
        <v>1</v>
      </c>
      <c r="Q548" s="3">
        <v>2</v>
      </c>
      <c r="R548" s="3">
        <v>1</v>
      </c>
      <c r="S548" s="3">
        <v>3</v>
      </c>
      <c r="T548" s="3">
        <v>3</v>
      </c>
      <c r="U548" s="3">
        <f t="shared" si="77"/>
        <v>10</v>
      </c>
      <c r="V548" s="13">
        <f t="shared" si="79"/>
        <v>8.1999999999999993</v>
      </c>
      <c r="W548" s="13">
        <f t="shared" si="96"/>
        <v>8.1999999999999993</v>
      </c>
      <c r="X548" s="3">
        <f t="shared" si="73"/>
        <v>10</v>
      </c>
      <c r="Y548" s="3" t="e">
        <f t="shared" si="97"/>
        <v>#DIV/0!</v>
      </c>
      <c r="Z548" s="19"/>
      <c r="AA548" s="19"/>
      <c r="AB548" s="3">
        <f t="shared" si="99"/>
        <v>28</v>
      </c>
      <c r="AC548" s="3" t="s">
        <v>82</v>
      </c>
      <c r="AD548" s="3" t="s">
        <v>83</v>
      </c>
      <c r="AE548" s="3">
        <v>15</v>
      </c>
      <c r="AF548" s="3" t="s">
        <v>151</v>
      </c>
      <c r="AG548" s="3" t="s">
        <v>242</v>
      </c>
      <c r="AH548" s="3"/>
    </row>
    <row r="549" spans="1:34" ht="14.25" customHeight="1" x14ac:dyDescent="0.25">
      <c r="A549" s="3" t="s">
        <v>118</v>
      </c>
      <c r="B549" s="3" t="s">
        <v>79</v>
      </c>
      <c r="C549" s="19"/>
      <c r="D549" s="3" t="s">
        <v>117</v>
      </c>
      <c r="E549" s="3">
        <v>1</v>
      </c>
      <c r="F549" s="3">
        <v>1</v>
      </c>
      <c r="G549" s="3" t="s">
        <v>18</v>
      </c>
      <c r="H549" s="11">
        <v>45808</v>
      </c>
      <c r="I549" s="3" t="s">
        <v>159</v>
      </c>
      <c r="J549" s="3">
        <v>18</v>
      </c>
      <c r="K549" s="3">
        <f>14+17</f>
        <v>31</v>
      </c>
      <c r="L549" s="3">
        <v>14</v>
      </c>
      <c r="M549" s="3">
        <v>0</v>
      </c>
      <c r="N549" s="3">
        <v>0</v>
      </c>
      <c r="O549" s="3">
        <f t="shared" si="70"/>
        <v>63</v>
      </c>
      <c r="P549" s="3">
        <v>1</v>
      </c>
      <c r="Q549" s="3">
        <v>2</v>
      </c>
      <c r="R549" s="3">
        <v>1</v>
      </c>
      <c r="S549" s="3">
        <v>3</v>
      </c>
      <c r="T549" s="3">
        <v>3</v>
      </c>
      <c r="U549" s="3">
        <f t="shared" si="77"/>
        <v>10</v>
      </c>
      <c r="V549" s="13">
        <f t="shared" si="79"/>
        <v>6.3</v>
      </c>
      <c r="W549" s="13">
        <f t="shared" si="96"/>
        <v>6.3</v>
      </c>
      <c r="X549" s="3">
        <f t="shared" si="73"/>
        <v>10</v>
      </c>
      <c r="Y549" s="3" t="e">
        <f t="shared" si="97"/>
        <v>#DIV/0!</v>
      </c>
      <c r="Z549" s="19"/>
      <c r="AA549" s="19"/>
      <c r="AB549" s="3">
        <f t="shared" si="99"/>
        <v>28</v>
      </c>
      <c r="AC549" s="3" t="s">
        <v>82</v>
      </c>
      <c r="AD549" s="3" t="s">
        <v>83</v>
      </c>
      <c r="AE549" s="3">
        <v>15</v>
      </c>
      <c r="AF549" s="3" t="s">
        <v>151</v>
      </c>
      <c r="AG549" s="3" t="s">
        <v>242</v>
      </c>
      <c r="AH549" s="3"/>
    </row>
    <row r="550" spans="1:34" ht="14.25" customHeight="1" x14ac:dyDescent="0.25">
      <c r="A550" s="3" t="s">
        <v>118</v>
      </c>
      <c r="B550" s="3" t="s">
        <v>79</v>
      </c>
      <c r="C550" s="19"/>
      <c r="D550" s="3" t="s">
        <v>117</v>
      </c>
      <c r="E550" s="3">
        <v>1</v>
      </c>
      <c r="F550" s="3">
        <v>1</v>
      </c>
      <c r="G550" s="3" t="s">
        <v>19</v>
      </c>
      <c r="H550" s="11">
        <v>45808</v>
      </c>
      <c r="I550" s="3" t="s">
        <v>159</v>
      </c>
      <c r="J550" s="3">
        <v>10</v>
      </c>
      <c r="K550" s="3">
        <f>12+16</f>
        <v>28</v>
      </c>
      <c r="L550" s="3">
        <v>18</v>
      </c>
      <c r="M550" s="3">
        <v>0</v>
      </c>
      <c r="N550" s="3">
        <v>0</v>
      </c>
      <c r="O550" s="3">
        <f t="shared" si="70"/>
        <v>56</v>
      </c>
      <c r="P550" s="3">
        <v>1</v>
      </c>
      <c r="Q550" s="3">
        <v>2</v>
      </c>
      <c r="R550" s="3">
        <v>1</v>
      </c>
      <c r="S550" s="3">
        <v>3</v>
      </c>
      <c r="T550" s="3">
        <v>3</v>
      </c>
      <c r="U550" s="3">
        <f t="shared" si="77"/>
        <v>10</v>
      </c>
      <c r="V550" s="13">
        <f t="shared" si="79"/>
        <v>5.6</v>
      </c>
      <c r="W550" s="13">
        <f t="shared" si="96"/>
        <v>5.6</v>
      </c>
      <c r="X550" s="3">
        <f t="shared" si="73"/>
        <v>10</v>
      </c>
      <c r="Y550" s="3" t="e">
        <f t="shared" si="97"/>
        <v>#DIV/0!</v>
      </c>
      <c r="Z550" s="19"/>
      <c r="AA550" s="19"/>
      <c r="AB550" s="3">
        <f t="shared" si="99"/>
        <v>28</v>
      </c>
      <c r="AC550" s="3" t="s">
        <v>82</v>
      </c>
      <c r="AD550" s="3" t="s">
        <v>83</v>
      </c>
      <c r="AE550" s="3">
        <v>15</v>
      </c>
      <c r="AF550" s="3" t="s">
        <v>151</v>
      </c>
      <c r="AG550" s="3" t="s">
        <v>242</v>
      </c>
      <c r="AH550" s="3"/>
    </row>
    <row r="551" spans="1:34" ht="14.25" customHeight="1" x14ac:dyDescent="0.25">
      <c r="A551" s="3" t="s">
        <v>118</v>
      </c>
      <c r="B551" s="3" t="s">
        <v>79</v>
      </c>
      <c r="C551" s="19"/>
      <c r="D551" s="3" t="s">
        <v>117</v>
      </c>
      <c r="E551" s="3">
        <v>1</v>
      </c>
      <c r="F551" s="3">
        <v>1</v>
      </c>
      <c r="G551" s="3" t="s">
        <v>25</v>
      </c>
      <c r="H551" s="11">
        <v>45808</v>
      </c>
      <c r="I551" s="3" t="s">
        <v>159</v>
      </c>
      <c r="J551" s="3">
        <v>22</v>
      </c>
      <c r="K551" s="3">
        <v>51</v>
      </c>
      <c r="L551" s="3">
        <v>30</v>
      </c>
      <c r="M551" s="3">
        <v>0</v>
      </c>
      <c r="N551" s="3">
        <v>0</v>
      </c>
      <c r="O551" s="3">
        <f t="shared" si="70"/>
        <v>103</v>
      </c>
      <c r="P551" s="3">
        <v>1</v>
      </c>
      <c r="Q551" s="3">
        <v>2</v>
      </c>
      <c r="R551" s="3">
        <v>1</v>
      </c>
      <c r="S551" s="3">
        <v>3</v>
      </c>
      <c r="T551" s="3">
        <v>3</v>
      </c>
      <c r="U551" s="3">
        <f t="shared" si="77"/>
        <v>10</v>
      </c>
      <c r="V551" s="13">
        <f t="shared" si="79"/>
        <v>10.3</v>
      </c>
      <c r="W551" s="13">
        <f t="shared" si="96"/>
        <v>10.3</v>
      </c>
      <c r="X551" s="3">
        <f t="shared" si="73"/>
        <v>10</v>
      </c>
      <c r="Y551" s="3" t="e">
        <f t="shared" si="97"/>
        <v>#DIV/0!</v>
      </c>
      <c r="Z551" s="19"/>
      <c r="AA551" s="19"/>
      <c r="AB551" s="3">
        <f t="shared" si="99"/>
        <v>28</v>
      </c>
      <c r="AC551" s="3" t="s">
        <v>82</v>
      </c>
      <c r="AD551" s="3" t="s">
        <v>83</v>
      </c>
      <c r="AE551" s="3">
        <v>15</v>
      </c>
      <c r="AF551" s="3" t="s">
        <v>151</v>
      </c>
      <c r="AG551" s="3" t="s">
        <v>242</v>
      </c>
      <c r="AH551" s="3"/>
    </row>
    <row r="552" spans="1:34" ht="14.25" customHeight="1" x14ac:dyDescent="0.25">
      <c r="A552" s="3" t="s">
        <v>118</v>
      </c>
      <c r="B552" s="3" t="s">
        <v>79</v>
      </c>
      <c r="C552" s="19"/>
      <c r="D552" s="3" t="s">
        <v>117</v>
      </c>
      <c r="E552" s="3">
        <v>1</v>
      </c>
      <c r="F552" s="3">
        <v>1</v>
      </c>
      <c r="G552" s="3" t="s">
        <v>22</v>
      </c>
      <c r="H552" s="11">
        <v>45808</v>
      </c>
      <c r="I552" s="3" t="s">
        <v>159</v>
      </c>
      <c r="J552" s="3">
        <v>14</v>
      </c>
      <c r="K552" s="3">
        <f>18+26</f>
        <v>44</v>
      </c>
      <c r="L552" s="3">
        <v>16</v>
      </c>
      <c r="M552" s="3">
        <v>0</v>
      </c>
      <c r="N552" s="3">
        <v>0</v>
      </c>
      <c r="O552" s="3">
        <f t="shared" si="70"/>
        <v>74</v>
      </c>
      <c r="P552" s="3">
        <v>1</v>
      </c>
      <c r="Q552" s="3">
        <v>2</v>
      </c>
      <c r="R552" s="3">
        <v>1</v>
      </c>
      <c r="S552" s="3">
        <v>3</v>
      </c>
      <c r="T552" s="3">
        <v>3</v>
      </c>
      <c r="U552" s="3">
        <f t="shared" si="77"/>
        <v>10</v>
      </c>
      <c r="V552" s="13">
        <f t="shared" si="79"/>
        <v>7.4</v>
      </c>
      <c r="W552" s="13">
        <f t="shared" si="96"/>
        <v>7.4</v>
      </c>
      <c r="X552" s="3">
        <f t="shared" si="73"/>
        <v>10</v>
      </c>
      <c r="Y552" s="3" t="e">
        <f t="shared" si="97"/>
        <v>#DIV/0!</v>
      </c>
      <c r="Z552" s="19"/>
      <c r="AA552" s="19"/>
      <c r="AB552" s="3">
        <f t="shared" si="99"/>
        <v>28</v>
      </c>
      <c r="AC552" s="3" t="s">
        <v>82</v>
      </c>
      <c r="AD552" s="3" t="s">
        <v>83</v>
      </c>
      <c r="AE552" s="3">
        <v>15</v>
      </c>
      <c r="AF552" s="3" t="s">
        <v>151</v>
      </c>
      <c r="AG552" s="3" t="s">
        <v>242</v>
      </c>
      <c r="AH552" s="3"/>
    </row>
    <row r="553" spans="1:34" ht="14.25" customHeight="1" x14ac:dyDescent="0.25">
      <c r="A553" s="3" t="s">
        <v>118</v>
      </c>
      <c r="B553" s="3" t="s">
        <v>79</v>
      </c>
      <c r="C553" s="19"/>
      <c r="D553" s="3" t="s">
        <v>117</v>
      </c>
      <c r="E553" s="3">
        <v>1</v>
      </c>
      <c r="F553" s="3">
        <v>1</v>
      </c>
      <c r="G553" s="3" t="s">
        <v>15</v>
      </c>
      <c r="H553" s="11">
        <v>45808</v>
      </c>
      <c r="I553" s="3" t="s">
        <v>159</v>
      </c>
      <c r="J553" s="3">
        <v>30</v>
      </c>
      <c r="K553" s="3">
        <f>22+27</f>
        <v>49</v>
      </c>
      <c r="L553" s="3">
        <v>18</v>
      </c>
      <c r="M553" s="3">
        <v>0</v>
      </c>
      <c r="N553" s="3">
        <v>0</v>
      </c>
      <c r="O553" s="3">
        <f t="shared" si="70"/>
        <v>97</v>
      </c>
      <c r="P553" s="3">
        <v>1</v>
      </c>
      <c r="Q553" s="3">
        <v>2</v>
      </c>
      <c r="R553" s="3">
        <v>1</v>
      </c>
      <c r="S553" s="3">
        <v>3</v>
      </c>
      <c r="T553" s="3">
        <v>3</v>
      </c>
      <c r="U553" s="3">
        <f t="shared" si="77"/>
        <v>10</v>
      </c>
      <c r="V553" s="13">
        <f t="shared" si="79"/>
        <v>9.6999999999999993</v>
      </c>
      <c r="W553" s="13">
        <f t="shared" si="96"/>
        <v>9.6999999999999993</v>
      </c>
      <c r="X553" s="3">
        <f t="shared" si="73"/>
        <v>10</v>
      </c>
      <c r="Y553" s="3" t="e">
        <f t="shared" si="97"/>
        <v>#DIV/0!</v>
      </c>
      <c r="Z553" s="19"/>
      <c r="AA553" s="19"/>
      <c r="AB553" s="3">
        <f t="shared" si="99"/>
        <v>28</v>
      </c>
      <c r="AC553" s="3" t="s">
        <v>82</v>
      </c>
      <c r="AD553" s="3" t="s">
        <v>83</v>
      </c>
      <c r="AE553" s="3">
        <v>15</v>
      </c>
      <c r="AF553" s="3" t="s">
        <v>151</v>
      </c>
      <c r="AG553" s="3" t="s">
        <v>242</v>
      </c>
      <c r="AH553" s="3"/>
    </row>
    <row r="554" spans="1:34" ht="14.25" customHeight="1" x14ac:dyDescent="0.25">
      <c r="A554" s="3" t="s">
        <v>131</v>
      </c>
      <c r="B554" s="3" t="s">
        <v>79</v>
      </c>
      <c r="C554" s="19"/>
      <c r="D554" s="3" t="s">
        <v>117</v>
      </c>
      <c r="E554" s="3">
        <v>1</v>
      </c>
      <c r="F554" s="3">
        <v>1</v>
      </c>
      <c r="G554" s="3" t="s">
        <v>1</v>
      </c>
      <c r="H554" s="11">
        <v>45808</v>
      </c>
      <c r="I554" s="3" t="s">
        <v>159</v>
      </c>
      <c r="J554" s="3">
        <v>15</v>
      </c>
      <c r="K554" s="3">
        <v>25</v>
      </c>
      <c r="L554" s="3">
        <v>25</v>
      </c>
      <c r="M554" s="3">
        <f>8+16+5</f>
        <v>29</v>
      </c>
      <c r="N554" s="3">
        <f>8+16+30</f>
        <v>54</v>
      </c>
      <c r="O554" s="3">
        <f t="shared" si="70"/>
        <v>148</v>
      </c>
      <c r="P554" s="3">
        <v>1</v>
      </c>
      <c r="Q554" s="3">
        <v>2</v>
      </c>
      <c r="R554" s="3">
        <v>1</v>
      </c>
      <c r="S554" s="3">
        <v>3</v>
      </c>
      <c r="T554" s="3">
        <v>3</v>
      </c>
      <c r="U554" s="3">
        <f t="shared" si="77"/>
        <v>10</v>
      </c>
      <c r="V554" s="13">
        <f t="shared" si="79"/>
        <v>14.8</v>
      </c>
      <c r="W554" s="13">
        <f t="shared" si="96"/>
        <v>14.8</v>
      </c>
      <c r="X554" s="3">
        <f t="shared" si="73"/>
        <v>10</v>
      </c>
      <c r="Y554" s="3" t="e">
        <f t="shared" si="97"/>
        <v>#DIV/0!</v>
      </c>
      <c r="Z554" s="19"/>
      <c r="AA554" s="19"/>
      <c r="AB554" s="3">
        <f t="shared" si="99"/>
        <v>28</v>
      </c>
      <c r="AC554" s="3" t="s">
        <v>82</v>
      </c>
      <c r="AD554" s="3" t="s">
        <v>83</v>
      </c>
      <c r="AE554" s="3">
        <v>15</v>
      </c>
      <c r="AF554" s="3" t="s">
        <v>151</v>
      </c>
      <c r="AG554" s="3" t="s">
        <v>242</v>
      </c>
      <c r="AH554" s="3"/>
    </row>
    <row r="555" spans="1:34" ht="14.25" customHeight="1" x14ac:dyDescent="0.25">
      <c r="A555" s="3" t="s">
        <v>131</v>
      </c>
      <c r="B555" s="3" t="s">
        <v>79</v>
      </c>
      <c r="C555" s="19"/>
      <c r="D555" s="3" t="s">
        <v>117</v>
      </c>
      <c r="E555" s="3">
        <v>1</v>
      </c>
      <c r="F555" s="3">
        <v>1</v>
      </c>
      <c r="G555" s="3" t="s">
        <v>3</v>
      </c>
      <c r="H555" s="11">
        <v>45808</v>
      </c>
      <c r="I555" s="3" t="s">
        <v>159</v>
      </c>
      <c r="J555" s="3">
        <v>14</v>
      </c>
      <c r="K555" s="3">
        <v>34</v>
      </c>
      <c r="L555" s="3">
        <v>12</v>
      </c>
      <c r="M555" s="3">
        <v>0</v>
      </c>
      <c r="N555" s="3">
        <v>0</v>
      </c>
      <c r="O555" s="3">
        <f t="shared" si="70"/>
        <v>60</v>
      </c>
      <c r="P555" s="3">
        <v>1</v>
      </c>
      <c r="Q555" s="3">
        <v>2</v>
      </c>
      <c r="R555" s="3">
        <v>1</v>
      </c>
      <c r="S555" s="3">
        <v>3</v>
      </c>
      <c r="T555" s="3">
        <v>3</v>
      </c>
      <c r="U555" s="3">
        <f t="shared" si="77"/>
        <v>10</v>
      </c>
      <c r="V555" s="13">
        <f t="shared" si="79"/>
        <v>6</v>
      </c>
      <c r="W555" s="13">
        <f t="shared" si="96"/>
        <v>6</v>
      </c>
      <c r="X555" s="3">
        <f t="shared" si="73"/>
        <v>10</v>
      </c>
      <c r="Y555" s="3" t="e">
        <f t="shared" si="97"/>
        <v>#DIV/0!</v>
      </c>
      <c r="Z555" s="19"/>
      <c r="AA555" s="19"/>
      <c r="AB555" s="3">
        <f t="shared" si="99"/>
        <v>28</v>
      </c>
      <c r="AC555" s="3" t="s">
        <v>82</v>
      </c>
      <c r="AD555" s="3" t="s">
        <v>83</v>
      </c>
      <c r="AE555" s="3">
        <v>15</v>
      </c>
      <c r="AF555" s="3" t="s">
        <v>151</v>
      </c>
      <c r="AG555" s="3" t="s">
        <v>242</v>
      </c>
      <c r="AH555" s="3"/>
    </row>
    <row r="556" spans="1:34" ht="14.25" customHeight="1" x14ac:dyDescent="0.25">
      <c r="A556" s="3" t="s">
        <v>131</v>
      </c>
      <c r="B556" s="3" t="s">
        <v>79</v>
      </c>
      <c r="C556" s="19"/>
      <c r="D556" s="3" t="s">
        <v>117</v>
      </c>
      <c r="E556" s="3">
        <v>1</v>
      </c>
      <c r="F556" s="3">
        <v>1</v>
      </c>
      <c r="G556" s="3" t="s">
        <v>2</v>
      </c>
      <c r="H556" s="11">
        <v>45808</v>
      </c>
      <c r="I556" s="3" t="s">
        <v>159</v>
      </c>
      <c r="J556" s="3">
        <v>10</v>
      </c>
      <c r="K556" s="3">
        <v>32</v>
      </c>
      <c r="L556" s="3">
        <v>21</v>
      </c>
      <c r="M556" s="3">
        <v>0</v>
      </c>
      <c r="N556" s="3">
        <v>0</v>
      </c>
      <c r="O556" s="3">
        <f t="shared" si="70"/>
        <v>63</v>
      </c>
      <c r="P556" s="3">
        <v>1</v>
      </c>
      <c r="Q556" s="3">
        <v>2</v>
      </c>
      <c r="R556" s="3">
        <v>1</v>
      </c>
      <c r="S556" s="3">
        <v>3</v>
      </c>
      <c r="T556" s="3">
        <v>3</v>
      </c>
      <c r="U556" s="3">
        <f t="shared" si="77"/>
        <v>10</v>
      </c>
      <c r="V556" s="13">
        <f t="shared" si="79"/>
        <v>6.3</v>
      </c>
      <c r="W556" s="13">
        <f t="shared" si="96"/>
        <v>6.3</v>
      </c>
      <c r="X556" s="3">
        <f t="shared" si="73"/>
        <v>10</v>
      </c>
      <c r="Y556" s="3" t="e">
        <f t="shared" si="97"/>
        <v>#DIV/0!</v>
      </c>
      <c r="Z556" s="19"/>
      <c r="AA556" s="19"/>
      <c r="AB556" s="3">
        <f t="shared" si="99"/>
        <v>28</v>
      </c>
      <c r="AC556" s="3" t="s">
        <v>82</v>
      </c>
      <c r="AD556" s="3" t="s">
        <v>83</v>
      </c>
      <c r="AE556" s="3">
        <v>15</v>
      </c>
      <c r="AF556" s="3" t="s">
        <v>151</v>
      </c>
      <c r="AG556" s="3" t="s">
        <v>242</v>
      </c>
      <c r="AH556" s="3"/>
    </row>
    <row r="557" spans="1:34" ht="14.25" customHeight="1" x14ac:dyDescent="0.25">
      <c r="A557" s="3" t="s">
        <v>131</v>
      </c>
      <c r="B557" s="3" t="s">
        <v>79</v>
      </c>
      <c r="C557" s="19"/>
      <c r="D557" s="3" t="s">
        <v>117</v>
      </c>
      <c r="E557" s="3">
        <v>1</v>
      </c>
      <c r="F557" s="3">
        <v>1</v>
      </c>
      <c r="G557" s="3" t="s">
        <v>14</v>
      </c>
      <c r="H557" s="11">
        <v>45808</v>
      </c>
      <c r="I557" s="3" t="s">
        <v>159</v>
      </c>
      <c r="J557" s="3">
        <v>12</v>
      </c>
      <c r="K557" s="3">
        <v>26</v>
      </c>
      <c r="L557" s="3">
        <v>18</v>
      </c>
      <c r="M557" s="3">
        <v>0</v>
      </c>
      <c r="N557" s="3">
        <v>0</v>
      </c>
      <c r="O557" s="3">
        <f t="shared" si="70"/>
        <v>56</v>
      </c>
      <c r="P557" s="3">
        <v>1</v>
      </c>
      <c r="Q557" s="3">
        <v>2</v>
      </c>
      <c r="R557" s="3">
        <v>1</v>
      </c>
      <c r="S557" s="3">
        <v>3</v>
      </c>
      <c r="T557" s="3">
        <v>3</v>
      </c>
      <c r="U557" s="3">
        <f t="shared" si="77"/>
        <v>10</v>
      </c>
      <c r="V557" s="13">
        <f t="shared" si="79"/>
        <v>5.6</v>
      </c>
      <c r="W557" s="13">
        <f t="shared" si="96"/>
        <v>5.6</v>
      </c>
      <c r="X557" s="3">
        <f t="shared" si="73"/>
        <v>10</v>
      </c>
      <c r="Y557" s="3" t="e">
        <f t="shared" si="97"/>
        <v>#DIV/0!</v>
      </c>
      <c r="Z557" s="19"/>
      <c r="AA557" s="19"/>
      <c r="AB557" s="3">
        <f t="shared" si="99"/>
        <v>28</v>
      </c>
      <c r="AC557" s="3" t="s">
        <v>82</v>
      </c>
      <c r="AD557" s="3" t="s">
        <v>83</v>
      </c>
      <c r="AE557" s="3">
        <v>15</v>
      </c>
      <c r="AF557" s="3" t="s">
        <v>151</v>
      </c>
      <c r="AG557" s="3" t="s">
        <v>242</v>
      </c>
      <c r="AH557" s="3"/>
    </row>
    <row r="558" spans="1:34" ht="14.25" customHeight="1" x14ac:dyDescent="0.25">
      <c r="A558" s="3" t="s">
        <v>131</v>
      </c>
      <c r="B558" s="3" t="s">
        <v>79</v>
      </c>
      <c r="C558" s="19"/>
      <c r="D558" s="3" t="s">
        <v>117</v>
      </c>
      <c r="E558" s="3">
        <v>1</v>
      </c>
      <c r="F558" s="3">
        <v>1</v>
      </c>
      <c r="G558" s="3" t="s">
        <v>16</v>
      </c>
      <c r="H558" s="11">
        <v>45808</v>
      </c>
      <c r="I558" s="3" t="s">
        <v>159</v>
      </c>
      <c r="J558" s="3">
        <v>15</v>
      </c>
      <c r="K558" s="3">
        <v>23</v>
      </c>
      <c r="L558" s="3">
        <v>20</v>
      </c>
      <c r="M558" s="3">
        <v>0</v>
      </c>
      <c r="N558" s="3">
        <v>0</v>
      </c>
      <c r="O558" s="3">
        <f t="shared" si="70"/>
        <v>58</v>
      </c>
      <c r="P558" s="3">
        <v>1</v>
      </c>
      <c r="Q558" s="3">
        <v>2</v>
      </c>
      <c r="R558" s="3">
        <v>1</v>
      </c>
      <c r="S558" s="3">
        <v>3</v>
      </c>
      <c r="T558" s="3">
        <v>3</v>
      </c>
      <c r="U558" s="3">
        <f t="shared" si="77"/>
        <v>10</v>
      </c>
      <c r="V558" s="13">
        <f t="shared" si="79"/>
        <v>5.8</v>
      </c>
      <c r="W558" s="13">
        <f t="shared" si="96"/>
        <v>5.8</v>
      </c>
      <c r="X558" s="3">
        <f t="shared" si="73"/>
        <v>10</v>
      </c>
      <c r="Y558" s="3" t="e">
        <f t="shared" si="97"/>
        <v>#DIV/0!</v>
      </c>
      <c r="Z558" s="19"/>
      <c r="AA558" s="19"/>
      <c r="AB558" s="3">
        <f t="shared" si="99"/>
        <v>28</v>
      </c>
      <c r="AC558" s="3" t="s">
        <v>82</v>
      </c>
      <c r="AD558" s="3" t="s">
        <v>83</v>
      </c>
      <c r="AE558" s="3">
        <v>15</v>
      </c>
      <c r="AF558" s="3" t="s">
        <v>151</v>
      </c>
      <c r="AG558" s="3" t="s">
        <v>242</v>
      </c>
      <c r="AH558" s="3"/>
    </row>
    <row r="559" spans="1:34" ht="14.25" customHeight="1" x14ac:dyDescent="0.25">
      <c r="A559" s="3" t="s">
        <v>131</v>
      </c>
      <c r="B559" s="3" t="s">
        <v>79</v>
      </c>
      <c r="C559" s="19"/>
      <c r="D559" s="3" t="s">
        <v>117</v>
      </c>
      <c r="E559" s="3">
        <v>1</v>
      </c>
      <c r="F559" s="3">
        <v>1</v>
      </c>
      <c r="G559" s="3" t="s">
        <v>18</v>
      </c>
      <c r="H559" s="11">
        <v>45808</v>
      </c>
      <c r="I559" s="3" t="s">
        <v>159</v>
      </c>
      <c r="J559" s="3">
        <v>12</v>
      </c>
      <c r="K559" s="3">
        <v>28</v>
      </c>
      <c r="L559" s="3">
        <v>17</v>
      </c>
      <c r="M559" s="3">
        <v>0</v>
      </c>
      <c r="N559" s="3">
        <v>0</v>
      </c>
      <c r="O559" s="3">
        <f t="shared" si="70"/>
        <v>57</v>
      </c>
      <c r="P559" s="3">
        <v>1</v>
      </c>
      <c r="Q559" s="3">
        <v>2</v>
      </c>
      <c r="R559" s="3">
        <v>1</v>
      </c>
      <c r="S559" s="3">
        <v>3</v>
      </c>
      <c r="T559" s="3">
        <v>3</v>
      </c>
      <c r="U559" s="3">
        <f t="shared" si="77"/>
        <v>10</v>
      </c>
      <c r="V559" s="13">
        <f t="shared" si="79"/>
        <v>5.7</v>
      </c>
      <c r="W559" s="13">
        <f t="shared" si="96"/>
        <v>5.7</v>
      </c>
      <c r="X559" s="3">
        <f t="shared" si="73"/>
        <v>10</v>
      </c>
      <c r="Y559" s="3" t="e">
        <f t="shared" si="97"/>
        <v>#DIV/0!</v>
      </c>
      <c r="Z559" s="19"/>
      <c r="AA559" s="19"/>
      <c r="AB559" s="3">
        <f t="shared" si="99"/>
        <v>28</v>
      </c>
      <c r="AC559" s="3" t="s">
        <v>82</v>
      </c>
      <c r="AD559" s="3" t="s">
        <v>83</v>
      </c>
      <c r="AE559" s="3">
        <v>15</v>
      </c>
      <c r="AF559" s="3" t="s">
        <v>151</v>
      </c>
      <c r="AG559" s="3" t="s">
        <v>242</v>
      </c>
      <c r="AH559" s="3"/>
    </row>
    <row r="560" spans="1:34" ht="14.25" customHeight="1" x14ac:dyDescent="0.25">
      <c r="A560" s="3" t="s">
        <v>131</v>
      </c>
      <c r="B560" s="3" t="s">
        <v>79</v>
      </c>
      <c r="C560" s="19"/>
      <c r="D560" s="3" t="s">
        <v>117</v>
      </c>
      <c r="E560" s="3">
        <v>1</v>
      </c>
      <c r="F560" s="3">
        <v>1</v>
      </c>
      <c r="G560" s="3" t="s">
        <v>19</v>
      </c>
      <c r="H560" s="11">
        <v>45808</v>
      </c>
      <c r="I560" s="3" t="s">
        <v>159</v>
      </c>
      <c r="J560" s="3">
        <v>15</v>
      </c>
      <c r="K560" s="3">
        <v>22</v>
      </c>
      <c r="L560" s="3">
        <v>8</v>
      </c>
      <c r="M560" s="3">
        <v>0</v>
      </c>
      <c r="N560" s="3">
        <v>0</v>
      </c>
      <c r="O560" s="3">
        <f t="shared" si="70"/>
        <v>45</v>
      </c>
      <c r="P560" s="3">
        <v>1</v>
      </c>
      <c r="Q560" s="3">
        <v>2</v>
      </c>
      <c r="R560" s="3">
        <v>1</v>
      </c>
      <c r="S560" s="3">
        <v>3</v>
      </c>
      <c r="T560" s="3">
        <v>3</v>
      </c>
      <c r="U560" s="3">
        <f t="shared" si="77"/>
        <v>10</v>
      </c>
      <c r="V560" s="13">
        <f t="shared" si="79"/>
        <v>4.5</v>
      </c>
      <c r="W560" s="13">
        <f t="shared" si="96"/>
        <v>4.5</v>
      </c>
      <c r="X560" s="3">
        <f t="shared" si="73"/>
        <v>10</v>
      </c>
      <c r="Y560" s="3" t="e">
        <f t="shared" si="97"/>
        <v>#DIV/0!</v>
      </c>
      <c r="Z560" s="19"/>
      <c r="AA560" s="19"/>
      <c r="AB560" s="3">
        <f t="shared" si="99"/>
        <v>28</v>
      </c>
      <c r="AC560" s="3" t="s">
        <v>82</v>
      </c>
      <c r="AD560" s="3" t="s">
        <v>83</v>
      </c>
      <c r="AE560" s="3">
        <v>15</v>
      </c>
      <c r="AF560" s="3" t="s">
        <v>151</v>
      </c>
      <c r="AG560" s="3" t="s">
        <v>242</v>
      </c>
      <c r="AH560" s="3"/>
    </row>
    <row r="561" spans="1:34" ht="14.25" customHeight="1" x14ac:dyDescent="0.25">
      <c r="A561" s="3" t="s">
        <v>131</v>
      </c>
      <c r="B561" s="3" t="s">
        <v>79</v>
      </c>
      <c r="C561" s="19"/>
      <c r="D561" s="3" t="s">
        <v>117</v>
      </c>
      <c r="E561" s="3">
        <v>1</v>
      </c>
      <c r="F561" s="3">
        <v>1</v>
      </c>
      <c r="G561" s="3" t="s">
        <v>25</v>
      </c>
      <c r="H561" s="11">
        <v>45808</v>
      </c>
      <c r="I561" s="3" t="s">
        <v>159</v>
      </c>
      <c r="J561" s="3">
        <v>16</v>
      </c>
      <c r="K561" s="3">
        <v>18</v>
      </c>
      <c r="L561" s="3">
        <v>19</v>
      </c>
      <c r="M561" s="3">
        <v>0</v>
      </c>
      <c r="N561" s="3">
        <v>0</v>
      </c>
      <c r="O561" s="3">
        <f t="shared" si="70"/>
        <v>53</v>
      </c>
      <c r="P561" s="3">
        <v>1</v>
      </c>
      <c r="Q561" s="3">
        <v>2</v>
      </c>
      <c r="R561" s="3">
        <v>1</v>
      </c>
      <c r="S561" s="3">
        <v>3</v>
      </c>
      <c r="T561" s="3">
        <v>3</v>
      </c>
      <c r="U561" s="3">
        <f t="shared" si="77"/>
        <v>10</v>
      </c>
      <c r="V561" s="13">
        <f t="shared" si="79"/>
        <v>5.3</v>
      </c>
      <c r="W561" s="13">
        <f t="shared" si="96"/>
        <v>5.3</v>
      </c>
      <c r="X561" s="3">
        <f t="shared" si="73"/>
        <v>10</v>
      </c>
      <c r="Y561" s="3" t="e">
        <f t="shared" si="97"/>
        <v>#DIV/0!</v>
      </c>
      <c r="Z561" s="19"/>
      <c r="AA561" s="19"/>
      <c r="AB561" s="3">
        <f t="shared" si="99"/>
        <v>28</v>
      </c>
      <c r="AC561" s="3" t="s">
        <v>82</v>
      </c>
      <c r="AD561" s="3" t="s">
        <v>83</v>
      </c>
      <c r="AE561" s="3">
        <v>15</v>
      </c>
      <c r="AF561" s="3" t="s">
        <v>151</v>
      </c>
      <c r="AG561" s="3" t="s">
        <v>242</v>
      </c>
      <c r="AH561" s="3"/>
    </row>
    <row r="562" spans="1:34" ht="14.25" customHeight="1" x14ac:dyDescent="0.25">
      <c r="A562" s="3" t="s">
        <v>131</v>
      </c>
      <c r="B562" s="3" t="s">
        <v>79</v>
      </c>
      <c r="C562" s="19"/>
      <c r="D562" s="3" t="s">
        <v>117</v>
      </c>
      <c r="E562" s="3">
        <v>1</v>
      </c>
      <c r="F562" s="3">
        <v>1</v>
      </c>
      <c r="G562" s="3" t="s">
        <v>22</v>
      </c>
      <c r="H562" s="11">
        <v>45808</v>
      </c>
      <c r="I562" s="3" t="s">
        <v>159</v>
      </c>
      <c r="J562" s="3">
        <v>20</v>
      </c>
      <c r="K562" s="3">
        <v>10</v>
      </c>
      <c r="L562" s="3">
        <v>15</v>
      </c>
      <c r="M562" s="3">
        <v>0</v>
      </c>
      <c r="N562" s="3">
        <v>0</v>
      </c>
      <c r="O562" s="3">
        <f t="shared" si="70"/>
        <v>45</v>
      </c>
      <c r="P562" s="3">
        <v>1</v>
      </c>
      <c r="Q562" s="3">
        <v>2</v>
      </c>
      <c r="R562" s="3">
        <v>1</v>
      </c>
      <c r="S562" s="3">
        <v>3</v>
      </c>
      <c r="T562" s="3">
        <v>3</v>
      </c>
      <c r="U562" s="3">
        <f t="shared" si="77"/>
        <v>10</v>
      </c>
      <c r="V562" s="13">
        <f t="shared" si="79"/>
        <v>4.5</v>
      </c>
      <c r="W562" s="13">
        <f t="shared" si="96"/>
        <v>4.5</v>
      </c>
      <c r="X562" s="3">
        <f t="shared" si="73"/>
        <v>10</v>
      </c>
      <c r="Y562" s="3" t="e">
        <f t="shared" si="97"/>
        <v>#DIV/0!</v>
      </c>
      <c r="Z562" s="19"/>
      <c r="AA562" s="19"/>
      <c r="AB562" s="3">
        <f t="shared" si="99"/>
        <v>28</v>
      </c>
      <c r="AC562" s="3" t="s">
        <v>82</v>
      </c>
      <c r="AD562" s="3" t="s">
        <v>83</v>
      </c>
      <c r="AE562" s="3">
        <v>15</v>
      </c>
      <c r="AF562" s="3" t="s">
        <v>151</v>
      </c>
      <c r="AG562" s="3" t="s">
        <v>242</v>
      </c>
      <c r="AH562" s="3"/>
    </row>
    <row r="563" spans="1:34" ht="14.25" customHeight="1" x14ac:dyDescent="0.25">
      <c r="A563" s="3" t="s">
        <v>131</v>
      </c>
      <c r="B563" s="3" t="s">
        <v>79</v>
      </c>
      <c r="C563" s="19"/>
      <c r="D563" s="3" t="s">
        <v>117</v>
      </c>
      <c r="E563" s="3">
        <v>1</v>
      </c>
      <c r="F563" s="3">
        <v>1</v>
      </c>
      <c r="G563" s="3" t="s">
        <v>15</v>
      </c>
      <c r="H563" s="11">
        <v>45808</v>
      </c>
      <c r="I563" s="3" t="s">
        <v>159</v>
      </c>
      <c r="J563" s="3">
        <v>20</v>
      </c>
      <c r="K563" s="3">
        <f>19+38</f>
        <v>57</v>
      </c>
      <c r="L563" s="3">
        <v>13</v>
      </c>
      <c r="M563" s="3">
        <v>0</v>
      </c>
      <c r="N563" s="3">
        <v>0</v>
      </c>
      <c r="O563" s="3">
        <f t="shared" si="70"/>
        <v>90</v>
      </c>
      <c r="P563" s="3">
        <v>1</v>
      </c>
      <c r="Q563" s="3">
        <v>2</v>
      </c>
      <c r="R563" s="3">
        <v>1</v>
      </c>
      <c r="S563" s="3">
        <v>3</v>
      </c>
      <c r="T563" s="3">
        <v>3</v>
      </c>
      <c r="U563" s="3">
        <f t="shared" si="77"/>
        <v>10</v>
      </c>
      <c r="V563" s="13">
        <f t="shared" si="79"/>
        <v>9</v>
      </c>
      <c r="W563" s="13">
        <f t="shared" si="96"/>
        <v>9</v>
      </c>
      <c r="X563" s="3">
        <f t="shared" si="73"/>
        <v>10</v>
      </c>
      <c r="Y563" s="3" t="e">
        <f t="shared" si="97"/>
        <v>#DIV/0!</v>
      </c>
      <c r="Z563" s="19"/>
      <c r="AA563" s="19"/>
      <c r="AB563" s="3">
        <f t="shared" si="99"/>
        <v>28</v>
      </c>
      <c r="AC563" s="3" t="s">
        <v>82</v>
      </c>
      <c r="AD563" s="3" t="s">
        <v>83</v>
      </c>
      <c r="AE563" s="3">
        <v>15</v>
      </c>
      <c r="AF563" s="3" t="s">
        <v>151</v>
      </c>
      <c r="AG563" s="3" t="s">
        <v>242</v>
      </c>
      <c r="AH563" s="3"/>
    </row>
    <row r="564" spans="1:34" ht="14.25" customHeight="1" x14ac:dyDescent="0.25">
      <c r="A564" s="3" t="s">
        <v>114</v>
      </c>
      <c r="B564" s="3" t="s">
        <v>79</v>
      </c>
      <c r="C564" s="19"/>
      <c r="D564" s="3" t="s">
        <v>115</v>
      </c>
      <c r="E564" s="3">
        <v>1</v>
      </c>
      <c r="F564" s="3">
        <v>1</v>
      </c>
      <c r="G564" s="3" t="s">
        <v>1</v>
      </c>
      <c r="H564" s="11">
        <v>45808</v>
      </c>
      <c r="I564" s="3" t="s">
        <v>159</v>
      </c>
      <c r="J564" s="3">
        <f>10+9+12</f>
        <v>31</v>
      </c>
      <c r="K564" s="3">
        <f>15+13+11+8</f>
        <v>47</v>
      </c>
      <c r="L564" s="3">
        <f>13+7+9+10</f>
        <v>39</v>
      </c>
      <c r="M564" s="3">
        <v>0</v>
      </c>
      <c r="N564" s="3">
        <v>0</v>
      </c>
      <c r="O564" s="3">
        <f t="shared" si="70"/>
        <v>117</v>
      </c>
      <c r="P564" s="3">
        <v>7</v>
      </c>
      <c r="Q564" s="3">
        <v>5</v>
      </c>
      <c r="R564" s="3">
        <v>5</v>
      </c>
      <c r="S564" s="3">
        <v>0</v>
      </c>
      <c r="T564" s="3">
        <v>0</v>
      </c>
      <c r="U564" s="3">
        <f t="shared" si="77"/>
        <v>17</v>
      </c>
      <c r="V564" s="13">
        <f t="shared" si="79"/>
        <v>6.882352941176471</v>
      </c>
      <c r="W564" s="13">
        <f t="shared" si="96"/>
        <v>6.882352941176471</v>
      </c>
      <c r="X564" s="3">
        <f t="shared" si="73"/>
        <v>17</v>
      </c>
      <c r="Y564" s="3" t="e">
        <f t="shared" si="97"/>
        <v>#DIV/0!</v>
      </c>
      <c r="Z564" s="19"/>
      <c r="AA564" s="19"/>
      <c r="AB564" s="3">
        <v>150</v>
      </c>
      <c r="AC564" s="3" t="s">
        <v>82</v>
      </c>
      <c r="AD564" s="3" t="s">
        <v>83</v>
      </c>
      <c r="AE564" s="3">
        <v>15</v>
      </c>
      <c r="AF564" s="3" t="s">
        <v>151</v>
      </c>
      <c r="AG564" s="3" t="s">
        <v>243</v>
      </c>
      <c r="AH564" s="3"/>
    </row>
    <row r="565" spans="1:34" ht="14.25" customHeight="1" x14ac:dyDescent="0.25">
      <c r="A565" s="3" t="s">
        <v>114</v>
      </c>
      <c r="B565" s="3" t="s">
        <v>79</v>
      </c>
      <c r="C565" s="19"/>
      <c r="D565" s="3" t="s">
        <v>115</v>
      </c>
      <c r="E565" s="3">
        <v>1</v>
      </c>
      <c r="F565" s="3">
        <v>1</v>
      </c>
      <c r="G565" s="3" t="s">
        <v>3</v>
      </c>
      <c r="H565" s="11">
        <v>45808</v>
      </c>
      <c r="I565" s="3" t="s">
        <v>159</v>
      </c>
      <c r="J565" s="3">
        <f>5+7+3+3</f>
        <v>18</v>
      </c>
      <c r="K565" s="3">
        <v>0</v>
      </c>
      <c r="L565" s="3">
        <v>0</v>
      </c>
      <c r="M565" s="3">
        <v>0</v>
      </c>
      <c r="N565" s="3">
        <v>0</v>
      </c>
      <c r="O565" s="3">
        <f t="shared" si="70"/>
        <v>18</v>
      </c>
      <c r="P565" s="3">
        <v>7</v>
      </c>
      <c r="Q565" s="3">
        <v>5</v>
      </c>
      <c r="R565" s="3">
        <v>5</v>
      </c>
      <c r="S565" s="3">
        <v>0</v>
      </c>
      <c r="T565" s="3">
        <v>0</v>
      </c>
      <c r="U565" s="3">
        <f t="shared" si="77"/>
        <v>17</v>
      </c>
      <c r="V565" s="13">
        <f t="shared" si="79"/>
        <v>1.0588235294117647</v>
      </c>
      <c r="W565" s="13">
        <f t="shared" si="96"/>
        <v>1.0588235294117647</v>
      </c>
      <c r="X565" s="3">
        <f t="shared" si="73"/>
        <v>17</v>
      </c>
      <c r="Y565" s="3" t="e">
        <f t="shared" si="97"/>
        <v>#DIV/0!</v>
      </c>
      <c r="Z565" s="19"/>
      <c r="AA565" s="19"/>
      <c r="AB565" s="3">
        <v>150</v>
      </c>
      <c r="AC565" s="3" t="s">
        <v>82</v>
      </c>
      <c r="AD565" s="3" t="s">
        <v>83</v>
      </c>
      <c r="AE565" s="3">
        <v>15</v>
      </c>
      <c r="AF565" s="3" t="s">
        <v>151</v>
      </c>
      <c r="AG565" s="3" t="s">
        <v>243</v>
      </c>
      <c r="AH565" s="3"/>
    </row>
    <row r="566" spans="1:34" ht="14.25" customHeight="1" x14ac:dyDescent="0.25">
      <c r="A566" s="3" t="s">
        <v>114</v>
      </c>
      <c r="B566" s="3" t="s">
        <v>79</v>
      </c>
      <c r="C566" s="19"/>
      <c r="D566" s="3" t="s">
        <v>115</v>
      </c>
      <c r="E566" s="3">
        <v>1</v>
      </c>
      <c r="F566" s="3">
        <v>1</v>
      </c>
      <c r="G566" s="3" t="s">
        <v>2</v>
      </c>
      <c r="H566" s="11">
        <v>45808</v>
      </c>
      <c r="I566" s="3" t="s">
        <v>159</v>
      </c>
      <c r="J566" s="3">
        <v>10</v>
      </c>
      <c r="K566" s="3">
        <v>11</v>
      </c>
      <c r="L566" s="3">
        <v>9</v>
      </c>
      <c r="M566" s="3">
        <v>0</v>
      </c>
      <c r="N566" s="3">
        <v>0</v>
      </c>
      <c r="O566" s="3">
        <f t="shared" si="70"/>
        <v>30</v>
      </c>
      <c r="P566" s="3">
        <v>7</v>
      </c>
      <c r="Q566" s="3">
        <v>5</v>
      </c>
      <c r="R566" s="3">
        <v>5</v>
      </c>
      <c r="S566" s="3">
        <v>0</v>
      </c>
      <c r="T566" s="3">
        <v>0</v>
      </c>
      <c r="U566" s="3">
        <f t="shared" si="77"/>
        <v>17</v>
      </c>
      <c r="V566" s="13">
        <f t="shared" si="79"/>
        <v>1.7647058823529411</v>
      </c>
      <c r="W566" s="13">
        <f t="shared" si="96"/>
        <v>1.7647058823529411</v>
      </c>
      <c r="X566" s="3">
        <f t="shared" si="73"/>
        <v>17</v>
      </c>
      <c r="Y566" s="3" t="e">
        <f t="shared" si="97"/>
        <v>#DIV/0!</v>
      </c>
      <c r="Z566" s="19"/>
      <c r="AA566" s="19"/>
      <c r="AB566" s="3">
        <v>150</v>
      </c>
      <c r="AC566" s="3" t="s">
        <v>82</v>
      </c>
      <c r="AD566" s="3" t="s">
        <v>83</v>
      </c>
      <c r="AE566" s="3">
        <v>15</v>
      </c>
      <c r="AF566" s="3" t="s">
        <v>151</v>
      </c>
      <c r="AG566" s="3" t="s">
        <v>243</v>
      </c>
      <c r="AH566" s="3"/>
    </row>
    <row r="567" spans="1:34" ht="14.25" customHeight="1" x14ac:dyDescent="0.25">
      <c r="A567" s="3" t="s">
        <v>114</v>
      </c>
      <c r="B567" s="3" t="s">
        <v>79</v>
      </c>
      <c r="C567" s="19"/>
      <c r="D567" s="3" t="s">
        <v>115</v>
      </c>
      <c r="E567" s="3">
        <v>1</v>
      </c>
      <c r="F567" s="3">
        <v>1</v>
      </c>
      <c r="G567" s="3" t="s">
        <v>12</v>
      </c>
      <c r="H567" s="11">
        <v>45808</v>
      </c>
      <c r="I567" s="3" t="s">
        <v>159</v>
      </c>
      <c r="J567" s="3">
        <v>4</v>
      </c>
      <c r="K567" s="3">
        <v>0</v>
      </c>
      <c r="L567" s="3">
        <v>0</v>
      </c>
      <c r="M567" s="3">
        <v>0</v>
      </c>
      <c r="N567" s="3">
        <v>0</v>
      </c>
      <c r="O567" s="3">
        <f t="shared" si="70"/>
        <v>4</v>
      </c>
      <c r="P567" s="3">
        <v>7</v>
      </c>
      <c r="Q567" s="3">
        <v>5</v>
      </c>
      <c r="R567" s="3">
        <v>5</v>
      </c>
      <c r="S567" s="3">
        <v>0</v>
      </c>
      <c r="T567" s="3">
        <v>0</v>
      </c>
      <c r="U567" s="3">
        <f t="shared" si="77"/>
        <v>17</v>
      </c>
      <c r="V567" s="13">
        <f t="shared" si="79"/>
        <v>0.23529411764705882</v>
      </c>
      <c r="W567" s="13">
        <f t="shared" si="96"/>
        <v>0.23529411764705882</v>
      </c>
      <c r="X567" s="3">
        <f t="shared" si="73"/>
        <v>17</v>
      </c>
      <c r="Y567" s="3" t="e">
        <f t="shared" si="97"/>
        <v>#DIV/0!</v>
      </c>
      <c r="Z567" s="19"/>
      <c r="AA567" s="19"/>
      <c r="AB567" s="3">
        <v>150</v>
      </c>
      <c r="AC567" s="3" t="s">
        <v>82</v>
      </c>
      <c r="AD567" s="3" t="s">
        <v>83</v>
      </c>
      <c r="AE567" s="3">
        <v>15</v>
      </c>
      <c r="AF567" s="3" t="s">
        <v>151</v>
      </c>
      <c r="AG567" s="3" t="s">
        <v>243</v>
      </c>
      <c r="AH567" s="3"/>
    </row>
    <row r="568" spans="1:34" ht="14.25" customHeight="1" x14ac:dyDescent="0.25">
      <c r="A568" s="3" t="s">
        <v>114</v>
      </c>
      <c r="B568" s="3" t="s">
        <v>79</v>
      </c>
      <c r="C568" s="19"/>
      <c r="D568" s="3" t="s">
        <v>115</v>
      </c>
      <c r="E568" s="3">
        <v>1</v>
      </c>
      <c r="F568" s="3">
        <v>1</v>
      </c>
      <c r="G568" s="3" t="s">
        <v>18</v>
      </c>
      <c r="H568" s="11">
        <v>45808</v>
      </c>
      <c r="I568" s="3" t="s">
        <v>159</v>
      </c>
      <c r="J568" s="3">
        <v>4</v>
      </c>
      <c r="K568" s="3">
        <v>0</v>
      </c>
      <c r="L568" s="3">
        <v>0</v>
      </c>
      <c r="M568" s="3">
        <v>0</v>
      </c>
      <c r="N568" s="3">
        <v>0</v>
      </c>
      <c r="O568" s="3">
        <f t="shared" si="70"/>
        <v>4</v>
      </c>
      <c r="P568" s="3">
        <v>7</v>
      </c>
      <c r="Q568" s="3">
        <v>5</v>
      </c>
      <c r="R568" s="3">
        <v>5</v>
      </c>
      <c r="S568" s="3">
        <v>0</v>
      </c>
      <c r="T568" s="3">
        <v>0</v>
      </c>
      <c r="U568" s="3">
        <f t="shared" si="77"/>
        <v>17</v>
      </c>
      <c r="V568" s="13">
        <f t="shared" si="79"/>
        <v>0.23529411764705882</v>
      </c>
      <c r="W568" s="13">
        <f t="shared" si="96"/>
        <v>0.23529411764705882</v>
      </c>
      <c r="X568" s="3">
        <f t="shared" si="73"/>
        <v>17</v>
      </c>
      <c r="Y568" s="3" t="e">
        <f t="shared" si="97"/>
        <v>#DIV/0!</v>
      </c>
      <c r="Z568" s="19"/>
      <c r="AA568" s="19"/>
      <c r="AB568" s="3">
        <v>150</v>
      </c>
      <c r="AC568" s="3" t="s">
        <v>82</v>
      </c>
      <c r="AD568" s="3" t="s">
        <v>83</v>
      </c>
      <c r="AE568" s="3">
        <v>15</v>
      </c>
      <c r="AF568" s="3" t="s">
        <v>151</v>
      </c>
      <c r="AG568" s="3" t="s">
        <v>243</v>
      </c>
      <c r="AH568" s="3"/>
    </row>
    <row r="569" spans="1:34" ht="14.25" customHeight="1" x14ac:dyDescent="0.25">
      <c r="A569" s="3" t="s">
        <v>114</v>
      </c>
      <c r="B569" s="3" t="s">
        <v>79</v>
      </c>
      <c r="C569" s="19"/>
      <c r="D569" s="3" t="s">
        <v>115</v>
      </c>
      <c r="E569" s="3">
        <v>1</v>
      </c>
      <c r="F569" s="3">
        <v>1</v>
      </c>
      <c r="G569" s="3" t="s">
        <v>22</v>
      </c>
      <c r="H569" s="11">
        <v>45808</v>
      </c>
      <c r="I569" s="3" t="s">
        <v>159</v>
      </c>
      <c r="J569" s="3">
        <v>7</v>
      </c>
      <c r="K569" s="3">
        <v>14</v>
      </c>
      <c r="L569" s="3">
        <v>5</v>
      </c>
      <c r="M569" s="3">
        <v>0</v>
      </c>
      <c r="N569" s="3">
        <v>0</v>
      </c>
      <c r="O569" s="3">
        <f t="shared" si="70"/>
        <v>26</v>
      </c>
      <c r="P569" s="3">
        <v>7</v>
      </c>
      <c r="Q569" s="3">
        <v>5</v>
      </c>
      <c r="R569" s="3">
        <v>5</v>
      </c>
      <c r="S569" s="3">
        <v>0</v>
      </c>
      <c r="T569" s="3">
        <v>0</v>
      </c>
      <c r="U569" s="3">
        <f t="shared" si="77"/>
        <v>17</v>
      </c>
      <c r="V569" s="13">
        <f t="shared" si="79"/>
        <v>1.5294117647058822</v>
      </c>
      <c r="W569" s="13">
        <f t="shared" si="96"/>
        <v>1.5294117647058822</v>
      </c>
      <c r="X569" s="3">
        <f t="shared" si="73"/>
        <v>17</v>
      </c>
      <c r="Y569" s="3" t="e">
        <f t="shared" si="97"/>
        <v>#DIV/0!</v>
      </c>
      <c r="Z569" s="19"/>
      <c r="AA569" s="19"/>
      <c r="AB569" s="3">
        <v>150</v>
      </c>
      <c r="AC569" s="3" t="s">
        <v>82</v>
      </c>
      <c r="AD569" s="3" t="s">
        <v>83</v>
      </c>
      <c r="AE569" s="3">
        <v>15</v>
      </c>
      <c r="AF569" s="3" t="s">
        <v>151</v>
      </c>
      <c r="AG569" s="3" t="s">
        <v>243</v>
      </c>
      <c r="AH569" s="3"/>
    </row>
    <row r="570" spans="1:34" ht="14.25" customHeight="1" x14ac:dyDescent="0.25">
      <c r="A570" s="15" t="s">
        <v>128</v>
      </c>
      <c r="B570" s="15" t="s">
        <v>79</v>
      </c>
      <c r="C570" s="15"/>
      <c r="D570" s="15" t="s">
        <v>117</v>
      </c>
      <c r="E570" s="15">
        <v>1</v>
      </c>
      <c r="F570" s="15">
        <v>1</v>
      </c>
      <c r="G570" s="15" t="s">
        <v>2</v>
      </c>
      <c r="H570" s="11">
        <v>45808</v>
      </c>
      <c r="I570" s="15" t="s">
        <v>159</v>
      </c>
      <c r="J570" s="15">
        <v>15</v>
      </c>
      <c r="K570" s="15">
        <v>0</v>
      </c>
      <c r="L570" s="15">
        <v>0</v>
      </c>
      <c r="M570" s="15">
        <v>0</v>
      </c>
      <c r="N570" s="15">
        <v>0</v>
      </c>
      <c r="O570" s="15">
        <v>15</v>
      </c>
      <c r="P570" s="15">
        <v>3</v>
      </c>
      <c r="Q570" s="15">
        <v>2</v>
      </c>
      <c r="R570" s="15">
        <v>2</v>
      </c>
      <c r="S570" s="15">
        <v>3</v>
      </c>
      <c r="T570" s="15">
        <v>0</v>
      </c>
      <c r="U570" s="15">
        <v>10</v>
      </c>
      <c r="V570" s="21">
        <v>1.5</v>
      </c>
      <c r="W570" s="13">
        <f t="shared" si="96"/>
        <v>1.5</v>
      </c>
      <c r="X570" s="15">
        <v>10</v>
      </c>
      <c r="Y570" s="3" t="e">
        <f t="shared" si="97"/>
        <v>#DIV/0!</v>
      </c>
      <c r="Z570" s="15"/>
      <c r="AA570" s="15"/>
      <c r="AB570" s="15">
        <v>21</v>
      </c>
      <c r="AC570" s="15" t="s">
        <v>82</v>
      </c>
      <c r="AD570" s="15" t="s">
        <v>83</v>
      </c>
      <c r="AE570" s="15">
        <v>15</v>
      </c>
      <c r="AF570" s="3" t="s">
        <v>151</v>
      </c>
      <c r="AG570" s="15" t="s">
        <v>244</v>
      </c>
      <c r="AH570" s="3"/>
    </row>
    <row r="571" spans="1:34" ht="14.25" customHeight="1" x14ac:dyDescent="0.25">
      <c r="A571" s="15" t="s">
        <v>128</v>
      </c>
      <c r="B571" s="15" t="s">
        <v>79</v>
      </c>
      <c r="C571" s="15"/>
      <c r="D571" s="15" t="s">
        <v>117</v>
      </c>
      <c r="E571" s="15">
        <v>1</v>
      </c>
      <c r="F571" s="15">
        <v>1</v>
      </c>
      <c r="G571" s="15" t="s">
        <v>16</v>
      </c>
      <c r="H571" s="11">
        <v>45808</v>
      </c>
      <c r="I571" s="15" t="s">
        <v>159</v>
      </c>
      <c r="J571" s="15">
        <v>10</v>
      </c>
      <c r="K571" s="15">
        <v>15</v>
      </c>
      <c r="L571" s="15">
        <v>0</v>
      </c>
      <c r="M571" s="15">
        <v>16</v>
      </c>
      <c r="N571" s="15">
        <v>0</v>
      </c>
      <c r="O571" s="15">
        <v>41</v>
      </c>
      <c r="P571" s="15">
        <v>3</v>
      </c>
      <c r="Q571" s="15">
        <v>2</v>
      </c>
      <c r="R571" s="15">
        <v>2</v>
      </c>
      <c r="S571" s="15">
        <v>3</v>
      </c>
      <c r="T571" s="15">
        <v>0</v>
      </c>
      <c r="U571" s="15">
        <v>10</v>
      </c>
      <c r="V571" s="21">
        <v>4.0999999999999996</v>
      </c>
      <c r="W571" s="13">
        <f t="shared" si="96"/>
        <v>4.0999999999999996</v>
      </c>
      <c r="X571" s="15">
        <v>10</v>
      </c>
      <c r="Y571" s="3" t="e">
        <f t="shared" si="97"/>
        <v>#DIV/0!</v>
      </c>
      <c r="Z571" s="15"/>
      <c r="AA571" s="15"/>
      <c r="AB571" s="15">
        <v>21</v>
      </c>
      <c r="AC571" s="15" t="s">
        <v>82</v>
      </c>
      <c r="AD571" s="15" t="s">
        <v>83</v>
      </c>
      <c r="AE571" s="15">
        <v>15</v>
      </c>
      <c r="AF571" s="3" t="s">
        <v>151</v>
      </c>
      <c r="AG571" s="15" t="s">
        <v>244</v>
      </c>
      <c r="AH571" s="3"/>
    </row>
    <row r="572" spans="1:34" ht="14.25" customHeight="1" x14ac:dyDescent="0.25">
      <c r="A572" s="15" t="s">
        <v>128</v>
      </c>
      <c r="B572" s="15" t="s">
        <v>79</v>
      </c>
      <c r="C572" s="15"/>
      <c r="D572" s="15" t="s">
        <v>117</v>
      </c>
      <c r="E572" s="15">
        <v>1</v>
      </c>
      <c r="F572" s="15">
        <v>1</v>
      </c>
      <c r="G572" s="15" t="s">
        <v>18</v>
      </c>
      <c r="H572" s="11">
        <v>45808</v>
      </c>
      <c r="I572" s="15" t="s">
        <v>159</v>
      </c>
      <c r="J572" s="15">
        <v>0</v>
      </c>
      <c r="K572" s="15">
        <v>0</v>
      </c>
      <c r="L572" s="15">
        <v>15</v>
      </c>
      <c r="M572" s="15">
        <v>16</v>
      </c>
      <c r="N572" s="15">
        <v>0</v>
      </c>
      <c r="O572" s="15">
        <v>31</v>
      </c>
      <c r="P572" s="15">
        <v>3</v>
      </c>
      <c r="Q572" s="15">
        <v>2</v>
      </c>
      <c r="R572" s="15">
        <v>2</v>
      </c>
      <c r="S572" s="15">
        <v>3</v>
      </c>
      <c r="T572" s="15">
        <v>0</v>
      </c>
      <c r="U572" s="15">
        <v>10</v>
      </c>
      <c r="V572" s="21">
        <v>3.1</v>
      </c>
      <c r="W572" s="13">
        <f t="shared" si="96"/>
        <v>3.1</v>
      </c>
      <c r="X572" s="15">
        <v>10</v>
      </c>
      <c r="Y572" s="3" t="e">
        <f t="shared" si="97"/>
        <v>#DIV/0!</v>
      </c>
      <c r="Z572" s="15"/>
      <c r="AA572" s="15"/>
      <c r="AB572" s="15">
        <v>21</v>
      </c>
      <c r="AC572" s="15" t="s">
        <v>82</v>
      </c>
      <c r="AD572" s="15" t="s">
        <v>83</v>
      </c>
      <c r="AE572" s="15">
        <v>15</v>
      </c>
      <c r="AF572" s="3" t="s">
        <v>151</v>
      </c>
      <c r="AG572" s="15" t="s">
        <v>244</v>
      </c>
      <c r="AH572" s="3"/>
    </row>
    <row r="573" spans="1:34" ht="14.25" customHeight="1" x14ac:dyDescent="0.25">
      <c r="A573" s="3" t="s">
        <v>161</v>
      </c>
      <c r="B573" s="3" t="s">
        <v>79</v>
      </c>
      <c r="C573" s="3"/>
      <c r="D573" s="3" t="s">
        <v>80</v>
      </c>
      <c r="E573" s="3">
        <v>2</v>
      </c>
      <c r="F573" s="3">
        <v>1</v>
      </c>
      <c r="G573" s="3" t="s">
        <v>1</v>
      </c>
      <c r="H573" s="11">
        <v>45838</v>
      </c>
      <c r="I573" s="3" t="s">
        <v>167</v>
      </c>
      <c r="J573" s="3">
        <v>0</v>
      </c>
      <c r="K573" s="3">
        <v>2.5</v>
      </c>
      <c r="L573" s="3">
        <f>2.1+1.5</f>
        <v>3.6</v>
      </c>
      <c r="M573" s="3">
        <f>2.2+3.1+2.5+4.5+3.8+4.1</f>
        <v>20.200000000000003</v>
      </c>
      <c r="N573" s="3">
        <v>0</v>
      </c>
      <c r="O573" s="3">
        <f t="shared" ref="O573:O662" si="100">SUM(J573:N573)</f>
        <v>26.300000000000004</v>
      </c>
      <c r="P573" s="3">
        <v>0</v>
      </c>
      <c r="Q573" s="3">
        <v>1</v>
      </c>
      <c r="R573" s="3">
        <v>6</v>
      </c>
      <c r="S573" s="3">
        <v>7</v>
      </c>
      <c r="T573" s="3">
        <v>2</v>
      </c>
      <c r="U573" s="3">
        <v>18</v>
      </c>
      <c r="V573" s="13">
        <f t="shared" ref="V573:V662" si="101">O573/U573/F573</f>
        <v>1.4611111111111112</v>
      </c>
      <c r="W573" s="13">
        <f t="shared" si="96"/>
        <v>1.4611111111111112</v>
      </c>
      <c r="X573" s="3">
        <f t="shared" ref="X573:X662" si="102">F573*U573</f>
        <v>18</v>
      </c>
      <c r="Y573" s="3" t="e">
        <f t="shared" si="97"/>
        <v>#DIV/0!</v>
      </c>
      <c r="Z573" s="3"/>
      <c r="AA573" s="3"/>
      <c r="AB573" s="3">
        <f t="shared" ref="AB573:AB575" si="103">30*5</f>
        <v>150</v>
      </c>
      <c r="AC573" s="3" t="s">
        <v>92</v>
      </c>
      <c r="AD573" s="3" t="s">
        <v>88</v>
      </c>
      <c r="AE573" s="3"/>
      <c r="AF573" s="3" t="s">
        <v>143</v>
      </c>
      <c r="AG573" s="3" t="s">
        <v>245</v>
      </c>
      <c r="AH573" s="3"/>
    </row>
    <row r="574" spans="1:34" ht="14.25" customHeight="1" x14ac:dyDescent="0.25">
      <c r="A574" s="3" t="s">
        <v>161</v>
      </c>
      <c r="B574" s="3" t="s">
        <v>79</v>
      </c>
      <c r="C574" s="3"/>
      <c r="D574" s="3" t="s">
        <v>80</v>
      </c>
      <c r="E574" s="3">
        <v>2</v>
      </c>
      <c r="F574" s="3">
        <v>1</v>
      </c>
      <c r="G574" s="3" t="s">
        <v>2</v>
      </c>
      <c r="H574" s="11">
        <v>45838</v>
      </c>
      <c r="I574" s="3" t="s">
        <v>167</v>
      </c>
      <c r="J574" s="3">
        <v>0</v>
      </c>
      <c r="K574" s="3">
        <v>0</v>
      </c>
      <c r="L574" s="3">
        <v>1.2</v>
      </c>
      <c r="M574" s="3">
        <v>0</v>
      </c>
      <c r="N574" s="3">
        <v>0</v>
      </c>
      <c r="O574" s="3">
        <f t="shared" si="100"/>
        <v>1.2</v>
      </c>
      <c r="P574" s="3">
        <v>0</v>
      </c>
      <c r="Q574" s="3">
        <v>1</v>
      </c>
      <c r="R574" s="3">
        <v>6</v>
      </c>
      <c r="S574" s="3">
        <v>7</v>
      </c>
      <c r="T574" s="3">
        <v>2</v>
      </c>
      <c r="U574" s="3">
        <v>18</v>
      </c>
      <c r="V574" s="13">
        <f t="shared" si="101"/>
        <v>6.6666666666666666E-2</v>
      </c>
      <c r="W574" s="13">
        <f t="shared" si="96"/>
        <v>6.6666666666666666E-2</v>
      </c>
      <c r="X574" s="3">
        <f t="shared" si="102"/>
        <v>18</v>
      </c>
      <c r="Y574" s="3" t="e">
        <f t="shared" si="97"/>
        <v>#DIV/0!</v>
      </c>
      <c r="Z574" s="3"/>
      <c r="AA574" s="3"/>
      <c r="AB574" s="3">
        <f t="shared" si="103"/>
        <v>150</v>
      </c>
      <c r="AC574" s="3" t="s">
        <v>92</v>
      </c>
      <c r="AD574" s="3" t="s">
        <v>88</v>
      </c>
      <c r="AE574" s="3"/>
      <c r="AF574" s="3" t="s">
        <v>143</v>
      </c>
      <c r="AG574" s="3" t="s">
        <v>245</v>
      </c>
      <c r="AH574" s="3"/>
    </row>
    <row r="575" spans="1:34" ht="14.25" customHeight="1" x14ac:dyDescent="0.25">
      <c r="A575" s="3" t="s">
        <v>161</v>
      </c>
      <c r="B575" s="3" t="s">
        <v>79</v>
      </c>
      <c r="C575" s="3"/>
      <c r="D575" s="3" t="s">
        <v>80</v>
      </c>
      <c r="E575" s="3">
        <v>2</v>
      </c>
      <c r="F575" s="3">
        <v>1</v>
      </c>
      <c r="G575" s="3" t="s">
        <v>19</v>
      </c>
      <c r="H575" s="11">
        <v>45838</v>
      </c>
      <c r="I575" s="3" t="s">
        <v>167</v>
      </c>
      <c r="J575" s="3">
        <v>0</v>
      </c>
      <c r="K575" s="3">
        <v>2</v>
      </c>
      <c r="L575" s="3">
        <f>4.3+4+1+3+4+2.8</f>
        <v>19.100000000000001</v>
      </c>
      <c r="M575" s="3">
        <f>3.5+4.1+3.2+2.9+3.9+4.3+5.6</f>
        <v>27.5</v>
      </c>
      <c r="N575" s="3">
        <f>4.9+4.7+5.7</f>
        <v>15.3</v>
      </c>
      <c r="O575" s="3">
        <f t="shared" si="100"/>
        <v>63.900000000000006</v>
      </c>
      <c r="P575" s="3">
        <v>0</v>
      </c>
      <c r="Q575" s="3">
        <v>1</v>
      </c>
      <c r="R575" s="3">
        <v>6</v>
      </c>
      <c r="S575" s="3">
        <v>7</v>
      </c>
      <c r="T575" s="3">
        <v>2</v>
      </c>
      <c r="U575" s="3">
        <v>18</v>
      </c>
      <c r="V575" s="13">
        <f t="shared" si="101"/>
        <v>3.5500000000000003</v>
      </c>
      <c r="W575" s="13">
        <f t="shared" si="96"/>
        <v>3.5500000000000003</v>
      </c>
      <c r="X575" s="3">
        <f t="shared" si="102"/>
        <v>18</v>
      </c>
      <c r="Y575" s="3" t="e">
        <f t="shared" si="97"/>
        <v>#DIV/0!</v>
      </c>
      <c r="Z575" s="3"/>
      <c r="AA575" s="3"/>
      <c r="AB575" s="3">
        <f t="shared" si="103"/>
        <v>150</v>
      </c>
      <c r="AC575" s="3" t="s">
        <v>92</v>
      </c>
      <c r="AD575" s="3" t="s">
        <v>88</v>
      </c>
      <c r="AE575" s="3"/>
      <c r="AF575" s="3" t="s">
        <v>143</v>
      </c>
      <c r="AG575" s="3" t="s">
        <v>245</v>
      </c>
      <c r="AH575" s="3"/>
    </row>
    <row r="576" spans="1:34" ht="14.25" customHeight="1" x14ac:dyDescent="0.25">
      <c r="A576" s="3" t="s">
        <v>96</v>
      </c>
      <c r="B576" s="3" t="s">
        <v>79</v>
      </c>
      <c r="C576" s="3"/>
      <c r="D576" s="3" t="s">
        <v>80</v>
      </c>
      <c r="E576" s="3">
        <v>1</v>
      </c>
      <c r="F576" s="3">
        <v>1</v>
      </c>
      <c r="G576" s="3" t="s">
        <v>14</v>
      </c>
      <c r="H576" s="11">
        <v>45838</v>
      </c>
      <c r="I576" s="3" t="s">
        <v>167</v>
      </c>
      <c r="J576" s="3">
        <v>0</v>
      </c>
      <c r="K576" s="3">
        <v>0</v>
      </c>
      <c r="L576" s="3">
        <v>0</v>
      </c>
      <c r="M576" s="3">
        <v>4</v>
      </c>
      <c r="N576" s="3">
        <v>0</v>
      </c>
      <c r="O576" s="3">
        <f t="shared" si="100"/>
        <v>4</v>
      </c>
      <c r="P576" s="3">
        <v>3</v>
      </c>
      <c r="Q576" s="3">
        <v>2</v>
      </c>
      <c r="R576" s="3">
        <v>2</v>
      </c>
      <c r="S576" s="3">
        <v>3</v>
      </c>
      <c r="T576" s="3">
        <v>0</v>
      </c>
      <c r="U576" s="3">
        <f t="shared" ref="U576:U662" si="104">SUM(P576:T576)</f>
        <v>10</v>
      </c>
      <c r="V576" s="13">
        <f t="shared" si="101"/>
        <v>0.4</v>
      </c>
      <c r="W576" s="13">
        <f t="shared" si="96"/>
        <v>0.4</v>
      </c>
      <c r="X576" s="3">
        <f t="shared" si="102"/>
        <v>10</v>
      </c>
      <c r="Y576" s="3" t="e">
        <f t="shared" si="97"/>
        <v>#DIV/0!</v>
      </c>
      <c r="Z576" s="3"/>
      <c r="AA576" s="3"/>
      <c r="AB576" s="3"/>
      <c r="AC576" s="3" t="s">
        <v>82</v>
      </c>
      <c r="AD576" s="3" t="s">
        <v>83</v>
      </c>
      <c r="AE576" s="3">
        <v>40</v>
      </c>
      <c r="AF576" s="3" t="s">
        <v>143</v>
      </c>
      <c r="AG576" s="3" t="s">
        <v>173</v>
      </c>
      <c r="AH576" s="3"/>
    </row>
    <row r="577" spans="1:34" ht="14.25" customHeight="1" x14ac:dyDescent="0.25">
      <c r="A577" s="3" t="s">
        <v>96</v>
      </c>
      <c r="B577" s="3" t="s">
        <v>79</v>
      </c>
      <c r="C577" s="3"/>
      <c r="D577" s="3" t="s">
        <v>80</v>
      </c>
      <c r="E577" s="3">
        <v>1</v>
      </c>
      <c r="F577" s="3">
        <v>1</v>
      </c>
      <c r="G577" s="3" t="s">
        <v>16</v>
      </c>
      <c r="H577" s="11">
        <v>45838</v>
      </c>
      <c r="I577" s="3" t="s">
        <v>167</v>
      </c>
      <c r="J577" s="3">
        <v>2.8</v>
      </c>
      <c r="K577" s="3">
        <v>2.2999999999999998</v>
      </c>
      <c r="L577" s="3">
        <v>0</v>
      </c>
      <c r="M577" s="3">
        <f>1.7+2.8</f>
        <v>4.5</v>
      </c>
      <c r="N577" s="3">
        <v>0</v>
      </c>
      <c r="O577" s="3">
        <f t="shared" si="100"/>
        <v>9.6</v>
      </c>
      <c r="P577" s="3">
        <v>3</v>
      </c>
      <c r="Q577" s="3">
        <v>2</v>
      </c>
      <c r="R577" s="3">
        <v>2</v>
      </c>
      <c r="S577" s="3">
        <v>3</v>
      </c>
      <c r="T577" s="3">
        <v>0</v>
      </c>
      <c r="U577" s="3">
        <f t="shared" si="104"/>
        <v>10</v>
      </c>
      <c r="V577" s="13">
        <f t="shared" si="101"/>
        <v>0.96</v>
      </c>
      <c r="W577" s="13">
        <f t="shared" si="96"/>
        <v>0.96</v>
      </c>
      <c r="X577" s="3">
        <f t="shared" si="102"/>
        <v>10</v>
      </c>
      <c r="Y577" s="3" t="e">
        <f t="shared" si="97"/>
        <v>#DIV/0!</v>
      </c>
      <c r="Z577" s="3"/>
      <c r="AA577" s="3"/>
      <c r="AB577" s="3"/>
      <c r="AC577" s="3" t="s">
        <v>82</v>
      </c>
      <c r="AD577" s="3" t="s">
        <v>83</v>
      </c>
      <c r="AE577" s="3">
        <v>40</v>
      </c>
      <c r="AF577" s="3" t="s">
        <v>143</v>
      </c>
      <c r="AG577" s="3" t="s">
        <v>173</v>
      </c>
      <c r="AH577" s="3"/>
    </row>
    <row r="578" spans="1:34" ht="14.25" customHeight="1" x14ac:dyDescent="0.25">
      <c r="A578" s="3" t="s">
        <v>96</v>
      </c>
      <c r="B578" s="3" t="s">
        <v>79</v>
      </c>
      <c r="C578" s="3"/>
      <c r="D578" s="3" t="s">
        <v>80</v>
      </c>
      <c r="E578" s="3">
        <v>1</v>
      </c>
      <c r="F578" s="3">
        <v>1</v>
      </c>
      <c r="G578" s="3" t="s">
        <v>18</v>
      </c>
      <c r="H578" s="11">
        <v>45838</v>
      </c>
      <c r="I578" s="3" t="s">
        <v>167</v>
      </c>
      <c r="J578" s="3">
        <f>6+8.8+2.4</f>
        <v>17.2</v>
      </c>
      <c r="K578" s="3">
        <f>5.8+3.4</f>
        <v>9.1999999999999993</v>
      </c>
      <c r="L578" s="3">
        <f>7+5</f>
        <v>12</v>
      </c>
      <c r="M578" s="3">
        <f>3.8+5.2+3.3</f>
        <v>12.3</v>
      </c>
      <c r="N578" s="3">
        <v>0</v>
      </c>
      <c r="O578" s="3">
        <f t="shared" si="100"/>
        <v>50.7</v>
      </c>
      <c r="P578" s="3">
        <v>3</v>
      </c>
      <c r="Q578" s="3">
        <v>2</v>
      </c>
      <c r="R578" s="3">
        <v>2</v>
      </c>
      <c r="S578" s="3">
        <v>3</v>
      </c>
      <c r="T578" s="3">
        <v>0</v>
      </c>
      <c r="U578" s="3">
        <f t="shared" si="104"/>
        <v>10</v>
      </c>
      <c r="V578" s="13">
        <f t="shared" si="101"/>
        <v>5.07</v>
      </c>
      <c r="W578" s="13">
        <f t="shared" si="96"/>
        <v>5.07</v>
      </c>
      <c r="X578" s="3">
        <f t="shared" si="102"/>
        <v>10</v>
      </c>
      <c r="Y578" s="3" t="e">
        <f t="shared" si="97"/>
        <v>#DIV/0!</v>
      </c>
      <c r="Z578" s="3"/>
      <c r="AA578" s="3"/>
      <c r="AB578" s="3"/>
      <c r="AC578" s="3" t="s">
        <v>82</v>
      </c>
      <c r="AD578" s="3" t="s">
        <v>83</v>
      </c>
      <c r="AE578" s="3">
        <v>40</v>
      </c>
      <c r="AF578" s="3" t="s">
        <v>143</v>
      </c>
      <c r="AG578" s="3" t="s">
        <v>173</v>
      </c>
      <c r="AH578" s="3"/>
    </row>
    <row r="579" spans="1:34" ht="14.25" customHeight="1" x14ac:dyDescent="0.25">
      <c r="A579" s="3" t="s">
        <v>90</v>
      </c>
      <c r="B579" s="3" t="s">
        <v>79</v>
      </c>
      <c r="C579" s="3"/>
      <c r="D579" s="3" t="s">
        <v>80</v>
      </c>
      <c r="E579" s="3">
        <v>2</v>
      </c>
      <c r="F579" s="3">
        <v>1</v>
      </c>
      <c r="G579" s="3" t="s">
        <v>14</v>
      </c>
      <c r="H579" s="11">
        <v>45838</v>
      </c>
      <c r="I579" s="3" t="s">
        <v>167</v>
      </c>
      <c r="J579" s="3">
        <f>4+2.2+2.8</f>
        <v>9</v>
      </c>
      <c r="K579" s="3">
        <f>1.8+2.6+2.2</f>
        <v>6.6000000000000005</v>
      </c>
      <c r="L579" s="3">
        <v>4.2</v>
      </c>
      <c r="M579" s="3">
        <v>1.6</v>
      </c>
      <c r="N579" s="3">
        <v>0</v>
      </c>
      <c r="O579" s="3">
        <f t="shared" si="100"/>
        <v>21.400000000000002</v>
      </c>
      <c r="P579" s="3">
        <v>3</v>
      </c>
      <c r="Q579" s="3">
        <v>4</v>
      </c>
      <c r="R579" s="3">
        <v>2</v>
      </c>
      <c r="S579" s="3">
        <v>3</v>
      </c>
      <c r="T579" s="3">
        <v>0</v>
      </c>
      <c r="U579" s="3">
        <f t="shared" si="104"/>
        <v>12</v>
      </c>
      <c r="V579" s="13">
        <f t="shared" si="101"/>
        <v>1.7833333333333334</v>
      </c>
      <c r="W579" s="13">
        <f t="shared" ref="W579:W642" si="105">O579/U579/F579</f>
        <v>1.7833333333333334</v>
      </c>
      <c r="X579" s="3">
        <f t="shared" si="102"/>
        <v>12</v>
      </c>
      <c r="Y579" s="3" t="e">
        <f t="shared" ref="Y579:Y642" si="106">O579/U579/AA579</f>
        <v>#DIV/0!</v>
      </c>
      <c r="Z579" s="3"/>
      <c r="AA579" s="3"/>
      <c r="AB579" s="3">
        <f t="shared" ref="AB579:AB583" si="107">9*3+15*3</f>
        <v>72</v>
      </c>
      <c r="AC579" s="3" t="s">
        <v>82</v>
      </c>
      <c r="AD579" s="3" t="s">
        <v>83</v>
      </c>
      <c r="AE579" s="3">
        <v>15</v>
      </c>
      <c r="AF579" s="3" t="s">
        <v>143</v>
      </c>
      <c r="AG579" s="3" t="s">
        <v>246</v>
      </c>
      <c r="AH579" s="3"/>
    </row>
    <row r="580" spans="1:34" ht="14.25" customHeight="1" x14ac:dyDescent="0.25">
      <c r="A580" s="3" t="s">
        <v>90</v>
      </c>
      <c r="B580" s="3" t="s">
        <v>79</v>
      </c>
      <c r="C580" s="3"/>
      <c r="D580" s="3" t="s">
        <v>80</v>
      </c>
      <c r="E580" s="3">
        <v>2</v>
      </c>
      <c r="F580" s="3">
        <v>1</v>
      </c>
      <c r="G580" s="3" t="s">
        <v>16</v>
      </c>
      <c r="H580" s="11">
        <v>45838</v>
      </c>
      <c r="I580" s="3" t="s">
        <v>167</v>
      </c>
      <c r="J580" s="3">
        <v>2.6</v>
      </c>
      <c r="K580" s="3">
        <v>3.3</v>
      </c>
      <c r="L580" s="3">
        <v>0</v>
      </c>
      <c r="M580" s="3">
        <v>2.8</v>
      </c>
      <c r="N580" s="3">
        <v>0</v>
      </c>
      <c r="O580" s="3">
        <f t="shared" si="100"/>
        <v>8.6999999999999993</v>
      </c>
      <c r="P580" s="3">
        <v>3</v>
      </c>
      <c r="Q580" s="3">
        <v>4</v>
      </c>
      <c r="R580" s="3">
        <v>2</v>
      </c>
      <c r="S580" s="3">
        <v>3</v>
      </c>
      <c r="T580" s="3">
        <v>0</v>
      </c>
      <c r="U580" s="3">
        <f t="shared" si="104"/>
        <v>12</v>
      </c>
      <c r="V580" s="13">
        <f t="shared" si="101"/>
        <v>0.72499999999999998</v>
      </c>
      <c r="W580" s="13">
        <f t="shared" si="105"/>
        <v>0.72499999999999998</v>
      </c>
      <c r="X580" s="3">
        <f t="shared" si="102"/>
        <v>12</v>
      </c>
      <c r="Y580" s="3" t="e">
        <f t="shared" si="106"/>
        <v>#DIV/0!</v>
      </c>
      <c r="Z580" s="3"/>
      <c r="AA580" s="3"/>
      <c r="AB580" s="3">
        <f t="shared" si="107"/>
        <v>72</v>
      </c>
      <c r="AC580" s="3" t="s">
        <v>82</v>
      </c>
      <c r="AD580" s="3" t="s">
        <v>83</v>
      </c>
      <c r="AE580" s="3">
        <v>15</v>
      </c>
      <c r="AF580" s="3" t="s">
        <v>143</v>
      </c>
      <c r="AG580" s="3" t="s">
        <v>246</v>
      </c>
      <c r="AH580" s="3"/>
    </row>
    <row r="581" spans="1:34" ht="14.25" customHeight="1" x14ac:dyDescent="0.25">
      <c r="A581" s="3" t="s">
        <v>90</v>
      </c>
      <c r="B581" s="3" t="s">
        <v>79</v>
      </c>
      <c r="C581" s="3"/>
      <c r="D581" s="3" t="s">
        <v>80</v>
      </c>
      <c r="E581" s="3">
        <v>2</v>
      </c>
      <c r="F581" s="3">
        <v>1</v>
      </c>
      <c r="G581" s="3" t="s">
        <v>18</v>
      </c>
      <c r="H581" s="11">
        <v>45838</v>
      </c>
      <c r="I581" s="3" t="s">
        <v>167</v>
      </c>
      <c r="J581" s="3">
        <f>1.9+6+2.9</f>
        <v>10.8</v>
      </c>
      <c r="K581" s="3">
        <f>6.3+4.3+6</f>
        <v>16.600000000000001</v>
      </c>
      <c r="L581" s="3">
        <v>3.8</v>
      </c>
      <c r="M581" s="3">
        <v>1.8</v>
      </c>
      <c r="N581" s="3">
        <v>0</v>
      </c>
      <c r="O581" s="3">
        <f t="shared" si="100"/>
        <v>33</v>
      </c>
      <c r="P581" s="3">
        <v>3</v>
      </c>
      <c r="Q581" s="3">
        <v>4</v>
      </c>
      <c r="R581" s="3">
        <v>2</v>
      </c>
      <c r="S581" s="3">
        <v>3</v>
      </c>
      <c r="T581" s="3">
        <v>0</v>
      </c>
      <c r="U581" s="3">
        <f t="shared" si="104"/>
        <v>12</v>
      </c>
      <c r="V581" s="13">
        <f t="shared" si="101"/>
        <v>2.75</v>
      </c>
      <c r="W581" s="13">
        <f t="shared" si="105"/>
        <v>2.75</v>
      </c>
      <c r="X581" s="3">
        <f t="shared" si="102"/>
        <v>12</v>
      </c>
      <c r="Y581" s="3" t="e">
        <f t="shared" si="106"/>
        <v>#DIV/0!</v>
      </c>
      <c r="Z581" s="3"/>
      <c r="AA581" s="3"/>
      <c r="AB581" s="3">
        <f t="shared" si="107"/>
        <v>72</v>
      </c>
      <c r="AC581" s="3" t="s">
        <v>82</v>
      </c>
      <c r="AD581" s="3" t="s">
        <v>83</v>
      </c>
      <c r="AE581" s="3">
        <v>15</v>
      </c>
      <c r="AF581" s="3" t="s">
        <v>143</v>
      </c>
      <c r="AG581" s="3" t="s">
        <v>246</v>
      </c>
      <c r="AH581" s="3"/>
    </row>
    <row r="582" spans="1:34" ht="14.25" customHeight="1" x14ac:dyDescent="0.25">
      <c r="A582" s="3" t="s">
        <v>90</v>
      </c>
      <c r="B582" s="3" t="s">
        <v>79</v>
      </c>
      <c r="C582" s="3"/>
      <c r="D582" s="3" t="s">
        <v>80</v>
      </c>
      <c r="E582" s="3">
        <v>2</v>
      </c>
      <c r="F582" s="3">
        <v>1</v>
      </c>
      <c r="G582" s="3" t="s">
        <v>25</v>
      </c>
      <c r="H582" s="11">
        <v>45838</v>
      </c>
      <c r="I582" s="3" t="s">
        <v>167</v>
      </c>
      <c r="J582" s="3">
        <v>8.8000000000000007</v>
      </c>
      <c r="K582" s="3">
        <v>0</v>
      </c>
      <c r="L582" s="3">
        <v>0</v>
      </c>
      <c r="M582" s="3">
        <v>13.2</v>
      </c>
      <c r="N582" s="3">
        <v>0</v>
      </c>
      <c r="O582" s="3">
        <f t="shared" si="100"/>
        <v>22</v>
      </c>
      <c r="P582" s="3">
        <v>3</v>
      </c>
      <c r="Q582" s="3">
        <v>4</v>
      </c>
      <c r="R582" s="3">
        <v>2</v>
      </c>
      <c r="S582" s="3">
        <v>3</v>
      </c>
      <c r="T582" s="3">
        <v>0</v>
      </c>
      <c r="U582" s="3">
        <f t="shared" si="104"/>
        <v>12</v>
      </c>
      <c r="V582" s="13">
        <f t="shared" si="101"/>
        <v>1.8333333333333333</v>
      </c>
      <c r="W582" s="13">
        <f t="shared" si="105"/>
        <v>1.8333333333333333</v>
      </c>
      <c r="X582" s="3">
        <f t="shared" si="102"/>
        <v>12</v>
      </c>
      <c r="Y582" s="3" t="e">
        <f t="shared" si="106"/>
        <v>#DIV/0!</v>
      </c>
      <c r="Z582" s="3"/>
      <c r="AA582" s="3"/>
      <c r="AB582" s="3">
        <f t="shared" si="107"/>
        <v>72</v>
      </c>
      <c r="AC582" s="3" t="s">
        <v>82</v>
      </c>
      <c r="AD582" s="3" t="s">
        <v>83</v>
      </c>
      <c r="AE582" s="3">
        <v>15</v>
      </c>
      <c r="AF582" s="3" t="s">
        <v>143</v>
      </c>
      <c r="AG582" s="3" t="s">
        <v>246</v>
      </c>
      <c r="AH582" s="3"/>
    </row>
    <row r="583" spans="1:34" ht="14.25" customHeight="1" x14ac:dyDescent="0.25">
      <c r="A583" s="3" t="s">
        <v>90</v>
      </c>
      <c r="B583" s="3" t="s">
        <v>79</v>
      </c>
      <c r="C583" s="3"/>
      <c r="D583" s="3" t="s">
        <v>80</v>
      </c>
      <c r="E583" s="3">
        <v>2</v>
      </c>
      <c r="F583" s="3">
        <v>1</v>
      </c>
      <c r="G583" s="3" t="s">
        <v>22</v>
      </c>
      <c r="H583" s="11">
        <v>45838</v>
      </c>
      <c r="I583" s="3" t="s">
        <v>167</v>
      </c>
      <c r="J583" s="3">
        <v>0</v>
      </c>
      <c r="K583" s="3">
        <v>3.8</v>
      </c>
      <c r="L583" s="3">
        <v>6.6</v>
      </c>
      <c r="M583" s="3">
        <v>3.8</v>
      </c>
      <c r="N583" s="3">
        <v>0</v>
      </c>
      <c r="O583" s="3">
        <f t="shared" si="100"/>
        <v>14.2</v>
      </c>
      <c r="P583" s="3">
        <v>3</v>
      </c>
      <c r="Q583" s="3">
        <v>4</v>
      </c>
      <c r="R583" s="3">
        <v>2</v>
      </c>
      <c r="S583" s="3">
        <v>3</v>
      </c>
      <c r="T583" s="3">
        <v>0</v>
      </c>
      <c r="U583" s="3">
        <f t="shared" si="104"/>
        <v>12</v>
      </c>
      <c r="V583" s="13">
        <f t="shared" si="101"/>
        <v>1.1833333333333333</v>
      </c>
      <c r="W583" s="13">
        <f t="shared" si="105"/>
        <v>1.1833333333333333</v>
      </c>
      <c r="X583" s="3">
        <f t="shared" si="102"/>
        <v>12</v>
      </c>
      <c r="Y583" s="3" t="e">
        <f t="shared" si="106"/>
        <v>#DIV/0!</v>
      </c>
      <c r="Z583" s="3"/>
      <c r="AA583" s="3"/>
      <c r="AB583" s="3">
        <f t="shared" si="107"/>
        <v>72</v>
      </c>
      <c r="AC583" s="3" t="s">
        <v>82</v>
      </c>
      <c r="AD583" s="3" t="s">
        <v>83</v>
      </c>
      <c r="AE583" s="3">
        <v>15</v>
      </c>
      <c r="AF583" s="3" t="s">
        <v>143</v>
      </c>
      <c r="AG583" s="3" t="s">
        <v>246</v>
      </c>
      <c r="AH583" s="3"/>
    </row>
    <row r="584" spans="1:34" ht="14.25" customHeight="1" x14ac:dyDescent="0.25">
      <c r="A584" s="3" t="s">
        <v>145</v>
      </c>
      <c r="B584" s="3" t="s">
        <v>79</v>
      </c>
      <c r="C584" s="3"/>
      <c r="D584" s="3" t="s">
        <v>186</v>
      </c>
      <c r="E584" s="3">
        <v>1</v>
      </c>
      <c r="F584" s="3">
        <v>1</v>
      </c>
      <c r="G584" s="3" t="s">
        <v>3</v>
      </c>
      <c r="H584" s="11">
        <v>45838</v>
      </c>
      <c r="I584" s="3" t="s">
        <v>167</v>
      </c>
      <c r="J584" s="3">
        <f>14+9+9.8</f>
        <v>32.799999999999997</v>
      </c>
      <c r="K584" s="3">
        <f>11+10.8+6</f>
        <v>27.8</v>
      </c>
      <c r="L584" s="3">
        <f>15+13+10.3</f>
        <v>38.299999999999997</v>
      </c>
      <c r="M584" s="3">
        <f>8+5.2+16+22</f>
        <v>51.2</v>
      </c>
      <c r="N584" s="3">
        <v>0</v>
      </c>
      <c r="O584" s="3">
        <f t="shared" si="100"/>
        <v>150.1</v>
      </c>
      <c r="P584" s="3">
        <v>3</v>
      </c>
      <c r="Q584" s="3">
        <v>3</v>
      </c>
      <c r="R584" s="3">
        <v>3</v>
      </c>
      <c r="S584" s="3">
        <v>4</v>
      </c>
      <c r="T584" s="3">
        <v>0</v>
      </c>
      <c r="U584" s="3">
        <f t="shared" si="104"/>
        <v>13</v>
      </c>
      <c r="V584" s="13">
        <f t="shared" si="101"/>
        <v>11.546153846153846</v>
      </c>
      <c r="W584" s="13">
        <f t="shared" si="105"/>
        <v>11.546153846153846</v>
      </c>
      <c r="X584" s="3">
        <f t="shared" si="102"/>
        <v>13</v>
      </c>
      <c r="Y584" s="3">
        <f t="shared" si="106"/>
        <v>3.7487512487512489E-2</v>
      </c>
      <c r="Z584" s="3"/>
      <c r="AA584" s="3">
        <f t="shared" ref="AA584:AA587" si="108">10*2.2*14</f>
        <v>308</v>
      </c>
      <c r="AB584" s="3"/>
      <c r="AC584" s="3" t="s">
        <v>82</v>
      </c>
      <c r="AD584" s="3" t="s">
        <v>83</v>
      </c>
      <c r="AE584" s="3">
        <v>15</v>
      </c>
      <c r="AF584" s="3" t="s">
        <v>143</v>
      </c>
      <c r="AG584" s="3" t="s">
        <v>303</v>
      </c>
      <c r="AH584" s="3"/>
    </row>
    <row r="585" spans="1:34" ht="14.25" customHeight="1" x14ac:dyDescent="0.25">
      <c r="A585" s="3" t="s">
        <v>145</v>
      </c>
      <c r="B585" s="3" t="s">
        <v>79</v>
      </c>
      <c r="C585" s="3"/>
      <c r="D585" s="3" t="s">
        <v>186</v>
      </c>
      <c r="E585" s="3">
        <v>1</v>
      </c>
      <c r="F585" s="3">
        <v>1</v>
      </c>
      <c r="G585" s="3" t="s">
        <v>12</v>
      </c>
      <c r="H585" s="11">
        <v>45838</v>
      </c>
      <c r="I585" s="3" t="s">
        <v>167</v>
      </c>
      <c r="J585" s="3">
        <v>1.3</v>
      </c>
      <c r="K585" s="3">
        <v>1.3</v>
      </c>
      <c r="L585" s="3">
        <v>0</v>
      </c>
      <c r="M585" s="3">
        <v>1.1000000000000001</v>
      </c>
      <c r="N585" s="3">
        <v>0</v>
      </c>
      <c r="O585" s="3">
        <f t="shared" si="100"/>
        <v>3.7</v>
      </c>
      <c r="P585" s="3">
        <v>3</v>
      </c>
      <c r="Q585" s="3">
        <v>3</v>
      </c>
      <c r="R585" s="3">
        <v>3</v>
      </c>
      <c r="S585" s="3">
        <v>4</v>
      </c>
      <c r="T585" s="3">
        <v>0</v>
      </c>
      <c r="U585" s="3">
        <f t="shared" si="104"/>
        <v>13</v>
      </c>
      <c r="V585" s="13">
        <f t="shared" si="101"/>
        <v>0.2846153846153846</v>
      </c>
      <c r="W585" s="13">
        <f t="shared" si="105"/>
        <v>0.2846153846153846</v>
      </c>
      <c r="X585" s="3">
        <f t="shared" si="102"/>
        <v>13</v>
      </c>
      <c r="Y585" s="3">
        <f t="shared" si="106"/>
        <v>9.2407592407592408E-4</v>
      </c>
      <c r="Z585" s="3"/>
      <c r="AA585" s="3">
        <f t="shared" si="108"/>
        <v>308</v>
      </c>
      <c r="AB585" s="3"/>
      <c r="AC585" s="3" t="s">
        <v>82</v>
      </c>
      <c r="AD585" s="3" t="s">
        <v>83</v>
      </c>
      <c r="AE585" s="3">
        <v>15</v>
      </c>
      <c r="AF585" s="3" t="s">
        <v>143</v>
      </c>
      <c r="AG585" s="3" t="s">
        <v>303</v>
      </c>
      <c r="AH585" s="3"/>
    </row>
    <row r="586" spans="1:34" ht="14.25" customHeight="1" x14ac:dyDescent="0.25">
      <c r="A586" s="3" t="s">
        <v>145</v>
      </c>
      <c r="B586" s="3" t="s">
        <v>79</v>
      </c>
      <c r="C586" s="3"/>
      <c r="D586" s="3" t="s">
        <v>186</v>
      </c>
      <c r="E586" s="3">
        <v>1</v>
      </c>
      <c r="F586" s="3">
        <v>1</v>
      </c>
      <c r="G586" s="3" t="s">
        <v>14</v>
      </c>
      <c r="H586" s="11">
        <v>45838</v>
      </c>
      <c r="I586" s="3" t="s">
        <v>167</v>
      </c>
      <c r="J586" s="3">
        <v>2.2000000000000002</v>
      </c>
      <c r="K586" s="3">
        <v>0</v>
      </c>
      <c r="L586" s="3">
        <v>4</v>
      </c>
      <c r="M586" s="3">
        <v>2.6</v>
      </c>
      <c r="N586" s="3">
        <v>0</v>
      </c>
      <c r="O586" s="3">
        <f t="shared" si="100"/>
        <v>8.8000000000000007</v>
      </c>
      <c r="P586" s="3">
        <v>3</v>
      </c>
      <c r="Q586" s="3">
        <v>3</v>
      </c>
      <c r="R586" s="3">
        <v>3</v>
      </c>
      <c r="S586" s="3">
        <v>4</v>
      </c>
      <c r="T586" s="3">
        <v>0</v>
      </c>
      <c r="U586" s="3">
        <f t="shared" si="104"/>
        <v>13</v>
      </c>
      <c r="V586" s="13">
        <f t="shared" si="101"/>
        <v>0.67692307692307696</v>
      </c>
      <c r="W586" s="13">
        <f t="shared" si="105"/>
        <v>0.67692307692307696</v>
      </c>
      <c r="X586" s="3">
        <f t="shared" si="102"/>
        <v>13</v>
      </c>
      <c r="Y586" s="3">
        <f t="shared" si="106"/>
        <v>2.1978021978021978E-3</v>
      </c>
      <c r="Z586" s="3"/>
      <c r="AA586" s="3">
        <f t="shared" si="108"/>
        <v>308</v>
      </c>
      <c r="AB586" s="3"/>
      <c r="AC586" s="3" t="s">
        <v>82</v>
      </c>
      <c r="AD586" s="3" t="s">
        <v>83</v>
      </c>
      <c r="AE586" s="3">
        <v>15</v>
      </c>
      <c r="AF586" s="3" t="s">
        <v>143</v>
      </c>
      <c r="AG586" s="3" t="s">
        <v>303</v>
      </c>
      <c r="AH586" s="3"/>
    </row>
    <row r="587" spans="1:34" ht="14.25" customHeight="1" x14ac:dyDescent="0.25">
      <c r="A587" s="3" t="s">
        <v>145</v>
      </c>
      <c r="B587" s="3" t="s">
        <v>79</v>
      </c>
      <c r="C587" s="3"/>
      <c r="D587" s="3" t="s">
        <v>186</v>
      </c>
      <c r="E587" s="3">
        <v>1</v>
      </c>
      <c r="F587" s="3">
        <v>1</v>
      </c>
      <c r="G587" s="3" t="s">
        <v>16</v>
      </c>
      <c r="H587" s="11">
        <v>45838</v>
      </c>
      <c r="I587" s="3" t="s">
        <v>167</v>
      </c>
      <c r="J587" s="3">
        <f>3.8+1.8</f>
        <v>5.6</v>
      </c>
      <c r="K587" s="3">
        <v>2.2000000000000002</v>
      </c>
      <c r="L587" s="3">
        <v>1.6</v>
      </c>
      <c r="M587" s="3">
        <v>3.8</v>
      </c>
      <c r="N587" s="3">
        <v>0</v>
      </c>
      <c r="O587" s="3">
        <f t="shared" si="100"/>
        <v>13.2</v>
      </c>
      <c r="P587" s="3">
        <v>3</v>
      </c>
      <c r="Q587" s="3">
        <v>3</v>
      </c>
      <c r="R587" s="3">
        <v>3</v>
      </c>
      <c r="S587" s="3">
        <v>4</v>
      </c>
      <c r="T587" s="3">
        <v>0</v>
      </c>
      <c r="U587" s="3">
        <f t="shared" si="104"/>
        <v>13</v>
      </c>
      <c r="V587" s="13">
        <f t="shared" si="101"/>
        <v>1.0153846153846153</v>
      </c>
      <c r="W587" s="13">
        <f t="shared" si="105"/>
        <v>1.0153846153846153</v>
      </c>
      <c r="X587" s="3">
        <f t="shared" si="102"/>
        <v>13</v>
      </c>
      <c r="Y587" s="3">
        <f t="shared" si="106"/>
        <v>3.2967032967032967E-3</v>
      </c>
      <c r="Z587" s="3"/>
      <c r="AA587" s="3">
        <f t="shared" si="108"/>
        <v>308</v>
      </c>
      <c r="AB587" s="3"/>
      <c r="AC587" s="3" t="s">
        <v>82</v>
      </c>
      <c r="AD587" s="3" t="s">
        <v>83</v>
      </c>
      <c r="AE587" s="3">
        <v>15</v>
      </c>
      <c r="AF587" s="3" t="s">
        <v>143</v>
      </c>
      <c r="AG587" s="3" t="s">
        <v>303</v>
      </c>
      <c r="AH587" s="3"/>
    </row>
    <row r="588" spans="1:34" ht="14.25" customHeight="1" x14ac:dyDescent="0.25">
      <c r="A588" s="3" t="s">
        <v>149</v>
      </c>
      <c r="B588" s="3" t="s">
        <v>79</v>
      </c>
      <c r="C588" s="3"/>
      <c r="D588" s="3" t="s">
        <v>80</v>
      </c>
      <c r="E588" s="3">
        <v>2</v>
      </c>
      <c r="F588" s="3">
        <v>1</v>
      </c>
      <c r="G588" s="3" t="s">
        <v>1</v>
      </c>
      <c r="H588" s="11">
        <v>45838</v>
      </c>
      <c r="I588" s="3" t="s">
        <v>167</v>
      </c>
      <c r="J588" s="3">
        <v>4</v>
      </c>
      <c r="K588" s="3">
        <v>0</v>
      </c>
      <c r="L588" s="3">
        <v>0</v>
      </c>
      <c r="M588" s="3">
        <v>0</v>
      </c>
      <c r="N588" s="3">
        <v>0</v>
      </c>
      <c r="O588" s="3">
        <f t="shared" si="100"/>
        <v>4</v>
      </c>
      <c r="P588" s="3">
        <v>5</v>
      </c>
      <c r="Q588" s="3">
        <v>3</v>
      </c>
      <c r="R588" s="3">
        <v>0</v>
      </c>
      <c r="S588" s="3">
        <v>2</v>
      </c>
      <c r="T588" s="3">
        <v>0</v>
      </c>
      <c r="U588" s="3">
        <f t="shared" si="104"/>
        <v>10</v>
      </c>
      <c r="V588" s="13">
        <f t="shared" si="101"/>
        <v>0.4</v>
      </c>
      <c r="W588" s="13">
        <f t="shared" si="105"/>
        <v>0.4</v>
      </c>
      <c r="X588" s="3">
        <f t="shared" si="102"/>
        <v>10</v>
      </c>
      <c r="Y588" s="3">
        <f t="shared" si="106"/>
        <v>1.1363636363636365E-3</v>
      </c>
      <c r="Z588" s="3"/>
      <c r="AA588" s="3">
        <f t="shared" ref="AA588:AA595" si="109">10*2.2*16</f>
        <v>352</v>
      </c>
      <c r="AB588" s="3"/>
      <c r="AC588" s="3" t="s">
        <v>82</v>
      </c>
      <c r="AD588" s="3" t="s">
        <v>83</v>
      </c>
      <c r="AE588" s="3">
        <v>15</v>
      </c>
      <c r="AF588" s="3" t="s">
        <v>143</v>
      </c>
      <c r="AG588" s="3" t="s">
        <v>287</v>
      </c>
      <c r="AH588" s="3"/>
    </row>
    <row r="589" spans="1:34" ht="14.25" customHeight="1" x14ac:dyDescent="0.25">
      <c r="A589" s="3" t="s">
        <v>149</v>
      </c>
      <c r="B589" s="3" t="s">
        <v>79</v>
      </c>
      <c r="C589" s="3"/>
      <c r="D589" s="3" t="s">
        <v>80</v>
      </c>
      <c r="E589" s="3">
        <v>2</v>
      </c>
      <c r="F589" s="3">
        <v>1</v>
      </c>
      <c r="G589" s="3" t="s">
        <v>3</v>
      </c>
      <c r="H589" s="11">
        <v>45838</v>
      </c>
      <c r="I589" s="3" t="s">
        <v>167</v>
      </c>
      <c r="J589" s="3">
        <f>4.2+5.6+8+6+7.3</f>
        <v>31.1</v>
      </c>
      <c r="K589" s="3">
        <f>15+12+9</f>
        <v>36</v>
      </c>
      <c r="L589" s="3">
        <v>0</v>
      </c>
      <c r="M589" s="3">
        <f>9+8.6</f>
        <v>17.600000000000001</v>
      </c>
      <c r="N589" s="3">
        <v>0</v>
      </c>
      <c r="O589" s="3">
        <f t="shared" si="100"/>
        <v>84.699999999999989</v>
      </c>
      <c r="P589" s="3">
        <v>5</v>
      </c>
      <c r="Q589" s="3">
        <v>3</v>
      </c>
      <c r="R589" s="3">
        <v>0</v>
      </c>
      <c r="S589" s="3">
        <v>2</v>
      </c>
      <c r="T589" s="3">
        <v>0</v>
      </c>
      <c r="U589" s="3">
        <f t="shared" si="104"/>
        <v>10</v>
      </c>
      <c r="V589" s="13">
        <f t="shared" si="101"/>
        <v>8.4699999999999989</v>
      </c>
      <c r="W589" s="13">
        <f t="shared" si="105"/>
        <v>8.4699999999999989</v>
      </c>
      <c r="X589" s="3">
        <f t="shared" si="102"/>
        <v>10</v>
      </c>
      <c r="Y589" s="3">
        <f t="shared" si="106"/>
        <v>2.4062499999999997E-2</v>
      </c>
      <c r="Z589" s="3"/>
      <c r="AA589" s="3">
        <f t="shared" si="109"/>
        <v>352</v>
      </c>
      <c r="AB589" s="3"/>
      <c r="AC589" s="3" t="s">
        <v>82</v>
      </c>
      <c r="AD589" s="3" t="s">
        <v>83</v>
      </c>
      <c r="AE589" s="3">
        <v>15</v>
      </c>
      <c r="AF589" s="3" t="s">
        <v>143</v>
      </c>
      <c r="AG589" s="3" t="s">
        <v>287</v>
      </c>
      <c r="AH589" s="3"/>
    </row>
    <row r="590" spans="1:34" ht="14.25" customHeight="1" x14ac:dyDescent="0.25">
      <c r="A590" s="3" t="s">
        <v>149</v>
      </c>
      <c r="B590" s="3" t="s">
        <v>79</v>
      </c>
      <c r="C590" s="3"/>
      <c r="D590" s="3" t="s">
        <v>80</v>
      </c>
      <c r="E590" s="3">
        <v>2</v>
      </c>
      <c r="F590" s="3">
        <v>1</v>
      </c>
      <c r="G590" s="3" t="s">
        <v>5</v>
      </c>
      <c r="H590" s="11">
        <v>45838</v>
      </c>
      <c r="I590" s="3" t="s">
        <v>167</v>
      </c>
      <c r="J590" s="3">
        <v>3.2</v>
      </c>
      <c r="K590" s="3">
        <v>0</v>
      </c>
      <c r="L590" s="3">
        <v>0</v>
      </c>
      <c r="M590" s="3">
        <v>0</v>
      </c>
      <c r="N590" s="3">
        <v>0</v>
      </c>
      <c r="O590" s="3">
        <f t="shared" si="100"/>
        <v>3.2</v>
      </c>
      <c r="P590" s="3">
        <v>5</v>
      </c>
      <c r="Q590" s="3">
        <v>3</v>
      </c>
      <c r="R590" s="3">
        <v>0</v>
      </c>
      <c r="S590" s="3">
        <v>2</v>
      </c>
      <c r="T590" s="3">
        <v>0</v>
      </c>
      <c r="U590" s="3">
        <f t="shared" si="104"/>
        <v>10</v>
      </c>
      <c r="V590" s="13">
        <f t="shared" si="101"/>
        <v>0.32</v>
      </c>
      <c r="W590" s="13">
        <f t="shared" si="105"/>
        <v>0.32</v>
      </c>
      <c r="X590" s="3">
        <f t="shared" si="102"/>
        <v>10</v>
      </c>
      <c r="Y590" s="3">
        <f t="shared" si="106"/>
        <v>9.0909090909090909E-4</v>
      </c>
      <c r="Z590" s="3"/>
      <c r="AA590" s="3">
        <f t="shared" si="109"/>
        <v>352</v>
      </c>
      <c r="AB590" s="3"/>
      <c r="AC590" s="3" t="s">
        <v>82</v>
      </c>
      <c r="AD590" s="3" t="s">
        <v>83</v>
      </c>
      <c r="AE590" s="3">
        <v>15</v>
      </c>
      <c r="AF590" s="3" t="s">
        <v>143</v>
      </c>
      <c r="AG590" s="3" t="s">
        <v>287</v>
      </c>
      <c r="AH590" s="3"/>
    </row>
    <row r="591" spans="1:34" ht="14.25" customHeight="1" x14ac:dyDescent="0.25">
      <c r="A591" s="3" t="s">
        <v>149</v>
      </c>
      <c r="B591" s="3" t="s">
        <v>79</v>
      </c>
      <c r="C591" s="3"/>
      <c r="D591" s="3" t="s">
        <v>80</v>
      </c>
      <c r="E591" s="3">
        <v>2</v>
      </c>
      <c r="F591" s="3">
        <v>1</v>
      </c>
      <c r="G591" s="3" t="s">
        <v>10</v>
      </c>
      <c r="H591" s="11">
        <v>45838</v>
      </c>
      <c r="I591" s="3" t="s">
        <v>167</v>
      </c>
      <c r="J591" s="3">
        <v>2.2999999999999998</v>
      </c>
      <c r="K591" s="3">
        <v>1.8</v>
      </c>
      <c r="L591" s="3">
        <v>0</v>
      </c>
      <c r="M591" s="3">
        <v>0</v>
      </c>
      <c r="N591" s="3">
        <v>0</v>
      </c>
      <c r="O591" s="3">
        <f t="shared" si="100"/>
        <v>4.0999999999999996</v>
      </c>
      <c r="P591" s="3">
        <v>5</v>
      </c>
      <c r="Q591" s="3">
        <v>3</v>
      </c>
      <c r="R591" s="3">
        <v>0</v>
      </c>
      <c r="S591" s="3">
        <v>2</v>
      </c>
      <c r="T591" s="3">
        <v>0</v>
      </c>
      <c r="U591" s="3">
        <f t="shared" si="104"/>
        <v>10</v>
      </c>
      <c r="V591" s="13">
        <f t="shared" si="101"/>
        <v>0.41</v>
      </c>
      <c r="W591" s="13">
        <f t="shared" si="105"/>
        <v>0.41</v>
      </c>
      <c r="X591" s="3">
        <f t="shared" si="102"/>
        <v>10</v>
      </c>
      <c r="Y591" s="3">
        <f t="shared" si="106"/>
        <v>1.1647727272727272E-3</v>
      </c>
      <c r="Z591" s="3"/>
      <c r="AA591" s="3">
        <f t="shared" si="109"/>
        <v>352</v>
      </c>
      <c r="AB591" s="3"/>
      <c r="AC591" s="3" t="s">
        <v>82</v>
      </c>
      <c r="AD591" s="3" t="s">
        <v>83</v>
      </c>
      <c r="AE591" s="3">
        <v>15</v>
      </c>
      <c r="AF591" s="3" t="s">
        <v>143</v>
      </c>
      <c r="AG591" s="3" t="s">
        <v>287</v>
      </c>
      <c r="AH591" s="3"/>
    </row>
    <row r="592" spans="1:34" ht="14.25" customHeight="1" x14ac:dyDescent="0.25">
      <c r="A592" s="3" t="s">
        <v>149</v>
      </c>
      <c r="B592" s="3" t="s">
        <v>79</v>
      </c>
      <c r="C592" s="3"/>
      <c r="D592" s="3" t="s">
        <v>80</v>
      </c>
      <c r="E592" s="3">
        <v>2</v>
      </c>
      <c r="F592" s="3">
        <v>1</v>
      </c>
      <c r="G592" s="3" t="s">
        <v>12</v>
      </c>
      <c r="H592" s="11">
        <v>45838</v>
      </c>
      <c r="I592" s="3" t="s">
        <v>167</v>
      </c>
      <c r="J592" s="3">
        <f>1.8+1.1</f>
        <v>2.9000000000000004</v>
      </c>
      <c r="K592" s="3">
        <v>1.1000000000000001</v>
      </c>
      <c r="L592" s="3">
        <v>0</v>
      </c>
      <c r="M592" s="3">
        <f>2.2</f>
        <v>2.2000000000000002</v>
      </c>
      <c r="N592" s="3">
        <v>0</v>
      </c>
      <c r="O592" s="3">
        <f t="shared" si="100"/>
        <v>6.2</v>
      </c>
      <c r="P592" s="3">
        <v>5</v>
      </c>
      <c r="Q592" s="3">
        <v>3</v>
      </c>
      <c r="R592" s="3">
        <v>0</v>
      </c>
      <c r="S592" s="3">
        <v>2</v>
      </c>
      <c r="T592" s="3">
        <v>0</v>
      </c>
      <c r="U592" s="3">
        <f t="shared" si="104"/>
        <v>10</v>
      </c>
      <c r="V592" s="13">
        <f t="shared" si="101"/>
        <v>0.62</v>
      </c>
      <c r="W592" s="13">
        <f t="shared" si="105"/>
        <v>0.62</v>
      </c>
      <c r="X592" s="3">
        <f t="shared" si="102"/>
        <v>10</v>
      </c>
      <c r="Y592" s="3">
        <f t="shared" si="106"/>
        <v>1.7613636363636364E-3</v>
      </c>
      <c r="Z592" s="3"/>
      <c r="AA592" s="3">
        <f t="shared" si="109"/>
        <v>352</v>
      </c>
      <c r="AB592" s="3"/>
      <c r="AC592" s="3" t="s">
        <v>82</v>
      </c>
      <c r="AD592" s="3" t="s">
        <v>83</v>
      </c>
      <c r="AE592" s="3">
        <v>15</v>
      </c>
      <c r="AF592" s="3" t="s">
        <v>143</v>
      </c>
      <c r="AG592" s="3" t="s">
        <v>287</v>
      </c>
      <c r="AH592" s="3"/>
    </row>
    <row r="593" spans="1:34" ht="14.25" customHeight="1" x14ac:dyDescent="0.25">
      <c r="A593" s="3" t="s">
        <v>149</v>
      </c>
      <c r="B593" s="3" t="s">
        <v>79</v>
      </c>
      <c r="C593" s="3"/>
      <c r="D593" s="3" t="s">
        <v>80</v>
      </c>
      <c r="E593" s="3">
        <v>2</v>
      </c>
      <c r="F593" s="3">
        <v>1</v>
      </c>
      <c r="G593" s="3" t="s">
        <v>14</v>
      </c>
      <c r="H593" s="11">
        <v>45838</v>
      </c>
      <c r="I593" s="3" t="s">
        <v>167</v>
      </c>
      <c r="J593" s="3">
        <v>0</v>
      </c>
      <c r="K593" s="3">
        <v>2.2000000000000002</v>
      </c>
      <c r="L593" s="3">
        <v>0</v>
      </c>
      <c r="M593" s="3">
        <v>0</v>
      </c>
      <c r="N593" s="3">
        <v>0</v>
      </c>
      <c r="O593" s="3">
        <f t="shared" si="100"/>
        <v>2.2000000000000002</v>
      </c>
      <c r="P593" s="3">
        <v>5</v>
      </c>
      <c r="Q593" s="3">
        <v>3</v>
      </c>
      <c r="R593" s="3">
        <v>0</v>
      </c>
      <c r="S593" s="3">
        <v>2</v>
      </c>
      <c r="T593" s="3">
        <v>0</v>
      </c>
      <c r="U593" s="3">
        <f t="shared" si="104"/>
        <v>10</v>
      </c>
      <c r="V593" s="13">
        <f t="shared" si="101"/>
        <v>0.22000000000000003</v>
      </c>
      <c r="W593" s="13">
        <f t="shared" si="105"/>
        <v>0.22000000000000003</v>
      </c>
      <c r="X593" s="3">
        <f t="shared" si="102"/>
        <v>10</v>
      </c>
      <c r="Y593" s="3">
        <f t="shared" si="106"/>
        <v>6.2500000000000012E-4</v>
      </c>
      <c r="Z593" s="3"/>
      <c r="AA593" s="3">
        <f t="shared" si="109"/>
        <v>352</v>
      </c>
      <c r="AB593" s="3"/>
      <c r="AC593" s="3" t="s">
        <v>82</v>
      </c>
      <c r="AD593" s="3" t="s">
        <v>83</v>
      </c>
      <c r="AE593" s="3">
        <v>15</v>
      </c>
      <c r="AF593" s="3" t="s">
        <v>143</v>
      </c>
      <c r="AG593" s="3" t="s">
        <v>287</v>
      </c>
      <c r="AH593" s="3"/>
    </row>
    <row r="594" spans="1:34" ht="14.25" customHeight="1" x14ac:dyDescent="0.25">
      <c r="A594" s="3" t="s">
        <v>149</v>
      </c>
      <c r="B594" s="3" t="s">
        <v>79</v>
      </c>
      <c r="C594" s="3"/>
      <c r="D594" s="3" t="s">
        <v>80</v>
      </c>
      <c r="E594" s="3">
        <v>2</v>
      </c>
      <c r="F594" s="3">
        <v>1</v>
      </c>
      <c r="G594" s="3" t="s">
        <v>16</v>
      </c>
      <c r="H594" s="11">
        <v>45838</v>
      </c>
      <c r="I594" s="3" t="s">
        <v>167</v>
      </c>
      <c r="J594" s="3">
        <v>0</v>
      </c>
      <c r="K594" s="3">
        <v>2.6</v>
      </c>
      <c r="L594" s="3">
        <v>0</v>
      </c>
      <c r="M594" s="3">
        <v>0</v>
      </c>
      <c r="N594" s="3">
        <v>0</v>
      </c>
      <c r="O594" s="3">
        <f t="shared" si="100"/>
        <v>2.6</v>
      </c>
      <c r="P594" s="3">
        <v>5</v>
      </c>
      <c r="Q594" s="3">
        <v>3</v>
      </c>
      <c r="R594" s="3">
        <v>0</v>
      </c>
      <c r="S594" s="3">
        <v>2</v>
      </c>
      <c r="T594" s="3">
        <v>0</v>
      </c>
      <c r="U594" s="3">
        <f t="shared" si="104"/>
        <v>10</v>
      </c>
      <c r="V594" s="13">
        <f t="shared" si="101"/>
        <v>0.26</v>
      </c>
      <c r="W594" s="13">
        <f t="shared" si="105"/>
        <v>0.26</v>
      </c>
      <c r="X594" s="3">
        <f t="shared" si="102"/>
        <v>10</v>
      </c>
      <c r="Y594" s="3">
        <f t="shared" si="106"/>
        <v>7.3863636363636362E-4</v>
      </c>
      <c r="Z594" s="3"/>
      <c r="AA594" s="3">
        <f t="shared" si="109"/>
        <v>352</v>
      </c>
      <c r="AB594" s="3"/>
      <c r="AC594" s="3" t="s">
        <v>82</v>
      </c>
      <c r="AD594" s="3" t="s">
        <v>83</v>
      </c>
      <c r="AE594" s="3">
        <v>15</v>
      </c>
      <c r="AF594" s="3" t="s">
        <v>143</v>
      </c>
      <c r="AG594" s="3" t="s">
        <v>287</v>
      </c>
      <c r="AH594" s="3"/>
    </row>
    <row r="595" spans="1:34" ht="14.25" customHeight="1" x14ac:dyDescent="0.25">
      <c r="A595" s="3" t="s">
        <v>149</v>
      </c>
      <c r="B595" s="3" t="s">
        <v>79</v>
      </c>
      <c r="C595" s="3"/>
      <c r="D595" s="3" t="s">
        <v>80</v>
      </c>
      <c r="E595" s="3">
        <v>2</v>
      </c>
      <c r="F595" s="3">
        <v>1</v>
      </c>
      <c r="G595" s="3" t="s">
        <v>24</v>
      </c>
      <c r="H595" s="11">
        <v>45838</v>
      </c>
      <c r="I595" s="3" t="s">
        <v>167</v>
      </c>
      <c r="J595" s="3">
        <f>1.3+0.9</f>
        <v>2.2000000000000002</v>
      </c>
      <c r="K595" s="3">
        <v>1.3</v>
      </c>
      <c r="L595" s="3">
        <v>0</v>
      </c>
      <c r="M595" s="3">
        <v>1.7</v>
      </c>
      <c r="N595" s="3">
        <v>0</v>
      </c>
      <c r="O595" s="3">
        <f t="shared" si="100"/>
        <v>5.2</v>
      </c>
      <c r="P595" s="3">
        <v>5</v>
      </c>
      <c r="Q595" s="3">
        <v>3</v>
      </c>
      <c r="R595" s="3">
        <v>0</v>
      </c>
      <c r="S595" s="3">
        <v>2</v>
      </c>
      <c r="T595" s="3">
        <v>0</v>
      </c>
      <c r="U595" s="3">
        <f t="shared" si="104"/>
        <v>10</v>
      </c>
      <c r="V595" s="13">
        <f t="shared" si="101"/>
        <v>0.52</v>
      </c>
      <c r="W595" s="13">
        <f t="shared" si="105"/>
        <v>0.52</v>
      </c>
      <c r="X595" s="3">
        <f t="shared" si="102"/>
        <v>10</v>
      </c>
      <c r="Y595" s="3">
        <f t="shared" si="106"/>
        <v>1.4772727272727272E-3</v>
      </c>
      <c r="Z595" s="3"/>
      <c r="AA595" s="3">
        <f t="shared" si="109"/>
        <v>352</v>
      </c>
      <c r="AB595" s="3"/>
      <c r="AC595" s="3" t="s">
        <v>82</v>
      </c>
      <c r="AD595" s="3" t="s">
        <v>83</v>
      </c>
      <c r="AE595" s="3">
        <v>15</v>
      </c>
      <c r="AF595" s="3" t="s">
        <v>143</v>
      </c>
      <c r="AG595" s="3" t="s">
        <v>287</v>
      </c>
      <c r="AH595" s="3"/>
    </row>
    <row r="596" spans="1:34" ht="14.25" customHeight="1" x14ac:dyDescent="0.25">
      <c r="A596" s="3" t="s">
        <v>146</v>
      </c>
      <c r="B596" s="3" t="s">
        <v>79</v>
      </c>
      <c r="C596" s="3"/>
      <c r="D596" s="3" t="s">
        <v>80</v>
      </c>
      <c r="E596" s="3">
        <v>1</v>
      </c>
      <c r="F596" s="3">
        <v>1</v>
      </c>
      <c r="G596" s="3" t="s">
        <v>1</v>
      </c>
      <c r="H596" s="11">
        <v>45838</v>
      </c>
      <c r="I596" s="3" t="s">
        <v>167</v>
      </c>
      <c r="J596" s="3">
        <f>6+8+9.2+9.3</f>
        <v>32.5</v>
      </c>
      <c r="K596" s="3">
        <f>14+9.3+12+11.3</f>
        <v>46.599999999999994</v>
      </c>
      <c r="L596" s="3">
        <v>6.6</v>
      </c>
      <c r="M596" s="3">
        <f>6.5+8.3+6.7</f>
        <v>21.5</v>
      </c>
      <c r="N596" s="3">
        <v>0</v>
      </c>
      <c r="O596" s="3">
        <f t="shared" si="100"/>
        <v>107.19999999999999</v>
      </c>
      <c r="P596" s="3">
        <v>5</v>
      </c>
      <c r="Q596" s="3">
        <v>5</v>
      </c>
      <c r="R596" s="3">
        <v>1</v>
      </c>
      <c r="S596" s="3">
        <v>3</v>
      </c>
      <c r="T596" s="3">
        <v>1</v>
      </c>
      <c r="U596" s="3">
        <f t="shared" si="104"/>
        <v>15</v>
      </c>
      <c r="V596" s="13">
        <f t="shared" si="101"/>
        <v>7.1466666666666656</v>
      </c>
      <c r="W596" s="13">
        <f t="shared" si="105"/>
        <v>7.1466666666666656</v>
      </c>
      <c r="X596" s="3">
        <f t="shared" si="102"/>
        <v>15</v>
      </c>
      <c r="Y596" s="3">
        <f t="shared" si="106"/>
        <v>1.0828282828282824E-2</v>
      </c>
      <c r="Z596" s="3"/>
      <c r="AA596" s="3">
        <f t="shared" ref="AA596:AA602" si="110">50*2.2*6</f>
        <v>660.00000000000011</v>
      </c>
      <c r="AB596" s="3">
        <f t="shared" ref="AB596:AB602" si="111">25*4</f>
        <v>100</v>
      </c>
      <c r="AC596" s="3" t="s">
        <v>82</v>
      </c>
      <c r="AD596" s="3" t="s">
        <v>83</v>
      </c>
      <c r="AE596" s="3">
        <v>30</v>
      </c>
      <c r="AF596" s="3" t="s">
        <v>143</v>
      </c>
      <c r="AG596" s="3" t="s">
        <v>354</v>
      </c>
      <c r="AH596" s="3"/>
    </row>
    <row r="597" spans="1:34" ht="14.25" customHeight="1" x14ac:dyDescent="0.25">
      <c r="A597" s="3" t="s">
        <v>146</v>
      </c>
      <c r="B597" s="3" t="s">
        <v>79</v>
      </c>
      <c r="C597" s="3"/>
      <c r="D597" s="3" t="s">
        <v>80</v>
      </c>
      <c r="E597" s="3">
        <v>1</v>
      </c>
      <c r="F597" s="3">
        <v>1</v>
      </c>
      <c r="G597" s="3" t="s">
        <v>3</v>
      </c>
      <c r="H597" s="11">
        <v>45838</v>
      </c>
      <c r="I597" s="3" t="s">
        <v>167</v>
      </c>
      <c r="J597" s="3">
        <f>5.2+8</f>
        <v>13.2</v>
      </c>
      <c r="K597" s="3">
        <v>4.8</v>
      </c>
      <c r="L597" s="3">
        <v>0</v>
      </c>
      <c r="M597" s="3">
        <v>8</v>
      </c>
      <c r="N597" s="3">
        <v>13</v>
      </c>
      <c r="O597" s="3">
        <f t="shared" si="100"/>
        <v>39</v>
      </c>
      <c r="P597" s="3">
        <v>5</v>
      </c>
      <c r="Q597" s="3">
        <v>5</v>
      </c>
      <c r="R597" s="3">
        <v>1</v>
      </c>
      <c r="S597" s="3">
        <v>3</v>
      </c>
      <c r="T597" s="3">
        <v>1</v>
      </c>
      <c r="U597" s="3">
        <f t="shared" si="104"/>
        <v>15</v>
      </c>
      <c r="V597" s="13">
        <f t="shared" si="101"/>
        <v>2.6</v>
      </c>
      <c r="W597" s="13">
        <f t="shared" si="105"/>
        <v>2.6</v>
      </c>
      <c r="X597" s="3">
        <f t="shared" si="102"/>
        <v>15</v>
      </c>
      <c r="Y597" s="3">
        <f t="shared" si="106"/>
        <v>3.9393939393939387E-3</v>
      </c>
      <c r="Z597" s="3"/>
      <c r="AA597" s="3">
        <f t="shared" si="110"/>
        <v>660.00000000000011</v>
      </c>
      <c r="AB597" s="3">
        <f t="shared" si="111"/>
        <v>100</v>
      </c>
      <c r="AC597" s="3" t="s">
        <v>82</v>
      </c>
      <c r="AD597" s="3" t="s">
        <v>83</v>
      </c>
      <c r="AE597" s="3">
        <v>30</v>
      </c>
      <c r="AF597" s="3" t="s">
        <v>143</v>
      </c>
      <c r="AG597" s="3" t="s">
        <v>354</v>
      </c>
      <c r="AH597" s="3"/>
    </row>
    <row r="598" spans="1:34" ht="14.25" customHeight="1" x14ac:dyDescent="0.25">
      <c r="A598" s="3" t="s">
        <v>146</v>
      </c>
      <c r="B598" s="3" t="s">
        <v>79</v>
      </c>
      <c r="C598" s="3"/>
      <c r="D598" s="3" t="s">
        <v>80</v>
      </c>
      <c r="E598" s="3">
        <v>1</v>
      </c>
      <c r="F598" s="3">
        <v>1</v>
      </c>
      <c r="G598" s="3" t="s">
        <v>5</v>
      </c>
      <c r="H598" s="11">
        <v>45838</v>
      </c>
      <c r="I598" s="3" t="s">
        <v>167</v>
      </c>
      <c r="J598" s="3">
        <v>0</v>
      </c>
      <c r="K598" s="3">
        <v>2.2000000000000002</v>
      </c>
      <c r="L598" s="3">
        <v>1.8</v>
      </c>
      <c r="M598" s="3">
        <v>0</v>
      </c>
      <c r="N598" s="3">
        <v>2.2999999999999998</v>
      </c>
      <c r="O598" s="3">
        <f t="shared" si="100"/>
        <v>6.3</v>
      </c>
      <c r="P598" s="3">
        <v>5</v>
      </c>
      <c r="Q598" s="3">
        <v>5</v>
      </c>
      <c r="R598" s="3">
        <v>1</v>
      </c>
      <c r="S598" s="3">
        <v>3</v>
      </c>
      <c r="T598" s="3">
        <v>1</v>
      </c>
      <c r="U598" s="3">
        <f t="shared" si="104"/>
        <v>15</v>
      </c>
      <c r="V598" s="13">
        <f t="shared" si="101"/>
        <v>0.42</v>
      </c>
      <c r="W598" s="13">
        <f t="shared" si="105"/>
        <v>0.42</v>
      </c>
      <c r="X598" s="3">
        <f t="shared" si="102"/>
        <v>15</v>
      </c>
      <c r="Y598" s="3">
        <f t="shared" si="106"/>
        <v>6.3636363636363619E-4</v>
      </c>
      <c r="Z598" s="3"/>
      <c r="AA598" s="3">
        <f t="shared" si="110"/>
        <v>660.00000000000011</v>
      </c>
      <c r="AB598" s="3">
        <f t="shared" si="111"/>
        <v>100</v>
      </c>
      <c r="AC598" s="3" t="s">
        <v>82</v>
      </c>
      <c r="AD598" s="3" t="s">
        <v>83</v>
      </c>
      <c r="AE598" s="3">
        <v>30</v>
      </c>
      <c r="AF598" s="3" t="s">
        <v>143</v>
      </c>
      <c r="AG598" s="3" t="s">
        <v>354</v>
      </c>
      <c r="AH598" s="3"/>
    </row>
    <row r="599" spans="1:34" ht="14.25" customHeight="1" x14ac:dyDescent="0.25">
      <c r="A599" s="3" t="s">
        <v>146</v>
      </c>
      <c r="B599" s="3" t="s">
        <v>79</v>
      </c>
      <c r="C599" s="3"/>
      <c r="D599" s="3" t="s">
        <v>80</v>
      </c>
      <c r="E599" s="3">
        <v>1</v>
      </c>
      <c r="F599" s="3">
        <v>1</v>
      </c>
      <c r="G599" s="3" t="s">
        <v>9</v>
      </c>
      <c r="H599" s="11">
        <v>45838</v>
      </c>
      <c r="I599" s="3" t="s">
        <v>167</v>
      </c>
      <c r="J599" s="3">
        <v>4.8</v>
      </c>
      <c r="K599" s="3">
        <f>6+9+4.3</f>
        <v>19.3</v>
      </c>
      <c r="L599" s="3">
        <v>8.9</v>
      </c>
      <c r="M599" s="3">
        <f>2.8</f>
        <v>2.8</v>
      </c>
      <c r="N599" s="3">
        <v>4.3</v>
      </c>
      <c r="O599" s="3">
        <f t="shared" si="100"/>
        <v>40.099999999999994</v>
      </c>
      <c r="P599" s="3">
        <v>5</v>
      </c>
      <c r="Q599" s="3">
        <v>5</v>
      </c>
      <c r="R599" s="3">
        <v>1</v>
      </c>
      <c r="S599" s="3">
        <v>3</v>
      </c>
      <c r="T599" s="3">
        <v>1</v>
      </c>
      <c r="U599" s="3">
        <f t="shared" si="104"/>
        <v>15</v>
      </c>
      <c r="V599" s="13">
        <f t="shared" si="101"/>
        <v>2.6733333333333329</v>
      </c>
      <c r="W599" s="13">
        <f t="shared" si="105"/>
        <v>2.6733333333333329</v>
      </c>
      <c r="X599" s="3">
        <f t="shared" si="102"/>
        <v>15</v>
      </c>
      <c r="Y599" s="3">
        <f t="shared" si="106"/>
        <v>4.0505050505050492E-3</v>
      </c>
      <c r="Z599" s="3"/>
      <c r="AA599" s="3">
        <f t="shared" si="110"/>
        <v>660.00000000000011</v>
      </c>
      <c r="AB599" s="3">
        <f t="shared" si="111"/>
        <v>100</v>
      </c>
      <c r="AC599" s="3" t="s">
        <v>82</v>
      </c>
      <c r="AD599" s="3" t="s">
        <v>83</v>
      </c>
      <c r="AE599" s="3">
        <v>30</v>
      </c>
      <c r="AF599" s="3" t="s">
        <v>143</v>
      </c>
      <c r="AG599" s="3" t="s">
        <v>354</v>
      </c>
      <c r="AH599" s="3"/>
    </row>
    <row r="600" spans="1:34" ht="14.25" customHeight="1" x14ac:dyDescent="0.25">
      <c r="A600" s="3" t="s">
        <v>146</v>
      </c>
      <c r="B600" s="3" t="s">
        <v>79</v>
      </c>
      <c r="C600" s="3"/>
      <c r="D600" s="3" t="s">
        <v>80</v>
      </c>
      <c r="E600" s="3">
        <v>1</v>
      </c>
      <c r="F600" s="3">
        <v>1</v>
      </c>
      <c r="G600" s="3" t="s">
        <v>12</v>
      </c>
      <c r="H600" s="11">
        <v>45838</v>
      </c>
      <c r="I600" s="3" t="s">
        <v>167</v>
      </c>
      <c r="J600" s="3">
        <v>1.4</v>
      </c>
      <c r="K600" s="3">
        <v>0</v>
      </c>
      <c r="L600" s="3">
        <v>0</v>
      </c>
      <c r="M600" s="3">
        <v>1.3</v>
      </c>
      <c r="N600" s="3">
        <v>0</v>
      </c>
      <c r="O600" s="3">
        <f t="shared" si="100"/>
        <v>2.7</v>
      </c>
      <c r="P600" s="3">
        <v>5</v>
      </c>
      <c r="Q600" s="3">
        <v>5</v>
      </c>
      <c r="R600" s="3">
        <v>1</v>
      </c>
      <c r="S600" s="3">
        <v>3</v>
      </c>
      <c r="T600" s="3">
        <v>1</v>
      </c>
      <c r="U600" s="3">
        <f t="shared" si="104"/>
        <v>15</v>
      </c>
      <c r="V600" s="13">
        <f t="shared" si="101"/>
        <v>0.18000000000000002</v>
      </c>
      <c r="W600" s="13">
        <f t="shared" si="105"/>
        <v>0.18000000000000002</v>
      </c>
      <c r="X600" s="3">
        <f t="shared" si="102"/>
        <v>15</v>
      </c>
      <c r="Y600" s="3">
        <f t="shared" si="106"/>
        <v>2.7272727272727274E-4</v>
      </c>
      <c r="Z600" s="3"/>
      <c r="AA600" s="3">
        <f t="shared" si="110"/>
        <v>660.00000000000011</v>
      </c>
      <c r="AB600" s="3">
        <f t="shared" si="111"/>
        <v>100</v>
      </c>
      <c r="AC600" s="3" t="s">
        <v>82</v>
      </c>
      <c r="AD600" s="3" t="s">
        <v>83</v>
      </c>
      <c r="AE600" s="3">
        <v>30</v>
      </c>
      <c r="AF600" s="3" t="s">
        <v>143</v>
      </c>
      <c r="AG600" s="3" t="s">
        <v>354</v>
      </c>
      <c r="AH600" s="3"/>
    </row>
    <row r="601" spans="1:34" ht="14.25" customHeight="1" x14ac:dyDescent="0.25">
      <c r="A601" s="3" t="s">
        <v>146</v>
      </c>
      <c r="B601" s="3" t="s">
        <v>79</v>
      </c>
      <c r="C601" s="3"/>
      <c r="D601" s="3" t="s">
        <v>80</v>
      </c>
      <c r="E601" s="3">
        <v>1</v>
      </c>
      <c r="F601" s="3">
        <v>1</v>
      </c>
      <c r="G601" s="3" t="s">
        <v>14</v>
      </c>
      <c r="H601" s="11">
        <v>45838</v>
      </c>
      <c r="I601" s="3" t="s">
        <v>167</v>
      </c>
      <c r="J601" s="3">
        <v>2.2000000000000002</v>
      </c>
      <c r="K601" s="3">
        <v>0</v>
      </c>
      <c r="L601" s="3">
        <v>0</v>
      </c>
      <c r="M601" s="3">
        <v>0</v>
      </c>
      <c r="N601" s="3">
        <v>0</v>
      </c>
      <c r="O601" s="3">
        <f t="shared" si="100"/>
        <v>2.2000000000000002</v>
      </c>
      <c r="P601" s="3">
        <v>5</v>
      </c>
      <c r="Q601" s="3">
        <v>5</v>
      </c>
      <c r="R601" s="3">
        <v>1</v>
      </c>
      <c r="S601" s="3">
        <v>3</v>
      </c>
      <c r="T601" s="3">
        <v>1</v>
      </c>
      <c r="U601" s="3">
        <f t="shared" si="104"/>
        <v>15</v>
      </c>
      <c r="V601" s="13">
        <f t="shared" si="101"/>
        <v>0.14666666666666667</v>
      </c>
      <c r="W601" s="13">
        <f t="shared" si="105"/>
        <v>0.14666666666666667</v>
      </c>
      <c r="X601" s="3">
        <f t="shared" si="102"/>
        <v>15</v>
      </c>
      <c r="Y601" s="3">
        <f t="shared" si="106"/>
        <v>2.2222222222222218E-4</v>
      </c>
      <c r="Z601" s="3"/>
      <c r="AA601" s="3">
        <f t="shared" si="110"/>
        <v>660.00000000000011</v>
      </c>
      <c r="AB601" s="3">
        <f t="shared" si="111"/>
        <v>100</v>
      </c>
      <c r="AC601" s="3" t="s">
        <v>82</v>
      </c>
      <c r="AD601" s="3" t="s">
        <v>83</v>
      </c>
      <c r="AE601" s="3">
        <v>30</v>
      </c>
      <c r="AF601" s="3" t="s">
        <v>143</v>
      </c>
      <c r="AG601" s="3" t="s">
        <v>354</v>
      </c>
      <c r="AH601" s="3"/>
    </row>
    <row r="602" spans="1:34" ht="14.25" customHeight="1" x14ac:dyDescent="0.25">
      <c r="A602" s="3" t="s">
        <v>146</v>
      </c>
      <c r="B602" s="3" t="s">
        <v>79</v>
      </c>
      <c r="C602" s="3"/>
      <c r="D602" s="3" t="s">
        <v>80</v>
      </c>
      <c r="E602" s="3">
        <v>1</v>
      </c>
      <c r="F602" s="3">
        <v>1</v>
      </c>
      <c r="G602" s="3" t="s">
        <v>24</v>
      </c>
      <c r="H602" s="11">
        <v>45838</v>
      </c>
      <c r="I602" s="3" t="s">
        <v>167</v>
      </c>
      <c r="J602" s="3">
        <f>3.2+1.8</f>
        <v>5</v>
      </c>
      <c r="K602" s="3">
        <v>2.2000000000000002</v>
      </c>
      <c r="L602" s="3">
        <v>0</v>
      </c>
      <c r="M602" s="3">
        <v>0.8</v>
      </c>
      <c r="N602" s="3">
        <v>0</v>
      </c>
      <c r="O602" s="3">
        <f t="shared" si="100"/>
        <v>8</v>
      </c>
      <c r="P602" s="3">
        <v>5</v>
      </c>
      <c r="Q602" s="3">
        <v>5</v>
      </c>
      <c r="R602" s="3">
        <v>1</v>
      </c>
      <c r="S602" s="3">
        <v>3</v>
      </c>
      <c r="T602" s="3">
        <v>1</v>
      </c>
      <c r="U602" s="3">
        <f t="shared" si="104"/>
        <v>15</v>
      </c>
      <c r="V602" s="13">
        <f t="shared" si="101"/>
        <v>0.53333333333333333</v>
      </c>
      <c r="W602" s="13">
        <f t="shared" si="105"/>
        <v>0.53333333333333333</v>
      </c>
      <c r="X602" s="3">
        <f t="shared" si="102"/>
        <v>15</v>
      </c>
      <c r="Y602" s="3">
        <f t="shared" si="106"/>
        <v>8.0808080808080797E-4</v>
      </c>
      <c r="Z602" s="3"/>
      <c r="AA602" s="3">
        <f t="shared" si="110"/>
        <v>660.00000000000011</v>
      </c>
      <c r="AB602" s="3">
        <f t="shared" si="111"/>
        <v>100</v>
      </c>
      <c r="AC602" s="3" t="s">
        <v>82</v>
      </c>
      <c r="AD602" s="3" t="s">
        <v>83</v>
      </c>
      <c r="AE602" s="3">
        <v>30</v>
      </c>
      <c r="AF602" s="3" t="s">
        <v>143</v>
      </c>
      <c r="AG602" s="3" t="s">
        <v>354</v>
      </c>
      <c r="AH602" s="3"/>
    </row>
    <row r="603" spans="1:34" ht="14.25" customHeight="1" x14ac:dyDescent="0.25">
      <c r="A603" s="3" t="s">
        <v>85</v>
      </c>
      <c r="B603" s="3" t="s">
        <v>79</v>
      </c>
      <c r="C603" s="3"/>
      <c r="D603" s="3" t="s">
        <v>80</v>
      </c>
      <c r="E603" s="3">
        <v>1</v>
      </c>
      <c r="F603" s="3">
        <v>1</v>
      </c>
      <c r="G603" s="3" t="s">
        <v>14</v>
      </c>
      <c r="H603" s="11">
        <v>45838</v>
      </c>
      <c r="I603" s="3" t="s">
        <v>167</v>
      </c>
      <c r="J603" s="3">
        <f>6+4.8+3.9</f>
        <v>14.700000000000001</v>
      </c>
      <c r="K603" s="3">
        <f>4.2+5.6+3.3+4.2</f>
        <v>17.3</v>
      </c>
      <c r="L603" s="3">
        <v>2.6</v>
      </c>
      <c r="M603" s="3">
        <f>4.2+6+4.4</f>
        <v>14.6</v>
      </c>
      <c r="N603" s="3">
        <v>0</v>
      </c>
      <c r="O603" s="3">
        <f t="shared" si="100"/>
        <v>49.2</v>
      </c>
      <c r="P603" s="3">
        <v>3</v>
      </c>
      <c r="Q603" s="3">
        <v>5</v>
      </c>
      <c r="R603" s="3">
        <v>1</v>
      </c>
      <c r="S603" s="3">
        <v>5</v>
      </c>
      <c r="T603" s="3">
        <v>0</v>
      </c>
      <c r="U603" s="3">
        <f t="shared" si="104"/>
        <v>14</v>
      </c>
      <c r="V603" s="13">
        <f t="shared" si="101"/>
        <v>3.5142857142857147</v>
      </c>
      <c r="W603" s="13">
        <f t="shared" si="105"/>
        <v>3.5142857142857147</v>
      </c>
      <c r="X603" s="3">
        <f t="shared" si="102"/>
        <v>14</v>
      </c>
      <c r="Y603" s="3" t="e">
        <f t="shared" si="106"/>
        <v>#DIV/0!</v>
      </c>
      <c r="Z603" s="3"/>
      <c r="AA603" s="3"/>
      <c r="AB603" s="3">
        <f t="shared" ref="AB603:AB606" si="112">20*4</f>
        <v>80</v>
      </c>
      <c r="AC603" s="3" t="s">
        <v>82</v>
      </c>
      <c r="AD603" s="3" t="s">
        <v>83</v>
      </c>
      <c r="AE603" s="3">
        <v>20</v>
      </c>
      <c r="AF603" s="3" t="s">
        <v>143</v>
      </c>
      <c r="AG603" s="3" t="s">
        <v>247</v>
      </c>
      <c r="AH603" s="3"/>
    </row>
    <row r="604" spans="1:34" ht="14.25" customHeight="1" x14ac:dyDescent="0.25">
      <c r="A604" s="3" t="s">
        <v>85</v>
      </c>
      <c r="B604" s="3" t="s">
        <v>79</v>
      </c>
      <c r="C604" s="3"/>
      <c r="D604" s="3" t="s">
        <v>80</v>
      </c>
      <c r="E604" s="3">
        <v>1</v>
      </c>
      <c r="F604" s="3">
        <v>1</v>
      </c>
      <c r="G604" s="3" t="s">
        <v>16</v>
      </c>
      <c r="H604" s="11">
        <v>45838</v>
      </c>
      <c r="I604" s="3" t="s">
        <v>167</v>
      </c>
      <c r="J604" s="3">
        <v>0</v>
      </c>
      <c r="K604" s="3">
        <v>5.2</v>
      </c>
      <c r="L604" s="3">
        <v>2.7</v>
      </c>
      <c r="M604" s="3">
        <f>1.8+4.6</f>
        <v>6.3999999999999995</v>
      </c>
      <c r="N604" s="3">
        <v>0</v>
      </c>
      <c r="O604" s="3">
        <f t="shared" si="100"/>
        <v>14.3</v>
      </c>
      <c r="P604" s="3">
        <v>3</v>
      </c>
      <c r="Q604" s="3">
        <v>5</v>
      </c>
      <c r="R604" s="3">
        <v>1</v>
      </c>
      <c r="S604" s="3">
        <v>5</v>
      </c>
      <c r="T604" s="3">
        <v>0</v>
      </c>
      <c r="U604" s="3">
        <f t="shared" si="104"/>
        <v>14</v>
      </c>
      <c r="V604" s="13">
        <f t="shared" si="101"/>
        <v>1.0214285714285716</v>
      </c>
      <c r="W604" s="13">
        <f t="shared" si="105"/>
        <v>1.0214285714285716</v>
      </c>
      <c r="X604" s="3">
        <f t="shared" si="102"/>
        <v>14</v>
      </c>
      <c r="Y604" s="3" t="e">
        <f t="shared" si="106"/>
        <v>#DIV/0!</v>
      </c>
      <c r="Z604" s="3"/>
      <c r="AA604" s="3"/>
      <c r="AB604" s="3">
        <f t="shared" si="112"/>
        <v>80</v>
      </c>
      <c r="AC604" s="3" t="s">
        <v>82</v>
      </c>
      <c r="AD604" s="3" t="s">
        <v>83</v>
      </c>
      <c r="AE604" s="3">
        <v>20</v>
      </c>
      <c r="AF604" s="3" t="s">
        <v>143</v>
      </c>
      <c r="AG604" s="3" t="s">
        <v>247</v>
      </c>
      <c r="AH604" s="3"/>
    </row>
    <row r="605" spans="1:34" ht="14.25" customHeight="1" x14ac:dyDescent="0.25">
      <c r="A605" s="3" t="s">
        <v>85</v>
      </c>
      <c r="B605" s="3" t="s">
        <v>79</v>
      </c>
      <c r="C605" s="3"/>
      <c r="D605" s="3" t="s">
        <v>80</v>
      </c>
      <c r="E605" s="3">
        <v>1</v>
      </c>
      <c r="F605" s="3">
        <v>1</v>
      </c>
      <c r="G605" s="3" t="s">
        <v>18</v>
      </c>
      <c r="H605" s="11">
        <v>45838</v>
      </c>
      <c r="I605" s="3" t="s">
        <v>167</v>
      </c>
      <c r="J605" s="3">
        <f>14+3+5.2</f>
        <v>22.2</v>
      </c>
      <c r="K605" s="3">
        <f>6.6+3.8+3.8+5.2</f>
        <v>19.399999999999999</v>
      </c>
      <c r="L605" s="3">
        <v>4.8</v>
      </c>
      <c r="M605" s="3">
        <f>9+12+5+3.3</f>
        <v>29.3</v>
      </c>
      <c r="N605" s="3">
        <v>0</v>
      </c>
      <c r="O605" s="3">
        <f t="shared" si="100"/>
        <v>75.699999999999989</v>
      </c>
      <c r="P605" s="3">
        <v>3</v>
      </c>
      <c r="Q605" s="3">
        <v>5</v>
      </c>
      <c r="R605" s="3">
        <v>1</v>
      </c>
      <c r="S605" s="3">
        <v>5</v>
      </c>
      <c r="T605" s="3">
        <v>0</v>
      </c>
      <c r="U605" s="3">
        <f t="shared" si="104"/>
        <v>14</v>
      </c>
      <c r="V605" s="13">
        <f t="shared" si="101"/>
        <v>5.4071428571428566</v>
      </c>
      <c r="W605" s="13">
        <f t="shared" si="105"/>
        <v>5.4071428571428566</v>
      </c>
      <c r="X605" s="3">
        <f t="shared" si="102"/>
        <v>14</v>
      </c>
      <c r="Y605" s="3" t="e">
        <f t="shared" si="106"/>
        <v>#DIV/0!</v>
      </c>
      <c r="Z605" s="3"/>
      <c r="AA605" s="3"/>
      <c r="AB605" s="3">
        <f t="shared" si="112"/>
        <v>80</v>
      </c>
      <c r="AC605" s="3" t="s">
        <v>82</v>
      </c>
      <c r="AD605" s="3" t="s">
        <v>83</v>
      </c>
      <c r="AE605" s="3">
        <v>20</v>
      </c>
      <c r="AF605" s="3" t="s">
        <v>143</v>
      </c>
      <c r="AG605" s="3" t="s">
        <v>247</v>
      </c>
      <c r="AH605" s="3"/>
    </row>
    <row r="606" spans="1:34" ht="14.25" customHeight="1" x14ac:dyDescent="0.25">
      <c r="A606" s="3" t="s">
        <v>85</v>
      </c>
      <c r="B606" s="3" t="s">
        <v>79</v>
      </c>
      <c r="C606" s="3"/>
      <c r="D606" s="3" t="s">
        <v>80</v>
      </c>
      <c r="E606" s="3">
        <v>1</v>
      </c>
      <c r="F606" s="3">
        <v>1</v>
      </c>
      <c r="G606" s="3" t="s">
        <v>25</v>
      </c>
      <c r="H606" s="11">
        <v>45838</v>
      </c>
      <c r="I606" s="3" t="s">
        <v>167</v>
      </c>
      <c r="J606" s="3">
        <v>0</v>
      </c>
      <c r="K606" s="3">
        <v>12</v>
      </c>
      <c r="L606" s="3">
        <v>0</v>
      </c>
      <c r="M606" s="3">
        <v>0</v>
      </c>
      <c r="N606" s="3">
        <v>0</v>
      </c>
      <c r="O606" s="3">
        <f t="shared" si="100"/>
        <v>12</v>
      </c>
      <c r="P606" s="3">
        <v>3</v>
      </c>
      <c r="Q606" s="3">
        <v>5</v>
      </c>
      <c r="R606" s="3">
        <v>1</v>
      </c>
      <c r="S606" s="3">
        <v>5</v>
      </c>
      <c r="T606" s="3">
        <v>0</v>
      </c>
      <c r="U606" s="3">
        <f t="shared" si="104"/>
        <v>14</v>
      </c>
      <c r="V606" s="13">
        <f t="shared" si="101"/>
        <v>0.8571428571428571</v>
      </c>
      <c r="W606" s="13">
        <f t="shared" si="105"/>
        <v>0.8571428571428571</v>
      </c>
      <c r="X606" s="3">
        <f t="shared" si="102"/>
        <v>14</v>
      </c>
      <c r="Y606" s="3" t="e">
        <f t="shared" si="106"/>
        <v>#DIV/0!</v>
      </c>
      <c r="Z606" s="3"/>
      <c r="AA606" s="3"/>
      <c r="AB606" s="3">
        <f t="shared" si="112"/>
        <v>80</v>
      </c>
      <c r="AC606" s="3" t="s">
        <v>82</v>
      </c>
      <c r="AD606" s="3" t="s">
        <v>83</v>
      </c>
      <c r="AE606" s="3">
        <v>20</v>
      </c>
      <c r="AF606" s="3" t="s">
        <v>143</v>
      </c>
      <c r="AG606" s="3" t="s">
        <v>247</v>
      </c>
      <c r="AH606" s="3"/>
    </row>
    <row r="607" spans="1:34" ht="14.25" customHeight="1" x14ac:dyDescent="0.25">
      <c r="A607" s="3" t="s">
        <v>86</v>
      </c>
      <c r="B607" s="3" t="s">
        <v>79</v>
      </c>
      <c r="C607" s="3"/>
      <c r="D607" s="3" t="s">
        <v>80</v>
      </c>
      <c r="E607" s="3">
        <v>1</v>
      </c>
      <c r="F607" s="3">
        <v>1</v>
      </c>
      <c r="G607" s="3" t="s">
        <v>1</v>
      </c>
      <c r="H607" s="11">
        <v>45838</v>
      </c>
      <c r="I607" s="3" t="s">
        <v>167</v>
      </c>
      <c r="J607" s="3">
        <f>22+18+12.5+21+23</f>
        <v>96.5</v>
      </c>
      <c r="K607" s="3">
        <f>28+19+20.2</f>
        <v>67.2</v>
      </c>
      <c r="L607" s="3">
        <f>19.8+25+17+19</f>
        <v>80.8</v>
      </c>
      <c r="M607" s="3">
        <f>14+19+16+14.2</f>
        <v>63.2</v>
      </c>
      <c r="N607" s="3">
        <v>0</v>
      </c>
      <c r="O607" s="3">
        <f t="shared" si="100"/>
        <v>307.7</v>
      </c>
      <c r="P607" s="3">
        <v>5</v>
      </c>
      <c r="Q607" s="3">
        <v>3</v>
      </c>
      <c r="R607" s="3">
        <v>4</v>
      </c>
      <c r="S607" s="3">
        <v>4</v>
      </c>
      <c r="T607" s="3">
        <v>0</v>
      </c>
      <c r="U607" s="3">
        <f t="shared" si="104"/>
        <v>16</v>
      </c>
      <c r="V607" s="13">
        <f t="shared" si="101"/>
        <v>19.231249999999999</v>
      </c>
      <c r="W607" s="13">
        <f t="shared" si="105"/>
        <v>19.231249999999999</v>
      </c>
      <c r="X607" s="3">
        <f t="shared" si="102"/>
        <v>16</v>
      </c>
      <c r="Y607" s="3" t="e">
        <f t="shared" si="106"/>
        <v>#DIV/0!</v>
      </c>
      <c r="Z607" s="3"/>
      <c r="AA607" s="3"/>
      <c r="AB607" s="3">
        <f t="shared" ref="AB607:AB609" si="113">25*4+15*3</f>
        <v>145</v>
      </c>
      <c r="AC607" s="3" t="s">
        <v>82</v>
      </c>
      <c r="AD607" s="3" t="s">
        <v>83</v>
      </c>
      <c r="AE607" s="3">
        <v>20</v>
      </c>
      <c r="AF607" s="3" t="s">
        <v>143</v>
      </c>
      <c r="AG607" s="3" t="s">
        <v>355</v>
      </c>
      <c r="AH607" s="3"/>
    </row>
    <row r="608" spans="1:34" ht="14.25" customHeight="1" x14ac:dyDescent="0.25">
      <c r="A608" s="3" t="s">
        <v>86</v>
      </c>
      <c r="B608" s="3" t="s">
        <v>79</v>
      </c>
      <c r="C608" s="3"/>
      <c r="D608" s="3" t="s">
        <v>80</v>
      </c>
      <c r="E608" s="3">
        <v>1</v>
      </c>
      <c r="F608" s="3">
        <v>1</v>
      </c>
      <c r="G608" s="3" t="s">
        <v>25</v>
      </c>
      <c r="H608" s="11">
        <v>45838</v>
      </c>
      <c r="I608" s="3" t="s">
        <v>167</v>
      </c>
      <c r="J608" s="3">
        <v>0</v>
      </c>
      <c r="K608" s="3">
        <v>0</v>
      </c>
      <c r="L608" s="3">
        <v>0</v>
      </c>
      <c r="M608" s="3">
        <v>8.8000000000000007</v>
      </c>
      <c r="N608" s="3">
        <v>0</v>
      </c>
      <c r="O608" s="3">
        <f t="shared" si="100"/>
        <v>8.8000000000000007</v>
      </c>
      <c r="P608" s="3">
        <v>5</v>
      </c>
      <c r="Q608" s="3">
        <v>3</v>
      </c>
      <c r="R608" s="3">
        <v>4</v>
      </c>
      <c r="S608" s="3">
        <v>4</v>
      </c>
      <c r="T608" s="3">
        <v>0</v>
      </c>
      <c r="U608" s="3">
        <f t="shared" si="104"/>
        <v>16</v>
      </c>
      <c r="V608" s="13">
        <f t="shared" si="101"/>
        <v>0.55000000000000004</v>
      </c>
      <c r="W608" s="13">
        <f t="shared" si="105"/>
        <v>0.55000000000000004</v>
      </c>
      <c r="X608" s="3">
        <f t="shared" si="102"/>
        <v>16</v>
      </c>
      <c r="Y608" s="3" t="e">
        <f t="shared" si="106"/>
        <v>#DIV/0!</v>
      </c>
      <c r="Z608" s="3"/>
      <c r="AA608" s="3"/>
      <c r="AB608" s="3">
        <f t="shared" si="113"/>
        <v>145</v>
      </c>
      <c r="AC608" s="3" t="s">
        <v>82</v>
      </c>
      <c r="AD608" s="3" t="s">
        <v>83</v>
      </c>
      <c r="AE608" s="3">
        <v>20</v>
      </c>
      <c r="AF608" s="3" t="s">
        <v>143</v>
      </c>
      <c r="AG608" s="3" t="s">
        <v>355</v>
      </c>
      <c r="AH608" s="3"/>
    </row>
    <row r="609" spans="1:34" ht="14.25" customHeight="1" x14ac:dyDescent="0.25">
      <c r="A609" s="3" t="s">
        <v>86</v>
      </c>
      <c r="B609" s="3" t="s">
        <v>79</v>
      </c>
      <c r="C609" s="3"/>
      <c r="D609" s="3" t="s">
        <v>80</v>
      </c>
      <c r="E609" s="3">
        <v>1</v>
      </c>
      <c r="F609" s="3">
        <v>1</v>
      </c>
      <c r="G609" s="3" t="s">
        <v>15</v>
      </c>
      <c r="H609" s="11">
        <v>45838</v>
      </c>
      <c r="I609" s="3" t="s">
        <v>167</v>
      </c>
      <c r="J609" s="3">
        <v>16</v>
      </c>
      <c r="K609" s="3">
        <v>0</v>
      </c>
      <c r="L609" s="3">
        <v>0</v>
      </c>
      <c r="M609" s="3">
        <v>11</v>
      </c>
      <c r="N609" s="3">
        <v>0</v>
      </c>
      <c r="O609" s="3">
        <f t="shared" si="100"/>
        <v>27</v>
      </c>
      <c r="P609" s="3">
        <v>5</v>
      </c>
      <c r="Q609" s="3">
        <v>3</v>
      </c>
      <c r="R609" s="3">
        <v>4</v>
      </c>
      <c r="S609" s="3">
        <v>4</v>
      </c>
      <c r="T609" s="3">
        <v>0</v>
      </c>
      <c r="U609" s="3">
        <f t="shared" si="104"/>
        <v>16</v>
      </c>
      <c r="V609" s="13">
        <f t="shared" si="101"/>
        <v>1.6875</v>
      </c>
      <c r="W609" s="13">
        <f t="shared" si="105"/>
        <v>1.6875</v>
      </c>
      <c r="X609" s="3">
        <f t="shared" si="102"/>
        <v>16</v>
      </c>
      <c r="Y609" s="3" t="e">
        <f t="shared" si="106"/>
        <v>#DIV/0!</v>
      </c>
      <c r="Z609" s="3"/>
      <c r="AA609" s="3"/>
      <c r="AB609" s="3">
        <f t="shared" si="113"/>
        <v>145</v>
      </c>
      <c r="AC609" s="3" t="s">
        <v>82</v>
      </c>
      <c r="AD609" s="3" t="s">
        <v>83</v>
      </c>
      <c r="AE609" s="3">
        <v>20</v>
      </c>
      <c r="AF609" s="3" t="s">
        <v>143</v>
      </c>
      <c r="AG609" s="3" t="s">
        <v>355</v>
      </c>
      <c r="AH609" s="3"/>
    </row>
    <row r="610" spans="1:34" ht="14.25" customHeight="1" x14ac:dyDescent="0.25">
      <c r="A610" s="3" t="s">
        <v>160</v>
      </c>
      <c r="B610" s="3" t="s">
        <v>79</v>
      </c>
      <c r="C610" s="3"/>
      <c r="D610" s="3" t="s">
        <v>117</v>
      </c>
      <c r="E610" s="3">
        <v>2</v>
      </c>
      <c r="F610" s="3">
        <v>1</v>
      </c>
      <c r="G610" s="3" t="s">
        <v>1</v>
      </c>
      <c r="H610" s="11">
        <v>45838</v>
      </c>
      <c r="I610" s="3" t="s">
        <v>167</v>
      </c>
      <c r="J610" s="3">
        <f>4.2+8.8+6.3+8</f>
        <v>27.3</v>
      </c>
      <c r="K610" s="3">
        <f>6.7+5.5+3.3+5.8</f>
        <v>21.3</v>
      </c>
      <c r="L610" s="3">
        <v>16</v>
      </c>
      <c r="M610" s="3">
        <f>14+8.5+8</f>
        <v>30.5</v>
      </c>
      <c r="N610" s="3">
        <v>0</v>
      </c>
      <c r="O610" s="3">
        <f t="shared" si="100"/>
        <v>95.1</v>
      </c>
      <c r="P610" s="3">
        <v>4</v>
      </c>
      <c r="Q610" s="3">
        <v>5</v>
      </c>
      <c r="R610" s="3">
        <v>1</v>
      </c>
      <c r="S610" s="3">
        <v>5</v>
      </c>
      <c r="T610" s="3">
        <v>0</v>
      </c>
      <c r="U610" s="3">
        <f t="shared" si="104"/>
        <v>15</v>
      </c>
      <c r="V610" s="13">
        <f t="shared" si="101"/>
        <v>6.34</v>
      </c>
      <c r="W610" s="13">
        <f t="shared" si="105"/>
        <v>6.34</v>
      </c>
      <c r="X610" s="3">
        <f t="shared" si="102"/>
        <v>15</v>
      </c>
      <c r="Y610" s="3">
        <f t="shared" si="106"/>
        <v>8.0050505050505046E-3</v>
      </c>
      <c r="Z610" s="3"/>
      <c r="AA610" s="3">
        <f t="shared" ref="AA610:AA614" si="114">60*2.2*6</f>
        <v>792</v>
      </c>
      <c r="AB610" s="3">
        <f t="shared" ref="AB610:AB614" si="115">15*3+25*3</f>
        <v>120</v>
      </c>
      <c r="AC610" s="3" t="s">
        <v>82</v>
      </c>
      <c r="AD610" s="3" t="s">
        <v>83</v>
      </c>
      <c r="AE610" s="3">
        <v>15</v>
      </c>
      <c r="AF610" s="3" t="s">
        <v>143</v>
      </c>
      <c r="AG610" s="3" t="s">
        <v>356</v>
      </c>
      <c r="AH610" s="3"/>
    </row>
    <row r="611" spans="1:34" ht="14.25" customHeight="1" x14ac:dyDescent="0.25">
      <c r="A611" s="3" t="s">
        <v>160</v>
      </c>
      <c r="B611" s="3" t="s">
        <v>79</v>
      </c>
      <c r="C611" s="3"/>
      <c r="D611" s="3" t="s">
        <v>117</v>
      </c>
      <c r="E611" s="3">
        <v>2</v>
      </c>
      <c r="F611" s="3">
        <v>1</v>
      </c>
      <c r="G611" s="3" t="s">
        <v>3</v>
      </c>
      <c r="H611" s="11">
        <v>45838</v>
      </c>
      <c r="I611" s="3" t="s">
        <v>167</v>
      </c>
      <c r="J611" s="3">
        <v>6</v>
      </c>
      <c r="K611" s="3">
        <f>12+8</f>
        <v>20</v>
      </c>
      <c r="L611" s="3">
        <v>0</v>
      </c>
      <c r="M611" s="3">
        <f>6.3+16</f>
        <v>22.3</v>
      </c>
      <c r="N611" s="3">
        <v>0</v>
      </c>
      <c r="O611" s="3">
        <f t="shared" si="100"/>
        <v>48.3</v>
      </c>
      <c r="P611" s="3">
        <v>4</v>
      </c>
      <c r="Q611" s="3">
        <v>5</v>
      </c>
      <c r="R611" s="3">
        <v>1</v>
      </c>
      <c r="S611" s="3">
        <v>5</v>
      </c>
      <c r="T611" s="3">
        <v>0</v>
      </c>
      <c r="U611" s="3">
        <f t="shared" si="104"/>
        <v>15</v>
      </c>
      <c r="V611" s="13">
        <f t="shared" si="101"/>
        <v>3.2199999999999998</v>
      </c>
      <c r="W611" s="13">
        <f t="shared" si="105"/>
        <v>3.2199999999999998</v>
      </c>
      <c r="X611" s="3">
        <f t="shared" si="102"/>
        <v>15</v>
      </c>
      <c r="Y611" s="3">
        <f t="shared" si="106"/>
        <v>4.0656565656565649E-3</v>
      </c>
      <c r="Z611" s="3"/>
      <c r="AA611" s="3">
        <f t="shared" si="114"/>
        <v>792</v>
      </c>
      <c r="AB611" s="3">
        <f t="shared" si="115"/>
        <v>120</v>
      </c>
      <c r="AC611" s="3" t="s">
        <v>82</v>
      </c>
      <c r="AD611" s="3" t="s">
        <v>83</v>
      </c>
      <c r="AE611" s="3">
        <v>15</v>
      </c>
      <c r="AF611" s="3" t="s">
        <v>143</v>
      </c>
      <c r="AG611" s="3" t="s">
        <v>356</v>
      </c>
      <c r="AH611" s="3"/>
    </row>
    <row r="612" spans="1:34" ht="14.25" customHeight="1" x14ac:dyDescent="0.25">
      <c r="A612" s="3" t="s">
        <v>160</v>
      </c>
      <c r="B612" s="3" t="s">
        <v>79</v>
      </c>
      <c r="C612" s="3"/>
      <c r="D612" s="3" t="s">
        <v>117</v>
      </c>
      <c r="E612" s="3">
        <v>2</v>
      </c>
      <c r="F612" s="3">
        <v>1</v>
      </c>
      <c r="G612" s="3" t="s">
        <v>14</v>
      </c>
      <c r="H612" s="11">
        <v>45838</v>
      </c>
      <c r="I612" s="3" t="s">
        <v>167</v>
      </c>
      <c r="J612" s="3">
        <v>0</v>
      </c>
      <c r="K612" s="3">
        <v>0</v>
      </c>
      <c r="L612" s="3">
        <v>0</v>
      </c>
      <c r="M612" s="3">
        <v>4.2</v>
      </c>
      <c r="N612" s="3">
        <v>0</v>
      </c>
      <c r="O612" s="3">
        <f t="shared" si="100"/>
        <v>4.2</v>
      </c>
      <c r="P612" s="3">
        <v>4</v>
      </c>
      <c r="Q612" s="3">
        <v>5</v>
      </c>
      <c r="R612" s="3">
        <v>1</v>
      </c>
      <c r="S612" s="3">
        <v>5</v>
      </c>
      <c r="T612" s="3">
        <v>0</v>
      </c>
      <c r="U612" s="3">
        <f t="shared" si="104"/>
        <v>15</v>
      </c>
      <c r="V612" s="13">
        <f t="shared" si="101"/>
        <v>0.28000000000000003</v>
      </c>
      <c r="W612" s="13">
        <f t="shared" si="105"/>
        <v>0.28000000000000003</v>
      </c>
      <c r="X612" s="3">
        <f t="shared" si="102"/>
        <v>15</v>
      </c>
      <c r="Y612" s="3">
        <f t="shared" si="106"/>
        <v>3.5353535353535359E-4</v>
      </c>
      <c r="Z612" s="3"/>
      <c r="AA612" s="3">
        <f t="shared" si="114"/>
        <v>792</v>
      </c>
      <c r="AB612" s="3">
        <f t="shared" si="115"/>
        <v>120</v>
      </c>
      <c r="AC612" s="3" t="s">
        <v>82</v>
      </c>
      <c r="AD612" s="3" t="s">
        <v>83</v>
      </c>
      <c r="AE612" s="3">
        <v>15</v>
      </c>
      <c r="AF612" s="3" t="s">
        <v>143</v>
      </c>
      <c r="AG612" s="3" t="s">
        <v>356</v>
      </c>
      <c r="AH612" s="3"/>
    </row>
    <row r="613" spans="1:34" ht="14.25" customHeight="1" x14ac:dyDescent="0.25">
      <c r="A613" s="3" t="s">
        <v>160</v>
      </c>
      <c r="B613" s="3" t="s">
        <v>79</v>
      </c>
      <c r="C613" s="3"/>
      <c r="D613" s="3" t="s">
        <v>117</v>
      </c>
      <c r="E613" s="3">
        <v>2</v>
      </c>
      <c r="F613" s="3">
        <v>1</v>
      </c>
      <c r="G613" s="3" t="s">
        <v>22</v>
      </c>
      <c r="H613" s="11">
        <v>45838</v>
      </c>
      <c r="I613" s="3" t="s">
        <v>167</v>
      </c>
      <c r="J613" s="3">
        <v>3.8</v>
      </c>
      <c r="K613" s="3">
        <v>0</v>
      </c>
      <c r="L613" s="3">
        <v>0</v>
      </c>
      <c r="M613" s="3">
        <v>0</v>
      </c>
      <c r="N613" s="3">
        <v>0</v>
      </c>
      <c r="O613" s="3">
        <f t="shared" si="100"/>
        <v>3.8</v>
      </c>
      <c r="P613" s="3">
        <v>4</v>
      </c>
      <c r="Q613" s="3">
        <v>5</v>
      </c>
      <c r="R613" s="3">
        <v>1</v>
      </c>
      <c r="S613" s="3">
        <v>5</v>
      </c>
      <c r="T613" s="3">
        <v>0</v>
      </c>
      <c r="U613" s="3">
        <f t="shared" si="104"/>
        <v>15</v>
      </c>
      <c r="V613" s="13">
        <f t="shared" si="101"/>
        <v>0.2533333333333333</v>
      </c>
      <c r="W613" s="13">
        <f t="shared" si="105"/>
        <v>0.2533333333333333</v>
      </c>
      <c r="X613" s="3">
        <f t="shared" si="102"/>
        <v>15</v>
      </c>
      <c r="Y613" s="3">
        <f t="shared" si="106"/>
        <v>3.1986531986531985E-4</v>
      </c>
      <c r="Z613" s="3"/>
      <c r="AA613" s="3">
        <f t="shared" si="114"/>
        <v>792</v>
      </c>
      <c r="AB613" s="3">
        <f t="shared" si="115"/>
        <v>120</v>
      </c>
      <c r="AC613" s="3" t="s">
        <v>82</v>
      </c>
      <c r="AD613" s="3" t="s">
        <v>83</v>
      </c>
      <c r="AE613" s="3">
        <v>15</v>
      </c>
      <c r="AF613" s="3" t="s">
        <v>143</v>
      </c>
      <c r="AG613" s="3" t="s">
        <v>356</v>
      </c>
      <c r="AH613" s="3"/>
    </row>
    <row r="614" spans="1:34" ht="14.25" customHeight="1" x14ac:dyDescent="0.25">
      <c r="A614" s="3" t="s">
        <v>160</v>
      </c>
      <c r="B614" s="3" t="s">
        <v>79</v>
      </c>
      <c r="C614" s="3"/>
      <c r="D614" s="3" t="s">
        <v>117</v>
      </c>
      <c r="E614" s="3">
        <v>2</v>
      </c>
      <c r="F614" s="3">
        <v>1</v>
      </c>
      <c r="G614" s="3" t="s">
        <v>4</v>
      </c>
      <c r="H614" s="11">
        <v>45838</v>
      </c>
      <c r="I614" s="3" t="s">
        <v>167</v>
      </c>
      <c r="J614" s="3">
        <v>0</v>
      </c>
      <c r="K614" s="3">
        <v>0</v>
      </c>
      <c r="L614" s="3">
        <v>0</v>
      </c>
      <c r="M614" s="3">
        <v>4.8</v>
      </c>
      <c r="N614" s="3">
        <v>0</v>
      </c>
      <c r="O614" s="3">
        <f t="shared" si="100"/>
        <v>4.8</v>
      </c>
      <c r="P614" s="3">
        <v>4</v>
      </c>
      <c r="Q614" s="3">
        <v>5</v>
      </c>
      <c r="R614" s="3">
        <v>1</v>
      </c>
      <c r="S614" s="3">
        <v>5</v>
      </c>
      <c r="T614" s="3">
        <v>0</v>
      </c>
      <c r="U614" s="3">
        <f t="shared" si="104"/>
        <v>15</v>
      </c>
      <c r="V614" s="13">
        <f t="shared" si="101"/>
        <v>0.32</v>
      </c>
      <c r="W614" s="13">
        <f t="shared" si="105"/>
        <v>0.32</v>
      </c>
      <c r="X614" s="3">
        <f t="shared" si="102"/>
        <v>15</v>
      </c>
      <c r="Y614" s="3">
        <f t="shared" si="106"/>
        <v>4.0404040404040404E-4</v>
      </c>
      <c r="Z614" s="3"/>
      <c r="AA614" s="3">
        <f t="shared" si="114"/>
        <v>792</v>
      </c>
      <c r="AB614" s="3">
        <f t="shared" si="115"/>
        <v>120</v>
      </c>
      <c r="AC614" s="3" t="s">
        <v>82</v>
      </c>
      <c r="AD614" s="3" t="s">
        <v>83</v>
      </c>
      <c r="AE614" s="3">
        <v>15</v>
      </c>
      <c r="AF614" s="3" t="s">
        <v>143</v>
      </c>
      <c r="AG614" s="3" t="s">
        <v>356</v>
      </c>
      <c r="AH614" s="3"/>
    </row>
    <row r="615" spans="1:34" ht="14.25" customHeight="1" x14ac:dyDescent="0.25">
      <c r="A615" s="3" t="s">
        <v>147</v>
      </c>
      <c r="B615" s="3" t="s">
        <v>79</v>
      </c>
      <c r="C615" s="3"/>
      <c r="D615" s="3" t="s">
        <v>80</v>
      </c>
      <c r="E615" s="3">
        <v>2</v>
      </c>
      <c r="F615" s="3">
        <v>1</v>
      </c>
      <c r="G615" s="3" t="s">
        <v>1</v>
      </c>
      <c r="H615" s="11">
        <v>45838</v>
      </c>
      <c r="I615" s="3" t="s">
        <v>167</v>
      </c>
      <c r="J615" s="3">
        <f>8+6.8+10.7</f>
        <v>25.5</v>
      </c>
      <c r="K615" s="3">
        <f>14+10.6+8.2</f>
        <v>32.799999999999997</v>
      </c>
      <c r="L615" s="3">
        <v>7.7</v>
      </c>
      <c r="M615" s="3">
        <f>11+12.3+5.3</f>
        <v>28.6</v>
      </c>
      <c r="N615" s="3">
        <v>0</v>
      </c>
      <c r="O615" s="3">
        <f t="shared" si="100"/>
        <v>94.6</v>
      </c>
      <c r="P615" s="3">
        <v>4</v>
      </c>
      <c r="Q615" s="3">
        <v>3</v>
      </c>
      <c r="R615" s="3">
        <v>2</v>
      </c>
      <c r="S615" s="3">
        <v>4</v>
      </c>
      <c r="T615" s="3">
        <v>0</v>
      </c>
      <c r="U615" s="3">
        <f t="shared" si="104"/>
        <v>13</v>
      </c>
      <c r="V615" s="13">
        <f t="shared" si="101"/>
        <v>7.2769230769230768</v>
      </c>
      <c r="W615" s="13">
        <f t="shared" si="105"/>
        <v>7.2769230769230768</v>
      </c>
      <c r="X615" s="3">
        <f t="shared" si="102"/>
        <v>13</v>
      </c>
      <c r="Y615" s="3" t="e">
        <f t="shared" si="106"/>
        <v>#DIV/0!</v>
      </c>
      <c r="Z615" s="3"/>
      <c r="AA615" s="3"/>
      <c r="AB615" s="3"/>
      <c r="AC615" s="3" t="s">
        <v>82</v>
      </c>
      <c r="AD615" s="3" t="s">
        <v>83</v>
      </c>
      <c r="AE615" s="3">
        <v>40</v>
      </c>
      <c r="AF615" s="3" t="s">
        <v>143</v>
      </c>
      <c r="AG615" s="3" t="s">
        <v>173</v>
      </c>
      <c r="AH615" s="3"/>
    </row>
    <row r="616" spans="1:34" ht="14.25" customHeight="1" x14ac:dyDescent="0.25">
      <c r="A616" s="3" t="s">
        <v>147</v>
      </c>
      <c r="B616" s="3" t="s">
        <v>79</v>
      </c>
      <c r="C616" s="3"/>
      <c r="D616" s="3" t="s">
        <v>80</v>
      </c>
      <c r="E616" s="3">
        <v>2</v>
      </c>
      <c r="F616" s="3">
        <v>1</v>
      </c>
      <c r="G616" s="3" t="s">
        <v>12</v>
      </c>
      <c r="H616" s="11">
        <v>45838</v>
      </c>
      <c r="I616" s="3" t="s">
        <v>167</v>
      </c>
      <c r="J616" s="3">
        <v>4.2</v>
      </c>
      <c r="K616" s="3">
        <v>0</v>
      </c>
      <c r="L616" s="3">
        <v>4.5999999999999996</v>
      </c>
      <c r="M616" s="3">
        <v>0</v>
      </c>
      <c r="N616" s="3">
        <v>0</v>
      </c>
      <c r="O616" s="3">
        <f t="shared" si="100"/>
        <v>8.8000000000000007</v>
      </c>
      <c r="P616" s="3">
        <v>4</v>
      </c>
      <c r="Q616" s="3">
        <v>3</v>
      </c>
      <c r="R616" s="3">
        <v>2</v>
      </c>
      <c r="S616" s="3">
        <v>4</v>
      </c>
      <c r="T616" s="3">
        <v>0</v>
      </c>
      <c r="U616" s="3">
        <f t="shared" si="104"/>
        <v>13</v>
      </c>
      <c r="V616" s="13">
        <f t="shared" si="101"/>
        <v>0.67692307692307696</v>
      </c>
      <c r="W616" s="13">
        <f t="shared" si="105"/>
        <v>0.67692307692307696</v>
      </c>
      <c r="X616" s="3">
        <f t="shared" si="102"/>
        <v>13</v>
      </c>
      <c r="Y616" s="3" t="e">
        <f t="shared" si="106"/>
        <v>#DIV/0!</v>
      </c>
      <c r="Z616" s="3"/>
      <c r="AA616" s="3"/>
      <c r="AB616" s="3"/>
      <c r="AC616" s="3" t="s">
        <v>82</v>
      </c>
      <c r="AD616" s="3" t="s">
        <v>83</v>
      </c>
      <c r="AE616" s="3">
        <v>40</v>
      </c>
      <c r="AF616" s="3" t="s">
        <v>143</v>
      </c>
      <c r="AG616" s="3" t="s">
        <v>173</v>
      </c>
      <c r="AH616" s="3"/>
    </row>
    <row r="617" spans="1:34" ht="14.25" customHeight="1" x14ac:dyDescent="0.25">
      <c r="A617" s="3" t="s">
        <v>147</v>
      </c>
      <c r="B617" s="3" t="s">
        <v>79</v>
      </c>
      <c r="C617" s="3"/>
      <c r="D617" s="3" t="s">
        <v>80</v>
      </c>
      <c r="E617" s="3">
        <v>2</v>
      </c>
      <c r="F617" s="3">
        <v>1</v>
      </c>
      <c r="G617" s="3" t="s">
        <v>18</v>
      </c>
      <c r="H617" s="11">
        <v>45838</v>
      </c>
      <c r="I617" s="3" t="s">
        <v>167</v>
      </c>
      <c r="J617" s="3">
        <v>0</v>
      </c>
      <c r="K617" s="3">
        <v>0</v>
      </c>
      <c r="L617" s="3">
        <v>0</v>
      </c>
      <c r="M617" s="3">
        <v>3.8</v>
      </c>
      <c r="N617" s="3">
        <v>0</v>
      </c>
      <c r="O617" s="3">
        <f t="shared" si="100"/>
        <v>3.8</v>
      </c>
      <c r="P617" s="3">
        <v>4</v>
      </c>
      <c r="Q617" s="3">
        <v>3</v>
      </c>
      <c r="R617" s="3">
        <v>2</v>
      </c>
      <c r="S617" s="3">
        <v>4</v>
      </c>
      <c r="T617" s="3">
        <v>0</v>
      </c>
      <c r="U617" s="3">
        <f t="shared" si="104"/>
        <v>13</v>
      </c>
      <c r="V617" s="13">
        <f t="shared" si="101"/>
        <v>0.29230769230769227</v>
      </c>
      <c r="W617" s="13">
        <f t="shared" si="105"/>
        <v>0.29230769230769227</v>
      </c>
      <c r="X617" s="3">
        <f t="shared" si="102"/>
        <v>13</v>
      </c>
      <c r="Y617" s="3" t="e">
        <f t="shared" si="106"/>
        <v>#DIV/0!</v>
      </c>
      <c r="Z617" s="3"/>
      <c r="AA617" s="3"/>
      <c r="AB617" s="3"/>
      <c r="AC617" s="3" t="s">
        <v>82</v>
      </c>
      <c r="AD617" s="3" t="s">
        <v>83</v>
      </c>
      <c r="AE617" s="3">
        <v>40</v>
      </c>
      <c r="AF617" s="3" t="s">
        <v>143</v>
      </c>
      <c r="AG617" s="3" t="s">
        <v>173</v>
      </c>
      <c r="AH617" s="3"/>
    </row>
    <row r="618" spans="1:34" ht="14.25" customHeight="1" x14ac:dyDescent="0.25">
      <c r="A618" s="3" t="s">
        <v>147</v>
      </c>
      <c r="B618" s="3" t="s">
        <v>79</v>
      </c>
      <c r="C618" s="3"/>
      <c r="D618" s="3" t="s">
        <v>80</v>
      </c>
      <c r="E618" s="3">
        <v>2</v>
      </c>
      <c r="F618" s="3">
        <v>1</v>
      </c>
      <c r="G618" s="3" t="s">
        <v>25</v>
      </c>
      <c r="H618" s="11">
        <v>45838</v>
      </c>
      <c r="I618" s="3" t="s">
        <v>167</v>
      </c>
      <c r="J618" s="3">
        <v>18</v>
      </c>
      <c r="K618" s="3">
        <v>8</v>
      </c>
      <c r="L618" s="3">
        <v>0</v>
      </c>
      <c r="M618" s="3">
        <v>0</v>
      </c>
      <c r="N618" s="3">
        <v>0</v>
      </c>
      <c r="O618" s="3">
        <f t="shared" si="100"/>
        <v>26</v>
      </c>
      <c r="P618" s="3">
        <v>4</v>
      </c>
      <c r="Q618" s="3">
        <v>3</v>
      </c>
      <c r="R618" s="3">
        <v>2</v>
      </c>
      <c r="S618" s="3">
        <v>4</v>
      </c>
      <c r="T618" s="3">
        <v>0</v>
      </c>
      <c r="U618" s="3">
        <f t="shared" si="104"/>
        <v>13</v>
      </c>
      <c r="V618" s="13">
        <f t="shared" si="101"/>
        <v>2</v>
      </c>
      <c r="W618" s="13">
        <f t="shared" si="105"/>
        <v>2</v>
      </c>
      <c r="X618" s="3">
        <f t="shared" si="102"/>
        <v>13</v>
      </c>
      <c r="Y618" s="3" t="e">
        <f t="shared" si="106"/>
        <v>#DIV/0!</v>
      </c>
      <c r="Z618" s="3"/>
      <c r="AA618" s="3"/>
      <c r="AB618" s="3"/>
      <c r="AC618" s="3" t="s">
        <v>82</v>
      </c>
      <c r="AD618" s="3" t="s">
        <v>83</v>
      </c>
      <c r="AE618" s="3">
        <v>40</v>
      </c>
      <c r="AF618" s="3" t="s">
        <v>143</v>
      </c>
      <c r="AG618" s="3" t="s">
        <v>173</v>
      </c>
      <c r="AH618" s="3"/>
    </row>
    <row r="619" spans="1:34" ht="14.25" customHeight="1" x14ac:dyDescent="0.25">
      <c r="A619" s="3" t="s">
        <v>99</v>
      </c>
      <c r="B619" s="3" t="s">
        <v>79</v>
      </c>
      <c r="C619" s="3"/>
      <c r="D619" s="3" t="s">
        <v>80</v>
      </c>
      <c r="E619" s="3">
        <v>2</v>
      </c>
      <c r="F619" s="3">
        <v>1</v>
      </c>
      <c r="G619" s="3" t="s">
        <v>1</v>
      </c>
      <c r="H619" s="11">
        <v>45838</v>
      </c>
      <c r="I619" s="3" t="s">
        <v>167</v>
      </c>
      <c r="J619" s="3">
        <f>16+11</f>
        <v>27</v>
      </c>
      <c r="K619" s="3">
        <f>9.6+10.3+6</f>
        <v>25.9</v>
      </c>
      <c r="L619" s="3">
        <v>0</v>
      </c>
      <c r="M619" s="3">
        <f>9.6+12+7.7+13</f>
        <v>42.3</v>
      </c>
      <c r="N619" s="3">
        <v>0</v>
      </c>
      <c r="O619" s="3">
        <f t="shared" si="100"/>
        <v>95.199999999999989</v>
      </c>
      <c r="P619" s="3">
        <v>2</v>
      </c>
      <c r="Q619" s="3">
        <v>4</v>
      </c>
      <c r="R619" s="3">
        <v>0</v>
      </c>
      <c r="S619" s="3">
        <v>5</v>
      </c>
      <c r="T619" s="3">
        <v>0</v>
      </c>
      <c r="U619" s="3">
        <f t="shared" si="104"/>
        <v>11</v>
      </c>
      <c r="V619" s="13">
        <f t="shared" si="101"/>
        <v>8.6545454545454543</v>
      </c>
      <c r="W619" s="13">
        <f t="shared" si="105"/>
        <v>8.6545454545454543</v>
      </c>
      <c r="X619" s="3">
        <f t="shared" si="102"/>
        <v>11</v>
      </c>
      <c r="Y619" s="3" t="e">
        <f t="shared" si="106"/>
        <v>#DIV/0!</v>
      </c>
      <c r="Z619" s="3"/>
      <c r="AA619" s="3"/>
      <c r="AB619" s="3"/>
      <c r="AC619" s="3" t="s">
        <v>82</v>
      </c>
      <c r="AD619" s="3" t="s">
        <v>83</v>
      </c>
      <c r="AE619" s="3">
        <v>40</v>
      </c>
      <c r="AF619" s="3" t="s">
        <v>143</v>
      </c>
      <c r="AG619" s="3" t="s">
        <v>173</v>
      </c>
      <c r="AH619" s="3"/>
    </row>
    <row r="620" spans="1:34" ht="14.25" customHeight="1" x14ac:dyDescent="0.25">
      <c r="A620" s="3" t="s">
        <v>99</v>
      </c>
      <c r="B620" s="3" t="s">
        <v>79</v>
      </c>
      <c r="C620" s="3"/>
      <c r="D620" s="3" t="s">
        <v>80</v>
      </c>
      <c r="E620" s="3">
        <v>2</v>
      </c>
      <c r="F620" s="3">
        <v>1</v>
      </c>
      <c r="G620" s="3" t="s">
        <v>16</v>
      </c>
      <c r="H620" s="11">
        <v>45838</v>
      </c>
      <c r="I620" s="3" t="s">
        <v>167</v>
      </c>
      <c r="J620" s="3">
        <v>0</v>
      </c>
      <c r="K620" s="3">
        <v>4.3</v>
      </c>
      <c r="L620" s="3">
        <v>0</v>
      </c>
      <c r="M620" s="3">
        <v>0</v>
      </c>
      <c r="N620" s="3">
        <v>0</v>
      </c>
      <c r="O620" s="3">
        <f t="shared" si="100"/>
        <v>4.3</v>
      </c>
      <c r="P620" s="3">
        <v>2</v>
      </c>
      <c r="Q620" s="3">
        <v>4</v>
      </c>
      <c r="R620" s="3">
        <v>0</v>
      </c>
      <c r="S620" s="3">
        <v>5</v>
      </c>
      <c r="T620" s="3">
        <v>0</v>
      </c>
      <c r="U620" s="3">
        <f t="shared" si="104"/>
        <v>11</v>
      </c>
      <c r="V620" s="13">
        <f t="shared" si="101"/>
        <v>0.39090909090909087</v>
      </c>
      <c r="W620" s="13">
        <f t="shared" si="105"/>
        <v>0.39090909090909087</v>
      </c>
      <c r="X620" s="3">
        <f t="shared" si="102"/>
        <v>11</v>
      </c>
      <c r="Y620" s="3" t="e">
        <f t="shared" si="106"/>
        <v>#DIV/0!</v>
      </c>
      <c r="Z620" s="3"/>
      <c r="AA620" s="3"/>
      <c r="AB620" s="3"/>
      <c r="AC620" s="3" t="s">
        <v>82</v>
      </c>
      <c r="AD620" s="3" t="s">
        <v>83</v>
      </c>
      <c r="AE620" s="3">
        <v>40</v>
      </c>
      <c r="AF620" s="3" t="s">
        <v>143</v>
      </c>
      <c r="AG620" s="3" t="s">
        <v>173</v>
      </c>
      <c r="AH620" s="3"/>
    </row>
    <row r="621" spans="1:34" ht="14.25" customHeight="1" x14ac:dyDescent="0.25">
      <c r="A621" s="3" t="s">
        <v>99</v>
      </c>
      <c r="B621" s="3" t="s">
        <v>79</v>
      </c>
      <c r="C621" s="3"/>
      <c r="D621" s="3" t="s">
        <v>80</v>
      </c>
      <c r="E621" s="3">
        <v>2</v>
      </c>
      <c r="F621" s="3">
        <v>1</v>
      </c>
      <c r="G621" s="3" t="s">
        <v>18</v>
      </c>
      <c r="H621" s="11">
        <v>45838</v>
      </c>
      <c r="I621" s="3" t="s">
        <v>167</v>
      </c>
      <c r="J621" s="3">
        <v>0</v>
      </c>
      <c r="K621" s="3">
        <v>3.2</v>
      </c>
      <c r="L621" s="3">
        <v>0</v>
      </c>
      <c r="M621" s="3">
        <v>0</v>
      </c>
      <c r="N621" s="3">
        <v>0</v>
      </c>
      <c r="O621" s="3">
        <f t="shared" si="100"/>
        <v>3.2</v>
      </c>
      <c r="P621" s="3">
        <v>2</v>
      </c>
      <c r="Q621" s="3">
        <v>4</v>
      </c>
      <c r="R621" s="3">
        <v>0</v>
      </c>
      <c r="S621" s="3">
        <v>5</v>
      </c>
      <c r="T621" s="3">
        <v>0</v>
      </c>
      <c r="U621" s="3">
        <f t="shared" si="104"/>
        <v>11</v>
      </c>
      <c r="V621" s="13">
        <f t="shared" si="101"/>
        <v>0.29090909090909095</v>
      </c>
      <c r="W621" s="13">
        <f t="shared" si="105"/>
        <v>0.29090909090909095</v>
      </c>
      <c r="X621" s="3">
        <f t="shared" si="102"/>
        <v>11</v>
      </c>
      <c r="Y621" s="3" t="e">
        <f t="shared" si="106"/>
        <v>#DIV/0!</v>
      </c>
      <c r="Z621" s="3"/>
      <c r="AA621" s="3"/>
      <c r="AB621" s="3"/>
      <c r="AC621" s="3" t="s">
        <v>82</v>
      </c>
      <c r="AD621" s="3" t="s">
        <v>83</v>
      </c>
      <c r="AE621" s="3">
        <v>40</v>
      </c>
      <c r="AF621" s="3" t="s">
        <v>143</v>
      </c>
      <c r="AG621" s="3" t="s">
        <v>173</v>
      </c>
      <c r="AH621" s="3"/>
    </row>
    <row r="622" spans="1:34" ht="14.25" customHeight="1" x14ac:dyDescent="0.25">
      <c r="A622" s="3" t="s">
        <v>99</v>
      </c>
      <c r="B622" s="3" t="s">
        <v>79</v>
      </c>
      <c r="C622" s="3"/>
      <c r="D622" s="3" t="s">
        <v>80</v>
      </c>
      <c r="E622" s="3">
        <v>2</v>
      </c>
      <c r="F622" s="3">
        <v>1</v>
      </c>
      <c r="G622" s="3" t="s">
        <v>25</v>
      </c>
      <c r="H622" s="11">
        <v>45838</v>
      </c>
      <c r="I622" s="3" t="s">
        <v>167</v>
      </c>
      <c r="J622" s="3">
        <v>0</v>
      </c>
      <c r="K622" s="3">
        <v>0</v>
      </c>
      <c r="L622" s="3">
        <v>0</v>
      </c>
      <c r="M622" s="3">
        <v>16</v>
      </c>
      <c r="N622" s="3">
        <v>0</v>
      </c>
      <c r="O622" s="3">
        <f t="shared" si="100"/>
        <v>16</v>
      </c>
      <c r="P622" s="3">
        <v>2</v>
      </c>
      <c r="Q622" s="3">
        <v>4</v>
      </c>
      <c r="R622" s="3">
        <v>0</v>
      </c>
      <c r="S622" s="3">
        <v>5</v>
      </c>
      <c r="T622" s="3">
        <v>0</v>
      </c>
      <c r="U622" s="3">
        <f t="shared" si="104"/>
        <v>11</v>
      </c>
      <c r="V622" s="13">
        <f t="shared" si="101"/>
        <v>1.4545454545454546</v>
      </c>
      <c r="W622" s="13">
        <f t="shared" si="105"/>
        <v>1.4545454545454546</v>
      </c>
      <c r="X622" s="3">
        <f t="shared" si="102"/>
        <v>11</v>
      </c>
      <c r="Y622" s="3" t="e">
        <f t="shared" si="106"/>
        <v>#DIV/0!</v>
      </c>
      <c r="Z622" s="3"/>
      <c r="AA622" s="3"/>
      <c r="AB622" s="3"/>
      <c r="AC622" s="3" t="s">
        <v>82</v>
      </c>
      <c r="AD622" s="3" t="s">
        <v>83</v>
      </c>
      <c r="AE622" s="3">
        <v>40</v>
      </c>
      <c r="AF622" s="3" t="s">
        <v>143</v>
      </c>
      <c r="AG622" s="3" t="s">
        <v>173</v>
      </c>
      <c r="AH622" s="3"/>
    </row>
    <row r="623" spans="1:34" ht="14.25" customHeight="1" x14ac:dyDescent="0.25">
      <c r="A623" s="3" t="s">
        <v>97</v>
      </c>
      <c r="B623" s="3" t="s">
        <v>79</v>
      </c>
      <c r="C623" s="3"/>
      <c r="D623" s="3" t="s">
        <v>80</v>
      </c>
      <c r="E623" s="3">
        <v>1</v>
      </c>
      <c r="F623" s="3">
        <v>1</v>
      </c>
      <c r="G623" s="3" t="s">
        <v>14</v>
      </c>
      <c r="H623" s="11">
        <v>45838</v>
      </c>
      <c r="I623" s="3" t="s">
        <v>167</v>
      </c>
      <c r="J623" s="3">
        <v>0</v>
      </c>
      <c r="K623" s="3">
        <v>2</v>
      </c>
      <c r="L623" s="3">
        <v>0</v>
      </c>
      <c r="M623" s="3">
        <v>2.8</v>
      </c>
      <c r="N623" s="3">
        <v>0</v>
      </c>
      <c r="O623" s="3">
        <f t="shared" si="100"/>
        <v>4.8</v>
      </c>
      <c r="P623" s="3">
        <v>2</v>
      </c>
      <c r="Q623" s="3">
        <v>4</v>
      </c>
      <c r="R623" s="3">
        <v>1</v>
      </c>
      <c r="S623" s="3">
        <v>4</v>
      </c>
      <c r="T623" s="3">
        <v>0</v>
      </c>
      <c r="U623" s="3">
        <f t="shared" si="104"/>
        <v>11</v>
      </c>
      <c r="V623" s="13">
        <f t="shared" si="101"/>
        <v>0.43636363636363634</v>
      </c>
      <c r="W623" s="13">
        <f t="shared" si="105"/>
        <v>0.43636363636363634</v>
      </c>
      <c r="X623" s="3">
        <f t="shared" si="102"/>
        <v>11</v>
      </c>
      <c r="Y623" s="3" t="e">
        <f t="shared" si="106"/>
        <v>#DIV/0!</v>
      </c>
      <c r="Z623" s="3"/>
      <c r="AA623" s="3"/>
      <c r="AB623" s="3"/>
      <c r="AC623" s="3" t="s">
        <v>82</v>
      </c>
      <c r="AD623" s="3" t="s">
        <v>83</v>
      </c>
      <c r="AE623" s="3">
        <v>15</v>
      </c>
      <c r="AF623" s="3" t="s">
        <v>143</v>
      </c>
      <c r="AG623" s="3" t="s">
        <v>173</v>
      </c>
      <c r="AH623" s="3"/>
    </row>
    <row r="624" spans="1:34" ht="14.25" customHeight="1" x14ac:dyDescent="0.25">
      <c r="A624" s="3" t="s">
        <v>97</v>
      </c>
      <c r="B624" s="3" t="s">
        <v>79</v>
      </c>
      <c r="C624" s="3"/>
      <c r="D624" s="3" t="s">
        <v>80</v>
      </c>
      <c r="E624" s="3">
        <v>1</v>
      </c>
      <c r="F624" s="3">
        <v>1</v>
      </c>
      <c r="G624" s="3" t="s">
        <v>16</v>
      </c>
      <c r="H624" s="11">
        <v>45838</v>
      </c>
      <c r="I624" s="3" t="s">
        <v>167</v>
      </c>
      <c r="J624" s="3">
        <v>2.8</v>
      </c>
      <c r="K624" s="3">
        <v>0</v>
      </c>
      <c r="L624" s="3">
        <v>0</v>
      </c>
      <c r="M624" s="3">
        <v>1.8</v>
      </c>
      <c r="N624" s="3">
        <v>0</v>
      </c>
      <c r="O624" s="3">
        <f t="shared" si="100"/>
        <v>4.5999999999999996</v>
      </c>
      <c r="P624" s="3">
        <v>2</v>
      </c>
      <c r="Q624" s="3">
        <v>4</v>
      </c>
      <c r="R624" s="3">
        <v>1</v>
      </c>
      <c r="S624" s="3">
        <v>4</v>
      </c>
      <c r="T624" s="3">
        <v>0</v>
      </c>
      <c r="U624" s="3">
        <f t="shared" si="104"/>
        <v>11</v>
      </c>
      <c r="V624" s="13">
        <f t="shared" si="101"/>
        <v>0.41818181818181815</v>
      </c>
      <c r="W624" s="13">
        <f t="shared" si="105"/>
        <v>0.41818181818181815</v>
      </c>
      <c r="X624" s="3">
        <f t="shared" si="102"/>
        <v>11</v>
      </c>
      <c r="Y624" s="3" t="e">
        <f t="shared" si="106"/>
        <v>#DIV/0!</v>
      </c>
      <c r="Z624" s="3"/>
      <c r="AA624" s="3"/>
      <c r="AB624" s="3"/>
      <c r="AC624" s="3" t="s">
        <v>82</v>
      </c>
      <c r="AD624" s="3" t="s">
        <v>83</v>
      </c>
      <c r="AE624" s="3">
        <v>15</v>
      </c>
      <c r="AF624" s="3" t="s">
        <v>143</v>
      </c>
      <c r="AG624" s="3" t="s">
        <v>173</v>
      </c>
      <c r="AH624" s="3"/>
    </row>
    <row r="625" spans="1:34" ht="14.25" customHeight="1" x14ac:dyDescent="0.25">
      <c r="A625" s="3" t="s">
        <v>97</v>
      </c>
      <c r="B625" s="3" t="s">
        <v>79</v>
      </c>
      <c r="C625" s="3"/>
      <c r="D625" s="3" t="s">
        <v>80</v>
      </c>
      <c r="E625" s="3">
        <v>1</v>
      </c>
      <c r="F625" s="3">
        <v>1</v>
      </c>
      <c r="G625" s="3" t="s">
        <v>18</v>
      </c>
      <c r="H625" s="11">
        <v>45838</v>
      </c>
      <c r="I625" s="3" t="s">
        <v>167</v>
      </c>
      <c r="J625" s="3">
        <f>6+4.8</f>
        <v>10.8</v>
      </c>
      <c r="K625" s="3">
        <f>6.6+7.3+4.8+7.3</f>
        <v>26</v>
      </c>
      <c r="L625" s="3">
        <v>12</v>
      </c>
      <c r="M625" s="3">
        <f>3.2+5.2+8+4.6</f>
        <v>21</v>
      </c>
      <c r="N625" s="3">
        <v>0</v>
      </c>
      <c r="O625" s="3">
        <f t="shared" si="100"/>
        <v>69.8</v>
      </c>
      <c r="P625" s="3">
        <v>2</v>
      </c>
      <c r="Q625" s="3">
        <v>4</v>
      </c>
      <c r="R625" s="3">
        <v>1</v>
      </c>
      <c r="S625" s="3">
        <v>4</v>
      </c>
      <c r="T625" s="3">
        <v>0</v>
      </c>
      <c r="U625" s="3">
        <f t="shared" si="104"/>
        <v>11</v>
      </c>
      <c r="V625" s="13">
        <f t="shared" si="101"/>
        <v>6.3454545454545448</v>
      </c>
      <c r="W625" s="13">
        <f t="shared" si="105"/>
        <v>6.3454545454545448</v>
      </c>
      <c r="X625" s="3">
        <f t="shared" si="102"/>
        <v>11</v>
      </c>
      <c r="Y625" s="3" t="e">
        <f t="shared" si="106"/>
        <v>#DIV/0!</v>
      </c>
      <c r="Z625" s="3"/>
      <c r="AA625" s="3"/>
      <c r="AB625" s="3"/>
      <c r="AC625" s="3" t="s">
        <v>82</v>
      </c>
      <c r="AD625" s="3" t="s">
        <v>83</v>
      </c>
      <c r="AE625" s="3">
        <v>15</v>
      </c>
      <c r="AF625" s="3" t="s">
        <v>143</v>
      </c>
      <c r="AG625" s="3" t="s">
        <v>173</v>
      </c>
      <c r="AH625" s="3"/>
    </row>
    <row r="626" spans="1:34" ht="14.25" customHeight="1" x14ac:dyDescent="0.25">
      <c r="A626" s="3" t="s">
        <v>163</v>
      </c>
      <c r="B626" s="3" t="s">
        <v>79</v>
      </c>
      <c r="C626" s="3"/>
      <c r="D626" s="3" t="s">
        <v>98</v>
      </c>
      <c r="E626" s="3">
        <v>1</v>
      </c>
      <c r="F626" s="3">
        <v>1</v>
      </c>
      <c r="G626" s="3" t="s">
        <v>1</v>
      </c>
      <c r="H626" s="11">
        <v>45838</v>
      </c>
      <c r="I626" s="3" t="s">
        <v>167</v>
      </c>
      <c r="J626" s="3">
        <f>12+10+4.6+7.3</f>
        <v>33.9</v>
      </c>
      <c r="K626" s="3">
        <v>4</v>
      </c>
      <c r="L626" s="3">
        <v>0</v>
      </c>
      <c r="M626" s="3">
        <f>6.8+4.2</f>
        <v>11</v>
      </c>
      <c r="N626" s="3">
        <v>0</v>
      </c>
      <c r="O626" s="3">
        <f t="shared" si="100"/>
        <v>48.9</v>
      </c>
      <c r="P626" s="3">
        <v>4</v>
      </c>
      <c r="Q626" s="3">
        <v>5</v>
      </c>
      <c r="R626" s="3">
        <v>1</v>
      </c>
      <c r="S626" s="3">
        <v>3</v>
      </c>
      <c r="T626" s="3">
        <v>0</v>
      </c>
      <c r="U626" s="3">
        <f t="shared" si="104"/>
        <v>13</v>
      </c>
      <c r="V626" s="13">
        <f t="shared" si="101"/>
        <v>3.7615384615384615</v>
      </c>
      <c r="W626" s="13">
        <f t="shared" si="105"/>
        <v>3.7615384615384615</v>
      </c>
      <c r="X626" s="3">
        <f t="shared" si="102"/>
        <v>13</v>
      </c>
      <c r="Y626" s="3">
        <f t="shared" si="106"/>
        <v>1.0686188811188812E-2</v>
      </c>
      <c r="Z626" s="3"/>
      <c r="AA626" s="3">
        <f t="shared" ref="AA626:AA632" si="116">16*2.2*10</f>
        <v>352</v>
      </c>
      <c r="AB626" s="3">
        <f t="shared" ref="AB626:AB632" si="117">25*3</f>
        <v>75</v>
      </c>
      <c r="AC626" s="3" t="s">
        <v>82</v>
      </c>
      <c r="AD626" s="3" t="s">
        <v>83</v>
      </c>
      <c r="AE626" s="3">
        <v>15</v>
      </c>
      <c r="AF626" s="3" t="s">
        <v>143</v>
      </c>
      <c r="AG626" s="3" t="s">
        <v>307</v>
      </c>
      <c r="AH626" s="3"/>
    </row>
    <row r="627" spans="1:34" ht="14.25" customHeight="1" x14ac:dyDescent="0.25">
      <c r="A627" s="3" t="s">
        <v>163</v>
      </c>
      <c r="B627" s="3" t="s">
        <v>79</v>
      </c>
      <c r="C627" s="3"/>
      <c r="D627" s="3" t="s">
        <v>98</v>
      </c>
      <c r="E627" s="3">
        <v>1</v>
      </c>
      <c r="F627" s="3">
        <v>1</v>
      </c>
      <c r="G627" s="3" t="s">
        <v>3</v>
      </c>
      <c r="H627" s="11">
        <v>45838</v>
      </c>
      <c r="I627" s="3" t="s">
        <v>167</v>
      </c>
      <c r="J627" s="3">
        <v>12</v>
      </c>
      <c r="K627" s="3">
        <v>10</v>
      </c>
      <c r="L627" s="3">
        <v>0</v>
      </c>
      <c r="M627" s="3">
        <v>0</v>
      </c>
      <c r="N627" s="3">
        <v>0</v>
      </c>
      <c r="O627" s="3">
        <f t="shared" si="100"/>
        <v>22</v>
      </c>
      <c r="P627" s="3">
        <v>4</v>
      </c>
      <c r="Q627" s="3">
        <v>5</v>
      </c>
      <c r="R627" s="3">
        <v>1</v>
      </c>
      <c r="S627" s="3">
        <v>3</v>
      </c>
      <c r="T627" s="3">
        <v>0</v>
      </c>
      <c r="U627" s="3">
        <f t="shared" si="104"/>
        <v>13</v>
      </c>
      <c r="V627" s="13">
        <f t="shared" si="101"/>
        <v>1.6923076923076923</v>
      </c>
      <c r="W627" s="13">
        <f t="shared" si="105"/>
        <v>1.6923076923076923</v>
      </c>
      <c r="X627" s="3">
        <f t="shared" si="102"/>
        <v>13</v>
      </c>
      <c r="Y627" s="3">
        <f t="shared" si="106"/>
        <v>4.807692307692308E-3</v>
      </c>
      <c r="Z627" s="3"/>
      <c r="AA627" s="3">
        <f t="shared" si="116"/>
        <v>352</v>
      </c>
      <c r="AB627" s="3">
        <f t="shared" si="117"/>
        <v>75</v>
      </c>
      <c r="AC627" s="3" t="s">
        <v>82</v>
      </c>
      <c r="AD627" s="3" t="s">
        <v>83</v>
      </c>
      <c r="AE627" s="3">
        <v>15</v>
      </c>
      <c r="AF627" s="3" t="s">
        <v>143</v>
      </c>
      <c r="AG627" s="3" t="s">
        <v>307</v>
      </c>
      <c r="AH627" s="3"/>
    </row>
    <row r="628" spans="1:34" ht="14.25" customHeight="1" x14ac:dyDescent="0.25">
      <c r="A628" s="3" t="s">
        <v>163</v>
      </c>
      <c r="B628" s="3" t="s">
        <v>79</v>
      </c>
      <c r="C628" s="3"/>
      <c r="D628" s="3" t="s">
        <v>98</v>
      </c>
      <c r="E628" s="3">
        <v>1</v>
      </c>
      <c r="F628" s="3">
        <v>1</v>
      </c>
      <c r="G628" s="3" t="s">
        <v>12</v>
      </c>
      <c r="H628" s="11">
        <v>45838</v>
      </c>
      <c r="I628" s="3" t="s">
        <v>167</v>
      </c>
      <c r="J628" s="3">
        <v>0</v>
      </c>
      <c r="K628" s="3">
        <v>1.3</v>
      </c>
      <c r="L628" s="3">
        <v>0</v>
      </c>
      <c r="M628" s="3">
        <v>2.2000000000000002</v>
      </c>
      <c r="N628" s="3">
        <v>0</v>
      </c>
      <c r="O628" s="3">
        <f t="shared" si="100"/>
        <v>3.5</v>
      </c>
      <c r="P628" s="3">
        <v>4</v>
      </c>
      <c r="Q628" s="3">
        <v>5</v>
      </c>
      <c r="R628" s="3">
        <v>1</v>
      </c>
      <c r="S628" s="3">
        <v>3</v>
      </c>
      <c r="T628" s="3">
        <v>0</v>
      </c>
      <c r="U628" s="3">
        <f t="shared" si="104"/>
        <v>13</v>
      </c>
      <c r="V628" s="13">
        <f t="shared" si="101"/>
        <v>0.26923076923076922</v>
      </c>
      <c r="W628" s="13">
        <f t="shared" si="105"/>
        <v>0.26923076923076922</v>
      </c>
      <c r="X628" s="3">
        <f t="shared" si="102"/>
        <v>13</v>
      </c>
      <c r="Y628" s="3">
        <f t="shared" si="106"/>
        <v>7.6486013986013987E-4</v>
      </c>
      <c r="Z628" s="3"/>
      <c r="AA628" s="3">
        <f t="shared" si="116"/>
        <v>352</v>
      </c>
      <c r="AB628" s="3">
        <f t="shared" si="117"/>
        <v>75</v>
      </c>
      <c r="AC628" s="3" t="s">
        <v>82</v>
      </c>
      <c r="AD628" s="3" t="s">
        <v>83</v>
      </c>
      <c r="AE628" s="3">
        <v>15</v>
      </c>
      <c r="AF628" s="3" t="s">
        <v>143</v>
      </c>
      <c r="AG628" s="3" t="s">
        <v>307</v>
      </c>
      <c r="AH628" s="3"/>
    </row>
    <row r="629" spans="1:34" ht="14.25" customHeight="1" x14ac:dyDescent="0.25">
      <c r="A629" s="3" t="s">
        <v>163</v>
      </c>
      <c r="B629" s="3" t="s">
        <v>79</v>
      </c>
      <c r="C629" s="3"/>
      <c r="D629" s="3" t="s">
        <v>98</v>
      </c>
      <c r="E629" s="3">
        <v>1</v>
      </c>
      <c r="F629" s="3">
        <v>1</v>
      </c>
      <c r="G629" s="3" t="s">
        <v>16</v>
      </c>
      <c r="H629" s="11">
        <v>45838</v>
      </c>
      <c r="I629" s="3" t="s">
        <v>167</v>
      </c>
      <c r="J629" s="3">
        <v>0</v>
      </c>
      <c r="K629" s="3">
        <v>2.2999999999999998</v>
      </c>
      <c r="L629" s="3">
        <v>0</v>
      </c>
      <c r="M629" s="3">
        <v>3.2</v>
      </c>
      <c r="N629" s="3">
        <v>0</v>
      </c>
      <c r="O629" s="3">
        <f t="shared" si="100"/>
        <v>5.5</v>
      </c>
      <c r="P629" s="3">
        <v>4</v>
      </c>
      <c r="Q629" s="3">
        <v>5</v>
      </c>
      <c r="R629" s="3">
        <v>1</v>
      </c>
      <c r="S629" s="3">
        <v>3</v>
      </c>
      <c r="T629" s="3">
        <v>0</v>
      </c>
      <c r="U629" s="3">
        <f t="shared" si="104"/>
        <v>13</v>
      </c>
      <c r="V629" s="13">
        <f t="shared" si="101"/>
        <v>0.42307692307692307</v>
      </c>
      <c r="W629" s="13">
        <f t="shared" si="105"/>
        <v>0.42307692307692307</v>
      </c>
      <c r="X629" s="3">
        <f t="shared" si="102"/>
        <v>13</v>
      </c>
      <c r="Y629" s="3">
        <f t="shared" si="106"/>
        <v>1.201923076923077E-3</v>
      </c>
      <c r="Z629" s="3"/>
      <c r="AA629" s="3">
        <f t="shared" si="116"/>
        <v>352</v>
      </c>
      <c r="AB629" s="3">
        <f t="shared" si="117"/>
        <v>75</v>
      </c>
      <c r="AC629" s="3" t="s">
        <v>82</v>
      </c>
      <c r="AD629" s="3" t="s">
        <v>83</v>
      </c>
      <c r="AE629" s="3">
        <v>15</v>
      </c>
      <c r="AF629" s="3" t="s">
        <v>143</v>
      </c>
      <c r="AG629" s="3" t="s">
        <v>307</v>
      </c>
      <c r="AH629" s="3"/>
    </row>
    <row r="630" spans="1:34" ht="14.25" customHeight="1" x14ac:dyDescent="0.25">
      <c r="A630" s="3" t="s">
        <v>163</v>
      </c>
      <c r="B630" s="3" t="s">
        <v>79</v>
      </c>
      <c r="C630" s="3"/>
      <c r="D630" s="3" t="s">
        <v>98</v>
      </c>
      <c r="E630" s="3">
        <v>1</v>
      </c>
      <c r="F630" s="3">
        <v>1</v>
      </c>
      <c r="G630" s="3" t="s">
        <v>18</v>
      </c>
      <c r="H630" s="11">
        <v>45838</v>
      </c>
      <c r="I630" s="3" t="s">
        <v>167</v>
      </c>
      <c r="J630" s="3">
        <v>0</v>
      </c>
      <c r="K630" s="3">
        <f>6+4.2</f>
        <v>10.199999999999999</v>
      </c>
      <c r="L630" s="3">
        <v>0</v>
      </c>
      <c r="M630" s="3">
        <v>6</v>
      </c>
      <c r="N630" s="3">
        <v>0</v>
      </c>
      <c r="O630" s="3">
        <f t="shared" si="100"/>
        <v>16.2</v>
      </c>
      <c r="P630" s="3">
        <v>4</v>
      </c>
      <c r="Q630" s="3">
        <v>5</v>
      </c>
      <c r="R630" s="3">
        <v>1</v>
      </c>
      <c r="S630" s="3">
        <v>3</v>
      </c>
      <c r="T630" s="3">
        <v>0</v>
      </c>
      <c r="U630" s="3">
        <f t="shared" si="104"/>
        <v>13</v>
      </c>
      <c r="V630" s="13">
        <f t="shared" si="101"/>
        <v>1.2461538461538462</v>
      </c>
      <c r="W630" s="13">
        <f t="shared" si="105"/>
        <v>1.2461538461538462</v>
      </c>
      <c r="X630" s="3">
        <f t="shared" si="102"/>
        <v>13</v>
      </c>
      <c r="Y630" s="3">
        <f t="shared" si="106"/>
        <v>3.5402097902097903E-3</v>
      </c>
      <c r="Z630" s="3"/>
      <c r="AA630" s="3">
        <f t="shared" si="116"/>
        <v>352</v>
      </c>
      <c r="AB630" s="3">
        <f t="shared" si="117"/>
        <v>75</v>
      </c>
      <c r="AC630" s="3" t="s">
        <v>82</v>
      </c>
      <c r="AD630" s="3" t="s">
        <v>83</v>
      </c>
      <c r="AE630" s="3">
        <v>15</v>
      </c>
      <c r="AF630" s="3" t="s">
        <v>143</v>
      </c>
      <c r="AG630" s="3" t="s">
        <v>307</v>
      </c>
      <c r="AH630" s="3"/>
    </row>
    <row r="631" spans="1:34" ht="14.25" customHeight="1" x14ac:dyDescent="0.25">
      <c r="A631" s="3" t="s">
        <v>163</v>
      </c>
      <c r="B631" s="3" t="s">
        <v>79</v>
      </c>
      <c r="C631" s="3"/>
      <c r="D631" s="3" t="s">
        <v>98</v>
      </c>
      <c r="E631" s="3">
        <v>1</v>
      </c>
      <c r="F631" s="3">
        <v>1</v>
      </c>
      <c r="G631" s="3" t="s">
        <v>25</v>
      </c>
      <c r="H631" s="11">
        <v>45838</v>
      </c>
      <c r="I631" s="3" t="s">
        <v>167</v>
      </c>
      <c r="J631" s="3">
        <v>0</v>
      </c>
      <c r="K631" s="3">
        <v>6.8</v>
      </c>
      <c r="L631" s="3">
        <v>0</v>
      </c>
      <c r="M631" s="3">
        <v>0</v>
      </c>
      <c r="N631" s="3">
        <v>0</v>
      </c>
      <c r="O631" s="3">
        <f t="shared" si="100"/>
        <v>6.8</v>
      </c>
      <c r="P631" s="3">
        <v>4</v>
      </c>
      <c r="Q631" s="3">
        <v>5</v>
      </c>
      <c r="R631" s="3">
        <v>1</v>
      </c>
      <c r="S631" s="3">
        <v>3</v>
      </c>
      <c r="T631" s="3">
        <v>0</v>
      </c>
      <c r="U631" s="3">
        <f t="shared" si="104"/>
        <v>13</v>
      </c>
      <c r="V631" s="13">
        <f t="shared" si="101"/>
        <v>0.52307692307692311</v>
      </c>
      <c r="W631" s="13">
        <f t="shared" si="105"/>
        <v>0.52307692307692311</v>
      </c>
      <c r="X631" s="3">
        <f t="shared" si="102"/>
        <v>13</v>
      </c>
      <c r="Y631" s="3">
        <f t="shared" si="106"/>
        <v>1.4860139860139862E-3</v>
      </c>
      <c r="Z631" s="3"/>
      <c r="AA631" s="3">
        <f t="shared" si="116"/>
        <v>352</v>
      </c>
      <c r="AB631" s="3">
        <f t="shared" si="117"/>
        <v>75</v>
      </c>
      <c r="AC631" s="3" t="s">
        <v>82</v>
      </c>
      <c r="AD631" s="3" t="s">
        <v>83</v>
      </c>
      <c r="AE631" s="3">
        <v>15</v>
      </c>
      <c r="AF631" s="3" t="s">
        <v>143</v>
      </c>
      <c r="AG631" s="3" t="s">
        <v>307</v>
      </c>
      <c r="AH631" s="3"/>
    </row>
    <row r="632" spans="1:34" ht="14.25" customHeight="1" x14ac:dyDescent="0.25">
      <c r="A632" s="3" t="s">
        <v>163</v>
      </c>
      <c r="B632" s="3" t="s">
        <v>79</v>
      </c>
      <c r="C632" s="3"/>
      <c r="D632" s="3" t="s">
        <v>98</v>
      </c>
      <c r="E632" s="3">
        <v>1</v>
      </c>
      <c r="F632" s="3">
        <v>1</v>
      </c>
      <c r="G632" s="3" t="s">
        <v>22</v>
      </c>
      <c r="H632" s="11">
        <v>45838</v>
      </c>
      <c r="I632" s="3" t="s">
        <v>167</v>
      </c>
      <c r="J632" s="3">
        <v>0</v>
      </c>
      <c r="K632" s="3">
        <v>0</v>
      </c>
      <c r="L632" s="3">
        <v>4.2</v>
      </c>
      <c r="M632" s="3">
        <v>3.2</v>
      </c>
      <c r="N632" s="3">
        <v>0</v>
      </c>
      <c r="O632" s="3">
        <f t="shared" si="100"/>
        <v>7.4</v>
      </c>
      <c r="P632" s="3">
        <v>4</v>
      </c>
      <c r="Q632" s="3">
        <v>5</v>
      </c>
      <c r="R632" s="3">
        <v>1</v>
      </c>
      <c r="S632" s="3">
        <v>3</v>
      </c>
      <c r="T632" s="3">
        <v>0</v>
      </c>
      <c r="U632" s="3">
        <f t="shared" si="104"/>
        <v>13</v>
      </c>
      <c r="V632" s="13">
        <f t="shared" si="101"/>
        <v>0.56923076923076921</v>
      </c>
      <c r="W632" s="13">
        <f t="shared" si="105"/>
        <v>0.56923076923076921</v>
      </c>
      <c r="X632" s="3">
        <f t="shared" si="102"/>
        <v>13</v>
      </c>
      <c r="Y632" s="3">
        <f t="shared" si="106"/>
        <v>1.6171328671328671E-3</v>
      </c>
      <c r="Z632" s="3"/>
      <c r="AA632" s="3">
        <f t="shared" si="116"/>
        <v>352</v>
      </c>
      <c r="AB632" s="3">
        <f t="shared" si="117"/>
        <v>75</v>
      </c>
      <c r="AC632" s="3" t="s">
        <v>82</v>
      </c>
      <c r="AD632" s="3" t="s">
        <v>83</v>
      </c>
      <c r="AE632" s="3">
        <v>15</v>
      </c>
      <c r="AF632" s="3" t="s">
        <v>143</v>
      </c>
      <c r="AG632" s="3" t="s">
        <v>307</v>
      </c>
      <c r="AH632" s="3"/>
    </row>
    <row r="633" spans="1:34" ht="14.25" customHeight="1" x14ac:dyDescent="0.25">
      <c r="A633" s="3" t="s">
        <v>168</v>
      </c>
      <c r="B633" s="3" t="s">
        <v>79</v>
      </c>
      <c r="C633" s="3"/>
      <c r="D633" s="3" t="s">
        <v>98</v>
      </c>
      <c r="E633" s="3">
        <v>1</v>
      </c>
      <c r="F633" s="3">
        <v>1</v>
      </c>
      <c r="G633" s="3" t="s">
        <v>14</v>
      </c>
      <c r="H633" s="11">
        <v>45838</v>
      </c>
      <c r="I633" s="3" t="s">
        <v>167</v>
      </c>
      <c r="J633" s="3">
        <v>0</v>
      </c>
      <c r="K633" s="3">
        <v>2</v>
      </c>
      <c r="L633" s="3">
        <v>0</v>
      </c>
      <c r="M633" s="3">
        <v>3</v>
      </c>
      <c r="N633" s="3">
        <v>0</v>
      </c>
      <c r="O633" s="3">
        <f t="shared" si="100"/>
        <v>5</v>
      </c>
      <c r="P633" s="3">
        <v>0</v>
      </c>
      <c r="Q633" s="3">
        <v>2</v>
      </c>
      <c r="R633" s="3">
        <v>6</v>
      </c>
      <c r="S633" s="3">
        <v>4</v>
      </c>
      <c r="T633" s="3">
        <v>1</v>
      </c>
      <c r="U633" s="3">
        <f t="shared" si="104"/>
        <v>13</v>
      </c>
      <c r="V633" s="13">
        <f t="shared" si="101"/>
        <v>0.38461538461538464</v>
      </c>
      <c r="W633" s="13">
        <f t="shared" si="105"/>
        <v>0.38461538461538464</v>
      </c>
      <c r="X633" s="3">
        <f t="shared" si="102"/>
        <v>13</v>
      </c>
      <c r="Y633" s="3" t="e">
        <f t="shared" si="106"/>
        <v>#DIV/0!</v>
      </c>
      <c r="Z633" s="3"/>
      <c r="AA633" s="3"/>
      <c r="AB633" s="3"/>
      <c r="AC633" s="3" t="s">
        <v>82</v>
      </c>
      <c r="AD633" s="3" t="s">
        <v>83</v>
      </c>
      <c r="AE633" s="3">
        <v>60</v>
      </c>
      <c r="AF633" s="3" t="s">
        <v>143</v>
      </c>
      <c r="AG633" s="3" t="s">
        <v>173</v>
      </c>
      <c r="AH633" s="3"/>
    </row>
    <row r="634" spans="1:34" ht="14.25" customHeight="1" x14ac:dyDescent="0.25">
      <c r="A634" s="3" t="s">
        <v>168</v>
      </c>
      <c r="B634" s="3" t="s">
        <v>79</v>
      </c>
      <c r="C634" s="3"/>
      <c r="D634" s="3" t="s">
        <v>98</v>
      </c>
      <c r="E634" s="3">
        <v>1</v>
      </c>
      <c r="F634" s="3">
        <v>1</v>
      </c>
      <c r="G634" s="3" t="s">
        <v>16</v>
      </c>
      <c r="H634" s="11">
        <v>45838</v>
      </c>
      <c r="I634" s="3" t="s">
        <v>167</v>
      </c>
      <c r="J634" s="3">
        <v>0</v>
      </c>
      <c r="K634" s="3">
        <f>4+9</f>
        <v>13</v>
      </c>
      <c r="L634" s="3">
        <f>3+12+8+6</f>
        <v>29</v>
      </c>
      <c r="M634" s="3">
        <f>9+8</f>
        <v>17</v>
      </c>
      <c r="N634" s="3">
        <v>8</v>
      </c>
      <c r="O634" s="3">
        <f t="shared" si="100"/>
        <v>67</v>
      </c>
      <c r="P634" s="3">
        <v>0</v>
      </c>
      <c r="Q634" s="3">
        <v>2</v>
      </c>
      <c r="R634" s="3">
        <v>6</v>
      </c>
      <c r="S634" s="3">
        <v>4</v>
      </c>
      <c r="T634" s="3">
        <v>1</v>
      </c>
      <c r="U634" s="3">
        <f t="shared" si="104"/>
        <v>13</v>
      </c>
      <c r="V634" s="13">
        <f t="shared" si="101"/>
        <v>5.1538461538461542</v>
      </c>
      <c r="W634" s="13">
        <f t="shared" si="105"/>
        <v>5.1538461538461542</v>
      </c>
      <c r="X634" s="3">
        <f t="shared" si="102"/>
        <v>13</v>
      </c>
      <c r="Y634" s="3" t="e">
        <f t="shared" si="106"/>
        <v>#DIV/0!</v>
      </c>
      <c r="Z634" s="3"/>
      <c r="AA634" s="3"/>
      <c r="AB634" s="3"/>
      <c r="AC634" s="3" t="s">
        <v>82</v>
      </c>
      <c r="AD634" s="3" t="s">
        <v>83</v>
      </c>
      <c r="AE634" s="3">
        <v>60</v>
      </c>
      <c r="AF634" s="3" t="s">
        <v>143</v>
      </c>
      <c r="AG634" s="3" t="s">
        <v>173</v>
      </c>
      <c r="AH634" s="3"/>
    </row>
    <row r="635" spans="1:34" ht="14.25" customHeight="1" x14ac:dyDescent="0.25">
      <c r="A635" s="3" t="s">
        <v>168</v>
      </c>
      <c r="B635" s="3" t="s">
        <v>79</v>
      </c>
      <c r="C635" s="3"/>
      <c r="D635" s="3" t="s">
        <v>98</v>
      </c>
      <c r="E635" s="3">
        <v>1</v>
      </c>
      <c r="F635" s="3">
        <v>1</v>
      </c>
      <c r="G635" s="3" t="s">
        <v>18</v>
      </c>
      <c r="H635" s="11">
        <v>45838</v>
      </c>
      <c r="I635" s="3" t="s">
        <v>167</v>
      </c>
      <c r="J635" s="3">
        <v>0</v>
      </c>
      <c r="K635" s="3">
        <f>6+3</f>
        <v>9</v>
      </c>
      <c r="L635" s="3">
        <f>8+11+9+3</f>
        <v>31</v>
      </c>
      <c r="M635" s="3">
        <f>7+4+5</f>
        <v>16</v>
      </c>
      <c r="N635" s="3">
        <v>3</v>
      </c>
      <c r="O635" s="3">
        <f t="shared" si="100"/>
        <v>59</v>
      </c>
      <c r="P635" s="3">
        <v>0</v>
      </c>
      <c r="Q635" s="3">
        <v>2</v>
      </c>
      <c r="R635" s="3">
        <v>6</v>
      </c>
      <c r="S635" s="3">
        <v>4</v>
      </c>
      <c r="T635" s="3">
        <v>1</v>
      </c>
      <c r="U635" s="3">
        <f t="shared" si="104"/>
        <v>13</v>
      </c>
      <c r="V635" s="13">
        <f t="shared" si="101"/>
        <v>4.5384615384615383</v>
      </c>
      <c r="W635" s="13">
        <f t="shared" si="105"/>
        <v>4.5384615384615383</v>
      </c>
      <c r="X635" s="3">
        <f t="shared" si="102"/>
        <v>13</v>
      </c>
      <c r="Y635" s="3" t="e">
        <f t="shared" si="106"/>
        <v>#DIV/0!</v>
      </c>
      <c r="Z635" s="3"/>
      <c r="AA635" s="3"/>
      <c r="AB635" s="3"/>
      <c r="AC635" s="3" t="s">
        <v>82</v>
      </c>
      <c r="AD635" s="3" t="s">
        <v>83</v>
      </c>
      <c r="AE635" s="3">
        <v>60</v>
      </c>
      <c r="AF635" s="3" t="s">
        <v>143</v>
      </c>
      <c r="AG635" s="3" t="s">
        <v>173</v>
      </c>
      <c r="AH635" s="3"/>
    </row>
    <row r="636" spans="1:34" ht="14.25" customHeight="1" x14ac:dyDescent="0.25">
      <c r="A636" s="3" t="s">
        <v>168</v>
      </c>
      <c r="B636" s="3" t="s">
        <v>79</v>
      </c>
      <c r="C636" s="3"/>
      <c r="D636" s="3" t="s">
        <v>98</v>
      </c>
      <c r="E636" s="3">
        <v>1</v>
      </c>
      <c r="F636" s="3">
        <v>1</v>
      </c>
      <c r="G636" s="3" t="s">
        <v>22</v>
      </c>
      <c r="H636" s="11">
        <v>45838</v>
      </c>
      <c r="I636" s="3" t="s">
        <v>167</v>
      </c>
      <c r="J636" s="3">
        <v>0</v>
      </c>
      <c r="K636" s="3">
        <v>0</v>
      </c>
      <c r="L636" s="3">
        <v>5</v>
      </c>
      <c r="M636" s="3">
        <v>0</v>
      </c>
      <c r="N636" s="3">
        <v>0</v>
      </c>
      <c r="O636" s="3">
        <f t="shared" si="100"/>
        <v>5</v>
      </c>
      <c r="P636" s="3">
        <v>0</v>
      </c>
      <c r="Q636" s="3">
        <v>2</v>
      </c>
      <c r="R636" s="3">
        <v>6</v>
      </c>
      <c r="S636" s="3">
        <v>4</v>
      </c>
      <c r="T636" s="3">
        <v>1</v>
      </c>
      <c r="U636" s="3">
        <f t="shared" si="104"/>
        <v>13</v>
      </c>
      <c r="V636" s="13">
        <f t="shared" si="101"/>
        <v>0.38461538461538464</v>
      </c>
      <c r="W636" s="13">
        <f t="shared" si="105"/>
        <v>0.38461538461538464</v>
      </c>
      <c r="X636" s="3">
        <f t="shared" si="102"/>
        <v>13</v>
      </c>
      <c r="Y636" s="3" t="e">
        <f t="shared" si="106"/>
        <v>#DIV/0!</v>
      </c>
      <c r="Z636" s="3"/>
      <c r="AA636" s="3"/>
      <c r="AB636" s="3"/>
      <c r="AC636" s="3" t="s">
        <v>82</v>
      </c>
      <c r="AD636" s="3" t="s">
        <v>83</v>
      </c>
      <c r="AE636" s="3">
        <v>60</v>
      </c>
      <c r="AF636" s="3" t="s">
        <v>143</v>
      </c>
      <c r="AG636" s="3" t="s">
        <v>173</v>
      </c>
      <c r="AH636" s="3"/>
    </row>
    <row r="637" spans="1:34" ht="14.25" customHeight="1" x14ac:dyDescent="0.25">
      <c r="A637" s="3" t="s">
        <v>89</v>
      </c>
      <c r="B637" s="3" t="s">
        <v>79</v>
      </c>
      <c r="C637" s="3"/>
      <c r="D637" s="3" t="s">
        <v>80</v>
      </c>
      <c r="E637" s="3">
        <v>2</v>
      </c>
      <c r="F637" s="3">
        <v>1</v>
      </c>
      <c r="G637" s="3" t="s">
        <v>3</v>
      </c>
      <c r="H637" s="11">
        <v>45838</v>
      </c>
      <c r="I637" s="3" t="s">
        <v>167</v>
      </c>
      <c r="J637" s="3">
        <v>0</v>
      </c>
      <c r="K637" s="3">
        <f>114+90+38</f>
        <v>242</v>
      </c>
      <c r="L637" s="3">
        <v>124</v>
      </c>
      <c r="M637" s="3">
        <f>72+58+32</f>
        <v>162</v>
      </c>
      <c r="N637" s="3">
        <v>0</v>
      </c>
      <c r="O637" s="3">
        <f t="shared" si="100"/>
        <v>528</v>
      </c>
      <c r="P637" s="3">
        <v>1</v>
      </c>
      <c r="Q637" s="3">
        <v>4</v>
      </c>
      <c r="R637" s="3">
        <v>2</v>
      </c>
      <c r="S637" s="3">
        <v>5</v>
      </c>
      <c r="T637" s="3">
        <v>0</v>
      </c>
      <c r="U637" s="3">
        <f t="shared" si="104"/>
        <v>12</v>
      </c>
      <c r="V637" s="13">
        <f t="shared" si="101"/>
        <v>44</v>
      </c>
      <c r="W637" s="13">
        <f t="shared" si="105"/>
        <v>44</v>
      </c>
      <c r="X637" s="3">
        <f t="shared" si="102"/>
        <v>12</v>
      </c>
      <c r="Y637" s="3">
        <f t="shared" si="106"/>
        <v>9.4017094017094016E-2</v>
      </c>
      <c r="Z637" s="3"/>
      <c r="AA637" s="3">
        <f t="shared" ref="AA637:AA641" si="118">60*2.6*3</f>
        <v>468</v>
      </c>
      <c r="AB637" s="3"/>
      <c r="AC637" s="3" t="s">
        <v>82</v>
      </c>
      <c r="AD637" s="3" t="s">
        <v>83</v>
      </c>
      <c r="AE637" s="3">
        <v>40</v>
      </c>
      <c r="AF637" s="3" t="s">
        <v>143</v>
      </c>
      <c r="AG637" s="3" t="s">
        <v>287</v>
      </c>
      <c r="AH637" s="3"/>
    </row>
    <row r="638" spans="1:34" ht="14.25" customHeight="1" x14ac:dyDescent="0.25">
      <c r="A638" s="3" t="s">
        <v>89</v>
      </c>
      <c r="B638" s="3" t="s">
        <v>79</v>
      </c>
      <c r="C638" s="3"/>
      <c r="D638" s="3" t="s">
        <v>80</v>
      </c>
      <c r="E638" s="3">
        <v>2</v>
      </c>
      <c r="F638" s="3">
        <v>1</v>
      </c>
      <c r="G638" s="3" t="s">
        <v>16</v>
      </c>
      <c r="H638" s="11">
        <v>45838</v>
      </c>
      <c r="I638" s="3" t="s">
        <v>167</v>
      </c>
      <c r="J638" s="3">
        <v>0</v>
      </c>
      <c r="K638" s="3">
        <v>0</v>
      </c>
      <c r="L638" s="3">
        <v>0</v>
      </c>
      <c r="M638" s="3">
        <v>3.2</v>
      </c>
      <c r="N638" s="3">
        <v>0</v>
      </c>
      <c r="O638" s="3">
        <f t="shared" si="100"/>
        <v>3.2</v>
      </c>
      <c r="P638" s="3">
        <v>1</v>
      </c>
      <c r="Q638" s="3">
        <v>4</v>
      </c>
      <c r="R638" s="3">
        <v>2</v>
      </c>
      <c r="S638" s="3">
        <v>5</v>
      </c>
      <c r="T638" s="3">
        <v>0</v>
      </c>
      <c r="U638" s="3">
        <f t="shared" si="104"/>
        <v>12</v>
      </c>
      <c r="V638" s="13">
        <f t="shared" si="101"/>
        <v>0.26666666666666666</v>
      </c>
      <c r="W638" s="13">
        <f t="shared" si="105"/>
        <v>0.26666666666666666</v>
      </c>
      <c r="X638" s="3">
        <f t="shared" si="102"/>
        <v>12</v>
      </c>
      <c r="Y638" s="3">
        <f t="shared" si="106"/>
        <v>5.6980056980056976E-4</v>
      </c>
      <c r="Z638" s="3"/>
      <c r="AA638" s="3">
        <f t="shared" si="118"/>
        <v>468</v>
      </c>
      <c r="AB638" s="3"/>
      <c r="AC638" s="3" t="s">
        <v>82</v>
      </c>
      <c r="AD638" s="3" t="s">
        <v>83</v>
      </c>
      <c r="AE638" s="3">
        <v>40</v>
      </c>
      <c r="AF638" s="3" t="s">
        <v>143</v>
      </c>
      <c r="AG638" s="3" t="s">
        <v>287</v>
      </c>
      <c r="AH638" s="3"/>
    </row>
    <row r="639" spans="1:34" ht="14.25" customHeight="1" x14ac:dyDescent="0.25">
      <c r="A639" s="3" t="s">
        <v>89</v>
      </c>
      <c r="B639" s="3" t="s">
        <v>79</v>
      </c>
      <c r="C639" s="3"/>
      <c r="D639" s="3" t="s">
        <v>80</v>
      </c>
      <c r="E639" s="3">
        <v>2</v>
      </c>
      <c r="F639" s="3">
        <v>1</v>
      </c>
      <c r="G639" s="3" t="s">
        <v>18</v>
      </c>
      <c r="H639" s="11">
        <v>45838</v>
      </c>
      <c r="I639" s="3" t="s">
        <v>167</v>
      </c>
      <c r="J639" s="3">
        <v>0</v>
      </c>
      <c r="K639" s="3">
        <v>0</v>
      </c>
      <c r="L639" s="3">
        <v>0</v>
      </c>
      <c r="M639" s="3">
        <v>6</v>
      </c>
      <c r="N639" s="3">
        <v>0</v>
      </c>
      <c r="O639" s="3">
        <f t="shared" si="100"/>
        <v>6</v>
      </c>
      <c r="P639" s="3">
        <v>1</v>
      </c>
      <c r="Q639" s="3">
        <v>4</v>
      </c>
      <c r="R639" s="3">
        <v>2</v>
      </c>
      <c r="S639" s="3">
        <v>5</v>
      </c>
      <c r="T639" s="3">
        <v>0</v>
      </c>
      <c r="U639" s="3">
        <f t="shared" si="104"/>
        <v>12</v>
      </c>
      <c r="V639" s="13">
        <f t="shared" si="101"/>
        <v>0.5</v>
      </c>
      <c r="W639" s="13">
        <f t="shared" si="105"/>
        <v>0.5</v>
      </c>
      <c r="X639" s="3">
        <f t="shared" si="102"/>
        <v>12</v>
      </c>
      <c r="Y639" s="3">
        <f t="shared" si="106"/>
        <v>1.0683760683760685E-3</v>
      </c>
      <c r="Z639" s="3"/>
      <c r="AA639" s="3">
        <f t="shared" si="118"/>
        <v>468</v>
      </c>
      <c r="AB639" s="3"/>
      <c r="AC639" s="3" t="s">
        <v>82</v>
      </c>
      <c r="AD639" s="3" t="s">
        <v>83</v>
      </c>
      <c r="AE639" s="3">
        <v>40</v>
      </c>
      <c r="AF639" s="3" t="s">
        <v>143</v>
      </c>
      <c r="AG639" s="3" t="s">
        <v>287</v>
      </c>
      <c r="AH639" s="3"/>
    </row>
    <row r="640" spans="1:34" ht="14.25" customHeight="1" x14ac:dyDescent="0.25">
      <c r="A640" s="3" t="s">
        <v>89</v>
      </c>
      <c r="B640" s="3" t="s">
        <v>79</v>
      </c>
      <c r="C640" s="3"/>
      <c r="D640" s="3" t="s">
        <v>80</v>
      </c>
      <c r="E640" s="3">
        <v>2</v>
      </c>
      <c r="F640" s="3">
        <v>1</v>
      </c>
      <c r="G640" s="3" t="s">
        <v>25</v>
      </c>
      <c r="H640" s="11">
        <v>45838</v>
      </c>
      <c r="I640" s="3" t="s">
        <v>167</v>
      </c>
      <c r="J640" s="3">
        <v>0</v>
      </c>
      <c r="K640" s="3">
        <v>14</v>
      </c>
      <c r="L640" s="3">
        <v>0</v>
      </c>
      <c r="M640" s="3">
        <v>0</v>
      </c>
      <c r="N640" s="3">
        <v>0</v>
      </c>
      <c r="O640" s="3">
        <f t="shared" si="100"/>
        <v>14</v>
      </c>
      <c r="P640" s="3">
        <v>1</v>
      </c>
      <c r="Q640" s="3">
        <v>4</v>
      </c>
      <c r="R640" s="3">
        <v>2</v>
      </c>
      <c r="S640" s="3">
        <v>5</v>
      </c>
      <c r="T640" s="3">
        <v>0</v>
      </c>
      <c r="U640" s="3">
        <f t="shared" si="104"/>
        <v>12</v>
      </c>
      <c r="V640" s="13">
        <f t="shared" si="101"/>
        <v>1.1666666666666667</v>
      </c>
      <c r="W640" s="13">
        <f t="shared" si="105"/>
        <v>1.1666666666666667</v>
      </c>
      <c r="X640" s="3">
        <f t="shared" si="102"/>
        <v>12</v>
      </c>
      <c r="Y640" s="3">
        <f t="shared" si="106"/>
        <v>2.4928774928774928E-3</v>
      </c>
      <c r="Z640" s="3"/>
      <c r="AA640" s="3">
        <f t="shared" si="118"/>
        <v>468</v>
      </c>
      <c r="AB640" s="3"/>
      <c r="AC640" s="3" t="s">
        <v>82</v>
      </c>
      <c r="AD640" s="3" t="s">
        <v>83</v>
      </c>
      <c r="AE640" s="3">
        <v>40</v>
      </c>
      <c r="AF640" s="3" t="s">
        <v>143</v>
      </c>
      <c r="AG640" s="3" t="s">
        <v>287</v>
      </c>
      <c r="AH640" s="3"/>
    </row>
    <row r="641" spans="1:34" ht="14.25" customHeight="1" x14ac:dyDescent="0.25">
      <c r="A641" s="3" t="s">
        <v>89</v>
      </c>
      <c r="B641" s="3" t="s">
        <v>79</v>
      </c>
      <c r="C641" s="3"/>
      <c r="D641" s="3" t="s">
        <v>80</v>
      </c>
      <c r="E641" s="3">
        <v>2</v>
      </c>
      <c r="F641" s="3">
        <v>1</v>
      </c>
      <c r="G641" s="3" t="s">
        <v>22</v>
      </c>
      <c r="H641" s="11">
        <v>45838</v>
      </c>
      <c r="I641" s="3" t="s">
        <v>167</v>
      </c>
      <c r="J641" s="3">
        <v>3.2</v>
      </c>
      <c r="K641" s="3">
        <v>0</v>
      </c>
      <c r="L641" s="3">
        <v>4.3</v>
      </c>
      <c r="M641" s="3">
        <v>4.8</v>
      </c>
      <c r="N641" s="3">
        <v>0</v>
      </c>
      <c r="O641" s="3">
        <f t="shared" si="100"/>
        <v>12.3</v>
      </c>
      <c r="P641" s="3">
        <v>1</v>
      </c>
      <c r="Q641" s="3">
        <v>4</v>
      </c>
      <c r="R641" s="3">
        <v>2</v>
      </c>
      <c r="S641" s="3">
        <v>5</v>
      </c>
      <c r="T641" s="3">
        <v>0</v>
      </c>
      <c r="U641" s="3">
        <f t="shared" si="104"/>
        <v>12</v>
      </c>
      <c r="V641" s="13">
        <f t="shared" si="101"/>
        <v>1.0250000000000001</v>
      </c>
      <c r="W641" s="13">
        <f t="shared" si="105"/>
        <v>1.0250000000000001</v>
      </c>
      <c r="X641" s="3">
        <f t="shared" si="102"/>
        <v>12</v>
      </c>
      <c r="Y641" s="3">
        <f t="shared" si="106"/>
        <v>2.1901709401709406E-3</v>
      </c>
      <c r="Z641" s="3"/>
      <c r="AA641" s="3">
        <f t="shared" si="118"/>
        <v>468</v>
      </c>
      <c r="AB641" s="3"/>
      <c r="AC641" s="3" t="s">
        <v>82</v>
      </c>
      <c r="AD641" s="3" t="s">
        <v>83</v>
      </c>
      <c r="AE641" s="3">
        <v>40</v>
      </c>
      <c r="AF641" s="3" t="s">
        <v>143</v>
      </c>
      <c r="AG641" s="3" t="s">
        <v>287</v>
      </c>
      <c r="AH641" s="3"/>
    </row>
    <row r="642" spans="1:34" ht="14.25" customHeight="1" x14ac:dyDescent="0.25">
      <c r="A642" s="3" t="s">
        <v>127</v>
      </c>
      <c r="B642" s="3" t="s">
        <v>79</v>
      </c>
      <c r="C642" s="3"/>
      <c r="D642" s="3" t="s">
        <v>117</v>
      </c>
      <c r="E642" s="3">
        <v>1</v>
      </c>
      <c r="F642" s="3">
        <v>1</v>
      </c>
      <c r="G642" s="3" t="s">
        <v>16</v>
      </c>
      <c r="H642" s="11">
        <v>45838</v>
      </c>
      <c r="I642" s="3" t="s">
        <v>167</v>
      </c>
      <c r="J642" s="3">
        <v>3</v>
      </c>
      <c r="K642" s="3">
        <v>0</v>
      </c>
      <c r="L642" s="3">
        <v>4</v>
      </c>
      <c r="M642" s="3">
        <v>0</v>
      </c>
      <c r="N642" s="3">
        <v>3</v>
      </c>
      <c r="O642" s="3">
        <f t="shared" si="100"/>
        <v>10</v>
      </c>
      <c r="P642" s="3">
        <v>3</v>
      </c>
      <c r="Q642" s="3">
        <v>3</v>
      </c>
      <c r="R642" s="3">
        <v>2</v>
      </c>
      <c r="S642" s="3">
        <v>2</v>
      </c>
      <c r="T642" s="3">
        <v>1</v>
      </c>
      <c r="U642" s="3">
        <f t="shared" si="104"/>
        <v>11</v>
      </c>
      <c r="V642" s="13">
        <f t="shared" si="101"/>
        <v>0.90909090909090906</v>
      </c>
      <c r="W642" s="13">
        <f t="shared" si="105"/>
        <v>0.90909090909090906</v>
      </c>
      <c r="X642" s="3">
        <f t="shared" si="102"/>
        <v>11</v>
      </c>
      <c r="Y642" s="3" t="e">
        <f t="shared" si="106"/>
        <v>#DIV/0!</v>
      </c>
      <c r="Z642" s="3"/>
      <c r="AA642" s="3"/>
      <c r="AB642" s="3"/>
      <c r="AC642" s="3" t="s">
        <v>82</v>
      </c>
      <c r="AD642" s="3" t="s">
        <v>83</v>
      </c>
      <c r="AE642" s="3">
        <v>40</v>
      </c>
      <c r="AF642" s="3" t="s">
        <v>151</v>
      </c>
      <c r="AG642" s="3" t="s">
        <v>166</v>
      </c>
      <c r="AH642" s="3"/>
    </row>
    <row r="643" spans="1:34" ht="14.25" customHeight="1" x14ac:dyDescent="0.25">
      <c r="A643" s="3" t="s">
        <v>127</v>
      </c>
      <c r="B643" s="3" t="s">
        <v>79</v>
      </c>
      <c r="C643" s="3"/>
      <c r="D643" s="3" t="s">
        <v>117</v>
      </c>
      <c r="E643" s="3">
        <v>1</v>
      </c>
      <c r="F643" s="3">
        <v>1</v>
      </c>
      <c r="G643" s="3" t="s">
        <v>18</v>
      </c>
      <c r="H643" s="11">
        <v>45838</v>
      </c>
      <c r="I643" s="3" t="s">
        <v>167</v>
      </c>
      <c r="J643" s="3">
        <f>6+5+7</f>
        <v>18</v>
      </c>
      <c r="K643" s="3">
        <f>3+11+3</f>
        <v>17</v>
      </c>
      <c r="L643" s="3">
        <v>10</v>
      </c>
      <c r="M643" s="3">
        <f>8+9</f>
        <v>17</v>
      </c>
      <c r="N643" s="3">
        <v>2</v>
      </c>
      <c r="O643" s="3">
        <f t="shared" si="100"/>
        <v>64</v>
      </c>
      <c r="P643" s="3">
        <v>3</v>
      </c>
      <c r="Q643" s="3">
        <v>3</v>
      </c>
      <c r="R643" s="3">
        <v>2</v>
      </c>
      <c r="S643" s="3">
        <v>2</v>
      </c>
      <c r="T643" s="3">
        <v>1</v>
      </c>
      <c r="U643" s="3">
        <f t="shared" si="104"/>
        <v>11</v>
      </c>
      <c r="V643" s="13">
        <f t="shared" si="101"/>
        <v>5.8181818181818183</v>
      </c>
      <c r="W643" s="13">
        <f t="shared" ref="W643:W706" si="119">O643/U643/F643</f>
        <v>5.8181818181818183</v>
      </c>
      <c r="X643" s="3">
        <f t="shared" si="102"/>
        <v>11</v>
      </c>
      <c r="Y643" s="3" t="e">
        <f t="shared" ref="Y643:Y706" si="120">O643/U643/AA643</f>
        <v>#DIV/0!</v>
      </c>
      <c r="Z643" s="3"/>
      <c r="AA643" s="3"/>
      <c r="AB643" s="3"/>
      <c r="AC643" s="3" t="s">
        <v>82</v>
      </c>
      <c r="AD643" s="3" t="s">
        <v>83</v>
      </c>
      <c r="AE643" s="3">
        <v>40</v>
      </c>
      <c r="AF643" s="3" t="s">
        <v>151</v>
      </c>
      <c r="AG643" s="3" t="s">
        <v>166</v>
      </c>
      <c r="AH643" s="3"/>
    </row>
    <row r="644" spans="1:34" ht="14.25" customHeight="1" x14ac:dyDescent="0.25">
      <c r="A644" s="3" t="s">
        <v>132</v>
      </c>
      <c r="B644" s="3" t="s">
        <v>79</v>
      </c>
      <c r="C644" s="3"/>
      <c r="D644" s="3" t="s">
        <v>117</v>
      </c>
      <c r="E644" s="3">
        <v>1</v>
      </c>
      <c r="F644" s="3">
        <v>1</v>
      </c>
      <c r="G644" s="3" t="s">
        <v>1</v>
      </c>
      <c r="H644" s="11">
        <v>45838</v>
      </c>
      <c r="I644" s="3" t="s">
        <v>167</v>
      </c>
      <c r="J644" s="3">
        <f>10+7+15+10+9+8+7</f>
        <v>66</v>
      </c>
      <c r="K644" s="3">
        <f>6+10+10+11+12+14+9</f>
        <v>72</v>
      </c>
      <c r="L644" s="3">
        <f>10+11+12+10+12+10+10</f>
        <v>75</v>
      </c>
      <c r="M644" s="3">
        <f>12+9+6+7+10+12+10</f>
        <v>66</v>
      </c>
      <c r="N644" s="3">
        <f>10+9+9</f>
        <v>28</v>
      </c>
      <c r="O644" s="3">
        <f t="shared" si="100"/>
        <v>307</v>
      </c>
      <c r="P644" s="3">
        <v>7</v>
      </c>
      <c r="Q644" s="3">
        <v>7</v>
      </c>
      <c r="R644" s="3">
        <v>7</v>
      </c>
      <c r="S644" s="3">
        <v>7</v>
      </c>
      <c r="T644" s="3">
        <v>2</v>
      </c>
      <c r="U644" s="3">
        <f t="shared" si="104"/>
        <v>30</v>
      </c>
      <c r="V644" s="13">
        <f t="shared" si="101"/>
        <v>10.233333333333333</v>
      </c>
      <c r="W644" s="13">
        <f t="shared" si="119"/>
        <v>10.233333333333333</v>
      </c>
      <c r="X644" s="3">
        <f t="shared" si="102"/>
        <v>30</v>
      </c>
      <c r="Y644" s="3" t="e">
        <f t="shared" si="120"/>
        <v>#DIV/0!</v>
      </c>
      <c r="Z644" s="3"/>
      <c r="AA644" s="3"/>
      <c r="AB644" s="3"/>
      <c r="AC644" s="3" t="s">
        <v>82</v>
      </c>
      <c r="AD644" s="3" t="s">
        <v>83</v>
      </c>
      <c r="AE644" s="3">
        <v>15</v>
      </c>
      <c r="AF644" s="3" t="s">
        <v>151</v>
      </c>
      <c r="AG644" s="3" t="s">
        <v>166</v>
      </c>
      <c r="AH644" s="3"/>
    </row>
    <row r="645" spans="1:34" ht="14.25" customHeight="1" x14ac:dyDescent="0.25">
      <c r="A645" s="3" t="s">
        <v>132</v>
      </c>
      <c r="B645" s="3" t="s">
        <v>79</v>
      </c>
      <c r="C645" s="3"/>
      <c r="D645" s="3" t="s">
        <v>117</v>
      </c>
      <c r="E645" s="3">
        <v>1</v>
      </c>
      <c r="F645" s="3">
        <v>1</v>
      </c>
      <c r="G645" s="3" t="s">
        <v>22</v>
      </c>
      <c r="H645" s="11">
        <v>45838</v>
      </c>
      <c r="I645" s="3" t="s">
        <v>167</v>
      </c>
      <c r="J645" s="3">
        <v>6</v>
      </c>
      <c r="K645" s="3">
        <v>0</v>
      </c>
      <c r="L645" s="3">
        <v>0</v>
      </c>
      <c r="M645" s="3">
        <v>0</v>
      </c>
      <c r="N645" s="3">
        <v>0</v>
      </c>
      <c r="O645" s="3">
        <f t="shared" si="100"/>
        <v>6</v>
      </c>
      <c r="P645" s="3">
        <v>7</v>
      </c>
      <c r="Q645" s="3">
        <v>7</v>
      </c>
      <c r="R645" s="3">
        <v>7</v>
      </c>
      <c r="S645" s="3">
        <v>7</v>
      </c>
      <c r="T645" s="3">
        <v>2</v>
      </c>
      <c r="U645" s="3">
        <f t="shared" si="104"/>
        <v>30</v>
      </c>
      <c r="V645" s="13">
        <f t="shared" si="101"/>
        <v>0.2</v>
      </c>
      <c r="W645" s="13">
        <f t="shared" si="119"/>
        <v>0.2</v>
      </c>
      <c r="X645" s="3">
        <f t="shared" si="102"/>
        <v>30</v>
      </c>
      <c r="Y645" s="3" t="e">
        <f t="shared" si="120"/>
        <v>#DIV/0!</v>
      </c>
      <c r="Z645" s="3"/>
      <c r="AA645" s="3"/>
      <c r="AB645" s="3"/>
      <c r="AC645" s="3" t="s">
        <v>82</v>
      </c>
      <c r="AD645" s="3" t="s">
        <v>83</v>
      </c>
      <c r="AE645" s="3">
        <v>15</v>
      </c>
      <c r="AF645" s="3" t="s">
        <v>151</v>
      </c>
      <c r="AG645" s="3" t="s">
        <v>166</v>
      </c>
      <c r="AH645" s="3"/>
    </row>
    <row r="646" spans="1:34" ht="14.25" customHeight="1" x14ac:dyDescent="0.25">
      <c r="A646" s="3" t="s">
        <v>124</v>
      </c>
      <c r="B646" s="3" t="s">
        <v>79</v>
      </c>
      <c r="C646" s="3"/>
      <c r="D646" s="3" t="s">
        <v>121</v>
      </c>
      <c r="E646" s="3">
        <v>1</v>
      </c>
      <c r="F646" s="3">
        <v>1</v>
      </c>
      <c r="G646" s="3" t="s">
        <v>1</v>
      </c>
      <c r="H646" s="11">
        <v>45838</v>
      </c>
      <c r="I646" s="3" t="s">
        <v>167</v>
      </c>
      <c r="J646" s="3">
        <f>20+11+10+12</f>
        <v>53</v>
      </c>
      <c r="K646" s="3">
        <f>13+8+7</f>
        <v>28</v>
      </c>
      <c r="L646" s="3">
        <f>6+4+11</f>
        <v>21</v>
      </c>
      <c r="M646" s="3">
        <f>21+18+10+8</f>
        <v>57</v>
      </c>
      <c r="N646" s="3">
        <v>1</v>
      </c>
      <c r="O646" s="3">
        <f t="shared" si="100"/>
        <v>160</v>
      </c>
      <c r="P646" s="3">
        <v>4</v>
      </c>
      <c r="Q646" s="3">
        <v>3</v>
      </c>
      <c r="R646" s="3">
        <v>3</v>
      </c>
      <c r="S646" s="3">
        <v>4</v>
      </c>
      <c r="T646" s="3">
        <v>1</v>
      </c>
      <c r="U646" s="3">
        <f t="shared" si="104"/>
        <v>15</v>
      </c>
      <c r="V646" s="13">
        <f t="shared" si="101"/>
        <v>10.666666666666666</v>
      </c>
      <c r="W646" s="13">
        <f t="shared" si="119"/>
        <v>10.666666666666666</v>
      </c>
      <c r="X646" s="3">
        <f t="shared" si="102"/>
        <v>15</v>
      </c>
      <c r="Y646" s="3" t="e">
        <f t="shared" si="120"/>
        <v>#DIV/0!</v>
      </c>
      <c r="Z646" s="3"/>
      <c r="AA646" s="3"/>
      <c r="AB646" s="3"/>
      <c r="AC646" s="3" t="s">
        <v>82</v>
      </c>
      <c r="AD646" s="3" t="s">
        <v>83</v>
      </c>
      <c r="AE646" s="3"/>
      <c r="AF646" s="3" t="s">
        <v>151</v>
      </c>
      <c r="AG646" s="3" t="s">
        <v>357</v>
      </c>
      <c r="AH646" s="3"/>
    </row>
    <row r="647" spans="1:34" ht="14.25" customHeight="1" x14ac:dyDescent="0.25">
      <c r="A647" s="3" t="s">
        <v>165</v>
      </c>
      <c r="B647" s="3" t="s">
        <v>79</v>
      </c>
      <c r="C647" s="3"/>
      <c r="D647" s="3" t="s">
        <v>117</v>
      </c>
      <c r="E647" s="3">
        <v>1</v>
      </c>
      <c r="F647" s="3">
        <v>1</v>
      </c>
      <c r="G647" s="3" t="s">
        <v>1</v>
      </c>
      <c r="H647" s="11">
        <v>45838</v>
      </c>
      <c r="I647" s="3" t="s">
        <v>167</v>
      </c>
      <c r="J647" s="3">
        <f>9+11+8+15</f>
        <v>43</v>
      </c>
      <c r="K647" s="3">
        <f>12+20+16+5</f>
        <v>53</v>
      </c>
      <c r="L647" s="3">
        <f>10+7+10</f>
        <v>27</v>
      </c>
      <c r="M647" s="3">
        <f>11+8+7+5</f>
        <v>31</v>
      </c>
      <c r="N647" s="3">
        <f>6+4</f>
        <v>10</v>
      </c>
      <c r="O647" s="3">
        <f t="shared" si="100"/>
        <v>164</v>
      </c>
      <c r="P647" s="3">
        <v>4</v>
      </c>
      <c r="Q647" s="3">
        <v>4</v>
      </c>
      <c r="R647" s="3">
        <v>3</v>
      </c>
      <c r="S647" s="3">
        <v>4</v>
      </c>
      <c r="T647" s="3">
        <v>2</v>
      </c>
      <c r="U647" s="3">
        <f t="shared" si="104"/>
        <v>17</v>
      </c>
      <c r="V647" s="13">
        <f t="shared" si="101"/>
        <v>9.6470588235294112</v>
      </c>
      <c r="W647" s="13">
        <f t="shared" si="119"/>
        <v>9.6470588235294112</v>
      </c>
      <c r="X647" s="3">
        <f t="shared" si="102"/>
        <v>17</v>
      </c>
      <c r="Y647" s="3" t="e">
        <f t="shared" si="120"/>
        <v>#DIV/0!</v>
      </c>
      <c r="Z647" s="3"/>
      <c r="AA647" s="3"/>
      <c r="AB647" s="3"/>
      <c r="AC647" s="3" t="s">
        <v>82</v>
      </c>
      <c r="AD647" s="3" t="s">
        <v>83</v>
      </c>
      <c r="AE647" s="3"/>
      <c r="AF647" s="3" t="s">
        <v>151</v>
      </c>
      <c r="AG647" s="3" t="s">
        <v>357</v>
      </c>
      <c r="AH647" s="3"/>
    </row>
    <row r="648" spans="1:34" ht="14.25" customHeight="1" x14ac:dyDescent="0.25">
      <c r="A648" s="3" t="s">
        <v>130</v>
      </c>
      <c r="B648" s="3" t="s">
        <v>79</v>
      </c>
      <c r="C648" s="3"/>
      <c r="D648" s="3" t="s">
        <v>121</v>
      </c>
      <c r="E648" s="3">
        <v>1</v>
      </c>
      <c r="F648" s="3">
        <v>1</v>
      </c>
      <c r="G648" s="3" t="s">
        <v>1</v>
      </c>
      <c r="H648" s="11">
        <v>45838</v>
      </c>
      <c r="I648" s="3" t="s">
        <v>167</v>
      </c>
      <c r="J648" s="3">
        <f>12+13+11+8+7</f>
        <v>51</v>
      </c>
      <c r="K648" s="3">
        <f>9+8+10+12</f>
        <v>39</v>
      </c>
      <c r="L648" s="3">
        <f>17+15+9</f>
        <v>41</v>
      </c>
      <c r="M648" s="3">
        <f>8+7+10+11+9</f>
        <v>45</v>
      </c>
      <c r="N648" s="3">
        <f>4+5</f>
        <v>9</v>
      </c>
      <c r="O648" s="3">
        <f t="shared" si="100"/>
        <v>185</v>
      </c>
      <c r="P648" s="3">
        <v>5</v>
      </c>
      <c r="Q648" s="3">
        <v>4</v>
      </c>
      <c r="R648" s="3">
        <v>3</v>
      </c>
      <c r="S648" s="3">
        <v>5</v>
      </c>
      <c r="T648" s="3">
        <v>2</v>
      </c>
      <c r="U648" s="3">
        <f t="shared" si="104"/>
        <v>19</v>
      </c>
      <c r="V648" s="13">
        <f t="shared" si="101"/>
        <v>9.7368421052631575</v>
      </c>
      <c r="W648" s="13">
        <f t="shared" si="119"/>
        <v>9.7368421052631575</v>
      </c>
      <c r="X648" s="3">
        <f t="shared" si="102"/>
        <v>19</v>
      </c>
      <c r="Y648" s="3" t="e">
        <f t="shared" si="120"/>
        <v>#DIV/0!</v>
      </c>
      <c r="Z648" s="3"/>
      <c r="AA648" s="3"/>
      <c r="AB648" s="3"/>
      <c r="AC648" s="3" t="s">
        <v>82</v>
      </c>
      <c r="AD648" s="3" t="s">
        <v>83</v>
      </c>
      <c r="AE648" s="3"/>
      <c r="AF648" s="3" t="s">
        <v>151</v>
      </c>
      <c r="AG648" s="3" t="s">
        <v>357</v>
      </c>
      <c r="AH648" s="3"/>
    </row>
    <row r="649" spans="1:34" ht="14.25" customHeight="1" x14ac:dyDescent="0.25">
      <c r="A649" s="3" t="s">
        <v>169</v>
      </c>
      <c r="B649" s="3" t="s">
        <v>79</v>
      </c>
      <c r="C649" s="3"/>
      <c r="D649" s="3" t="s">
        <v>117</v>
      </c>
      <c r="E649" s="3">
        <v>1</v>
      </c>
      <c r="F649" s="3">
        <v>1</v>
      </c>
      <c r="G649" s="3" t="s">
        <v>1</v>
      </c>
      <c r="H649" s="11">
        <v>45838</v>
      </c>
      <c r="I649" s="3" t="s">
        <v>167</v>
      </c>
      <c r="J649" s="3">
        <f>5+9</f>
        <v>14</v>
      </c>
      <c r="K649" s="3">
        <v>7</v>
      </c>
      <c r="L649" s="3">
        <v>0</v>
      </c>
      <c r="M649" s="3">
        <v>0</v>
      </c>
      <c r="N649" s="3">
        <v>0</v>
      </c>
      <c r="O649" s="3">
        <f t="shared" si="100"/>
        <v>21</v>
      </c>
      <c r="P649" s="3">
        <v>2</v>
      </c>
      <c r="Q649" s="3">
        <v>1</v>
      </c>
      <c r="R649" s="3">
        <v>1</v>
      </c>
      <c r="S649" s="3">
        <v>0</v>
      </c>
      <c r="T649" s="3">
        <v>0</v>
      </c>
      <c r="U649" s="3">
        <f t="shared" si="104"/>
        <v>4</v>
      </c>
      <c r="V649" s="13">
        <f t="shared" si="101"/>
        <v>5.25</v>
      </c>
      <c r="W649" s="13">
        <f t="shared" si="119"/>
        <v>5.25</v>
      </c>
      <c r="X649" s="3">
        <f t="shared" si="102"/>
        <v>4</v>
      </c>
      <c r="Y649" s="3" t="e">
        <f t="shared" si="120"/>
        <v>#DIV/0!</v>
      </c>
      <c r="Z649" s="3"/>
      <c r="AA649" s="3"/>
      <c r="AB649" s="3"/>
      <c r="AC649" s="3" t="s">
        <v>82</v>
      </c>
      <c r="AD649" s="3" t="s">
        <v>83</v>
      </c>
      <c r="AE649" s="3"/>
      <c r="AF649" s="3" t="s">
        <v>151</v>
      </c>
      <c r="AG649" s="3" t="s">
        <v>357</v>
      </c>
      <c r="AH649" s="3"/>
    </row>
    <row r="650" spans="1:34" ht="14.25" customHeight="1" x14ac:dyDescent="0.25">
      <c r="A650" s="3" t="s">
        <v>169</v>
      </c>
      <c r="B650" s="3" t="s">
        <v>79</v>
      </c>
      <c r="C650" s="3"/>
      <c r="D650" s="3" t="s">
        <v>117</v>
      </c>
      <c r="E650" s="3">
        <v>1</v>
      </c>
      <c r="F650" s="3">
        <v>1</v>
      </c>
      <c r="G650" s="3" t="s">
        <v>3</v>
      </c>
      <c r="H650" s="11">
        <v>45838</v>
      </c>
      <c r="I650" s="3" t="s">
        <v>167</v>
      </c>
      <c r="J650" s="3">
        <v>0</v>
      </c>
      <c r="K650" s="3">
        <v>0</v>
      </c>
      <c r="L650" s="3">
        <v>12</v>
      </c>
      <c r="M650" s="3">
        <v>0</v>
      </c>
      <c r="N650" s="3">
        <v>0</v>
      </c>
      <c r="O650" s="3">
        <f t="shared" si="100"/>
        <v>12</v>
      </c>
      <c r="P650" s="3">
        <v>2</v>
      </c>
      <c r="Q650" s="3">
        <v>1</v>
      </c>
      <c r="R650" s="3">
        <v>1</v>
      </c>
      <c r="S650" s="3">
        <v>0</v>
      </c>
      <c r="T650" s="3">
        <v>0</v>
      </c>
      <c r="U650" s="3">
        <f t="shared" si="104"/>
        <v>4</v>
      </c>
      <c r="V650" s="13">
        <f t="shared" si="101"/>
        <v>3</v>
      </c>
      <c r="W650" s="13">
        <f t="shared" si="119"/>
        <v>3</v>
      </c>
      <c r="X650" s="3">
        <f t="shared" si="102"/>
        <v>4</v>
      </c>
      <c r="Y650" s="3" t="e">
        <f t="shared" si="120"/>
        <v>#DIV/0!</v>
      </c>
      <c r="Z650" s="3"/>
      <c r="AA650" s="3"/>
      <c r="AB650" s="3"/>
      <c r="AC650" s="3" t="s">
        <v>82</v>
      </c>
      <c r="AD650" s="3" t="s">
        <v>83</v>
      </c>
      <c r="AE650" s="3"/>
      <c r="AF650" s="3" t="s">
        <v>151</v>
      </c>
      <c r="AG650" s="3" t="s">
        <v>357</v>
      </c>
      <c r="AH650" s="3"/>
    </row>
    <row r="651" spans="1:34" ht="14.25" customHeight="1" x14ac:dyDescent="0.25">
      <c r="A651" s="3" t="s">
        <v>169</v>
      </c>
      <c r="B651" s="3" t="s">
        <v>79</v>
      </c>
      <c r="C651" s="3"/>
      <c r="D651" s="3" t="s">
        <v>117</v>
      </c>
      <c r="E651" s="3">
        <v>1</v>
      </c>
      <c r="F651" s="3">
        <v>1</v>
      </c>
      <c r="G651" s="3" t="s">
        <v>14</v>
      </c>
      <c r="H651" s="11">
        <v>45838</v>
      </c>
      <c r="I651" s="3" t="s">
        <v>167</v>
      </c>
      <c r="J651" s="3">
        <v>4</v>
      </c>
      <c r="K651" s="3">
        <v>0</v>
      </c>
      <c r="L651" s="3">
        <v>0</v>
      </c>
      <c r="M651" s="3">
        <v>0</v>
      </c>
      <c r="N651" s="3">
        <v>0</v>
      </c>
      <c r="O651" s="3">
        <f t="shared" si="100"/>
        <v>4</v>
      </c>
      <c r="P651" s="3">
        <v>2</v>
      </c>
      <c r="Q651" s="3">
        <v>1</v>
      </c>
      <c r="R651" s="3">
        <v>1</v>
      </c>
      <c r="S651" s="3">
        <v>0</v>
      </c>
      <c r="T651" s="3">
        <v>0</v>
      </c>
      <c r="U651" s="3">
        <f t="shared" si="104"/>
        <v>4</v>
      </c>
      <c r="V651" s="13">
        <f t="shared" si="101"/>
        <v>1</v>
      </c>
      <c r="W651" s="13">
        <f t="shared" si="119"/>
        <v>1</v>
      </c>
      <c r="X651" s="3">
        <f t="shared" si="102"/>
        <v>4</v>
      </c>
      <c r="Y651" s="3" t="e">
        <f t="shared" si="120"/>
        <v>#DIV/0!</v>
      </c>
      <c r="Z651" s="3"/>
      <c r="AA651" s="3"/>
      <c r="AB651" s="3"/>
      <c r="AC651" s="3" t="s">
        <v>82</v>
      </c>
      <c r="AD651" s="3" t="s">
        <v>83</v>
      </c>
      <c r="AE651" s="3"/>
      <c r="AF651" s="3" t="s">
        <v>151</v>
      </c>
      <c r="AG651" s="3" t="s">
        <v>357</v>
      </c>
      <c r="AH651" s="3"/>
    </row>
    <row r="652" spans="1:34" ht="14.25" customHeight="1" x14ac:dyDescent="0.25">
      <c r="A652" s="3" t="s">
        <v>126</v>
      </c>
      <c r="B652" s="3" t="s">
        <v>79</v>
      </c>
      <c r="C652" s="3"/>
      <c r="D652" s="3" t="s">
        <v>121</v>
      </c>
      <c r="E652" s="3">
        <v>2</v>
      </c>
      <c r="F652" s="3">
        <v>1</v>
      </c>
      <c r="G652" s="3" t="s">
        <v>3</v>
      </c>
      <c r="H652" s="11">
        <v>45838</v>
      </c>
      <c r="I652" s="3" t="s">
        <v>167</v>
      </c>
      <c r="J652" s="3">
        <v>3</v>
      </c>
      <c r="K652" s="3">
        <f>7+10+12</f>
        <v>29</v>
      </c>
      <c r="L652" s="3">
        <f>28+16</f>
        <v>44</v>
      </c>
      <c r="M652" s="3">
        <f>18+29+28+11</f>
        <v>86</v>
      </c>
      <c r="N652" s="3">
        <v>0</v>
      </c>
      <c r="O652" s="3">
        <f t="shared" si="100"/>
        <v>162</v>
      </c>
      <c r="P652" s="3">
        <v>1</v>
      </c>
      <c r="Q652" s="3">
        <v>3</v>
      </c>
      <c r="R652" s="3">
        <v>2</v>
      </c>
      <c r="S652" s="3">
        <v>4</v>
      </c>
      <c r="T652" s="3">
        <v>0</v>
      </c>
      <c r="U652" s="3">
        <f t="shared" si="104"/>
        <v>10</v>
      </c>
      <c r="V652" s="13">
        <f t="shared" si="101"/>
        <v>16.2</v>
      </c>
      <c r="W652" s="13">
        <f t="shared" si="119"/>
        <v>16.2</v>
      </c>
      <c r="X652" s="3">
        <f t="shared" si="102"/>
        <v>10</v>
      </c>
      <c r="Y652" s="3">
        <f t="shared" si="120"/>
        <v>4.3315508021390375E-3</v>
      </c>
      <c r="Z652" s="3"/>
      <c r="AA652" s="3">
        <f t="shared" ref="AA652:AA657" si="121">30*11*6+40*11*4</f>
        <v>3740</v>
      </c>
      <c r="AB652" s="3"/>
      <c r="AC652" s="3" t="s">
        <v>82</v>
      </c>
      <c r="AD652" s="3" t="s">
        <v>83</v>
      </c>
      <c r="AE652" s="3">
        <v>25</v>
      </c>
      <c r="AF652" s="3" t="s">
        <v>151</v>
      </c>
      <c r="AG652" s="3" t="s">
        <v>297</v>
      </c>
      <c r="AH652" s="3"/>
    </row>
    <row r="653" spans="1:34" ht="14.25" customHeight="1" x14ac:dyDescent="0.25">
      <c r="A653" s="3" t="s">
        <v>126</v>
      </c>
      <c r="B653" s="3" t="s">
        <v>79</v>
      </c>
      <c r="C653" s="3"/>
      <c r="D653" s="3" t="s">
        <v>121</v>
      </c>
      <c r="E653" s="3">
        <v>2</v>
      </c>
      <c r="F653" s="3">
        <v>1</v>
      </c>
      <c r="G653" s="3" t="s">
        <v>9</v>
      </c>
      <c r="H653" s="11">
        <v>45838</v>
      </c>
      <c r="I653" s="3" t="s">
        <v>167</v>
      </c>
      <c r="J653" s="3">
        <v>0</v>
      </c>
      <c r="K653" s="3">
        <v>1</v>
      </c>
      <c r="L653" s="3">
        <v>0</v>
      </c>
      <c r="M653" s="3">
        <f>5+3</f>
        <v>8</v>
      </c>
      <c r="N653" s="3">
        <v>0</v>
      </c>
      <c r="O653" s="3">
        <f t="shared" si="100"/>
        <v>9</v>
      </c>
      <c r="P653" s="3">
        <v>1</v>
      </c>
      <c r="Q653" s="3">
        <v>3</v>
      </c>
      <c r="R653" s="3">
        <v>2</v>
      </c>
      <c r="S653" s="3">
        <v>4</v>
      </c>
      <c r="T653" s="3">
        <v>0</v>
      </c>
      <c r="U653" s="3">
        <f t="shared" si="104"/>
        <v>10</v>
      </c>
      <c r="V653" s="13">
        <f t="shared" si="101"/>
        <v>0.9</v>
      </c>
      <c r="W653" s="13">
        <f t="shared" si="119"/>
        <v>0.9</v>
      </c>
      <c r="X653" s="3">
        <f t="shared" si="102"/>
        <v>10</v>
      </c>
      <c r="Y653" s="3">
        <f t="shared" si="120"/>
        <v>2.4064171122994654E-4</v>
      </c>
      <c r="Z653" s="3"/>
      <c r="AA653" s="3">
        <f t="shared" si="121"/>
        <v>3740</v>
      </c>
      <c r="AB653" s="3"/>
      <c r="AC653" s="3" t="s">
        <v>82</v>
      </c>
      <c r="AD653" s="3" t="s">
        <v>83</v>
      </c>
      <c r="AE653" s="3">
        <v>25</v>
      </c>
      <c r="AF653" s="3" t="s">
        <v>151</v>
      </c>
      <c r="AG653" s="3" t="s">
        <v>297</v>
      </c>
      <c r="AH653" s="3"/>
    </row>
    <row r="654" spans="1:34" ht="14.25" customHeight="1" x14ac:dyDescent="0.25">
      <c r="A654" s="3" t="s">
        <v>126</v>
      </c>
      <c r="B654" s="3" t="s">
        <v>79</v>
      </c>
      <c r="C654" s="3"/>
      <c r="D654" s="3" t="s">
        <v>121</v>
      </c>
      <c r="E654" s="3">
        <v>2</v>
      </c>
      <c r="F654" s="3">
        <v>1</v>
      </c>
      <c r="G654" s="3" t="s">
        <v>12</v>
      </c>
      <c r="H654" s="11">
        <v>45838</v>
      </c>
      <c r="I654" s="3" t="s">
        <v>167</v>
      </c>
      <c r="J654" s="3">
        <v>0</v>
      </c>
      <c r="K654" s="3">
        <v>0</v>
      </c>
      <c r="L654" s="3">
        <v>2</v>
      </c>
      <c r="M654" s="3">
        <v>0</v>
      </c>
      <c r="N654" s="3">
        <v>0</v>
      </c>
      <c r="O654" s="3">
        <f t="shared" si="100"/>
        <v>2</v>
      </c>
      <c r="P654" s="3">
        <v>1</v>
      </c>
      <c r="Q654" s="3">
        <v>3</v>
      </c>
      <c r="R654" s="3">
        <v>2</v>
      </c>
      <c r="S654" s="3">
        <v>4</v>
      </c>
      <c r="T654" s="3">
        <v>0</v>
      </c>
      <c r="U654" s="3">
        <f t="shared" si="104"/>
        <v>10</v>
      </c>
      <c r="V654" s="13">
        <f t="shared" si="101"/>
        <v>0.2</v>
      </c>
      <c r="W654" s="13">
        <f t="shared" si="119"/>
        <v>0.2</v>
      </c>
      <c r="X654" s="3">
        <f t="shared" si="102"/>
        <v>10</v>
      </c>
      <c r="Y654" s="3">
        <f t="shared" si="120"/>
        <v>5.3475935828877009E-5</v>
      </c>
      <c r="Z654" s="3"/>
      <c r="AA654" s="3">
        <f t="shared" si="121"/>
        <v>3740</v>
      </c>
      <c r="AB654" s="3"/>
      <c r="AC654" s="3" t="s">
        <v>82</v>
      </c>
      <c r="AD654" s="3" t="s">
        <v>83</v>
      </c>
      <c r="AE654" s="3">
        <v>25</v>
      </c>
      <c r="AF654" s="3" t="s">
        <v>151</v>
      </c>
      <c r="AG654" s="3" t="s">
        <v>297</v>
      </c>
      <c r="AH654" s="3"/>
    </row>
    <row r="655" spans="1:34" ht="14.25" customHeight="1" x14ac:dyDescent="0.25">
      <c r="A655" s="3" t="s">
        <v>126</v>
      </c>
      <c r="B655" s="3" t="s">
        <v>79</v>
      </c>
      <c r="C655" s="3"/>
      <c r="D655" s="3" t="s">
        <v>121</v>
      </c>
      <c r="E655" s="3">
        <v>2</v>
      </c>
      <c r="F655" s="3">
        <v>1</v>
      </c>
      <c r="G655" s="3" t="s">
        <v>16</v>
      </c>
      <c r="H655" s="11">
        <v>45838</v>
      </c>
      <c r="I655" s="3" t="s">
        <v>167</v>
      </c>
      <c r="J655" s="3">
        <v>0</v>
      </c>
      <c r="K655" s="3">
        <v>0</v>
      </c>
      <c r="L655" s="3">
        <v>3</v>
      </c>
      <c r="M655" s="3">
        <v>0</v>
      </c>
      <c r="N655" s="3">
        <v>0</v>
      </c>
      <c r="O655" s="3">
        <f t="shared" si="100"/>
        <v>3</v>
      </c>
      <c r="P655" s="3">
        <v>1</v>
      </c>
      <c r="Q655" s="3">
        <v>3</v>
      </c>
      <c r="R655" s="3">
        <v>2</v>
      </c>
      <c r="S655" s="3">
        <v>4</v>
      </c>
      <c r="T655" s="3">
        <v>0</v>
      </c>
      <c r="U655" s="3">
        <f t="shared" si="104"/>
        <v>10</v>
      </c>
      <c r="V655" s="13">
        <f t="shared" si="101"/>
        <v>0.3</v>
      </c>
      <c r="W655" s="13">
        <f t="shared" si="119"/>
        <v>0.3</v>
      </c>
      <c r="X655" s="3">
        <f t="shared" si="102"/>
        <v>10</v>
      </c>
      <c r="Y655" s="3">
        <f t="shared" si="120"/>
        <v>8.0213903743315507E-5</v>
      </c>
      <c r="Z655" s="3"/>
      <c r="AA655" s="3">
        <f t="shared" si="121"/>
        <v>3740</v>
      </c>
      <c r="AB655" s="3"/>
      <c r="AC655" s="3" t="s">
        <v>82</v>
      </c>
      <c r="AD655" s="3" t="s">
        <v>83</v>
      </c>
      <c r="AE655" s="3">
        <v>25</v>
      </c>
      <c r="AF655" s="3" t="s">
        <v>151</v>
      </c>
      <c r="AG655" s="3" t="s">
        <v>297</v>
      </c>
      <c r="AH655" s="3"/>
    </row>
    <row r="656" spans="1:34" ht="14.25" customHeight="1" x14ac:dyDescent="0.25">
      <c r="A656" s="3" t="s">
        <v>126</v>
      </c>
      <c r="B656" s="3" t="s">
        <v>79</v>
      </c>
      <c r="C656" s="3"/>
      <c r="D656" s="3" t="s">
        <v>121</v>
      </c>
      <c r="E656" s="3">
        <v>2</v>
      </c>
      <c r="F656" s="3">
        <v>1</v>
      </c>
      <c r="G656" s="3" t="s">
        <v>18</v>
      </c>
      <c r="H656" s="11">
        <v>45838</v>
      </c>
      <c r="I656" s="3" t="s">
        <v>167</v>
      </c>
      <c r="J656" s="3">
        <v>0</v>
      </c>
      <c r="K656" s="3">
        <v>4</v>
      </c>
      <c r="L656" s="3">
        <f>2+2</f>
        <v>4</v>
      </c>
      <c r="M656" s="3">
        <f>2+3</f>
        <v>5</v>
      </c>
      <c r="N656" s="3">
        <v>0</v>
      </c>
      <c r="O656" s="3">
        <f t="shared" si="100"/>
        <v>13</v>
      </c>
      <c r="P656" s="3">
        <v>1</v>
      </c>
      <c r="Q656" s="3">
        <v>3</v>
      </c>
      <c r="R656" s="3">
        <v>2</v>
      </c>
      <c r="S656" s="3">
        <v>4</v>
      </c>
      <c r="T656" s="3">
        <v>0</v>
      </c>
      <c r="U656" s="3">
        <f t="shared" si="104"/>
        <v>10</v>
      </c>
      <c r="V656" s="13">
        <f t="shared" si="101"/>
        <v>1.3</v>
      </c>
      <c r="W656" s="13">
        <f t="shared" si="119"/>
        <v>1.3</v>
      </c>
      <c r="X656" s="3">
        <f t="shared" si="102"/>
        <v>10</v>
      </c>
      <c r="Y656" s="3">
        <f t="shared" si="120"/>
        <v>3.4759358288770055E-4</v>
      </c>
      <c r="Z656" s="3"/>
      <c r="AA656" s="3">
        <f t="shared" si="121"/>
        <v>3740</v>
      </c>
      <c r="AB656" s="3"/>
      <c r="AC656" s="3" t="s">
        <v>82</v>
      </c>
      <c r="AD656" s="3" t="s">
        <v>83</v>
      </c>
      <c r="AE656" s="3">
        <v>25</v>
      </c>
      <c r="AF656" s="3" t="s">
        <v>151</v>
      </c>
      <c r="AG656" s="3" t="s">
        <v>297</v>
      </c>
      <c r="AH656" s="3"/>
    </row>
    <row r="657" spans="1:34" ht="14.25" customHeight="1" x14ac:dyDescent="0.25">
      <c r="A657" s="3" t="s">
        <v>126</v>
      </c>
      <c r="B657" s="3" t="s">
        <v>79</v>
      </c>
      <c r="C657" s="3"/>
      <c r="D657" s="3" t="s">
        <v>121</v>
      </c>
      <c r="E657" s="3">
        <v>2</v>
      </c>
      <c r="F657" s="3">
        <v>1</v>
      </c>
      <c r="G657" s="3" t="s">
        <v>24</v>
      </c>
      <c r="H657" s="11">
        <v>45838</v>
      </c>
      <c r="I657" s="3" t="s">
        <v>167</v>
      </c>
      <c r="J657" s="3">
        <v>0</v>
      </c>
      <c r="K657" s="3">
        <v>0.5</v>
      </c>
      <c r="L657" s="3">
        <v>0</v>
      </c>
      <c r="M657" s="3">
        <v>0</v>
      </c>
      <c r="N657" s="3">
        <v>0</v>
      </c>
      <c r="O657" s="3">
        <f t="shared" si="100"/>
        <v>0.5</v>
      </c>
      <c r="P657" s="3">
        <v>1</v>
      </c>
      <c r="Q657" s="3">
        <v>3</v>
      </c>
      <c r="R657" s="3">
        <v>2</v>
      </c>
      <c r="S657" s="3">
        <v>4</v>
      </c>
      <c r="T657" s="3">
        <v>0</v>
      </c>
      <c r="U657" s="3">
        <f t="shared" si="104"/>
        <v>10</v>
      </c>
      <c r="V657" s="13">
        <f t="shared" si="101"/>
        <v>0.05</v>
      </c>
      <c r="W657" s="13">
        <f t="shared" si="119"/>
        <v>0.05</v>
      </c>
      <c r="X657" s="3">
        <f t="shared" si="102"/>
        <v>10</v>
      </c>
      <c r="Y657" s="3">
        <f t="shared" si="120"/>
        <v>1.3368983957219252E-5</v>
      </c>
      <c r="Z657" s="3"/>
      <c r="AA657" s="3">
        <f t="shared" si="121"/>
        <v>3740</v>
      </c>
      <c r="AB657" s="3"/>
      <c r="AC657" s="3" t="s">
        <v>82</v>
      </c>
      <c r="AD657" s="3" t="s">
        <v>83</v>
      </c>
      <c r="AE657" s="3">
        <v>25</v>
      </c>
      <c r="AF657" s="3" t="s">
        <v>151</v>
      </c>
      <c r="AG657" s="3" t="s">
        <v>297</v>
      </c>
      <c r="AH657" s="3"/>
    </row>
    <row r="658" spans="1:34" ht="14.25" customHeight="1" x14ac:dyDescent="0.25">
      <c r="A658" s="3" t="s">
        <v>133</v>
      </c>
      <c r="B658" s="3" t="s">
        <v>79</v>
      </c>
      <c r="C658" s="3"/>
      <c r="D658" s="3" t="s">
        <v>117</v>
      </c>
      <c r="E658" s="3">
        <v>1</v>
      </c>
      <c r="F658" s="3">
        <v>1</v>
      </c>
      <c r="G658" s="3" t="s">
        <v>1</v>
      </c>
      <c r="H658" s="11">
        <v>45838</v>
      </c>
      <c r="I658" s="3" t="s">
        <v>167</v>
      </c>
      <c r="J658" s="3">
        <f>7+10+6</f>
        <v>23</v>
      </c>
      <c r="K658" s="3">
        <f>11+9</f>
        <v>20</v>
      </c>
      <c r="L658" s="3">
        <f>7+6+8</f>
        <v>21</v>
      </c>
      <c r="M658" s="3">
        <f>10+3+8</f>
        <v>21</v>
      </c>
      <c r="N658" s="3">
        <v>7</v>
      </c>
      <c r="O658" s="3">
        <f t="shared" si="100"/>
        <v>92</v>
      </c>
      <c r="P658" s="3">
        <v>5</v>
      </c>
      <c r="Q658" s="3">
        <v>4</v>
      </c>
      <c r="R658" s="3">
        <v>3</v>
      </c>
      <c r="S658" s="3">
        <v>5</v>
      </c>
      <c r="T658" s="3">
        <v>1</v>
      </c>
      <c r="U658" s="3">
        <f t="shared" si="104"/>
        <v>18</v>
      </c>
      <c r="V658" s="13">
        <f t="shared" si="101"/>
        <v>5.1111111111111107</v>
      </c>
      <c r="W658" s="13">
        <f t="shared" si="119"/>
        <v>5.1111111111111107</v>
      </c>
      <c r="X658" s="3">
        <f t="shared" si="102"/>
        <v>18</v>
      </c>
      <c r="Y658" s="3">
        <f t="shared" si="120"/>
        <v>1.3629629629629629E-2</v>
      </c>
      <c r="Z658" s="3"/>
      <c r="AA658" s="3">
        <f t="shared" ref="AA658:AA662" si="122">25*3*5</f>
        <v>375</v>
      </c>
      <c r="AB658" s="3">
        <f t="shared" ref="AB658:AB662" si="123">6*3</f>
        <v>18</v>
      </c>
      <c r="AC658" s="3" t="s">
        <v>82</v>
      </c>
      <c r="AD658" s="3"/>
      <c r="AE658" s="3">
        <v>15</v>
      </c>
      <c r="AF658" s="3" t="s">
        <v>151</v>
      </c>
      <c r="AG658" s="3" t="s">
        <v>358</v>
      </c>
      <c r="AH658" s="3"/>
    </row>
    <row r="659" spans="1:34" ht="14.25" customHeight="1" x14ac:dyDescent="0.25">
      <c r="A659" s="3" t="s">
        <v>133</v>
      </c>
      <c r="B659" s="3" t="s">
        <v>79</v>
      </c>
      <c r="C659" s="3"/>
      <c r="D659" s="3" t="s">
        <v>117</v>
      </c>
      <c r="E659" s="3">
        <v>1</v>
      </c>
      <c r="F659" s="3">
        <v>1</v>
      </c>
      <c r="G659" s="3" t="s">
        <v>2</v>
      </c>
      <c r="H659" s="11">
        <v>45838</v>
      </c>
      <c r="I659" s="3" t="s">
        <v>167</v>
      </c>
      <c r="J659" s="3">
        <f>6+5+7</f>
        <v>18</v>
      </c>
      <c r="K659" s="3">
        <f>8+14</f>
        <v>22</v>
      </c>
      <c r="L659" s="3">
        <v>7</v>
      </c>
      <c r="M659" s="3">
        <v>6</v>
      </c>
      <c r="N659" s="3">
        <v>0</v>
      </c>
      <c r="O659" s="3">
        <f t="shared" si="100"/>
        <v>53</v>
      </c>
      <c r="P659" s="3">
        <v>5</v>
      </c>
      <c r="Q659" s="3">
        <v>4</v>
      </c>
      <c r="R659" s="3">
        <v>3</v>
      </c>
      <c r="S659" s="3">
        <v>5</v>
      </c>
      <c r="T659" s="3">
        <v>1</v>
      </c>
      <c r="U659" s="3">
        <f t="shared" si="104"/>
        <v>18</v>
      </c>
      <c r="V659" s="13">
        <f t="shared" si="101"/>
        <v>2.9444444444444446</v>
      </c>
      <c r="W659" s="13">
        <f t="shared" si="119"/>
        <v>2.9444444444444446</v>
      </c>
      <c r="X659" s="3">
        <f t="shared" si="102"/>
        <v>18</v>
      </c>
      <c r="Y659" s="3">
        <f t="shared" si="120"/>
        <v>7.8518518518518529E-3</v>
      </c>
      <c r="Z659" s="3"/>
      <c r="AA659" s="3">
        <f t="shared" si="122"/>
        <v>375</v>
      </c>
      <c r="AB659" s="3">
        <f t="shared" si="123"/>
        <v>18</v>
      </c>
      <c r="AC659" s="3" t="s">
        <v>82</v>
      </c>
      <c r="AD659" s="3"/>
      <c r="AE659" s="3">
        <v>15</v>
      </c>
      <c r="AF659" s="3" t="s">
        <v>151</v>
      </c>
      <c r="AG659" s="3" t="s">
        <v>358</v>
      </c>
      <c r="AH659" s="3"/>
    </row>
    <row r="660" spans="1:34" ht="14.25" customHeight="1" x14ac:dyDescent="0.25">
      <c r="A660" s="3" t="s">
        <v>133</v>
      </c>
      <c r="B660" s="3" t="s">
        <v>79</v>
      </c>
      <c r="C660" s="3"/>
      <c r="D660" s="3" t="s">
        <v>117</v>
      </c>
      <c r="E660" s="3">
        <v>1</v>
      </c>
      <c r="F660" s="3">
        <v>1</v>
      </c>
      <c r="G660" s="3" t="s">
        <v>14</v>
      </c>
      <c r="H660" s="11">
        <v>45838</v>
      </c>
      <c r="I660" s="3" t="s">
        <v>167</v>
      </c>
      <c r="J660" s="3">
        <v>0</v>
      </c>
      <c r="K660" s="3">
        <v>0</v>
      </c>
      <c r="L660" s="3">
        <v>0</v>
      </c>
      <c r="M660" s="3">
        <v>7</v>
      </c>
      <c r="N660" s="3">
        <v>0</v>
      </c>
      <c r="O660" s="3">
        <f t="shared" si="100"/>
        <v>7</v>
      </c>
      <c r="P660" s="3">
        <v>5</v>
      </c>
      <c r="Q660" s="3">
        <v>4</v>
      </c>
      <c r="R660" s="3">
        <v>3</v>
      </c>
      <c r="S660" s="3">
        <v>5</v>
      </c>
      <c r="T660" s="3">
        <v>1</v>
      </c>
      <c r="U660" s="3">
        <f t="shared" si="104"/>
        <v>18</v>
      </c>
      <c r="V660" s="13">
        <f t="shared" si="101"/>
        <v>0.3888888888888889</v>
      </c>
      <c r="W660" s="13">
        <f t="shared" si="119"/>
        <v>0.3888888888888889</v>
      </c>
      <c r="X660" s="3">
        <f t="shared" si="102"/>
        <v>18</v>
      </c>
      <c r="Y660" s="3">
        <f t="shared" si="120"/>
        <v>1.0370370370370371E-3</v>
      </c>
      <c r="Z660" s="3"/>
      <c r="AA660" s="3">
        <f t="shared" si="122"/>
        <v>375</v>
      </c>
      <c r="AB660" s="3">
        <f t="shared" si="123"/>
        <v>18</v>
      </c>
      <c r="AC660" s="3" t="s">
        <v>82</v>
      </c>
      <c r="AD660" s="3"/>
      <c r="AE660" s="3">
        <v>15</v>
      </c>
      <c r="AF660" s="3" t="s">
        <v>151</v>
      </c>
      <c r="AG660" s="3" t="s">
        <v>358</v>
      </c>
      <c r="AH660" s="3"/>
    </row>
    <row r="661" spans="1:34" ht="14.25" customHeight="1" x14ac:dyDescent="0.25">
      <c r="A661" s="3" t="s">
        <v>133</v>
      </c>
      <c r="B661" s="3" t="s">
        <v>79</v>
      </c>
      <c r="C661" s="3"/>
      <c r="D661" s="3" t="s">
        <v>117</v>
      </c>
      <c r="E661" s="3">
        <v>1</v>
      </c>
      <c r="F661" s="3">
        <v>1</v>
      </c>
      <c r="G661" s="3" t="s">
        <v>16</v>
      </c>
      <c r="H661" s="11">
        <v>45838</v>
      </c>
      <c r="I661" s="3" t="s">
        <v>167</v>
      </c>
      <c r="J661" s="3">
        <v>0</v>
      </c>
      <c r="K661" s="3">
        <v>0</v>
      </c>
      <c r="L661" s="3">
        <v>0</v>
      </c>
      <c r="M661" s="3">
        <f>6+5</f>
        <v>11</v>
      </c>
      <c r="N661" s="3">
        <v>0</v>
      </c>
      <c r="O661" s="3">
        <f t="shared" si="100"/>
        <v>11</v>
      </c>
      <c r="P661" s="3">
        <v>5</v>
      </c>
      <c r="Q661" s="3">
        <v>4</v>
      </c>
      <c r="R661" s="3">
        <v>3</v>
      </c>
      <c r="S661" s="3">
        <v>5</v>
      </c>
      <c r="T661" s="3">
        <v>1</v>
      </c>
      <c r="U661" s="3">
        <f t="shared" si="104"/>
        <v>18</v>
      </c>
      <c r="V661" s="13">
        <f t="shared" si="101"/>
        <v>0.61111111111111116</v>
      </c>
      <c r="W661" s="13">
        <f t="shared" si="119"/>
        <v>0.61111111111111116</v>
      </c>
      <c r="X661" s="3">
        <f t="shared" si="102"/>
        <v>18</v>
      </c>
      <c r="Y661" s="3">
        <f t="shared" si="120"/>
        <v>1.6296296296296297E-3</v>
      </c>
      <c r="Z661" s="3"/>
      <c r="AA661" s="3">
        <f t="shared" si="122"/>
        <v>375</v>
      </c>
      <c r="AB661" s="3">
        <f t="shared" si="123"/>
        <v>18</v>
      </c>
      <c r="AC661" s="3" t="s">
        <v>82</v>
      </c>
      <c r="AD661" s="3"/>
      <c r="AE661" s="3">
        <v>15</v>
      </c>
      <c r="AF661" s="3" t="s">
        <v>151</v>
      </c>
      <c r="AG661" s="3" t="s">
        <v>358</v>
      </c>
      <c r="AH661" s="3"/>
    </row>
    <row r="662" spans="1:34" ht="14.25" customHeight="1" x14ac:dyDescent="0.25">
      <c r="A662" s="3" t="s">
        <v>133</v>
      </c>
      <c r="B662" s="3" t="s">
        <v>79</v>
      </c>
      <c r="C662" s="3"/>
      <c r="D662" s="3" t="s">
        <v>117</v>
      </c>
      <c r="E662" s="3">
        <v>1</v>
      </c>
      <c r="F662" s="3">
        <v>1</v>
      </c>
      <c r="G662" s="3" t="s">
        <v>22</v>
      </c>
      <c r="H662" s="11">
        <v>45838</v>
      </c>
      <c r="I662" s="3" t="s">
        <v>167</v>
      </c>
      <c r="J662" s="3">
        <f>6+4</f>
        <v>10</v>
      </c>
      <c r="K662" s="3">
        <v>3</v>
      </c>
      <c r="L662" s="3">
        <v>0</v>
      </c>
      <c r="M662" s="3">
        <v>0</v>
      </c>
      <c r="N662" s="3">
        <v>0</v>
      </c>
      <c r="O662" s="3">
        <f t="shared" si="100"/>
        <v>13</v>
      </c>
      <c r="P662" s="3">
        <v>5</v>
      </c>
      <c r="Q662" s="3">
        <v>4</v>
      </c>
      <c r="R662" s="3">
        <v>3</v>
      </c>
      <c r="S662" s="3">
        <v>5</v>
      </c>
      <c r="T662" s="3">
        <v>1</v>
      </c>
      <c r="U662" s="3">
        <f t="shared" si="104"/>
        <v>18</v>
      </c>
      <c r="V662" s="13">
        <f t="shared" si="101"/>
        <v>0.72222222222222221</v>
      </c>
      <c r="W662" s="13">
        <f t="shared" si="119"/>
        <v>0.72222222222222221</v>
      </c>
      <c r="X662" s="3">
        <f t="shared" si="102"/>
        <v>18</v>
      </c>
      <c r="Y662" s="3">
        <f t="shared" si="120"/>
        <v>1.925925925925926E-3</v>
      </c>
      <c r="Z662" s="3"/>
      <c r="AA662" s="3">
        <f t="shared" si="122"/>
        <v>375</v>
      </c>
      <c r="AB662" s="3">
        <f t="shared" si="123"/>
        <v>18</v>
      </c>
      <c r="AC662" s="3" t="s">
        <v>82</v>
      </c>
      <c r="AD662" s="3"/>
      <c r="AE662" s="3">
        <v>15</v>
      </c>
      <c r="AF662" s="3" t="s">
        <v>151</v>
      </c>
      <c r="AG662" s="3" t="s">
        <v>358</v>
      </c>
      <c r="AH662" s="3"/>
    </row>
    <row r="663" spans="1:34" ht="14.25" customHeight="1" x14ac:dyDescent="0.25">
      <c r="A663" s="3" t="s">
        <v>86</v>
      </c>
      <c r="B663" s="3" t="s">
        <v>79</v>
      </c>
      <c r="C663" s="3"/>
      <c r="D663" s="3" t="s">
        <v>80</v>
      </c>
      <c r="E663" s="3">
        <v>1</v>
      </c>
      <c r="F663" s="3">
        <v>1</v>
      </c>
      <c r="G663" s="3" t="s">
        <v>1</v>
      </c>
      <c r="H663" s="11">
        <v>45869</v>
      </c>
      <c r="I663" s="3" t="s">
        <v>170</v>
      </c>
      <c r="J663" s="3">
        <f>22+27+19+29</f>
        <v>97</v>
      </c>
      <c r="K663" s="3">
        <f>12+19</f>
        <v>31</v>
      </c>
      <c r="L663" s="3">
        <f>21+23+17</f>
        <v>61</v>
      </c>
      <c r="M663" s="3">
        <f>26+17+14+12</f>
        <v>69</v>
      </c>
      <c r="N663" s="3">
        <v>0</v>
      </c>
      <c r="O663" s="3">
        <f t="shared" ref="O663:O742" si="124">SUM(J663:N663)</f>
        <v>258</v>
      </c>
      <c r="P663" s="3">
        <v>4</v>
      </c>
      <c r="Q663" s="3">
        <v>2</v>
      </c>
      <c r="R663" s="3">
        <v>4</v>
      </c>
      <c r="S663" s="3">
        <v>4</v>
      </c>
      <c r="T663" s="3">
        <v>0</v>
      </c>
      <c r="U663" s="3">
        <f t="shared" ref="U663:U724" si="125">SUM(P663:T663)</f>
        <v>14</v>
      </c>
      <c r="V663" s="13">
        <f t="shared" ref="V663:V724" si="126">3/U663/F663</f>
        <v>0.21428571428571427</v>
      </c>
      <c r="W663" s="13">
        <f t="shared" si="119"/>
        <v>18.428571428571427</v>
      </c>
      <c r="X663" s="3">
        <f t="shared" ref="X663:X742" si="127">F663*U663</f>
        <v>14</v>
      </c>
      <c r="Y663" s="3" t="e">
        <f t="shared" si="120"/>
        <v>#DIV/0!</v>
      </c>
      <c r="Z663" s="3"/>
      <c r="AA663" s="3"/>
      <c r="AB663" s="3">
        <v>163</v>
      </c>
      <c r="AC663" s="3" t="s">
        <v>82</v>
      </c>
      <c r="AD663" s="3" t="s">
        <v>83</v>
      </c>
      <c r="AE663" s="3">
        <v>20</v>
      </c>
      <c r="AF663" s="3" t="s">
        <v>143</v>
      </c>
      <c r="AG663" s="3" t="s">
        <v>248</v>
      </c>
      <c r="AH663" s="3"/>
    </row>
    <row r="664" spans="1:34" ht="14.25" customHeight="1" x14ac:dyDescent="0.25">
      <c r="A664" s="3" t="s">
        <v>86</v>
      </c>
      <c r="B664" s="3" t="s">
        <v>79</v>
      </c>
      <c r="C664" s="3"/>
      <c r="D664" s="3" t="s">
        <v>80</v>
      </c>
      <c r="E664" s="3">
        <v>1</v>
      </c>
      <c r="F664" s="3">
        <v>1</v>
      </c>
      <c r="G664" s="3" t="s">
        <v>15</v>
      </c>
      <c r="H664" s="11">
        <v>45869</v>
      </c>
      <c r="I664" s="3" t="s">
        <v>170</v>
      </c>
      <c r="J664" s="3">
        <v>0</v>
      </c>
      <c r="K664" s="3">
        <v>0</v>
      </c>
      <c r="L664" s="3">
        <v>16</v>
      </c>
      <c r="M664" s="3">
        <v>12</v>
      </c>
      <c r="N664" s="3">
        <v>0</v>
      </c>
      <c r="O664" s="3">
        <f t="shared" si="124"/>
        <v>28</v>
      </c>
      <c r="P664" s="3">
        <v>4</v>
      </c>
      <c r="Q664" s="3">
        <v>2</v>
      </c>
      <c r="R664" s="3">
        <v>4</v>
      </c>
      <c r="S664" s="3">
        <v>4</v>
      </c>
      <c r="T664" s="3">
        <v>0</v>
      </c>
      <c r="U664" s="3">
        <f t="shared" si="125"/>
        <v>14</v>
      </c>
      <c r="V664" s="13">
        <f t="shared" si="126"/>
        <v>0.21428571428571427</v>
      </c>
      <c r="W664" s="13">
        <f t="shared" si="119"/>
        <v>2</v>
      </c>
      <c r="X664" s="3">
        <f t="shared" si="127"/>
        <v>14</v>
      </c>
      <c r="Y664" s="3" t="e">
        <f t="shared" si="120"/>
        <v>#DIV/0!</v>
      </c>
      <c r="Z664" s="3"/>
      <c r="AA664" s="3"/>
      <c r="AB664" s="3">
        <v>163</v>
      </c>
      <c r="AC664" s="3" t="s">
        <v>82</v>
      </c>
      <c r="AD664" s="3" t="s">
        <v>83</v>
      </c>
      <c r="AE664" s="3">
        <v>20</v>
      </c>
      <c r="AF664" s="3" t="s">
        <v>143</v>
      </c>
      <c r="AG664" s="3" t="s">
        <v>248</v>
      </c>
      <c r="AH664" s="3"/>
    </row>
    <row r="665" spans="1:34" ht="14.25" customHeight="1" x14ac:dyDescent="0.25">
      <c r="A665" s="3" t="s">
        <v>146</v>
      </c>
      <c r="B665" s="3" t="s">
        <v>79</v>
      </c>
      <c r="C665" s="3"/>
      <c r="D665" s="3" t="s">
        <v>80</v>
      </c>
      <c r="E665" s="3">
        <v>1</v>
      </c>
      <c r="F665" s="3">
        <v>1</v>
      </c>
      <c r="G665" s="3" t="s">
        <v>1</v>
      </c>
      <c r="H665" s="11">
        <v>45869</v>
      </c>
      <c r="I665" s="3" t="s">
        <v>170</v>
      </c>
      <c r="J665" s="3">
        <f>6.5+8.3+12+7.3</f>
        <v>34.1</v>
      </c>
      <c r="K665" s="3">
        <f>8+7</f>
        <v>15</v>
      </c>
      <c r="L665" s="3">
        <v>0</v>
      </c>
      <c r="M665" s="3">
        <f>7+9+4.5+6.3</f>
        <v>26.8</v>
      </c>
      <c r="N665" s="3">
        <v>0</v>
      </c>
      <c r="O665" s="3">
        <f t="shared" si="124"/>
        <v>75.900000000000006</v>
      </c>
      <c r="P665" s="3">
        <v>4</v>
      </c>
      <c r="Q665" s="3">
        <v>3</v>
      </c>
      <c r="R665" s="3">
        <v>1</v>
      </c>
      <c r="S665" s="3">
        <v>6</v>
      </c>
      <c r="T665" s="3">
        <v>0</v>
      </c>
      <c r="U665" s="3">
        <f t="shared" si="125"/>
        <v>14</v>
      </c>
      <c r="V665" s="13">
        <f t="shared" si="126"/>
        <v>0.21428571428571427</v>
      </c>
      <c r="W665" s="13">
        <f t="shared" si="119"/>
        <v>5.4214285714285717</v>
      </c>
      <c r="X665" s="3">
        <f t="shared" si="127"/>
        <v>14</v>
      </c>
      <c r="Y665" s="3">
        <f t="shared" si="120"/>
        <v>2.0851648351648353E-2</v>
      </c>
      <c r="Z665" s="3"/>
      <c r="AA665" s="3">
        <f t="shared" ref="AA665:AA669" si="128">50*2.6*2</f>
        <v>260</v>
      </c>
      <c r="AB665" s="3">
        <v>25</v>
      </c>
      <c r="AC665" s="3" t="s">
        <v>82</v>
      </c>
      <c r="AD665" s="3" t="s">
        <v>83</v>
      </c>
      <c r="AE665" s="3">
        <v>30</v>
      </c>
      <c r="AF665" s="3" t="s">
        <v>143</v>
      </c>
      <c r="AG665" s="3" t="s">
        <v>305</v>
      </c>
      <c r="AH665" s="3"/>
    </row>
    <row r="666" spans="1:34" ht="14.25" customHeight="1" x14ac:dyDescent="0.25">
      <c r="A666" s="3" t="s">
        <v>146</v>
      </c>
      <c r="B666" s="3" t="s">
        <v>79</v>
      </c>
      <c r="C666" s="3"/>
      <c r="D666" s="3" t="s">
        <v>80</v>
      </c>
      <c r="E666" s="3">
        <v>1</v>
      </c>
      <c r="F666" s="3">
        <v>1</v>
      </c>
      <c r="G666" s="3" t="s">
        <v>3</v>
      </c>
      <c r="H666" s="11">
        <v>45869</v>
      </c>
      <c r="I666" s="3" t="s">
        <v>170</v>
      </c>
      <c r="J666" s="3">
        <v>14</v>
      </c>
      <c r="K666" s="3">
        <v>4.3</v>
      </c>
      <c r="L666" s="3">
        <v>0</v>
      </c>
      <c r="M666" s="3">
        <v>6.2</v>
      </c>
      <c r="N666" s="3">
        <v>0</v>
      </c>
      <c r="O666" s="3">
        <f t="shared" si="124"/>
        <v>24.5</v>
      </c>
      <c r="P666" s="3">
        <v>4</v>
      </c>
      <c r="Q666" s="3">
        <v>3</v>
      </c>
      <c r="R666" s="3">
        <v>1</v>
      </c>
      <c r="S666" s="3">
        <v>6</v>
      </c>
      <c r="T666" s="3">
        <v>0</v>
      </c>
      <c r="U666" s="3">
        <f t="shared" si="125"/>
        <v>14</v>
      </c>
      <c r="V666" s="13">
        <f t="shared" si="126"/>
        <v>0.21428571428571427</v>
      </c>
      <c r="W666" s="13">
        <f t="shared" si="119"/>
        <v>1.75</v>
      </c>
      <c r="X666" s="3">
        <f t="shared" si="127"/>
        <v>14</v>
      </c>
      <c r="Y666" s="3">
        <f t="shared" si="120"/>
        <v>6.7307692307692311E-3</v>
      </c>
      <c r="Z666" s="3"/>
      <c r="AA666" s="3">
        <f t="shared" si="128"/>
        <v>260</v>
      </c>
      <c r="AB666" s="3">
        <v>25</v>
      </c>
      <c r="AC666" s="3" t="s">
        <v>82</v>
      </c>
      <c r="AD666" s="3" t="s">
        <v>83</v>
      </c>
      <c r="AE666" s="3">
        <v>30</v>
      </c>
      <c r="AF666" s="3" t="s">
        <v>143</v>
      </c>
      <c r="AG666" s="3" t="s">
        <v>305</v>
      </c>
      <c r="AH666" s="3"/>
    </row>
    <row r="667" spans="1:34" ht="14.25" customHeight="1" x14ac:dyDescent="0.25">
      <c r="A667" s="3" t="s">
        <v>146</v>
      </c>
      <c r="B667" s="3" t="s">
        <v>79</v>
      </c>
      <c r="C667" s="3"/>
      <c r="D667" s="3" t="s">
        <v>80</v>
      </c>
      <c r="E667" s="3">
        <v>1</v>
      </c>
      <c r="F667" s="3">
        <v>1</v>
      </c>
      <c r="G667" s="3" t="s">
        <v>9</v>
      </c>
      <c r="H667" s="11">
        <v>45869</v>
      </c>
      <c r="I667" s="3" t="s">
        <v>170</v>
      </c>
      <c r="J667" s="3">
        <v>4.3</v>
      </c>
      <c r="K667" s="3">
        <f>2.8+1.6</f>
        <v>4.4000000000000004</v>
      </c>
      <c r="L667" s="3">
        <v>6</v>
      </c>
      <c r="M667" s="3">
        <f>3.8+1.6+4.9</f>
        <v>10.3</v>
      </c>
      <c r="N667" s="3">
        <v>0</v>
      </c>
      <c r="O667" s="3">
        <f t="shared" si="124"/>
        <v>25</v>
      </c>
      <c r="P667" s="3">
        <v>4</v>
      </c>
      <c r="Q667" s="3">
        <v>3</v>
      </c>
      <c r="R667" s="3">
        <v>1</v>
      </c>
      <c r="S667" s="3">
        <v>6</v>
      </c>
      <c r="T667" s="3">
        <v>0</v>
      </c>
      <c r="U667" s="3">
        <f t="shared" si="125"/>
        <v>14</v>
      </c>
      <c r="V667" s="13">
        <f t="shared" si="126"/>
        <v>0.21428571428571427</v>
      </c>
      <c r="W667" s="13">
        <f t="shared" si="119"/>
        <v>1.7857142857142858</v>
      </c>
      <c r="X667" s="3">
        <f t="shared" si="127"/>
        <v>14</v>
      </c>
      <c r="Y667" s="3">
        <f t="shared" si="120"/>
        <v>6.8681318681318689E-3</v>
      </c>
      <c r="Z667" s="3"/>
      <c r="AA667" s="3">
        <f t="shared" si="128"/>
        <v>260</v>
      </c>
      <c r="AB667" s="3">
        <v>25</v>
      </c>
      <c r="AC667" s="3" t="s">
        <v>82</v>
      </c>
      <c r="AD667" s="3" t="s">
        <v>83</v>
      </c>
      <c r="AE667" s="3">
        <v>30</v>
      </c>
      <c r="AF667" s="3" t="s">
        <v>143</v>
      </c>
      <c r="AG667" s="3" t="s">
        <v>305</v>
      </c>
      <c r="AH667" s="3"/>
    </row>
    <row r="668" spans="1:34" ht="14.25" customHeight="1" x14ac:dyDescent="0.25">
      <c r="A668" s="3" t="s">
        <v>146</v>
      </c>
      <c r="B668" s="3" t="s">
        <v>79</v>
      </c>
      <c r="C668" s="3"/>
      <c r="D668" s="3" t="s">
        <v>80</v>
      </c>
      <c r="E668" s="3">
        <v>1</v>
      </c>
      <c r="F668" s="3">
        <v>1</v>
      </c>
      <c r="G668" s="3" t="s">
        <v>12</v>
      </c>
      <c r="H668" s="11">
        <v>45869</v>
      </c>
      <c r="I668" s="3" t="s">
        <v>170</v>
      </c>
      <c r="J668" s="3">
        <v>1.3</v>
      </c>
      <c r="K668" s="3">
        <v>0</v>
      </c>
      <c r="L668" s="3">
        <v>0</v>
      </c>
      <c r="M668" s="3">
        <v>2.2000000000000002</v>
      </c>
      <c r="N668" s="3">
        <v>0</v>
      </c>
      <c r="O668" s="3">
        <f t="shared" si="124"/>
        <v>3.5</v>
      </c>
      <c r="P668" s="3">
        <v>4</v>
      </c>
      <c r="Q668" s="3">
        <v>3</v>
      </c>
      <c r="R668" s="3">
        <v>1</v>
      </c>
      <c r="S668" s="3">
        <v>6</v>
      </c>
      <c r="T668" s="3">
        <v>0</v>
      </c>
      <c r="U668" s="3">
        <f t="shared" si="125"/>
        <v>14</v>
      </c>
      <c r="V668" s="13">
        <f t="shared" si="126"/>
        <v>0.21428571428571427</v>
      </c>
      <c r="W668" s="13">
        <f t="shared" si="119"/>
        <v>0.25</v>
      </c>
      <c r="X668" s="3">
        <f t="shared" si="127"/>
        <v>14</v>
      </c>
      <c r="Y668" s="3">
        <f t="shared" si="120"/>
        <v>9.6153846153846159E-4</v>
      </c>
      <c r="Z668" s="3"/>
      <c r="AA668" s="3">
        <f t="shared" si="128"/>
        <v>260</v>
      </c>
      <c r="AB668" s="3">
        <v>25</v>
      </c>
      <c r="AC668" s="3" t="s">
        <v>82</v>
      </c>
      <c r="AD668" s="3" t="s">
        <v>83</v>
      </c>
      <c r="AE668" s="3">
        <v>30</v>
      </c>
      <c r="AF668" s="3" t="s">
        <v>143</v>
      </c>
      <c r="AG668" s="3" t="s">
        <v>305</v>
      </c>
      <c r="AH668" s="3"/>
    </row>
    <row r="669" spans="1:34" ht="14.25" customHeight="1" x14ac:dyDescent="0.25">
      <c r="A669" s="3" t="s">
        <v>146</v>
      </c>
      <c r="B669" s="3" t="s">
        <v>79</v>
      </c>
      <c r="C669" s="3"/>
      <c r="D669" s="3" t="s">
        <v>80</v>
      </c>
      <c r="E669" s="3">
        <v>1</v>
      </c>
      <c r="F669" s="3">
        <v>1</v>
      </c>
      <c r="G669" s="3" t="s">
        <v>24</v>
      </c>
      <c r="H669" s="11">
        <v>45869</v>
      </c>
      <c r="I669" s="3" t="s">
        <v>170</v>
      </c>
      <c r="J669" s="3">
        <v>0</v>
      </c>
      <c r="K669" s="3">
        <v>0</v>
      </c>
      <c r="L669" s="3">
        <v>0</v>
      </c>
      <c r="M669" s="3">
        <v>1.3</v>
      </c>
      <c r="N669" s="3">
        <v>0</v>
      </c>
      <c r="O669" s="3">
        <f t="shared" si="124"/>
        <v>1.3</v>
      </c>
      <c r="P669" s="3">
        <v>4</v>
      </c>
      <c r="Q669" s="3">
        <v>3</v>
      </c>
      <c r="R669" s="3">
        <v>1</v>
      </c>
      <c r="S669" s="3">
        <v>6</v>
      </c>
      <c r="T669" s="3">
        <v>0</v>
      </c>
      <c r="U669" s="3">
        <f t="shared" si="125"/>
        <v>14</v>
      </c>
      <c r="V669" s="13">
        <f t="shared" si="126"/>
        <v>0.21428571428571427</v>
      </c>
      <c r="W669" s="13">
        <f t="shared" si="119"/>
        <v>9.285714285714286E-2</v>
      </c>
      <c r="X669" s="3">
        <f t="shared" si="127"/>
        <v>14</v>
      </c>
      <c r="Y669" s="3">
        <f t="shared" si="120"/>
        <v>3.5714285714285714E-4</v>
      </c>
      <c r="Z669" s="3"/>
      <c r="AA669" s="3">
        <f t="shared" si="128"/>
        <v>260</v>
      </c>
      <c r="AB669" s="3">
        <v>25</v>
      </c>
      <c r="AC669" s="3" t="s">
        <v>82</v>
      </c>
      <c r="AD669" s="3" t="s">
        <v>83</v>
      </c>
      <c r="AE669" s="3">
        <v>30</v>
      </c>
      <c r="AF669" s="3" t="s">
        <v>143</v>
      </c>
      <c r="AG669" s="3" t="s">
        <v>305</v>
      </c>
      <c r="AH669" s="3"/>
    </row>
    <row r="670" spans="1:34" ht="14.25" customHeight="1" x14ac:dyDescent="0.25">
      <c r="A670" s="3" t="s">
        <v>85</v>
      </c>
      <c r="B670" s="3" t="s">
        <v>79</v>
      </c>
      <c r="C670" s="3"/>
      <c r="D670" s="3" t="s">
        <v>80</v>
      </c>
      <c r="E670" s="3">
        <v>1</v>
      </c>
      <c r="F670" s="3">
        <v>1</v>
      </c>
      <c r="G670" s="3" t="s">
        <v>14</v>
      </c>
      <c r="H670" s="11">
        <v>45869</v>
      </c>
      <c r="I670" s="3" t="s">
        <v>170</v>
      </c>
      <c r="J670" s="3">
        <v>5.8</v>
      </c>
      <c r="K670" s="3">
        <v>2.2000000000000002</v>
      </c>
      <c r="L670" s="3">
        <v>2.7</v>
      </c>
      <c r="M670" s="3">
        <v>1.8</v>
      </c>
      <c r="N670" s="3">
        <v>2.2000000000000002</v>
      </c>
      <c r="O670" s="3">
        <f t="shared" si="124"/>
        <v>14.7</v>
      </c>
      <c r="P670" s="3">
        <v>4</v>
      </c>
      <c r="Q670" s="3">
        <v>1</v>
      </c>
      <c r="R670" s="3">
        <v>2</v>
      </c>
      <c r="S670" s="3">
        <v>3</v>
      </c>
      <c r="T670" s="3">
        <v>1</v>
      </c>
      <c r="U670" s="3">
        <f t="shared" si="125"/>
        <v>11</v>
      </c>
      <c r="V670" s="13">
        <f t="shared" si="126"/>
        <v>0.27272727272727271</v>
      </c>
      <c r="W670" s="13">
        <f t="shared" si="119"/>
        <v>1.3363636363636362</v>
      </c>
      <c r="X670" s="3">
        <f t="shared" si="127"/>
        <v>11</v>
      </c>
      <c r="Y670" s="3" t="e">
        <f t="shared" si="120"/>
        <v>#DIV/0!</v>
      </c>
      <c r="Z670" s="3"/>
      <c r="AA670" s="3"/>
      <c r="AB670" s="3">
        <v>17</v>
      </c>
      <c r="AC670" s="3" t="s">
        <v>82</v>
      </c>
      <c r="AD670" s="3" t="s">
        <v>83</v>
      </c>
      <c r="AE670" s="3">
        <v>20</v>
      </c>
      <c r="AF670" s="3" t="s">
        <v>143</v>
      </c>
      <c r="AG670" s="3" t="s">
        <v>249</v>
      </c>
      <c r="AH670" s="3"/>
    </row>
    <row r="671" spans="1:34" ht="14.25" customHeight="1" x14ac:dyDescent="0.25">
      <c r="A671" s="3" t="s">
        <v>85</v>
      </c>
      <c r="B671" s="3" t="s">
        <v>79</v>
      </c>
      <c r="C671" s="3"/>
      <c r="D671" s="3" t="s">
        <v>80</v>
      </c>
      <c r="E671" s="3">
        <v>1</v>
      </c>
      <c r="F671" s="3">
        <v>1</v>
      </c>
      <c r="G671" s="3" t="s">
        <v>16</v>
      </c>
      <c r="H671" s="11">
        <v>45869</v>
      </c>
      <c r="I671" s="3" t="s">
        <v>170</v>
      </c>
      <c r="J671" s="3">
        <v>2.8</v>
      </c>
      <c r="K671" s="3">
        <v>1.8</v>
      </c>
      <c r="L671" s="3">
        <v>0</v>
      </c>
      <c r="M671" s="3">
        <v>2.2000000000000002</v>
      </c>
      <c r="N671" s="3">
        <v>0</v>
      </c>
      <c r="O671" s="3">
        <f t="shared" si="124"/>
        <v>6.8</v>
      </c>
      <c r="P671" s="3">
        <v>4</v>
      </c>
      <c r="Q671" s="3">
        <v>1</v>
      </c>
      <c r="R671" s="3">
        <v>2</v>
      </c>
      <c r="S671" s="3">
        <v>3</v>
      </c>
      <c r="T671" s="3">
        <v>1</v>
      </c>
      <c r="U671" s="3">
        <f t="shared" si="125"/>
        <v>11</v>
      </c>
      <c r="V671" s="13">
        <f t="shared" si="126"/>
        <v>0.27272727272727271</v>
      </c>
      <c r="W671" s="13">
        <f t="shared" si="119"/>
        <v>0.61818181818181817</v>
      </c>
      <c r="X671" s="3">
        <f t="shared" si="127"/>
        <v>11</v>
      </c>
      <c r="Y671" s="3" t="e">
        <f t="shared" si="120"/>
        <v>#DIV/0!</v>
      </c>
      <c r="Z671" s="3"/>
      <c r="AA671" s="3"/>
      <c r="AB671" s="3">
        <v>17</v>
      </c>
      <c r="AC671" s="3" t="s">
        <v>82</v>
      </c>
      <c r="AD671" s="3" t="s">
        <v>83</v>
      </c>
      <c r="AE671" s="3">
        <v>20</v>
      </c>
      <c r="AF671" s="3" t="s">
        <v>143</v>
      </c>
      <c r="AG671" s="3" t="s">
        <v>249</v>
      </c>
      <c r="AH671" s="3"/>
    </row>
    <row r="672" spans="1:34" ht="14.25" customHeight="1" x14ac:dyDescent="0.25">
      <c r="A672" s="3" t="s">
        <v>85</v>
      </c>
      <c r="B672" s="3" t="s">
        <v>79</v>
      </c>
      <c r="C672" s="3"/>
      <c r="D672" s="3" t="s">
        <v>80</v>
      </c>
      <c r="E672" s="3">
        <v>1</v>
      </c>
      <c r="F672" s="3">
        <v>1</v>
      </c>
      <c r="G672" s="3" t="s">
        <v>18</v>
      </c>
      <c r="H672" s="11">
        <v>45869</v>
      </c>
      <c r="I672" s="3" t="s">
        <v>170</v>
      </c>
      <c r="J672" s="3">
        <f>3.2+4.6</f>
        <v>7.8</v>
      </c>
      <c r="K672" s="3">
        <v>3.3</v>
      </c>
      <c r="L672" s="3">
        <f>5.2+2.8</f>
        <v>8</v>
      </c>
      <c r="M672" s="3">
        <f>6+4.8+5.2</f>
        <v>16</v>
      </c>
      <c r="N672" s="3">
        <v>4.2</v>
      </c>
      <c r="O672" s="3">
        <f t="shared" si="124"/>
        <v>39.300000000000004</v>
      </c>
      <c r="P672" s="3">
        <v>4</v>
      </c>
      <c r="Q672" s="3">
        <v>1</v>
      </c>
      <c r="R672" s="3">
        <v>2</v>
      </c>
      <c r="S672" s="3">
        <v>3</v>
      </c>
      <c r="T672" s="3">
        <v>1</v>
      </c>
      <c r="U672" s="3">
        <f t="shared" si="125"/>
        <v>11</v>
      </c>
      <c r="V672" s="13">
        <f t="shared" si="126"/>
        <v>0.27272727272727271</v>
      </c>
      <c r="W672" s="13">
        <f t="shared" si="119"/>
        <v>3.5727272727272732</v>
      </c>
      <c r="X672" s="3">
        <f t="shared" si="127"/>
        <v>11</v>
      </c>
      <c r="Y672" s="3" t="e">
        <f t="shared" si="120"/>
        <v>#DIV/0!</v>
      </c>
      <c r="Z672" s="3"/>
      <c r="AA672" s="3"/>
      <c r="AB672" s="3">
        <v>17</v>
      </c>
      <c r="AC672" s="3" t="s">
        <v>82</v>
      </c>
      <c r="AD672" s="3" t="s">
        <v>83</v>
      </c>
      <c r="AE672" s="3">
        <v>20</v>
      </c>
      <c r="AF672" s="3" t="s">
        <v>143</v>
      </c>
      <c r="AG672" s="3" t="s">
        <v>249</v>
      </c>
      <c r="AH672" s="3"/>
    </row>
    <row r="673" spans="1:34" ht="14.25" customHeight="1" x14ac:dyDescent="0.25">
      <c r="A673" s="3" t="s">
        <v>85</v>
      </c>
      <c r="B673" s="3" t="s">
        <v>79</v>
      </c>
      <c r="C673" s="3"/>
      <c r="D673" s="3" t="s">
        <v>80</v>
      </c>
      <c r="E673" s="3">
        <v>1</v>
      </c>
      <c r="F673" s="3">
        <v>1</v>
      </c>
      <c r="G673" s="3" t="s">
        <v>22</v>
      </c>
      <c r="H673" s="11">
        <v>45869</v>
      </c>
      <c r="I673" s="3" t="s">
        <v>170</v>
      </c>
      <c r="J673" s="3">
        <v>3.8</v>
      </c>
      <c r="K673" s="3">
        <v>0</v>
      </c>
      <c r="L673" s="3">
        <v>3.8</v>
      </c>
      <c r="M673" s="3">
        <v>0</v>
      </c>
      <c r="N673" s="3">
        <v>0</v>
      </c>
      <c r="O673" s="3">
        <f t="shared" si="124"/>
        <v>7.6</v>
      </c>
      <c r="P673" s="3">
        <v>4</v>
      </c>
      <c r="Q673" s="3">
        <v>1</v>
      </c>
      <c r="R673" s="3">
        <v>2</v>
      </c>
      <c r="S673" s="3">
        <v>3</v>
      </c>
      <c r="T673" s="3">
        <v>1</v>
      </c>
      <c r="U673" s="3">
        <f t="shared" si="125"/>
        <v>11</v>
      </c>
      <c r="V673" s="13">
        <f t="shared" si="126"/>
        <v>0.27272727272727271</v>
      </c>
      <c r="W673" s="13">
        <f t="shared" si="119"/>
        <v>0.69090909090909092</v>
      </c>
      <c r="X673" s="3">
        <f t="shared" si="127"/>
        <v>11</v>
      </c>
      <c r="Y673" s="3" t="e">
        <f t="shared" si="120"/>
        <v>#DIV/0!</v>
      </c>
      <c r="Z673" s="3"/>
      <c r="AA673" s="3"/>
      <c r="AB673" s="3">
        <v>17</v>
      </c>
      <c r="AC673" s="3" t="s">
        <v>82</v>
      </c>
      <c r="AD673" s="3" t="s">
        <v>83</v>
      </c>
      <c r="AE673" s="3">
        <v>20</v>
      </c>
      <c r="AF673" s="3" t="s">
        <v>143</v>
      </c>
      <c r="AG673" s="3" t="s">
        <v>249</v>
      </c>
      <c r="AH673" s="3"/>
    </row>
    <row r="674" spans="1:34" ht="14.25" customHeight="1" x14ac:dyDescent="0.25">
      <c r="A674" s="3" t="s">
        <v>161</v>
      </c>
      <c r="B674" s="3" t="s">
        <v>79</v>
      </c>
      <c r="C674" s="3"/>
      <c r="D674" s="3" t="s">
        <v>80</v>
      </c>
      <c r="E674" s="3">
        <v>2</v>
      </c>
      <c r="F674" s="3">
        <v>1</v>
      </c>
      <c r="G674" s="3" t="s">
        <v>1</v>
      </c>
      <c r="H674" s="11">
        <v>45869</v>
      </c>
      <c r="I674" s="3" t="s">
        <v>170</v>
      </c>
      <c r="J674" s="3">
        <v>3.5</v>
      </c>
      <c r="K674" s="3">
        <f>3.2+4.1+2.9+5.3</f>
        <v>15.5</v>
      </c>
      <c r="L674" s="3">
        <f>4.8+5.1+6.2+6.8</f>
        <v>22.9</v>
      </c>
      <c r="M674" s="3">
        <f>4.9+5.1+3.2+2.9</f>
        <v>16.099999999999998</v>
      </c>
      <c r="N674" s="3">
        <f>4.1+3.6+4.5</f>
        <v>12.2</v>
      </c>
      <c r="O674" s="3">
        <f t="shared" si="124"/>
        <v>70.2</v>
      </c>
      <c r="P674" s="3">
        <v>6</v>
      </c>
      <c r="Q674" s="3">
        <v>7</v>
      </c>
      <c r="R674" s="3">
        <v>4</v>
      </c>
      <c r="S674" s="3">
        <v>4</v>
      </c>
      <c r="T674" s="3">
        <v>3</v>
      </c>
      <c r="U674" s="3">
        <f t="shared" si="125"/>
        <v>24</v>
      </c>
      <c r="V674" s="13">
        <f t="shared" si="126"/>
        <v>0.125</v>
      </c>
      <c r="W674" s="13">
        <f t="shared" si="119"/>
        <v>2.9250000000000003</v>
      </c>
      <c r="X674" s="3">
        <f t="shared" si="127"/>
        <v>24</v>
      </c>
      <c r="Y674" s="3" t="e">
        <f t="shared" si="120"/>
        <v>#DIV/0!</v>
      </c>
      <c r="Z674" s="3"/>
      <c r="AA674" s="3"/>
      <c r="AB674" s="3">
        <v>30</v>
      </c>
      <c r="AC674" s="3" t="s">
        <v>92</v>
      </c>
      <c r="AD674" s="3" t="s">
        <v>88</v>
      </c>
      <c r="AE674" s="3"/>
      <c r="AF674" s="3" t="s">
        <v>143</v>
      </c>
      <c r="AG674" s="3" t="s">
        <v>250</v>
      </c>
      <c r="AH674" s="3"/>
    </row>
    <row r="675" spans="1:34" ht="14.25" customHeight="1" x14ac:dyDescent="0.25">
      <c r="A675" s="3" t="s">
        <v>161</v>
      </c>
      <c r="B675" s="3" t="s">
        <v>79</v>
      </c>
      <c r="C675" s="3"/>
      <c r="D675" s="3" t="s">
        <v>80</v>
      </c>
      <c r="E675" s="3">
        <v>2</v>
      </c>
      <c r="F675" s="3">
        <v>1</v>
      </c>
      <c r="G675" s="3" t="s">
        <v>2</v>
      </c>
      <c r="H675" s="11">
        <v>45869</v>
      </c>
      <c r="I675" s="3" t="s">
        <v>170</v>
      </c>
      <c r="J675" s="3">
        <v>0</v>
      </c>
      <c r="K675" s="3">
        <f>1.8+4.6</f>
        <v>6.3999999999999995</v>
      </c>
      <c r="L675" s="3">
        <v>3.1</v>
      </c>
      <c r="M675" s="3">
        <v>0</v>
      </c>
      <c r="N675" s="3">
        <v>0</v>
      </c>
      <c r="O675" s="3">
        <f t="shared" si="124"/>
        <v>9.5</v>
      </c>
      <c r="P675" s="3">
        <v>6</v>
      </c>
      <c r="Q675" s="3">
        <v>7</v>
      </c>
      <c r="R675" s="3">
        <v>4</v>
      </c>
      <c r="S675" s="3">
        <v>4</v>
      </c>
      <c r="T675" s="3">
        <v>3</v>
      </c>
      <c r="U675" s="3">
        <f t="shared" si="125"/>
        <v>24</v>
      </c>
      <c r="V675" s="13">
        <f t="shared" si="126"/>
        <v>0.125</v>
      </c>
      <c r="W675" s="13">
        <f t="shared" si="119"/>
        <v>0.39583333333333331</v>
      </c>
      <c r="X675" s="3">
        <f t="shared" si="127"/>
        <v>24</v>
      </c>
      <c r="Y675" s="3" t="e">
        <f t="shared" si="120"/>
        <v>#DIV/0!</v>
      </c>
      <c r="Z675" s="3"/>
      <c r="AA675" s="3"/>
      <c r="AB675" s="3">
        <v>30</v>
      </c>
      <c r="AC675" s="3" t="s">
        <v>92</v>
      </c>
      <c r="AD675" s="3" t="s">
        <v>88</v>
      </c>
      <c r="AE675" s="3"/>
      <c r="AF675" s="3" t="s">
        <v>143</v>
      </c>
      <c r="AG675" s="3" t="s">
        <v>250</v>
      </c>
      <c r="AH675" s="3"/>
    </row>
    <row r="676" spans="1:34" ht="14.25" customHeight="1" x14ac:dyDescent="0.25">
      <c r="A676" s="3" t="s">
        <v>161</v>
      </c>
      <c r="B676" s="3" t="s">
        <v>79</v>
      </c>
      <c r="C676" s="3"/>
      <c r="D676" s="3" t="s">
        <v>80</v>
      </c>
      <c r="E676" s="3">
        <v>2</v>
      </c>
      <c r="F676" s="3">
        <v>1</v>
      </c>
      <c r="G676" s="3" t="s">
        <v>19</v>
      </c>
      <c r="H676" s="11">
        <v>45869</v>
      </c>
      <c r="I676" s="3" t="s">
        <v>170</v>
      </c>
      <c r="J676" s="3">
        <f>1.2+4.3+8.1+5.5+7.1+4.2</f>
        <v>30.400000000000002</v>
      </c>
      <c r="K676" s="3">
        <f>5.8+6.2+6.2+3.4+5.5+3.6+4.4</f>
        <v>35.1</v>
      </c>
      <c r="L676" s="3">
        <f>6.9+4.1+3.9+4.6</f>
        <v>19.5</v>
      </c>
      <c r="M676" s="3">
        <f>3.2+2.9+3.5+4.4</f>
        <v>14</v>
      </c>
      <c r="N676" s="3">
        <f>3.8+5.3+4.6</f>
        <v>13.7</v>
      </c>
      <c r="O676" s="3">
        <f t="shared" si="124"/>
        <v>112.7</v>
      </c>
      <c r="P676" s="3">
        <v>6</v>
      </c>
      <c r="Q676" s="3">
        <v>7</v>
      </c>
      <c r="R676" s="3">
        <v>4</v>
      </c>
      <c r="S676" s="3">
        <v>4</v>
      </c>
      <c r="T676" s="3">
        <v>3</v>
      </c>
      <c r="U676" s="3">
        <f t="shared" si="125"/>
        <v>24</v>
      </c>
      <c r="V676" s="13">
        <f t="shared" si="126"/>
        <v>0.125</v>
      </c>
      <c r="W676" s="13">
        <f t="shared" si="119"/>
        <v>4.6958333333333337</v>
      </c>
      <c r="X676" s="3">
        <f t="shared" si="127"/>
        <v>24</v>
      </c>
      <c r="Y676" s="3" t="e">
        <f t="shared" si="120"/>
        <v>#DIV/0!</v>
      </c>
      <c r="Z676" s="3"/>
      <c r="AA676" s="3"/>
      <c r="AB676" s="3">
        <v>30</v>
      </c>
      <c r="AC676" s="3" t="s">
        <v>92</v>
      </c>
      <c r="AD676" s="3" t="s">
        <v>88</v>
      </c>
      <c r="AE676" s="3"/>
      <c r="AF676" s="3" t="s">
        <v>143</v>
      </c>
      <c r="AG676" s="3" t="s">
        <v>250</v>
      </c>
      <c r="AH676" s="3"/>
    </row>
    <row r="677" spans="1:34" ht="14.25" customHeight="1" x14ac:dyDescent="0.25">
      <c r="A677" s="3" t="s">
        <v>149</v>
      </c>
      <c r="B677" s="3" t="s">
        <v>79</v>
      </c>
      <c r="C677" s="3"/>
      <c r="D677" s="3" t="s">
        <v>80</v>
      </c>
      <c r="E677" s="3">
        <v>2</v>
      </c>
      <c r="F677" s="3">
        <v>1</v>
      </c>
      <c r="G677" s="3" t="s">
        <v>1</v>
      </c>
      <c r="H677" s="11">
        <v>45869</v>
      </c>
      <c r="I677" s="3" t="s">
        <v>170</v>
      </c>
      <c r="J677" s="3">
        <v>2.2000000000000002</v>
      </c>
      <c r="K677" s="3">
        <v>0</v>
      </c>
      <c r="L677" s="3">
        <v>0</v>
      </c>
      <c r="M677" s="3">
        <v>4.8</v>
      </c>
      <c r="N677" s="3">
        <v>0</v>
      </c>
      <c r="O677" s="3">
        <f t="shared" si="124"/>
        <v>7</v>
      </c>
      <c r="P677" s="3">
        <v>3</v>
      </c>
      <c r="Q677" s="3">
        <v>2</v>
      </c>
      <c r="R677" s="3">
        <v>0</v>
      </c>
      <c r="S677" s="3">
        <v>2</v>
      </c>
      <c r="T677" s="3">
        <v>0</v>
      </c>
      <c r="U677" s="3">
        <f t="shared" si="125"/>
        <v>7</v>
      </c>
      <c r="V677" s="13">
        <f t="shared" si="126"/>
        <v>0.42857142857142855</v>
      </c>
      <c r="W677" s="13">
        <f t="shared" si="119"/>
        <v>1</v>
      </c>
      <c r="X677" s="3">
        <f t="shared" si="127"/>
        <v>7</v>
      </c>
      <c r="Y677" s="3">
        <f t="shared" si="120"/>
        <v>2.6041666666666665E-3</v>
      </c>
      <c r="Z677" s="3"/>
      <c r="AA677" s="3">
        <f t="shared" ref="AA677:AA684" si="129">10*2.4*16</f>
        <v>384</v>
      </c>
      <c r="AB677" s="3"/>
      <c r="AC677" s="3" t="s">
        <v>82</v>
      </c>
      <c r="AD677" s="3" t="s">
        <v>83</v>
      </c>
      <c r="AE677" s="3">
        <v>15</v>
      </c>
      <c r="AF677" s="3" t="s">
        <v>143</v>
      </c>
      <c r="AG677" s="3" t="s">
        <v>287</v>
      </c>
      <c r="AH677" s="3"/>
    </row>
    <row r="678" spans="1:34" ht="14.25" customHeight="1" x14ac:dyDescent="0.25">
      <c r="A678" s="3" t="s">
        <v>149</v>
      </c>
      <c r="B678" s="3" t="s">
        <v>79</v>
      </c>
      <c r="C678" s="3"/>
      <c r="D678" s="3" t="s">
        <v>80</v>
      </c>
      <c r="E678" s="3">
        <v>2</v>
      </c>
      <c r="F678" s="3">
        <v>1</v>
      </c>
      <c r="G678" s="3" t="s">
        <v>3</v>
      </c>
      <c r="H678" s="11">
        <v>45869</v>
      </c>
      <c r="I678" s="3" t="s">
        <v>170</v>
      </c>
      <c r="J678" s="3">
        <f>4+6+2.8</f>
        <v>12.8</v>
      </c>
      <c r="K678" s="3">
        <v>7</v>
      </c>
      <c r="L678" s="3">
        <v>0</v>
      </c>
      <c r="M678" s="3">
        <f>4.8+5.2</f>
        <v>10</v>
      </c>
      <c r="N678" s="3">
        <v>0</v>
      </c>
      <c r="O678" s="3">
        <f t="shared" si="124"/>
        <v>29.8</v>
      </c>
      <c r="P678" s="3">
        <v>3</v>
      </c>
      <c r="Q678" s="3">
        <v>2</v>
      </c>
      <c r="R678" s="3">
        <v>0</v>
      </c>
      <c r="S678" s="3">
        <v>2</v>
      </c>
      <c r="T678" s="3">
        <v>0</v>
      </c>
      <c r="U678" s="3">
        <f t="shared" si="125"/>
        <v>7</v>
      </c>
      <c r="V678" s="13">
        <f t="shared" si="126"/>
        <v>0.42857142857142855</v>
      </c>
      <c r="W678" s="13">
        <f t="shared" si="119"/>
        <v>4.2571428571428571</v>
      </c>
      <c r="X678" s="3">
        <f t="shared" si="127"/>
        <v>7</v>
      </c>
      <c r="Y678" s="3">
        <f t="shared" si="120"/>
        <v>1.1086309523809524E-2</v>
      </c>
      <c r="Z678" s="3"/>
      <c r="AA678" s="3">
        <f t="shared" si="129"/>
        <v>384</v>
      </c>
      <c r="AB678" s="3"/>
      <c r="AC678" s="3" t="s">
        <v>82</v>
      </c>
      <c r="AD678" s="3" t="s">
        <v>83</v>
      </c>
      <c r="AE678" s="3">
        <v>15</v>
      </c>
      <c r="AF678" s="3" t="s">
        <v>143</v>
      </c>
      <c r="AG678" s="3" t="s">
        <v>287</v>
      </c>
      <c r="AH678" s="3"/>
    </row>
    <row r="679" spans="1:34" ht="14.25" customHeight="1" x14ac:dyDescent="0.25">
      <c r="A679" s="3" t="s">
        <v>149</v>
      </c>
      <c r="B679" s="3" t="s">
        <v>79</v>
      </c>
      <c r="C679" s="3"/>
      <c r="D679" s="3" t="s">
        <v>80</v>
      </c>
      <c r="E679" s="3">
        <v>2</v>
      </c>
      <c r="F679" s="3">
        <v>1</v>
      </c>
      <c r="G679" s="3" t="s">
        <v>5</v>
      </c>
      <c r="H679" s="11">
        <v>45869</v>
      </c>
      <c r="I679" s="3" t="s">
        <v>170</v>
      </c>
      <c r="J679" s="3">
        <v>2.2999999999999998</v>
      </c>
      <c r="K679" s="3">
        <v>0</v>
      </c>
      <c r="L679" s="3">
        <v>0</v>
      </c>
      <c r="M679" s="3">
        <v>0</v>
      </c>
      <c r="N679" s="3">
        <v>0</v>
      </c>
      <c r="O679" s="3">
        <f t="shared" si="124"/>
        <v>2.2999999999999998</v>
      </c>
      <c r="P679" s="3">
        <v>3</v>
      </c>
      <c r="Q679" s="3">
        <v>2</v>
      </c>
      <c r="R679" s="3">
        <v>0</v>
      </c>
      <c r="S679" s="3">
        <v>2</v>
      </c>
      <c r="T679" s="3">
        <v>0</v>
      </c>
      <c r="U679" s="3">
        <f t="shared" si="125"/>
        <v>7</v>
      </c>
      <c r="V679" s="13">
        <f t="shared" si="126"/>
        <v>0.42857142857142855</v>
      </c>
      <c r="W679" s="13">
        <f t="shared" si="119"/>
        <v>0.32857142857142857</v>
      </c>
      <c r="X679" s="3">
        <f t="shared" si="127"/>
        <v>7</v>
      </c>
      <c r="Y679" s="3">
        <f t="shared" si="120"/>
        <v>8.556547619047619E-4</v>
      </c>
      <c r="Z679" s="3"/>
      <c r="AA679" s="3">
        <f t="shared" si="129"/>
        <v>384</v>
      </c>
      <c r="AB679" s="3"/>
      <c r="AC679" s="3" t="s">
        <v>82</v>
      </c>
      <c r="AD679" s="3" t="s">
        <v>83</v>
      </c>
      <c r="AE679" s="3">
        <v>15</v>
      </c>
      <c r="AF679" s="3" t="s">
        <v>143</v>
      </c>
      <c r="AG679" s="3" t="s">
        <v>287</v>
      </c>
      <c r="AH679" s="3"/>
    </row>
    <row r="680" spans="1:34" ht="14.25" customHeight="1" x14ac:dyDescent="0.25">
      <c r="A680" s="3" t="s">
        <v>149</v>
      </c>
      <c r="B680" s="3" t="s">
        <v>79</v>
      </c>
      <c r="C680" s="3"/>
      <c r="D680" s="3" t="s">
        <v>80</v>
      </c>
      <c r="E680" s="3">
        <v>2</v>
      </c>
      <c r="F680" s="3">
        <v>1</v>
      </c>
      <c r="G680" s="3" t="s">
        <v>10</v>
      </c>
      <c r="H680" s="11">
        <v>45869</v>
      </c>
      <c r="I680" s="3" t="s">
        <v>170</v>
      </c>
      <c r="J680" s="3">
        <v>1.2</v>
      </c>
      <c r="K680" s="3">
        <v>0</v>
      </c>
      <c r="L680" s="3">
        <v>0</v>
      </c>
      <c r="M680" s="3">
        <v>0</v>
      </c>
      <c r="N680" s="3">
        <v>0</v>
      </c>
      <c r="O680" s="3">
        <f t="shared" si="124"/>
        <v>1.2</v>
      </c>
      <c r="P680" s="3">
        <v>3</v>
      </c>
      <c r="Q680" s="3">
        <v>2</v>
      </c>
      <c r="R680" s="3">
        <v>0</v>
      </c>
      <c r="S680" s="3">
        <v>2</v>
      </c>
      <c r="T680" s="3">
        <v>0</v>
      </c>
      <c r="U680" s="3">
        <f t="shared" si="125"/>
        <v>7</v>
      </c>
      <c r="V680" s="13">
        <f t="shared" si="126"/>
        <v>0.42857142857142855</v>
      </c>
      <c r="W680" s="13">
        <f t="shared" si="119"/>
        <v>0.17142857142857143</v>
      </c>
      <c r="X680" s="3">
        <f t="shared" si="127"/>
        <v>7</v>
      </c>
      <c r="Y680" s="3">
        <f t="shared" si="120"/>
        <v>4.4642857142857141E-4</v>
      </c>
      <c r="Z680" s="3"/>
      <c r="AA680" s="3">
        <f t="shared" si="129"/>
        <v>384</v>
      </c>
      <c r="AB680" s="3"/>
      <c r="AC680" s="3" t="s">
        <v>82</v>
      </c>
      <c r="AD680" s="3" t="s">
        <v>83</v>
      </c>
      <c r="AE680" s="3">
        <v>15</v>
      </c>
      <c r="AF680" s="3" t="s">
        <v>143</v>
      </c>
      <c r="AG680" s="3" t="s">
        <v>287</v>
      </c>
      <c r="AH680" s="3"/>
    </row>
    <row r="681" spans="1:34" ht="14.25" customHeight="1" x14ac:dyDescent="0.25">
      <c r="A681" s="3" t="s">
        <v>149</v>
      </c>
      <c r="B681" s="3" t="s">
        <v>79</v>
      </c>
      <c r="C681" s="3"/>
      <c r="D681" s="3" t="s">
        <v>80</v>
      </c>
      <c r="E681" s="3">
        <v>2</v>
      </c>
      <c r="F681" s="3">
        <v>1</v>
      </c>
      <c r="G681" s="3" t="s">
        <v>9</v>
      </c>
      <c r="H681" s="11">
        <v>45869</v>
      </c>
      <c r="I681" s="3" t="s">
        <v>170</v>
      </c>
      <c r="J681" s="3">
        <v>0</v>
      </c>
      <c r="K681" s="3">
        <v>0</v>
      </c>
      <c r="L681" s="3">
        <v>0</v>
      </c>
      <c r="M681" s="3">
        <v>1.1000000000000001</v>
      </c>
      <c r="N681" s="3">
        <v>0</v>
      </c>
      <c r="O681" s="3">
        <f t="shared" si="124"/>
        <v>1.1000000000000001</v>
      </c>
      <c r="P681" s="3">
        <v>3</v>
      </c>
      <c r="Q681" s="3">
        <v>2</v>
      </c>
      <c r="R681" s="3">
        <v>0</v>
      </c>
      <c r="S681" s="3">
        <v>2</v>
      </c>
      <c r="T681" s="3">
        <v>0</v>
      </c>
      <c r="U681" s="3">
        <f t="shared" si="125"/>
        <v>7</v>
      </c>
      <c r="V681" s="13">
        <f t="shared" si="126"/>
        <v>0.42857142857142855</v>
      </c>
      <c r="W681" s="13">
        <f t="shared" si="119"/>
        <v>0.15714285714285717</v>
      </c>
      <c r="X681" s="3">
        <f t="shared" si="127"/>
        <v>7</v>
      </c>
      <c r="Y681" s="3">
        <f t="shared" si="120"/>
        <v>4.0922619047619054E-4</v>
      </c>
      <c r="Z681" s="3"/>
      <c r="AA681" s="3">
        <f t="shared" si="129"/>
        <v>384</v>
      </c>
      <c r="AB681" s="3"/>
      <c r="AC681" s="3" t="s">
        <v>82</v>
      </c>
      <c r="AD681" s="3" t="s">
        <v>83</v>
      </c>
      <c r="AE681" s="3">
        <v>15</v>
      </c>
      <c r="AF681" s="3" t="s">
        <v>143</v>
      </c>
      <c r="AG681" s="3" t="s">
        <v>287</v>
      </c>
      <c r="AH681" s="3"/>
    </row>
    <row r="682" spans="1:34" ht="14.25" customHeight="1" x14ac:dyDescent="0.25">
      <c r="A682" s="3" t="s">
        <v>149</v>
      </c>
      <c r="B682" s="3" t="s">
        <v>79</v>
      </c>
      <c r="C682" s="3"/>
      <c r="D682" s="3" t="s">
        <v>80</v>
      </c>
      <c r="E682" s="3">
        <v>2</v>
      </c>
      <c r="F682" s="3">
        <v>1</v>
      </c>
      <c r="G682" s="3" t="s">
        <v>12</v>
      </c>
      <c r="H682" s="11">
        <v>45869</v>
      </c>
      <c r="I682" s="3" t="s">
        <v>170</v>
      </c>
      <c r="J682" s="3">
        <v>1.3</v>
      </c>
      <c r="K682" s="3">
        <v>1.1000000000000001</v>
      </c>
      <c r="L682" s="3">
        <v>0</v>
      </c>
      <c r="M682" s="3">
        <v>1.1000000000000001</v>
      </c>
      <c r="N682" s="3">
        <v>0</v>
      </c>
      <c r="O682" s="3">
        <f t="shared" si="124"/>
        <v>3.5000000000000004</v>
      </c>
      <c r="P682" s="3">
        <v>3</v>
      </c>
      <c r="Q682" s="3">
        <v>2</v>
      </c>
      <c r="R682" s="3">
        <v>0</v>
      </c>
      <c r="S682" s="3">
        <v>2</v>
      </c>
      <c r="T682" s="3">
        <v>0</v>
      </c>
      <c r="U682" s="3">
        <f t="shared" si="125"/>
        <v>7</v>
      </c>
      <c r="V682" s="13">
        <f t="shared" si="126"/>
        <v>0.42857142857142855</v>
      </c>
      <c r="W682" s="13">
        <f t="shared" si="119"/>
        <v>0.50000000000000011</v>
      </c>
      <c r="X682" s="3">
        <f t="shared" si="127"/>
        <v>7</v>
      </c>
      <c r="Y682" s="3">
        <f t="shared" si="120"/>
        <v>1.3020833333333337E-3</v>
      </c>
      <c r="Z682" s="3"/>
      <c r="AA682" s="3">
        <f t="shared" si="129"/>
        <v>384</v>
      </c>
      <c r="AB682" s="3"/>
      <c r="AC682" s="3" t="s">
        <v>82</v>
      </c>
      <c r="AD682" s="3" t="s">
        <v>83</v>
      </c>
      <c r="AE682" s="3">
        <v>15</v>
      </c>
      <c r="AF682" s="3" t="s">
        <v>143</v>
      </c>
      <c r="AG682" s="3" t="s">
        <v>287</v>
      </c>
      <c r="AH682" s="3"/>
    </row>
    <row r="683" spans="1:34" ht="14.25" customHeight="1" x14ac:dyDescent="0.25">
      <c r="A683" s="3" t="s">
        <v>149</v>
      </c>
      <c r="B683" s="3" t="s">
        <v>79</v>
      </c>
      <c r="C683" s="3"/>
      <c r="D683" s="3" t="s">
        <v>80</v>
      </c>
      <c r="E683" s="3">
        <v>2</v>
      </c>
      <c r="F683" s="3">
        <v>1</v>
      </c>
      <c r="G683" s="3" t="s">
        <v>14</v>
      </c>
      <c r="H683" s="11">
        <v>45869</v>
      </c>
      <c r="I683" s="3" t="s">
        <v>170</v>
      </c>
      <c r="J683" s="3">
        <v>2.8</v>
      </c>
      <c r="K683" s="3">
        <v>0</v>
      </c>
      <c r="L683" s="3">
        <v>0</v>
      </c>
      <c r="M683" s="3">
        <v>1.8</v>
      </c>
      <c r="N683" s="3">
        <v>0</v>
      </c>
      <c r="O683" s="3">
        <f t="shared" si="124"/>
        <v>4.5999999999999996</v>
      </c>
      <c r="P683" s="3">
        <v>3</v>
      </c>
      <c r="Q683" s="3">
        <v>2</v>
      </c>
      <c r="R683" s="3">
        <v>0</v>
      </c>
      <c r="S683" s="3">
        <v>2</v>
      </c>
      <c r="T683" s="3">
        <v>0</v>
      </c>
      <c r="U683" s="3">
        <f t="shared" si="125"/>
        <v>7</v>
      </c>
      <c r="V683" s="13">
        <f t="shared" si="126"/>
        <v>0.42857142857142855</v>
      </c>
      <c r="W683" s="13">
        <f t="shared" si="119"/>
        <v>0.65714285714285714</v>
      </c>
      <c r="X683" s="3">
        <f t="shared" si="127"/>
        <v>7</v>
      </c>
      <c r="Y683" s="3">
        <f t="shared" si="120"/>
        <v>1.7113095238095238E-3</v>
      </c>
      <c r="Z683" s="3"/>
      <c r="AA683" s="3">
        <f t="shared" si="129"/>
        <v>384</v>
      </c>
      <c r="AB683" s="3"/>
      <c r="AC683" s="3" t="s">
        <v>82</v>
      </c>
      <c r="AD683" s="3" t="s">
        <v>83</v>
      </c>
      <c r="AE683" s="3">
        <v>15</v>
      </c>
      <c r="AF683" s="3" t="s">
        <v>143</v>
      </c>
      <c r="AG683" s="3" t="s">
        <v>287</v>
      </c>
      <c r="AH683" s="3"/>
    </row>
    <row r="684" spans="1:34" ht="14.25" customHeight="1" x14ac:dyDescent="0.25">
      <c r="A684" s="3" t="s">
        <v>149</v>
      </c>
      <c r="B684" s="3" t="s">
        <v>79</v>
      </c>
      <c r="C684" s="3"/>
      <c r="D684" s="3" t="s">
        <v>80</v>
      </c>
      <c r="E684" s="3">
        <v>2</v>
      </c>
      <c r="F684" s="3">
        <v>1</v>
      </c>
      <c r="G684" s="3" t="s">
        <v>24</v>
      </c>
      <c r="H684" s="11">
        <v>45869</v>
      </c>
      <c r="I684" s="3" t="s">
        <v>170</v>
      </c>
      <c r="J684" s="3">
        <f>1.1+0.8</f>
        <v>1.9000000000000001</v>
      </c>
      <c r="K684" s="3">
        <v>1.3</v>
      </c>
      <c r="L684" s="3">
        <v>0</v>
      </c>
      <c r="M684" s="3">
        <v>1.3</v>
      </c>
      <c r="N684" s="3">
        <v>0</v>
      </c>
      <c r="O684" s="3">
        <f t="shared" si="124"/>
        <v>4.5</v>
      </c>
      <c r="P684" s="3">
        <v>3</v>
      </c>
      <c r="Q684" s="3">
        <v>2</v>
      </c>
      <c r="R684" s="3">
        <v>0</v>
      </c>
      <c r="S684" s="3">
        <v>2</v>
      </c>
      <c r="T684" s="3">
        <v>0</v>
      </c>
      <c r="U684" s="3">
        <f t="shared" si="125"/>
        <v>7</v>
      </c>
      <c r="V684" s="13">
        <f t="shared" si="126"/>
        <v>0.42857142857142855</v>
      </c>
      <c r="W684" s="13">
        <f t="shared" si="119"/>
        <v>0.6428571428571429</v>
      </c>
      <c r="X684" s="3">
        <f t="shared" si="127"/>
        <v>7</v>
      </c>
      <c r="Y684" s="3">
        <f t="shared" si="120"/>
        <v>1.674107142857143E-3</v>
      </c>
      <c r="Z684" s="3"/>
      <c r="AA684" s="3">
        <f t="shared" si="129"/>
        <v>384</v>
      </c>
      <c r="AB684" s="3"/>
      <c r="AC684" s="3" t="s">
        <v>82</v>
      </c>
      <c r="AD684" s="3" t="s">
        <v>83</v>
      </c>
      <c r="AE684" s="3">
        <v>15</v>
      </c>
      <c r="AF684" s="3" t="s">
        <v>143</v>
      </c>
      <c r="AG684" s="3" t="s">
        <v>287</v>
      </c>
      <c r="AH684" s="3"/>
    </row>
    <row r="685" spans="1:34" ht="14.25" customHeight="1" x14ac:dyDescent="0.25">
      <c r="A685" s="3" t="s">
        <v>160</v>
      </c>
      <c r="B685" s="3" t="s">
        <v>79</v>
      </c>
      <c r="C685" s="3"/>
      <c r="D685" s="3" t="s">
        <v>117</v>
      </c>
      <c r="E685" s="3">
        <v>2</v>
      </c>
      <c r="F685" s="3">
        <v>1</v>
      </c>
      <c r="G685" s="3" t="s">
        <v>1</v>
      </c>
      <c r="H685" s="11">
        <v>45869</v>
      </c>
      <c r="I685" s="3" t="s">
        <v>170</v>
      </c>
      <c r="J685" s="3">
        <f>6+4.8</f>
        <v>10.8</v>
      </c>
      <c r="K685" s="3">
        <f>9.3+7.7+3.5</f>
        <v>20.5</v>
      </c>
      <c r="L685" s="3">
        <v>4.8</v>
      </c>
      <c r="M685" s="3">
        <f>6.6+4.7+8.3</f>
        <v>19.600000000000001</v>
      </c>
      <c r="N685" s="3">
        <v>0</v>
      </c>
      <c r="O685" s="3">
        <f t="shared" si="124"/>
        <v>55.7</v>
      </c>
      <c r="P685" s="3">
        <v>4</v>
      </c>
      <c r="Q685" s="3">
        <v>4</v>
      </c>
      <c r="R685" s="3">
        <v>2</v>
      </c>
      <c r="S685" s="3">
        <v>5</v>
      </c>
      <c r="T685" s="3">
        <v>0</v>
      </c>
      <c r="U685" s="3">
        <f t="shared" si="125"/>
        <v>15</v>
      </c>
      <c r="V685" s="13">
        <f t="shared" si="126"/>
        <v>0.2</v>
      </c>
      <c r="W685" s="13">
        <f t="shared" si="119"/>
        <v>3.7133333333333334</v>
      </c>
      <c r="X685" s="3">
        <f t="shared" si="127"/>
        <v>15</v>
      </c>
      <c r="Y685" s="3">
        <f t="shared" si="120"/>
        <v>1.125252525252525E-2</v>
      </c>
      <c r="Z685" s="3"/>
      <c r="AA685" s="3">
        <f t="shared" ref="AA685:AA687" si="130">50*2.2*3</f>
        <v>330.00000000000006</v>
      </c>
      <c r="AB685" s="3">
        <v>150</v>
      </c>
      <c r="AC685" s="3" t="s">
        <v>82</v>
      </c>
      <c r="AD685" s="3" t="s">
        <v>83</v>
      </c>
      <c r="AE685" s="3">
        <v>15</v>
      </c>
      <c r="AF685" s="3" t="s">
        <v>143</v>
      </c>
      <c r="AG685" s="3" t="s">
        <v>308</v>
      </c>
      <c r="AH685" s="3"/>
    </row>
    <row r="686" spans="1:34" ht="14.25" customHeight="1" x14ac:dyDescent="0.25">
      <c r="A686" s="3" t="s">
        <v>160</v>
      </c>
      <c r="B686" s="3" t="s">
        <v>79</v>
      </c>
      <c r="C686" s="3"/>
      <c r="D686" s="3" t="s">
        <v>117</v>
      </c>
      <c r="E686" s="3">
        <v>2</v>
      </c>
      <c r="F686" s="3">
        <v>1</v>
      </c>
      <c r="G686" s="3" t="s">
        <v>3</v>
      </c>
      <c r="H686" s="11">
        <v>45869</v>
      </c>
      <c r="I686" s="3" t="s">
        <v>170</v>
      </c>
      <c r="J686" s="3">
        <v>12</v>
      </c>
      <c r="K686" s="3">
        <f>8+12</f>
        <v>20</v>
      </c>
      <c r="L686" s="3">
        <v>16</v>
      </c>
      <c r="M686" s="3">
        <f>9+22+13</f>
        <v>44</v>
      </c>
      <c r="N686" s="3">
        <v>0</v>
      </c>
      <c r="O686" s="3">
        <f t="shared" si="124"/>
        <v>92</v>
      </c>
      <c r="P686" s="3">
        <v>4</v>
      </c>
      <c r="Q686" s="3">
        <v>4</v>
      </c>
      <c r="R686" s="3">
        <v>2</v>
      </c>
      <c r="S686" s="3">
        <v>5</v>
      </c>
      <c r="T686" s="3">
        <v>0</v>
      </c>
      <c r="U686" s="3">
        <f t="shared" si="125"/>
        <v>15</v>
      </c>
      <c r="V686" s="13">
        <f t="shared" si="126"/>
        <v>0.2</v>
      </c>
      <c r="W686" s="13">
        <f t="shared" si="119"/>
        <v>6.1333333333333337</v>
      </c>
      <c r="X686" s="3">
        <f t="shared" si="127"/>
        <v>15</v>
      </c>
      <c r="Y686" s="3">
        <f t="shared" si="120"/>
        <v>1.8585858585858584E-2</v>
      </c>
      <c r="Z686" s="3"/>
      <c r="AA686" s="3">
        <f t="shared" si="130"/>
        <v>330.00000000000006</v>
      </c>
      <c r="AB686" s="3">
        <v>150</v>
      </c>
      <c r="AC686" s="3" t="s">
        <v>82</v>
      </c>
      <c r="AD686" s="3" t="s">
        <v>83</v>
      </c>
      <c r="AE686" s="3">
        <v>15</v>
      </c>
      <c r="AF686" s="3" t="s">
        <v>143</v>
      </c>
      <c r="AG686" s="3" t="s">
        <v>308</v>
      </c>
      <c r="AH686" s="3"/>
    </row>
    <row r="687" spans="1:34" ht="14.25" customHeight="1" x14ac:dyDescent="0.25">
      <c r="A687" s="3" t="s">
        <v>160</v>
      </c>
      <c r="B687" s="3" t="s">
        <v>79</v>
      </c>
      <c r="C687" s="3"/>
      <c r="D687" s="3" t="s">
        <v>117</v>
      </c>
      <c r="E687" s="3">
        <v>2</v>
      </c>
      <c r="F687" s="3">
        <v>1</v>
      </c>
      <c r="G687" s="3" t="s">
        <v>22</v>
      </c>
      <c r="H687" s="11">
        <v>45869</v>
      </c>
      <c r="I687" s="3" t="s">
        <v>170</v>
      </c>
      <c r="J687" s="3">
        <v>4.8</v>
      </c>
      <c r="K687" s="3">
        <v>0</v>
      </c>
      <c r="L687" s="3">
        <v>3.7</v>
      </c>
      <c r="M687" s="3">
        <v>5.2</v>
      </c>
      <c r="N687" s="3">
        <v>0</v>
      </c>
      <c r="O687" s="3">
        <f t="shared" si="124"/>
        <v>13.7</v>
      </c>
      <c r="P687" s="3">
        <v>4</v>
      </c>
      <c r="Q687" s="3">
        <v>4</v>
      </c>
      <c r="R687" s="3">
        <v>2</v>
      </c>
      <c r="S687" s="3">
        <v>5</v>
      </c>
      <c r="T687" s="3">
        <v>0</v>
      </c>
      <c r="U687" s="3">
        <f t="shared" si="125"/>
        <v>15</v>
      </c>
      <c r="V687" s="13">
        <f t="shared" si="126"/>
        <v>0.2</v>
      </c>
      <c r="W687" s="13">
        <f t="shared" si="119"/>
        <v>0.91333333333333333</v>
      </c>
      <c r="X687" s="3">
        <f t="shared" si="127"/>
        <v>15</v>
      </c>
      <c r="Y687" s="3">
        <f t="shared" si="120"/>
        <v>2.7676767676767674E-3</v>
      </c>
      <c r="Z687" s="3"/>
      <c r="AA687" s="3">
        <f t="shared" si="130"/>
        <v>330.00000000000006</v>
      </c>
      <c r="AB687" s="3">
        <v>150</v>
      </c>
      <c r="AC687" s="3" t="s">
        <v>82</v>
      </c>
      <c r="AD687" s="3" t="s">
        <v>83</v>
      </c>
      <c r="AE687" s="3">
        <v>15</v>
      </c>
      <c r="AF687" s="3" t="s">
        <v>143</v>
      </c>
      <c r="AG687" s="3" t="s">
        <v>308</v>
      </c>
      <c r="AH687" s="3"/>
    </row>
    <row r="688" spans="1:34" ht="14.25" customHeight="1" x14ac:dyDescent="0.25">
      <c r="A688" s="3" t="s">
        <v>90</v>
      </c>
      <c r="B688" s="3" t="s">
        <v>79</v>
      </c>
      <c r="C688" s="3"/>
      <c r="D688" s="3" t="s">
        <v>80</v>
      </c>
      <c r="E688" s="3">
        <v>2</v>
      </c>
      <c r="F688" s="3">
        <v>1</v>
      </c>
      <c r="G688" s="3" t="s">
        <v>1</v>
      </c>
      <c r="H688" s="11">
        <v>45869</v>
      </c>
      <c r="I688" s="3" t="s">
        <v>170</v>
      </c>
      <c r="J688" s="3">
        <v>0</v>
      </c>
      <c r="K688" s="3">
        <v>0</v>
      </c>
      <c r="L688" s="3">
        <v>6</v>
      </c>
      <c r="M688" s="3">
        <v>0</v>
      </c>
      <c r="N688" s="3">
        <v>0</v>
      </c>
      <c r="O688" s="3">
        <f t="shared" si="124"/>
        <v>6</v>
      </c>
      <c r="P688" s="3">
        <v>4</v>
      </c>
      <c r="Q688" s="3">
        <v>3</v>
      </c>
      <c r="R688" s="3">
        <v>2</v>
      </c>
      <c r="S688" s="3">
        <v>3</v>
      </c>
      <c r="T688" s="3">
        <v>0</v>
      </c>
      <c r="U688" s="3">
        <f t="shared" si="125"/>
        <v>12</v>
      </c>
      <c r="V688" s="13">
        <f t="shared" si="126"/>
        <v>0.25</v>
      </c>
      <c r="W688" s="13">
        <f t="shared" si="119"/>
        <v>0.5</v>
      </c>
      <c r="X688" s="3">
        <f t="shared" si="127"/>
        <v>12</v>
      </c>
      <c r="Y688" s="3" t="e">
        <f t="shared" si="120"/>
        <v>#DIV/0!</v>
      </c>
      <c r="Z688" s="3"/>
      <c r="AA688" s="3"/>
      <c r="AB688" s="3"/>
      <c r="AC688" s="3" t="s">
        <v>82</v>
      </c>
      <c r="AD688" s="3" t="s">
        <v>83</v>
      </c>
      <c r="AE688" s="3">
        <v>15</v>
      </c>
      <c r="AF688" s="3" t="s">
        <v>143</v>
      </c>
      <c r="AG688" s="3" t="s">
        <v>173</v>
      </c>
      <c r="AH688" s="3"/>
    </row>
    <row r="689" spans="1:34" ht="14.25" customHeight="1" x14ac:dyDescent="0.25">
      <c r="A689" s="3" t="s">
        <v>90</v>
      </c>
      <c r="B689" s="3" t="s">
        <v>79</v>
      </c>
      <c r="C689" s="3"/>
      <c r="D689" s="3" t="s">
        <v>80</v>
      </c>
      <c r="E689" s="3">
        <v>2</v>
      </c>
      <c r="F689" s="3">
        <v>1</v>
      </c>
      <c r="G689" s="3" t="s">
        <v>14</v>
      </c>
      <c r="H689" s="11">
        <v>45869</v>
      </c>
      <c r="I689" s="3" t="s">
        <v>170</v>
      </c>
      <c r="J689" s="3">
        <f>1.2+1.8+2.3</f>
        <v>5.3</v>
      </c>
      <c r="K689" s="3">
        <f>1.6+2.2</f>
        <v>3.8000000000000003</v>
      </c>
      <c r="L689" s="3">
        <v>5.2</v>
      </c>
      <c r="M689" s="3">
        <v>5.6</v>
      </c>
      <c r="N689" s="3">
        <v>0</v>
      </c>
      <c r="O689" s="3">
        <f t="shared" si="124"/>
        <v>19.899999999999999</v>
      </c>
      <c r="P689" s="3">
        <v>4</v>
      </c>
      <c r="Q689" s="3">
        <v>3</v>
      </c>
      <c r="R689" s="3">
        <v>2</v>
      </c>
      <c r="S689" s="3">
        <v>3</v>
      </c>
      <c r="T689" s="3">
        <v>0</v>
      </c>
      <c r="U689" s="3">
        <f t="shared" si="125"/>
        <v>12</v>
      </c>
      <c r="V689" s="13">
        <f t="shared" si="126"/>
        <v>0.25</v>
      </c>
      <c r="W689" s="13">
        <f t="shared" si="119"/>
        <v>1.6583333333333332</v>
      </c>
      <c r="X689" s="3">
        <f t="shared" si="127"/>
        <v>12</v>
      </c>
      <c r="Y689" s="3" t="e">
        <f t="shared" si="120"/>
        <v>#DIV/0!</v>
      </c>
      <c r="Z689" s="3"/>
      <c r="AA689" s="3"/>
      <c r="AB689" s="3"/>
      <c r="AC689" s="3" t="s">
        <v>82</v>
      </c>
      <c r="AD689" s="3" t="s">
        <v>83</v>
      </c>
      <c r="AE689" s="3">
        <v>15</v>
      </c>
      <c r="AF689" s="3" t="s">
        <v>143</v>
      </c>
      <c r="AG689" s="3" t="s">
        <v>173</v>
      </c>
      <c r="AH689" s="3"/>
    </row>
    <row r="690" spans="1:34" ht="14.25" customHeight="1" x14ac:dyDescent="0.25">
      <c r="A690" s="3" t="s">
        <v>90</v>
      </c>
      <c r="B690" s="3" t="s">
        <v>79</v>
      </c>
      <c r="C690" s="3"/>
      <c r="D690" s="3" t="s">
        <v>80</v>
      </c>
      <c r="E690" s="3">
        <v>2</v>
      </c>
      <c r="F690" s="3">
        <v>1</v>
      </c>
      <c r="G690" s="3" t="s">
        <v>16</v>
      </c>
      <c r="H690" s="11">
        <v>45869</v>
      </c>
      <c r="I690" s="3" t="s">
        <v>170</v>
      </c>
      <c r="J690" s="3">
        <v>4.2</v>
      </c>
      <c r="K690" s="3">
        <v>0</v>
      </c>
      <c r="L690" s="3">
        <v>0</v>
      </c>
      <c r="M690" s="3">
        <v>0</v>
      </c>
      <c r="N690" s="3">
        <v>0</v>
      </c>
      <c r="O690" s="3">
        <f t="shared" si="124"/>
        <v>4.2</v>
      </c>
      <c r="P690" s="3">
        <v>4</v>
      </c>
      <c r="Q690" s="3">
        <v>3</v>
      </c>
      <c r="R690" s="3">
        <v>2</v>
      </c>
      <c r="S690" s="3">
        <v>3</v>
      </c>
      <c r="T690" s="3">
        <v>0</v>
      </c>
      <c r="U690" s="3">
        <f t="shared" si="125"/>
        <v>12</v>
      </c>
      <c r="V690" s="13">
        <f t="shared" si="126"/>
        <v>0.25</v>
      </c>
      <c r="W690" s="13">
        <f t="shared" si="119"/>
        <v>0.35000000000000003</v>
      </c>
      <c r="X690" s="3">
        <f t="shared" si="127"/>
        <v>12</v>
      </c>
      <c r="Y690" s="3" t="e">
        <f t="shared" si="120"/>
        <v>#DIV/0!</v>
      </c>
      <c r="Z690" s="3"/>
      <c r="AA690" s="3"/>
      <c r="AB690" s="3"/>
      <c r="AC690" s="3" t="s">
        <v>82</v>
      </c>
      <c r="AD690" s="3" t="s">
        <v>83</v>
      </c>
      <c r="AE690" s="3">
        <v>15</v>
      </c>
      <c r="AF690" s="3" t="s">
        <v>143</v>
      </c>
      <c r="AG690" s="3" t="s">
        <v>173</v>
      </c>
      <c r="AH690" s="3"/>
    </row>
    <row r="691" spans="1:34" ht="14.25" customHeight="1" x14ac:dyDescent="0.25">
      <c r="A691" s="3" t="s">
        <v>90</v>
      </c>
      <c r="B691" s="3" t="s">
        <v>79</v>
      </c>
      <c r="C691" s="3"/>
      <c r="D691" s="3" t="s">
        <v>80</v>
      </c>
      <c r="E691" s="3">
        <v>2</v>
      </c>
      <c r="F691" s="3">
        <v>1</v>
      </c>
      <c r="G691" s="3" t="s">
        <v>18</v>
      </c>
      <c r="H691" s="11">
        <v>45869</v>
      </c>
      <c r="I691" s="3" t="s">
        <v>170</v>
      </c>
      <c r="J691" s="3">
        <f>6+4.8+3.2</f>
        <v>14</v>
      </c>
      <c r="K691" s="3">
        <f>3.7+4.6</f>
        <v>8.3000000000000007</v>
      </c>
      <c r="L691" s="3">
        <v>1.8</v>
      </c>
      <c r="M691" s="3">
        <f>4.6+8.2</f>
        <v>12.799999999999999</v>
      </c>
      <c r="N691" s="3">
        <v>0</v>
      </c>
      <c r="O691" s="3">
        <f t="shared" si="124"/>
        <v>36.9</v>
      </c>
      <c r="P691" s="3">
        <v>4</v>
      </c>
      <c r="Q691" s="3">
        <v>3</v>
      </c>
      <c r="R691" s="3">
        <v>2</v>
      </c>
      <c r="S691" s="3">
        <v>3</v>
      </c>
      <c r="T691" s="3">
        <v>0</v>
      </c>
      <c r="U691" s="3">
        <f t="shared" si="125"/>
        <v>12</v>
      </c>
      <c r="V691" s="13">
        <f t="shared" si="126"/>
        <v>0.25</v>
      </c>
      <c r="W691" s="13">
        <f t="shared" si="119"/>
        <v>3.0749999999999997</v>
      </c>
      <c r="X691" s="3">
        <f t="shared" si="127"/>
        <v>12</v>
      </c>
      <c r="Y691" s="3" t="e">
        <f t="shared" si="120"/>
        <v>#DIV/0!</v>
      </c>
      <c r="Z691" s="3"/>
      <c r="AA691" s="3"/>
      <c r="AB691" s="3"/>
      <c r="AC691" s="3" t="s">
        <v>82</v>
      </c>
      <c r="AD691" s="3" t="s">
        <v>83</v>
      </c>
      <c r="AE691" s="3">
        <v>15</v>
      </c>
      <c r="AF691" s="3" t="s">
        <v>143</v>
      </c>
      <c r="AG691" s="3" t="s">
        <v>173</v>
      </c>
      <c r="AH691" s="3"/>
    </row>
    <row r="692" spans="1:34" ht="14.25" customHeight="1" x14ac:dyDescent="0.25">
      <c r="A692" s="3" t="s">
        <v>90</v>
      </c>
      <c r="B692" s="3" t="s">
        <v>79</v>
      </c>
      <c r="C692" s="3"/>
      <c r="D692" s="3" t="s">
        <v>80</v>
      </c>
      <c r="E692" s="3">
        <v>2</v>
      </c>
      <c r="F692" s="3">
        <v>1</v>
      </c>
      <c r="G692" s="3" t="s">
        <v>22</v>
      </c>
      <c r="H692" s="11">
        <v>45869</v>
      </c>
      <c r="I692" s="3" t="s">
        <v>170</v>
      </c>
      <c r="J692" s="3">
        <v>0</v>
      </c>
      <c r="K692" s="3">
        <f>3.2+2.8</f>
        <v>6</v>
      </c>
      <c r="L692" s="3">
        <v>0</v>
      </c>
      <c r="M692" s="3">
        <v>3.8</v>
      </c>
      <c r="N692" s="3">
        <v>0</v>
      </c>
      <c r="O692" s="3">
        <f t="shared" si="124"/>
        <v>9.8000000000000007</v>
      </c>
      <c r="P692" s="3">
        <v>4</v>
      </c>
      <c r="Q692" s="3">
        <v>3</v>
      </c>
      <c r="R692" s="3">
        <v>2</v>
      </c>
      <c r="S692" s="3">
        <v>3</v>
      </c>
      <c r="T692" s="3">
        <v>0</v>
      </c>
      <c r="U692" s="3">
        <f t="shared" si="125"/>
        <v>12</v>
      </c>
      <c r="V692" s="13">
        <f t="shared" si="126"/>
        <v>0.25</v>
      </c>
      <c r="W692" s="13">
        <f t="shared" si="119"/>
        <v>0.81666666666666676</v>
      </c>
      <c r="X692" s="3">
        <f t="shared" si="127"/>
        <v>12</v>
      </c>
      <c r="Y692" s="3" t="e">
        <f t="shared" si="120"/>
        <v>#DIV/0!</v>
      </c>
      <c r="Z692" s="3"/>
      <c r="AA692" s="3"/>
      <c r="AB692" s="3"/>
      <c r="AC692" s="3" t="s">
        <v>82</v>
      </c>
      <c r="AD692" s="3" t="s">
        <v>83</v>
      </c>
      <c r="AE692" s="3">
        <v>15</v>
      </c>
      <c r="AF692" s="3" t="s">
        <v>143</v>
      </c>
      <c r="AG692" s="3" t="s">
        <v>173</v>
      </c>
      <c r="AH692" s="3"/>
    </row>
    <row r="693" spans="1:34" ht="14.25" customHeight="1" x14ac:dyDescent="0.25">
      <c r="A693" s="3" t="s">
        <v>89</v>
      </c>
      <c r="B693" s="3" t="s">
        <v>79</v>
      </c>
      <c r="C693" s="3"/>
      <c r="D693" s="3" t="s">
        <v>80</v>
      </c>
      <c r="E693" s="3">
        <v>2</v>
      </c>
      <c r="F693" s="3">
        <v>1</v>
      </c>
      <c r="G693" s="3" t="s">
        <v>3</v>
      </c>
      <c r="H693" s="11">
        <v>45869</v>
      </c>
      <c r="I693" s="3" t="s">
        <v>170</v>
      </c>
      <c r="J693" s="3">
        <v>190</v>
      </c>
      <c r="K693" s="3">
        <v>168</v>
      </c>
      <c r="L693" s="3">
        <f>92+52</f>
        <v>144</v>
      </c>
      <c r="M693" s="3">
        <v>212</v>
      </c>
      <c r="N693" s="3">
        <v>78</v>
      </c>
      <c r="O693" s="3">
        <f t="shared" si="124"/>
        <v>792</v>
      </c>
      <c r="P693" s="3">
        <v>2</v>
      </c>
      <c r="Q693" s="3">
        <v>1</v>
      </c>
      <c r="R693" s="3">
        <v>2</v>
      </c>
      <c r="S693" s="3">
        <v>1</v>
      </c>
      <c r="T693" s="3">
        <v>1</v>
      </c>
      <c r="U693" s="3">
        <f t="shared" si="125"/>
        <v>7</v>
      </c>
      <c r="V693" s="13">
        <f t="shared" si="126"/>
        <v>0.42857142857142855</v>
      </c>
      <c r="W693" s="13">
        <f t="shared" si="119"/>
        <v>113.14285714285714</v>
      </c>
      <c r="X693" s="3">
        <f t="shared" si="127"/>
        <v>7</v>
      </c>
      <c r="Y693" s="3">
        <f t="shared" si="120"/>
        <v>0.11224489795918367</v>
      </c>
      <c r="Z693" s="3"/>
      <c r="AA693" s="3">
        <f>60*2.8*6</f>
        <v>1008</v>
      </c>
      <c r="AB693" s="3"/>
      <c r="AC693" s="3" t="s">
        <v>82</v>
      </c>
      <c r="AD693" s="3" t="s">
        <v>83</v>
      </c>
      <c r="AE693" s="3">
        <v>40</v>
      </c>
      <c r="AF693" s="3" t="s">
        <v>143</v>
      </c>
      <c r="AG693" s="3" t="s">
        <v>287</v>
      </c>
      <c r="AH693" s="3"/>
    </row>
    <row r="694" spans="1:34" ht="14.25" customHeight="1" x14ac:dyDescent="0.25">
      <c r="A694" s="3" t="s">
        <v>126</v>
      </c>
      <c r="B694" s="3" t="s">
        <v>79</v>
      </c>
      <c r="C694" s="3"/>
      <c r="D694" s="3" t="s">
        <v>121</v>
      </c>
      <c r="E694" s="3">
        <v>1</v>
      </c>
      <c r="F694" s="3">
        <v>1</v>
      </c>
      <c r="G694" s="3" t="s">
        <v>1</v>
      </c>
      <c r="H694" s="11">
        <v>45869</v>
      </c>
      <c r="I694" s="3" t="s">
        <v>170</v>
      </c>
      <c r="J694" s="3">
        <f>5+6</f>
        <v>11</v>
      </c>
      <c r="K694" s="3">
        <v>5</v>
      </c>
      <c r="L694" s="3">
        <v>0</v>
      </c>
      <c r="M694" s="3">
        <f>8+5+3</f>
        <v>16</v>
      </c>
      <c r="N694" s="3">
        <v>0</v>
      </c>
      <c r="O694" s="3">
        <f t="shared" si="124"/>
        <v>32</v>
      </c>
      <c r="P694" s="3">
        <v>4</v>
      </c>
      <c r="Q694" s="3">
        <v>2</v>
      </c>
      <c r="R694" s="3">
        <v>0</v>
      </c>
      <c r="S694" s="3">
        <v>3</v>
      </c>
      <c r="T694" s="3">
        <v>0</v>
      </c>
      <c r="U694" s="3">
        <f t="shared" si="125"/>
        <v>9</v>
      </c>
      <c r="V694" s="13">
        <f t="shared" si="126"/>
        <v>0.33333333333333331</v>
      </c>
      <c r="W694" s="13">
        <f t="shared" si="119"/>
        <v>3.5555555555555554</v>
      </c>
      <c r="X694" s="3">
        <f t="shared" si="127"/>
        <v>9</v>
      </c>
      <c r="Y694" s="3">
        <f t="shared" si="120"/>
        <v>5.3872053872053866E-3</v>
      </c>
      <c r="Z694" s="3"/>
      <c r="AA694" s="3">
        <f t="shared" ref="AA694:AA695" si="131">15*2*12+10*2*15</f>
        <v>660</v>
      </c>
      <c r="AB694" s="3"/>
      <c r="AC694" s="3" t="s">
        <v>82</v>
      </c>
      <c r="AD694" s="3" t="s">
        <v>83</v>
      </c>
      <c r="AE694" s="3">
        <v>15</v>
      </c>
      <c r="AF694" s="3" t="s">
        <v>151</v>
      </c>
      <c r="AG694" s="3" t="s">
        <v>297</v>
      </c>
      <c r="AH694" s="3"/>
    </row>
    <row r="695" spans="1:34" ht="14.25" customHeight="1" x14ac:dyDescent="0.25">
      <c r="A695" s="3" t="s">
        <v>126</v>
      </c>
      <c r="B695" s="3" t="s">
        <v>79</v>
      </c>
      <c r="C695" s="3"/>
      <c r="D695" s="3" t="s">
        <v>121</v>
      </c>
      <c r="E695" s="3">
        <v>1</v>
      </c>
      <c r="F695" s="3">
        <v>1</v>
      </c>
      <c r="G695" s="3" t="s">
        <v>3</v>
      </c>
      <c r="H695" s="11">
        <v>45869</v>
      </c>
      <c r="I695" s="3" t="s">
        <v>170</v>
      </c>
      <c r="J695" s="3">
        <f>15+18+14+16</f>
        <v>63</v>
      </c>
      <c r="K695" s="3">
        <f>18+23</f>
        <v>41</v>
      </c>
      <c r="L695" s="3">
        <v>0</v>
      </c>
      <c r="M695" s="3">
        <f>23+18+29</f>
        <v>70</v>
      </c>
      <c r="N695" s="3">
        <v>0</v>
      </c>
      <c r="O695" s="3">
        <f t="shared" si="124"/>
        <v>174</v>
      </c>
      <c r="P695" s="3">
        <v>4</v>
      </c>
      <c r="Q695" s="3">
        <v>2</v>
      </c>
      <c r="R695" s="3">
        <v>0</v>
      </c>
      <c r="S695" s="3">
        <v>3</v>
      </c>
      <c r="T695" s="3">
        <v>0</v>
      </c>
      <c r="U695" s="3">
        <f t="shared" si="125"/>
        <v>9</v>
      </c>
      <c r="V695" s="13">
        <f t="shared" si="126"/>
        <v>0.33333333333333331</v>
      </c>
      <c r="W695" s="13">
        <f t="shared" si="119"/>
        <v>19.333333333333332</v>
      </c>
      <c r="X695" s="3">
        <f t="shared" si="127"/>
        <v>9</v>
      </c>
      <c r="Y695" s="3">
        <f t="shared" si="120"/>
        <v>2.9292929292929291E-2</v>
      </c>
      <c r="Z695" s="3"/>
      <c r="AA695" s="3">
        <f t="shared" si="131"/>
        <v>660</v>
      </c>
      <c r="AB695" s="3"/>
      <c r="AC695" s="3" t="s">
        <v>82</v>
      </c>
      <c r="AD695" s="3" t="s">
        <v>83</v>
      </c>
      <c r="AE695" s="3">
        <v>15</v>
      </c>
      <c r="AF695" s="3" t="s">
        <v>151</v>
      </c>
      <c r="AG695" s="3" t="s">
        <v>297</v>
      </c>
      <c r="AH695" s="3"/>
    </row>
    <row r="696" spans="1:34" ht="14.25" customHeight="1" x14ac:dyDescent="0.25">
      <c r="A696" s="3" t="s">
        <v>169</v>
      </c>
      <c r="B696" s="3" t="s">
        <v>79</v>
      </c>
      <c r="C696" s="3"/>
      <c r="D696" s="3" t="s">
        <v>117</v>
      </c>
      <c r="E696" s="3">
        <v>1</v>
      </c>
      <c r="F696" s="3">
        <v>1</v>
      </c>
      <c r="G696" s="3" t="s">
        <v>1</v>
      </c>
      <c r="H696" s="11">
        <v>45869</v>
      </c>
      <c r="I696" s="3" t="s">
        <v>170</v>
      </c>
      <c r="J696" s="3">
        <f>10+6+11+5+7</f>
        <v>39</v>
      </c>
      <c r="K696" s="3">
        <f>8+5+7+8+8</f>
        <v>36</v>
      </c>
      <c r="L696" s="3">
        <f>6+5+7+5+7</f>
        <v>30</v>
      </c>
      <c r="M696" s="3">
        <f>10+7+5+6+5</f>
        <v>33</v>
      </c>
      <c r="N696" s="3">
        <f>5+10+5</f>
        <v>20</v>
      </c>
      <c r="O696" s="3">
        <f t="shared" si="124"/>
        <v>158</v>
      </c>
      <c r="P696" s="3">
        <v>5</v>
      </c>
      <c r="Q696" s="3">
        <v>5</v>
      </c>
      <c r="R696" s="3">
        <v>5</v>
      </c>
      <c r="S696" s="3">
        <v>5</v>
      </c>
      <c r="T696" s="3">
        <v>3</v>
      </c>
      <c r="U696" s="3">
        <f t="shared" si="125"/>
        <v>23</v>
      </c>
      <c r="V696" s="13">
        <f t="shared" si="126"/>
        <v>0.13043478260869565</v>
      </c>
      <c r="W696" s="13">
        <f t="shared" si="119"/>
        <v>6.8695652173913047</v>
      </c>
      <c r="X696" s="3">
        <f t="shared" si="127"/>
        <v>23</v>
      </c>
      <c r="Y696" s="3">
        <f t="shared" si="120"/>
        <v>5.7246376811594203E-2</v>
      </c>
      <c r="Z696" s="3"/>
      <c r="AA696" s="3">
        <f t="shared" ref="AA696:AA699" si="132">15*2*4</f>
        <v>120</v>
      </c>
      <c r="AB696" s="3"/>
      <c r="AC696" s="3" t="s">
        <v>82</v>
      </c>
      <c r="AD696" s="3" t="s">
        <v>83</v>
      </c>
      <c r="AE696" s="3">
        <v>15</v>
      </c>
      <c r="AF696" s="3" t="s">
        <v>151</v>
      </c>
      <c r="AG696" s="3" t="s">
        <v>309</v>
      </c>
      <c r="AH696" s="3"/>
    </row>
    <row r="697" spans="1:34" ht="14.25" customHeight="1" x14ac:dyDescent="0.25">
      <c r="A697" s="3" t="s">
        <v>169</v>
      </c>
      <c r="B697" s="3" t="s">
        <v>79</v>
      </c>
      <c r="C697" s="3"/>
      <c r="D697" s="3" t="s">
        <v>117</v>
      </c>
      <c r="E697" s="3">
        <v>1</v>
      </c>
      <c r="F697" s="3">
        <v>1</v>
      </c>
      <c r="G697" s="3" t="s">
        <v>3</v>
      </c>
      <c r="H697" s="11">
        <v>45869</v>
      </c>
      <c r="I697" s="3" t="s">
        <v>170</v>
      </c>
      <c r="J697" s="3">
        <f>10+8+7+10+10</f>
        <v>45</v>
      </c>
      <c r="K697" s="3">
        <f>14+11+8+16+10</f>
        <v>59</v>
      </c>
      <c r="L697" s="3">
        <f>9+12+10+9+15</f>
        <v>55</v>
      </c>
      <c r="M697" s="3">
        <f>15+6+11+14+12</f>
        <v>58</v>
      </c>
      <c r="N697" s="3">
        <f>8+8+10</f>
        <v>26</v>
      </c>
      <c r="O697" s="3">
        <f t="shared" si="124"/>
        <v>243</v>
      </c>
      <c r="P697" s="3">
        <v>5</v>
      </c>
      <c r="Q697" s="3">
        <v>5</v>
      </c>
      <c r="R697" s="3">
        <v>5</v>
      </c>
      <c r="S697" s="3">
        <v>5</v>
      </c>
      <c r="T697" s="3">
        <v>3</v>
      </c>
      <c r="U697" s="3">
        <f t="shared" si="125"/>
        <v>23</v>
      </c>
      <c r="V697" s="13">
        <f t="shared" si="126"/>
        <v>0.13043478260869565</v>
      </c>
      <c r="W697" s="13">
        <f t="shared" si="119"/>
        <v>10.565217391304348</v>
      </c>
      <c r="X697" s="3">
        <f t="shared" si="127"/>
        <v>23</v>
      </c>
      <c r="Y697" s="3">
        <f t="shared" si="120"/>
        <v>8.804347826086957E-2</v>
      </c>
      <c r="Z697" s="3"/>
      <c r="AA697" s="3">
        <f t="shared" si="132"/>
        <v>120</v>
      </c>
      <c r="AB697" s="3"/>
      <c r="AC697" s="3" t="s">
        <v>82</v>
      </c>
      <c r="AD697" s="3" t="s">
        <v>83</v>
      </c>
      <c r="AE697" s="3">
        <v>15</v>
      </c>
      <c r="AF697" s="3" t="s">
        <v>151</v>
      </c>
      <c r="AG697" s="3" t="s">
        <v>309</v>
      </c>
      <c r="AH697" s="3"/>
    </row>
    <row r="698" spans="1:34" ht="14.25" customHeight="1" x14ac:dyDescent="0.25">
      <c r="A698" s="3" t="s">
        <v>169</v>
      </c>
      <c r="B698" s="3" t="s">
        <v>79</v>
      </c>
      <c r="C698" s="3"/>
      <c r="D698" s="3" t="s">
        <v>117</v>
      </c>
      <c r="E698" s="3">
        <v>1</v>
      </c>
      <c r="F698" s="3">
        <v>1</v>
      </c>
      <c r="G698" s="3" t="s">
        <v>14</v>
      </c>
      <c r="H698" s="11">
        <v>45869</v>
      </c>
      <c r="I698" s="3" t="s">
        <v>170</v>
      </c>
      <c r="J698" s="3">
        <f>5+3+5</f>
        <v>13</v>
      </c>
      <c r="K698" s="3">
        <v>0</v>
      </c>
      <c r="L698" s="3">
        <f>3+4+3</f>
        <v>10</v>
      </c>
      <c r="M698" s="3">
        <v>0</v>
      </c>
      <c r="N698" s="3">
        <v>8</v>
      </c>
      <c r="O698" s="3">
        <f t="shared" si="124"/>
        <v>31</v>
      </c>
      <c r="P698" s="3">
        <v>5</v>
      </c>
      <c r="Q698" s="3">
        <v>5</v>
      </c>
      <c r="R698" s="3">
        <v>5</v>
      </c>
      <c r="S698" s="3">
        <v>5</v>
      </c>
      <c r="T698" s="3">
        <v>3</v>
      </c>
      <c r="U698" s="3">
        <f t="shared" si="125"/>
        <v>23</v>
      </c>
      <c r="V698" s="13">
        <f t="shared" si="126"/>
        <v>0.13043478260869565</v>
      </c>
      <c r="W698" s="13">
        <f t="shared" si="119"/>
        <v>1.3478260869565217</v>
      </c>
      <c r="X698" s="3">
        <f t="shared" si="127"/>
        <v>23</v>
      </c>
      <c r="Y698" s="3">
        <f t="shared" si="120"/>
        <v>1.1231884057971014E-2</v>
      </c>
      <c r="Z698" s="3"/>
      <c r="AA698" s="3">
        <f t="shared" si="132"/>
        <v>120</v>
      </c>
      <c r="AB698" s="3"/>
      <c r="AC698" s="3" t="s">
        <v>82</v>
      </c>
      <c r="AD698" s="3" t="s">
        <v>83</v>
      </c>
      <c r="AE698" s="3">
        <v>15</v>
      </c>
      <c r="AF698" s="3" t="s">
        <v>151</v>
      </c>
      <c r="AG698" s="3" t="s">
        <v>309</v>
      </c>
      <c r="AH698" s="3"/>
    </row>
    <row r="699" spans="1:34" ht="14.25" customHeight="1" x14ac:dyDescent="0.25">
      <c r="A699" s="3" t="s">
        <v>169</v>
      </c>
      <c r="B699" s="3" t="s">
        <v>79</v>
      </c>
      <c r="C699" s="3"/>
      <c r="D699" s="3" t="s">
        <v>117</v>
      </c>
      <c r="E699" s="3">
        <v>1</v>
      </c>
      <c r="F699" s="3">
        <v>1</v>
      </c>
      <c r="G699" s="3" t="s">
        <v>16</v>
      </c>
      <c r="H699" s="11">
        <v>45869</v>
      </c>
      <c r="I699" s="3" t="s">
        <v>170</v>
      </c>
      <c r="J699" s="3">
        <v>3</v>
      </c>
      <c r="K699" s="3">
        <v>0</v>
      </c>
      <c r="L699" s="3">
        <v>3</v>
      </c>
      <c r="M699" s="3">
        <v>0</v>
      </c>
      <c r="N699" s="3">
        <v>4</v>
      </c>
      <c r="O699" s="3">
        <f t="shared" si="124"/>
        <v>10</v>
      </c>
      <c r="P699" s="3">
        <v>5</v>
      </c>
      <c r="Q699" s="3">
        <v>5</v>
      </c>
      <c r="R699" s="3">
        <v>5</v>
      </c>
      <c r="S699" s="3">
        <v>5</v>
      </c>
      <c r="T699" s="3">
        <v>3</v>
      </c>
      <c r="U699" s="3">
        <f t="shared" si="125"/>
        <v>23</v>
      </c>
      <c r="V699" s="13">
        <f t="shared" si="126"/>
        <v>0.13043478260869565</v>
      </c>
      <c r="W699" s="13">
        <f t="shared" si="119"/>
        <v>0.43478260869565216</v>
      </c>
      <c r="X699" s="3">
        <f t="shared" si="127"/>
        <v>23</v>
      </c>
      <c r="Y699" s="3">
        <f t="shared" si="120"/>
        <v>3.6231884057971015E-3</v>
      </c>
      <c r="Z699" s="3"/>
      <c r="AA699" s="3">
        <f t="shared" si="132"/>
        <v>120</v>
      </c>
      <c r="AB699" s="3"/>
      <c r="AC699" s="3" t="s">
        <v>82</v>
      </c>
      <c r="AD699" s="3" t="s">
        <v>83</v>
      </c>
      <c r="AE699" s="3">
        <v>15</v>
      </c>
      <c r="AF699" s="3" t="s">
        <v>151</v>
      </c>
      <c r="AG699" s="3" t="s">
        <v>309</v>
      </c>
      <c r="AH699" s="3"/>
    </row>
    <row r="700" spans="1:34" ht="14.25" customHeight="1" x14ac:dyDescent="0.25">
      <c r="A700" s="3" t="s">
        <v>127</v>
      </c>
      <c r="B700" s="3" t="s">
        <v>79</v>
      </c>
      <c r="C700" s="3"/>
      <c r="D700" s="3" t="s">
        <v>117</v>
      </c>
      <c r="E700" s="3">
        <v>1</v>
      </c>
      <c r="F700" s="3">
        <v>1</v>
      </c>
      <c r="G700" s="3" t="s">
        <v>1</v>
      </c>
      <c r="H700" s="11">
        <v>45869</v>
      </c>
      <c r="I700" s="3" t="s">
        <v>170</v>
      </c>
      <c r="J700" s="3">
        <f>10+5+5+8+5</f>
        <v>33</v>
      </c>
      <c r="K700" s="3">
        <f>6+5+10+6</f>
        <v>27</v>
      </c>
      <c r="L700" s="3">
        <f>8+8+5+5+6</f>
        <v>32</v>
      </c>
      <c r="M700" s="3">
        <f>5+5+8+5</f>
        <v>23</v>
      </c>
      <c r="N700" s="3">
        <f>5+7+5</f>
        <v>17</v>
      </c>
      <c r="O700" s="3">
        <f t="shared" si="124"/>
        <v>132</v>
      </c>
      <c r="P700" s="3">
        <v>5</v>
      </c>
      <c r="Q700" s="3">
        <v>5</v>
      </c>
      <c r="R700" s="3">
        <v>5</v>
      </c>
      <c r="S700" s="3">
        <v>4</v>
      </c>
      <c r="T700" s="3">
        <v>3</v>
      </c>
      <c r="U700" s="3">
        <f t="shared" si="125"/>
        <v>22</v>
      </c>
      <c r="V700" s="13">
        <f t="shared" si="126"/>
        <v>0.13636363636363635</v>
      </c>
      <c r="W700" s="13">
        <f t="shared" si="119"/>
        <v>6</v>
      </c>
      <c r="X700" s="3">
        <f t="shared" si="127"/>
        <v>22</v>
      </c>
      <c r="Y700" s="3">
        <f t="shared" si="120"/>
        <v>2.7272727272727271E-2</v>
      </c>
      <c r="Z700" s="3"/>
      <c r="AA700" s="3">
        <f t="shared" ref="AA700:AA704" si="133">10*2*11</f>
        <v>220</v>
      </c>
      <c r="AB700" s="3"/>
      <c r="AC700" s="3" t="s">
        <v>82</v>
      </c>
      <c r="AD700" s="3" t="s">
        <v>83</v>
      </c>
      <c r="AE700" s="3">
        <v>40</v>
      </c>
      <c r="AF700" s="3" t="s">
        <v>151</v>
      </c>
      <c r="AG700" s="3" t="s">
        <v>310</v>
      </c>
      <c r="AH700" s="3"/>
    </row>
    <row r="701" spans="1:34" ht="14.25" customHeight="1" x14ac:dyDescent="0.25">
      <c r="A701" s="3" t="s">
        <v>127</v>
      </c>
      <c r="B701" s="3" t="s">
        <v>79</v>
      </c>
      <c r="C701" s="3"/>
      <c r="D701" s="3" t="s">
        <v>117</v>
      </c>
      <c r="E701" s="3">
        <v>1</v>
      </c>
      <c r="F701" s="3">
        <v>1</v>
      </c>
      <c r="G701" s="3" t="s">
        <v>3</v>
      </c>
      <c r="H701" s="11">
        <v>45869</v>
      </c>
      <c r="I701" s="3" t="s">
        <v>170</v>
      </c>
      <c r="J701" s="3">
        <f>20+16+10+12+10</f>
        <v>68</v>
      </c>
      <c r="K701" s="3">
        <f>17+10+8+14</f>
        <v>49</v>
      </c>
      <c r="L701" s="3">
        <f>16+10+14+8+8</f>
        <v>56</v>
      </c>
      <c r="M701" s="3">
        <f>12+9+15+7</f>
        <v>43</v>
      </c>
      <c r="N701" s="3">
        <f>13+9+6</f>
        <v>28</v>
      </c>
      <c r="O701" s="3">
        <f t="shared" si="124"/>
        <v>244</v>
      </c>
      <c r="P701" s="3">
        <v>5</v>
      </c>
      <c r="Q701" s="3">
        <v>5</v>
      </c>
      <c r="R701" s="3">
        <v>5</v>
      </c>
      <c r="S701" s="3">
        <v>4</v>
      </c>
      <c r="T701" s="3">
        <v>3</v>
      </c>
      <c r="U701" s="3">
        <f t="shared" si="125"/>
        <v>22</v>
      </c>
      <c r="V701" s="13">
        <f t="shared" si="126"/>
        <v>0.13636363636363635</v>
      </c>
      <c r="W701" s="13">
        <f t="shared" si="119"/>
        <v>11.090909090909092</v>
      </c>
      <c r="X701" s="3">
        <f t="shared" si="127"/>
        <v>22</v>
      </c>
      <c r="Y701" s="3">
        <f t="shared" si="120"/>
        <v>5.0413223140495872E-2</v>
      </c>
      <c r="Z701" s="3"/>
      <c r="AA701" s="3">
        <f t="shared" si="133"/>
        <v>220</v>
      </c>
      <c r="AB701" s="3"/>
      <c r="AC701" s="3" t="s">
        <v>82</v>
      </c>
      <c r="AD701" s="3" t="s">
        <v>83</v>
      </c>
      <c r="AE701" s="3">
        <v>40</v>
      </c>
      <c r="AF701" s="3" t="s">
        <v>151</v>
      </c>
      <c r="AG701" s="3" t="s">
        <v>310</v>
      </c>
      <c r="AH701" s="3"/>
    </row>
    <row r="702" spans="1:34" ht="14.25" customHeight="1" x14ac:dyDescent="0.25">
      <c r="A702" s="3" t="s">
        <v>127</v>
      </c>
      <c r="B702" s="3" t="s">
        <v>79</v>
      </c>
      <c r="C702" s="3"/>
      <c r="D702" s="3" t="s">
        <v>117</v>
      </c>
      <c r="E702" s="3">
        <v>1</v>
      </c>
      <c r="F702" s="3">
        <v>1</v>
      </c>
      <c r="G702" s="3" t="s">
        <v>14</v>
      </c>
      <c r="H702" s="11">
        <v>45869</v>
      </c>
      <c r="I702" s="3" t="s">
        <v>170</v>
      </c>
      <c r="J702" s="3">
        <v>5</v>
      </c>
      <c r="K702" s="3">
        <v>4</v>
      </c>
      <c r="L702" s="3">
        <v>0</v>
      </c>
      <c r="M702" s="3">
        <v>0</v>
      </c>
      <c r="N702" s="3">
        <v>0</v>
      </c>
      <c r="O702" s="3">
        <f t="shared" si="124"/>
        <v>9</v>
      </c>
      <c r="P702" s="3">
        <v>5</v>
      </c>
      <c r="Q702" s="3">
        <v>5</v>
      </c>
      <c r="R702" s="3">
        <v>5</v>
      </c>
      <c r="S702" s="3">
        <v>4</v>
      </c>
      <c r="T702" s="3">
        <v>3</v>
      </c>
      <c r="U702" s="3">
        <f t="shared" si="125"/>
        <v>22</v>
      </c>
      <c r="V702" s="13">
        <f t="shared" si="126"/>
        <v>0.13636363636363635</v>
      </c>
      <c r="W702" s="13">
        <f t="shared" si="119"/>
        <v>0.40909090909090912</v>
      </c>
      <c r="X702" s="3">
        <f t="shared" si="127"/>
        <v>22</v>
      </c>
      <c r="Y702" s="3">
        <f t="shared" si="120"/>
        <v>1.859504132231405E-3</v>
      </c>
      <c r="Z702" s="3"/>
      <c r="AA702" s="3">
        <f t="shared" si="133"/>
        <v>220</v>
      </c>
      <c r="AB702" s="3"/>
      <c r="AC702" s="3" t="s">
        <v>82</v>
      </c>
      <c r="AD702" s="3" t="s">
        <v>83</v>
      </c>
      <c r="AE702" s="3">
        <v>40</v>
      </c>
      <c r="AF702" s="3" t="s">
        <v>151</v>
      </c>
      <c r="AG702" s="3" t="s">
        <v>310</v>
      </c>
      <c r="AH702" s="3"/>
    </row>
    <row r="703" spans="1:34" ht="14.25" customHeight="1" x14ac:dyDescent="0.25">
      <c r="A703" s="3" t="s">
        <v>127</v>
      </c>
      <c r="B703" s="3" t="s">
        <v>79</v>
      </c>
      <c r="C703" s="3"/>
      <c r="D703" s="3" t="s">
        <v>117</v>
      </c>
      <c r="E703" s="3">
        <v>1</v>
      </c>
      <c r="F703" s="3">
        <v>1</v>
      </c>
      <c r="G703" s="3" t="s">
        <v>16</v>
      </c>
      <c r="H703" s="11">
        <v>45869</v>
      </c>
      <c r="I703" s="3" t="s">
        <v>170</v>
      </c>
      <c r="J703" s="3">
        <v>5</v>
      </c>
      <c r="K703" s="3">
        <v>7</v>
      </c>
      <c r="L703" s="3">
        <v>0</v>
      </c>
      <c r="M703" s="3">
        <v>5</v>
      </c>
      <c r="N703" s="3">
        <v>0</v>
      </c>
      <c r="O703" s="3">
        <f t="shared" si="124"/>
        <v>17</v>
      </c>
      <c r="P703" s="3">
        <v>5</v>
      </c>
      <c r="Q703" s="3">
        <v>5</v>
      </c>
      <c r="R703" s="3">
        <v>5</v>
      </c>
      <c r="S703" s="3">
        <v>4</v>
      </c>
      <c r="T703" s="3">
        <v>3</v>
      </c>
      <c r="U703" s="3">
        <f t="shared" si="125"/>
        <v>22</v>
      </c>
      <c r="V703" s="13">
        <f t="shared" si="126"/>
        <v>0.13636363636363635</v>
      </c>
      <c r="W703" s="13">
        <f t="shared" si="119"/>
        <v>0.77272727272727271</v>
      </c>
      <c r="X703" s="3">
        <f t="shared" si="127"/>
        <v>22</v>
      </c>
      <c r="Y703" s="3">
        <f t="shared" si="120"/>
        <v>3.5123966942148758E-3</v>
      </c>
      <c r="Z703" s="3"/>
      <c r="AA703" s="3">
        <f t="shared" si="133"/>
        <v>220</v>
      </c>
      <c r="AB703" s="3"/>
      <c r="AC703" s="3" t="s">
        <v>82</v>
      </c>
      <c r="AD703" s="3" t="s">
        <v>83</v>
      </c>
      <c r="AE703" s="3">
        <v>40</v>
      </c>
      <c r="AF703" s="3" t="s">
        <v>151</v>
      </c>
      <c r="AG703" s="3" t="s">
        <v>310</v>
      </c>
      <c r="AH703" s="3"/>
    </row>
    <row r="704" spans="1:34" ht="14.25" customHeight="1" x14ac:dyDescent="0.25">
      <c r="A704" s="3" t="s">
        <v>127</v>
      </c>
      <c r="B704" s="3" t="s">
        <v>79</v>
      </c>
      <c r="C704" s="3"/>
      <c r="D704" s="3" t="s">
        <v>117</v>
      </c>
      <c r="E704" s="3">
        <v>1</v>
      </c>
      <c r="F704" s="3">
        <v>1</v>
      </c>
      <c r="G704" s="3" t="s">
        <v>18</v>
      </c>
      <c r="H704" s="11">
        <v>45869</v>
      </c>
      <c r="I704" s="3" t="s">
        <v>170</v>
      </c>
      <c r="J704" s="3">
        <v>3</v>
      </c>
      <c r="K704" s="3">
        <v>0</v>
      </c>
      <c r="L704" s="3">
        <v>5</v>
      </c>
      <c r="M704" s="3">
        <v>3</v>
      </c>
      <c r="N704" s="3">
        <v>0</v>
      </c>
      <c r="O704" s="3">
        <f t="shared" si="124"/>
        <v>11</v>
      </c>
      <c r="P704" s="3">
        <v>5</v>
      </c>
      <c r="Q704" s="3">
        <v>5</v>
      </c>
      <c r="R704" s="3">
        <v>5</v>
      </c>
      <c r="S704" s="3">
        <v>4</v>
      </c>
      <c r="T704" s="3">
        <v>3</v>
      </c>
      <c r="U704" s="3">
        <f t="shared" si="125"/>
        <v>22</v>
      </c>
      <c r="V704" s="13">
        <f t="shared" si="126"/>
        <v>0.13636363636363635</v>
      </c>
      <c r="W704" s="13">
        <f t="shared" si="119"/>
        <v>0.5</v>
      </c>
      <c r="X704" s="3">
        <f t="shared" si="127"/>
        <v>22</v>
      </c>
      <c r="Y704" s="3">
        <f t="shared" si="120"/>
        <v>2.2727272727272726E-3</v>
      </c>
      <c r="Z704" s="3"/>
      <c r="AA704" s="3">
        <f t="shared" si="133"/>
        <v>220</v>
      </c>
      <c r="AB704" s="3"/>
      <c r="AC704" s="3" t="s">
        <v>82</v>
      </c>
      <c r="AD704" s="3" t="s">
        <v>83</v>
      </c>
      <c r="AE704" s="3">
        <v>40</v>
      </c>
      <c r="AF704" s="3" t="s">
        <v>151</v>
      </c>
      <c r="AG704" s="3" t="s">
        <v>310</v>
      </c>
      <c r="AH704" s="3"/>
    </row>
    <row r="705" spans="1:34" ht="14.25" customHeight="1" x14ac:dyDescent="0.25">
      <c r="A705" s="3" t="s">
        <v>132</v>
      </c>
      <c r="B705" s="3" t="s">
        <v>79</v>
      </c>
      <c r="C705" s="3"/>
      <c r="D705" s="3" t="s">
        <v>117</v>
      </c>
      <c r="E705" s="3">
        <v>1</v>
      </c>
      <c r="F705" s="3">
        <v>1</v>
      </c>
      <c r="G705" s="3" t="s">
        <v>1</v>
      </c>
      <c r="H705" s="11">
        <v>45869</v>
      </c>
      <c r="I705" s="3" t="s">
        <v>170</v>
      </c>
      <c r="J705" s="3">
        <f>10+8+5+6</f>
        <v>29</v>
      </c>
      <c r="K705" s="3">
        <f t="shared" ref="K705:L705" si="134">10+6+6+8</f>
        <v>30</v>
      </c>
      <c r="L705" s="3">
        <f t="shared" si="134"/>
        <v>30</v>
      </c>
      <c r="M705" s="3">
        <f>5+8+5+7</f>
        <v>25</v>
      </c>
      <c r="N705" s="3">
        <v>18</v>
      </c>
      <c r="O705" s="3">
        <f t="shared" si="124"/>
        <v>132</v>
      </c>
      <c r="P705" s="3">
        <v>4</v>
      </c>
      <c r="Q705" s="3">
        <v>4</v>
      </c>
      <c r="R705" s="3">
        <v>4</v>
      </c>
      <c r="S705" s="3">
        <v>4</v>
      </c>
      <c r="T705" s="3">
        <v>3</v>
      </c>
      <c r="U705" s="3">
        <f t="shared" si="125"/>
        <v>19</v>
      </c>
      <c r="V705" s="13">
        <f t="shared" si="126"/>
        <v>0.15789473684210525</v>
      </c>
      <c r="W705" s="13">
        <f t="shared" si="119"/>
        <v>6.9473684210526319</v>
      </c>
      <c r="X705" s="3">
        <f t="shared" si="127"/>
        <v>19</v>
      </c>
      <c r="Y705" s="3" t="e">
        <f t="shared" si="120"/>
        <v>#DIV/0!</v>
      </c>
      <c r="Z705" s="3"/>
      <c r="AA705" s="3"/>
      <c r="AB705" s="3">
        <v>120</v>
      </c>
      <c r="AC705" s="3" t="s">
        <v>82</v>
      </c>
      <c r="AD705" s="3" t="s">
        <v>83</v>
      </c>
      <c r="AE705" s="3">
        <v>15</v>
      </c>
      <c r="AF705" s="3" t="s">
        <v>151</v>
      </c>
      <c r="AG705" s="3" t="s">
        <v>251</v>
      </c>
      <c r="AH705" s="3"/>
    </row>
    <row r="706" spans="1:34" ht="14.25" customHeight="1" x14ac:dyDescent="0.25">
      <c r="A706" s="3" t="s">
        <v>132</v>
      </c>
      <c r="B706" s="3" t="s">
        <v>79</v>
      </c>
      <c r="C706" s="3"/>
      <c r="D706" s="3" t="s">
        <v>117</v>
      </c>
      <c r="E706" s="3">
        <v>1</v>
      </c>
      <c r="F706" s="3">
        <v>1</v>
      </c>
      <c r="G706" s="3" t="s">
        <v>16</v>
      </c>
      <c r="H706" s="11">
        <v>45869</v>
      </c>
      <c r="I706" s="3" t="s">
        <v>170</v>
      </c>
      <c r="J706" s="3">
        <v>4</v>
      </c>
      <c r="K706" s="3">
        <v>3</v>
      </c>
      <c r="L706" s="3">
        <v>5</v>
      </c>
      <c r="M706" s="3">
        <v>0</v>
      </c>
      <c r="N706" s="3">
        <v>4</v>
      </c>
      <c r="O706" s="3">
        <f t="shared" si="124"/>
        <v>16</v>
      </c>
      <c r="P706" s="3">
        <v>4</v>
      </c>
      <c r="Q706" s="3">
        <v>4</v>
      </c>
      <c r="R706" s="3">
        <v>4</v>
      </c>
      <c r="S706" s="3">
        <v>4</v>
      </c>
      <c r="T706" s="3">
        <v>3</v>
      </c>
      <c r="U706" s="3">
        <f t="shared" si="125"/>
        <v>19</v>
      </c>
      <c r="V706" s="13">
        <f t="shared" si="126"/>
        <v>0.15789473684210525</v>
      </c>
      <c r="W706" s="13">
        <f t="shared" si="119"/>
        <v>0.84210526315789469</v>
      </c>
      <c r="X706" s="3">
        <f t="shared" si="127"/>
        <v>19</v>
      </c>
      <c r="Y706" s="3" t="e">
        <f t="shared" si="120"/>
        <v>#DIV/0!</v>
      </c>
      <c r="Z706" s="3"/>
      <c r="AA706" s="3"/>
      <c r="AB706" s="3">
        <v>120</v>
      </c>
      <c r="AC706" s="3" t="s">
        <v>82</v>
      </c>
      <c r="AD706" s="3" t="s">
        <v>83</v>
      </c>
      <c r="AE706" s="3">
        <v>15</v>
      </c>
      <c r="AF706" s="3" t="s">
        <v>151</v>
      </c>
      <c r="AG706" s="3" t="s">
        <v>251</v>
      </c>
      <c r="AH706" s="3"/>
    </row>
    <row r="707" spans="1:34" ht="14.25" customHeight="1" x14ac:dyDescent="0.25">
      <c r="A707" s="3" t="s">
        <v>132</v>
      </c>
      <c r="B707" s="3" t="s">
        <v>79</v>
      </c>
      <c r="C707" s="3"/>
      <c r="D707" s="3" t="s">
        <v>117</v>
      </c>
      <c r="E707" s="3">
        <v>1</v>
      </c>
      <c r="F707" s="3">
        <v>1</v>
      </c>
      <c r="G707" s="3" t="s">
        <v>22</v>
      </c>
      <c r="H707" s="11">
        <v>45869</v>
      </c>
      <c r="I707" s="3" t="s">
        <v>170</v>
      </c>
      <c r="J707" s="3">
        <v>5</v>
      </c>
      <c r="K707" s="3">
        <v>0</v>
      </c>
      <c r="L707" s="3">
        <v>3</v>
      </c>
      <c r="M707" s="3">
        <v>3</v>
      </c>
      <c r="N707" s="3">
        <v>0</v>
      </c>
      <c r="O707" s="3">
        <f t="shared" si="124"/>
        <v>11</v>
      </c>
      <c r="P707" s="3">
        <v>4</v>
      </c>
      <c r="Q707" s="3">
        <v>4</v>
      </c>
      <c r="R707" s="3">
        <v>4</v>
      </c>
      <c r="S707" s="3">
        <v>4</v>
      </c>
      <c r="T707" s="3">
        <v>3</v>
      </c>
      <c r="U707" s="3">
        <f t="shared" si="125"/>
        <v>19</v>
      </c>
      <c r="V707" s="13">
        <f t="shared" si="126"/>
        <v>0.15789473684210525</v>
      </c>
      <c r="W707" s="13">
        <f t="shared" ref="W707:W770" si="135">O707/U707/F707</f>
        <v>0.57894736842105265</v>
      </c>
      <c r="X707" s="3">
        <f t="shared" si="127"/>
        <v>19</v>
      </c>
      <c r="Y707" s="3" t="e">
        <f t="shared" ref="Y707:Y770" si="136">O707/U707/AA707</f>
        <v>#DIV/0!</v>
      </c>
      <c r="Z707" s="3"/>
      <c r="AA707" s="3"/>
      <c r="AB707" s="3">
        <v>120</v>
      </c>
      <c r="AC707" s="3" t="s">
        <v>82</v>
      </c>
      <c r="AD707" s="3" t="s">
        <v>83</v>
      </c>
      <c r="AE707" s="3">
        <v>15</v>
      </c>
      <c r="AF707" s="3" t="s">
        <v>151</v>
      </c>
      <c r="AG707" s="3" t="s">
        <v>251</v>
      </c>
      <c r="AH707" s="3"/>
    </row>
    <row r="708" spans="1:34" ht="14.25" customHeight="1" x14ac:dyDescent="0.25">
      <c r="A708" s="3" t="s">
        <v>124</v>
      </c>
      <c r="B708" s="3" t="s">
        <v>79</v>
      </c>
      <c r="C708" s="3"/>
      <c r="D708" s="3" t="s">
        <v>121</v>
      </c>
      <c r="E708" s="3">
        <v>1</v>
      </c>
      <c r="F708" s="3">
        <v>1</v>
      </c>
      <c r="G708" s="3" t="s">
        <v>1</v>
      </c>
      <c r="H708" s="11">
        <v>45869</v>
      </c>
      <c r="I708" s="3" t="s">
        <v>170</v>
      </c>
      <c r="J708" s="3">
        <f>5+10+6</f>
        <v>21</v>
      </c>
      <c r="K708" s="3">
        <f>8+10+15</f>
        <v>33</v>
      </c>
      <c r="L708" s="3">
        <v>0</v>
      </c>
      <c r="M708" s="3">
        <v>0</v>
      </c>
      <c r="N708" s="3">
        <f>8+5+10</f>
        <v>23</v>
      </c>
      <c r="O708" s="3">
        <f t="shared" si="124"/>
        <v>77</v>
      </c>
      <c r="P708" s="3">
        <v>3</v>
      </c>
      <c r="Q708" s="3">
        <v>3</v>
      </c>
      <c r="R708" s="3">
        <v>0</v>
      </c>
      <c r="S708" s="3">
        <v>0</v>
      </c>
      <c r="T708" s="3">
        <v>3</v>
      </c>
      <c r="U708" s="3">
        <f t="shared" si="125"/>
        <v>9</v>
      </c>
      <c r="V708" s="13">
        <f t="shared" si="126"/>
        <v>0.33333333333333331</v>
      </c>
      <c r="W708" s="13">
        <f t="shared" si="135"/>
        <v>8.5555555555555554</v>
      </c>
      <c r="X708" s="3">
        <f t="shared" si="127"/>
        <v>9</v>
      </c>
      <c r="Y708" s="3">
        <f t="shared" si="136"/>
        <v>2.0969498910675382E-2</v>
      </c>
      <c r="Z708" s="3"/>
      <c r="AA708" s="3">
        <f t="shared" ref="AA708:AA710" si="137">10*2*6+12*2*12</f>
        <v>408</v>
      </c>
      <c r="AB708" s="3"/>
      <c r="AC708" s="3" t="s">
        <v>82</v>
      </c>
      <c r="AD708" s="3" t="s">
        <v>83</v>
      </c>
      <c r="AE708" s="3">
        <v>15</v>
      </c>
      <c r="AF708" s="3" t="s">
        <v>151</v>
      </c>
      <c r="AG708" s="3" t="s">
        <v>284</v>
      </c>
      <c r="AH708" s="3"/>
    </row>
    <row r="709" spans="1:34" ht="14.25" customHeight="1" x14ac:dyDescent="0.25">
      <c r="A709" s="3" t="s">
        <v>124</v>
      </c>
      <c r="B709" s="3" t="s">
        <v>79</v>
      </c>
      <c r="C709" s="3"/>
      <c r="D709" s="3" t="s">
        <v>121</v>
      </c>
      <c r="E709" s="3">
        <v>1</v>
      </c>
      <c r="F709" s="3">
        <v>1</v>
      </c>
      <c r="G709" s="3" t="s">
        <v>3</v>
      </c>
      <c r="H709" s="11">
        <v>45869</v>
      </c>
      <c r="I709" s="3" t="s">
        <v>170</v>
      </c>
      <c r="J709" s="3">
        <f>8+16+15</f>
        <v>39</v>
      </c>
      <c r="K709" s="3">
        <f>12+8+8</f>
        <v>28</v>
      </c>
      <c r="L709" s="3">
        <v>0</v>
      </c>
      <c r="M709" s="3">
        <v>0</v>
      </c>
      <c r="N709" s="3">
        <f>12+15+12</f>
        <v>39</v>
      </c>
      <c r="O709" s="3">
        <f t="shared" si="124"/>
        <v>106</v>
      </c>
      <c r="P709" s="3">
        <v>3</v>
      </c>
      <c r="Q709" s="3">
        <v>3</v>
      </c>
      <c r="R709" s="3">
        <v>0</v>
      </c>
      <c r="S709" s="3">
        <v>0</v>
      </c>
      <c r="T709" s="3">
        <v>3</v>
      </c>
      <c r="U709" s="3">
        <f t="shared" si="125"/>
        <v>9</v>
      </c>
      <c r="V709" s="13">
        <f t="shared" si="126"/>
        <v>0.33333333333333331</v>
      </c>
      <c r="W709" s="13">
        <f t="shared" si="135"/>
        <v>11.777777777777779</v>
      </c>
      <c r="X709" s="3">
        <f t="shared" si="127"/>
        <v>9</v>
      </c>
      <c r="Y709" s="3">
        <f t="shared" si="136"/>
        <v>2.8867102396514164E-2</v>
      </c>
      <c r="Z709" s="3"/>
      <c r="AA709" s="3">
        <f t="shared" si="137"/>
        <v>408</v>
      </c>
      <c r="AB709" s="3"/>
      <c r="AC709" s="3" t="s">
        <v>82</v>
      </c>
      <c r="AD709" s="3" t="s">
        <v>83</v>
      </c>
      <c r="AE709" s="3">
        <v>15</v>
      </c>
      <c r="AF709" s="3" t="s">
        <v>151</v>
      </c>
      <c r="AG709" s="3" t="s">
        <v>284</v>
      </c>
      <c r="AH709" s="3"/>
    </row>
    <row r="710" spans="1:34" ht="14.25" customHeight="1" x14ac:dyDescent="0.25">
      <c r="A710" s="3" t="s">
        <v>124</v>
      </c>
      <c r="B710" s="3" t="s">
        <v>79</v>
      </c>
      <c r="C710" s="3"/>
      <c r="D710" s="3" t="s">
        <v>121</v>
      </c>
      <c r="E710" s="3">
        <v>1</v>
      </c>
      <c r="F710" s="3">
        <v>1</v>
      </c>
      <c r="G710" s="3" t="s">
        <v>22</v>
      </c>
      <c r="H710" s="11">
        <v>45869</v>
      </c>
      <c r="I710" s="3" t="s">
        <v>170</v>
      </c>
      <c r="J710" s="3">
        <v>5</v>
      </c>
      <c r="K710" s="3">
        <v>6</v>
      </c>
      <c r="L710" s="3">
        <v>0</v>
      </c>
      <c r="M710" s="3">
        <v>0</v>
      </c>
      <c r="N710" s="3">
        <v>0</v>
      </c>
      <c r="O710" s="3">
        <f t="shared" si="124"/>
        <v>11</v>
      </c>
      <c r="P710" s="3">
        <v>3</v>
      </c>
      <c r="Q710" s="3">
        <v>3</v>
      </c>
      <c r="R710" s="3">
        <v>0</v>
      </c>
      <c r="S710" s="3">
        <v>0</v>
      </c>
      <c r="T710" s="3">
        <v>3</v>
      </c>
      <c r="U710" s="3">
        <f t="shared" si="125"/>
        <v>9</v>
      </c>
      <c r="V710" s="13">
        <f t="shared" si="126"/>
        <v>0.33333333333333331</v>
      </c>
      <c r="W710" s="13">
        <f t="shared" si="135"/>
        <v>1.2222222222222223</v>
      </c>
      <c r="X710" s="3">
        <f t="shared" si="127"/>
        <v>9</v>
      </c>
      <c r="Y710" s="3">
        <f t="shared" si="136"/>
        <v>2.9956427015250548E-3</v>
      </c>
      <c r="Z710" s="3"/>
      <c r="AA710" s="3">
        <f t="shared" si="137"/>
        <v>408</v>
      </c>
      <c r="AB710" s="3"/>
      <c r="AC710" s="3" t="s">
        <v>82</v>
      </c>
      <c r="AD710" s="3" t="s">
        <v>83</v>
      </c>
      <c r="AE710" s="3">
        <v>15</v>
      </c>
      <c r="AF710" s="3" t="s">
        <v>151</v>
      </c>
      <c r="AG710" s="3" t="s">
        <v>284</v>
      </c>
      <c r="AH710" s="3"/>
    </row>
    <row r="711" spans="1:34" ht="14.25" customHeight="1" x14ac:dyDescent="0.25">
      <c r="A711" s="3" t="s">
        <v>130</v>
      </c>
      <c r="B711" s="3" t="s">
        <v>79</v>
      </c>
      <c r="C711" s="3"/>
      <c r="D711" s="3" t="s">
        <v>117</v>
      </c>
      <c r="E711" s="3">
        <v>1</v>
      </c>
      <c r="F711" s="3">
        <v>1</v>
      </c>
      <c r="G711" s="3" t="s">
        <v>3</v>
      </c>
      <c r="H711" s="11">
        <v>45869</v>
      </c>
      <c r="I711" s="3" t="s">
        <v>170</v>
      </c>
      <c r="J711" s="3">
        <f>22+36</f>
        <v>58</v>
      </c>
      <c r="K711" s="3">
        <v>0</v>
      </c>
      <c r="L711" s="3">
        <f>28+5</f>
        <v>33</v>
      </c>
      <c r="M711" s="3">
        <v>0</v>
      </c>
      <c r="N711" s="3">
        <f>32+26+12</f>
        <v>70</v>
      </c>
      <c r="O711" s="3">
        <f t="shared" si="124"/>
        <v>161</v>
      </c>
      <c r="P711" s="3">
        <v>2</v>
      </c>
      <c r="Q711" s="3">
        <v>0</v>
      </c>
      <c r="R711" s="3">
        <v>2</v>
      </c>
      <c r="S711" s="3">
        <v>0</v>
      </c>
      <c r="T711" s="3">
        <v>3</v>
      </c>
      <c r="U711" s="3">
        <f t="shared" si="125"/>
        <v>7</v>
      </c>
      <c r="V711" s="13">
        <f t="shared" si="126"/>
        <v>0.42857142857142855</v>
      </c>
      <c r="W711" s="13">
        <f t="shared" si="135"/>
        <v>23</v>
      </c>
      <c r="X711" s="3">
        <f t="shared" si="127"/>
        <v>7</v>
      </c>
      <c r="Y711" s="3">
        <f t="shared" si="136"/>
        <v>7.8767123287671229E-2</v>
      </c>
      <c r="Z711" s="3"/>
      <c r="AA711" s="3">
        <f>10*2*5+12*2*8</f>
        <v>292</v>
      </c>
      <c r="AB711" s="3"/>
      <c r="AC711" s="3" t="s">
        <v>82</v>
      </c>
      <c r="AD711" s="3" t="s">
        <v>83</v>
      </c>
      <c r="AE711" s="3">
        <v>15</v>
      </c>
      <c r="AF711" s="3" t="s">
        <v>151</v>
      </c>
      <c r="AG711" s="3" t="s">
        <v>297</v>
      </c>
      <c r="AH711" s="3"/>
    </row>
    <row r="712" spans="1:34" ht="14.25" customHeight="1" x14ac:dyDescent="0.25">
      <c r="A712" s="3" t="s">
        <v>165</v>
      </c>
      <c r="B712" s="3" t="s">
        <v>79</v>
      </c>
      <c r="C712" s="3"/>
      <c r="D712" s="3" t="s">
        <v>121</v>
      </c>
      <c r="E712" s="3">
        <v>1</v>
      </c>
      <c r="F712" s="3">
        <v>1</v>
      </c>
      <c r="G712" s="3" t="s">
        <v>1</v>
      </c>
      <c r="H712" s="11">
        <v>45869</v>
      </c>
      <c r="I712" s="3" t="s">
        <v>170</v>
      </c>
      <c r="J712" s="3">
        <f>7+5+10+8+12</f>
        <v>42</v>
      </c>
      <c r="K712" s="3">
        <f>6+5+11+10+8</f>
        <v>40</v>
      </c>
      <c r="L712" s="3">
        <f>6+5+8+8+6+5</f>
        <v>38</v>
      </c>
      <c r="M712" s="3">
        <f>10+6+6+8</f>
        <v>30</v>
      </c>
      <c r="N712" s="3">
        <f>7+5+8</f>
        <v>20</v>
      </c>
      <c r="O712" s="3">
        <f t="shared" si="124"/>
        <v>170</v>
      </c>
      <c r="P712" s="3">
        <v>5</v>
      </c>
      <c r="Q712" s="3">
        <v>5</v>
      </c>
      <c r="R712" s="3">
        <v>6</v>
      </c>
      <c r="S712" s="3">
        <v>4</v>
      </c>
      <c r="T712" s="3">
        <v>3</v>
      </c>
      <c r="U712" s="3">
        <f t="shared" si="125"/>
        <v>23</v>
      </c>
      <c r="V712" s="13">
        <f t="shared" si="126"/>
        <v>0.13043478260869565</v>
      </c>
      <c r="W712" s="13">
        <f t="shared" si="135"/>
        <v>7.3913043478260869</v>
      </c>
      <c r="X712" s="3">
        <f t="shared" si="127"/>
        <v>23</v>
      </c>
      <c r="Y712" s="3" t="e">
        <f t="shared" si="136"/>
        <v>#DIV/0!</v>
      </c>
      <c r="Z712" s="3"/>
      <c r="AA712" s="3"/>
      <c r="AB712" s="3">
        <v>160</v>
      </c>
      <c r="AC712" s="3" t="s">
        <v>82</v>
      </c>
      <c r="AD712" s="3" t="s">
        <v>83</v>
      </c>
      <c r="AE712" s="3">
        <v>15</v>
      </c>
      <c r="AF712" s="3" t="s">
        <v>151</v>
      </c>
      <c r="AG712" s="3" t="s">
        <v>252</v>
      </c>
      <c r="AH712" s="3"/>
    </row>
    <row r="713" spans="1:34" ht="14.25" customHeight="1" x14ac:dyDescent="0.25">
      <c r="A713" s="3" t="s">
        <v>165</v>
      </c>
      <c r="B713" s="3" t="s">
        <v>79</v>
      </c>
      <c r="C713" s="3"/>
      <c r="D713" s="3" t="s">
        <v>121</v>
      </c>
      <c r="E713" s="3">
        <v>1</v>
      </c>
      <c r="F713" s="3">
        <v>1</v>
      </c>
      <c r="G713" s="3" t="s">
        <v>2</v>
      </c>
      <c r="H713" s="11">
        <v>45869</v>
      </c>
      <c r="I713" s="3" t="s">
        <v>170</v>
      </c>
      <c r="J713" s="3">
        <v>7</v>
      </c>
      <c r="K713" s="3">
        <v>7</v>
      </c>
      <c r="L713" s="3">
        <v>6</v>
      </c>
      <c r="M713" s="3">
        <v>7</v>
      </c>
      <c r="N713" s="3">
        <v>4</v>
      </c>
      <c r="O713" s="3">
        <f t="shared" si="124"/>
        <v>31</v>
      </c>
      <c r="P713" s="3">
        <v>5</v>
      </c>
      <c r="Q713" s="3">
        <v>5</v>
      </c>
      <c r="R713" s="3">
        <v>6</v>
      </c>
      <c r="S713" s="3">
        <v>4</v>
      </c>
      <c r="T713" s="3">
        <v>3</v>
      </c>
      <c r="U713" s="3">
        <f t="shared" si="125"/>
        <v>23</v>
      </c>
      <c r="V713" s="13">
        <f t="shared" si="126"/>
        <v>0.13043478260869565</v>
      </c>
      <c r="W713" s="13">
        <f t="shared" si="135"/>
        <v>1.3478260869565217</v>
      </c>
      <c r="X713" s="3">
        <f t="shared" si="127"/>
        <v>23</v>
      </c>
      <c r="Y713" s="3" t="e">
        <f t="shared" si="136"/>
        <v>#DIV/0!</v>
      </c>
      <c r="Z713" s="3"/>
      <c r="AA713" s="3"/>
      <c r="AB713" s="3">
        <v>160</v>
      </c>
      <c r="AC713" s="3" t="s">
        <v>82</v>
      </c>
      <c r="AD713" s="3" t="s">
        <v>83</v>
      </c>
      <c r="AE713" s="3">
        <v>15</v>
      </c>
      <c r="AF713" s="3" t="s">
        <v>151</v>
      </c>
      <c r="AG713" s="3" t="s">
        <v>252</v>
      </c>
      <c r="AH713" s="3"/>
    </row>
    <row r="714" spans="1:34" ht="14.25" customHeight="1" x14ac:dyDescent="0.25">
      <c r="A714" s="3" t="s">
        <v>165</v>
      </c>
      <c r="B714" s="3" t="s">
        <v>79</v>
      </c>
      <c r="C714" s="3"/>
      <c r="D714" s="3" t="s">
        <v>121</v>
      </c>
      <c r="E714" s="3">
        <v>1</v>
      </c>
      <c r="F714" s="3">
        <v>1</v>
      </c>
      <c r="G714" s="3" t="s">
        <v>16</v>
      </c>
      <c r="H714" s="11">
        <v>45869</v>
      </c>
      <c r="I714" s="3" t="s">
        <v>170</v>
      </c>
      <c r="J714" s="3">
        <v>3</v>
      </c>
      <c r="K714" s="3">
        <v>3</v>
      </c>
      <c r="L714" s="3">
        <v>4</v>
      </c>
      <c r="M714" s="3">
        <v>2</v>
      </c>
      <c r="N714" s="3">
        <v>0</v>
      </c>
      <c r="O714" s="3">
        <f t="shared" si="124"/>
        <v>12</v>
      </c>
      <c r="P714" s="3">
        <v>5</v>
      </c>
      <c r="Q714" s="3">
        <v>5</v>
      </c>
      <c r="R714" s="3">
        <v>6</v>
      </c>
      <c r="S714" s="3">
        <v>4</v>
      </c>
      <c r="T714" s="3">
        <v>3</v>
      </c>
      <c r="U714" s="3">
        <f t="shared" si="125"/>
        <v>23</v>
      </c>
      <c r="V714" s="13">
        <f t="shared" si="126"/>
        <v>0.13043478260869565</v>
      </c>
      <c r="W714" s="13">
        <f t="shared" si="135"/>
        <v>0.52173913043478259</v>
      </c>
      <c r="X714" s="3">
        <f t="shared" si="127"/>
        <v>23</v>
      </c>
      <c r="Y714" s="3" t="e">
        <f t="shared" si="136"/>
        <v>#DIV/0!</v>
      </c>
      <c r="Z714" s="3"/>
      <c r="AA714" s="3"/>
      <c r="AB714" s="3">
        <v>160</v>
      </c>
      <c r="AC714" s="3" t="s">
        <v>82</v>
      </c>
      <c r="AD714" s="3" t="s">
        <v>83</v>
      </c>
      <c r="AE714" s="3">
        <v>15</v>
      </c>
      <c r="AF714" s="3" t="s">
        <v>151</v>
      </c>
      <c r="AG714" s="3" t="s">
        <v>252</v>
      </c>
      <c r="AH714" s="3"/>
    </row>
    <row r="715" spans="1:34" ht="14.25" customHeight="1" x14ac:dyDescent="0.25">
      <c r="A715" s="3" t="s">
        <v>165</v>
      </c>
      <c r="B715" s="3" t="s">
        <v>79</v>
      </c>
      <c r="C715" s="3"/>
      <c r="D715" s="3" t="s">
        <v>121</v>
      </c>
      <c r="E715" s="3">
        <v>1</v>
      </c>
      <c r="F715" s="3">
        <v>1</v>
      </c>
      <c r="G715" s="3" t="s">
        <v>18</v>
      </c>
      <c r="H715" s="11">
        <v>45869</v>
      </c>
      <c r="I715" s="3" t="s">
        <v>170</v>
      </c>
      <c r="J715" s="3">
        <v>3</v>
      </c>
      <c r="K715" s="3">
        <v>3</v>
      </c>
      <c r="L715" s="3">
        <v>4</v>
      </c>
      <c r="M715" s="3">
        <v>3</v>
      </c>
      <c r="N715" s="3">
        <v>0</v>
      </c>
      <c r="O715" s="3">
        <f t="shared" si="124"/>
        <v>13</v>
      </c>
      <c r="P715" s="3">
        <v>5</v>
      </c>
      <c r="Q715" s="3">
        <v>5</v>
      </c>
      <c r="R715" s="3">
        <v>6</v>
      </c>
      <c r="S715" s="3">
        <v>4</v>
      </c>
      <c r="T715" s="3">
        <v>3</v>
      </c>
      <c r="U715" s="3">
        <f t="shared" si="125"/>
        <v>23</v>
      </c>
      <c r="V715" s="13">
        <f t="shared" si="126"/>
        <v>0.13043478260869565</v>
      </c>
      <c r="W715" s="13">
        <f t="shared" si="135"/>
        <v>0.56521739130434778</v>
      </c>
      <c r="X715" s="3">
        <f t="shared" si="127"/>
        <v>23</v>
      </c>
      <c r="Y715" s="3" t="e">
        <f t="shared" si="136"/>
        <v>#DIV/0!</v>
      </c>
      <c r="Z715" s="3"/>
      <c r="AA715" s="3"/>
      <c r="AB715" s="3">
        <v>160</v>
      </c>
      <c r="AC715" s="3" t="s">
        <v>82</v>
      </c>
      <c r="AD715" s="3" t="s">
        <v>83</v>
      </c>
      <c r="AE715" s="3">
        <v>15</v>
      </c>
      <c r="AF715" s="3" t="s">
        <v>151</v>
      </c>
      <c r="AG715" s="3" t="s">
        <v>252</v>
      </c>
      <c r="AH715" s="3"/>
    </row>
    <row r="716" spans="1:34" ht="14.25" customHeight="1" x14ac:dyDescent="0.25">
      <c r="A716" s="3" t="s">
        <v>128</v>
      </c>
      <c r="B716" s="3" t="s">
        <v>79</v>
      </c>
      <c r="C716" s="3"/>
      <c r="D716" s="3"/>
      <c r="E716" s="3">
        <v>1</v>
      </c>
      <c r="F716" s="3">
        <v>1</v>
      </c>
      <c r="G716" s="3" t="s">
        <v>16</v>
      </c>
      <c r="H716" s="11">
        <v>45869</v>
      </c>
      <c r="I716" s="3" t="s">
        <v>170</v>
      </c>
      <c r="J716" s="3">
        <f>5+6+6+8</f>
        <v>25</v>
      </c>
      <c r="K716" s="3">
        <v>17</v>
      </c>
      <c r="L716" s="3">
        <v>0</v>
      </c>
      <c r="M716" s="3">
        <f>6+11+5+3</f>
        <v>25</v>
      </c>
      <c r="N716" s="3">
        <v>6</v>
      </c>
      <c r="O716" s="3">
        <f t="shared" si="124"/>
        <v>73</v>
      </c>
      <c r="P716" s="3">
        <v>4</v>
      </c>
      <c r="Q716" s="3">
        <v>2</v>
      </c>
      <c r="R716" s="3">
        <v>0</v>
      </c>
      <c r="S716" s="3">
        <v>4</v>
      </c>
      <c r="T716" s="3">
        <v>1</v>
      </c>
      <c r="U716" s="3">
        <f t="shared" si="125"/>
        <v>11</v>
      </c>
      <c r="V716" s="13">
        <f t="shared" si="126"/>
        <v>0.27272727272727271</v>
      </c>
      <c r="W716" s="13">
        <f t="shared" si="135"/>
        <v>6.6363636363636367</v>
      </c>
      <c r="X716" s="3">
        <f t="shared" si="127"/>
        <v>11</v>
      </c>
      <c r="Y716" s="3" t="e">
        <f t="shared" si="136"/>
        <v>#DIV/0!</v>
      </c>
      <c r="Z716" s="3"/>
      <c r="AA716" s="3"/>
      <c r="AB716" s="3"/>
      <c r="AC716" s="3" t="s">
        <v>82</v>
      </c>
      <c r="AD716" s="3" t="s">
        <v>83</v>
      </c>
      <c r="AE716" s="3">
        <v>15</v>
      </c>
      <c r="AF716" s="3" t="s">
        <v>151</v>
      </c>
      <c r="AG716" s="3" t="s">
        <v>200</v>
      </c>
      <c r="AH716" s="3"/>
    </row>
    <row r="717" spans="1:34" ht="14.25" customHeight="1" x14ac:dyDescent="0.25">
      <c r="A717" s="3" t="s">
        <v>128</v>
      </c>
      <c r="B717" s="3" t="s">
        <v>79</v>
      </c>
      <c r="C717" s="3"/>
      <c r="D717" s="3"/>
      <c r="E717" s="3">
        <v>1</v>
      </c>
      <c r="F717" s="3">
        <v>1</v>
      </c>
      <c r="G717" s="3" t="s">
        <v>18</v>
      </c>
      <c r="H717" s="11">
        <v>45869</v>
      </c>
      <c r="I717" s="3" t="s">
        <v>170</v>
      </c>
      <c r="J717" s="3">
        <f>3+8+2+3</f>
        <v>16</v>
      </c>
      <c r="K717" s="3">
        <v>7</v>
      </c>
      <c r="L717" s="3">
        <v>0</v>
      </c>
      <c r="M717" s="3">
        <f>8+9+5+3</f>
        <v>25</v>
      </c>
      <c r="N717" s="3">
        <v>3</v>
      </c>
      <c r="O717" s="3">
        <f t="shared" si="124"/>
        <v>51</v>
      </c>
      <c r="P717" s="3">
        <v>4</v>
      </c>
      <c r="Q717" s="3">
        <v>2</v>
      </c>
      <c r="R717" s="3">
        <v>0</v>
      </c>
      <c r="S717" s="3">
        <v>4</v>
      </c>
      <c r="T717" s="3">
        <v>1</v>
      </c>
      <c r="U717" s="3">
        <f t="shared" si="125"/>
        <v>11</v>
      </c>
      <c r="V717" s="13">
        <f t="shared" si="126"/>
        <v>0.27272727272727271</v>
      </c>
      <c r="W717" s="13">
        <f t="shared" si="135"/>
        <v>4.6363636363636367</v>
      </c>
      <c r="X717" s="3">
        <f t="shared" si="127"/>
        <v>11</v>
      </c>
      <c r="Y717" s="3" t="e">
        <f t="shared" si="136"/>
        <v>#DIV/0!</v>
      </c>
      <c r="Z717" s="3"/>
      <c r="AA717" s="3"/>
      <c r="AB717" s="3"/>
      <c r="AC717" s="3" t="s">
        <v>82</v>
      </c>
      <c r="AD717" s="3" t="s">
        <v>83</v>
      </c>
      <c r="AE717" s="3">
        <v>15</v>
      </c>
      <c r="AF717" s="3" t="s">
        <v>151</v>
      </c>
      <c r="AG717" s="3" t="s">
        <v>200</v>
      </c>
      <c r="AH717" s="3"/>
    </row>
    <row r="718" spans="1:34" ht="14.25" customHeight="1" x14ac:dyDescent="0.25">
      <c r="A718" s="3" t="s">
        <v>119</v>
      </c>
      <c r="B718" s="3" t="s">
        <v>79</v>
      </c>
      <c r="C718" s="3"/>
      <c r="D718" s="3" t="s">
        <v>115</v>
      </c>
      <c r="E718" s="3">
        <v>1</v>
      </c>
      <c r="F718" s="3">
        <v>1</v>
      </c>
      <c r="G718" s="3" t="s">
        <v>1</v>
      </c>
      <c r="H718" s="11">
        <v>45869</v>
      </c>
      <c r="I718" s="3" t="s">
        <v>170</v>
      </c>
      <c r="J718" s="3">
        <f>8+5+15+5</f>
        <v>33</v>
      </c>
      <c r="K718" s="3">
        <v>0</v>
      </c>
      <c r="L718" s="3">
        <f>8+5+16+4</f>
        <v>33</v>
      </c>
      <c r="M718" s="3">
        <v>0</v>
      </c>
      <c r="N718" s="3">
        <v>0</v>
      </c>
      <c r="O718" s="3">
        <f t="shared" si="124"/>
        <v>66</v>
      </c>
      <c r="P718" s="3">
        <v>4</v>
      </c>
      <c r="Q718" s="3">
        <v>0</v>
      </c>
      <c r="R718" s="3">
        <v>4</v>
      </c>
      <c r="S718" s="3">
        <v>0</v>
      </c>
      <c r="T718" s="3">
        <v>0</v>
      </c>
      <c r="U718" s="3">
        <f t="shared" si="125"/>
        <v>8</v>
      </c>
      <c r="V718" s="13">
        <f t="shared" si="126"/>
        <v>0.375</v>
      </c>
      <c r="W718" s="13">
        <f t="shared" si="135"/>
        <v>8.25</v>
      </c>
      <c r="X718" s="3">
        <f t="shared" si="127"/>
        <v>8</v>
      </c>
      <c r="Y718" s="3">
        <f t="shared" si="136"/>
        <v>2.0625000000000001E-2</v>
      </c>
      <c r="Z718" s="3"/>
      <c r="AA718" s="3">
        <f t="shared" ref="AA718:AA719" si="138">10*2*20</f>
        <v>400</v>
      </c>
      <c r="AB718" s="3"/>
      <c r="AC718" s="3" t="s">
        <v>82</v>
      </c>
      <c r="AD718" s="3" t="s">
        <v>83</v>
      </c>
      <c r="AE718" s="3">
        <v>15</v>
      </c>
      <c r="AF718" s="3" t="s">
        <v>151</v>
      </c>
      <c r="AG718" s="3" t="s">
        <v>297</v>
      </c>
      <c r="AH718" s="3"/>
    </row>
    <row r="719" spans="1:34" ht="14.25" customHeight="1" x14ac:dyDescent="0.25">
      <c r="A719" s="3" t="s">
        <v>119</v>
      </c>
      <c r="B719" s="3" t="s">
        <v>79</v>
      </c>
      <c r="C719" s="3"/>
      <c r="D719" s="3" t="s">
        <v>115</v>
      </c>
      <c r="E719" s="3">
        <v>1</v>
      </c>
      <c r="F719" s="3">
        <v>1</v>
      </c>
      <c r="G719" s="3" t="s">
        <v>3</v>
      </c>
      <c r="H719" s="11">
        <v>45869</v>
      </c>
      <c r="I719" s="3" t="s">
        <v>170</v>
      </c>
      <c r="J719" s="3">
        <f>15+18+23+6</f>
        <v>62</v>
      </c>
      <c r="K719" s="3">
        <v>0</v>
      </c>
      <c r="L719" s="3">
        <f>16+11+8+6</f>
        <v>41</v>
      </c>
      <c r="M719" s="3">
        <v>0</v>
      </c>
      <c r="N719" s="3">
        <v>0</v>
      </c>
      <c r="O719" s="3">
        <f t="shared" si="124"/>
        <v>103</v>
      </c>
      <c r="P719" s="3">
        <v>4</v>
      </c>
      <c r="Q719" s="3">
        <v>0</v>
      </c>
      <c r="R719" s="3">
        <v>4</v>
      </c>
      <c r="S719" s="3">
        <v>0</v>
      </c>
      <c r="T719" s="3">
        <v>0</v>
      </c>
      <c r="U719" s="3">
        <f t="shared" si="125"/>
        <v>8</v>
      </c>
      <c r="V719" s="13">
        <f t="shared" si="126"/>
        <v>0.375</v>
      </c>
      <c r="W719" s="13">
        <f t="shared" si="135"/>
        <v>12.875</v>
      </c>
      <c r="X719" s="3">
        <f t="shared" si="127"/>
        <v>8</v>
      </c>
      <c r="Y719" s="3">
        <f t="shared" si="136"/>
        <v>3.2187500000000001E-2</v>
      </c>
      <c r="Z719" s="3"/>
      <c r="AA719" s="3">
        <f t="shared" si="138"/>
        <v>400</v>
      </c>
      <c r="AB719" s="3"/>
      <c r="AC719" s="3" t="s">
        <v>82</v>
      </c>
      <c r="AD719" s="3" t="s">
        <v>83</v>
      </c>
      <c r="AE719" s="3">
        <v>15</v>
      </c>
      <c r="AF719" s="3" t="s">
        <v>151</v>
      </c>
      <c r="AG719" s="3" t="s">
        <v>297</v>
      </c>
      <c r="AH719" s="3"/>
    </row>
    <row r="720" spans="1:34" ht="14.25" customHeight="1" x14ac:dyDescent="0.25">
      <c r="A720" s="3" t="s">
        <v>114</v>
      </c>
      <c r="B720" s="3" t="s">
        <v>79</v>
      </c>
      <c r="C720" s="3"/>
      <c r="D720" s="3" t="s">
        <v>115</v>
      </c>
      <c r="E720" s="3">
        <v>1</v>
      </c>
      <c r="F720" s="3">
        <v>1</v>
      </c>
      <c r="G720" s="3" t="s">
        <v>1</v>
      </c>
      <c r="H720" s="11">
        <v>45869</v>
      </c>
      <c r="I720" s="3" t="s">
        <v>170</v>
      </c>
      <c r="J720" s="3">
        <v>25</v>
      </c>
      <c r="K720" s="3">
        <f>8+6</f>
        <v>14</v>
      </c>
      <c r="L720" s="3">
        <v>0</v>
      </c>
      <c r="M720" s="3">
        <f>8+12+6+11</f>
        <v>37</v>
      </c>
      <c r="N720" s="3">
        <f>8+7+3</f>
        <v>18</v>
      </c>
      <c r="O720" s="3">
        <f t="shared" si="124"/>
        <v>94</v>
      </c>
      <c r="P720" s="3">
        <v>2</v>
      </c>
      <c r="Q720" s="3">
        <v>3</v>
      </c>
      <c r="R720" s="3">
        <v>0</v>
      </c>
      <c r="S720" s="3">
        <v>4</v>
      </c>
      <c r="T720" s="3">
        <v>3</v>
      </c>
      <c r="U720" s="3">
        <f t="shared" si="125"/>
        <v>12</v>
      </c>
      <c r="V720" s="13">
        <f t="shared" si="126"/>
        <v>0.25</v>
      </c>
      <c r="W720" s="13">
        <f t="shared" si="135"/>
        <v>7.833333333333333</v>
      </c>
      <c r="X720" s="3">
        <f t="shared" si="127"/>
        <v>12</v>
      </c>
      <c r="Y720" s="3" t="e">
        <f t="shared" si="136"/>
        <v>#DIV/0!</v>
      </c>
      <c r="Z720" s="3"/>
      <c r="AA720" s="3"/>
      <c r="AB720" s="3">
        <v>150</v>
      </c>
      <c r="AC720" s="3" t="s">
        <v>82</v>
      </c>
      <c r="AD720" s="3" t="s">
        <v>83</v>
      </c>
      <c r="AE720" s="3">
        <v>15</v>
      </c>
      <c r="AF720" s="3" t="s">
        <v>151</v>
      </c>
      <c r="AG720" s="3" t="s">
        <v>231</v>
      </c>
      <c r="AH720" s="3"/>
    </row>
    <row r="721" spans="1:34" ht="14.25" customHeight="1" x14ac:dyDescent="0.25">
      <c r="A721" s="3" t="s">
        <v>114</v>
      </c>
      <c r="B721" s="3" t="s">
        <v>79</v>
      </c>
      <c r="C721" s="3"/>
      <c r="D721" s="3" t="s">
        <v>115</v>
      </c>
      <c r="E721" s="3">
        <v>1</v>
      </c>
      <c r="F721" s="3">
        <v>1</v>
      </c>
      <c r="G721" s="3" t="s">
        <v>2</v>
      </c>
      <c r="H721" s="11">
        <v>45869</v>
      </c>
      <c r="I721" s="3" t="s">
        <v>170</v>
      </c>
      <c r="J721" s="3">
        <v>3</v>
      </c>
      <c r="K721" s="3">
        <v>2</v>
      </c>
      <c r="L721" s="3">
        <v>0</v>
      </c>
      <c r="M721" s="3">
        <v>0</v>
      </c>
      <c r="N721" s="3">
        <v>0</v>
      </c>
      <c r="O721" s="3">
        <f t="shared" si="124"/>
        <v>5</v>
      </c>
      <c r="P721" s="3">
        <v>2</v>
      </c>
      <c r="Q721" s="3">
        <v>3</v>
      </c>
      <c r="R721" s="3">
        <v>0</v>
      </c>
      <c r="S721" s="3">
        <v>4</v>
      </c>
      <c r="T721" s="3">
        <v>3</v>
      </c>
      <c r="U721" s="3">
        <f t="shared" si="125"/>
        <v>12</v>
      </c>
      <c r="V721" s="13">
        <f t="shared" si="126"/>
        <v>0.25</v>
      </c>
      <c r="W721" s="13">
        <f t="shared" si="135"/>
        <v>0.41666666666666669</v>
      </c>
      <c r="X721" s="3">
        <f t="shared" si="127"/>
        <v>12</v>
      </c>
      <c r="Y721" s="3" t="e">
        <f t="shared" si="136"/>
        <v>#DIV/0!</v>
      </c>
      <c r="Z721" s="3"/>
      <c r="AA721" s="3"/>
      <c r="AB721" s="3">
        <v>150</v>
      </c>
      <c r="AC721" s="3" t="s">
        <v>82</v>
      </c>
      <c r="AD721" s="3" t="s">
        <v>83</v>
      </c>
      <c r="AE721" s="3">
        <v>15</v>
      </c>
      <c r="AF721" s="3" t="s">
        <v>151</v>
      </c>
      <c r="AG721" s="3" t="s">
        <v>231</v>
      </c>
      <c r="AH721" s="3"/>
    </row>
    <row r="722" spans="1:34" ht="14.25" customHeight="1" x14ac:dyDescent="0.25">
      <c r="A722" s="3" t="s">
        <v>114</v>
      </c>
      <c r="B722" s="3" t="s">
        <v>79</v>
      </c>
      <c r="C722" s="3"/>
      <c r="D722" s="3" t="s">
        <v>115</v>
      </c>
      <c r="E722" s="3">
        <v>1</v>
      </c>
      <c r="F722" s="3">
        <v>1</v>
      </c>
      <c r="G722" s="3" t="s">
        <v>16</v>
      </c>
      <c r="H722" s="11">
        <v>45869</v>
      </c>
      <c r="I722" s="3" t="s">
        <v>170</v>
      </c>
      <c r="J722" s="3">
        <v>0</v>
      </c>
      <c r="K722" s="3">
        <v>5</v>
      </c>
      <c r="L722" s="3">
        <v>0</v>
      </c>
      <c r="M722" s="3">
        <v>0</v>
      </c>
      <c r="N722" s="3">
        <v>0</v>
      </c>
      <c r="O722" s="3">
        <f t="shared" si="124"/>
        <v>5</v>
      </c>
      <c r="P722" s="3">
        <v>2</v>
      </c>
      <c r="Q722" s="3">
        <v>3</v>
      </c>
      <c r="R722" s="3">
        <v>0</v>
      </c>
      <c r="S722" s="3">
        <v>4</v>
      </c>
      <c r="T722" s="3">
        <v>3</v>
      </c>
      <c r="U722" s="3">
        <f t="shared" si="125"/>
        <v>12</v>
      </c>
      <c r="V722" s="13">
        <f t="shared" si="126"/>
        <v>0.25</v>
      </c>
      <c r="W722" s="13">
        <f t="shared" si="135"/>
        <v>0.41666666666666669</v>
      </c>
      <c r="X722" s="3">
        <f t="shared" si="127"/>
        <v>12</v>
      </c>
      <c r="Y722" s="3" t="e">
        <f t="shared" si="136"/>
        <v>#DIV/0!</v>
      </c>
      <c r="Z722" s="3"/>
      <c r="AA722" s="3"/>
      <c r="AB722" s="3">
        <v>150</v>
      </c>
      <c r="AC722" s="3" t="s">
        <v>82</v>
      </c>
      <c r="AD722" s="3" t="s">
        <v>83</v>
      </c>
      <c r="AE722" s="3">
        <v>15</v>
      </c>
      <c r="AF722" s="3" t="s">
        <v>151</v>
      </c>
      <c r="AG722" s="3" t="s">
        <v>231</v>
      </c>
      <c r="AH722" s="3"/>
    </row>
    <row r="723" spans="1:34" ht="14.25" customHeight="1" x14ac:dyDescent="0.25">
      <c r="A723" s="3" t="s">
        <v>114</v>
      </c>
      <c r="B723" s="3" t="s">
        <v>79</v>
      </c>
      <c r="C723" s="3"/>
      <c r="D723" s="3" t="s">
        <v>115</v>
      </c>
      <c r="E723" s="3">
        <v>1</v>
      </c>
      <c r="F723" s="3">
        <v>1</v>
      </c>
      <c r="G723" s="3" t="s">
        <v>18</v>
      </c>
      <c r="H723" s="11">
        <v>45869</v>
      </c>
      <c r="I723" s="3" t="s">
        <v>170</v>
      </c>
      <c r="J723" s="3">
        <v>0</v>
      </c>
      <c r="K723" s="3">
        <v>1</v>
      </c>
      <c r="L723" s="3">
        <v>0</v>
      </c>
      <c r="M723" s="3">
        <v>0</v>
      </c>
      <c r="N723" s="3">
        <v>0</v>
      </c>
      <c r="O723" s="3">
        <f t="shared" si="124"/>
        <v>1</v>
      </c>
      <c r="P723" s="3">
        <v>2</v>
      </c>
      <c r="Q723" s="3">
        <v>3</v>
      </c>
      <c r="R723" s="3">
        <v>0</v>
      </c>
      <c r="S723" s="3">
        <v>4</v>
      </c>
      <c r="T723" s="3">
        <v>3</v>
      </c>
      <c r="U723" s="3">
        <f t="shared" si="125"/>
        <v>12</v>
      </c>
      <c r="V723" s="13">
        <f t="shared" si="126"/>
        <v>0.25</v>
      </c>
      <c r="W723" s="13">
        <f t="shared" si="135"/>
        <v>8.3333333333333329E-2</v>
      </c>
      <c r="X723" s="3">
        <f t="shared" si="127"/>
        <v>12</v>
      </c>
      <c r="Y723" s="3" t="e">
        <f t="shared" si="136"/>
        <v>#DIV/0!</v>
      </c>
      <c r="Z723" s="3"/>
      <c r="AA723" s="3"/>
      <c r="AB723" s="3">
        <v>150</v>
      </c>
      <c r="AC723" s="3" t="s">
        <v>82</v>
      </c>
      <c r="AD723" s="3" t="s">
        <v>83</v>
      </c>
      <c r="AE723" s="3">
        <v>15</v>
      </c>
      <c r="AF723" s="3" t="s">
        <v>151</v>
      </c>
      <c r="AG723" s="3" t="s">
        <v>231</v>
      </c>
      <c r="AH723" s="3"/>
    </row>
    <row r="724" spans="1:34" ht="14.25" customHeight="1" x14ac:dyDescent="0.25">
      <c r="A724" s="3" t="s">
        <v>114</v>
      </c>
      <c r="B724" s="3" t="s">
        <v>79</v>
      </c>
      <c r="C724" s="3"/>
      <c r="D724" s="3" t="s">
        <v>115</v>
      </c>
      <c r="E724" s="3">
        <v>1</v>
      </c>
      <c r="F724" s="3">
        <v>1</v>
      </c>
      <c r="G724" s="3" t="s">
        <v>19</v>
      </c>
      <c r="H724" s="11">
        <v>45869</v>
      </c>
      <c r="I724" s="3" t="s">
        <v>170</v>
      </c>
      <c r="J724" s="3">
        <v>6</v>
      </c>
      <c r="K724" s="3">
        <v>5</v>
      </c>
      <c r="L724" s="3">
        <v>0</v>
      </c>
      <c r="M724" s="3">
        <v>0</v>
      </c>
      <c r="N724" s="3">
        <v>0</v>
      </c>
      <c r="O724" s="3">
        <f t="shared" si="124"/>
        <v>11</v>
      </c>
      <c r="P724" s="3">
        <v>2</v>
      </c>
      <c r="Q724" s="3">
        <v>3</v>
      </c>
      <c r="R724" s="3">
        <v>0</v>
      </c>
      <c r="S724" s="3">
        <v>4</v>
      </c>
      <c r="T724" s="3">
        <v>3</v>
      </c>
      <c r="U724" s="3">
        <f t="shared" si="125"/>
        <v>12</v>
      </c>
      <c r="V724" s="13">
        <f t="shared" si="126"/>
        <v>0.25</v>
      </c>
      <c r="W724" s="13">
        <f t="shared" si="135"/>
        <v>0.91666666666666663</v>
      </c>
      <c r="X724" s="3">
        <f t="shared" si="127"/>
        <v>12</v>
      </c>
      <c r="Y724" s="3" t="e">
        <f t="shared" si="136"/>
        <v>#DIV/0!</v>
      </c>
      <c r="Z724" s="3"/>
      <c r="AA724" s="3"/>
      <c r="AB724" s="3">
        <v>150</v>
      </c>
      <c r="AC724" s="3" t="s">
        <v>82</v>
      </c>
      <c r="AD724" s="3" t="s">
        <v>83</v>
      </c>
      <c r="AE724" s="3">
        <v>15</v>
      </c>
      <c r="AF724" s="3" t="s">
        <v>151</v>
      </c>
      <c r="AG724" s="3" t="s">
        <v>231</v>
      </c>
      <c r="AH724" s="3"/>
    </row>
    <row r="725" spans="1:34" ht="14.25" customHeight="1" x14ac:dyDescent="0.25">
      <c r="A725" s="3" t="s">
        <v>104</v>
      </c>
      <c r="B725" s="3" t="s">
        <v>79</v>
      </c>
      <c r="C725" s="3"/>
      <c r="D725" s="3" t="s">
        <v>101</v>
      </c>
      <c r="E725" s="3">
        <v>2</v>
      </c>
      <c r="F725" s="3">
        <v>1</v>
      </c>
      <c r="G725" s="3" t="s">
        <v>1</v>
      </c>
      <c r="H725" s="11">
        <v>45869</v>
      </c>
      <c r="I725" s="3" t="s">
        <v>170</v>
      </c>
      <c r="J725" s="3">
        <f>50+20</f>
        <v>70</v>
      </c>
      <c r="K725" s="3">
        <f>30+20</f>
        <v>50</v>
      </c>
      <c r="L725" s="3">
        <v>50</v>
      </c>
      <c r="M725" s="3">
        <v>0</v>
      </c>
      <c r="N725" s="3">
        <v>0</v>
      </c>
      <c r="O725" s="3">
        <f t="shared" si="124"/>
        <v>170</v>
      </c>
      <c r="P725" s="3">
        <v>5</v>
      </c>
      <c r="Q725" s="3">
        <v>3</v>
      </c>
      <c r="R725" s="3">
        <v>2</v>
      </c>
      <c r="S725" s="3">
        <v>1</v>
      </c>
      <c r="T725" s="3">
        <v>0</v>
      </c>
      <c r="U725" s="3">
        <v>27</v>
      </c>
      <c r="V725" s="13">
        <f t="shared" ref="V725:V747" si="139">O725/U725/F725</f>
        <v>6.2962962962962967</v>
      </c>
      <c r="W725" s="13">
        <f t="shared" si="135"/>
        <v>6.2962962962962967</v>
      </c>
      <c r="X725" s="3">
        <f t="shared" si="127"/>
        <v>27</v>
      </c>
      <c r="Y725" s="3">
        <f t="shared" si="136"/>
        <v>8.3505255919049033E-4</v>
      </c>
      <c r="Z725" s="3"/>
      <c r="AA725" s="3">
        <f t="shared" ref="AA725:AA728" si="140">70*6*6+60*7*5+60*5*6+70*4*4</f>
        <v>7540</v>
      </c>
      <c r="AB725" s="3">
        <f t="shared" ref="AB725:AB728" si="141">8*10+40*8+30*7+20*6</f>
        <v>730</v>
      </c>
      <c r="AC725" s="3" t="s">
        <v>82</v>
      </c>
      <c r="AD725" s="3" t="s">
        <v>83</v>
      </c>
      <c r="AE725" s="3">
        <v>40</v>
      </c>
      <c r="AF725" s="3" t="s">
        <v>102</v>
      </c>
      <c r="AG725" s="3" t="s">
        <v>311</v>
      </c>
      <c r="AH725" s="3"/>
    </row>
    <row r="726" spans="1:34" ht="14.25" customHeight="1" x14ac:dyDescent="0.25">
      <c r="A726" s="3" t="s">
        <v>104</v>
      </c>
      <c r="B726" s="3" t="s">
        <v>79</v>
      </c>
      <c r="C726" s="3"/>
      <c r="D726" s="3" t="s">
        <v>101</v>
      </c>
      <c r="E726" s="3">
        <v>2</v>
      </c>
      <c r="F726" s="3">
        <v>1</v>
      </c>
      <c r="G726" s="3" t="s">
        <v>3</v>
      </c>
      <c r="H726" s="11">
        <v>45869</v>
      </c>
      <c r="I726" s="3" t="s">
        <v>170</v>
      </c>
      <c r="J726" s="3">
        <f>300+200+100+50+30</f>
        <v>680</v>
      </c>
      <c r="K726" s="3">
        <f>200+300+40</f>
        <v>540</v>
      </c>
      <c r="L726" s="3">
        <f>250+200</f>
        <v>450</v>
      </c>
      <c r="M726" s="3">
        <v>100</v>
      </c>
      <c r="N726" s="3">
        <v>0</v>
      </c>
      <c r="O726" s="3">
        <f t="shared" si="124"/>
        <v>1770</v>
      </c>
      <c r="P726" s="3">
        <v>5</v>
      </c>
      <c r="Q726" s="3">
        <v>3</v>
      </c>
      <c r="R726" s="3">
        <v>2</v>
      </c>
      <c r="S726" s="3">
        <v>1</v>
      </c>
      <c r="T726" s="3">
        <v>0</v>
      </c>
      <c r="U726" s="3">
        <v>27</v>
      </c>
      <c r="V726" s="13">
        <f t="shared" si="139"/>
        <v>65.555555555555557</v>
      </c>
      <c r="W726" s="13">
        <f t="shared" si="135"/>
        <v>65.555555555555557</v>
      </c>
      <c r="X726" s="3">
        <f t="shared" si="127"/>
        <v>27</v>
      </c>
      <c r="Y726" s="3">
        <f t="shared" si="136"/>
        <v>8.6943707633362812E-3</v>
      </c>
      <c r="Z726" s="3"/>
      <c r="AA726" s="3">
        <f t="shared" si="140"/>
        <v>7540</v>
      </c>
      <c r="AB726" s="3">
        <f t="shared" si="141"/>
        <v>730</v>
      </c>
      <c r="AC726" s="3" t="s">
        <v>82</v>
      </c>
      <c r="AD726" s="3" t="s">
        <v>83</v>
      </c>
      <c r="AE726" s="3">
        <v>40</v>
      </c>
      <c r="AF726" s="3" t="s">
        <v>102</v>
      </c>
      <c r="AG726" s="3" t="s">
        <v>311</v>
      </c>
      <c r="AH726" s="3"/>
    </row>
    <row r="727" spans="1:34" ht="14.25" customHeight="1" x14ac:dyDescent="0.25">
      <c r="A727" s="3" t="s">
        <v>104</v>
      </c>
      <c r="B727" s="3" t="s">
        <v>79</v>
      </c>
      <c r="C727" s="3"/>
      <c r="D727" s="3" t="s">
        <v>101</v>
      </c>
      <c r="E727" s="3">
        <v>2</v>
      </c>
      <c r="F727" s="3">
        <v>1</v>
      </c>
      <c r="G727" s="3" t="s">
        <v>9</v>
      </c>
      <c r="H727" s="11">
        <v>45869</v>
      </c>
      <c r="I727" s="3" t="s">
        <v>170</v>
      </c>
      <c r="J727" s="3">
        <v>100</v>
      </c>
      <c r="K727" s="3">
        <v>50</v>
      </c>
      <c r="L727" s="3">
        <v>80</v>
      </c>
      <c r="M727" s="3">
        <v>0</v>
      </c>
      <c r="N727" s="3">
        <v>0</v>
      </c>
      <c r="O727" s="3">
        <f t="shared" si="124"/>
        <v>230</v>
      </c>
      <c r="P727" s="3">
        <v>5</v>
      </c>
      <c r="Q727" s="3">
        <v>3</v>
      </c>
      <c r="R727" s="3">
        <v>2</v>
      </c>
      <c r="S727" s="3">
        <v>1</v>
      </c>
      <c r="T727" s="3">
        <v>0</v>
      </c>
      <c r="U727" s="3">
        <v>27</v>
      </c>
      <c r="V727" s="13">
        <f t="shared" si="139"/>
        <v>8.518518518518519</v>
      </c>
      <c r="W727" s="13">
        <f t="shared" si="135"/>
        <v>8.518518518518519</v>
      </c>
      <c r="X727" s="3">
        <f t="shared" si="127"/>
        <v>27</v>
      </c>
      <c r="Y727" s="3">
        <f t="shared" si="136"/>
        <v>1.1297769918459574E-3</v>
      </c>
      <c r="Z727" s="3"/>
      <c r="AA727" s="3">
        <f t="shared" si="140"/>
        <v>7540</v>
      </c>
      <c r="AB727" s="3">
        <f t="shared" si="141"/>
        <v>730</v>
      </c>
      <c r="AC727" s="3" t="s">
        <v>82</v>
      </c>
      <c r="AD727" s="3" t="s">
        <v>83</v>
      </c>
      <c r="AE727" s="3">
        <v>40</v>
      </c>
      <c r="AF727" s="3" t="s">
        <v>102</v>
      </c>
      <c r="AG727" s="3" t="s">
        <v>311</v>
      </c>
      <c r="AH727" s="3"/>
    </row>
    <row r="728" spans="1:34" ht="14.25" customHeight="1" x14ac:dyDescent="0.25">
      <c r="A728" s="3" t="s">
        <v>104</v>
      </c>
      <c r="B728" s="3" t="s">
        <v>79</v>
      </c>
      <c r="C728" s="3"/>
      <c r="D728" s="3" t="s">
        <v>101</v>
      </c>
      <c r="E728" s="3">
        <v>2</v>
      </c>
      <c r="F728" s="3">
        <v>1</v>
      </c>
      <c r="G728" s="3" t="s">
        <v>25</v>
      </c>
      <c r="H728" s="11">
        <v>45869</v>
      </c>
      <c r="I728" s="3" t="s">
        <v>170</v>
      </c>
      <c r="J728" s="3">
        <v>40</v>
      </c>
      <c r="K728" s="3">
        <v>10</v>
      </c>
      <c r="L728" s="3">
        <v>20</v>
      </c>
      <c r="M728" s="3">
        <v>0</v>
      </c>
      <c r="N728" s="3">
        <v>0</v>
      </c>
      <c r="O728" s="3">
        <f t="shared" si="124"/>
        <v>70</v>
      </c>
      <c r="P728" s="3">
        <v>5</v>
      </c>
      <c r="Q728" s="3">
        <v>3</v>
      </c>
      <c r="R728" s="3">
        <v>2</v>
      </c>
      <c r="S728" s="3">
        <v>1</v>
      </c>
      <c r="T728" s="3">
        <v>0</v>
      </c>
      <c r="U728" s="3">
        <v>27</v>
      </c>
      <c r="V728" s="13">
        <f t="shared" si="139"/>
        <v>2.5925925925925926</v>
      </c>
      <c r="W728" s="13">
        <f t="shared" si="135"/>
        <v>2.5925925925925926</v>
      </c>
      <c r="X728" s="3">
        <f t="shared" si="127"/>
        <v>27</v>
      </c>
      <c r="Y728" s="3">
        <f t="shared" si="136"/>
        <v>3.4384517143137833E-4</v>
      </c>
      <c r="Z728" s="3"/>
      <c r="AA728" s="3">
        <f t="shared" si="140"/>
        <v>7540</v>
      </c>
      <c r="AB728" s="3">
        <f t="shared" si="141"/>
        <v>730</v>
      </c>
      <c r="AC728" s="3" t="s">
        <v>82</v>
      </c>
      <c r="AD728" s="3" t="s">
        <v>83</v>
      </c>
      <c r="AE728" s="3">
        <v>40</v>
      </c>
      <c r="AF728" s="3" t="s">
        <v>102</v>
      </c>
      <c r="AG728" s="3" t="s">
        <v>311</v>
      </c>
      <c r="AH728" s="3"/>
    </row>
    <row r="729" spans="1:34" ht="14.25" customHeight="1" x14ac:dyDescent="0.25">
      <c r="A729" s="3" t="s">
        <v>109</v>
      </c>
      <c r="B729" s="3" t="s">
        <v>79</v>
      </c>
      <c r="C729" s="3"/>
      <c r="D729" s="3" t="s">
        <v>101</v>
      </c>
      <c r="E729" s="3">
        <v>2</v>
      </c>
      <c r="F729" s="3">
        <v>1</v>
      </c>
      <c r="G729" s="3" t="s">
        <v>1</v>
      </c>
      <c r="H729" s="11">
        <v>45869</v>
      </c>
      <c r="I729" s="3" t="s">
        <v>170</v>
      </c>
      <c r="J729" s="3">
        <v>20</v>
      </c>
      <c r="K729" s="3">
        <f>30</f>
        <v>30</v>
      </c>
      <c r="L729" s="3">
        <v>20</v>
      </c>
      <c r="M729" s="3">
        <v>0</v>
      </c>
      <c r="N729" s="3">
        <v>0</v>
      </c>
      <c r="O729" s="3">
        <f t="shared" si="124"/>
        <v>70</v>
      </c>
      <c r="P729" s="3">
        <v>1</v>
      </c>
      <c r="Q729" s="3">
        <v>2</v>
      </c>
      <c r="R729" s="3">
        <v>1</v>
      </c>
      <c r="S729" s="3">
        <v>0</v>
      </c>
      <c r="T729" s="3">
        <v>0</v>
      </c>
      <c r="U729" s="3">
        <v>18</v>
      </c>
      <c r="V729" s="13">
        <f t="shared" si="139"/>
        <v>3.8888888888888888</v>
      </c>
      <c r="W729" s="13">
        <f t="shared" si="135"/>
        <v>3.8888888888888888</v>
      </c>
      <c r="X729" s="3">
        <f t="shared" si="127"/>
        <v>18</v>
      </c>
      <c r="Y729" s="3" t="e">
        <f t="shared" si="136"/>
        <v>#DIV/0!</v>
      </c>
      <c r="Z729" s="3"/>
      <c r="AA729" s="3"/>
      <c r="AB729" s="3">
        <f>20*4</f>
        <v>80</v>
      </c>
      <c r="AC729" s="3" t="s">
        <v>82</v>
      </c>
      <c r="AD729" s="3" t="s">
        <v>83</v>
      </c>
      <c r="AE729" s="3">
        <v>40</v>
      </c>
      <c r="AF729" s="3" t="s">
        <v>102</v>
      </c>
      <c r="AG729" s="3" t="s">
        <v>253</v>
      </c>
      <c r="AH729" s="3"/>
    </row>
    <row r="730" spans="1:34" ht="14.25" customHeight="1" x14ac:dyDescent="0.25">
      <c r="A730" s="3" t="s">
        <v>111</v>
      </c>
      <c r="B730" s="3" t="s">
        <v>79</v>
      </c>
      <c r="C730" s="3"/>
      <c r="D730" s="3" t="s">
        <v>101</v>
      </c>
      <c r="E730" s="3">
        <v>2</v>
      </c>
      <c r="F730" s="3">
        <v>1</v>
      </c>
      <c r="G730" s="3" t="s">
        <v>1</v>
      </c>
      <c r="H730" s="11">
        <v>45869</v>
      </c>
      <c r="I730" s="3" t="s">
        <v>170</v>
      </c>
      <c r="J730" s="3">
        <v>10</v>
      </c>
      <c r="K730" s="3">
        <v>12</v>
      </c>
      <c r="L730" s="3">
        <v>15</v>
      </c>
      <c r="M730" s="3">
        <v>18</v>
      </c>
      <c r="N730" s="3">
        <v>30</v>
      </c>
      <c r="O730" s="3">
        <f t="shared" si="124"/>
        <v>85</v>
      </c>
      <c r="P730" s="3">
        <v>2</v>
      </c>
      <c r="Q730" s="3">
        <v>1</v>
      </c>
      <c r="R730" s="3">
        <v>1</v>
      </c>
      <c r="S730" s="3">
        <v>2</v>
      </c>
      <c r="T730" s="3">
        <v>1</v>
      </c>
      <c r="U730" s="3">
        <v>21</v>
      </c>
      <c r="V730" s="13">
        <f t="shared" si="139"/>
        <v>4.0476190476190474</v>
      </c>
      <c r="W730" s="13">
        <f t="shared" si="135"/>
        <v>4.0476190476190474</v>
      </c>
      <c r="X730" s="3">
        <f t="shared" si="127"/>
        <v>21</v>
      </c>
      <c r="Y730" s="3" t="e">
        <f t="shared" si="136"/>
        <v>#DIV/0!</v>
      </c>
      <c r="Z730" s="3"/>
      <c r="AA730" s="3"/>
      <c r="AB730" s="3"/>
      <c r="AC730" s="3" t="s">
        <v>82</v>
      </c>
      <c r="AD730" s="3" t="s">
        <v>83</v>
      </c>
      <c r="AE730" s="3">
        <v>50</v>
      </c>
      <c r="AF730" s="3" t="s">
        <v>102</v>
      </c>
      <c r="AG730" s="3" t="s">
        <v>210</v>
      </c>
      <c r="AH730" s="3"/>
    </row>
    <row r="731" spans="1:34" ht="14.25" customHeight="1" x14ac:dyDescent="0.25">
      <c r="A731" s="3" t="s">
        <v>111</v>
      </c>
      <c r="B731" s="3" t="s">
        <v>79</v>
      </c>
      <c r="C731" s="3"/>
      <c r="D731" s="3" t="s">
        <v>101</v>
      </c>
      <c r="E731" s="3">
        <v>2</v>
      </c>
      <c r="F731" s="3">
        <v>1</v>
      </c>
      <c r="G731" s="3" t="s">
        <v>18</v>
      </c>
      <c r="H731" s="11">
        <v>45869</v>
      </c>
      <c r="I731" s="3" t="s">
        <v>170</v>
      </c>
      <c r="J731" s="3">
        <v>12</v>
      </c>
      <c r="K731" s="3">
        <v>0</v>
      </c>
      <c r="L731" s="3">
        <v>0</v>
      </c>
      <c r="M731" s="3">
        <v>0</v>
      </c>
      <c r="N731" s="3">
        <v>0</v>
      </c>
      <c r="O731" s="3">
        <f t="shared" si="124"/>
        <v>12</v>
      </c>
      <c r="P731" s="3">
        <v>2</v>
      </c>
      <c r="Q731" s="3">
        <v>1</v>
      </c>
      <c r="R731" s="3">
        <v>1</v>
      </c>
      <c r="S731" s="3">
        <v>2</v>
      </c>
      <c r="T731" s="3">
        <v>1</v>
      </c>
      <c r="U731" s="3">
        <v>21</v>
      </c>
      <c r="V731" s="13">
        <f t="shared" si="139"/>
        <v>0.5714285714285714</v>
      </c>
      <c r="W731" s="13">
        <f t="shared" si="135"/>
        <v>0.5714285714285714</v>
      </c>
      <c r="X731" s="3">
        <f t="shared" si="127"/>
        <v>21</v>
      </c>
      <c r="Y731" s="3" t="e">
        <f t="shared" si="136"/>
        <v>#DIV/0!</v>
      </c>
      <c r="Z731" s="3"/>
      <c r="AA731" s="3"/>
      <c r="AB731" s="3"/>
      <c r="AC731" s="3" t="s">
        <v>82</v>
      </c>
      <c r="AD731" s="3" t="s">
        <v>83</v>
      </c>
      <c r="AE731" s="3">
        <v>50</v>
      </c>
      <c r="AF731" s="3" t="s">
        <v>102</v>
      </c>
      <c r="AG731" s="3" t="s">
        <v>210</v>
      </c>
      <c r="AH731" s="3"/>
    </row>
    <row r="732" spans="1:34" ht="14.25" customHeight="1" x14ac:dyDescent="0.25">
      <c r="A732" s="3" t="s">
        <v>111</v>
      </c>
      <c r="B732" s="3" t="s">
        <v>79</v>
      </c>
      <c r="C732" s="3"/>
      <c r="D732" s="3" t="s">
        <v>101</v>
      </c>
      <c r="E732" s="3">
        <v>2</v>
      </c>
      <c r="F732" s="3">
        <v>1</v>
      </c>
      <c r="G732" s="3" t="s">
        <v>15</v>
      </c>
      <c r="H732" s="11">
        <v>45869</v>
      </c>
      <c r="I732" s="3" t="s">
        <v>170</v>
      </c>
      <c r="J732" s="3">
        <v>0</v>
      </c>
      <c r="K732" s="3">
        <v>0</v>
      </c>
      <c r="L732" s="3">
        <v>0</v>
      </c>
      <c r="M732" s="3">
        <v>25</v>
      </c>
      <c r="N732" s="3">
        <v>0</v>
      </c>
      <c r="O732" s="3">
        <f t="shared" si="124"/>
        <v>25</v>
      </c>
      <c r="P732" s="3">
        <v>2</v>
      </c>
      <c r="Q732" s="3">
        <v>1</v>
      </c>
      <c r="R732" s="3">
        <v>1</v>
      </c>
      <c r="S732" s="3">
        <v>2</v>
      </c>
      <c r="T732" s="3">
        <v>1</v>
      </c>
      <c r="U732" s="3">
        <v>21</v>
      </c>
      <c r="V732" s="13">
        <f t="shared" si="139"/>
        <v>1.1904761904761905</v>
      </c>
      <c r="W732" s="13">
        <f t="shared" si="135"/>
        <v>1.1904761904761905</v>
      </c>
      <c r="X732" s="3">
        <f t="shared" si="127"/>
        <v>21</v>
      </c>
      <c r="Y732" s="3" t="e">
        <f t="shared" si="136"/>
        <v>#DIV/0!</v>
      </c>
      <c r="Z732" s="3"/>
      <c r="AA732" s="3"/>
      <c r="AB732" s="3"/>
      <c r="AC732" s="3" t="s">
        <v>82</v>
      </c>
      <c r="AD732" s="3" t="s">
        <v>83</v>
      </c>
      <c r="AE732" s="3">
        <v>50</v>
      </c>
      <c r="AF732" s="3" t="s">
        <v>102</v>
      </c>
      <c r="AG732" s="3" t="s">
        <v>210</v>
      </c>
      <c r="AH732" s="3"/>
    </row>
    <row r="733" spans="1:34" ht="14.25" customHeight="1" x14ac:dyDescent="0.25">
      <c r="A733" s="3" t="s">
        <v>108</v>
      </c>
      <c r="B733" s="3" t="s">
        <v>79</v>
      </c>
      <c r="C733" s="3"/>
      <c r="D733" s="3" t="s">
        <v>101</v>
      </c>
      <c r="E733" s="3">
        <v>2</v>
      </c>
      <c r="F733" s="3">
        <v>1</v>
      </c>
      <c r="G733" s="3" t="s">
        <v>1</v>
      </c>
      <c r="H733" s="11">
        <v>45869</v>
      </c>
      <c r="I733" s="3" t="s">
        <v>170</v>
      </c>
      <c r="J733" s="3">
        <f>5+7+4+11</f>
        <v>27</v>
      </c>
      <c r="K733" s="3">
        <v>0</v>
      </c>
      <c r="L733" s="3">
        <v>0</v>
      </c>
      <c r="M733" s="3">
        <v>0</v>
      </c>
      <c r="N733" s="3">
        <v>0</v>
      </c>
      <c r="O733" s="3">
        <f t="shared" si="124"/>
        <v>27</v>
      </c>
      <c r="P733" s="3">
        <v>4</v>
      </c>
      <c r="Q733" s="3">
        <v>1</v>
      </c>
      <c r="R733" s="3">
        <v>2</v>
      </c>
      <c r="S733" s="3">
        <v>2</v>
      </c>
      <c r="T733" s="3">
        <v>0</v>
      </c>
      <c r="U733" s="3">
        <f t="shared" ref="U733:U742" si="142">SUM(P733:T733)</f>
        <v>9</v>
      </c>
      <c r="V733" s="13">
        <f t="shared" si="139"/>
        <v>3</v>
      </c>
      <c r="W733" s="13">
        <f t="shared" si="135"/>
        <v>3</v>
      </c>
      <c r="X733" s="3">
        <f t="shared" si="127"/>
        <v>9</v>
      </c>
      <c r="Y733" s="3">
        <f t="shared" si="136"/>
        <v>1.2500000000000001E-2</v>
      </c>
      <c r="Z733" s="3"/>
      <c r="AA733" s="3">
        <f t="shared" ref="AA733:AA737" si="143">10*2*12</f>
        <v>240</v>
      </c>
      <c r="AB733" s="3"/>
      <c r="AC733" s="3" t="s">
        <v>82</v>
      </c>
      <c r="AD733" s="3" t="s">
        <v>83</v>
      </c>
      <c r="AE733" s="3"/>
      <c r="AF733" s="3" t="s">
        <v>102</v>
      </c>
      <c r="AG733" s="3" t="s">
        <v>303</v>
      </c>
      <c r="AH733" s="3"/>
    </row>
    <row r="734" spans="1:34" ht="14.25" customHeight="1" x14ac:dyDescent="0.25">
      <c r="A734" s="3" t="s">
        <v>108</v>
      </c>
      <c r="B734" s="3" t="s">
        <v>79</v>
      </c>
      <c r="C734" s="3"/>
      <c r="D734" s="3" t="s">
        <v>101</v>
      </c>
      <c r="E734" s="3">
        <v>2</v>
      </c>
      <c r="F734" s="3">
        <v>1</v>
      </c>
      <c r="G734" s="3" t="s">
        <v>2</v>
      </c>
      <c r="H734" s="11">
        <v>45869</v>
      </c>
      <c r="I734" s="3" t="s">
        <v>170</v>
      </c>
      <c r="J734" s="3">
        <f>5</f>
        <v>5</v>
      </c>
      <c r="K734" s="3">
        <v>5</v>
      </c>
      <c r="L734" s="3">
        <v>0</v>
      </c>
      <c r="M734" s="3">
        <v>0</v>
      </c>
      <c r="N734" s="3">
        <v>0</v>
      </c>
      <c r="O734" s="3">
        <f t="shared" si="124"/>
        <v>10</v>
      </c>
      <c r="P734" s="3">
        <v>4</v>
      </c>
      <c r="Q734" s="3">
        <v>1</v>
      </c>
      <c r="R734" s="3">
        <v>2</v>
      </c>
      <c r="S734" s="3">
        <v>2</v>
      </c>
      <c r="T734" s="3">
        <v>0</v>
      </c>
      <c r="U734" s="3">
        <f t="shared" si="142"/>
        <v>9</v>
      </c>
      <c r="V734" s="13">
        <f t="shared" si="139"/>
        <v>1.1111111111111112</v>
      </c>
      <c r="W734" s="13">
        <f t="shared" si="135"/>
        <v>1.1111111111111112</v>
      </c>
      <c r="X734" s="3">
        <f t="shared" si="127"/>
        <v>9</v>
      </c>
      <c r="Y734" s="3">
        <f t="shared" si="136"/>
        <v>4.6296296296296302E-3</v>
      </c>
      <c r="Z734" s="3"/>
      <c r="AA734" s="3">
        <f t="shared" si="143"/>
        <v>240</v>
      </c>
      <c r="AB734" s="3"/>
      <c r="AC734" s="3" t="s">
        <v>82</v>
      </c>
      <c r="AD734" s="3" t="s">
        <v>83</v>
      </c>
      <c r="AE734" s="3"/>
      <c r="AF734" s="3" t="s">
        <v>102</v>
      </c>
      <c r="AG734" s="3" t="s">
        <v>303</v>
      </c>
      <c r="AH734" s="3"/>
    </row>
    <row r="735" spans="1:34" ht="14.25" customHeight="1" x14ac:dyDescent="0.25">
      <c r="A735" s="3" t="s">
        <v>108</v>
      </c>
      <c r="B735" s="3" t="s">
        <v>79</v>
      </c>
      <c r="C735" s="3"/>
      <c r="D735" s="3" t="s">
        <v>101</v>
      </c>
      <c r="E735" s="3">
        <v>2</v>
      </c>
      <c r="F735" s="3">
        <v>1</v>
      </c>
      <c r="G735" s="3" t="s">
        <v>10</v>
      </c>
      <c r="H735" s="11">
        <v>45869</v>
      </c>
      <c r="I735" s="3" t="s">
        <v>170</v>
      </c>
      <c r="J735" s="3">
        <v>11</v>
      </c>
      <c r="K735" s="3">
        <v>0</v>
      </c>
      <c r="L735" s="3">
        <v>21</v>
      </c>
      <c r="M735" s="3">
        <v>0</v>
      </c>
      <c r="N735" s="3">
        <v>0</v>
      </c>
      <c r="O735" s="3">
        <f t="shared" si="124"/>
        <v>32</v>
      </c>
      <c r="P735" s="3">
        <v>4</v>
      </c>
      <c r="Q735" s="3">
        <v>1</v>
      </c>
      <c r="R735" s="3">
        <v>2</v>
      </c>
      <c r="S735" s="3">
        <v>2</v>
      </c>
      <c r="T735" s="3">
        <v>0</v>
      </c>
      <c r="U735" s="3">
        <f t="shared" si="142"/>
        <v>9</v>
      </c>
      <c r="V735" s="13">
        <f t="shared" si="139"/>
        <v>3.5555555555555554</v>
      </c>
      <c r="W735" s="13">
        <f t="shared" si="135"/>
        <v>3.5555555555555554</v>
      </c>
      <c r="X735" s="3">
        <f t="shared" si="127"/>
        <v>9</v>
      </c>
      <c r="Y735" s="3">
        <f t="shared" si="136"/>
        <v>1.4814814814814814E-2</v>
      </c>
      <c r="Z735" s="3"/>
      <c r="AA735" s="3">
        <f t="shared" si="143"/>
        <v>240</v>
      </c>
      <c r="AB735" s="3"/>
      <c r="AC735" s="3" t="s">
        <v>82</v>
      </c>
      <c r="AD735" s="3" t="s">
        <v>83</v>
      </c>
      <c r="AE735" s="3"/>
      <c r="AF735" s="3" t="s">
        <v>102</v>
      </c>
      <c r="AG735" s="3" t="s">
        <v>303</v>
      </c>
      <c r="AH735" s="3"/>
    </row>
    <row r="736" spans="1:34" ht="14.25" customHeight="1" x14ac:dyDescent="0.25">
      <c r="A736" s="3" t="s">
        <v>108</v>
      </c>
      <c r="B736" s="3" t="s">
        <v>79</v>
      </c>
      <c r="C736" s="3"/>
      <c r="D736" s="3" t="s">
        <v>101</v>
      </c>
      <c r="E736" s="3">
        <v>2</v>
      </c>
      <c r="F736" s="3">
        <v>1</v>
      </c>
      <c r="G736" s="3" t="s">
        <v>9</v>
      </c>
      <c r="H736" s="11">
        <v>45869</v>
      </c>
      <c r="I736" s="3" t="s">
        <v>170</v>
      </c>
      <c r="J736" s="3">
        <v>12</v>
      </c>
      <c r="K736" s="3">
        <v>0</v>
      </c>
      <c r="L736" s="3">
        <v>0</v>
      </c>
      <c r="M736" s="3">
        <v>3</v>
      </c>
      <c r="N736" s="3">
        <v>0</v>
      </c>
      <c r="O736" s="3">
        <f t="shared" si="124"/>
        <v>15</v>
      </c>
      <c r="P736" s="3">
        <v>4</v>
      </c>
      <c r="Q736" s="3">
        <v>1</v>
      </c>
      <c r="R736" s="3">
        <v>2</v>
      </c>
      <c r="S736" s="3">
        <v>2</v>
      </c>
      <c r="T736" s="3">
        <v>0</v>
      </c>
      <c r="U736" s="3">
        <f t="shared" si="142"/>
        <v>9</v>
      </c>
      <c r="V736" s="13">
        <f t="shared" si="139"/>
        <v>1.6666666666666667</v>
      </c>
      <c r="W736" s="13">
        <f t="shared" si="135"/>
        <v>1.6666666666666667</v>
      </c>
      <c r="X736" s="3">
        <f t="shared" si="127"/>
        <v>9</v>
      </c>
      <c r="Y736" s="3">
        <f t="shared" si="136"/>
        <v>6.9444444444444449E-3</v>
      </c>
      <c r="Z736" s="3"/>
      <c r="AA736" s="3">
        <f t="shared" si="143"/>
        <v>240</v>
      </c>
      <c r="AB736" s="3"/>
      <c r="AC736" s="3" t="s">
        <v>82</v>
      </c>
      <c r="AD736" s="3" t="s">
        <v>83</v>
      </c>
      <c r="AE736" s="3"/>
      <c r="AF736" s="3" t="s">
        <v>102</v>
      </c>
      <c r="AG736" s="3" t="s">
        <v>303</v>
      </c>
      <c r="AH736" s="3"/>
    </row>
    <row r="737" spans="1:34" ht="14.25" customHeight="1" x14ac:dyDescent="0.25">
      <c r="A737" s="3" t="s">
        <v>108</v>
      </c>
      <c r="B737" s="3" t="s">
        <v>79</v>
      </c>
      <c r="C737" s="3"/>
      <c r="D737" s="3" t="s">
        <v>101</v>
      </c>
      <c r="E737" s="3">
        <v>2</v>
      </c>
      <c r="F737" s="3">
        <v>1</v>
      </c>
      <c r="G737" s="3" t="s">
        <v>27</v>
      </c>
      <c r="H737" s="11">
        <v>45869</v>
      </c>
      <c r="I737" s="3" t="s">
        <v>170</v>
      </c>
      <c r="J737" s="3">
        <v>10</v>
      </c>
      <c r="K737" s="3">
        <v>0</v>
      </c>
      <c r="L737" s="3">
        <v>0</v>
      </c>
      <c r="M737" s="3">
        <v>36</v>
      </c>
      <c r="N737" s="3">
        <v>0</v>
      </c>
      <c r="O737" s="3">
        <f t="shared" si="124"/>
        <v>46</v>
      </c>
      <c r="P737" s="3">
        <v>4</v>
      </c>
      <c r="Q737" s="3">
        <v>1</v>
      </c>
      <c r="R737" s="3">
        <v>2</v>
      </c>
      <c r="S737" s="3">
        <v>2</v>
      </c>
      <c r="T737" s="3">
        <v>0</v>
      </c>
      <c r="U737" s="3">
        <f t="shared" si="142"/>
        <v>9</v>
      </c>
      <c r="V737" s="13">
        <f t="shared" si="139"/>
        <v>5.1111111111111107</v>
      </c>
      <c r="W737" s="13">
        <f t="shared" si="135"/>
        <v>5.1111111111111107</v>
      </c>
      <c r="X737" s="3">
        <f t="shared" si="127"/>
        <v>9</v>
      </c>
      <c r="Y737" s="3">
        <f t="shared" si="136"/>
        <v>2.1296296296296296E-2</v>
      </c>
      <c r="Z737" s="3"/>
      <c r="AA737" s="3">
        <f t="shared" si="143"/>
        <v>240</v>
      </c>
      <c r="AB737" s="3"/>
      <c r="AC737" s="3" t="s">
        <v>82</v>
      </c>
      <c r="AD737" s="3" t="s">
        <v>83</v>
      </c>
      <c r="AE737" s="3"/>
      <c r="AF737" s="3" t="s">
        <v>102</v>
      </c>
      <c r="AG737" s="3" t="s">
        <v>303</v>
      </c>
      <c r="AH737" s="3"/>
    </row>
    <row r="738" spans="1:34" ht="14.25" customHeight="1" x14ac:dyDescent="0.25">
      <c r="A738" s="3" t="s">
        <v>137</v>
      </c>
      <c r="B738" s="3" t="s">
        <v>79</v>
      </c>
      <c r="C738" s="3"/>
      <c r="D738" s="3" t="s">
        <v>101</v>
      </c>
      <c r="E738" s="3">
        <v>2</v>
      </c>
      <c r="F738" s="3">
        <v>1</v>
      </c>
      <c r="G738" s="3" t="s">
        <v>1</v>
      </c>
      <c r="H738" s="11">
        <v>45869</v>
      </c>
      <c r="I738" s="3" t="s">
        <v>170</v>
      </c>
      <c r="J738" s="3">
        <v>10</v>
      </c>
      <c r="K738" s="3">
        <v>0</v>
      </c>
      <c r="L738" s="3">
        <v>0</v>
      </c>
      <c r="M738" s="3">
        <v>15</v>
      </c>
      <c r="N738" s="3">
        <v>0</v>
      </c>
      <c r="O738" s="3">
        <f t="shared" si="124"/>
        <v>25</v>
      </c>
      <c r="P738" s="3">
        <v>2</v>
      </c>
      <c r="Q738" s="3">
        <v>1</v>
      </c>
      <c r="R738" s="3">
        <v>0</v>
      </c>
      <c r="S738" s="3">
        <v>2</v>
      </c>
      <c r="T738" s="3">
        <v>0</v>
      </c>
      <c r="U738" s="3">
        <f t="shared" si="142"/>
        <v>5</v>
      </c>
      <c r="V738" s="13">
        <f t="shared" si="139"/>
        <v>5</v>
      </c>
      <c r="W738" s="13">
        <f t="shared" si="135"/>
        <v>5</v>
      </c>
      <c r="X738" s="3">
        <f t="shared" si="127"/>
        <v>5</v>
      </c>
      <c r="Y738" s="3" t="e">
        <f t="shared" si="136"/>
        <v>#DIV/0!</v>
      </c>
      <c r="Z738" s="3"/>
      <c r="AA738" s="3"/>
      <c r="AB738" s="3"/>
      <c r="AC738" s="3" t="s">
        <v>82</v>
      </c>
      <c r="AD738" s="3" t="s">
        <v>83</v>
      </c>
      <c r="AE738" s="3">
        <v>40</v>
      </c>
      <c r="AF738" s="3" t="s">
        <v>102</v>
      </c>
      <c r="AG738" s="3" t="s">
        <v>215</v>
      </c>
      <c r="AH738" s="3"/>
    </row>
    <row r="739" spans="1:34" ht="14.25" customHeight="1" x14ac:dyDescent="0.25">
      <c r="A739" s="3" t="s">
        <v>137</v>
      </c>
      <c r="B739" s="3" t="s">
        <v>79</v>
      </c>
      <c r="C739" s="3"/>
      <c r="D739" s="3" t="s">
        <v>101</v>
      </c>
      <c r="E739" s="3">
        <v>2</v>
      </c>
      <c r="F739" s="3">
        <v>1</v>
      </c>
      <c r="G739" s="3" t="s">
        <v>18</v>
      </c>
      <c r="H739" s="11">
        <v>45869</v>
      </c>
      <c r="I739" s="3" t="s">
        <v>170</v>
      </c>
      <c r="J739" s="3">
        <v>22</v>
      </c>
      <c r="K739" s="3">
        <v>16</v>
      </c>
      <c r="L739" s="3">
        <v>0</v>
      </c>
      <c r="M739" s="3">
        <v>9</v>
      </c>
      <c r="N739" s="3">
        <v>0</v>
      </c>
      <c r="O739" s="3">
        <f t="shared" si="124"/>
        <v>47</v>
      </c>
      <c r="P739" s="3">
        <v>2</v>
      </c>
      <c r="Q739" s="3">
        <v>1</v>
      </c>
      <c r="R739" s="3">
        <v>0</v>
      </c>
      <c r="S739" s="3">
        <v>2</v>
      </c>
      <c r="T739" s="3">
        <v>0</v>
      </c>
      <c r="U739" s="3">
        <f t="shared" si="142"/>
        <v>5</v>
      </c>
      <c r="V739" s="13">
        <f t="shared" si="139"/>
        <v>9.4</v>
      </c>
      <c r="W739" s="13">
        <f t="shared" si="135"/>
        <v>9.4</v>
      </c>
      <c r="X739" s="3">
        <f t="shared" si="127"/>
        <v>5</v>
      </c>
      <c r="Y739" s="3" t="e">
        <f t="shared" si="136"/>
        <v>#DIV/0!</v>
      </c>
      <c r="Z739" s="3"/>
      <c r="AA739" s="3"/>
      <c r="AB739" s="3"/>
      <c r="AC739" s="3" t="s">
        <v>82</v>
      </c>
      <c r="AD739" s="3" t="s">
        <v>83</v>
      </c>
      <c r="AE739" s="3">
        <v>40</v>
      </c>
      <c r="AF739" s="3" t="s">
        <v>102</v>
      </c>
      <c r="AG739" s="3" t="s">
        <v>215</v>
      </c>
      <c r="AH739" s="3"/>
    </row>
    <row r="740" spans="1:34" ht="14.25" customHeight="1" x14ac:dyDescent="0.25">
      <c r="A740" s="3" t="s">
        <v>154</v>
      </c>
      <c r="B740" s="3" t="s">
        <v>79</v>
      </c>
      <c r="C740" s="3"/>
      <c r="D740" s="3" t="s">
        <v>101</v>
      </c>
      <c r="E740" s="3">
        <v>2</v>
      </c>
      <c r="F740" s="3">
        <v>1</v>
      </c>
      <c r="G740" s="3" t="s">
        <v>3</v>
      </c>
      <c r="H740" s="11">
        <v>45869</v>
      </c>
      <c r="I740" s="3" t="s">
        <v>170</v>
      </c>
      <c r="J740" s="3">
        <f>17+50+20+15</f>
        <v>102</v>
      </c>
      <c r="K740" s="3">
        <f>90+67</f>
        <v>157</v>
      </c>
      <c r="L740" s="3">
        <v>32</v>
      </c>
      <c r="M740" s="3">
        <f>100+80</f>
        <v>180</v>
      </c>
      <c r="N740" s="3">
        <v>67</v>
      </c>
      <c r="O740" s="3">
        <f t="shared" si="124"/>
        <v>538</v>
      </c>
      <c r="P740" s="3">
        <v>4</v>
      </c>
      <c r="Q740" s="3">
        <v>2</v>
      </c>
      <c r="R740" s="3">
        <v>1</v>
      </c>
      <c r="S740" s="3">
        <v>2</v>
      </c>
      <c r="T740" s="3">
        <v>1</v>
      </c>
      <c r="U740" s="3">
        <f t="shared" si="142"/>
        <v>10</v>
      </c>
      <c r="V740" s="13">
        <f t="shared" si="139"/>
        <v>53.8</v>
      </c>
      <c r="W740" s="13">
        <f t="shared" si="135"/>
        <v>53.8</v>
      </c>
      <c r="X740" s="3">
        <f t="shared" si="127"/>
        <v>10</v>
      </c>
      <c r="Y740" s="3">
        <f t="shared" si="136"/>
        <v>5.3800000000000001E-2</v>
      </c>
      <c r="Z740" s="3"/>
      <c r="AA740" s="3">
        <f>100*2*5</f>
        <v>1000</v>
      </c>
      <c r="AB740" s="3"/>
      <c r="AC740" s="3" t="s">
        <v>82</v>
      </c>
      <c r="AD740" s="3" t="s">
        <v>83</v>
      </c>
      <c r="AE740" s="3">
        <v>50</v>
      </c>
      <c r="AF740" s="3" t="s">
        <v>102</v>
      </c>
      <c r="AG740" s="3" t="s">
        <v>312</v>
      </c>
      <c r="AH740" s="3"/>
    </row>
    <row r="741" spans="1:34" ht="14.25" customHeight="1" x14ac:dyDescent="0.25">
      <c r="A741" s="3" t="s">
        <v>156</v>
      </c>
      <c r="B741" s="3" t="s">
        <v>79</v>
      </c>
      <c r="C741" s="3"/>
      <c r="D741" s="3" t="s">
        <v>101</v>
      </c>
      <c r="E741" s="3">
        <v>1</v>
      </c>
      <c r="F741" s="3">
        <v>1</v>
      </c>
      <c r="G741" s="3" t="s">
        <v>1</v>
      </c>
      <c r="H741" s="11">
        <v>45869</v>
      </c>
      <c r="I741" s="3" t="s">
        <v>170</v>
      </c>
      <c r="J741" s="3">
        <f>18+38+8+15</f>
        <v>79</v>
      </c>
      <c r="K741" s="3">
        <f>24+22+11</f>
        <v>57</v>
      </c>
      <c r="L741" s="3">
        <v>25</v>
      </c>
      <c r="M741" s="3">
        <f>55+21+12+9</f>
        <v>97</v>
      </c>
      <c r="N741" s="3">
        <v>0</v>
      </c>
      <c r="O741" s="3">
        <f t="shared" si="124"/>
        <v>258</v>
      </c>
      <c r="P741" s="3">
        <v>4</v>
      </c>
      <c r="Q741" s="3">
        <v>3</v>
      </c>
      <c r="R741" s="3">
        <v>1</v>
      </c>
      <c r="S741" s="3">
        <v>4</v>
      </c>
      <c r="T741" s="3">
        <v>0</v>
      </c>
      <c r="U741" s="3">
        <f t="shared" si="142"/>
        <v>12</v>
      </c>
      <c r="V741" s="13">
        <f t="shared" si="139"/>
        <v>21.5</v>
      </c>
      <c r="W741" s="13">
        <f t="shared" si="135"/>
        <v>21.5</v>
      </c>
      <c r="X741" s="3">
        <f t="shared" si="127"/>
        <v>12</v>
      </c>
      <c r="Y741" s="3">
        <f t="shared" si="136"/>
        <v>1.0238095238095239E-2</v>
      </c>
      <c r="Z741" s="3"/>
      <c r="AA741" s="3">
        <f>70*5*6</f>
        <v>2100</v>
      </c>
      <c r="AB741" s="3"/>
      <c r="AC741" s="3" t="s">
        <v>82</v>
      </c>
      <c r="AD741" s="3" t="s">
        <v>83</v>
      </c>
      <c r="AE741" s="3"/>
      <c r="AF741" s="3" t="s">
        <v>102</v>
      </c>
      <c r="AG741" s="3" t="s">
        <v>287</v>
      </c>
      <c r="AH741" s="3"/>
    </row>
    <row r="742" spans="1:34" ht="14.25" customHeight="1" x14ac:dyDescent="0.25">
      <c r="A742" s="3" t="s">
        <v>110</v>
      </c>
      <c r="B742" s="3" t="s">
        <v>79</v>
      </c>
      <c r="C742" s="3"/>
      <c r="D742" s="3" t="s">
        <v>101</v>
      </c>
      <c r="E742" s="3">
        <v>2</v>
      </c>
      <c r="F742" s="3">
        <v>1</v>
      </c>
      <c r="G742" s="3" t="s">
        <v>3</v>
      </c>
      <c r="H742" s="11">
        <v>45869</v>
      </c>
      <c r="I742" s="3" t="s">
        <v>170</v>
      </c>
      <c r="J742" s="3">
        <f>50+35+120</f>
        <v>205</v>
      </c>
      <c r="K742" s="3">
        <v>350</v>
      </c>
      <c r="L742" s="3">
        <f>0</f>
        <v>0</v>
      </c>
      <c r="M742" s="3">
        <f>160+55+45+25</f>
        <v>285</v>
      </c>
      <c r="N742" s="3">
        <v>0</v>
      </c>
      <c r="O742" s="3">
        <f t="shared" si="124"/>
        <v>840</v>
      </c>
      <c r="P742" s="3">
        <v>3</v>
      </c>
      <c r="Q742" s="3">
        <v>2</v>
      </c>
      <c r="R742" s="3">
        <v>0</v>
      </c>
      <c r="S742" s="3">
        <v>4</v>
      </c>
      <c r="T742" s="3">
        <v>0</v>
      </c>
      <c r="U742" s="3">
        <f t="shared" si="142"/>
        <v>9</v>
      </c>
      <c r="V742" s="13">
        <f t="shared" si="139"/>
        <v>93.333333333333329</v>
      </c>
      <c r="W742" s="13">
        <f t="shared" si="135"/>
        <v>93.333333333333329</v>
      </c>
      <c r="X742" s="3">
        <f t="shared" si="127"/>
        <v>9</v>
      </c>
      <c r="Y742" s="3">
        <f t="shared" si="136"/>
        <v>3.8095238095238092E-2</v>
      </c>
      <c r="Z742" s="3"/>
      <c r="AA742" s="3">
        <f>70*7*5</f>
        <v>2450</v>
      </c>
      <c r="AB742" s="3"/>
      <c r="AC742" s="3" t="s">
        <v>82</v>
      </c>
      <c r="AD742" s="3" t="s">
        <v>83</v>
      </c>
      <c r="AE742" s="3">
        <v>60</v>
      </c>
      <c r="AF742" s="3" t="s">
        <v>102</v>
      </c>
      <c r="AG742" s="3" t="s">
        <v>312</v>
      </c>
      <c r="AH742" s="3"/>
    </row>
    <row r="743" spans="1:34" ht="14.25" customHeight="1" x14ac:dyDescent="0.25">
      <c r="A743" s="15" t="s">
        <v>145</v>
      </c>
      <c r="B743" s="15" t="s">
        <v>79</v>
      </c>
      <c r="C743" s="15"/>
      <c r="D743" s="3" t="s">
        <v>186</v>
      </c>
      <c r="E743" s="15">
        <v>1</v>
      </c>
      <c r="F743" s="15">
        <v>1</v>
      </c>
      <c r="G743" s="15" t="s">
        <v>3</v>
      </c>
      <c r="H743" s="22">
        <v>45869</v>
      </c>
      <c r="I743" s="15" t="s">
        <v>170</v>
      </c>
      <c r="J743" s="15">
        <v>14.4</v>
      </c>
      <c r="K743" s="15">
        <v>13.1</v>
      </c>
      <c r="L743" s="15">
        <v>0</v>
      </c>
      <c r="M743" s="15">
        <v>16</v>
      </c>
      <c r="N743" s="15">
        <v>0</v>
      </c>
      <c r="O743" s="15">
        <f>SUBTOTAL(9,J743:N743)</f>
        <v>43.5</v>
      </c>
      <c r="P743" s="15">
        <v>4</v>
      </c>
      <c r="Q743" s="15">
        <v>5</v>
      </c>
      <c r="R743" s="15">
        <v>0</v>
      </c>
      <c r="S743" s="15">
        <v>4</v>
      </c>
      <c r="T743" s="15">
        <v>0</v>
      </c>
      <c r="U743" s="15">
        <v>13</v>
      </c>
      <c r="V743" s="13">
        <f t="shared" si="139"/>
        <v>3.3461538461538463</v>
      </c>
      <c r="W743" s="13">
        <f t="shared" si="135"/>
        <v>3.3461538461538463</v>
      </c>
      <c r="X743" s="15">
        <v>13</v>
      </c>
      <c r="Y743" s="3">
        <f t="shared" si="136"/>
        <v>5.8499193114577731E-3</v>
      </c>
      <c r="Z743" s="15"/>
      <c r="AA743" s="15">
        <v>572</v>
      </c>
      <c r="AB743" s="15"/>
      <c r="AC743" s="15" t="s">
        <v>82</v>
      </c>
      <c r="AD743" s="15" t="s">
        <v>83</v>
      </c>
      <c r="AE743" s="15">
        <v>15</v>
      </c>
      <c r="AF743" s="3" t="s">
        <v>143</v>
      </c>
      <c r="AG743" s="15" t="s">
        <v>303</v>
      </c>
      <c r="AH743" s="3"/>
    </row>
    <row r="744" spans="1:34" ht="14.25" customHeight="1" x14ac:dyDescent="0.25">
      <c r="A744" s="15" t="s">
        <v>145</v>
      </c>
      <c r="B744" s="15" t="s">
        <v>79</v>
      </c>
      <c r="C744" s="15"/>
      <c r="D744" s="3" t="s">
        <v>186</v>
      </c>
      <c r="E744" s="15">
        <v>1</v>
      </c>
      <c r="F744" s="15">
        <v>1</v>
      </c>
      <c r="G744" s="15" t="s">
        <v>10</v>
      </c>
      <c r="H744" s="22">
        <v>45869</v>
      </c>
      <c r="I744" s="15" t="s">
        <v>170</v>
      </c>
      <c r="J744" s="15">
        <v>1.8</v>
      </c>
      <c r="K744" s="15">
        <v>6</v>
      </c>
      <c r="L744" s="15">
        <v>0</v>
      </c>
      <c r="M744" s="15">
        <v>4.8</v>
      </c>
      <c r="N744" s="15">
        <v>0</v>
      </c>
      <c r="O744" s="15">
        <f>SUBTOTAL(9,J744:N744)</f>
        <v>12.6</v>
      </c>
      <c r="P744" s="15">
        <v>4</v>
      </c>
      <c r="Q744" s="15">
        <v>5</v>
      </c>
      <c r="R744" s="15">
        <v>0</v>
      </c>
      <c r="S744" s="15">
        <v>4</v>
      </c>
      <c r="T744" s="15">
        <v>0</v>
      </c>
      <c r="U744" s="15">
        <v>13</v>
      </c>
      <c r="V744" s="13">
        <f t="shared" si="139"/>
        <v>0.96923076923076923</v>
      </c>
      <c r="W744" s="13">
        <f t="shared" si="135"/>
        <v>0.96923076923076923</v>
      </c>
      <c r="X744" s="15">
        <v>13</v>
      </c>
      <c r="Y744" s="3">
        <f t="shared" si="136"/>
        <v>1.694459386767079E-3</v>
      </c>
      <c r="Z744" s="15"/>
      <c r="AA744" s="15">
        <v>572</v>
      </c>
      <c r="AB744" s="15"/>
      <c r="AC744" s="15" t="s">
        <v>82</v>
      </c>
      <c r="AD744" s="15" t="s">
        <v>83</v>
      </c>
      <c r="AE744" s="15">
        <v>15</v>
      </c>
      <c r="AF744" s="3" t="s">
        <v>143</v>
      </c>
      <c r="AG744" s="15" t="s">
        <v>303</v>
      </c>
      <c r="AH744" s="3"/>
    </row>
    <row r="745" spans="1:34" ht="14.25" customHeight="1" x14ac:dyDescent="0.25">
      <c r="A745" s="15" t="s">
        <v>145</v>
      </c>
      <c r="B745" s="15" t="s">
        <v>79</v>
      </c>
      <c r="C745" s="15"/>
      <c r="D745" s="3" t="s">
        <v>186</v>
      </c>
      <c r="E745" s="15">
        <v>1</v>
      </c>
      <c r="F745" s="15">
        <v>1</v>
      </c>
      <c r="G745" s="15" t="s">
        <v>12</v>
      </c>
      <c r="H745" s="22">
        <v>45869</v>
      </c>
      <c r="I745" s="15" t="s">
        <v>170</v>
      </c>
      <c r="J745" s="15">
        <v>0</v>
      </c>
      <c r="K745" s="15">
        <v>4</v>
      </c>
      <c r="L745" s="15">
        <v>0</v>
      </c>
      <c r="M745" s="15">
        <v>1.2</v>
      </c>
      <c r="N745" s="15">
        <v>0</v>
      </c>
      <c r="O745" s="15">
        <f>SUBTOTAL(9,J745:N745)</f>
        <v>5.2</v>
      </c>
      <c r="P745" s="15">
        <v>4</v>
      </c>
      <c r="Q745" s="15">
        <v>5</v>
      </c>
      <c r="R745" s="15">
        <v>0</v>
      </c>
      <c r="S745" s="15">
        <v>4</v>
      </c>
      <c r="T745" s="15">
        <v>0</v>
      </c>
      <c r="U745" s="15">
        <v>13</v>
      </c>
      <c r="V745" s="13">
        <f t="shared" si="139"/>
        <v>0.4</v>
      </c>
      <c r="W745" s="13">
        <f t="shared" si="135"/>
        <v>0.4</v>
      </c>
      <c r="X745" s="15">
        <v>13</v>
      </c>
      <c r="Y745" s="3">
        <f t="shared" si="136"/>
        <v>6.993006993006993E-4</v>
      </c>
      <c r="Z745" s="15"/>
      <c r="AA745" s="15">
        <v>572</v>
      </c>
      <c r="AB745" s="15"/>
      <c r="AC745" s="15" t="s">
        <v>82</v>
      </c>
      <c r="AD745" s="15" t="s">
        <v>83</v>
      </c>
      <c r="AE745" s="15">
        <v>15</v>
      </c>
      <c r="AF745" s="3" t="s">
        <v>143</v>
      </c>
      <c r="AG745" s="15" t="s">
        <v>303</v>
      </c>
      <c r="AH745" s="3"/>
    </row>
    <row r="746" spans="1:34" ht="14.25" customHeight="1" x14ac:dyDescent="0.25">
      <c r="A746" s="15" t="s">
        <v>145</v>
      </c>
      <c r="B746" s="15" t="s">
        <v>79</v>
      </c>
      <c r="C746" s="15"/>
      <c r="D746" s="3" t="s">
        <v>186</v>
      </c>
      <c r="E746" s="15">
        <v>1</v>
      </c>
      <c r="F746" s="15">
        <v>1</v>
      </c>
      <c r="G746" s="15" t="s">
        <v>14</v>
      </c>
      <c r="H746" s="22">
        <v>45869</v>
      </c>
      <c r="I746" s="15" t="s">
        <v>170</v>
      </c>
      <c r="J746" s="15">
        <v>0</v>
      </c>
      <c r="K746" s="15">
        <v>3</v>
      </c>
      <c r="L746" s="15">
        <v>0</v>
      </c>
      <c r="M746" s="15">
        <v>0</v>
      </c>
      <c r="N746" s="15"/>
      <c r="O746" s="15">
        <v>3</v>
      </c>
      <c r="P746" s="15">
        <v>4</v>
      </c>
      <c r="Q746" s="15">
        <v>5</v>
      </c>
      <c r="R746" s="15">
        <v>0</v>
      </c>
      <c r="S746" s="15">
        <v>4</v>
      </c>
      <c r="T746" s="15">
        <v>0</v>
      </c>
      <c r="U746" s="15">
        <v>13</v>
      </c>
      <c r="V746" s="13">
        <f t="shared" si="139"/>
        <v>0.23076923076923078</v>
      </c>
      <c r="W746" s="13">
        <f t="shared" si="135"/>
        <v>0.23076923076923078</v>
      </c>
      <c r="X746" s="15">
        <v>13</v>
      </c>
      <c r="Y746" s="3">
        <f t="shared" si="136"/>
        <v>4.0344271113501882E-4</v>
      </c>
      <c r="Z746" s="15"/>
      <c r="AA746" s="15">
        <v>572</v>
      </c>
      <c r="AB746" s="15"/>
      <c r="AC746" s="15" t="s">
        <v>82</v>
      </c>
      <c r="AD746" s="15" t="s">
        <v>83</v>
      </c>
      <c r="AE746" s="15">
        <v>15</v>
      </c>
      <c r="AF746" s="3" t="s">
        <v>143</v>
      </c>
      <c r="AG746" s="15" t="s">
        <v>303</v>
      </c>
      <c r="AH746" s="3"/>
    </row>
    <row r="747" spans="1:34" ht="14.25" customHeight="1" x14ac:dyDescent="0.25">
      <c r="A747" s="15" t="s">
        <v>145</v>
      </c>
      <c r="B747" s="15" t="s">
        <v>79</v>
      </c>
      <c r="C747" s="15"/>
      <c r="D747" s="3" t="s">
        <v>186</v>
      </c>
      <c r="E747" s="15">
        <v>1</v>
      </c>
      <c r="F747" s="15">
        <v>1</v>
      </c>
      <c r="G747" s="15" t="s">
        <v>16</v>
      </c>
      <c r="H747" s="22">
        <v>45869</v>
      </c>
      <c r="I747" s="15" t="s">
        <v>170</v>
      </c>
      <c r="J747" s="15">
        <v>0</v>
      </c>
      <c r="K747" s="15">
        <v>1.8</v>
      </c>
      <c r="L747" s="15">
        <v>0</v>
      </c>
      <c r="M747" s="15">
        <v>0</v>
      </c>
      <c r="N747" s="15">
        <v>0</v>
      </c>
      <c r="O747" s="15">
        <f>SUBTOTAL(9,J747:N747)</f>
        <v>1.8</v>
      </c>
      <c r="P747" s="15">
        <v>4</v>
      </c>
      <c r="Q747" s="15">
        <v>5</v>
      </c>
      <c r="R747" s="15">
        <v>0</v>
      </c>
      <c r="S747" s="15">
        <v>4</v>
      </c>
      <c r="T747" s="15">
        <v>0</v>
      </c>
      <c r="U747" s="15">
        <v>13</v>
      </c>
      <c r="V747" s="13">
        <f t="shared" si="139"/>
        <v>0.13846153846153847</v>
      </c>
      <c r="W747" s="13">
        <f t="shared" si="135"/>
        <v>0.13846153846153847</v>
      </c>
      <c r="X747" s="15">
        <v>13</v>
      </c>
      <c r="Y747" s="3">
        <f t="shared" si="136"/>
        <v>2.420656266810113E-4</v>
      </c>
      <c r="Z747" s="15"/>
      <c r="AA747" s="15">
        <v>572</v>
      </c>
      <c r="AB747" s="15"/>
      <c r="AC747" s="15" t="s">
        <v>82</v>
      </c>
      <c r="AD747" s="15" t="s">
        <v>83</v>
      </c>
      <c r="AE747" s="15">
        <v>15</v>
      </c>
      <c r="AF747" s="3" t="s">
        <v>143</v>
      </c>
      <c r="AG747" s="15" t="s">
        <v>303</v>
      </c>
      <c r="AH747" s="3"/>
    </row>
    <row r="748" spans="1:34" ht="14.25" customHeight="1" x14ac:dyDescent="0.25">
      <c r="A748" s="3" t="s">
        <v>116</v>
      </c>
      <c r="B748" s="3" t="s">
        <v>171</v>
      </c>
      <c r="C748" s="19"/>
      <c r="D748" s="3" t="s">
        <v>117</v>
      </c>
      <c r="E748" s="3">
        <v>1</v>
      </c>
      <c r="F748" s="3">
        <v>1</v>
      </c>
      <c r="G748" s="3" t="s">
        <v>1</v>
      </c>
      <c r="H748" s="22">
        <v>45869</v>
      </c>
      <c r="I748" s="15" t="s">
        <v>170</v>
      </c>
      <c r="J748" s="3">
        <v>0</v>
      </c>
      <c r="K748" s="3">
        <f>18+25</f>
        <v>43</v>
      </c>
      <c r="L748" s="3">
        <v>4</v>
      </c>
      <c r="M748" s="3">
        <f>8+9</f>
        <v>17</v>
      </c>
      <c r="N748" s="3">
        <v>0</v>
      </c>
      <c r="O748" s="3">
        <f t="shared" ref="O748:O811" si="144">SUM(J748:N748)</f>
        <v>64</v>
      </c>
      <c r="P748" s="3">
        <v>0</v>
      </c>
      <c r="Q748" s="3">
        <v>2</v>
      </c>
      <c r="R748" s="3">
        <v>1</v>
      </c>
      <c r="S748" s="3">
        <v>2</v>
      </c>
      <c r="T748" s="3">
        <v>1</v>
      </c>
      <c r="U748" s="3">
        <f t="shared" ref="U748:U811" si="145">SUM(P748:T748)</f>
        <v>6</v>
      </c>
      <c r="V748" s="13">
        <f t="shared" ref="V748:V811" si="146">O748/U748/F748</f>
        <v>10.666666666666666</v>
      </c>
      <c r="W748" s="13">
        <f t="shared" si="135"/>
        <v>10.666666666666666</v>
      </c>
      <c r="X748" s="3">
        <f t="shared" ref="X748:X811" si="147">F748*U748</f>
        <v>6</v>
      </c>
      <c r="Y748" s="3">
        <f t="shared" si="136"/>
        <v>5.333333333333333E-2</v>
      </c>
      <c r="Z748" s="19"/>
      <c r="AA748" s="3">
        <f t="shared" ref="AA748:AA752" si="148">20*2*5</f>
        <v>200</v>
      </c>
      <c r="AB748" s="3">
        <v>70</v>
      </c>
      <c r="AC748" s="3" t="s">
        <v>82</v>
      </c>
      <c r="AD748" s="3" t="s">
        <v>83</v>
      </c>
      <c r="AE748" s="3">
        <v>40</v>
      </c>
      <c r="AF748" s="3" t="s">
        <v>151</v>
      </c>
      <c r="AG748" s="3" t="s">
        <v>313</v>
      </c>
      <c r="AH748" s="3"/>
    </row>
    <row r="749" spans="1:34" ht="14.25" customHeight="1" x14ac:dyDescent="0.25">
      <c r="A749" s="3" t="s">
        <v>116</v>
      </c>
      <c r="B749" s="3" t="s">
        <v>171</v>
      </c>
      <c r="C749" s="19"/>
      <c r="D749" s="3" t="s">
        <v>117</v>
      </c>
      <c r="E749" s="3">
        <v>1</v>
      </c>
      <c r="F749" s="3">
        <v>1</v>
      </c>
      <c r="G749" s="3" t="s">
        <v>3</v>
      </c>
      <c r="H749" s="22">
        <v>45869</v>
      </c>
      <c r="I749" s="15" t="s">
        <v>170</v>
      </c>
      <c r="J749" s="3">
        <v>0</v>
      </c>
      <c r="K749" s="3">
        <f>12+16</f>
        <v>28</v>
      </c>
      <c r="L749" s="3">
        <v>8</v>
      </c>
      <c r="M749" s="3">
        <f>16+18</f>
        <v>34</v>
      </c>
      <c r="N749" s="3">
        <v>8</v>
      </c>
      <c r="O749" s="3">
        <f t="shared" si="144"/>
        <v>78</v>
      </c>
      <c r="P749" s="3">
        <v>0</v>
      </c>
      <c r="Q749" s="3">
        <v>2</v>
      </c>
      <c r="R749" s="3">
        <v>1</v>
      </c>
      <c r="S749" s="3">
        <v>2</v>
      </c>
      <c r="T749" s="3">
        <v>1</v>
      </c>
      <c r="U749" s="3">
        <f t="shared" si="145"/>
        <v>6</v>
      </c>
      <c r="V749" s="13">
        <f t="shared" si="146"/>
        <v>13</v>
      </c>
      <c r="W749" s="13">
        <f t="shared" si="135"/>
        <v>13</v>
      </c>
      <c r="X749" s="3">
        <f t="shared" si="147"/>
        <v>6</v>
      </c>
      <c r="Y749" s="3">
        <f t="shared" si="136"/>
        <v>6.5000000000000002E-2</v>
      </c>
      <c r="Z749" s="19"/>
      <c r="AA749" s="3">
        <f t="shared" si="148"/>
        <v>200</v>
      </c>
      <c r="AB749" s="3">
        <v>70</v>
      </c>
      <c r="AC749" s="3" t="s">
        <v>82</v>
      </c>
      <c r="AD749" s="3" t="s">
        <v>83</v>
      </c>
      <c r="AE749" s="3">
        <v>40</v>
      </c>
      <c r="AF749" s="3" t="s">
        <v>151</v>
      </c>
      <c r="AG749" s="3" t="s">
        <v>313</v>
      </c>
      <c r="AH749" s="3"/>
    </row>
    <row r="750" spans="1:34" ht="14.25" customHeight="1" x14ac:dyDescent="0.25">
      <c r="A750" s="3" t="s">
        <v>116</v>
      </c>
      <c r="B750" s="3" t="s">
        <v>171</v>
      </c>
      <c r="C750" s="19"/>
      <c r="D750" s="3" t="s">
        <v>117</v>
      </c>
      <c r="E750" s="3">
        <v>1</v>
      </c>
      <c r="F750" s="3">
        <v>1</v>
      </c>
      <c r="G750" s="3" t="s">
        <v>14</v>
      </c>
      <c r="H750" s="22">
        <v>45869</v>
      </c>
      <c r="I750" s="15" t="s">
        <v>170</v>
      </c>
      <c r="J750" s="3">
        <v>0</v>
      </c>
      <c r="K750" s="3">
        <f>8+6</f>
        <v>14</v>
      </c>
      <c r="L750" s="3">
        <v>0</v>
      </c>
      <c r="M750" s="3">
        <f>8+6</f>
        <v>14</v>
      </c>
      <c r="N750" s="3">
        <v>0</v>
      </c>
      <c r="O750" s="3">
        <f t="shared" si="144"/>
        <v>28</v>
      </c>
      <c r="P750" s="3">
        <v>0</v>
      </c>
      <c r="Q750" s="3">
        <v>2</v>
      </c>
      <c r="R750" s="3">
        <v>1</v>
      </c>
      <c r="S750" s="3">
        <v>2</v>
      </c>
      <c r="T750" s="3">
        <v>1</v>
      </c>
      <c r="U750" s="3">
        <f t="shared" si="145"/>
        <v>6</v>
      </c>
      <c r="V750" s="13">
        <f t="shared" si="146"/>
        <v>4.666666666666667</v>
      </c>
      <c r="W750" s="13">
        <f t="shared" si="135"/>
        <v>4.666666666666667</v>
      </c>
      <c r="X750" s="3">
        <f t="shared" si="147"/>
        <v>6</v>
      </c>
      <c r="Y750" s="3">
        <f t="shared" si="136"/>
        <v>2.3333333333333334E-2</v>
      </c>
      <c r="Z750" s="19"/>
      <c r="AA750" s="3">
        <f t="shared" si="148"/>
        <v>200</v>
      </c>
      <c r="AB750" s="3">
        <v>70</v>
      </c>
      <c r="AC750" s="3" t="s">
        <v>82</v>
      </c>
      <c r="AD750" s="3" t="s">
        <v>83</v>
      </c>
      <c r="AE750" s="3">
        <v>40</v>
      </c>
      <c r="AF750" s="3" t="s">
        <v>151</v>
      </c>
      <c r="AG750" s="3" t="s">
        <v>313</v>
      </c>
      <c r="AH750" s="3"/>
    </row>
    <row r="751" spans="1:34" ht="14.25" customHeight="1" x14ac:dyDescent="0.25">
      <c r="A751" s="3" t="s">
        <v>116</v>
      </c>
      <c r="B751" s="3" t="s">
        <v>171</v>
      </c>
      <c r="C751" s="19"/>
      <c r="D751" s="3" t="s">
        <v>117</v>
      </c>
      <c r="E751" s="3">
        <v>1</v>
      </c>
      <c r="F751" s="3">
        <v>1</v>
      </c>
      <c r="G751" s="3" t="s">
        <v>16</v>
      </c>
      <c r="H751" s="22">
        <v>45869</v>
      </c>
      <c r="I751" s="15" t="s">
        <v>170</v>
      </c>
      <c r="J751" s="3">
        <v>0</v>
      </c>
      <c r="K751" s="3">
        <v>5</v>
      </c>
      <c r="L751" s="3">
        <v>6</v>
      </c>
      <c r="M751" s="3">
        <v>5</v>
      </c>
      <c r="N751" s="3">
        <v>0</v>
      </c>
      <c r="O751" s="3">
        <f t="shared" si="144"/>
        <v>16</v>
      </c>
      <c r="P751" s="3">
        <v>0</v>
      </c>
      <c r="Q751" s="3">
        <v>2</v>
      </c>
      <c r="R751" s="3">
        <v>1</v>
      </c>
      <c r="S751" s="3">
        <v>2</v>
      </c>
      <c r="T751" s="3">
        <v>1</v>
      </c>
      <c r="U751" s="3">
        <f t="shared" si="145"/>
        <v>6</v>
      </c>
      <c r="V751" s="13">
        <f t="shared" si="146"/>
        <v>2.6666666666666665</v>
      </c>
      <c r="W751" s="13">
        <f t="shared" si="135"/>
        <v>2.6666666666666665</v>
      </c>
      <c r="X751" s="3">
        <f t="shared" si="147"/>
        <v>6</v>
      </c>
      <c r="Y751" s="3">
        <f t="shared" si="136"/>
        <v>1.3333333333333332E-2</v>
      </c>
      <c r="Z751" s="19"/>
      <c r="AA751" s="3">
        <f t="shared" si="148"/>
        <v>200</v>
      </c>
      <c r="AB751" s="3">
        <v>70</v>
      </c>
      <c r="AC751" s="3" t="s">
        <v>82</v>
      </c>
      <c r="AD751" s="3" t="s">
        <v>83</v>
      </c>
      <c r="AE751" s="3">
        <v>40</v>
      </c>
      <c r="AF751" s="3" t="s">
        <v>151</v>
      </c>
      <c r="AG751" s="3" t="s">
        <v>313</v>
      </c>
      <c r="AH751" s="3"/>
    </row>
    <row r="752" spans="1:34" ht="14.25" customHeight="1" x14ac:dyDescent="0.25">
      <c r="A752" s="3" t="s">
        <v>116</v>
      </c>
      <c r="B752" s="3" t="s">
        <v>171</v>
      </c>
      <c r="C752" s="19"/>
      <c r="D752" s="3" t="s">
        <v>117</v>
      </c>
      <c r="E752" s="3">
        <v>1</v>
      </c>
      <c r="F752" s="3">
        <v>1</v>
      </c>
      <c r="G752" s="3" t="s">
        <v>18</v>
      </c>
      <c r="H752" s="22">
        <v>45869</v>
      </c>
      <c r="I752" s="15" t="s">
        <v>170</v>
      </c>
      <c r="J752" s="3">
        <v>0</v>
      </c>
      <c r="K752" s="3">
        <v>0</v>
      </c>
      <c r="L752" s="3">
        <v>0</v>
      </c>
      <c r="M752" s="3">
        <v>4</v>
      </c>
      <c r="N752" s="3">
        <v>0</v>
      </c>
      <c r="O752" s="3">
        <f t="shared" si="144"/>
        <v>4</v>
      </c>
      <c r="P752" s="3">
        <v>0</v>
      </c>
      <c r="Q752" s="3">
        <v>2</v>
      </c>
      <c r="R752" s="3">
        <v>1</v>
      </c>
      <c r="S752" s="3">
        <v>2</v>
      </c>
      <c r="T752" s="3">
        <v>1</v>
      </c>
      <c r="U752" s="3">
        <f t="shared" si="145"/>
        <v>6</v>
      </c>
      <c r="V752" s="13">
        <f t="shared" si="146"/>
        <v>0.66666666666666663</v>
      </c>
      <c r="W752" s="13">
        <f t="shared" si="135"/>
        <v>0.66666666666666663</v>
      </c>
      <c r="X752" s="3">
        <f t="shared" si="147"/>
        <v>6</v>
      </c>
      <c r="Y752" s="3">
        <f t="shared" si="136"/>
        <v>3.3333333333333331E-3</v>
      </c>
      <c r="Z752" s="19"/>
      <c r="AA752" s="3">
        <f t="shared" si="148"/>
        <v>200</v>
      </c>
      <c r="AB752" s="3">
        <v>70</v>
      </c>
      <c r="AC752" s="3" t="s">
        <v>82</v>
      </c>
      <c r="AD752" s="3" t="s">
        <v>83</v>
      </c>
      <c r="AE752" s="3">
        <v>40</v>
      </c>
      <c r="AF752" s="3" t="s">
        <v>151</v>
      </c>
      <c r="AG752" s="3" t="s">
        <v>313</v>
      </c>
      <c r="AH752" s="3"/>
    </row>
    <row r="753" spans="1:34" ht="14.25" customHeight="1" x14ac:dyDescent="0.25">
      <c r="A753" s="3" t="s">
        <v>145</v>
      </c>
      <c r="B753" s="3" t="s">
        <v>171</v>
      </c>
      <c r="C753" s="3"/>
      <c r="D753" s="3" t="s">
        <v>186</v>
      </c>
      <c r="E753" s="3">
        <v>1</v>
      </c>
      <c r="F753" s="3">
        <v>1</v>
      </c>
      <c r="G753" s="3" t="s">
        <v>3</v>
      </c>
      <c r="H753" s="11">
        <v>45900</v>
      </c>
      <c r="I753" s="3" t="s">
        <v>172</v>
      </c>
      <c r="J753" s="3">
        <f>16+6.8+9.6</f>
        <v>32.4</v>
      </c>
      <c r="K753" s="3">
        <f>3.6+8.2+14</f>
        <v>25.799999999999997</v>
      </c>
      <c r="L753" s="3">
        <v>7</v>
      </c>
      <c r="M753" s="3">
        <f>11+8.5+7.5+11</f>
        <v>38</v>
      </c>
      <c r="N753" s="3">
        <v>0</v>
      </c>
      <c r="O753" s="3">
        <f t="shared" si="144"/>
        <v>103.19999999999999</v>
      </c>
      <c r="P753" s="3">
        <v>5</v>
      </c>
      <c r="Q753" s="3">
        <v>4</v>
      </c>
      <c r="R753" s="3">
        <v>4</v>
      </c>
      <c r="S753" s="3">
        <v>6</v>
      </c>
      <c r="T753" s="3">
        <v>0</v>
      </c>
      <c r="U753" s="3">
        <f t="shared" si="145"/>
        <v>19</v>
      </c>
      <c r="V753" s="13">
        <f t="shared" si="146"/>
        <v>5.4315789473684202</v>
      </c>
      <c r="W753" s="13">
        <f t="shared" si="135"/>
        <v>5.4315789473684202</v>
      </c>
      <c r="X753" s="3">
        <f t="shared" si="147"/>
        <v>19</v>
      </c>
      <c r="Y753" s="3">
        <f t="shared" si="136"/>
        <v>9.4957673905042318E-3</v>
      </c>
      <c r="Z753" s="3"/>
      <c r="AA753" s="3">
        <f t="shared" ref="AA753:AA757" si="149">15*2.6*8+50*2.6*2</f>
        <v>572</v>
      </c>
      <c r="AB753" s="3"/>
      <c r="AC753" s="3" t="s">
        <v>82</v>
      </c>
      <c r="AD753" s="3" t="s">
        <v>83</v>
      </c>
      <c r="AE753" s="3">
        <v>15</v>
      </c>
      <c r="AF753" s="3" t="s">
        <v>143</v>
      </c>
      <c r="AG753" s="3" t="s">
        <v>303</v>
      </c>
      <c r="AH753" s="3"/>
    </row>
    <row r="754" spans="1:34" ht="14.25" customHeight="1" x14ac:dyDescent="0.25">
      <c r="A754" s="3" t="s">
        <v>145</v>
      </c>
      <c r="B754" s="3" t="s">
        <v>171</v>
      </c>
      <c r="C754" s="3"/>
      <c r="D754" s="3" t="s">
        <v>186</v>
      </c>
      <c r="E754" s="3">
        <v>1</v>
      </c>
      <c r="F754" s="3">
        <v>1</v>
      </c>
      <c r="G754" s="3" t="s">
        <v>10</v>
      </c>
      <c r="H754" s="11">
        <v>45900</v>
      </c>
      <c r="I754" s="3" t="s">
        <v>172</v>
      </c>
      <c r="J754" s="3">
        <f>3+2.8</f>
        <v>5.8</v>
      </c>
      <c r="K754" s="3">
        <v>0</v>
      </c>
      <c r="L754" s="3">
        <f>2.2+3.8</f>
        <v>6</v>
      </c>
      <c r="M754" s="3">
        <v>3.2</v>
      </c>
      <c r="N754" s="3">
        <v>0</v>
      </c>
      <c r="O754" s="3">
        <f t="shared" si="144"/>
        <v>15</v>
      </c>
      <c r="P754" s="3">
        <v>5</v>
      </c>
      <c r="Q754" s="3">
        <v>4</v>
      </c>
      <c r="R754" s="3">
        <v>4</v>
      </c>
      <c r="S754" s="3">
        <v>6</v>
      </c>
      <c r="T754" s="3">
        <v>0</v>
      </c>
      <c r="U754" s="3">
        <f t="shared" si="145"/>
        <v>19</v>
      </c>
      <c r="V754" s="13">
        <f t="shared" si="146"/>
        <v>0.78947368421052633</v>
      </c>
      <c r="W754" s="13">
        <f t="shared" si="135"/>
        <v>0.78947368421052633</v>
      </c>
      <c r="X754" s="3">
        <f t="shared" si="147"/>
        <v>19</v>
      </c>
      <c r="Y754" s="3">
        <f t="shared" si="136"/>
        <v>1.3801987486198014E-3</v>
      </c>
      <c r="Z754" s="3"/>
      <c r="AA754" s="3">
        <f t="shared" si="149"/>
        <v>572</v>
      </c>
      <c r="AB754" s="3"/>
      <c r="AC754" s="3" t="s">
        <v>82</v>
      </c>
      <c r="AD754" s="3" t="s">
        <v>83</v>
      </c>
      <c r="AE754" s="3">
        <v>15</v>
      </c>
      <c r="AF754" s="3" t="s">
        <v>143</v>
      </c>
      <c r="AG754" s="3" t="s">
        <v>303</v>
      </c>
      <c r="AH754" s="3"/>
    </row>
    <row r="755" spans="1:34" ht="14.25" customHeight="1" x14ac:dyDescent="0.25">
      <c r="A755" s="3" t="s">
        <v>145</v>
      </c>
      <c r="B755" s="3" t="s">
        <v>171</v>
      </c>
      <c r="C755" s="3"/>
      <c r="D755" s="3" t="s">
        <v>186</v>
      </c>
      <c r="E755" s="3">
        <v>1</v>
      </c>
      <c r="F755" s="3">
        <v>1</v>
      </c>
      <c r="G755" s="3" t="s">
        <v>12</v>
      </c>
      <c r="H755" s="11">
        <v>45900</v>
      </c>
      <c r="I755" s="3" t="s">
        <v>172</v>
      </c>
      <c r="J755" s="3">
        <v>1.6</v>
      </c>
      <c r="K755" s="3">
        <v>4</v>
      </c>
      <c r="L755" s="3">
        <v>2.6</v>
      </c>
      <c r="M755" s="3">
        <v>0</v>
      </c>
      <c r="N755" s="3">
        <v>0</v>
      </c>
      <c r="O755" s="3">
        <f t="shared" si="144"/>
        <v>8.1999999999999993</v>
      </c>
      <c r="P755" s="3">
        <v>5</v>
      </c>
      <c r="Q755" s="3">
        <v>4</v>
      </c>
      <c r="R755" s="3">
        <v>4</v>
      </c>
      <c r="S755" s="3">
        <v>6</v>
      </c>
      <c r="T755" s="3">
        <v>0</v>
      </c>
      <c r="U755" s="3">
        <f t="shared" si="145"/>
        <v>19</v>
      </c>
      <c r="V755" s="13">
        <f t="shared" si="146"/>
        <v>0.43157894736842101</v>
      </c>
      <c r="W755" s="13">
        <f t="shared" si="135"/>
        <v>0.43157894736842101</v>
      </c>
      <c r="X755" s="3">
        <f t="shared" si="147"/>
        <v>19</v>
      </c>
      <c r="Y755" s="3">
        <f t="shared" si="136"/>
        <v>7.5450864924549122E-4</v>
      </c>
      <c r="Z755" s="3"/>
      <c r="AA755" s="3">
        <f t="shared" si="149"/>
        <v>572</v>
      </c>
      <c r="AB755" s="3"/>
      <c r="AC755" s="3" t="s">
        <v>82</v>
      </c>
      <c r="AD755" s="3" t="s">
        <v>83</v>
      </c>
      <c r="AE755" s="3">
        <v>15</v>
      </c>
      <c r="AF755" s="3" t="s">
        <v>143</v>
      </c>
      <c r="AG755" s="3" t="s">
        <v>303</v>
      </c>
      <c r="AH755" s="3"/>
    </row>
    <row r="756" spans="1:34" ht="14.25" customHeight="1" x14ac:dyDescent="0.25">
      <c r="A756" s="3" t="s">
        <v>145</v>
      </c>
      <c r="B756" s="3" t="s">
        <v>171</v>
      </c>
      <c r="C756" s="3"/>
      <c r="D756" s="3" t="s">
        <v>186</v>
      </c>
      <c r="E756" s="3">
        <v>1</v>
      </c>
      <c r="F756" s="3">
        <v>1</v>
      </c>
      <c r="G756" s="3" t="s">
        <v>14</v>
      </c>
      <c r="H756" s="11">
        <v>45900</v>
      </c>
      <c r="I756" s="3" t="s">
        <v>172</v>
      </c>
      <c r="J756" s="3">
        <v>4</v>
      </c>
      <c r="K756" s="3">
        <v>3.6</v>
      </c>
      <c r="L756" s="3">
        <v>3</v>
      </c>
      <c r="M756" s="3">
        <v>0</v>
      </c>
      <c r="N756" s="3">
        <v>0</v>
      </c>
      <c r="O756" s="3">
        <f t="shared" si="144"/>
        <v>10.6</v>
      </c>
      <c r="P756" s="3">
        <v>5</v>
      </c>
      <c r="Q756" s="3">
        <v>4</v>
      </c>
      <c r="R756" s="3">
        <v>4</v>
      </c>
      <c r="S756" s="3">
        <v>6</v>
      </c>
      <c r="T756" s="3">
        <v>0</v>
      </c>
      <c r="U756" s="3">
        <f t="shared" si="145"/>
        <v>19</v>
      </c>
      <c r="V756" s="13">
        <f t="shared" si="146"/>
        <v>0.55789473684210522</v>
      </c>
      <c r="W756" s="13">
        <f t="shared" si="135"/>
        <v>0.55789473684210522</v>
      </c>
      <c r="X756" s="3">
        <f t="shared" si="147"/>
        <v>19</v>
      </c>
      <c r="Y756" s="3">
        <f t="shared" si="136"/>
        <v>9.7534044902465946E-4</v>
      </c>
      <c r="Z756" s="3"/>
      <c r="AA756" s="3">
        <f t="shared" si="149"/>
        <v>572</v>
      </c>
      <c r="AB756" s="3"/>
      <c r="AC756" s="3" t="s">
        <v>82</v>
      </c>
      <c r="AD756" s="3" t="s">
        <v>83</v>
      </c>
      <c r="AE756" s="3">
        <v>15</v>
      </c>
      <c r="AF756" s="3" t="s">
        <v>143</v>
      </c>
      <c r="AG756" s="3" t="s">
        <v>303</v>
      </c>
      <c r="AH756" s="3"/>
    </row>
    <row r="757" spans="1:34" ht="14.25" customHeight="1" x14ac:dyDescent="0.25">
      <c r="A757" s="3" t="s">
        <v>145</v>
      </c>
      <c r="B757" s="3" t="s">
        <v>171</v>
      </c>
      <c r="C757" s="3"/>
      <c r="D757" s="3" t="s">
        <v>186</v>
      </c>
      <c r="E757" s="3">
        <v>1</v>
      </c>
      <c r="F757" s="3">
        <v>1</v>
      </c>
      <c r="G757" s="3" t="s">
        <v>16</v>
      </c>
      <c r="H757" s="11">
        <v>45900</v>
      </c>
      <c r="I757" s="3" t="s">
        <v>172</v>
      </c>
      <c r="J757" s="3">
        <v>0</v>
      </c>
      <c r="K757" s="3">
        <v>0</v>
      </c>
      <c r="L757" s="3">
        <v>0</v>
      </c>
      <c r="M757" s="3">
        <f>4.2+3.3</f>
        <v>7.5</v>
      </c>
      <c r="N757" s="3">
        <v>0</v>
      </c>
      <c r="O757" s="3">
        <f t="shared" si="144"/>
        <v>7.5</v>
      </c>
      <c r="P757" s="3">
        <v>5</v>
      </c>
      <c r="Q757" s="3">
        <v>4</v>
      </c>
      <c r="R757" s="3">
        <v>4</v>
      </c>
      <c r="S757" s="3">
        <v>6</v>
      </c>
      <c r="T757" s="3">
        <v>0</v>
      </c>
      <c r="U757" s="3">
        <f t="shared" si="145"/>
        <v>19</v>
      </c>
      <c r="V757" s="13">
        <f t="shared" si="146"/>
        <v>0.39473684210526316</v>
      </c>
      <c r="W757" s="13">
        <f t="shared" si="135"/>
        <v>0.39473684210526316</v>
      </c>
      <c r="X757" s="3">
        <f t="shared" si="147"/>
        <v>19</v>
      </c>
      <c r="Y757" s="3">
        <f t="shared" si="136"/>
        <v>6.9009937430990068E-4</v>
      </c>
      <c r="Z757" s="3"/>
      <c r="AA757" s="3">
        <f t="shared" si="149"/>
        <v>572</v>
      </c>
      <c r="AB757" s="3"/>
      <c r="AC757" s="3" t="s">
        <v>82</v>
      </c>
      <c r="AD757" s="3" t="s">
        <v>83</v>
      </c>
      <c r="AE757" s="3">
        <v>15</v>
      </c>
      <c r="AF757" s="3" t="s">
        <v>143</v>
      </c>
      <c r="AG757" s="3" t="s">
        <v>303</v>
      </c>
      <c r="AH757" s="3"/>
    </row>
    <row r="758" spans="1:34" ht="14.25" customHeight="1" x14ac:dyDescent="0.25">
      <c r="A758" s="3" t="s">
        <v>163</v>
      </c>
      <c r="B758" s="3" t="s">
        <v>171</v>
      </c>
      <c r="C758" s="3"/>
      <c r="D758" s="3" t="s">
        <v>98</v>
      </c>
      <c r="E758" s="3">
        <v>2</v>
      </c>
      <c r="F758" s="3">
        <v>1</v>
      </c>
      <c r="G758" s="3" t="s">
        <v>1</v>
      </c>
      <c r="H758" s="11">
        <v>45900</v>
      </c>
      <c r="I758" s="3" t="s">
        <v>172</v>
      </c>
      <c r="J758" s="3">
        <v>20</v>
      </c>
      <c r="K758" s="3">
        <v>8</v>
      </c>
      <c r="L758" s="3">
        <v>0</v>
      </c>
      <c r="M758" s="3">
        <v>8</v>
      </c>
      <c r="N758" s="3">
        <v>0</v>
      </c>
      <c r="O758" s="3">
        <f t="shared" si="144"/>
        <v>36</v>
      </c>
      <c r="P758" s="3">
        <v>5</v>
      </c>
      <c r="Q758" s="3">
        <v>4</v>
      </c>
      <c r="R758" s="3">
        <v>3</v>
      </c>
      <c r="S758" s="3">
        <v>6</v>
      </c>
      <c r="T758" s="3">
        <v>1</v>
      </c>
      <c r="U758" s="3">
        <f t="shared" si="145"/>
        <v>19</v>
      </c>
      <c r="V758" s="13">
        <f t="shared" si="146"/>
        <v>1.8947368421052631</v>
      </c>
      <c r="W758" s="13">
        <f t="shared" si="135"/>
        <v>1.8947368421052631</v>
      </c>
      <c r="X758" s="3">
        <f t="shared" si="147"/>
        <v>19</v>
      </c>
      <c r="Y758" s="3">
        <f t="shared" si="136"/>
        <v>2.0940946530783188E-3</v>
      </c>
      <c r="Z758" s="3"/>
      <c r="AA758" s="3">
        <f t="shared" ref="AA758:AA765" si="150">60*2.6*3+12*2.6*14</f>
        <v>904.80000000000007</v>
      </c>
      <c r="AB758" s="3">
        <v>25</v>
      </c>
      <c r="AC758" s="3" t="s">
        <v>82</v>
      </c>
      <c r="AD758" s="3" t="s">
        <v>164</v>
      </c>
      <c r="AE758" s="3"/>
      <c r="AF758" s="3" t="s">
        <v>143</v>
      </c>
      <c r="AG758" s="3" t="s">
        <v>304</v>
      </c>
      <c r="AH758" s="3"/>
    </row>
    <row r="759" spans="1:34" ht="14.25" customHeight="1" x14ac:dyDescent="0.25">
      <c r="A759" s="3" t="s">
        <v>163</v>
      </c>
      <c r="B759" s="3" t="s">
        <v>171</v>
      </c>
      <c r="C759" s="3"/>
      <c r="D759" s="3" t="s">
        <v>98</v>
      </c>
      <c r="E759" s="3">
        <v>2</v>
      </c>
      <c r="F759" s="3">
        <v>1</v>
      </c>
      <c r="G759" s="3" t="s">
        <v>3</v>
      </c>
      <c r="H759" s="11">
        <v>45900</v>
      </c>
      <c r="I759" s="3" t="s">
        <v>172</v>
      </c>
      <c r="J759" s="3">
        <f>14.5+6.9</f>
        <v>21.4</v>
      </c>
      <c r="K759" s="3">
        <f>12+4.8</f>
        <v>16.8</v>
      </c>
      <c r="L759" s="3">
        <v>0</v>
      </c>
      <c r="M759" s="3">
        <f>7.3+5.6+4.9</f>
        <v>17.799999999999997</v>
      </c>
      <c r="N759" s="3">
        <v>0</v>
      </c>
      <c r="O759" s="3">
        <f t="shared" si="144"/>
        <v>56</v>
      </c>
      <c r="P759" s="3">
        <v>5</v>
      </c>
      <c r="Q759" s="3">
        <v>4</v>
      </c>
      <c r="R759" s="3">
        <v>3</v>
      </c>
      <c r="S759" s="3">
        <v>6</v>
      </c>
      <c r="T759" s="3">
        <v>1</v>
      </c>
      <c r="U759" s="3">
        <f t="shared" si="145"/>
        <v>19</v>
      </c>
      <c r="V759" s="13">
        <f t="shared" si="146"/>
        <v>2.9473684210526314</v>
      </c>
      <c r="W759" s="13">
        <f t="shared" si="135"/>
        <v>2.9473684210526314</v>
      </c>
      <c r="X759" s="3">
        <f t="shared" si="147"/>
        <v>19</v>
      </c>
      <c r="Y759" s="3">
        <f t="shared" si="136"/>
        <v>3.2574805714551628E-3</v>
      </c>
      <c r="Z759" s="3"/>
      <c r="AA759" s="3">
        <f t="shared" si="150"/>
        <v>904.80000000000007</v>
      </c>
      <c r="AB759" s="3">
        <v>25</v>
      </c>
      <c r="AC759" s="3" t="s">
        <v>82</v>
      </c>
      <c r="AD759" s="3" t="s">
        <v>164</v>
      </c>
      <c r="AE759" s="3"/>
      <c r="AF759" s="3" t="s">
        <v>143</v>
      </c>
      <c r="AG759" s="3" t="s">
        <v>304</v>
      </c>
      <c r="AH759" s="3"/>
    </row>
    <row r="760" spans="1:34" ht="14.25" customHeight="1" x14ac:dyDescent="0.25">
      <c r="A760" s="3" t="s">
        <v>163</v>
      </c>
      <c r="B760" s="3" t="s">
        <v>171</v>
      </c>
      <c r="C760" s="3"/>
      <c r="D760" s="3" t="s">
        <v>98</v>
      </c>
      <c r="E760" s="3">
        <v>2</v>
      </c>
      <c r="F760" s="3">
        <v>1</v>
      </c>
      <c r="G760" s="3" t="s">
        <v>9</v>
      </c>
      <c r="H760" s="11">
        <v>45900</v>
      </c>
      <c r="I760" s="3" t="s">
        <v>172</v>
      </c>
      <c r="J760" s="3">
        <v>0</v>
      </c>
      <c r="K760" s="3">
        <v>0</v>
      </c>
      <c r="L760" s="3">
        <f>6+4.8</f>
        <v>10.8</v>
      </c>
      <c r="M760" s="3">
        <f>4+6</f>
        <v>10</v>
      </c>
      <c r="N760" s="3">
        <v>0</v>
      </c>
      <c r="O760" s="3">
        <f t="shared" si="144"/>
        <v>20.8</v>
      </c>
      <c r="P760" s="3">
        <v>5</v>
      </c>
      <c r="Q760" s="3">
        <v>4</v>
      </c>
      <c r="R760" s="3">
        <v>3</v>
      </c>
      <c r="S760" s="3">
        <v>6</v>
      </c>
      <c r="T760" s="3">
        <v>1</v>
      </c>
      <c r="U760" s="3">
        <f t="shared" si="145"/>
        <v>19</v>
      </c>
      <c r="V760" s="13">
        <f t="shared" si="146"/>
        <v>1.0947368421052632</v>
      </c>
      <c r="W760" s="13">
        <f t="shared" si="135"/>
        <v>1.0947368421052632</v>
      </c>
      <c r="X760" s="3">
        <f t="shared" si="147"/>
        <v>19</v>
      </c>
      <c r="Y760" s="3">
        <f t="shared" si="136"/>
        <v>1.2099213551119176E-3</v>
      </c>
      <c r="Z760" s="3"/>
      <c r="AA760" s="3">
        <f t="shared" si="150"/>
        <v>904.80000000000007</v>
      </c>
      <c r="AB760" s="3">
        <v>25</v>
      </c>
      <c r="AC760" s="3" t="s">
        <v>82</v>
      </c>
      <c r="AD760" s="3" t="s">
        <v>164</v>
      </c>
      <c r="AE760" s="3"/>
      <c r="AF760" s="3" t="s">
        <v>143</v>
      </c>
      <c r="AG760" s="3" t="s">
        <v>304</v>
      </c>
      <c r="AH760" s="3"/>
    </row>
    <row r="761" spans="1:34" ht="14.25" customHeight="1" x14ac:dyDescent="0.25">
      <c r="A761" s="3" t="s">
        <v>163</v>
      </c>
      <c r="B761" s="3" t="s">
        <v>171</v>
      </c>
      <c r="C761" s="3"/>
      <c r="D761" s="3" t="s">
        <v>98</v>
      </c>
      <c r="E761" s="3">
        <v>2</v>
      </c>
      <c r="F761" s="3">
        <v>1</v>
      </c>
      <c r="G761" s="3" t="s">
        <v>12</v>
      </c>
      <c r="H761" s="11">
        <v>45900</v>
      </c>
      <c r="I761" s="3" t="s">
        <v>172</v>
      </c>
      <c r="J761" s="3">
        <v>0</v>
      </c>
      <c r="K761" s="3">
        <v>0</v>
      </c>
      <c r="L761" s="3">
        <v>1.6</v>
      </c>
      <c r="M761" s="3">
        <v>1.2</v>
      </c>
      <c r="N761" s="3">
        <v>0</v>
      </c>
      <c r="O761" s="3">
        <f t="shared" si="144"/>
        <v>2.8</v>
      </c>
      <c r="P761" s="3">
        <v>5</v>
      </c>
      <c r="Q761" s="3">
        <v>4</v>
      </c>
      <c r="R761" s="3">
        <v>3</v>
      </c>
      <c r="S761" s="3">
        <v>6</v>
      </c>
      <c r="T761" s="3">
        <v>1</v>
      </c>
      <c r="U761" s="3">
        <f t="shared" si="145"/>
        <v>19</v>
      </c>
      <c r="V761" s="13">
        <f t="shared" si="146"/>
        <v>0.14736842105263157</v>
      </c>
      <c r="W761" s="13">
        <f t="shared" si="135"/>
        <v>0.14736842105263157</v>
      </c>
      <c r="X761" s="3">
        <f t="shared" si="147"/>
        <v>19</v>
      </c>
      <c r="Y761" s="3">
        <f t="shared" si="136"/>
        <v>1.6287402857275812E-4</v>
      </c>
      <c r="Z761" s="3"/>
      <c r="AA761" s="3">
        <f t="shared" si="150"/>
        <v>904.80000000000007</v>
      </c>
      <c r="AB761" s="3">
        <v>25</v>
      </c>
      <c r="AC761" s="3" t="s">
        <v>82</v>
      </c>
      <c r="AD761" s="3" t="s">
        <v>164</v>
      </c>
      <c r="AE761" s="3"/>
      <c r="AF761" s="3" t="s">
        <v>143</v>
      </c>
      <c r="AG761" s="3" t="s">
        <v>304</v>
      </c>
      <c r="AH761" s="3"/>
    </row>
    <row r="762" spans="1:34" ht="14.25" customHeight="1" x14ac:dyDescent="0.25">
      <c r="A762" s="3" t="s">
        <v>163</v>
      </c>
      <c r="B762" s="3" t="s">
        <v>171</v>
      </c>
      <c r="C762" s="3"/>
      <c r="D762" s="3" t="s">
        <v>98</v>
      </c>
      <c r="E762" s="3">
        <v>2</v>
      </c>
      <c r="F762" s="3">
        <v>1</v>
      </c>
      <c r="G762" s="3" t="s">
        <v>14</v>
      </c>
      <c r="H762" s="11">
        <v>45900</v>
      </c>
      <c r="I762" s="3" t="s">
        <v>172</v>
      </c>
      <c r="J762" s="3">
        <v>2.8</v>
      </c>
      <c r="K762" s="3">
        <v>0</v>
      </c>
      <c r="L762" s="3">
        <v>0</v>
      </c>
      <c r="M762" s="3">
        <v>0</v>
      </c>
      <c r="N762" s="3">
        <v>0</v>
      </c>
      <c r="O762" s="3">
        <f t="shared" si="144"/>
        <v>2.8</v>
      </c>
      <c r="P762" s="3">
        <v>5</v>
      </c>
      <c r="Q762" s="3">
        <v>4</v>
      </c>
      <c r="R762" s="3">
        <v>3</v>
      </c>
      <c r="S762" s="3">
        <v>6</v>
      </c>
      <c r="T762" s="3">
        <v>1</v>
      </c>
      <c r="U762" s="3">
        <f t="shared" si="145"/>
        <v>19</v>
      </c>
      <c r="V762" s="13">
        <f t="shared" si="146"/>
        <v>0.14736842105263157</v>
      </c>
      <c r="W762" s="13">
        <f t="shared" si="135"/>
        <v>0.14736842105263157</v>
      </c>
      <c r="X762" s="3">
        <f t="shared" si="147"/>
        <v>19</v>
      </c>
      <c r="Y762" s="3">
        <f t="shared" si="136"/>
        <v>1.6287402857275812E-4</v>
      </c>
      <c r="Z762" s="3"/>
      <c r="AA762" s="3">
        <f t="shared" si="150"/>
        <v>904.80000000000007</v>
      </c>
      <c r="AB762" s="3">
        <v>25</v>
      </c>
      <c r="AC762" s="3" t="s">
        <v>82</v>
      </c>
      <c r="AD762" s="3" t="s">
        <v>164</v>
      </c>
      <c r="AE762" s="3"/>
      <c r="AF762" s="3" t="s">
        <v>143</v>
      </c>
      <c r="AG762" s="3" t="s">
        <v>304</v>
      </c>
      <c r="AH762" s="3"/>
    </row>
    <row r="763" spans="1:34" ht="14.25" customHeight="1" x14ac:dyDescent="0.25">
      <c r="A763" s="3" t="s">
        <v>163</v>
      </c>
      <c r="B763" s="3" t="s">
        <v>171</v>
      </c>
      <c r="C763" s="3"/>
      <c r="D763" s="3" t="s">
        <v>98</v>
      </c>
      <c r="E763" s="3">
        <v>2</v>
      </c>
      <c r="F763" s="3">
        <v>1</v>
      </c>
      <c r="G763" s="3" t="s">
        <v>16</v>
      </c>
      <c r="H763" s="11">
        <v>45900</v>
      </c>
      <c r="I763" s="3" t="s">
        <v>172</v>
      </c>
      <c r="J763" s="3">
        <v>1.9</v>
      </c>
      <c r="K763" s="3">
        <v>0</v>
      </c>
      <c r="L763" s="3">
        <v>0</v>
      </c>
      <c r="M763" s="3">
        <v>0</v>
      </c>
      <c r="N763" s="3">
        <v>0</v>
      </c>
      <c r="O763" s="3">
        <f t="shared" si="144"/>
        <v>1.9</v>
      </c>
      <c r="P763" s="3">
        <v>5</v>
      </c>
      <c r="Q763" s="3">
        <v>4</v>
      </c>
      <c r="R763" s="3">
        <v>3</v>
      </c>
      <c r="S763" s="3">
        <v>6</v>
      </c>
      <c r="T763" s="3">
        <v>1</v>
      </c>
      <c r="U763" s="3">
        <f t="shared" si="145"/>
        <v>19</v>
      </c>
      <c r="V763" s="13">
        <f t="shared" si="146"/>
        <v>9.9999999999999992E-2</v>
      </c>
      <c r="W763" s="13">
        <f t="shared" si="135"/>
        <v>9.9999999999999992E-2</v>
      </c>
      <c r="X763" s="3">
        <f t="shared" si="147"/>
        <v>19</v>
      </c>
      <c r="Y763" s="3">
        <f t="shared" si="136"/>
        <v>1.1052166224580016E-4</v>
      </c>
      <c r="Z763" s="3"/>
      <c r="AA763" s="3">
        <f t="shared" si="150"/>
        <v>904.80000000000007</v>
      </c>
      <c r="AB763" s="3">
        <v>25</v>
      </c>
      <c r="AC763" s="3" t="s">
        <v>82</v>
      </c>
      <c r="AD763" s="3" t="s">
        <v>164</v>
      </c>
      <c r="AE763" s="3"/>
      <c r="AF763" s="3" t="s">
        <v>143</v>
      </c>
      <c r="AG763" s="3" t="s">
        <v>304</v>
      </c>
      <c r="AH763" s="3"/>
    </row>
    <row r="764" spans="1:34" ht="14.25" customHeight="1" x14ac:dyDescent="0.25">
      <c r="A764" s="3" t="s">
        <v>163</v>
      </c>
      <c r="B764" s="3" t="s">
        <v>171</v>
      </c>
      <c r="C764" s="3"/>
      <c r="D764" s="3" t="s">
        <v>98</v>
      </c>
      <c r="E764" s="3">
        <v>2</v>
      </c>
      <c r="F764" s="3">
        <v>1</v>
      </c>
      <c r="G764" s="3" t="s">
        <v>18</v>
      </c>
      <c r="H764" s="11">
        <v>45900</v>
      </c>
      <c r="I764" s="3" t="s">
        <v>172</v>
      </c>
      <c r="J764" s="3">
        <v>0</v>
      </c>
      <c r="K764" s="3">
        <v>3</v>
      </c>
      <c r="L764" s="3">
        <v>0</v>
      </c>
      <c r="M764" s="3">
        <v>0</v>
      </c>
      <c r="N764" s="3">
        <v>1.6</v>
      </c>
      <c r="O764" s="3">
        <f t="shared" si="144"/>
        <v>4.5999999999999996</v>
      </c>
      <c r="P764" s="3">
        <v>5</v>
      </c>
      <c r="Q764" s="3">
        <v>4</v>
      </c>
      <c r="R764" s="3">
        <v>3</v>
      </c>
      <c r="S764" s="3">
        <v>6</v>
      </c>
      <c r="T764" s="3">
        <v>1</v>
      </c>
      <c r="U764" s="3">
        <f t="shared" si="145"/>
        <v>19</v>
      </c>
      <c r="V764" s="13">
        <f t="shared" si="146"/>
        <v>0.24210526315789471</v>
      </c>
      <c r="W764" s="13">
        <f t="shared" si="135"/>
        <v>0.24210526315789471</v>
      </c>
      <c r="X764" s="3">
        <f t="shared" si="147"/>
        <v>19</v>
      </c>
      <c r="Y764" s="3">
        <f t="shared" si="136"/>
        <v>2.6757876122667407E-4</v>
      </c>
      <c r="Z764" s="3"/>
      <c r="AA764" s="3">
        <f t="shared" si="150"/>
        <v>904.80000000000007</v>
      </c>
      <c r="AB764" s="3">
        <v>25</v>
      </c>
      <c r="AC764" s="3" t="s">
        <v>82</v>
      </c>
      <c r="AD764" s="3" t="s">
        <v>164</v>
      </c>
      <c r="AE764" s="3"/>
      <c r="AF764" s="3" t="s">
        <v>143</v>
      </c>
      <c r="AG764" s="3" t="s">
        <v>304</v>
      </c>
      <c r="AH764" s="3"/>
    </row>
    <row r="765" spans="1:34" ht="14.25" customHeight="1" x14ac:dyDescent="0.25">
      <c r="A765" s="3" t="s">
        <v>163</v>
      </c>
      <c r="B765" s="3" t="s">
        <v>171</v>
      </c>
      <c r="C765" s="3"/>
      <c r="D765" s="3" t="s">
        <v>98</v>
      </c>
      <c r="E765" s="3">
        <v>2</v>
      </c>
      <c r="F765" s="3">
        <v>1</v>
      </c>
      <c r="G765" s="3" t="s">
        <v>4</v>
      </c>
      <c r="H765" s="11">
        <v>45900</v>
      </c>
      <c r="I765" s="3" t="s">
        <v>172</v>
      </c>
      <c r="J765" s="3">
        <v>0</v>
      </c>
      <c r="K765" s="3">
        <v>0</v>
      </c>
      <c r="L765" s="3">
        <v>2.9</v>
      </c>
      <c r="M765" s="3">
        <v>0</v>
      </c>
      <c r="N765" s="3">
        <v>0</v>
      </c>
      <c r="O765" s="3">
        <f t="shared" si="144"/>
        <v>2.9</v>
      </c>
      <c r="P765" s="3">
        <v>5</v>
      </c>
      <c r="Q765" s="3">
        <v>4</v>
      </c>
      <c r="R765" s="3">
        <v>3</v>
      </c>
      <c r="S765" s="3">
        <v>6</v>
      </c>
      <c r="T765" s="3">
        <v>1</v>
      </c>
      <c r="U765" s="3">
        <f t="shared" si="145"/>
        <v>19</v>
      </c>
      <c r="V765" s="13">
        <f t="shared" si="146"/>
        <v>0.15263157894736842</v>
      </c>
      <c r="W765" s="13">
        <f t="shared" si="135"/>
        <v>0.15263157894736842</v>
      </c>
      <c r="X765" s="3">
        <f t="shared" si="147"/>
        <v>19</v>
      </c>
      <c r="Y765" s="3">
        <f t="shared" si="136"/>
        <v>1.6869095816464237E-4</v>
      </c>
      <c r="Z765" s="3"/>
      <c r="AA765" s="3">
        <f t="shared" si="150"/>
        <v>904.80000000000007</v>
      </c>
      <c r="AB765" s="3">
        <v>25</v>
      </c>
      <c r="AC765" s="3" t="s">
        <v>82</v>
      </c>
      <c r="AD765" s="3" t="s">
        <v>164</v>
      </c>
      <c r="AE765" s="3"/>
      <c r="AF765" s="3" t="s">
        <v>143</v>
      </c>
      <c r="AG765" s="3" t="s">
        <v>304</v>
      </c>
      <c r="AH765" s="3"/>
    </row>
    <row r="766" spans="1:34" ht="14.25" customHeight="1" x14ac:dyDescent="0.25">
      <c r="A766" s="3" t="s">
        <v>93</v>
      </c>
      <c r="B766" s="3" t="s">
        <v>171</v>
      </c>
      <c r="C766" s="3"/>
      <c r="D766" s="3" t="s">
        <v>80</v>
      </c>
      <c r="E766" s="3">
        <v>1</v>
      </c>
      <c r="F766" s="3">
        <v>1</v>
      </c>
      <c r="G766" s="3" t="s">
        <v>2</v>
      </c>
      <c r="H766" s="11">
        <v>45900</v>
      </c>
      <c r="I766" s="3" t="s">
        <v>172</v>
      </c>
      <c r="J766" s="3">
        <v>0</v>
      </c>
      <c r="K766" s="3">
        <v>6</v>
      </c>
      <c r="L766" s="3">
        <v>0</v>
      </c>
      <c r="M766" s="3">
        <v>14</v>
      </c>
      <c r="N766" s="3">
        <v>6.8</v>
      </c>
      <c r="O766" s="3">
        <f t="shared" si="144"/>
        <v>26.8</v>
      </c>
      <c r="P766" s="3">
        <v>2</v>
      </c>
      <c r="Q766" s="3">
        <v>3</v>
      </c>
      <c r="R766" s="3">
        <v>2</v>
      </c>
      <c r="S766" s="3">
        <v>2</v>
      </c>
      <c r="T766" s="3">
        <v>1</v>
      </c>
      <c r="U766" s="3">
        <f t="shared" si="145"/>
        <v>10</v>
      </c>
      <c r="V766" s="13">
        <f t="shared" si="146"/>
        <v>2.68</v>
      </c>
      <c r="W766" s="13">
        <f t="shared" si="135"/>
        <v>2.68</v>
      </c>
      <c r="X766" s="3">
        <f t="shared" si="147"/>
        <v>10</v>
      </c>
      <c r="Y766" s="3" t="e">
        <f t="shared" si="136"/>
        <v>#DIV/0!</v>
      </c>
      <c r="Z766" s="3"/>
      <c r="AA766" s="3"/>
      <c r="AB766" s="3"/>
      <c r="AC766" s="3" t="s">
        <v>82</v>
      </c>
      <c r="AD766" s="3" t="s">
        <v>83</v>
      </c>
      <c r="AE766" s="3">
        <v>50</v>
      </c>
      <c r="AF766" s="3" t="s">
        <v>143</v>
      </c>
      <c r="AG766" s="3" t="s">
        <v>173</v>
      </c>
      <c r="AH766" s="3"/>
    </row>
    <row r="767" spans="1:34" ht="14.25" customHeight="1" x14ac:dyDescent="0.25">
      <c r="A767" s="3" t="s">
        <v>93</v>
      </c>
      <c r="B767" s="3" t="s">
        <v>171</v>
      </c>
      <c r="C767" s="3"/>
      <c r="D767" s="3" t="s">
        <v>80</v>
      </c>
      <c r="E767" s="3">
        <v>1</v>
      </c>
      <c r="F767" s="3">
        <v>1</v>
      </c>
      <c r="G767" s="3" t="s">
        <v>16</v>
      </c>
      <c r="H767" s="11">
        <v>45900</v>
      </c>
      <c r="I767" s="3" t="s">
        <v>172</v>
      </c>
      <c r="J767" s="3">
        <v>4.3</v>
      </c>
      <c r="K767" s="3">
        <v>1.8</v>
      </c>
      <c r="L767" s="3">
        <v>0</v>
      </c>
      <c r="M767" s="3">
        <v>2.9</v>
      </c>
      <c r="N767" s="3">
        <v>0</v>
      </c>
      <c r="O767" s="3">
        <f t="shared" si="144"/>
        <v>9</v>
      </c>
      <c r="P767" s="3">
        <v>2</v>
      </c>
      <c r="Q767" s="3">
        <v>3</v>
      </c>
      <c r="R767" s="3">
        <v>2</v>
      </c>
      <c r="S767" s="3">
        <v>2</v>
      </c>
      <c r="T767" s="3">
        <v>1</v>
      </c>
      <c r="U767" s="3">
        <f t="shared" si="145"/>
        <v>10</v>
      </c>
      <c r="V767" s="13">
        <f t="shared" si="146"/>
        <v>0.9</v>
      </c>
      <c r="W767" s="13">
        <f t="shared" si="135"/>
        <v>0.9</v>
      </c>
      <c r="X767" s="3">
        <f t="shared" si="147"/>
        <v>10</v>
      </c>
      <c r="Y767" s="3" t="e">
        <f t="shared" si="136"/>
        <v>#DIV/0!</v>
      </c>
      <c r="Z767" s="3"/>
      <c r="AA767" s="3"/>
      <c r="AB767" s="3"/>
      <c r="AC767" s="3" t="s">
        <v>82</v>
      </c>
      <c r="AD767" s="3" t="s">
        <v>83</v>
      </c>
      <c r="AE767" s="3">
        <v>50</v>
      </c>
      <c r="AF767" s="3" t="s">
        <v>143</v>
      </c>
      <c r="AG767" s="3" t="s">
        <v>173</v>
      </c>
      <c r="AH767" s="3"/>
    </row>
    <row r="768" spans="1:34" ht="14.25" customHeight="1" x14ac:dyDescent="0.25">
      <c r="A768" s="3" t="s">
        <v>93</v>
      </c>
      <c r="B768" s="3" t="s">
        <v>171</v>
      </c>
      <c r="C768" s="3"/>
      <c r="D768" s="3" t="s">
        <v>80</v>
      </c>
      <c r="E768" s="3">
        <v>1</v>
      </c>
      <c r="F768" s="3">
        <v>1</v>
      </c>
      <c r="G768" s="3" t="s">
        <v>18</v>
      </c>
      <c r="H768" s="11">
        <v>45900</v>
      </c>
      <c r="I768" s="3" t="s">
        <v>172</v>
      </c>
      <c r="J768" s="3">
        <v>6.3</v>
      </c>
      <c r="K768" s="3">
        <v>0</v>
      </c>
      <c r="L768" s="3">
        <f>9.6+7.3</f>
        <v>16.899999999999999</v>
      </c>
      <c r="M768" s="3">
        <f>3.6+5.2</f>
        <v>8.8000000000000007</v>
      </c>
      <c r="N768" s="3">
        <v>0</v>
      </c>
      <c r="O768" s="3">
        <f t="shared" si="144"/>
        <v>32</v>
      </c>
      <c r="P768" s="3">
        <v>2</v>
      </c>
      <c r="Q768" s="3">
        <v>3</v>
      </c>
      <c r="R768" s="3">
        <v>2</v>
      </c>
      <c r="S768" s="3">
        <v>2</v>
      </c>
      <c r="T768" s="3">
        <v>1</v>
      </c>
      <c r="U768" s="3">
        <f t="shared" si="145"/>
        <v>10</v>
      </c>
      <c r="V768" s="13">
        <f t="shared" si="146"/>
        <v>3.2</v>
      </c>
      <c r="W768" s="13">
        <f t="shared" si="135"/>
        <v>3.2</v>
      </c>
      <c r="X768" s="3">
        <f t="shared" si="147"/>
        <v>10</v>
      </c>
      <c r="Y768" s="3" t="e">
        <f t="shared" si="136"/>
        <v>#DIV/0!</v>
      </c>
      <c r="Z768" s="3"/>
      <c r="AA768" s="3"/>
      <c r="AB768" s="3"/>
      <c r="AC768" s="3" t="s">
        <v>82</v>
      </c>
      <c r="AD768" s="3" t="s">
        <v>83</v>
      </c>
      <c r="AE768" s="3">
        <v>50</v>
      </c>
      <c r="AF768" s="3" t="s">
        <v>143</v>
      </c>
      <c r="AG768" s="3" t="s">
        <v>173</v>
      </c>
      <c r="AH768" s="3"/>
    </row>
    <row r="769" spans="1:34" ht="14.25" customHeight="1" x14ac:dyDescent="0.25">
      <c r="A769" s="3" t="s">
        <v>93</v>
      </c>
      <c r="B769" s="3" t="s">
        <v>171</v>
      </c>
      <c r="C769" s="3"/>
      <c r="D769" s="3" t="s">
        <v>80</v>
      </c>
      <c r="E769" s="3">
        <v>1</v>
      </c>
      <c r="F769" s="3">
        <v>1</v>
      </c>
      <c r="G769" s="3" t="s">
        <v>25</v>
      </c>
      <c r="H769" s="11">
        <v>45900</v>
      </c>
      <c r="I769" s="3" t="s">
        <v>172</v>
      </c>
      <c r="J769" s="3">
        <v>0</v>
      </c>
      <c r="K769" s="3">
        <v>11</v>
      </c>
      <c r="L769" s="3">
        <v>0</v>
      </c>
      <c r="M769" s="3">
        <v>0</v>
      </c>
      <c r="N769" s="3">
        <v>0</v>
      </c>
      <c r="O769" s="3">
        <f t="shared" si="144"/>
        <v>11</v>
      </c>
      <c r="P769" s="3">
        <v>2</v>
      </c>
      <c r="Q769" s="3">
        <v>3</v>
      </c>
      <c r="R769" s="3">
        <v>2</v>
      </c>
      <c r="S769" s="3">
        <v>2</v>
      </c>
      <c r="T769" s="3">
        <v>1</v>
      </c>
      <c r="U769" s="3">
        <f t="shared" si="145"/>
        <v>10</v>
      </c>
      <c r="V769" s="13">
        <f t="shared" si="146"/>
        <v>1.1000000000000001</v>
      </c>
      <c r="W769" s="13">
        <f t="shared" si="135"/>
        <v>1.1000000000000001</v>
      </c>
      <c r="X769" s="3">
        <f t="shared" si="147"/>
        <v>10</v>
      </c>
      <c r="Y769" s="3" t="e">
        <f t="shared" si="136"/>
        <v>#DIV/0!</v>
      </c>
      <c r="Z769" s="3"/>
      <c r="AA769" s="3"/>
      <c r="AB769" s="3"/>
      <c r="AC769" s="3" t="s">
        <v>82</v>
      </c>
      <c r="AD769" s="3" t="s">
        <v>83</v>
      </c>
      <c r="AE769" s="3">
        <v>50</v>
      </c>
      <c r="AF769" s="3" t="s">
        <v>143</v>
      </c>
      <c r="AG769" s="3" t="s">
        <v>173</v>
      </c>
      <c r="AH769" s="3"/>
    </row>
    <row r="770" spans="1:34" ht="14.25" customHeight="1" x14ac:dyDescent="0.25">
      <c r="A770" s="3" t="s">
        <v>174</v>
      </c>
      <c r="B770" s="3" t="s">
        <v>171</v>
      </c>
      <c r="C770" s="3"/>
      <c r="D770" s="3" t="s">
        <v>98</v>
      </c>
      <c r="E770" s="3">
        <v>1</v>
      </c>
      <c r="F770" s="3">
        <v>1</v>
      </c>
      <c r="G770" s="3" t="s">
        <v>1</v>
      </c>
      <c r="H770" s="11">
        <v>45900</v>
      </c>
      <c r="I770" s="3" t="s">
        <v>172</v>
      </c>
      <c r="J770" s="3">
        <v>0</v>
      </c>
      <c r="K770" s="3">
        <v>3.6</v>
      </c>
      <c r="L770" s="3">
        <v>0</v>
      </c>
      <c r="M770" s="3">
        <v>0</v>
      </c>
      <c r="N770" s="3">
        <v>0</v>
      </c>
      <c r="O770" s="3">
        <f t="shared" si="144"/>
        <v>3.6</v>
      </c>
      <c r="P770" s="3">
        <v>3</v>
      </c>
      <c r="Q770" s="3">
        <v>3</v>
      </c>
      <c r="R770" s="3">
        <v>2</v>
      </c>
      <c r="S770" s="3">
        <v>3</v>
      </c>
      <c r="T770" s="3">
        <v>0</v>
      </c>
      <c r="U770" s="3">
        <f t="shared" si="145"/>
        <v>11</v>
      </c>
      <c r="V770" s="13">
        <f t="shared" si="146"/>
        <v>0.32727272727272727</v>
      </c>
      <c r="W770" s="13">
        <f t="shared" si="135"/>
        <v>0.32727272727272727</v>
      </c>
      <c r="X770" s="3">
        <f t="shared" si="147"/>
        <v>11</v>
      </c>
      <c r="Y770" s="3">
        <f t="shared" si="136"/>
        <v>1.0625737898465172E-3</v>
      </c>
      <c r="Z770" s="3"/>
      <c r="AA770" s="3">
        <f t="shared" ref="AA770:AA773" si="151">10*2.2*14</f>
        <v>308</v>
      </c>
      <c r="AB770" s="3"/>
      <c r="AC770" s="3" t="s">
        <v>82</v>
      </c>
      <c r="AD770" s="3" t="s">
        <v>83</v>
      </c>
      <c r="AE770" s="3">
        <v>15</v>
      </c>
      <c r="AF770" s="3" t="s">
        <v>143</v>
      </c>
      <c r="AG770" s="3" t="s">
        <v>303</v>
      </c>
      <c r="AH770" s="3"/>
    </row>
    <row r="771" spans="1:34" ht="14.25" customHeight="1" x14ac:dyDescent="0.25">
      <c r="A771" s="3" t="s">
        <v>174</v>
      </c>
      <c r="B771" s="3" t="s">
        <v>171</v>
      </c>
      <c r="C771" s="3"/>
      <c r="D771" s="3" t="s">
        <v>98</v>
      </c>
      <c r="E771" s="3">
        <v>1</v>
      </c>
      <c r="F771" s="3">
        <v>1</v>
      </c>
      <c r="G771" s="3" t="s">
        <v>3</v>
      </c>
      <c r="H771" s="11">
        <v>45900</v>
      </c>
      <c r="I771" s="3" t="s">
        <v>172</v>
      </c>
      <c r="J771" s="3">
        <f>14+8</f>
        <v>22</v>
      </c>
      <c r="K771" s="3">
        <v>8</v>
      </c>
      <c r="L771" s="3">
        <f>16.5+6.6</f>
        <v>23.1</v>
      </c>
      <c r="M771" s="3">
        <f>12+9.6</f>
        <v>21.6</v>
      </c>
      <c r="N771" s="3">
        <v>0</v>
      </c>
      <c r="O771" s="3">
        <f t="shared" si="144"/>
        <v>74.7</v>
      </c>
      <c r="P771" s="3">
        <v>3</v>
      </c>
      <c r="Q771" s="3">
        <v>3</v>
      </c>
      <c r="R771" s="3">
        <v>2</v>
      </c>
      <c r="S771" s="3">
        <v>3</v>
      </c>
      <c r="T771" s="3">
        <v>0</v>
      </c>
      <c r="U771" s="3">
        <f t="shared" si="145"/>
        <v>11</v>
      </c>
      <c r="V771" s="13">
        <f t="shared" si="146"/>
        <v>6.790909090909091</v>
      </c>
      <c r="W771" s="13">
        <f t="shared" ref="W771:W834" si="152">O771/U771/F771</f>
        <v>6.790909090909091</v>
      </c>
      <c r="X771" s="3">
        <f t="shared" si="147"/>
        <v>11</v>
      </c>
      <c r="Y771" s="3">
        <f t="shared" ref="Y771:Y834" si="153">O771/U771/AA771</f>
        <v>2.2048406139315229E-2</v>
      </c>
      <c r="Z771" s="3"/>
      <c r="AA771" s="3">
        <f t="shared" si="151"/>
        <v>308</v>
      </c>
      <c r="AB771" s="3"/>
      <c r="AC771" s="3" t="s">
        <v>82</v>
      </c>
      <c r="AD771" s="3" t="s">
        <v>83</v>
      </c>
      <c r="AE771" s="3">
        <v>15</v>
      </c>
      <c r="AF771" s="3" t="s">
        <v>143</v>
      </c>
      <c r="AG771" s="3" t="s">
        <v>303</v>
      </c>
      <c r="AH771" s="3"/>
    </row>
    <row r="772" spans="1:34" ht="14.25" customHeight="1" x14ac:dyDescent="0.25">
      <c r="A772" s="3" t="s">
        <v>174</v>
      </c>
      <c r="B772" s="3" t="s">
        <v>171</v>
      </c>
      <c r="C772" s="3"/>
      <c r="D772" s="3" t="s">
        <v>98</v>
      </c>
      <c r="E772" s="3">
        <v>1</v>
      </c>
      <c r="F772" s="3">
        <v>1</v>
      </c>
      <c r="G772" s="3" t="s">
        <v>16</v>
      </c>
      <c r="H772" s="11">
        <v>45900</v>
      </c>
      <c r="I772" s="3" t="s">
        <v>172</v>
      </c>
      <c r="J772" s="3">
        <v>0</v>
      </c>
      <c r="K772" s="3">
        <v>1.9</v>
      </c>
      <c r="L772" s="3">
        <v>0</v>
      </c>
      <c r="M772" s="3">
        <v>0</v>
      </c>
      <c r="N772" s="3">
        <v>0</v>
      </c>
      <c r="O772" s="3">
        <f t="shared" si="144"/>
        <v>1.9</v>
      </c>
      <c r="P772" s="3">
        <v>3</v>
      </c>
      <c r="Q772" s="3">
        <v>3</v>
      </c>
      <c r="R772" s="3">
        <v>2</v>
      </c>
      <c r="S772" s="3">
        <v>3</v>
      </c>
      <c r="T772" s="3">
        <v>0</v>
      </c>
      <c r="U772" s="3">
        <f t="shared" si="145"/>
        <v>11</v>
      </c>
      <c r="V772" s="13">
        <f t="shared" si="146"/>
        <v>0.17272727272727273</v>
      </c>
      <c r="W772" s="13">
        <f t="shared" si="152"/>
        <v>0.17272727272727273</v>
      </c>
      <c r="X772" s="3">
        <f t="shared" si="147"/>
        <v>11</v>
      </c>
      <c r="Y772" s="3">
        <f t="shared" si="153"/>
        <v>5.6080283353010627E-4</v>
      </c>
      <c r="Z772" s="3"/>
      <c r="AA772" s="3">
        <f t="shared" si="151"/>
        <v>308</v>
      </c>
      <c r="AB772" s="3"/>
      <c r="AC772" s="3" t="s">
        <v>82</v>
      </c>
      <c r="AD772" s="3" t="s">
        <v>83</v>
      </c>
      <c r="AE772" s="3">
        <v>15</v>
      </c>
      <c r="AF772" s="3" t="s">
        <v>143</v>
      </c>
      <c r="AG772" s="3" t="s">
        <v>303</v>
      </c>
      <c r="AH772" s="3"/>
    </row>
    <row r="773" spans="1:34" ht="14.25" customHeight="1" x14ac:dyDescent="0.25">
      <c r="A773" s="3" t="s">
        <v>174</v>
      </c>
      <c r="B773" s="3" t="s">
        <v>171</v>
      </c>
      <c r="C773" s="3"/>
      <c r="D773" s="3" t="s">
        <v>98</v>
      </c>
      <c r="E773" s="3">
        <v>1</v>
      </c>
      <c r="F773" s="3">
        <v>1</v>
      </c>
      <c r="G773" s="3" t="s">
        <v>18</v>
      </c>
      <c r="H773" s="11">
        <v>45900</v>
      </c>
      <c r="I773" s="3" t="s">
        <v>172</v>
      </c>
      <c r="J773" s="3">
        <v>3.6</v>
      </c>
      <c r="K773" s="3">
        <v>0</v>
      </c>
      <c r="L773" s="3">
        <v>0</v>
      </c>
      <c r="M773" s="3">
        <v>2.6</v>
      </c>
      <c r="N773" s="3">
        <v>0</v>
      </c>
      <c r="O773" s="3">
        <f t="shared" si="144"/>
        <v>6.2</v>
      </c>
      <c r="P773" s="3">
        <v>3</v>
      </c>
      <c r="Q773" s="3">
        <v>3</v>
      </c>
      <c r="R773" s="3">
        <v>2</v>
      </c>
      <c r="S773" s="3">
        <v>3</v>
      </c>
      <c r="T773" s="3">
        <v>0</v>
      </c>
      <c r="U773" s="3">
        <f t="shared" si="145"/>
        <v>11</v>
      </c>
      <c r="V773" s="13">
        <f t="shared" si="146"/>
        <v>0.5636363636363636</v>
      </c>
      <c r="W773" s="13">
        <f t="shared" si="152"/>
        <v>0.5636363636363636</v>
      </c>
      <c r="X773" s="3">
        <f t="shared" si="147"/>
        <v>11</v>
      </c>
      <c r="Y773" s="3">
        <f t="shared" si="153"/>
        <v>1.8299881936245572E-3</v>
      </c>
      <c r="Z773" s="3"/>
      <c r="AA773" s="3">
        <f t="shared" si="151"/>
        <v>308</v>
      </c>
      <c r="AB773" s="3"/>
      <c r="AC773" s="3" t="s">
        <v>82</v>
      </c>
      <c r="AD773" s="3" t="s">
        <v>83</v>
      </c>
      <c r="AE773" s="3">
        <v>15</v>
      </c>
      <c r="AF773" s="3" t="s">
        <v>143</v>
      </c>
      <c r="AG773" s="3" t="s">
        <v>303</v>
      </c>
      <c r="AH773" s="3"/>
    </row>
    <row r="774" spans="1:34" ht="14.25" customHeight="1" x14ac:dyDescent="0.25">
      <c r="A774" s="3" t="s">
        <v>175</v>
      </c>
      <c r="B774" s="3" t="s">
        <v>171</v>
      </c>
      <c r="C774" s="3"/>
      <c r="D774" s="3" t="s">
        <v>80</v>
      </c>
      <c r="E774" s="3">
        <v>1</v>
      </c>
      <c r="F774" s="3">
        <v>1</v>
      </c>
      <c r="G774" s="3" t="s">
        <v>3</v>
      </c>
      <c r="H774" s="11">
        <v>45900</v>
      </c>
      <c r="I774" s="3" t="s">
        <v>172</v>
      </c>
      <c r="J774" s="3">
        <f>40+58+16</f>
        <v>114</v>
      </c>
      <c r="K774" s="3">
        <v>80</v>
      </c>
      <c r="L774" s="3">
        <v>0</v>
      </c>
      <c r="M774" s="3">
        <f>48+12+18.8</f>
        <v>78.8</v>
      </c>
      <c r="N774" s="3">
        <v>0</v>
      </c>
      <c r="O774" s="3">
        <f t="shared" si="144"/>
        <v>272.8</v>
      </c>
      <c r="P774" s="3">
        <v>6</v>
      </c>
      <c r="Q774" s="3">
        <v>2</v>
      </c>
      <c r="R774" s="3">
        <v>1</v>
      </c>
      <c r="S774" s="3">
        <v>3</v>
      </c>
      <c r="T774" s="3">
        <v>0</v>
      </c>
      <c r="U774" s="3">
        <f t="shared" si="145"/>
        <v>12</v>
      </c>
      <c r="V774" s="13">
        <f t="shared" si="146"/>
        <v>22.733333333333334</v>
      </c>
      <c r="W774" s="13">
        <f t="shared" si="152"/>
        <v>22.733333333333334</v>
      </c>
      <c r="X774" s="3">
        <f t="shared" si="147"/>
        <v>12</v>
      </c>
      <c r="Y774" s="3">
        <f t="shared" si="153"/>
        <v>3.6431623931623934E-2</v>
      </c>
      <c r="Z774" s="3"/>
      <c r="AA774" s="3">
        <f t="shared" ref="AA774:AA779" si="154">60*2.6*4</f>
        <v>624</v>
      </c>
      <c r="AB774" s="3"/>
      <c r="AC774" s="3" t="s">
        <v>82</v>
      </c>
      <c r="AD774" s="3" t="s">
        <v>83</v>
      </c>
      <c r="AE774" s="3">
        <v>40</v>
      </c>
      <c r="AF774" s="3" t="s">
        <v>143</v>
      </c>
      <c r="AG774" s="3" t="s">
        <v>303</v>
      </c>
      <c r="AH774" s="3"/>
    </row>
    <row r="775" spans="1:34" ht="14.25" customHeight="1" x14ac:dyDescent="0.25">
      <c r="A775" s="3" t="s">
        <v>175</v>
      </c>
      <c r="B775" s="3" t="s">
        <v>171</v>
      </c>
      <c r="C775" s="3"/>
      <c r="D775" s="3" t="s">
        <v>80</v>
      </c>
      <c r="E775" s="3">
        <v>1</v>
      </c>
      <c r="F775" s="3">
        <v>1</v>
      </c>
      <c r="G775" s="3" t="s">
        <v>14</v>
      </c>
      <c r="H775" s="11">
        <v>45900</v>
      </c>
      <c r="I775" s="3" t="s">
        <v>172</v>
      </c>
      <c r="J775" s="3">
        <v>1.8</v>
      </c>
      <c r="K775" s="3">
        <v>1.2</v>
      </c>
      <c r="L775" s="3">
        <v>0</v>
      </c>
      <c r="M775" s="3">
        <v>0</v>
      </c>
      <c r="N775" s="3">
        <v>0</v>
      </c>
      <c r="O775" s="3">
        <f t="shared" si="144"/>
        <v>3</v>
      </c>
      <c r="P775" s="3">
        <v>6</v>
      </c>
      <c r="Q775" s="3">
        <v>2</v>
      </c>
      <c r="R775" s="3">
        <v>1</v>
      </c>
      <c r="S775" s="3">
        <v>3</v>
      </c>
      <c r="T775" s="3">
        <v>0</v>
      </c>
      <c r="U775" s="3">
        <f t="shared" si="145"/>
        <v>12</v>
      </c>
      <c r="V775" s="13">
        <f t="shared" si="146"/>
        <v>0.25</v>
      </c>
      <c r="W775" s="13">
        <f t="shared" si="152"/>
        <v>0.25</v>
      </c>
      <c r="X775" s="3">
        <f t="shared" si="147"/>
        <v>12</v>
      </c>
      <c r="Y775" s="3">
        <f t="shared" si="153"/>
        <v>4.0064102564102563E-4</v>
      </c>
      <c r="Z775" s="3"/>
      <c r="AA775" s="3">
        <f t="shared" si="154"/>
        <v>624</v>
      </c>
      <c r="AB775" s="3"/>
      <c r="AC775" s="3" t="s">
        <v>82</v>
      </c>
      <c r="AD775" s="3" t="s">
        <v>83</v>
      </c>
      <c r="AE775" s="3">
        <v>40</v>
      </c>
      <c r="AF775" s="3" t="s">
        <v>143</v>
      </c>
      <c r="AG775" s="3" t="s">
        <v>303</v>
      </c>
      <c r="AH775" s="3"/>
    </row>
    <row r="776" spans="1:34" ht="14.25" customHeight="1" x14ac:dyDescent="0.25">
      <c r="A776" s="3" t="s">
        <v>175</v>
      </c>
      <c r="B776" s="3" t="s">
        <v>171</v>
      </c>
      <c r="C776" s="3"/>
      <c r="D776" s="3" t="s">
        <v>80</v>
      </c>
      <c r="E776" s="3">
        <v>1</v>
      </c>
      <c r="F776" s="3">
        <v>1</v>
      </c>
      <c r="G776" s="3" t="s">
        <v>16</v>
      </c>
      <c r="H776" s="11">
        <v>45900</v>
      </c>
      <c r="I776" s="3" t="s">
        <v>172</v>
      </c>
      <c r="J776" s="3">
        <v>2.6</v>
      </c>
      <c r="K776" s="3">
        <v>2.6</v>
      </c>
      <c r="L776" s="3">
        <v>0</v>
      </c>
      <c r="M776" s="3">
        <v>0</v>
      </c>
      <c r="N776" s="3">
        <v>0</v>
      </c>
      <c r="O776" s="3">
        <f t="shared" si="144"/>
        <v>5.2</v>
      </c>
      <c r="P776" s="3">
        <v>6</v>
      </c>
      <c r="Q776" s="3">
        <v>2</v>
      </c>
      <c r="R776" s="3">
        <v>1</v>
      </c>
      <c r="S776" s="3">
        <v>3</v>
      </c>
      <c r="T776" s="3">
        <v>0</v>
      </c>
      <c r="U776" s="3">
        <f t="shared" si="145"/>
        <v>12</v>
      </c>
      <c r="V776" s="13">
        <f t="shared" si="146"/>
        <v>0.43333333333333335</v>
      </c>
      <c r="W776" s="13">
        <f t="shared" si="152"/>
        <v>0.43333333333333335</v>
      </c>
      <c r="X776" s="3">
        <f t="shared" si="147"/>
        <v>12</v>
      </c>
      <c r="Y776" s="3">
        <f t="shared" si="153"/>
        <v>6.9444444444444447E-4</v>
      </c>
      <c r="Z776" s="3"/>
      <c r="AA776" s="3">
        <f t="shared" si="154"/>
        <v>624</v>
      </c>
      <c r="AB776" s="3"/>
      <c r="AC776" s="3" t="s">
        <v>82</v>
      </c>
      <c r="AD776" s="3" t="s">
        <v>83</v>
      </c>
      <c r="AE776" s="3">
        <v>40</v>
      </c>
      <c r="AF776" s="3" t="s">
        <v>143</v>
      </c>
      <c r="AG776" s="3" t="s">
        <v>303</v>
      </c>
      <c r="AH776" s="3"/>
    </row>
    <row r="777" spans="1:34" ht="14.25" customHeight="1" x14ac:dyDescent="0.25">
      <c r="A777" s="3" t="s">
        <v>175</v>
      </c>
      <c r="B777" s="3" t="s">
        <v>171</v>
      </c>
      <c r="C777" s="3"/>
      <c r="D777" s="3" t="s">
        <v>80</v>
      </c>
      <c r="E777" s="3">
        <v>1</v>
      </c>
      <c r="F777" s="3">
        <v>1</v>
      </c>
      <c r="G777" s="3" t="s">
        <v>18</v>
      </c>
      <c r="H777" s="11">
        <v>45900</v>
      </c>
      <c r="I777" s="3" t="s">
        <v>172</v>
      </c>
      <c r="J777" s="3">
        <v>0</v>
      </c>
      <c r="K777" s="3">
        <v>0</v>
      </c>
      <c r="L777" s="3">
        <v>14</v>
      </c>
      <c r="M777" s="3">
        <v>13</v>
      </c>
      <c r="N777" s="3">
        <v>0</v>
      </c>
      <c r="O777" s="3">
        <f t="shared" si="144"/>
        <v>27</v>
      </c>
      <c r="P777" s="3">
        <v>6</v>
      </c>
      <c r="Q777" s="3">
        <v>2</v>
      </c>
      <c r="R777" s="3">
        <v>1</v>
      </c>
      <c r="S777" s="3">
        <v>3</v>
      </c>
      <c r="T777" s="3">
        <v>0</v>
      </c>
      <c r="U777" s="3">
        <f t="shared" si="145"/>
        <v>12</v>
      </c>
      <c r="V777" s="13">
        <f t="shared" si="146"/>
        <v>2.25</v>
      </c>
      <c r="W777" s="13">
        <f t="shared" si="152"/>
        <v>2.25</v>
      </c>
      <c r="X777" s="3">
        <f t="shared" si="147"/>
        <v>12</v>
      </c>
      <c r="Y777" s="3">
        <f t="shared" si="153"/>
        <v>3.605769230769231E-3</v>
      </c>
      <c r="Z777" s="3"/>
      <c r="AA777" s="3">
        <f t="shared" si="154"/>
        <v>624</v>
      </c>
      <c r="AB777" s="3"/>
      <c r="AC777" s="3" t="s">
        <v>82</v>
      </c>
      <c r="AD777" s="3" t="s">
        <v>83</v>
      </c>
      <c r="AE777" s="3">
        <v>40</v>
      </c>
      <c r="AF777" s="3" t="s">
        <v>143</v>
      </c>
      <c r="AG777" s="3" t="s">
        <v>303</v>
      </c>
      <c r="AH777" s="3"/>
    </row>
    <row r="778" spans="1:34" ht="14.25" customHeight="1" x14ac:dyDescent="0.25">
      <c r="A778" s="3" t="s">
        <v>175</v>
      </c>
      <c r="B778" s="3" t="s">
        <v>171</v>
      </c>
      <c r="C778" s="3"/>
      <c r="D778" s="3" t="s">
        <v>80</v>
      </c>
      <c r="E778" s="3">
        <v>1</v>
      </c>
      <c r="F778" s="3">
        <v>1</v>
      </c>
      <c r="G778" s="3" t="s">
        <v>25</v>
      </c>
      <c r="H778" s="11">
        <v>45900</v>
      </c>
      <c r="I778" s="3" t="s">
        <v>172</v>
      </c>
      <c r="J778" s="3">
        <v>13.6</v>
      </c>
      <c r="K778" s="3">
        <v>0</v>
      </c>
      <c r="L778" s="3">
        <v>0</v>
      </c>
      <c r="M778" s="3">
        <v>8.6</v>
      </c>
      <c r="N778" s="3">
        <v>0</v>
      </c>
      <c r="O778" s="3">
        <f t="shared" si="144"/>
        <v>22.2</v>
      </c>
      <c r="P778" s="3">
        <v>6</v>
      </c>
      <c r="Q778" s="3">
        <v>2</v>
      </c>
      <c r="R778" s="3">
        <v>1</v>
      </c>
      <c r="S778" s="3">
        <v>3</v>
      </c>
      <c r="T778" s="3">
        <v>0</v>
      </c>
      <c r="U778" s="3">
        <f t="shared" si="145"/>
        <v>12</v>
      </c>
      <c r="V778" s="13">
        <f t="shared" si="146"/>
        <v>1.8499999999999999</v>
      </c>
      <c r="W778" s="13">
        <f t="shared" si="152"/>
        <v>1.8499999999999999</v>
      </c>
      <c r="X778" s="3">
        <f t="shared" si="147"/>
        <v>12</v>
      </c>
      <c r="Y778" s="3">
        <f t="shared" si="153"/>
        <v>2.9647435897435896E-3</v>
      </c>
      <c r="Z778" s="3"/>
      <c r="AA778" s="3">
        <f t="shared" si="154"/>
        <v>624</v>
      </c>
      <c r="AB778" s="3"/>
      <c r="AC778" s="3" t="s">
        <v>82</v>
      </c>
      <c r="AD778" s="3" t="s">
        <v>83</v>
      </c>
      <c r="AE778" s="3">
        <v>40</v>
      </c>
      <c r="AF778" s="3" t="s">
        <v>143</v>
      </c>
      <c r="AG778" s="3" t="s">
        <v>303</v>
      </c>
      <c r="AH778" s="3"/>
    </row>
    <row r="779" spans="1:34" ht="14.25" customHeight="1" x14ac:dyDescent="0.25">
      <c r="A779" s="3" t="s">
        <v>175</v>
      </c>
      <c r="B779" s="3" t="s">
        <v>171</v>
      </c>
      <c r="C779" s="3"/>
      <c r="D779" s="3" t="s">
        <v>80</v>
      </c>
      <c r="E779" s="3">
        <v>1</v>
      </c>
      <c r="F779" s="3">
        <v>1</v>
      </c>
      <c r="G779" s="3" t="s">
        <v>22</v>
      </c>
      <c r="H779" s="11">
        <v>45900</v>
      </c>
      <c r="I779" s="3" t="s">
        <v>172</v>
      </c>
      <c r="J779" s="3">
        <v>4.5999999999999996</v>
      </c>
      <c r="K779" s="3">
        <v>0</v>
      </c>
      <c r="L779" s="3">
        <v>0</v>
      </c>
      <c r="M779" s="3">
        <v>3.6</v>
      </c>
      <c r="N779" s="3">
        <v>0</v>
      </c>
      <c r="O779" s="3">
        <f t="shared" si="144"/>
        <v>8.1999999999999993</v>
      </c>
      <c r="P779" s="3">
        <v>6</v>
      </c>
      <c r="Q779" s="3">
        <v>2</v>
      </c>
      <c r="R779" s="3">
        <v>1</v>
      </c>
      <c r="S779" s="3">
        <v>3</v>
      </c>
      <c r="T779" s="3">
        <v>0</v>
      </c>
      <c r="U779" s="3">
        <f t="shared" si="145"/>
        <v>12</v>
      </c>
      <c r="V779" s="13">
        <f t="shared" si="146"/>
        <v>0.68333333333333324</v>
      </c>
      <c r="W779" s="13">
        <f t="shared" si="152"/>
        <v>0.68333333333333324</v>
      </c>
      <c r="X779" s="3">
        <f t="shared" si="147"/>
        <v>12</v>
      </c>
      <c r="Y779" s="3">
        <f t="shared" si="153"/>
        <v>1.0950854700854699E-3</v>
      </c>
      <c r="Z779" s="3"/>
      <c r="AA779" s="3">
        <f t="shared" si="154"/>
        <v>624</v>
      </c>
      <c r="AB779" s="3"/>
      <c r="AC779" s="3" t="s">
        <v>82</v>
      </c>
      <c r="AD779" s="3" t="s">
        <v>83</v>
      </c>
      <c r="AE779" s="3">
        <v>40</v>
      </c>
      <c r="AF779" s="3" t="s">
        <v>143</v>
      </c>
      <c r="AG779" s="3" t="s">
        <v>303</v>
      </c>
      <c r="AH779" s="3"/>
    </row>
    <row r="780" spans="1:34" ht="14.25" customHeight="1" x14ac:dyDescent="0.25">
      <c r="A780" s="3" t="s">
        <v>96</v>
      </c>
      <c r="B780" s="3" t="s">
        <v>171</v>
      </c>
      <c r="C780" s="3"/>
      <c r="D780" s="3" t="s">
        <v>80</v>
      </c>
      <c r="E780" s="3">
        <v>1</v>
      </c>
      <c r="F780" s="3">
        <v>1</v>
      </c>
      <c r="G780" s="3" t="s">
        <v>2</v>
      </c>
      <c r="H780" s="11">
        <v>45900</v>
      </c>
      <c r="I780" s="3" t="s">
        <v>172</v>
      </c>
      <c r="J780" s="3">
        <v>0</v>
      </c>
      <c r="K780" s="3">
        <v>0</v>
      </c>
      <c r="L780" s="3">
        <v>0</v>
      </c>
      <c r="M780" s="3">
        <v>0</v>
      </c>
      <c r="N780" s="3">
        <v>8.6</v>
      </c>
      <c r="O780" s="3">
        <f t="shared" si="144"/>
        <v>8.6</v>
      </c>
      <c r="P780" s="3">
        <v>3</v>
      </c>
      <c r="Q780" s="3">
        <v>3</v>
      </c>
      <c r="R780" s="3">
        <v>0</v>
      </c>
      <c r="S780" s="3">
        <v>5</v>
      </c>
      <c r="T780" s="3">
        <v>1</v>
      </c>
      <c r="U780" s="3">
        <f t="shared" si="145"/>
        <v>12</v>
      </c>
      <c r="V780" s="13">
        <f t="shared" si="146"/>
        <v>0.71666666666666667</v>
      </c>
      <c r="W780" s="13">
        <f t="shared" si="152"/>
        <v>0.71666666666666667</v>
      </c>
      <c r="X780" s="3">
        <f t="shared" si="147"/>
        <v>12</v>
      </c>
      <c r="Y780" s="3" t="e">
        <f t="shared" si="153"/>
        <v>#DIV/0!</v>
      </c>
      <c r="Z780" s="3"/>
      <c r="AA780" s="3"/>
      <c r="AB780" s="3"/>
      <c r="AC780" s="3" t="s">
        <v>82</v>
      </c>
      <c r="AD780" s="3" t="s">
        <v>83</v>
      </c>
      <c r="AE780" s="3">
        <v>40</v>
      </c>
      <c r="AF780" s="3" t="s">
        <v>143</v>
      </c>
      <c r="AG780" s="3" t="s">
        <v>173</v>
      </c>
      <c r="AH780" s="3"/>
    </row>
    <row r="781" spans="1:34" ht="14.25" customHeight="1" x14ac:dyDescent="0.25">
      <c r="A781" s="3" t="s">
        <v>96</v>
      </c>
      <c r="B781" s="3" t="s">
        <v>171</v>
      </c>
      <c r="C781" s="3"/>
      <c r="D781" s="3" t="s">
        <v>80</v>
      </c>
      <c r="E781" s="3">
        <v>1</v>
      </c>
      <c r="F781" s="3">
        <v>1</v>
      </c>
      <c r="G781" s="3" t="s">
        <v>14</v>
      </c>
      <c r="H781" s="11">
        <v>45900</v>
      </c>
      <c r="I781" s="3" t="s">
        <v>172</v>
      </c>
      <c r="J781" s="3">
        <f>1.6+1.2</f>
        <v>2.8</v>
      </c>
      <c r="K781" s="3">
        <v>0</v>
      </c>
      <c r="L781" s="3">
        <v>0</v>
      </c>
      <c r="M781" s="3">
        <v>1.8</v>
      </c>
      <c r="N781" s="3">
        <v>0</v>
      </c>
      <c r="O781" s="3">
        <f t="shared" si="144"/>
        <v>4.5999999999999996</v>
      </c>
      <c r="P781" s="3">
        <v>3</v>
      </c>
      <c r="Q781" s="3">
        <v>3</v>
      </c>
      <c r="R781" s="3">
        <v>0</v>
      </c>
      <c r="S781" s="3">
        <v>5</v>
      </c>
      <c r="T781" s="3">
        <v>1</v>
      </c>
      <c r="U781" s="3">
        <f t="shared" si="145"/>
        <v>12</v>
      </c>
      <c r="V781" s="13">
        <f t="shared" si="146"/>
        <v>0.3833333333333333</v>
      </c>
      <c r="W781" s="13">
        <f t="shared" si="152"/>
        <v>0.3833333333333333</v>
      </c>
      <c r="X781" s="3">
        <f t="shared" si="147"/>
        <v>12</v>
      </c>
      <c r="Y781" s="3" t="e">
        <f t="shared" si="153"/>
        <v>#DIV/0!</v>
      </c>
      <c r="Z781" s="3"/>
      <c r="AA781" s="3"/>
      <c r="AB781" s="3"/>
      <c r="AC781" s="3" t="s">
        <v>82</v>
      </c>
      <c r="AD781" s="3" t="s">
        <v>83</v>
      </c>
      <c r="AE781" s="3">
        <v>40</v>
      </c>
      <c r="AF781" s="3" t="s">
        <v>143</v>
      </c>
      <c r="AG781" s="3" t="s">
        <v>173</v>
      </c>
      <c r="AH781" s="3"/>
    </row>
    <row r="782" spans="1:34" ht="14.25" customHeight="1" x14ac:dyDescent="0.25">
      <c r="A782" s="3" t="s">
        <v>96</v>
      </c>
      <c r="B782" s="3" t="s">
        <v>171</v>
      </c>
      <c r="C782" s="3"/>
      <c r="D782" s="3" t="s">
        <v>80</v>
      </c>
      <c r="E782" s="3">
        <v>1</v>
      </c>
      <c r="F782" s="3">
        <v>1</v>
      </c>
      <c r="G782" s="3" t="s">
        <v>16</v>
      </c>
      <c r="H782" s="11">
        <v>45900</v>
      </c>
      <c r="I782" s="3" t="s">
        <v>172</v>
      </c>
      <c r="J782" s="3">
        <f>4.3+2.6</f>
        <v>6.9</v>
      </c>
      <c r="K782" s="3">
        <v>3.6</v>
      </c>
      <c r="L782" s="3">
        <v>0</v>
      </c>
      <c r="M782" s="3">
        <f>3.8+1.9</f>
        <v>5.6999999999999993</v>
      </c>
      <c r="N782" s="3">
        <v>0</v>
      </c>
      <c r="O782" s="3">
        <f t="shared" si="144"/>
        <v>16.2</v>
      </c>
      <c r="P782" s="3">
        <v>3</v>
      </c>
      <c r="Q782" s="3">
        <v>3</v>
      </c>
      <c r="R782" s="3">
        <v>0</v>
      </c>
      <c r="S782" s="3">
        <v>5</v>
      </c>
      <c r="T782" s="3">
        <v>1</v>
      </c>
      <c r="U782" s="3">
        <f t="shared" si="145"/>
        <v>12</v>
      </c>
      <c r="V782" s="13">
        <f t="shared" si="146"/>
        <v>1.3499999999999999</v>
      </c>
      <c r="W782" s="13">
        <f t="shared" si="152"/>
        <v>1.3499999999999999</v>
      </c>
      <c r="X782" s="3">
        <f t="shared" si="147"/>
        <v>12</v>
      </c>
      <c r="Y782" s="3" t="e">
        <f t="shared" si="153"/>
        <v>#DIV/0!</v>
      </c>
      <c r="Z782" s="3"/>
      <c r="AA782" s="3"/>
      <c r="AB782" s="3"/>
      <c r="AC782" s="3" t="s">
        <v>82</v>
      </c>
      <c r="AD782" s="3" t="s">
        <v>83</v>
      </c>
      <c r="AE782" s="3">
        <v>40</v>
      </c>
      <c r="AF782" s="3" t="s">
        <v>143</v>
      </c>
      <c r="AG782" s="3" t="s">
        <v>173</v>
      </c>
      <c r="AH782" s="3"/>
    </row>
    <row r="783" spans="1:34" ht="14.25" customHeight="1" x14ac:dyDescent="0.25">
      <c r="A783" s="3" t="s">
        <v>96</v>
      </c>
      <c r="B783" s="3" t="s">
        <v>171</v>
      </c>
      <c r="C783" s="3"/>
      <c r="D783" s="3" t="s">
        <v>80</v>
      </c>
      <c r="E783" s="3">
        <v>1</v>
      </c>
      <c r="F783" s="3">
        <v>1</v>
      </c>
      <c r="G783" s="3" t="s">
        <v>18</v>
      </c>
      <c r="H783" s="11">
        <v>45900</v>
      </c>
      <c r="I783" s="3" t="s">
        <v>172</v>
      </c>
      <c r="J783" s="3">
        <f>6.3+4</f>
        <v>10.3</v>
      </c>
      <c r="K783" s="3">
        <f>5.3+4.6</f>
        <v>9.8999999999999986</v>
      </c>
      <c r="L783" s="3">
        <v>0</v>
      </c>
      <c r="M783" s="3">
        <f>8.2+3.8+4.2+6</f>
        <v>22.2</v>
      </c>
      <c r="N783" s="3">
        <v>0</v>
      </c>
      <c r="O783" s="3">
        <f t="shared" si="144"/>
        <v>42.4</v>
      </c>
      <c r="P783" s="3">
        <v>3</v>
      </c>
      <c r="Q783" s="3">
        <v>3</v>
      </c>
      <c r="R783" s="3">
        <v>0</v>
      </c>
      <c r="S783" s="3">
        <v>5</v>
      </c>
      <c r="T783" s="3">
        <v>1</v>
      </c>
      <c r="U783" s="3">
        <f t="shared" si="145"/>
        <v>12</v>
      </c>
      <c r="V783" s="13">
        <f t="shared" si="146"/>
        <v>3.5333333333333332</v>
      </c>
      <c r="W783" s="13">
        <f t="shared" si="152"/>
        <v>3.5333333333333332</v>
      </c>
      <c r="X783" s="3">
        <f t="shared" si="147"/>
        <v>12</v>
      </c>
      <c r="Y783" s="3" t="e">
        <f t="shared" si="153"/>
        <v>#DIV/0!</v>
      </c>
      <c r="Z783" s="3"/>
      <c r="AA783" s="3"/>
      <c r="AB783" s="3"/>
      <c r="AC783" s="3" t="s">
        <v>82</v>
      </c>
      <c r="AD783" s="3" t="s">
        <v>83</v>
      </c>
      <c r="AE783" s="3">
        <v>40</v>
      </c>
      <c r="AF783" s="3" t="s">
        <v>143</v>
      </c>
      <c r="AG783" s="3" t="s">
        <v>173</v>
      </c>
      <c r="AH783" s="3"/>
    </row>
    <row r="784" spans="1:34" ht="14.25" customHeight="1" x14ac:dyDescent="0.25">
      <c r="A784" s="3" t="s">
        <v>96</v>
      </c>
      <c r="B784" s="3" t="s">
        <v>171</v>
      </c>
      <c r="C784" s="3"/>
      <c r="D784" s="3" t="s">
        <v>80</v>
      </c>
      <c r="E784" s="3">
        <v>1</v>
      </c>
      <c r="F784" s="3">
        <v>1</v>
      </c>
      <c r="G784" s="3" t="s">
        <v>22</v>
      </c>
      <c r="H784" s="11">
        <v>45900</v>
      </c>
      <c r="I784" s="3" t="s">
        <v>172</v>
      </c>
      <c r="J784" s="3">
        <v>0</v>
      </c>
      <c r="K784" s="3">
        <v>2.8</v>
      </c>
      <c r="L784" s="3">
        <v>0</v>
      </c>
      <c r="M784" s="3">
        <v>3.6</v>
      </c>
      <c r="N784" s="3">
        <v>0</v>
      </c>
      <c r="O784" s="3">
        <f t="shared" si="144"/>
        <v>6.4</v>
      </c>
      <c r="P784" s="3">
        <v>3</v>
      </c>
      <c r="Q784" s="3">
        <v>3</v>
      </c>
      <c r="R784" s="3">
        <v>0</v>
      </c>
      <c r="S784" s="3">
        <v>5</v>
      </c>
      <c r="T784" s="3">
        <v>1</v>
      </c>
      <c r="U784" s="3">
        <f t="shared" si="145"/>
        <v>12</v>
      </c>
      <c r="V784" s="13">
        <f t="shared" si="146"/>
        <v>0.53333333333333333</v>
      </c>
      <c r="W784" s="13">
        <f t="shared" si="152"/>
        <v>0.53333333333333333</v>
      </c>
      <c r="X784" s="3">
        <f t="shared" si="147"/>
        <v>12</v>
      </c>
      <c r="Y784" s="3" t="e">
        <f t="shared" si="153"/>
        <v>#DIV/0!</v>
      </c>
      <c r="Z784" s="3"/>
      <c r="AA784" s="3"/>
      <c r="AB784" s="3"/>
      <c r="AC784" s="3" t="s">
        <v>82</v>
      </c>
      <c r="AD784" s="3" t="s">
        <v>83</v>
      </c>
      <c r="AE784" s="3">
        <v>40</v>
      </c>
      <c r="AF784" s="3" t="s">
        <v>143</v>
      </c>
      <c r="AG784" s="3" t="s">
        <v>173</v>
      </c>
      <c r="AH784" s="3"/>
    </row>
    <row r="785" spans="1:34" ht="14.25" customHeight="1" x14ac:dyDescent="0.25">
      <c r="A785" s="3" t="s">
        <v>89</v>
      </c>
      <c r="B785" s="3" t="s">
        <v>171</v>
      </c>
      <c r="C785" s="3"/>
      <c r="D785" s="3" t="s">
        <v>80</v>
      </c>
      <c r="E785" s="3">
        <v>2</v>
      </c>
      <c r="F785" s="3">
        <v>1</v>
      </c>
      <c r="G785" s="3" t="s">
        <v>3</v>
      </c>
      <c r="H785" s="11">
        <v>45900</v>
      </c>
      <c r="I785" s="3" t="s">
        <v>172</v>
      </c>
      <c r="J785" s="3">
        <f>60+48</f>
        <v>108</v>
      </c>
      <c r="K785" s="3">
        <f>128</f>
        <v>128</v>
      </c>
      <c r="L785" s="3">
        <v>86</v>
      </c>
      <c r="M785" s="3">
        <v>80</v>
      </c>
      <c r="N785" s="3">
        <v>0</v>
      </c>
      <c r="O785" s="3">
        <f t="shared" si="144"/>
        <v>402</v>
      </c>
      <c r="P785" s="3">
        <v>3</v>
      </c>
      <c r="Q785" s="3">
        <v>3</v>
      </c>
      <c r="R785" s="3">
        <v>2</v>
      </c>
      <c r="S785" s="3">
        <v>5</v>
      </c>
      <c r="T785" s="3">
        <v>0</v>
      </c>
      <c r="U785" s="3">
        <f t="shared" si="145"/>
        <v>13</v>
      </c>
      <c r="V785" s="13">
        <f t="shared" si="146"/>
        <v>30.923076923076923</v>
      </c>
      <c r="W785" s="13">
        <f t="shared" si="152"/>
        <v>30.923076923076923</v>
      </c>
      <c r="X785" s="3">
        <f t="shared" si="147"/>
        <v>13</v>
      </c>
      <c r="Y785" s="3">
        <f t="shared" si="153"/>
        <v>4.2476754015215556E-2</v>
      </c>
      <c r="Z785" s="3"/>
      <c r="AA785" s="3">
        <f t="shared" ref="AA785:AA789" si="155">60*2.6*3+50*2.6*2</f>
        <v>728</v>
      </c>
      <c r="AB785" s="3">
        <v>15</v>
      </c>
      <c r="AC785" s="3" t="s">
        <v>82</v>
      </c>
      <c r="AD785" s="3" t="s">
        <v>83</v>
      </c>
      <c r="AE785" s="3">
        <v>40</v>
      </c>
      <c r="AF785" s="3" t="s">
        <v>143</v>
      </c>
      <c r="AG785" s="3" t="s">
        <v>314</v>
      </c>
      <c r="AH785" s="3"/>
    </row>
    <row r="786" spans="1:34" ht="14.25" customHeight="1" x14ac:dyDescent="0.25">
      <c r="A786" s="3" t="s">
        <v>89</v>
      </c>
      <c r="B786" s="3" t="s">
        <v>171</v>
      </c>
      <c r="C786" s="3"/>
      <c r="D786" s="3" t="s">
        <v>80</v>
      </c>
      <c r="E786" s="3">
        <v>2</v>
      </c>
      <c r="F786" s="3">
        <v>1</v>
      </c>
      <c r="G786" s="3" t="s">
        <v>16</v>
      </c>
      <c r="H786" s="11">
        <v>45900</v>
      </c>
      <c r="I786" s="3" t="s">
        <v>172</v>
      </c>
      <c r="J786" s="3">
        <v>2.6</v>
      </c>
      <c r="K786" s="3">
        <v>1.8</v>
      </c>
      <c r="L786" s="3">
        <v>0</v>
      </c>
      <c r="M786" s="3">
        <v>2.6</v>
      </c>
      <c r="N786" s="3">
        <v>0</v>
      </c>
      <c r="O786" s="3">
        <f t="shared" si="144"/>
        <v>7</v>
      </c>
      <c r="P786" s="3">
        <v>3</v>
      </c>
      <c r="Q786" s="3">
        <v>3</v>
      </c>
      <c r="R786" s="3">
        <v>2</v>
      </c>
      <c r="S786" s="3">
        <v>5</v>
      </c>
      <c r="T786" s="3">
        <v>0</v>
      </c>
      <c r="U786" s="3">
        <f t="shared" si="145"/>
        <v>13</v>
      </c>
      <c r="V786" s="13">
        <f t="shared" si="146"/>
        <v>0.53846153846153844</v>
      </c>
      <c r="W786" s="13">
        <f t="shared" si="152"/>
        <v>0.53846153846153844</v>
      </c>
      <c r="X786" s="3">
        <f t="shared" si="147"/>
        <v>13</v>
      </c>
      <c r="Y786" s="3">
        <f t="shared" si="153"/>
        <v>7.3964497041420117E-4</v>
      </c>
      <c r="Z786" s="3"/>
      <c r="AA786" s="3">
        <f t="shared" si="155"/>
        <v>728</v>
      </c>
      <c r="AB786" s="3">
        <v>15</v>
      </c>
      <c r="AC786" s="3" t="s">
        <v>82</v>
      </c>
      <c r="AD786" s="3" t="s">
        <v>83</v>
      </c>
      <c r="AE786" s="3">
        <v>40</v>
      </c>
      <c r="AF786" s="3" t="s">
        <v>143</v>
      </c>
      <c r="AG786" s="3" t="s">
        <v>314</v>
      </c>
      <c r="AH786" s="3"/>
    </row>
    <row r="787" spans="1:34" ht="14.25" customHeight="1" x14ac:dyDescent="0.25">
      <c r="A787" s="3" t="s">
        <v>89</v>
      </c>
      <c r="B787" s="3" t="s">
        <v>171</v>
      </c>
      <c r="C787" s="3"/>
      <c r="D787" s="3" t="s">
        <v>80</v>
      </c>
      <c r="E787" s="3">
        <v>2</v>
      </c>
      <c r="F787" s="3">
        <v>1</v>
      </c>
      <c r="G787" s="3" t="s">
        <v>18</v>
      </c>
      <c r="H787" s="11">
        <v>45900</v>
      </c>
      <c r="I787" s="3" t="s">
        <v>172</v>
      </c>
      <c r="J787" s="3">
        <v>4.8</v>
      </c>
      <c r="K787" s="3">
        <v>0</v>
      </c>
      <c r="L787" s="3">
        <v>0</v>
      </c>
      <c r="M787" s="3">
        <v>3.6</v>
      </c>
      <c r="N787" s="3">
        <v>0</v>
      </c>
      <c r="O787" s="3">
        <f t="shared" si="144"/>
        <v>8.4</v>
      </c>
      <c r="P787" s="3">
        <v>3</v>
      </c>
      <c r="Q787" s="3">
        <v>3</v>
      </c>
      <c r="R787" s="3">
        <v>2</v>
      </c>
      <c r="S787" s="3">
        <v>5</v>
      </c>
      <c r="T787" s="3">
        <v>0</v>
      </c>
      <c r="U787" s="3">
        <f t="shared" si="145"/>
        <v>13</v>
      </c>
      <c r="V787" s="13">
        <f t="shared" si="146"/>
        <v>0.64615384615384619</v>
      </c>
      <c r="W787" s="13">
        <f t="shared" si="152"/>
        <v>0.64615384615384619</v>
      </c>
      <c r="X787" s="3">
        <f t="shared" si="147"/>
        <v>13</v>
      </c>
      <c r="Y787" s="3">
        <f t="shared" si="153"/>
        <v>8.8757396449704149E-4</v>
      </c>
      <c r="Z787" s="3"/>
      <c r="AA787" s="3">
        <f t="shared" si="155"/>
        <v>728</v>
      </c>
      <c r="AB787" s="3">
        <v>15</v>
      </c>
      <c r="AC787" s="3" t="s">
        <v>82</v>
      </c>
      <c r="AD787" s="3" t="s">
        <v>83</v>
      </c>
      <c r="AE787" s="3">
        <v>40</v>
      </c>
      <c r="AF787" s="3" t="s">
        <v>143</v>
      </c>
      <c r="AG787" s="3" t="s">
        <v>314</v>
      </c>
      <c r="AH787" s="3"/>
    </row>
    <row r="788" spans="1:34" ht="14.25" customHeight="1" x14ac:dyDescent="0.25">
      <c r="A788" s="3" t="s">
        <v>89</v>
      </c>
      <c r="B788" s="3" t="s">
        <v>171</v>
      </c>
      <c r="C788" s="3"/>
      <c r="D788" s="3" t="s">
        <v>80</v>
      </c>
      <c r="E788" s="3">
        <v>2</v>
      </c>
      <c r="F788" s="3">
        <v>1</v>
      </c>
      <c r="G788" s="3" t="s">
        <v>25</v>
      </c>
      <c r="H788" s="11">
        <v>45900</v>
      </c>
      <c r="I788" s="3" t="s">
        <v>172</v>
      </c>
      <c r="J788" s="3">
        <v>0</v>
      </c>
      <c r="K788" s="3">
        <v>0</v>
      </c>
      <c r="L788" s="3">
        <v>0</v>
      </c>
      <c r="M788" s="3">
        <v>14</v>
      </c>
      <c r="N788" s="3">
        <v>0</v>
      </c>
      <c r="O788" s="3">
        <f t="shared" si="144"/>
        <v>14</v>
      </c>
      <c r="P788" s="3">
        <v>3</v>
      </c>
      <c r="Q788" s="3">
        <v>3</v>
      </c>
      <c r="R788" s="3">
        <v>2</v>
      </c>
      <c r="S788" s="3">
        <v>5</v>
      </c>
      <c r="T788" s="3">
        <v>0</v>
      </c>
      <c r="U788" s="3">
        <f t="shared" si="145"/>
        <v>13</v>
      </c>
      <c r="V788" s="13">
        <f t="shared" si="146"/>
        <v>1.0769230769230769</v>
      </c>
      <c r="W788" s="13">
        <f t="shared" si="152"/>
        <v>1.0769230769230769</v>
      </c>
      <c r="X788" s="3">
        <f t="shared" si="147"/>
        <v>13</v>
      </c>
      <c r="Y788" s="3">
        <f t="shared" si="153"/>
        <v>1.4792899408284023E-3</v>
      </c>
      <c r="Z788" s="3"/>
      <c r="AA788" s="3">
        <f t="shared" si="155"/>
        <v>728</v>
      </c>
      <c r="AB788" s="3">
        <v>15</v>
      </c>
      <c r="AC788" s="3" t="s">
        <v>82</v>
      </c>
      <c r="AD788" s="3" t="s">
        <v>83</v>
      </c>
      <c r="AE788" s="3">
        <v>40</v>
      </c>
      <c r="AF788" s="3" t="s">
        <v>143</v>
      </c>
      <c r="AG788" s="3" t="s">
        <v>314</v>
      </c>
      <c r="AH788" s="3"/>
    </row>
    <row r="789" spans="1:34" ht="14.25" customHeight="1" x14ac:dyDescent="0.25">
      <c r="A789" s="3" t="s">
        <v>89</v>
      </c>
      <c r="B789" s="3" t="s">
        <v>171</v>
      </c>
      <c r="C789" s="3"/>
      <c r="D789" s="3" t="s">
        <v>80</v>
      </c>
      <c r="E789" s="3">
        <v>2</v>
      </c>
      <c r="F789" s="3">
        <v>1</v>
      </c>
      <c r="G789" s="3" t="s">
        <v>22</v>
      </c>
      <c r="H789" s="11">
        <v>45900</v>
      </c>
      <c r="I789" s="3" t="s">
        <v>172</v>
      </c>
      <c r="J789" s="3">
        <v>0</v>
      </c>
      <c r="K789" s="3">
        <f>4.2</f>
        <v>4.2</v>
      </c>
      <c r="L789" s="3">
        <v>2.8</v>
      </c>
      <c r="M789" s="3">
        <v>3.6</v>
      </c>
      <c r="N789" s="3">
        <v>0</v>
      </c>
      <c r="O789" s="3">
        <f t="shared" si="144"/>
        <v>10.6</v>
      </c>
      <c r="P789" s="3">
        <v>3</v>
      </c>
      <c r="Q789" s="3">
        <v>3</v>
      </c>
      <c r="R789" s="3">
        <v>2</v>
      </c>
      <c r="S789" s="3">
        <v>5</v>
      </c>
      <c r="T789" s="3">
        <v>0</v>
      </c>
      <c r="U789" s="3">
        <f t="shared" si="145"/>
        <v>13</v>
      </c>
      <c r="V789" s="13">
        <f t="shared" si="146"/>
        <v>0.81538461538461537</v>
      </c>
      <c r="W789" s="13">
        <f t="shared" si="152"/>
        <v>0.81538461538461537</v>
      </c>
      <c r="X789" s="3">
        <f t="shared" si="147"/>
        <v>13</v>
      </c>
      <c r="Y789" s="3">
        <f t="shared" si="153"/>
        <v>1.1200338123415047E-3</v>
      </c>
      <c r="Z789" s="3"/>
      <c r="AA789" s="3">
        <f t="shared" si="155"/>
        <v>728</v>
      </c>
      <c r="AB789" s="3">
        <v>15</v>
      </c>
      <c r="AC789" s="3" t="s">
        <v>82</v>
      </c>
      <c r="AD789" s="3" t="s">
        <v>83</v>
      </c>
      <c r="AE789" s="3">
        <v>40</v>
      </c>
      <c r="AF789" s="3" t="s">
        <v>143</v>
      </c>
      <c r="AG789" s="3" t="s">
        <v>314</v>
      </c>
      <c r="AH789" s="3"/>
    </row>
    <row r="790" spans="1:34" ht="14.25" customHeight="1" x14ac:dyDescent="0.25">
      <c r="A790" s="3" t="s">
        <v>97</v>
      </c>
      <c r="B790" s="3" t="s">
        <v>171</v>
      </c>
      <c r="C790" s="3"/>
      <c r="D790" s="3" t="s">
        <v>98</v>
      </c>
      <c r="E790" s="3">
        <v>1</v>
      </c>
      <c r="F790" s="3">
        <v>1</v>
      </c>
      <c r="G790" s="3" t="s">
        <v>14</v>
      </c>
      <c r="H790" s="11">
        <v>45900</v>
      </c>
      <c r="I790" s="3" t="s">
        <v>172</v>
      </c>
      <c r="J790" s="3">
        <v>0</v>
      </c>
      <c r="K790" s="3">
        <v>0</v>
      </c>
      <c r="L790" s="3">
        <v>0</v>
      </c>
      <c r="M790" s="3">
        <f>3.6+2.8</f>
        <v>6.4</v>
      </c>
      <c r="N790" s="3">
        <v>0</v>
      </c>
      <c r="O790" s="3">
        <f t="shared" si="144"/>
        <v>6.4</v>
      </c>
      <c r="P790" s="3">
        <v>3</v>
      </c>
      <c r="Q790" s="3">
        <v>4</v>
      </c>
      <c r="R790" s="3">
        <v>2</v>
      </c>
      <c r="S790" s="3">
        <v>5</v>
      </c>
      <c r="T790" s="3">
        <v>0</v>
      </c>
      <c r="U790" s="3">
        <f t="shared" si="145"/>
        <v>14</v>
      </c>
      <c r="V790" s="13">
        <f t="shared" si="146"/>
        <v>0.45714285714285718</v>
      </c>
      <c r="W790" s="13">
        <f t="shared" si="152"/>
        <v>0.45714285714285718</v>
      </c>
      <c r="X790" s="3">
        <f t="shared" si="147"/>
        <v>14</v>
      </c>
      <c r="Y790" s="3" t="e">
        <f t="shared" si="153"/>
        <v>#DIV/0!</v>
      </c>
      <c r="Z790" s="3"/>
      <c r="AA790" s="3"/>
      <c r="AB790" s="3"/>
      <c r="AC790" s="3" t="s">
        <v>82</v>
      </c>
      <c r="AD790" s="3" t="s">
        <v>83</v>
      </c>
      <c r="AE790" s="3">
        <v>15</v>
      </c>
      <c r="AF790" s="3" t="s">
        <v>143</v>
      </c>
      <c r="AG790" s="3" t="s">
        <v>173</v>
      </c>
      <c r="AH790" s="3"/>
    </row>
    <row r="791" spans="1:34" ht="14.25" customHeight="1" x14ac:dyDescent="0.25">
      <c r="A791" s="3" t="s">
        <v>97</v>
      </c>
      <c r="B791" s="3" t="s">
        <v>171</v>
      </c>
      <c r="C791" s="3"/>
      <c r="D791" s="3" t="s">
        <v>98</v>
      </c>
      <c r="E791" s="3">
        <v>1</v>
      </c>
      <c r="F791" s="3">
        <v>1</v>
      </c>
      <c r="G791" s="3" t="s">
        <v>16</v>
      </c>
      <c r="H791" s="11">
        <v>45900</v>
      </c>
      <c r="I791" s="3" t="s">
        <v>172</v>
      </c>
      <c r="J791" s="3">
        <v>4.3</v>
      </c>
      <c r="K791" s="3">
        <v>6</v>
      </c>
      <c r="L791" s="3">
        <v>3.8</v>
      </c>
      <c r="M791" s="3">
        <f>2.8+1.8</f>
        <v>4.5999999999999996</v>
      </c>
      <c r="N791" s="3">
        <v>0</v>
      </c>
      <c r="O791" s="3">
        <f t="shared" si="144"/>
        <v>18.700000000000003</v>
      </c>
      <c r="P791" s="3">
        <v>3</v>
      </c>
      <c r="Q791" s="3">
        <v>4</v>
      </c>
      <c r="R791" s="3">
        <v>2</v>
      </c>
      <c r="S791" s="3">
        <v>5</v>
      </c>
      <c r="T791" s="3">
        <v>0</v>
      </c>
      <c r="U791" s="3">
        <f t="shared" si="145"/>
        <v>14</v>
      </c>
      <c r="V791" s="13">
        <f t="shared" si="146"/>
        <v>1.3357142857142859</v>
      </c>
      <c r="W791" s="13">
        <f t="shared" si="152"/>
        <v>1.3357142857142859</v>
      </c>
      <c r="X791" s="3">
        <f t="shared" si="147"/>
        <v>14</v>
      </c>
      <c r="Y791" s="3" t="e">
        <f t="shared" si="153"/>
        <v>#DIV/0!</v>
      </c>
      <c r="Z791" s="3"/>
      <c r="AA791" s="3"/>
      <c r="AB791" s="3"/>
      <c r="AC791" s="3" t="s">
        <v>82</v>
      </c>
      <c r="AD791" s="3" t="s">
        <v>83</v>
      </c>
      <c r="AE791" s="3">
        <v>15</v>
      </c>
      <c r="AF791" s="3" t="s">
        <v>143</v>
      </c>
      <c r="AG791" s="3" t="s">
        <v>173</v>
      </c>
      <c r="AH791" s="3"/>
    </row>
    <row r="792" spans="1:34" ht="14.25" customHeight="1" x14ac:dyDescent="0.25">
      <c r="A792" s="3" t="s">
        <v>97</v>
      </c>
      <c r="B792" s="3" t="s">
        <v>171</v>
      </c>
      <c r="C792" s="3"/>
      <c r="D792" s="3" t="s">
        <v>98</v>
      </c>
      <c r="E792" s="3">
        <v>1</v>
      </c>
      <c r="F792" s="3">
        <v>1</v>
      </c>
      <c r="G792" s="3" t="s">
        <v>18</v>
      </c>
      <c r="H792" s="11">
        <v>45900</v>
      </c>
      <c r="I792" s="3" t="s">
        <v>172</v>
      </c>
      <c r="J792" s="3">
        <f>6+11</f>
        <v>17</v>
      </c>
      <c r="K792" s="3">
        <f>4.9+6.3+4.2</f>
        <v>15.399999999999999</v>
      </c>
      <c r="L792" s="3">
        <v>2.8</v>
      </c>
      <c r="M792" s="3">
        <f>5.3+3.8</f>
        <v>9.1</v>
      </c>
      <c r="N792" s="3">
        <v>0</v>
      </c>
      <c r="O792" s="3">
        <f t="shared" si="144"/>
        <v>44.3</v>
      </c>
      <c r="P792" s="3">
        <v>3</v>
      </c>
      <c r="Q792" s="3">
        <v>4</v>
      </c>
      <c r="R792" s="3">
        <v>2</v>
      </c>
      <c r="S792" s="3">
        <v>5</v>
      </c>
      <c r="T792" s="3">
        <v>0</v>
      </c>
      <c r="U792" s="3">
        <f t="shared" si="145"/>
        <v>14</v>
      </c>
      <c r="V792" s="13">
        <f t="shared" si="146"/>
        <v>3.1642857142857141</v>
      </c>
      <c r="W792" s="13">
        <f t="shared" si="152"/>
        <v>3.1642857142857141</v>
      </c>
      <c r="X792" s="3">
        <f t="shared" si="147"/>
        <v>14</v>
      </c>
      <c r="Y792" s="3" t="e">
        <f t="shared" si="153"/>
        <v>#DIV/0!</v>
      </c>
      <c r="Z792" s="3"/>
      <c r="AA792" s="3"/>
      <c r="AB792" s="3"/>
      <c r="AC792" s="3" t="s">
        <v>82</v>
      </c>
      <c r="AD792" s="3" t="s">
        <v>83</v>
      </c>
      <c r="AE792" s="3">
        <v>15</v>
      </c>
      <c r="AF792" s="3" t="s">
        <v>143</v>
      </c>
      <c r="AG792" s="3" t="s">
        <v>173</v>
      </c>
      <c r="AH792" s="3"/>
    </row>
    <row r="793" spans="1:34" ht="14.25" customHeight="1" x14ac:dyDescent="0.25">
      <c r="A793" s="3" t="s">
        <v>97</v>
      </c>
      <c r="B793" s="3" t="s">
        <v>171</v>
      </c>
      <c r="C793" s="3"/>
      <c r="D793" s="3" t="s">
        <v>98</v>
      </c>
      <c r="E793" s="3">
        <v>1</v>
      </c>
      <c r="F793" s="3">
        <v>1</v>
      </c>
      <c r="G793" s="3" t="s">
        <v>22</v>
      </c>
      <c r="H793" s="11">
        <v>45900</v>
      </c>
      <c r="I793" s="3" t="s">
        <v>172</v>
      </c>
      <c r="J793" s="3">
        <v>0</v>
      </c>
      <c r="K793" s="3">
        <v>0</v>
      </c>
      <c r="L793" s="3">
        <v>0</v>
      </c>
      <c r="M793" s="3">
        <v>3.6</v>
      </c>
      <c r="N793" s="3">
        <v>0</v>
      </c>
      <c r="O793" s="3">
        <f t="shared" si="144"/>
        <v>3.6</v>
      </c>
      <c r="P793" s="3">
        <v>3</v>
      </c>
      <c r="Q793" s="3">
        <v>4</v>
      </c>
      <c r="R793" s="3">
        <v>2</v>
      </c>
      <c r="S793" s="3">
        <v>5</v>
      </c>
      <c r="T793" s="3">
        <v>0</v>
      </c>
      <c r="U793" s="3">
        <f t="shared" si="145"/>
        <v>14</v>
      </c>
      <c r="V793" s="13">
        <f t="shared" si="146"/>
        <v>0.25714285714285717</v>
      </c>
      <c r="W793" s="13">
        <f t="shared" si="152"/>
        <v>0.25714285714285717</v>
      </c>
      <c r="X793" s="3">
        <f t="shared" si="147"/>
        <v>14</v>
      </c>
      <c r="Y793" s="3" t="e">
        <f t="shared" si="153"/>
        <v>#DIV/0!</v>
      </c>
      <c r="Z793" s="3"/>
      <c r="AA793" s="3"/>
      <c r="AB793" s="3"/>
      <c r="AC793" s="3" t="s">
        <v>82</v>
      </c>
      <c r="AD793" s="3" t="s">
        <v>83</v>
      </c>
      <c r="AE793" s="3">
        <v>15</v>
      </c>
      <c r="AF793" s="3" t="s">
        <v>143</v>
      </c>
      <c r="AG793" s="3" t="s">
        <v>173</v>
      </c>
      <c r="AH793" s="3"/>
    </row>
    <row r="794" spans="1:34" ht="14.25" customHeight="1" x14ac:dyDescent="0.25">
      <c r="A794" s="3" t="s">
        <v>160</v>
      </c>
      <c r="B794" s="3" t="s">
        <v>171</v>
      </c>
      <c r="C794" s="3"/>
      <c r="D794" s="3" t="s">
        <v>117</v>
      </c>
      <c r="E794" s="3">
        <v>2</v>
      </c>
      <c r="F794" s="3">
        <v>1</v>
      </c>
      <c r="G794" s="3" t="s">
        <v>1</v>
      </c>
      <c r="H794" s="11">
        <v>45900</v>
      </c>
      <c r="I794" s="3" t="s">
        <v>172</v>
      </c>
      <c r="J794" s="3">
        <f>14+6.5</f>
        <v>20.5</v>
      </c>
      <c r="K794" s="3">
        <f>5.6+13+10.8</f>
        <v>29.400000000000002</v>
      </c>
      <c r="L794" s="3">
        <v>6.7</v>
      </c>
      <c r="M794" s="3">
        <v>0</v>
      </c>
      <c r="N794" s="3">
        <v>0</v>
      </c>
      <c r="O794" s="3">
        <f t="shared" si="144"/>
        <v>56.600000000000009</v>
      </c>
      <c r="P794" s="3">
        <v>5</v>
      </c>
      <c r="Q794" s="3">
        <v>3</v>
      </c>
      <c r="R794" s="3">
        <v>3</v>
      </c>
      <c r="S794" s="3">
        <v>1</v>
      </c>
      <c r="T794" s="3">
        <v>0</v>
      </c>
      <c r="U794" s="3">
        <f t="shared" si="145"/>
        <v>12</v>
      </c>
      <c r="V794" s="13">
        <f t="shared" si="146"/>
        <v>4.7166666666666677</v>
      </c>
      <c r="W794" s="13">
        <f t="shared" si="152"/>
        <v>4.7166666666666677</v>
      </c>
      <c r="X794" s="3">
        <f t="shared" si="147"/>
        <v>12</v>
      </c>
      <c r="Y794" s="3">
        <f t="shared" si="153"/>
        <v>1.0918209876543213E-2</v>
      </c>
      <c r="Z794" s="3"/>
      <c r="AA794" s="3">
        <f t="shared" ref="AA794:AA797" si="156">60*2.4*3</f>
        <v>432</v>
      </c>
      <c r="AB794" s="3">
        <v>25</v>
      </c>
      <c r="AC794" s="3" t="s">
        <v>82</v>
      </c>
      <c r="AD794" s="3" t="s">
        <v>83</v>
      </c>
      <c r="AE794" s="3">
        <v>15</v>
      </c>
      <c r="AF794" s="3" t="s">
        <v>143</v>
      </c>
      <c r="AG794" s="3" t="s">
        <v>315</v>
      </c>
      <c r="AH794" s="3"/>
    </row>
    <row r="795" spans="1:34" ht="14.25" customHeight="1" x14ac:dyDescent="0.25">
      <c r="A795" s="3" t="s">
        <v>160</v>
      </c>
      <c r="B795" s="3" t="s">
        <v>171</v>
      </c>
      <c r="C795" s="3"/>
      <c r="D795" s="3" t="s">
        <v>117</v>
      </c>
      <c r="E795" s="3">
        <v>2</v>
      </c>
      <c r="F795" s="3">
        <v>1</v>
      </c>
      <c r="G795" s="3" t="s">
        <v>3</v>
      </c>
      <c r="H795" s="11">
        <v>45900</v>
      </c>
      <c r="I795" s="3" t="s">
        <v>172</v>
      </c>
      <c r="J795" s="3">
        <f>10+9.6</f>
        <v>19.600000000000001</v>
      </c>
      <c r="K795" s="3">
        <v>0</v>
      </c>
      <c r="L795" s="3">
        <f>5.4+3.2</f>
        <v>8.6000000000000014</v>
      </c>
      <c r="M795" s="3">
        <v>16</v>
      </c>
      <c r="N795" s="3">
        <v>0</v>
      </c>
      <c r="O795" s="3">
        <f t="shared" si="144"/>
        <v>44.2</v>
      </c>
      <c r="P795" s="3">
        <v>5</v>
      </c>
      <c r="Q795" s="3">
        <v>3</v>
      </c>
      <c r="R795" s="3">
        <v>3</v>
      </c>
      <c r="S795" s="3">
        <v>1</v>
      </c>
      <c r="T795" s="3">
        <v>0</v>
      </c>
      <c r="U795" s="3">
        <f t="shared" si="145"/>
        <v>12</v>
      </c>
      <c r="V795" s="13">
        <f t="shared" si="146"/>
        <v>3.6833333333333336</v>
      </c>
      <c r="W795" s="13">
        <f t="shared" si="152"/>
        <v>3.6833333333333336</v>
      </c>
      <c r="X795" s="3">
        <f t="shared" si="147"/>
        <v>12</v>
      </c>
      <c r="Y795" s="3">
        <f t="shared" si="153"/>
        <v>8.5262345679012353E-3</v>
      </c>
      <c r="Z795" s="3"/>
      <c r="AA795" s="3">
        <f t="shared" si="156"/>
        <v>432</v>
      </c>
      <c r="AB795" s="3">
        <v>25</v>
      </c>
      <c r="AC795" s="3" t="s">
        <v>82</v>
      </c>
      <c r="AD795" s="3" t="s">
        <v>83</v>
      </c>
      <c r="AE795" s="3">
        <v>15</v>
      </c>
      <c r="AF795" s="3" t="s">
        <v>143</v>
      </c>
      <c r="AG795" s="3" t="s">
        <v>315</v>
      </c>
      <c r="AH795" s="3"/>
    </row>
    <row r="796" spans="1:34" ht="14.25" customHeight="1" x14ac:dyDescent="0.25">
      <c r="A796" s="3" t="s">
        <v>160</v>
      </c>
      <c r="B796" s="3" t="s">
        <v>171</v>
      </c>
      <c r="C796" s="3"/>
      <c r="D796" s="3" t="s">
        <v>117</v>
      </c>
      <c r="E796" s="3">
        <v>2</v>
      </c>
      <c r="F796" s="3">
        <v>1</v>
      </c>
      <c r="G796" s="3" t="s">
        <v>14</v>
      </c>
      <c r="H796" s="11">
        <v>45900</v>
      </c>
      <c r="I796" s="3" t="s">
        <v>172</v>
      </c>
      <c r="J796" s="3">
        <v>3.8</v>
      </c>
      <c r="K796" s="3">
        <v>0</v>
      </c>
      <c r="L796" s="3">
        <v>4.5999999999999996</v>
      </c>
      <c r="M796" s="3">
        <v>0</v>
      </c>
      <c r="N796" s="3">
        <v>0</v>
      </c>
      <c r="O796" s="3">
        <f t="shared" si="144"/>
        <v>8.3999999999999986</v>
      </c>
      <c r="P796" s="3">
        <v>5</v>
      </c>
      <c r="Q796" s="3">
        <v>3</v>
      </c>
      <c r="R796" s="3">
        <v>3</v>
      </c>
      <c r="S796" s="3">
        <v>1</v>
      </c>
      <c r="T796" s="3">
        <v>0</v>
      </c>
      <c r="U796" s="3">
        <f t="shared" si="145"/>
        <v>12</v>
      </c>
      <c r="V796" s="13">
        <f t="shared" si="146"/>
        <v>0.69999999999999984</v>
      </c>
      <c r="W796" s="13">
        <f t="shared" si="152"/>
        <v>0.69999999999999984</v>
      </c>
      <c r="X796" s="3">
        <f t="shared" si="147"/>
        <v>12</v>
      </c>
      <c r="Y796" s="3">
        <f t="shared" si="153"/>
        <v>1.6203703703703701E-3</v>
      </c>
      <c r="Z796" s="3"/>
      <c r="AA796" s="3">
        <f t="shared" si="156"/>
        <v>432</v>
      </c>
      <c r="AB796" s="3">
        <v>25</v>
      </c>
      <c r="AC796" s="3" t="s">
        <v>82</v>
      </c>
      <c r="AD796" s="3" t="s">
        <v>83</v>
      </c>
      <c r="AE796" s="3">
        <v>15</v>
      </c>
      <c r="AF796" s="3" t="s">
        <v>143</v>
      </c>
      <c r="AG796" s="3" t="s">
        <v>315</v>
      </c>
      <c r="AH796" s="3"/>
    </row>
    <row r="797" spans="1:34" ht="14.25" customHeight="1" x14ac:dyDescent="0.25">
      <c r="A797" s="3" t="s">
        <v>160</v>
      </c>
      <c r="B797" s="3" t="s">
        <v>171</v>
      </c>
      <c r="C797" s="3"/>
      <c r="D797" s="3" t="s">
        <v>117</v>
      </c>
      <c r="E797" s="3">
        <v>2</v>
      </c>
      <c r="F797" s="3">
        <v>1</v>
      </c>
      <c r="G797" s="3" t="s">
        <v>22</v>
      </c>
      <c r="H797" s="11">
        <v>45900</v>
      </c>
      <c r="I797" s="3" t="s">
        <v>172</v>
      </c>
      <c r="J797" s="3">
        <v>4.5999999999999996</v>
      </c>
      <c r="K797" s="3">
        <v>0</v>
      </c>
      <c r="L797" s="3">
        <v>3.8</v>
      </c>
      <c r="M797" s="3">
        <v>0</v>
      </c>
      <c r="N797" s="3">
        <v>0</v>
      </c>
      <c r="O797" s="3">
        <f t="shared" si="144"/>
        <v>8.3999999999999986</v>
      </c>
      <c r="P797" s="3">
        <v>5</v>
      </c>
      <c r="Q797" s="3">
        <v>3</v>
      </c>
      <c r="R797" s="3">
        <v>3</v>
      </c>
      <c r="S797" s="3">
        <v>1</v>
      </c>
      <c r="T797" s="3">
        <v>0</v>
      </c>
      <c r="U797" s="3">
        <f t="shared" si="145"/>
        <v>12</v>
      </c>
      <c r="V797" s="13">
        <f t="shared" si="146"/>
        <v>0.69999999999999984</v>
      </c>
      <c r="W797" s="13">
        <f t="shared" si="152"/>
        <v>0.69999999999999984</v>
      </c>
      <c r="X797" s="3">
        <f t="shared" si="147"/>
        <v>12</v>
      </c>
      <c r="Y797" s="3">
        <f t="shared" si="153"/>
        <v>1.6203703703703701E-3</v>
      </c>
      <c r="Z797" s="3"/>
      <c r="AA797" s="3">
        <f t="shared" si="156"/>
        <v>432</v>
      </c>
      <c r="AB797" s="3">
        <v>25</v>
      </c>
      <c r="AC797" s="3" t="s">
        <v>82</v>
      </c>
      <c r="AD797" s="3" t="s">
        <v>83</v>
      </c>
      <c r="AE797" s="3">
        <v>15</v>
      </c>
      <c r="AF797" s="3" t="s">
        <v>143</v>
      </c>
      <c r="AG797" s="3" t="s">
        <v>315</v>
      </c>
      <c r="AH797" s="3"/>
    </row>
    <row r="798" spans="1:34" ht="14.25" customHeight="1" x14ac:dyDescent="0.25">
      <c r="A798" s="3" t="s">
        <v>90</v>
      </c>
      <c r="B798" s="3" t="s">
        <v>171</v>
      </c>
      <c r="C798" s="3"/>
      <c r="D798" s="3" t="s">
        <v>80</v>
      </c>
      <c r="E798" s="3">
        <v>2</v>
      </c>
      <c r="F798" s="3">
        <v>1</v>
      </c>
      <c r="G798" s="3" t="s">
        <v>2</v>
      </c>
      <c r="H798" s="11">
        <v>45900</v>
      </c>
      <c r="I798" s="3" t="s">
        <v>172</v>
      </c>
      <c r="J798" s="3">
        <v>0</v>
      </c>
      <c r="K798" s="3">
        <v>0</v>
      </c>
      <c r="L798" s="3">
        <v>0</v>
      </c>
      <c r="M798" s="3">
        <v>9.6</v>
      </c>
      <c r="N798" s="3">
        <f>4.8+16</f>
        <v>20.8</v>
      </c>
      <c r="O798" s="3">
        <f t="shared" si="144"/>
        <v>30.4</v>
      </c>
      <c r="P798" s="3">
        <v>4</v>
      </c>
      <c r="Q798" s="3">
        <v>3</v>
      </c>
      <c r="R798" s="3">
        <v>2</v>
      </c>
      <c r="S798" s="3">
        <v>1</v>
      </c>
      <c r="T798" s="3">
        <v>2</v>
      </c>
      <c r="U798" s="3">
        <f t="shared" si="145"/>
        <v>12</v>
      </c>
      <c r="V798" s="13">
        <f t="shared" si="146"/>
        <v>2.5333333333333332</v>
      </c>
      <c r="W798" s="13">
        <f t="shared" si="152"/>
        <v>2.5333333333333332</v>
      </c>
      <c r="X798" s="3">
        <f t="shared" si="147"/>
        <v>12</v>
      </c>
      <c r="Y798" s="3" t="e">
        <f t="shared" si="153"/>
        <v>#DIV/0!</v>
      </c>
      <c r="Z798" s="3"/>
      <c r="AA798" s="3"/>
      <c r="AB798" s="3">
        <v>40</v>
      </c>
      <c r="AC798" s="3"/>
      <c r="AD798" s="3"/>
      <c r="AE798" s="3"/>
      <c r="AF798" s="3" t="s">
        <v>143</v>
      </c>
      <c r="AG798" s="3" t="s">
        <v>254</v>
      </c>
      <c r="AH798" s="3"/>
    </row>
    <row r="799" spans="1:34" ht="14.25" customHeight="1" x14ac:dyDescent="0.25">
      <c r="A799" s="3" t="s">
        <v>90</v>
      </c>
      <c r="B799" s="3" t="s">
        <v>171</v>
      </c>
      <c r="C799" s="3"/>
      <c r="D799" s="3" t="s">
        <v>80</v>
      </c>
      <c r="E799" s="3">
        <v>2</v>
      </c>
      <c r="F799" s="3">
        <v>1</v>
      </c>
      <c r="G799" s="3" t="s">
        <v>14</v>
      </c>
      <c r="H799" s="11">
        <v>45900</v>
      </c>
      <c r="I799" s="3" t="s">
        <v>172</v>
      </c>
      <c r="J799" s="3">
        <v>2.2000000000000002</v>
      </c>
      <c r="K799" s="3">
        <v>0</v>
      </c>
      <c r="L799" s="3">
        <v>3.6</v>
      </c>
      <c r="M799" s="3">
        <v>0</v>
      </c>
      <c r="N799" s="3">
        <v>0</v>
      </c>
      <c r="O799" s="3">
        <f t="shared" si="144"/>
        <v>5.8000000000000007</v>
      </c>
      <c r="P799" s="3">
        <v>4</v>
      </c>
      <c r="Q799" s="3">
        <v>3</v>
      </c>
      <c r="R799" s="3">
        <v>2</v>
      </c>
      <c r="S799" s="3">
        <v>1</v>
      </c>
      <c r="T799" s="3">
        <v>2</v>
      </c>
      <c r="U799" s="3">
        <f t="shared" si="145"/>
        <v>12</v>
      </c>
      <c r="V799" s="13">
        <f t="shared" si="146"/>
        <v>0.48333333333333339</v>
      </c>
      <c r="W799" s="13">
        <f t="shared" si="152"/>
        <v>0.48333333333333339</v>
      </c>
      <c r="X799" s="3">
        <f t="shared" si="147"/>
        <v>12</v>
      </c>
      <c r="Y799" s="3" t="e">
        <f t="shared" si="153"/>
        <v>#DIV/0!</v>
      </c>
      <c r="Z799" s="3"/>
      <c r="AA799" s="3"/>
      <c r="AB799" s="3">
        <v>40</v>
      </c>
      <c r="AC799" s="3"/>
      <c r="AD799" s="3"/>
      <c r="AE799" s="3"/>
      <c r="AF799" s="3" t="s">
        <v>143</v>
      </c>
      <c r="AG799" s="3" t="s">
        <v>254</v>
      </c>
      <c r="AH799" s="3"/>
    </row>
    <row r="800" spans="1:34" ht="14.25" customHeight="1" x14ac:dyDescent="0.25">
      <c r="A800" s="3" t="s">
        <v>90</v>
      </c>
      <c r="B800" s="3" t="s">
        <v>171</v>
      </c>
      <c r="C800" s="3"/>
      <c r="D800" s="3" t="s">
        <v>80</v>
      </c>
      <c r="E800" s="3">
        <v>2</v>
      </c>
      <c r="F800" s="3">
        <v>1</v>
      </c>
      <c r="G800" s="3" t="s">
        <v>16</v>
      </c>
      <c r="H800" s="11">
        <v>45900</v>
      </c>
      <c r="I800" s="3" t="s">
        <v>172</v>
      </c>
      <c r="J800" s="3">
        <v>3.8</v>
      </c>
      <c r="K800" s="3">
        <v>4.3</v>
      </c>
      <c r="L800" s="3">
        <v>0</v>
      </c>
      <c r="M800" s="3">
        <v>0</v>
      </c>
      <c r="N800" s="3">
        <v>0</v>
      </c>
      <c r="O800" s="3">
        <f t="shared" si="144"/>
        <v>8.1</v>
      </c>
      <c r="P800" s="3">
        <v>4</v>
      </c>
      <c r="Q800" s="3">
        <v>3</v>
      </c>
      <c r="R800" s="3">
        <v>2</v>
      </c>
      <c r="S800" s="3">
        <v>1</v>
      </c>
      <c r="T800" s="3">
        <v>2</v>
      </c>
      <c r="U800" s="3">
        <f t="shared" si="145"/>
        <v>12</v>
      </c>
      <c r="V800" s="13">
        <f t="shared" si="146"/>
        <v>0.67499999999999993</v>
      </c>
      <c r="W800" s="13">
        <f t="shared" si="152"/>
        <v>0.67499999999999993</v>
      </c>
      <c r="X800" s="3">
        <f t="shared" si="147"/>
        <v>12</v>
      </c>
      <c r="Y800" s="3" t="e">
        <f t="shared" si="153"/>
        <v>#DIV/0!</v>
      </c>
      <c r="Z800" s="3"/>
      <c r="AA800" s="3"/>
      <c r="AB800" s="3">
        <v>40</v>
      </c>
      <c r="AC800" s="3"/>
      <c r="AD800" s="3"/>
      <c r="AE800" s="3"/>
      <c r="AF800" s="3" t="s">
        <v>143</v>
      </c>
      <c r="AG800" s="3" t="s">
        <v>254</v>
      </c>
      <c r="AH800" s="3"/>
    </row>
    <row r="801" spans="1:34" ht="14.25" customHeight="1" x14ac:dyDescent="0.25">
      <c r="A801" s="3" t="s">
        <v>90</v>
      </c>
      <c r="B801" s="3" t="s">
        <v>171</v>
      </c>
      <c r="C801" s="3"/>
      <c r="D801" s="3" t="s">
        <v>80</v>
      </c>
      <c r="E801" s="3">
        <v>2</v>
      </c>
      <c r="F801" s="3">
        <v>1</v>
      </c>
      <c r="G801" s="3" t="s">
        <v>18</v>
      </c>
      <c r="H801" s="11">
        <v>45900</v>
      </c>
      <c r="I801" s="3" t="s">
        <v>172</v>
      </c>
      <c r="J801" s="3">
        <f>5.2+4.3+8.6</f>
        <v>18.100000000000001</v>
      </c>
      <c r="K801" s="3">
        <f>2.6+4.9+3.8</f>
        <v>11.3</v>
      </c>
      <c r="L801" s="3">
        <v>8.6</v>
      </c>
      <c r="M801" s="3">
        <v>0</v>
      </c>
      <c r="N801" s="3">
        <v>0</v>
      </c>
      <c r="O801" s="3">
        <f t="shared" si="144"/>
        <v>38</v>
      </c>
      <c r="P801" s="3">
        <v>4</v>
      </c>
      <c r="Q801" s="3">
        <v>3</v>
      </c>
      <c r="R801" s="3">
        <v>2</v>
      </c>
      <c r="S801" s="3">
        <v>1</v>
      </c>
      <c r="T801" s="3">
        <v>2</v>
      </c>
      <c r="U801" s="3">
        <f t="shared" si="145"/>
        <v>12</v>
      </c>
      <c r="V801" s="13">
        <f t="shared" si="146"/>
        <v>3.1666666666666665</v>
      </c>
      <c r="W801" s="13">
        <f t="shared" si="152"/>
        <v>3.1666666666666665</v>
      </c>
      <c r="X801" s="3">
        <f t="shared" si="147"/>
        <v>12</v>
      </c>
      <c r="Y801" s="3" t="e">
        <f t="shared" si="153"/>
        <v>#DIV/0!</v>
      </c>
      <c r="Z801" s="3"/>
      <c r="AA801" s="3"/>
      <c r="AB801" s="3">
        <v>40</v>
      </c>
      <c r="AC801" s="3"/>
      <c r="AD801" s="3"/>
      <c r="AE801" s="3"/>
      <c r="AF801" s="3" t="s">
        <v>143</v>
      </c>
      <c r="AG801" s="3" t="s">
        <v>254</v>
      </c>
      <c r="AH801" s="3"/>
    </row>
    <row r="802" spans="1:34" ht="14.25" customHeight="1" x14ac:dyDescent="0.25">
      <c r="A802" s="3" t="s">
        <v>90</v>
      </c>
      <c r="B802" s="3" t="s">
        <v>171</v>
      </c>
      <c r="C802" s="3"/>
      <c r="D802" s="3" t="s">
        <v>80</v>
      </c>
      <c r="E802" s="3">
        <v>2</v>
      </c>
      <c r="F802" s="3">
        <v>1</v>
      </c>
      <c r="G802" s="3" t="s">
        <v>22</v>
      </c>
      <c r="H802" s="11">
        <v>45900</v>
      </c>
      <c r="I802" s="3" t="s">
        <v>172</v>
      </c>
      <c r="J802" s="3">
        <v>4.8</v>
      </c>
      <c r="K802" s="3">
        <v>4.3</v>
      </c>
      <c r="L802" s="3">
        <v>0</v>
      </c>
      <c r="M802" s="3">
        <v>0</v>
      </c>
      <c r="N802" s="3">
        <v>0</v>
      </c>
      <c r="O802" s="3">
        <f t="shared" si="144"/>
        <v>9.1</v>
      </c>
      <c r="P802" s="3">
        <v>4</v>
      </c>
      <c r="Q802" s="3">
        <v>3</v>
      </c>
      <c r="R802" s="3">
        <v>2</v>
      </c>
      <c r="S802" s="3">
        <v>1</v>
      </c>
      <c r="T802" s="3">
        <v>2</v>
      </c>
      <c r="U802" s="3">
        <f t="shared" si="145"/>
        <v>12</v>
      </c>
      <c r="V802" s="13">
        <f t="shared" si="146"/>
        <v>0.7583333333333333</v>
      </c>
      <c r="W802" s="13">
        <f t="shared" si="152"/>
        <v>0.7583333333333333</v>
      </c>
      <c r="X802" s="3">
        <f t="shared" si="147"/>
        <v>12</v>
      </c>
      <c r="Y802" s="3" t="e">
        <f t="shared" si="153"/>
        <v>#DIV/0!</v>
      </c>
      <c r="Z802" s="3"/>
      <c r="AA802" s="3"/>
      <c r="AB802" s="3">
        <v>40</v>
      </c>
      <c r="AC802" s="3"/>
      <c r="AD802" s="3"/>
      <c r="AE802" s="3"/>
      <c r="AF802" s="3" t="s">
        <v>143</v>
      </c>
      <c r="AG802" s="3" t="s">
        <v>254</v>
      </c>
      <c r="AH802" s="3"/>
    </row>
    <row r="803" spans="1:34" ht="14.25" customHeight="1" x14ac:dyDescent="0.25">
      <c r="A803" s="3" t="s">
        <v>168</v>
      </c>
      <c r="B803" s="3" t="s">
        <v>171</v>
      </c>
      <c r="C803" s="3"/>
      <c r="D803" s="3" t="s">
        <v>98</v>
      </c>
      <c r="E803" s="3">
        <v>1</v>
      </c>
      <c r="F803" s="3">
        <v>1</v>
      </c>
      <c r="G803" s="3" t="s">
        <v>16</v>
      </c>
      <c r="H803" s="11">
        <v>45900</v>
      </c>
      <c r="I803" s="3" t="s">
        <v>172</v>
      </c>
      <c r="J803" s="3">
        <f>7+9</f>
        <v>16</v>
      </c>
      <c r="K803" s="3">
        <f>13+12</f>
        <v>25</v>
      </c>
      <c r="L803" s="3">
        <v>6</v>
      </c>
      <c r="M803" s="3">
        <f>6+5+20</f>
        <v>31</v>
      </c>
      <c r="N803" s="3">
        <v>9</v>
      </c>
      <c r="O803" s="3">
        <f t="shared" si="144"/>
        <v>87</v>
      </c>
      <c r="P803" s="3">
        <v>4</v>
      </c>
      <c r="Q803" s="3">
        <v>4</v>
      </c>
      <c r="R803" s="3">
        <v>3</v>
      </c>
      <c r="S803" s="3">
        <v>5</v>
      </c>
      <c r="T803" s="3">
        <v>1</v>
      </c>
      <c r="U803" s="3">
        <f t="shared" si="145"/>
        <v>17</v>
      </c>
      <c r="V803" s="13">
        <f t="shared" si="146"/>
        <v>5.117647058823529</v>
      </c>
      <c r="W803" s="13">
        <f t="shared" si="152"/>
        <v>5.117647058823529</v>
      </c>
      <c r="X803" s="3">
        <f t="shared" si="147"/>
        <v>17</v>
      </c>
      <c r="Y803" s="3" t="e">
        <f t="shared" si="153"/>
        <v>#DIV/0!</v>
      </c>
      <c r="Z803" s="3"/>
      <c r="AA803" s="3"/>
      <c r="AB803" s="3"/>
      <c r="AC803" s="3" t="s">
        <v>82</v>
      </c>
      <c r="AD803" s="3" t="s">
        <v>83</v>
      </c>
      <c r="AE803" s="3">
        <v>60</v>
      </c>
      <c r="AF803" s="3" t="s">
        <v>143</v>
      </c>
      <c r="AG803" s="3" t="s">
        <v>176</v>
      </c>
      <c r="AH803" s="3"/>
    </row>
    <row r="804" spans="1:34" ht="14.25" customHeight="1" x14ac:dyDescent="0.25">
      <c r="A804" s="3" t="s">
        <v>168</v>
      </c>
      <c r="B804" s="3" t="s">
        <v>171</v>
      </c>
      <c r="C804" s="3"/>
      <c r="D804" s="3" t="s">
        <v>98</v>
      </c>
      <c r="E804" s="3">
        <v>1</v>
      </c>
      <c r="F804" s="3">
        <v>1</v>
      </c>
      <c r="G804" s="3" t="s">
        <v>18</v>
      </c>
      <c r="H804" s="11">
        <v>45900</v>
      </c>
      <c r="I804" s="3" t="s">
        <v>172</v>
      </c>
      <c r="J804" s="3">
        <f>8+15</f>
        <v>23</v>
      </c>
      <c r="K804" s="3">
        <f>10+6</f>
        <v>16</v>
      </c>
      <c r="L804" s="3">
        <f>8+15</f>
        <v>23</v>
      </c>
      <c r="M804" s="3">
        <f>8+6</f>
        <v>14</v>
      </c>
      <c r="N804" s="3">
        <v>0</v>
      </c>
      <c r="O804" s="3">
        <f t="shared" si="144"/>
        <v>76</v>
      </c>
      <c r="P804" s="3">
        <v>4</v>
      </c>
      <c r="Q804" s="3">
        <v>4</v>
      </c>
      <c r="R804" s="3">
        <v>3</v>
      </c>
      <c r="S804" s="3">
        <v>5</v>
      </c>
      <c r="T804" s="3">
        <v>1</v>
      </c>
      <c r="U804" s="3">
        <f t="shared" si="145"/>
        <v>17</v>
      </c>
      <c r="V804" s="13">
        <f t="shared" si="146"/>
        <v>4.4705882352941178</v>
      </c>
      <c r="W804" s="13">
        <f t="shared" si="152"/>
        <v>4.4705882352941178</v>
      </c>
      <c r="X804" s="3">
        <f t="shared" si="147"/>
        <v>17</v>
      </c>
      <c r="Y804" s="3" t="e">
        <f t="shared" si="153"/>
        <v>#DIV/0!</v>
      </c>
      <c r="Z804" s="3"/>
      <c r="AA804" s="3"/>
      <c r="AB804" s="3"/>
      <c r="AC804" s="3" t="s">
        <v>82</v>
      </c>
      <c r="AD804" s="3" t="s">
        <v>83</v>
      </c>
      <c r="AE804" s="3">
        <v>60</v>
      </c>
      <c r="AF804" s="3" t="s">
        <v>143</v>
      </c>
      <c r="AG804" s="3" t="s">
        <v>176</v>
      </c>
      <c r="AH804" s="3"/>
    </row>
    <row r="805" spans="1:34" ht="14.25" customHeight="1" x14ac:dyDescent="0.25">
      <c r="A805" s="3" t="s">
        <v>114</v>
      </c>
      <c r="B805" s="3" t="s">
        <v>171</v>
      </c>
      <c r="C805" s="3"/>
      <c r="D805" s="3" t="s">
        <v>117</v>
      </c>
      <c r="E805" s="3">
        <v>1</v>
      </c>
      <c r="F805" s="3">
        <v>1</v>
      </c>
      <c r="G805" s="3" t="s">
        <v>1</v>
      </c>
      <c r="H805" s="11">
        <v>45900</v>
      </c>
      <c r="I805" s="3" t="s">
        <v>172</v>
      </c>
      <c r="J805" s="3">
        <f>6+8</f>
        <v>14</v>
      </c>
      <c r="K805" s="3">
        <f>11+8</f>
        <v>19</v>
      </c>
      <c r="L805" s="3">
        <v>7</v>
      </c>
      <c r="M805" s="3">
        <v>0</v>
      </c>
      <c r="N805" s="3">
        <v>0</v>
      </c>
      <c r="O805" s="3">
        <f t="shared" si="144"/>
        <v>40</v>
      </c>
      <c r="P805" s="3">
        <v>2</v>
      </c>
      <c r="Q805" s="3">
        <v>5</v>
      </c>
      <c r="R805" s="3">
        <v>1</v>
      </c>
      <c r="S805" s="3">
        <v>0</v>
      </c>
      <c r="T805" s="3">
        <v>0</v>
      </c>
      <c r="U805" s="3">
        <f t="shared" si="145"/>
        <v>8</v>
      </c>
      <c r="V805" s="13">
        <f t="shared" si="146"/>
        <v>5</v>
      </c>
      <c r="W805" s="13">
        <f t="shared" si="152"/>
        <v>5</v>
      </c>
      <c r="X805" s="3">
        <f t="shared" si="147"/>
        <v>8</v>
      </c>
      <c r="Y805" s="3">
        <f t="shared" si="153"/>
        <v>4.1666666666666664E-2</v>
      </c>
      <c r="Z805" s="3"/>
      <c r="AA805" s="3">
        <f t="shared" ref="AA805:AA811" si="157">12*2*5</f>
        <v>120</v>
      </c>
      <c r="AB805" s="3">
        <v>150</v>
      </c>
      <c r="AC805" s="3" t="s">
        <v>82</v>
      </c>
      <c r="AD805" s="3" t="s">
        <v>83</v>
      </c>
      <c r="AE805" s="3">
        <v>18</v>
      </c>
      <c r="AF805" s="3" t="s">
        <v>151</v>
      </c>
      <c r="AG805" s="3" t="s">
        <v>316</v>
      </c>
      <c r="AH805" s="3"/>
    </row>
    <row r="806" spans="1:34" ht="14.25" customHeight="1" x14ac:dyDescent="0.25">
      <c r="A806" s="3" t="s">
        <v>114</v>
      </c>
      <c r="B806" s="3" t="s">
        <v>171</v>
      </c>
      <c r="C806" s="3"/>
      <c r="D806" s="3" t="s">
        <v>117</v>
      </c>
      <c r="E806" s="3">
        <v>1</v>
      </c>
      <c r="F806" s="3">
        <v>1</v>
      </c>
      <c r="G806" s="3" t="s">
        <v>3</v>
      </c>
      <c r="H806" s="11">
        <v>45900</v>
      </c>
      <c r="I806" s="3" t="s">
        <v>172</v>
      </c>
      <c r="J806" s="3">
        <v>6</v>
      </c>
      <c r="K806" s="3">
        <v>4</v>
      </c>
      <c r="L806" s="3">
        <v>0</v>
      </c>
      <c r="M806" s="3">
        <v>0</v>
      </c>
      <c r="N806" s="3">
        <v>0</v>
      </c>
      <c r="O806" s="3">
        <f t="shared" si="144"/>
        <v>10</v>
      </c>
      <c r="P806" s="3">
        <v>2</v>
      </c>
      <c r="Q806" s="3">
        <v>5</v>
      </c>
      <c r="R806" s="3">
        <v>1</v>
      </c>
      <c r="S806" s="3">
        <v>0</v>
      </c>
      <c r="T806" s="3">
        <v>0</v>
      </c>
      <c r="U806" s="3">
        <f t="shared" si="145"/>
        <v>8</v>
      </c>
      <c r="V806" s="13">
        <f t="shared" si="146"/>
        <v>1.25</v>
      </c>
      <c r="W806" s="13">
        <f t="shared" si="152"/>
        <v>1.25</v>
      </c>
      <c r="X806" s="3">
        <f t="shared" si="147"/>
        <v>8</v>
      </c>
      <c r="Y806" s="3">
        <f t="shared" si="153"/>
        <v>1.0416666666666666E-2</v>
      </c>
      <c r="Z806" s="3"/>
      <c r="AA806" s="3">
        <f t="shared" si="157"/>
        <v>120</v>
      </c>
      <c r="AB806" s="3">
        <v>150</v>
      </c>
      <c r="AC806" s="3" t="s">
        <v>82</v>
      </c>
      <c r="AD806" s="3" t="s">
        <v>83</v>
      </c>
      <c r="AE806" s="3">
        <v>18</v>
      </c>
      <c r="AF806" s="3" t="s">
        <v>151</v>
      </c>
      <c r="AG806" s="3" t="s">
        <v>316</v>
      </c>
      <c r="AH806" s="3"/>
    </row>
    <row r="807" spans="1:34" ht="14.25" customHeight="1" x14ac:dyDescent="0.25">
      <c r="A807" s="3" t="s">
        <v>114</v>
      </c>
      <c r="B807" s="3" t="s">
        <v>171</v>
      </c>
      <c r="C807" s="3"/>
      <c r="D807" s="3" t="s">
        <v>117</v>
      </c>
      <c r="E807" s="3">
        <v>1</v>
      </c>
      <c r="F807" s="3">
        <v>1</v>
      </c>
      <c r="G807" s="3" t="s">
        <v>9</v>
      </c>
      <c r="H807" s="11">
        <v>45900</v>
      </c>
      <c r="I807" s="3" t="s">
        <v>172</v>
      </c>
      <c r="J807" s="3">
        <v>5</v>
      </c>
      <c r="K807" s="3">
        <v>7</v>
      </c>
      <c r="L807" s="3">
        <v>0</v>
      </c>
      <c r="M807" s="3">
        <v>0</v>
      </c>
      <c r="N807" s="3">
        <v>0</v>
      </c>
      <c r="O807" s="3">
        <f t="shared" si="144"/>
        <v>12</v>
      </c>
      <c r="P807" s="3">
        <v>2</v>
      </c>
      <c r="Q807" s="3">
        <v>5</v>
      </c>
      <c r="R807" s="3">
        <v>1</v>
      </c>
      <c r="S807" s="3">
        <v>0</v>
      </c>
      <c r="T807" s="3">
        <v>0</v>
      </c>
      <c r="U807" s="3">
        <f t="shared" si="145"/>
        <v>8</v>
      </c>
      <c r="V807" s="13">
        <f t="shared" si="146"/>
        <v>1.5</v>
      </c>
      <c r="W807" s="13">
        <f t="shared" si="152"/>
        <v>1.5</v>
      </c>
      <c r="X807" s="3">
        <f t="shared" si="147"/>
        <v>8</v>
      </c>
      <c r="Y807" s="3">
        <f t="shared" si="153"/>
        <v>1.2500000000000001E-2</v>
      </c>
      <c r="Z807" s="3"/>
      <c r="AA807" s="3">
        <f t="shared" si="157"/>
        <v>120</v>
      </c>
      <c r="AB807" s="3">
        <v>150</v>
      </c>
      <c r="AC807" s="3" t="s">
        <v>82</v>
      </c>
      <c r="AD807" s="3" t="s">
        <v>83</v>
      </c>
      <c r="AE807" s="3">
        <v>18</v>
      </c>
      <c r="AF807" s="3" t="s">
        <v>151</v>
      </c>
      <c r="AG807" s="3" t="s">
        <v>316</v>
      </c>
      <c r="AH807" s="3"/>
    </row>
    <row r="808" spans="1:34" ht="14.25" customHeight="1" x14ac:dyDescent="0.25">
      <c r="A808" s="3" t="s">
        <v>114</v>
      </c>
      <c r="B808" s="3" t="s">
        <v>171</v>
      </c>
      <c r="C808" s="3"/>
      <c r="D808" s="3" t="s">
        <v>117</v>
      </c>
      <c r="E808" s="3">
        <v>1</v>
      </c>
      <c r="F808" s="3">
        <v>1</v>
      </c>
      <c r="G808" s="3" t="s">
        <v>12</v>
      </c>
      <c r="H808" s="11">
        <v>45900</v>
      </c>
      <c r="I808" s="3" t="s">
        <v>172</v>
      </c>
      <c r="J808" s="3">
        <v>0</v>
      </c>
      <c r="K808" s="3">
        <v>2</v>
      </c>
      <c r="L808" s="3">
        <v>0</v>
      </c>
      <c r="M808" s="3">
        <v>0</v>
      </c>
      <c r="N808" s="3">
        <v>0</v>
      </c>
      <c r="O808" s="3">
        <f t="shared" si="144"/>
        <v>2</v>
      </c>
      <c r="P808" s="3">
        <v>2</v>
      </c>
      <c r="Q808" s="3">
        <v>5</v>
      </c>
      <c r="R808" s="3">
        <v>1</v>
      </c>
      <c r="S808" s="3">
        <v>0</v>
      </c>
      <c r="T808" s="3">
        <v>0</v>
      </c>
      <c r="U808" s="3">
        <f t="shared" si="145"/>
        <v>8</v>
      </c>
      <c r="V808" s="13">
        <f t="shared" si="146"/>
        <v>0.25</v>
      </c>
      <c r="W808" s="13">
        <f t="shared" si="152"/>
        <v>0.25</v>
      </c>
      <c r="X808" s="3">
        <f t="shared" si="147"/>
        <v>8</v>
      </c>
      <c r="Y808" s="3">
        <f t="shared" si="153"/>
        <v>2.0833333333333333E-3</v>
      </c>
      <c r="Z808" s="3"/>
      <c r="AA808" s="3">
        <f t="shared" si="157"/>
        <v>120</v>
      </c>
      <c r="AB808" s="3">
        <v>150</v>
      </c>
      <c r="AC808" s="3" t="s">
        <v>82</v>
      </c>
      <c r="AD808" s="3" t="s">
        <v>83</v>
      </c>
      <c r="AE808" s="3">
        <v>18</v>
      </c>
      <c r="AF808" s="3" t="s">
        <v>151</v>
      </c>
      <c r="AG808" s="3" t="s">
        <v>316</v>
      </c>
      <c r="AH808" s="3"/>
    </row>
    <row r="809" spans="1:34" ht="14.25" customHeight="1" x14ac:dyDescent="0.25">
      <c r="A809" s="3" t="s">
        <v>114</v>
      </c>
      <c r="B809" s="3" t="s">
        <v>171</v>
      </c>
      <c r="C809" s="3"/>
      <c r="D809" s="3" t="s">
        <v>117</v>
      </c>
      <c r="E809" s="3">
        <v>1</v>
      </c>
      <c r="F809" s="3">
        <v>1</v>
      </c>
      <c r="G809" s="3" t="s">
        <v>24</v>
      </c>
      <c r="H809" s="11">
        <v>45900</v>
      </c>
      <c r="I809" s="3" t="s">
        <v>172</v>
      </c>
      <c r="J809" s="3">
        <v>0</v>
      </c>
      <c r="K809" s="3">
        <v>0</v>
      </c>
      <c r="L809" s="3">
        <v>4</v>
      </c>
      <c r="M809" s="3">
        <v>0</v>
      </c>
      <c r="N809" s="3">
        <v>0</v>
      </c>
      <c r="O809" s="3">
        <f t="shared" si="144"/>
        <v>4</v>
      </c>
      <c r="P809" s="3">
        <v>2</v>
      </c>
      <c r="Q809" s="3">
        <v>5</v>
      </c>
      <c r="R809" s="3">
        <v>1</v>
      </c>
      <c r="S809" s="3">
        <v>0</v>
      </c>
      <c r="T809" s="3">
        <v>0</v>
      </c>
      <c r="U809" s="3">
        <f t="shared" si="145"/>
        <v>8</v>
      </c>
      <c r="V809" s="13">
        <f t="shared" si="146"/>
        <v>0.5</v>
      </c>
      <c r="W809" s="13">
        <f t="shared" si="152"/>
        <v>0.5</v>
      </c>
      <c r="X809" s="3">
        <f t="shared" si="147"/>
        <v>8</v>
      </c>
      <c r="Y809" s="3">
        <f t="shared" si="153"/>
        <v>4.1666666666666666E-3</v>
      </c>
      <c r="Z809" s="3"/>
      <c r="AA809" s="3">
        <f t="shared" si="157"/>
        <v>120</v>
      </c>
      <c r="AB809" s="3">
        <v>150</v>
      </c>
      <c r="AC809" s="3" t="s">
        <v>82</v>
      </c>
      <c r="AD809" s="3" t="s">
        <v>83</v>
      </c>
      <c r="AE809" s="3">
        <v>18</v>
      </c>
      <c r="AF809" s="3" t="s">
        <v>151</v>
      </c>
      <c r="AG809" s="3" t="s">
        <v>316</v>
      </c>
      <c r="AH809" s="3"/>
    </row>
    <row r="810" spans="1:34" ht="14.25" customHeight="1" x14ac:dyDescent="0.25">
      <c r="A810" s="3" t="s">
        <v>114</v>
      </c>
      <c r="B810" s="3" t="s">
        <v>171</v>
      </c>
      <c r="C810" s="3"/>
      <c r="D810" s="3" t="s">
        <v>117</v>
      </c>
      <c r="E810" s="3">
        <v>1</v>
      </c>
      <c r="F810" s="3">
        <v>1</v>
      </c>
      <c r="G810" s="3" t="s">
        <v>22</v>
      </c>
      <c r="H810" s="11">
        <v>45900</v>
      </c>
      <c r="I810" s="3" t="s">
        <v>172</v>
      </c>
      <c r="J810" s="3">
        <v>0</v>
      </c>
      <c r="K810" s="3">
        <v>8</v>
      </c>
      <c r="L810" s="3">
        <v>0</v>
      </c>
      <c r="M810" s="3">
        <v>0</v>
      </c>
      <c r="N810" s="3">
        <v>0</v>
      </c>
      <c r="O810" s="3">
        <f t="shared" si="144"/>
        <v>8</v>
      </c>
      <c r="P810" s="3">
        <v>2</v>
      </c>
      <c r="Q810" s="3">
        <v>5</v>
      </c>
      <c r="R810" s="3">
        <v>1</v>
      </c>
      <c r="S810" s="3">
        <v>0</v>
      </c>
      <c r="T810" s="3">
        <v>0</v>
      </c>
      <c r="U810" s="3">
        <f t="shared" si="145"/>
        <v>8</v>
      </c>
      <c r="V810" s="13">
        <f t="shared" si="146"/>
        <v>1</v>
      </c>
      <c r="W810" s="13">
        <f t="shared" si="152"/>
        <v>1</v>
      </c>
      <c r="X810" s="3">
        <f t="shared" si="147"/>
        <v>8</v>
      </c>
      <c r="Y810" s="3">
        <f t="shared" si="153"/>
        <v>8.3333333333333332E-3</v>
      </c>
      <c r="Z810" s="3"/>
      <c r="AA810" s="3">
        <f t="shared" si="157"/>
        <v>120</v>
      </c>
      <c r="AB810" s="3">
        <v>150</v>
      </c>
      <c r="AC810" s="3" t="s">
        <v>82</v>
      </c>
      <c r="AD810" s="3" t="s">
        <v>83</v>
      </c>
      <c r="AE810" s="3">
        <v>18</v>
      </c>
      <c r="AF810" s="3" t="s">
        <v>151</v>
      </c>
      <c r="AG810" s="3" t="s">
        <v>316</v>
      </c>
      <c r="AH810" s="3"/>
    </row>
    <row r="811" spans="1:34" ht="14.25" customHeight="1" x14ac:dyDescent="0.25">
      <c r="A811" s="3" t="s">
        <v>114</v>
      </c>
      <c r="B811" s="3" t="s">
        <v>171</v>
      </c>
      <c r="C811" s="3"/>
      <c r="D811" s="3" t="s">
        <v>117</v>
      </c>
      <c r="E811" s="3">
        <v>1</v>
      </c>
      <c r="F811" s="3">
        <v>1</v>
      </c>
      <c r="G811" s="3" t="s">
        <v>28</v>
      </c>
      <c r="H811" s="11">
        <v>45900</v>
      </c>
      <c r="I811" s="3" t="s">
        <v>172</v>
      </c>
      <c r="J811" s="3">
        <v>0</v>
      </c>
      <c r="K811" s="3">
        <v>6</v>
      </c>
      <c r="L811" s="3">
        <v>0</v>
      </c>
      <c r="M811" s="3">
        <v>0</v>
      </c>
      <c r="N811" s="3">
        <v>0</v>
      </c>
      <c r="O811" s="3">
        <f t="shared" si="144"/>
        <v>6</v>
      </c>
      <c r="P811" s="3">
        <v>2</v>
      </c>
      <c r="Q811" s="3">
        <v>5</v>
      </c>
      <c r="R811" s="3">
        <v>1</v>
      </c>
      <c r="S811" s="3">
        <v>0</v>
      </c>
      <c r="T811" s="3">
        <v>0</v>
      </c>
      <c r="U811" s="3">
        <f t="shared" si="145"/>
        <v>8</v>
      </c>
      <c r="V811" s="13">
        <f t="shared" si="146"/>
        <v>0.75</v>
      </c>
      <c r="W811" s="13">
        <f t="shared" si="152"/>
        <v>0.75</v>
      </c>
      <c r="X811" s="3">
        <f t="shared" si="147"/>
        <v>8</v>
      </c>
      <c r="Y811" s="3">
        <f t="shared" si="153"/>
        <v>6.2500000000000003E-3</v>
      </c>
      <c r="Z811" s="3"/>
      <c r="AA811" s="3">
        <f t="shared" si="157"/>
        <v>120</v>
      </c>
      <c r="AB811" s="3">
        <v>150</v>
      </c>
      <c r="AC811" s="3" t="s">
        <v>82</v>
      </c>
      <c r="AD811" s="3" t="s">
        <v>83</v>
      </c>
      <c r="AE811" s="3">
        <v>18</v>
      </c>
      <c r="AF811" s="3" t="s">
        <v>151</v>
      </c>
      <c r="AG811" s="3" t="s">
        <v>316</v>
      </c>
      <c r="AH811" s="3"/>
    </row>
    <row r="812" spans="1:34" ht="14.25" customHeight="1" x14ac:dyDescent="0.25">
      <c r="A812" s="3" t="s">
        <v>124</v>
      </c>
      <c r="B812" s="3" t="s">
        <v>171</v>
      </c>
      <c r="C812" s="3"/>
      <c r="D812" s="3" t="s">
        <v>117</v>
      </c>
      <c r="E812" s="3">
        <v>1</v>
      </c>
      <c r="F812" s="3">
        <v>1</v>
      </c>
      <c r="G812" s="3" t="s">
        <v>1</v>
      </c>
      <c r="H812" s="11">
        <v>45900</v>
      </c>
      <c r="I812" s="3" t="s">
        <v>172</v>
      </c>
      <c r="J812" s="3">
        <v>0</v>
      </c>
      <c r="K812" s="3">
        <f>8+16+21</f>
        <v>45</v>
      </c>
      <c r="L812" s="3">
        <v>0</v>
      </c>
      <c r="M812" s="3">
        <f>15+8</f>
        <v>23</v>
      </c>
      <c r="N812" s="3">
        <v>6</v>
      </c>
      <c r="O812" s="3">
        <f t="shared" ref="O812:O863" si="158">SUM(J812:N812)</f>
        <v>74</v>
      </c>
      <c r="P812" s="3">
        <v>0</v>
      </c>
      <c r="Q812" s="3">
        <v>3</v>
      </c>
      <c r="R812" s="3">
        <v>0</v>
      </c>
      <c r="S812" s="3">
        <v>2</v>
      </c>
      <c r="T812" s="3">
        <v>1</v>
      </c>
      <c r="U812" s="3">
        <f t="shared" ref="U812:U854" si="159">SUM(P812:T812)</f>
        <v>6</v>
      </c>
      <c r="V812" s="13">
        <f t="shared" ref="V812:V910" si="160">O812/U812/F812</f>
        <v>12.333333333333334</v>
      </c>
      <c r="W812" s="13">
        <f t="shared" si="152"/>
        <v>12.333333333333334</v>
      </c>
      <c r="X812" s="3">
        <f t="shared" ref="X812:X910" si="161">F812*U812</f>
        <v>6</v>
      </c>
      <c r="Y812" s="3">
        <f t="shared" si="153"/>
        <v>8.2222222222222224E-2</v>
      </c>
      <c r="Z812" s="3"/>
      <c r="AA812" s="3">
        <f t="shared" ref="AA812:AA818" si="162">15*2*5</f>
        <v>150</v>
      </c>
      <c r="AB812" s="3">
        <v>130</v>
      </c>
      <c r="AC812" s="3" t="s">
        <v>82</v>
      </c>
      <c r="AD812" s="3" t="s">
        <v>83</v>
      </c>
      <c r="AE812" s="3">
        <v>15</v>
      </c>
      <c r="AF812" s="3" t="s">
        <v>151</v>
      </c>
      <c r="AG812" s="3" t="s">
        <v>317</v>
      </c>
      <c r="AH812" s="3"/>
    </row>
    <row r="813" spans="1:34" ht="14.25" customHeight="1" x14ac:dyDescent="0.25">
      <c r="A813" s="3" t="s">
        <v>124</v>
      </c>
      <c r="B813" s="3" t="s">
        <v>171</v>
      </c>
      <c r="C813" s="3"/>
      <c r="D813" s="3" t="s">
        <v>117</v>
      </c>
      <c r="E813" s="3">
        <v>1</v>
      </c>
      <c r="F813" s="3">
        <v>1</v>
      </c>
      <c r="G813" s="3" t="s">
        <v>3</v>
      </c>
      <c r="H813" s="11">
        <v>45900</v>
      </c>
      <c r="I813" s="3" t="s">
        <v>172</v>
      </c>
      <c r="J813" s="3">
        <v>0</v>
      </c>
      <c r="K813" s="3">
        <f>9+12+18</f>
        <v>39</v>
      </c>
      <c r="L813" s="3">
        <v>0</v>
      </c>
      <c r="M813" s="3">
        <f>11+16</f>
        <v>27</v>
      </c>
      <c r="N813" s="3">
        <v>4</v>
      </c>
      <c r="O813" s="3">
        <f t="shared" si="158"/>
        <v>70</v>
      </c>
      <c r="P813" s="3">
        <v>0</v>
      </c>
      <c r="Q813" s="3">
        <v>3</v>
      </c>
      <c r="R813" s="3">
        <v>0</v>
      </c>
      <c r="S813" s="3">
        <v>2</v>
      </c>
      <c r="T813" s="3">
        <v>1</v>
      </c>
      <c r="U813" s="3">
        <f t="shared" si="159"/>
        <v>6</v>
      </c>
      <c r="V813" s="13">
        <f t="shared" si="160"/>
        <v>11.666666666666666</v>
      </c>
      <c r="W813" s="13">
        <f t="shared" si="152"/>
        <v>11.666666666666666</v>
      </c>
      <c r="X813" s="3">
        <f t="shared" si="161"/>
        <v>6</v>
      </c>
      <c r="Y813" s="3">
        <f t="shared" si="153"/>
        <v>7.7777777777777779E-2</v>
      </c>
      <c r="Z813" s="3"/>
      <c r="AA813" s="3">
        <f t="shared" si="162"/>
        <v>150</v>
      </c>
      <c r="AB813" s="3">
        <v>130</v>
      </c>
      <c r="AC813" s="3" t="s">
        <v>82</v>
      </c>
      <c r="AD813" s="3" t="s">
        <v>83</v>
      </c>
      <c r="AE813" s="3">
        <v>15</v>
      </c>
      <c r="AF813" s="3" t="s">
        <v>151</v>
      </c>
      <c r="AG813" s="3" t="s">
        <v>317</v>
      </c>
      <c r="AH813" s="3"/>
    </row>
    <row r="814" spans="1:34" ht="14.25" customHeight="1" x14ac:dyDescent="0.25">
      <c r="A814" s="3" t="s">
        <v>124</v>
      </c>
      <c r="B814" s="3" t="s">
        <v>171</v>
      </c>
      <c r="C814" s="3"/>
      <c r="D814" s="3" t="s">
        <v>117</v>
      </c>
      <c r="E814" s="3">
        <v>1</v>
      </c>
      <c r="F814" s="3">
        <v>1</v>
      </c>
      <c r="G814" s="3" t="s">
        <v>14</v>
      </c>
      <c r="H814" s="11">
        <v>45900</v>
      </c>
      <c r="I814" s="3" t="s">
        <v>172</v>
      </c>
      <c r="J814" s="3">
        <v>0</v>
      </c>
      <c r="K814" s="3">
        <f>8+6+12</f>
        <v>26</v>
      </c>
      <c r="L814" s="3">
        <v>0</v>
      </c>
      <c r="M814" s="3">
        <v>6</v>
      </c>
      <c r="N814" s="3">
        <v>0</v>
      </c>
      <c r="O814" s="3">
        <f t="shared" si="158"/>
        <v>32</v>
      </c>
      <c r="P814" s="3">
        <v>0</v>
      </c>
      <c r="Q814" s="3">
        <v>3</v>
      </c>
      <c r="R814" s="3">
        <v>0</v>
      </c>
      <c r="S814" s="3">
        <v>2</v>
      </c>
      <c r="T814" s="3">
        <v>1</v>
      </c>
      <c r="U814" s="3">
        <f t="shared" si="159"/>
        <v>6</v>
      </c>
      <c r="V814" s="13">
        <f t="shared" si="160"/>
        <v>5.333333333333333</v>
      </c>
      <c r="W814" s="13">
        <f t="shared" si="152"/>
        <v>5.333333333333333</v>
      </c>
      <c r="X814" s="3">
        <f t="shared" si="161"/>
        <v>6</v>
      </c>
      <c r="Y814" s="3">
        <f t="shared" si="153"/>
        <v>3.5555555555555556E-2</v>
      </c>
      <c r="Z814" s="3"/>
      <c r="AA814" s="3">
        <f t="shared" si="162"/>
        <v>150</v>
      </c>
      <c r="AB814" s="3">
        <v>130</v>
      </c>
      <c r="AC814" s="3" t="s">
        <v>82</v>
      </c>
      <c r="AD814" s="3" t="s">
        <v>83</v>
      </c>
      <c r="AE814" s="3">
        <v>15</v>
      </c>
      <c r="AF814" s="3" t="s">
        <v>151</v>
      </c>
      <c r="AG814" s="3" t="s">
        <v>317</v>
      </c>
      <c r="AH814" s="3"/>
    </row>
    <row r="815" spans="1:34" ht="14.25" customHeight="1" x14ac:dyDescent="0.25">
      <c r="A815" s="3" t="s">
        <v>124</v>
      </c>
      <c r="B815" s="3" t="s">
        <v>171</v>
      </c>
      <c r="C815" s="3"/>
      <c r="D815" s="3" t="s">
        <v>117</v>
      </c>
      <c r="E815" s="3">
        <v>1</v>
      </c>
      <c r="F815" s="3">
        <v>1</v>
      </c>
      <c r="G815" s="3" t="s">
        <v>16</v>
      </c>
      <c r="H815" s="11">
        <v>45900</v>
      </c>
      <c r="I815" s="3" t="s">
        <v>172</v>
      </c>
      <c r="J815" s="3">
        <v>0</v>
      </c>
      <c r="K815" s="3">
        <f>6</f>
        <v>6</v>
      </c>
      <c r="L815" s="3">
        <v>0</v>
      </c>
      <c r="M815" s="3">
        <v>0</v>
      </c>
      <c r="N815" s="3">
        <v>0</v>
      </c>
      <c r="O815" s="3">
        <f t="shared" si="158"/>
        <v>6</v>
      </c>
      <c r="P815" s="3">
        <v>0</v>
      </c>
      <c r="Q815" s="3">
        <v>3</v>
      </c>
      <c r="R815" s="3">
        <v>0</v>
      </c>
      <c r="S815" s="3">
        <v>2</v>
      </c>
      <c r="T815" s="3">
        <v>1</v>
      </c>
      <c r="U815" s="3">
        <f t="shared" si="159"/>
        <v>6</v>
      </c>
      <c r="V815" s="13">
        <f t="shared" si="160"/>
        <v>1</v>
      </c>
      <c r="W815" s="13">
        <f t="shared" si="152"/>
        <v>1</v>
      </c>
      <c r="X815" s="3">
        <f t="shared" si="161"/>
        <v>6</v>
      </c>
      <c r="Y815" s="3">
        <f t="shared" si="153"/>
        <v>6.6666666666666671E-3</v>
      </c>
      <c r="Z815" s="3"/>
      <c r="AA815" s="3">
        <f t="shared" si="162"/>
        <v>150</v>
      </c>
      <c r="AB815" s="3">
        <v>130</v>
      </c>
      <c r="AC815" s="3" t="s">
        <v>82</v>
      </c>
      <c r="AD815" s="3" t="s">
        <v>83</v>
      </c>
      <c r="AE815" s="3">
        <v>15</v>
      </c>
      <c r="AF815" s="3" t="s">
        <v>151</v>
      </c>
      <c r="AG815" s="3" t="s">
        <v>317</v>
      </c>
      <c r="AH815" s="3"/>
    </row>
    <row r="816" spans="1:34" ht="14.25" customHeight="1" x14ac:dyDescent="0.25">
      <c r="A816" s="3" t="s">
        <v>124</v>
      </c>
      <c r="B816" s="3" t="s">
        <v>171</v>
      </c>
      <c r="C816" s="3"/>
      <c r="D816" s="3" t="s">
        <v>117</v>
      </c>
      <c r="E816" s="3">
        <v>1</v>
      </c>
      <c r="F816" s="3">
        <v>1</v>
      </c>
      <c r="G816" s="3" t="s">
        <v>18</v>
      </c>
      <c r="H816" s="11">
        <v>45900</v>
      </c>
      <c r="I816" s="3" t="s">
        <v>172</v>
      </c>
      <c r="J816" s="3">
        <v>0</v>
      </c>
      <c r="K816" s="3">
        <v>4</v>
      </c>
      <c r="L816" s="3">
        <v>0</v>
      </c>
      <c r="M816" s="3">
        <v>0</v>
      </c>
      <c r="N816" s="3">
        <v>0</v>
      </c>
      <c r="O816" s="3">
        <f t="shared" si="158"/>
        <v>4</v>
      </c>
      <c r="P816" s="3">
        <v>0</v>
      </c>
      <c r="Q816" s="3">
        <v>3</v>
      </c>
      <c r="R816" s="3">
        <v>0</v>
      </c>
      <c r="S816" s="3">
        <v>2</v>
      </c>
      <c r="T816" s="3">
        <v>1</v>
      </c>
      <c r="U816" s="3">
        <f t="shared" si="159"/>
        <v>6</v>
      </c>
      <c r="V816" s="13">
        <f t="shared" si="160"/>
        <v>0.66666666666666663</v>
      </c>
      <c r="W816" s="13">
        <f t="shared" si="152"/>
        <v>0.66666666666666663</v>
      </c>
      <c r="X816" s="3">
        <f t="shared" si="161"/>
        <v>6</v>
      </c>
      <c r="Y816" s="3">
        <f t="shared" si="153"/>
        <v>4.4444444444444444E-3</v>
      </c>
      <c r="Z816" s="3"/>
      <c r="AA816" s="3">
        <f t="shared" si="162"/>
        <v>150</v>
      </c>
      <c r="AB816" s="3">
        <v>130</v>
      </c>
      <c r="AC816" s="3" t="s">
        <v>82</v>
      </c>
      <c r="AD816" s="3" t="s">
        <v>83</v>
      </c>
      <c r="AE816" s="3">
        <v>15</v>
      </c>
      <c r="AF816" s="3" t="s">
        <v>151</v>
      </c>
      <c r="AG816" s="3" t="s">
        <v>317</v>
      </c>
      <c r="AH816" s="3"/>
    </row>
    <row r="817" spans="1:34" ht="14.25" customHeight="1" x14ac:dyDescent="0.25">
      <c r="A817" s="3" t="s">
        <v>124</v>
      </c>
      <c r="B817" s="3" t="s">
        <v>171</v>
      </c>
      <c r="C817" s="3"/>
      <c r="D817" s="3" t="s">
        <v>117</v>
      </c>
      <c r="E817" s="3">
        <v>1</v>
      </c>
      <c r="F817" s="3">
        <v>1</v>
      </c>
      <c r="G817" s="3" t="s">
        <v>25</v>
      </c>
      <c r="H817" s="11">
        <v>45900</v>
      </c>
      <c r="I817" s="3" t="s">
        <v>172</v>
      </c>
      <c r="J817" s="3">
        <v>0</v>
      </c>
      <c r="K817" s="3">
        <v>16</v>
      </c>
      <c r="L817" s="3">
        <v>0</v>
      </c>
      <c r="M817" s="3">
        <v>0</v>
      </c>
      <c r="N817" s="3">
        <v>0</v>
      </c>
      <c r="O817" s="3">
        <f t="shared" si="158"/>
        <v>16</v>
      </c>
      <c r="P817" s="3">
        <v>0</v>
      </c>
      <c r="Q817" s="3">
        <v>3</v>
      </c>
      <c r="R817" s="3">
        <v>0</v>
      </c>
      <c r="S817" s="3">
        <v>2</v>
      </c>
      <c r="T817" s="3">
        <v>1</v>
      </c>
      <c r="U817" s="3">
        <f t="shared" si="159"/>
        <v>6</v>
      </c>
      <c r="V817" s="13">
        <f t="shared" si="160"/>
        <v>2.6666666666666665</v>
      </c>
      <c r="W817" s="13">
        <f t="shared" si="152"/>
        <v>2.6666666666666665</v>
      </c>
      <c r="X817" s="3">
        <f t="shared" si="161"/>
        <v>6</v>
      </c>
      <c r="Y817" s="3">
        <f t="shared" si="153"/>
        <v>1.7777777777777778E-2</v>
      </c>
      <c r="Z817" s="3"/>
      <c r="AA817" s="3">
        <f t="shared" si="162"/>
        <v>150</v>
      </c>
      <c r="AB817" s="3">
        <v>130</v>
      </c>
      <c r="AC817" s="3" t="s">
        <v>82</v>
      </c>
      <c r="AD817" s="3" t="s">
        <v>83</v>
      </c>
      <c r="AE817" s="3">
        <v>15</v>
      </c>
      <c r="AF817" s="3" t="s">
        <v>151</v>
      </c>
      <c r="AG817" s="3" t="s">
        <v>317</v>
      </c>
      <c r="AH817" s="3"/>
    </row>
    <row r="818" spans="1:34" ht="14.25" customHeight="1" x14ac:dyDescent="0.25">
      <c r="A818" s="3" t="s">
        <v>124</v>
      </c>
      <c r="B818" s="3" t="s">
        <v>171</v>
      </c>
      <c r="C818" s="3"/>
      <c r="D818" s="3" t="s">
        <v>117</v>
      </c>
      <c r="E818" s="3">
        <v>1</v>
      </c>
      <c r="F818" s="3">
        <v>1</v>
      </c>
      <c r="G818" s="3" t="s">
        <v>22</v>
      </c>
      <c r="H818" s="11">
        <v>45900</v>
      </c>
      <c r="I818" s="3" t="s">
        <v>172</v>
      </c>
      <c r="J818" s="3">
        <v>0</v>
      </c>
      <c r="K818" s="3">
        <v>0</v>
      </c>
      <c r="L818" s="3">
        <v>0</v>
      </c>
      <c r="M818" s="3">
        <f>4+6</f>
        <v>10</v>
      </c>
      <c r="N818" s="3">
        <v>0</v>
      </c>
      <c r="O818" s="3">
        <f t="shared" si="158"/>
        <v>10</v>
      </c>
      <c r="P818" s="3">
        <v>0</v>
      </c>
      <c r="Q818" s="3">
        <v>3</v>
      </c>
      <c r="R818" s="3">
        <v>0</v>
      </c>
      <c r="S818" s="3">
        <v>2</v>
      </c>
      <c r="T818" s="3">
        <v>1</v>
      </c>
      <c r="U818" s="3">
        <f t="shared" si="159"/>
        <v>6</v>
      </c>
      <c r="V818" s="13">
        <f t="shared" si="160"/>
        <v>1.6666666666666667</v>
      </c>
      <c r="W818" s="13">
        <f t="shared" si="152"/>
        <v>1.6666666666666667</v>
      </c>
      <c r="X818" s="3">
        <f t="shared" si="161"/>
        <v>6</v>
      </c>
      <c r="Y818" s="3">
        <f t="shared" si="153"/>
        <v>1.1111111111111112E-2</v>
      </c>
      <c r="Z818" s="3"/>
      <c r="AA818" s="3">
        <f t="shared" si="162"/>
        <v>150</v>
      </c>
      <c r="AB818" s="3">
        <v>130</v>
      </c>
      <c r="AC818" s="3" t="s">
        <v>82</v>
      </c>
      <c r="AD818" s="3" t="s">
        <v>83</v>
      </c>
      <c r="AE818" s="3">
        <v>15</v>
      </c>
      <c r="AF818" s="3" t="s">
        <v>151</v>
      </c>
      <c r="AG818" s="3" t="s">
        <v>317</v>
      </c>
      <c r="AH818" s="3"/>
    </row>
    <row r="819" spans="1:34" ht="14.25" customHeight="1" x14ac:dyDescent="0.25">
      <c r="A819" s="3" t="s">
        <v>131</v>
      </c>
      <c r="B819" s="3" t="s">
        <v>171</v>
      </c>
      <c r="C819" s="3"/>
      <c r="D819" s="3" t="s">
        <v>117</v>
      </c>
      <c r="E819" s="3">
        <v>1</v>
      </c>
      <c r="F819" s="3">
        <v>1</v>
      </c>
      <c r="G819" s="3" t="s">
        <v>1</v>
      </c>
      <c r="H819" s="11">
        <v>45900</v>
      </c>
      <c r="I819" s="3" t="s">
        <v>172</v>
      </c>
      <c r="J819" s="3">
        <v>0</v>
      </c>
      <c r="K819" s="3">
        <v>0</v>
      </c>
      <c r="L819" s="3">
        <v>0</v>
      </c>
      <c r="M819" s="3">
        <f>12+16</f>
        <v>28</v>
      </c>
      <c r="N819" s="3">
        <v>0</v>
      </c>
      <c r="O819" s="3">
        <f t="shared" si="158"/>
        <v>28</v>
      </c>
      <c r="P819" s="3">
        <v>0</v>
      </c>
      <c r="Q819" s="3">
        <v>0</v>
      </c>
      <c r="R819" s="3">
        <v>0</v>
      </c>
      <c r="S819" s="3">
        <v>4</v>
      </c>
      <c r="T819" s="3">
        <v>0</v>
      </c>
      <c r="U819" s="3">
        <f t="shared" si="159"/>
        <v>4</v>
      </c>
      <c r="V819" s="13">
        <f t="shared" si="160"/>
        <v>7</v>
      </c>
      <c r="W819" s="13">
        <f t="shared" si="152"/>
        <v>7</v>
      </c>
      <c r="X819" s="3">
        <f t="shared" si="161"/>
        <v>4</v>
      </c>
      <c r="Y819" s="3">
        <f t="shared" si="153"/>
        <v>5.8333333333333334E-2</v>
      </c>
      <c r="Z819" s="3"/>
      <c r="AA819" s="3">
        <f t="shared" ref="AA819:AA828" si="163">12*2*5</f>
        <v>120</v>
      </c>
      <c r="AB819" s="3">
        <v>130</v>
      </c>
      <c r="AC819" s="3" t="s">
        <v>82</v>
      </c>
      <c r="AD819" s="3" t="s">
        <v>83</v>
      </c>
      <c r="AE819" s="3">
        <v>15</v>
      </c>
      <c r="AF819" s="3" t="s">
        <v>151</v>
      </c>
      <c r="AG819" s="3" t="s">
        <v>318</v>
      </c>
      <c r="AH819" s="3"/>
    </row>
    <row r="820" spans="1:34" ht="14.25" customHeight="1" x14ac:dyDescent="0.25">
      <c r="A820" s="3" t="s">
        <v>131</v>
      </c>
      <c r="B820" s="3" t="s">
        <v>171</v>
      </c>
      <c r="C820" s="3"/>
      <c r="D820" s="3" t="s">
        <v>117</v>
      </c>
      <c r="E820" s="3">
        <v>1</v>
      </c>
      <c r="F820" s="3">
        <v>1</v>
      </c>
      <c r="G820" s="3" t="s">
        <v>3</v>
      </c>
      <c r="H820" s="11">
        <v>45900</v>
      </c>
      <c r="I820" s="3" t="s">
        <v>172</v>
      </c>
      <c r="J820" s="3">
        <v>0</v>
      </c>
      <c r="K820" s="3">
        <v>0</v>
      </c>
      <c r="L820" s="3">
        <v>0</v>
      </c>
      <c r="M820" s="3">
        <f>9+11</f>
        <v>20</v>
      </c>
      <c r="N820" s="3">
        <v>0</v>
      </c>
      <c r="O820" s="3">
        <f t="shared" si="158"/>
        <v>20</v>
      </c>
      <c r="P820" s="3">
        <v>0</v>
      </c>
      <c r="Q820" s="3">
        <v>0</v>
      </c>
      <c r="R820" s="3">
        <v>0</v>
      </c>
      <c r="S820" s="3">
        <v>4</v>
      </c>
      <c r="T820" s="3">
        <v>0</v>
      </c>
      <c r="U820" s="3">
        <f t="shared" si="159"/>
        <v>4</v>
      </c>
      <c r="V820" s="13">
        <f t="shared" si="160"/>
        <v>5</v>
      </c>
      <c r="W820" s="13">
        <f t="shared" si="152"/>
        <v>5</v>
      </c>
      <c r="X820" s="3">
        <f t="shared" si="161"/>
        <v>4</v>
      </c>
      <c r="Y820" s="3">
        <f t="shared" si="153"/>
        <v>4.1666666666666664E-2</v>
      </c>
      <c r="Z820" s="3"/>
      <c r="AA820" s="3">
        <f t="shared" si="163"/>
        <v>120</v>
      </c>
      <c r="AB820" s="3">
        <v>130</v>
      </c>
      <c r="AC820" s="3" t="s">
        <v>82</v>
      </c>
      <c r="AD820" s="3" t="s">
        <v>83</v>
      </c>
      <c r="AE820" s="3">
        <v>15</v>
      </c>
      <c r="AF820" s="3" t="s">
        <v>151</v>
      </c>
      <c r="AG820" s="3" t="s">
        <v>318</v>
      </c>
      <c r="AH820" s="3"/>
    </row>
    <row r="821" spans="1:34" ht="14.25" customHeight="1" x14ac:dyDescent="0.25">
      <c r="A821" s="3" t="s">
        <v>131</v>
      </c>
      <c r="B821" s="3" t="s">
        <v>171</v>
      </c>
      <c r="C821" s="3"/>
      <c r="D821" s="3" t="s">
        <v>117</v>
      </c>
      <c r="E821" s="3">
        <v>1</v>
      </c>
      <c r="F821" s="3">
        <v>1</v>
      </c>
      <c r="G821" s="3" t="s">
        <v>2</v>
      </c>
      <c r="H821" s="11">
        <v>45900</v>
      </c>
      <c r="I821" s="3" t="s">
        <v>172</v>
      </c>
      <c r="J821" s="3">
        <v>0</v>
      </c>
      <c r="K821" s="3">
        <v>0</v>
      </c>
      <c r="L821" s="3">
        <v>0</v>
      </c>
      <c r="M821" s="3">
        <v>8</v>
      </c>
      <c r="N821" s="3">
        <v>0</v>
      </c>
      <c r="O821" s="3">
        <f t="shared" si="158"/>
        <v>8</v>
      </c>
      <c r="P821" s="3">
        <v>0</v>
      </c>
      <c r="Q821" s="3">
        <v>0</v>
      </c>
      <c r="R821" s="3">
        <v>0</v>
      </c>
      <c r="S821" s="3">
        <v>4</v>
      </c>
      <c r="T821" s="3">
        <v>0</v>
      </c>
      <c r="U821" s="3">
        <f t="shared" si="159"/>
        <v>4</v>
      </c>
      <c r="V821" s="13">
        <f t="shared" si="160"/>
        <v>2</v>
      </c>
      <c r="W821" s="13">
        <f t="shared" si="152"/>
        <v>2</v>
      </c>
      <c r="X821" s="3">
        <f t="shared" si="161"/>
        <v>4</v>
      </c>
      <c r="Y821" s="3">
        <f t="shared" si="153"/>
        <v>1.6666666666666666E-2</v>
      </c>
      <c r="Z821" s="3"/>
      <c r="AA821" s="3">
        <f t="shared" si="163"/>
        <v>120</v>
      </c>
      <c r="AB821" s="3">
        <v>130</v>
      </c>
      <c r="AC821" s="3" t="s">
        <v>82</v>
      </c>
      <c r="AD821" s="3" t="s">
        <v>83</v>
      </c>
      <c r="AE821" s="3">
        <v>15</v>
      </c>
      <c r="AF821" s="3" t="s">
        <v>151</v>
      </c>
      <c r="AG821" s="3" t="s">
        <v>318</v>
      </c>
      <c r="AH821" s="3"/>
    </row>
    <row r="822" spans="1:34" ht="14.25" customHeight="1" x14ac:dyDescent="0.25">
      <c r="A822" s="3" t="s">
        <v>131</v>
      </c>
      <c r="B822" s="3" t="s">
        <v>171</v>
      </c>
      <c r="C822" s="3"/>
      <c r="D822" s="3" t="s">
        <v>117</v>
      </c>
      <c r="E822" s="3">
        <v>1</v>
      </c>
      <c r="F822" s="3">
        <v>1</v>
      </c>
      <c r="G822" s="3" t="s">
        <v>10</v>
      </c>
      <c r="H822" s="11">
        <v>45900</v>
      </c>
      <c r="I822" s="3" t="s">
        <v>172</v>
      </c>
      <c r="J822" s="3">
        <v>0</v>
      </c>
      <c r="K822" s="3">
        <v>0</v>
      </c>
      <c r="L822" s="3">
        <v>0</v>
      </c>
      <c r="M822" s="3">
        <v>9</v>
      </c>
      <c r="N822" s="3">
        <v>0</v>
      </c>
      <c r="O822" s="3">
        <f t="shared" si="158"/>
        <v>9</v>
      </c>
      <c r="P822" s="3">
        <v>0</v>
      </c>
      <c r="Q822" s="3">
        <v>0</v>
      </c>
      <c r="R822" s="3">
        <v>0</v>
      </c>
      <c r="S822" s="3">
        <v>4</v>
      </c>
      <c r="T822" s="3">
        <v>0</v>
      </c>
      <c r="U822" s="3">
        <f t="shared" si="159"/>
        <v>4</v>
      </c>
      <c r="V822" s="13">
        <f t="shared" si="160"/>
        <v>2.25</v>
      </c>
      <c r="W822" s="13">
        <f t="shared" si="152"/>
        <v>2.25</v>
      </c>
      <c r="X822" s="3">
        <f t="shared" si="161"/>
        <v>4</v>
      </c>
      <c r="Y822" s="3">
        <f t="shared" si="153"/>
        <v>1.8749999999999999E-2</v>
      </c>
      <c r="Z822" s="3"/>
      <c r="AA822" s="3">
        <f t="shared" si="163"/>
        <v>120</v>
      </c>
      <c r="AB822" s="3">
        <v>130</v>
      </c>
      <c r="AC822" s="3" t="s">
        <v>82</v>
      </c>
      <c r="AD822" s="3" t="s">
        <v>83</v>
      </c>
      <c r="AE822" s="3">
        <v>15</v>
      </c>
      <c r="AF822" s="3" t="s">
        <v>151</v>
      </c>
      <c r="AG822" s="3" t="s">
        <v>318</v>
      </c>
      <c r="AH822" s="3"/>
    </row>
    <row r="823" spans="1:34" ht="14.25" customHeight="1" x14ac:dyDescent="0.25">
      <c r="A823" s="3" t="s">
        <v>131</v>
      </c>
      <c r="B823" s="3" t="s">
        <v>171</v>
      </c>
      <c r="C823" s="3"/>
      <c r="D823" s="3" t="s">
        <v>117</v>
      </c>
      <c r="E823" s="3">
        <v>1</v>
      </c>
      <c r="F823" s="3">
        <v>1</v>
      </c>
      <c r="G823" s="3" t="s">
        <v>14</v>
      </c>
      <c r="H823" s="11">
        <v>45900</v>
      </c>
      <c r="I823" s="3" t="s">
        <v>172</v>
      </c>
      <c r="J823" s="3">
        <v>0</v>
      </c>
      <c r="K823" s="3">
        <v>0</v>
      </c>
      <c r="L823" s="3">
        <v>0</v>
      </c>
      <c r="M823" s="3">
        <v>5</v>
      </c>
      <c r="N823" s="3">
        <v>0</v>
      </c>
      <c r="O823" s="3">
        <f t="shared" si="158"/>
        <v>5</v>
      </c>
      <c r="P823" s="3">
        <v>0</v>
      </c>
      <c r="Q823" s="3">
        <v>0</v>
      </c>
      <c r="R823" s="3">
        <v>0</v>
      </c>
      <c r="S823" s="3">
        <v>4</v>
      </c>
      <c r="T823" s="3">
        <v>0</v>
      </c>
      <c r="U823" s="3">
        <f t="shared" si="159"/>
        <v>4</v>
      </c>
      <c r="V823" s="13">
        <f t="shared" si="160"/>
        <v>1.25</v>
      </c>
      <c r="W823" s="13">
        <f t="shared" si="152"/>
        <v>1.25</v>
      </c>
      <c r="X823" s="3">
        <f t="shared" si="161"/>
        <v>4</v>
      </c>
      <c r="Y823" s="3">
        <f t="shared" si="153"/>
        <v>1.0416666666666666E-2</v>
      </c>
      <c r="Z823" s="3"/>
      <c r="AA823" s="3">
        <f t="shared" si="163"/>
        <v>120</v>
      </c>
      <c r="AB823" s="3">
        <v>130</v>
      </c>
      <c r="AC823" s="3" t="s">
        <v>82</v>
      </c>
      <c r="AD823" s="3" t="s">
        <v>83</v>
      </c>
      <c r="AE823" s="3">
        <v>15</v>
      </c>
      <c r="AF823" s="3" t="s">
        <v>151</v>
      </c>
      <c r="AG823" s="3" t="s">
        <v>318</v>
      </c>
      <c r="AH823" s="3"/>
    </row>
    <row r="824" spans="1:34" ht="14.25" customHeight="1" x14ac:dyDescent="0.25">
      <c r="A824" s="3" t="s">
        <v>131</v>
      </c>
      <c r="B824" s="3" t="s">
        <v>171</v>
      </c>
      <c r="C824" s="3"/>
      <c r="D824" s="3" t="s">
        <v>117</v>
      </c>
      <c r="E824" s="3">
        <v>1</v>
      </c>
      <c r="F824" s="3">
        <v>1</v>
      </c>
      <c r="G824" s="3" t="s">
        <v>16</v>
      </c>
      <c r="H824" s="11">
        <v>45900</v>
      </c>
      <c r="I824" s="3" t="s">
        <v>172</v>
      </c>
      <c r="J824" s="3">
        <v>0</v>
      </c>
      <c r="K824" s="3">
        <v>0</v>
      </c>
      <c r="L824" s="3">
        <v>0</v>
      </c>
      <c r="M824" s="3">
        <f>7+9</f>
        <v>16</v>
      </c>
      <c r="N824" s="3">
        <v>0</v>
      </c>
      <c r="O824" s="3">
        <f t="shared" si="158"/>
        <v>16</v>
      </c>
      <c r="P824" s="3">
        <v>0</v>
      </c>
      <c r="Q824" s="3">
        <v>0</v>
      </c>
      <c r="R824" s="3">
        <v>0</v>
      </c>
      <c r="S824" s="3">
        <v>4</v>
      </c>
      <c r="T824" s="3">
        <v>0</v>
      </c>
      <c r="U824" s="3">
        <f t="shared" si="159"/>
        <v>4</v>
      </c>
      <c r="V824" s="13">
        <f t="shared" si="160"/>
        <v>4</v>
      </c>
      <c r="W824" s="13">
        <f t="shared" si="152"/>
        <v>4</v>
      </c>
      <c r="X824" s="3">
        <f t="shared" si="161"/>
        <v>4</v>
      </c>
      <c r="Y824" s="3">
        <f t="shared" si="153"/>
        <v>3.3333333333333333E-2</v>
      </c>
      <c r="Z824" s="3"/>
      <c r="AA824" s="3">
        <f t="shared" si="163"/>
        <v>120</v>
      </c>
      <c r="AB824" s="3">
        <v>130</v>
      </c>
      <c r="AC824" s="3" t="s">
        <v>82</v>
      </c>
      <c r="AD824" s="3" t="s">
        <v>83</v>
      </c>
      <c r="AE824" s="3">
        <v>15</v>
      </c>
      <c r="AF824" s="3" t="s">
        <v>151</v>
      </c>
      <c r="AG824" s="3" t="s">
        <v>318</v>
      </c>
      <c r="AH824" s="3"/>
    </row>
    <row r="825" spans="1:34" ht="14.25" customHeight="1" x14ac:dyDescent="0.25">
      <c r="A825" s="3" t="s">
        <v>131</v>
      </c>
      <c r="B825" s="3" t="s">
        <v>171</v>
      </c>
      <c r="C825" s="3"/>
      <c r="D825" s="3" t="s">
        <v>117</v>
      </c>
      <c r="E825" s="3">
        <v>1</v>
      </c>
      <c r="F825" s="3">
        <v>1</v>
      </c>
      <c r="G825" s="3" t="s">
        <v>18</v>
      </c>
      <c r="H825" s="11">
        <v>45900</v>
      </c>
      <c r="I825" s="3" t="s">
        <v>172</v>
      </c>
      <c r="J825" s="3">
        <v>0</v>
      </c>
      <c r="K825" s="3">
        <v>0</v>
      </c>
      <c r="L825" s="3">
        <v>0</v>
      </c>
      <c r="M825" s="3">
        <v>6</v>
      </c>
      <c r="N825" s="3">
        <v>0</v>
      </c>
      <c r="O825" s="3">
        <f t="shared" si="158"/>
        <v>6</v>
      </c>
      <c r="P825" s="3">
        <v>0</v>
      </c>
      <c r="Q825" s="3">
        <v>0</v>
      </c>
      <c r="R825" s="3">
        <v>0</v>
      </c>
      <c r="S825" s="3">
        <v>4</v>
      </c>
      <c r="T825" s="3">
        <v>0</v>
      </c>
      <c r="U825" s="3">
        <f t="shared" si="159"/>
        <v>4</v>
      </c>
      <c r="V825" s="13">
        <f t="shared" si="160"/>
        <v>1.5</v>
      </c>
      <c r="W825" s="13">
        <f t="shared" si="152"/>
        <v>1.5</v>
      </c>
      <c r="X825" s="3">
        <f t="shared" si="161"/>
        <v>4</v>
      </c>
      <c r="Y825" s="3">
        <f t="shared" si="153"/>
        <v>1.2500000000000001E-2</v>
      </c>
      <c r="Z825" s="3"/>
      <c r="AA825" s="3">
        <f t="shared" si="163"/>
        <v>120</v>
      </c>
      <c r="AB825" s="3">
        <v>130</v>
      </c>
      <c r="AC825" s="3" t="s">
        <v>82</v>
      </c>
      <c r="AD825" s="3" t="s">
        <v>83</v>
      </c>
      <c r="AE825" s="3">
        <v>15</v>
      </c>
      <c r="AF825" s="3" t="s">
        <v>151</v>
      </c>
      <c r="AG825" s="3" t="s">
        <v>318</v>
      </c>
      <c r="AH825" s="3"/>
    </row>
    <row r="826" spans="1:34" ht="14.25" customHeight="1" x14ac:dyDescent="0.25">
      <c r="A826" s="3" t="s">
        <v>131</v>
      </c>
      <c r="B826" s="3" t="s">
        <v>171</v>
      </c>
      <c r="C826" s="3"/>
      <c r="D826" s="3" t="s">
        <v>117</v>
      </c>
      <c r="E826" s="3">
        <v>1</v>
      </c>
      <c r="F826" s="3">
        <v>1</v>
      </c>
      <c r="G826" s="3" t="s">
        <v>25</v>
      </c>
      <c r="H826" s="11">
        <v>45900</v>
      </c>
      <c r="I826" s="3" t="s">
        <v>172</v>
      </c>
      <c r="J826" s="3">
        <v>0</v>
      </c>
      <c r="K826" s="3">
        <v>0</v>
      </c>
      <c r="L826" s="3">
        <v>0</v>
      </c>
      <c r="M826" s="3">
        <f>8+6</f>
        <v>14</v>
      </c>
      <c r="N826" s="3">
        <v>0</v>
      </c>
      <c r="O826" s="3">
        <f t="shared" si="158"/>
        <v>14</v>
      </c>
      <c r="P826" s="3">
        <v>0</v>
      </c>
      <c r="Q826" s="3">
        <v>0</v>
      </c>
      <c r="R826" s="3">
        <v>0</v>
      </c>
      <c r="S826" s="3">
        <v>4</v>
      </c>
      <c r="T826" s="3">
        <v>0</v>
      </c>
      <c r="U826" s="3">
        <f t="shared" si="159"/>
        <v>4</v>
      </c>
      <c r="V826" s="13">
        <f t="shared" si="160"/>
        <v>3.5</v>
      </c>
      <c r="W826" s="13">
        <f t="shared" si="152"/>
        <v>3.5</v>
      </c>
      <c r="X826" s="3">
        <f t="shared" si="161"/>
        <v>4</v>
      </c>
      <c r="Y826" s="3">
        <f t="shared" si="153"/>
        <v>2.9166666666666667E-2</v>
      </c>
      <c r="Z826" s="3"/>
      <c r="AA826" s="3">
        <f t="shared" si="163"/>
        <v>120</v>
      </c>
      <c r="AB826" s="3">
        <v>130</v>
      </c>
      <c r="AC826" s="3" t="s">
        <v>82</v>
      </c>
      <c r="AD826" s="3" t="s">
        <v>83</v>
      </c>
      <c r="AE826" s="3">
        <v>15</v>
      </c>
      <c r="AF826" s="3" t="s">
        <v>151</v>
      </c>
      <c r="AG826" s="3" t="s">
        <v>318</v>
      </c>
      <c r="AH826" s="3"/>
    </row>
    <row r="827" spans="1:34" ht="14.25" customHeight="1" x14ac:dyDescent="0.25">
      <c r="A827" s="3" t="s">
        <v>131</v>
      </c>
      <c r="B827" s="3" t="s">
        <v>171</v>
      </c>
      <c r="C827" s="3"/>
      <c r="D827" s="3" t="s">
        <v>117</v>
      </c>
      <c r="E827" s="3">
        <v>1</v>
      </c>
      <c r="F827" s="3">
        <v>1</v>
      </c>
      <c r="G827" s="3" t="s">
        <v>22</v>
      </c>
      <c r="H827" s="11">
        <v>45900</v>
      </c>
      <c r="I827" s="3" t="s">
        <v>172</v>
      </c>
      <c r="J827" s="3">
        <v>0</v>
      </c>
      <c r="K827" s="3">
        <v>0</v>
      </c>
      <c r="L827" s="3">
        <v>0</v>
      </c>
      <c r="M827" s="3">
        <v>12</v>
      </c>
      <c r="N827" s="3">
        <v>0</v>
      </c>
      <c r="O827" s="3">
        <f t="shared" si="158"/>
        <v>12</v>
      </c>
      <c r="P827" s="3">
        <v>0</v>
      </c>
      <c r="Q827" s="3">
        <v>0</v>
      </c>
      <c r="R827" s="3">
        <v>0</v>
      </c>
      <c r="S827" s="3">
        <v>4</v>
      </c>
      <c r="T827" s="3">
        <v>0</v>
      </c>
      <c r="U827" s="3">
        <f t="shared" si="159"/>
        <v>4</v>
      </c>
      <c r="V827" s="13">
        <f t="shared" si="160"/>
        <v>3</v>
      </c>
      <c r="W827" s="13">
        <f t="shared" si="152"/>
        <v>3</v>
      </c>
      <c r="X827" s="3">
        <f t="shared" si="161"/>
        <v>4</v>
      </c>
      <c r="Y827" s="3">
        <f t="shared" si="153"/>
        <v>2.5000000000000001E-2</v>
      </c>
      <c r="Z827" s="3"/>
      <c r="AA827" s="3">
        <f t="shared" si="163"/>
        <v>120</v>
      </c>
      <c r="AB827" s="3">
        <v>130</v>
      </c>
      <c r="AC827" s="3" t="s">
        <v>82</v>
      </c>
      <c r="AD827" s="3" t="s">
        <v>83</v>
      </c>
      <c r="AE827" s="3">
        <v>15</v>
      </c>
      <c r="AF827" s="3" t="s">
        <v>151</v>
      </c>
      <c r="AG827" s="3" t="s">
        <v>318</v>
      </c>
      <c r="AH827" s="3"/>
    </row>
    <row r="828" spans="1:34" ht="14.25" customHeight="1" x14ac:dyDescent="0.25">
      <c r="A828" s="3" t="s">
        <v>131</v>
      </c>
      <c r="B828" s="3" t="s">
        <v>171</v>
      </c>
      <c r="C828" s="3"/>
      <c r="D828" s="3" t="s">
        <v>117</v>
      </c>
      <c r="E828" s="3">
        <v>1</v>
      </c>
      <c r="F828" s="3">
        <v>1</v>
      </c>
      <c r="G828" s="3" t="s">
        <v>15</v>
      </c>
      <c r="H828" s="11">
        <v>45900</v>
      </c>
      <c r="I828" s="3" t="s">
        <v>172</v>
      </c>
      <c r="J828" s="3">
        <v>0</v>
      </c>
      <c r="K828" s="3">
        <v>0</v>
      </c>
      <c r="L828" s="3">
        <v>0</v>
      </c>
      <c r="M828" s="3">
        <v>24</v>
      </c>
      <c r="N828" s="3">
        <v>0</v>
      </c>
      <c r="O828" s="3">
        <f t="shared" si="158"/>
        <v>24</v>
      </c>
      <c r="P828" s="3">
        <v>0</v>
      </c>
      <c r="Q828" s="3">
        <v>0</v>
      </c>
      <c r="R828" s="3">
        <v>0</v>
      </c>
      <c r="S828" s="3">
        <v>4</v>
      </c>
      <c r="T828" s="3">
        <v>0</v>
      </c>
      <c r="U828" s="3">
        <f t="shared" si="159"/>
        <v>4</v>
      </c>
      <c r="V828" s="13">
        <f t="shared" si="160"/>
        <v>6</v>
      </c>
      <c r="W828" s="13">
        <f t="shared" si="152"/>
        <v>6</v>
      </c>
      <c r="X828" s="3">
        <f t="shared" si="161"/>
        <v>4</v>
      </c>
      <c r="Y828" s="3">
        <f t="shared" si="153"/>
        <v>0.05</v>
      </c>
      <c r="Z828" s="3"/>
      <c r="AA828" s="3">
        <f t="shared" si="163"/>
        <v>120</v>
      </c>
      <c r="AB828" s="3">
        <v>130</v>
      </c>
      <c r="AC828" s="3" t="s">
        <v>82</v>
      </c>
      <c r="AD828" s="3" t="s">
        <v>83</v>
      </c>
      <c r="AE828" s="3">
        <v>15</v>
      </c>
      <c r="AF828" s="3" t="s">
        <v>151</v>
      </c>
      <c r="AG828" s="3" t="s">
        <v>318</v>
      </c>
      <c r="AH828" s="3"/>
    </row>
    <row r="829" spans="1:34" ht="14.25" customHeight="1" x14ac:dyDescent="0.25">
      <c r="A829" s="3" t="s">
        <v>118</v>
      </c>
      <c r="B829" s="3" t="s">
        <v>171</v>
      </c>
      <c r="C829" s="3"/>
      <c r="D829" s="3" t="s">
        <v>117</v>
      </c>
      <c r="E829" s="3">
        <v>1</v>
      </c>
      <c r="F829" s="3">
        <v>1</v>
      </c>
      <c r="G829" s="3" t="s">
        <v>1</v>
      </c>
      <c r="H829" s="11">
        <v>45900</v>
      </c>
      <c r="I829" s="3" t="s">
        <v>172</v>
      </c>
      <c r="J829" s="3">
        <v>0</v>
      </c>
      <c r="K829" s="3">
        <v>0</v>
      </c>
      <c r="L829" s="3">
        <f>10+15</f>
        <v>25</v>
      </c>
      <c r="M829" s="3">
        <v>0</v>
      </c>
      <c r="N829" s="3">
        <v>0</v>
      </c>
      <c r="O829" s="3">
        <f t="shared" si="158"/>
        <v>25</v>
      </c>
      <c r="P829" s="3">
        <v>0</v>
      </c>
      <c r="Q829" s="3">
        <v>1</v>
      </c>
      <c r="R829" s="3">
        <v>3</v>
      </c>
      <c r="S829" s="3">
        <v>0</v>
      </c>
      <c r="T829" s="3">
        <v>0</v>
      </c>
      <c r="U829" s="3">
        <f t="shared" si="159"/>
        <v>4</v>
      </c>
      <c r="V829" s="13">
        <f t="shared" si="160"/>
        <v>6.25</v>
      </c>
      <c r="W829" s="13">
        <f t="shared" si="152"/>
        <v>6.25</v>
      </c>
      <c r="X829" s="3">
        <f t="shared" si="161"/>
        <v>4</v>
      </c>
      <c r="Y829" s="3">
        <f t="shared" si="153"/>
        <v>6.25E-2</v>
      </c>
      <c r="Z829" s="3"/>
      <c r="AA829" s="3">
        <f t="shared" ref="AA829:AA838" si="164">10*2*5</f>
        <v>100</v>
      </c>
      <c r="AB829" s="3">
        <v>150</v>
      </c>
      <c r="AC829" s="3" t="s">
        <v>82</v>
      </c>
      <c r="AD829" s="3" t="s">
        <v>83</v>
      </c>
      <c r="AE829" s="3">
        <v>15</v>
      </c>
      <c r="AF829" s="3" t="s">
        <v>151</v>
      </c>
      <c r="AG829" s="3" t="s">
        <v>318</v>
      </c>
      <c r="AH829" s="3"/>
    </row>
    <row r="830" spans="1:34" ht="14.25" customHeight="1" x14ac:dyDescent="0.25">
      <c r="A830" s="3" t="s">
        <v>118</v>
      </c>
      <c r="B830" s="3" t="s">
        <v>171</v>
      </c>
      <c r="C830" s="3"/>
      <c r="D830" s="3" t="s">
        <v>117</v>
      </c>
      <c r="E830" s="3">
        <v>1</v>
      </c>
      <c r="F830" s="3">
        <v>1</v>
      </c>
      <c r="G830" s="3" t="s">
        <v>3</v>
      </c>
      <c r="H830" s="11">
        <v>45900</v>
      </c>
      <c r="I830" s="3" t="s">
        <v>172</v>
      </c>
      <c r="J830" s="3">
        <v>0</v>
      </c>
      <c r="K830" s="3">
        <v>0</v>
      </c>
      <c r="L830" s="3">
        <f>8+10</f>
        <v>18</v>
      </c>
      <c r="M830" s="3">
        <v>0</v>
      </c>
      <c r="N830" s="3">
        <v>0</v>
      </c>
      <c r="O830" s="3">
        <f t="shared" si="158"/>
        <v>18</v>
      </c>
      <c r="P830" s="3">
        <v>0</v>
      </c>
      <c r="Q830" s="3">
        <v>1</v>
      </c>
      <c r="R830" s="3">
        <v>3</v>
      </c>
      <c r="S830" s="3">
        <v>0</v>
      </c>
      <c r="T830" s="3">
        <v>0</v>
      </c>
      <c r="U830" s="3">
        <f t="shared" si="159"/>
        <v>4</v>
      </c>
      <c r="V830" s="13">
        <f t="shared" si="160"/>
        <v>4.5</v>
      </c>
      <c r="W830" s="13">
        <f t="shared" si="152"/>
        <v>4.5</v>
      </c>
      <c r="X830" s="3">
        <f t="shared" si="161"/>
        <v>4</v>
      </c>
      <c r="Y830" s="3">
        <f t="shared" si="153"/>
        <v>4.4999999999999998E-2</v>
      </c>
      <c r="Z830" s="3"/>
      <c r="AA830" s="3">
        <f t="shared" si="164"/>
        <v>100</v>
      </c>
      <c r="AB830" s="3">
        <v>150</v>
      </c>
      <c r="AC830" s="3" t="s">
        <v>82</v>
      </c>
      <c r="AD830" s="3" t="s">
        <v>83</v>
      </c>
      <c r="AE830" s="3">
        <v>15</v>
      </c>
      <c r="AF830" s="3" t="s">
        <v>151</v>
      </c>
      <c r="AG830" s="3" t="s">
        <v>318</v>
      </c>
      <c r="AH830" s="3"/>
    </row>
    <row r="831" spans="1:34" ht="14.25" customHeight="1" x14ac:dyDescent="0.25">
      <c r="A831" s="3" t="s">
        <v>118</v>
      </c>
      <c r="B831" s="3" t="s">
        <v>171</v>
      </c>
      <c r="C831" s="3"/>
      <c r="D831" s="3" t="s">
        <v>117</v>
      </c>
      <c r="E831" s="3">
        <v>1</v>
      </c>
      <c r="F831" s="3">
        <v>1</v>
      </c>
      <c r="G831" s="3" t="s">
        <v>2</v>
      </c>
      <c r="H831" s="11">
        <v>45900</v>
      </c>
      <c r="I831" s="3" t="s">
        <v>172</v>
      </c>
      <c r="J831" s="3">
        <v>0</v>
      </c>
      <c r="K831" s="3">
        <v>0</v>
      </c>
      <c r="L831" s="3">
        <v>8</v>
      </c>
      <c r="M831" s="3">
        <v>0</v>
      </c>
      <c r="N831" s="3">
        <v>0</v>
      </c>
      <c r="O831" s="3">
        <f t="shared" si="158"/>
        <v>8</v>
      </c>
      <c r="P831" s="3">
        <v>0</v>
      </c>
      <c r="Q831" s="3">
        <v>1</v>
      </c>
      <c r="R831" s="3">
        <v>3</v>
      </c>
      <c r="S831" s="3">
        <v>0</v>
      </c>
      <c r="T831" s="3">
        <v>0</v>
      </c>
      <c r="U831" s="3">
        <f t="shared" si="159"/>
        <v>4</v>
      </c>
      <c r="V831" s="13">
        <f t="shared" si="160"/>
        <v>2</v>
      </c>
      <c r="W831" s="13">
        <f t="shared" si="152"/>
        <v>2</v>
      </c>
      <c r="X831" s="3">
        <f t="shared" si="161"/>
        <v>4</v>
      </c>
      <c r="Y831" s="3">
        <f t="shared" si="153"/>
        <v>0.02</v>
      </c>
      <c r="Z831" s="3"/>
      <c r="AA831" s="3">
        <f t="shared" si="164"/>
        <v>100</v>
      </c>
      <c r="AB831" s="3">
        <v>150</v>
      </c>
      <c r="AC831" s="3" t="s">
        <v>82</v>
      </c>
      <c r="AD831" s="3" t="s">
        <v>83</v>
      </c>
      <c r="AE831" s="3">
        <v>15</v>
      </c>
      <c r="AF831" s="3" t="s">
        <v>151</v>
      </c>
      <c r="AG831" s="3" t="s">
        <v>318</v>
      </c>
      <c r="AH831" s="3"/>
    </row>
    <row r="832" spans="1:34" ht="14.25" customHeight="1" x14ac:dyDescent="0.25">
      <c r="A832" s="3" t="s">
        <v>118</v>
      </c>
      <c r="B832" s="3" t="s">
        <v>171</v>
      </c>
      <c r="C832" s="3"/>
      <c r="D832" s="3" t="s">
        <v>117</v>
      </c>
      <c r="E832" s="3">
        <v>1</v>
      </c>
      <c r="F832" s="3">
        <v>1</v>
      </c>
      <c r="G832" s="3" t="s">
        <v>10</v>
      </c>
      <c r="H832" s="11">
        <v>45900</v>
      </c>
      <c r="I832" s="3" t="s">
        <v>172</v>
      </c>
      <c r="J832" s="3">
        <v>0</v>
      </c>
      <c r="K832" s="3">
        <v>0</v>
      </c>
      <c r="L832" s="3">
        <f>6+9</f>
        <v>15</v>
      </c>
      <c r="M832" s="3">
        <v>0</v>
      </c>
      <c r="N832" s="3">
        <v>0</v>
      </c>
      <c r="O832" s="3">
        <f t="shared" si="158"/>
        <v>15</v>
      </c>
      <c r="P832" s="3">
        <v>0</v>
      </c>
      <c r="Q832" s="3">
        <v>1</v>
      </c>
      <c r="R832" s="3">
        <v>3</v>
      </c>
      <c r="S832" s="3">
        <v>0</v>
      </c>
      <c r="T832" s="3">
        <v>0</v>
      </c>
      <c r="U832" s="3">
        <f t="shared" si="159"/>
        <v>4</v>
      </c>
      <c r="V832" s="13">
        <f t="shared" si="160"/>
        <v>3.75</v>
      </c>
      <c r="W832" s="13">
        <f t="shared" si="152"/>
        <v>3.75</v>
      </c>
      <c r="X832" s="3">
        <f t="shared" si="161"/>
        <v>4</v>
      </c>
      <c r="Y832" s="3">
        <f t="shared" si="153"/>
        <v>3.7499999999999999E-2</v>
      </c>
      <c r="Z832" s="3"/>
      <c r="AA832" s="3">
        <f t="shared" si="164"/>
        <v>100</v>
      </c>
      <c r="AB832" s="3">
        <v>150</v>
      </c>
      <c r="AC832" s="3" t="s">
        <v>82</v>
      </c>
      <c r="AD832" s="3" t="s">
        <v>83</v>
      </c>
      <c r="AE832" s="3">
        <v>15</v>
      </c>
      <c r="AF832" s="3" t="s">
        <v>151</v>
      </c>
      <c r="AG832" s="3" t="s">
        <v>318</v>
      </c>
      <c r="AH832" s="3"/>
    </row>
    <row r="833" spans="1:34" ht="14.25" customHeight="1" x14ac:dyDescent="0.25">
      <c r="A833" s="3" t="s">
        <v>118</v>
      </c>
      <c r="B833" s="3" t="s">
        <v>171</v>
      </c>
      <c r="C833" s="3"/>
      <c r="D833" s="3" t="s">
        <v>117</v>
      </c>
      <c r="E833" s="3">
        <v>1</v>
      </c>
      <c r="F833" s="3">
        <v>1</v>
      </c>
      <c r="G833" s="3" t="s">
        <v>14</v>
      </c>
      <c r="H833" s="11">
        <v>45900</v>
      </c>
      <c r="I833" s="3" t="s">
        <v>172</v>
      </c>
      <c r="J833" s="3">
        <v>0</v>
      </c>
      <c r="K833" s="3">
        <v>0</v>
      </c>
      <c r="L833" s="3">
        <v>3</v>
      </c>
      <c r="M833" s="3">
        <v>0</v>
      </c>
      <c r="N833" s="3">
        <v>0</v>
      </c>
      <c r="O833" s="3">
        <f t="shared" si="158"/>
        <v>3</v>
      </c>
      <c r="P833" s="3">
        <v>0</v>
      </c>
      <c r="Q833" s="3">
        <v>1</v>
      </c>
      <c r="R833" s="3">
        <v>3</v>
      </c>
      <c r="S833" s="3">
        <v>0</v>
      </c>
      <c r="T833" s="3">
        <v>0</v>
      </c>
      <c r="U833" s="3">
        <f t="shared" si="159"/>
        <v>4</v>
      </c>
      <c r="V833" s="13">
        <f t="shared" si="160"/>
        <v>0.75</v>
      </c>
      <c r="W833" s="13">
        <f t="shared" si="152"/>
        <v>0.75</v>
      </c>
      <c r="X833" s="3">
        <f t="shared" si="161"/>
        <v>4</v>
      </c>
      <c r="Y833" s="3">
        <f t="shared" si="153"/>
        <v>7.4999999999999997E-3</v>
      </c>
      <c r="Z833" s="3"/>
      <c r="AA833" s="3">
        <f t="shared" si="164"/>
        <v>100</v>
      </c>
      <c r="AB833" s="3">
        <v>150</v>
      </c>
      <c r="AC833" s="3" t="s">
        <v>82</v>
      </c>
      <c r="AD833" s="3" t="s">
        <v>83</v>
      </c>
      <c r="AE833" s="3">
        <v>15</v>
      </c>
      <c r="AF833" s="3" t="s">
        <v>151</v>
      </c>
      <c r="AG833" s="3" t="s">
        <v>318</v>
      </c>
      <c r="AH833" s="3"/>
    </row>
    <row r="834" spans="1:34" ht="14.25" customHeight="1" x14ac:dyDescent="0.25">
      <c r="A834" s="3" t="s">
        <v>118</v>
      </c>
      <c r="B834" s="3" t="s">
        <v>171</v>
      </c>
      <c r="C834" s="3"/>
      <c r="D834" s="3" t="s">
        <v>117</v>
      </c>
      <c r="E834" s="3">
        <v>1</v>
      </c>
      <c r="F834" s="3">
        <v>1</v>
      </c>
      <c r="G834" s="3" t="s">
        <v>16</v>
      </c>
      <c r="H834" s="11">
        <v>45900</v>
      </c>
      <c r="I834" s="3" t="s">
        <v>172</v>
      </c>
      <c r="J834" s="3">
        <v>0</v>
      </c>
      <c r="K834" s="3">
        <v>0</v>
      </c>
      <c r="L834" s="3">
        <f>5+11</f>
        <v>16</v>
      </c>
      <c r="M834" s="3">
        <v>0</v>
      </c>
      <c r="N834" s="3">
        <v>0</v>
      </c>
      <c r="O834" s="3">
        <f t="shared" si="158"/>
        <v>16</v>
      </c>
      <c r="P834" s="3">
        <v>0</v>
      </c>
      <c r="Q834" s="3">
        <v>1</v>
      </c>
      <c r="R834" s="3">
        <v>3</v>
      </c>
      <c r="S834" s="3">
        <v>0</v>
      </c>
      <c r="T834" s="3">
        <v>0</v>
      </c>
      <c r="U834" s="3">
        <f t="shared" si="159"/>
        <v>4</v>
      </c>
      <c r="V834" s="13">
        <f t="shared" si="160"/>
        <v>4</v>
      </c>
      <c r="W834" s="13">
        <f t="shared" si="152"/>
        <v>4</v>
      </c>
      <c r="X834" s="3">
        <f t="shared" si="161"/>
        <v>4</v>
      </c>
      <c r="Y834" s="3">
        <f t="shared" si="153"/>
        <v>0.04</v>
      </c>
      <c r="Z834" s="3"/>
      <c r="AA834" s="3">
        <f t="shared" si="164"/>
        <v>100</v>
      </c>
      <c r="AB834" s="3">
        <v>150</v>
      </c>
      <c r="AC834" s="3" t="s">
        <v>82</v>
      </c>
      <c r="AD834" s="3" t="s">
        <v>83</v>
      </c>
      <c r="AE834" s="3">
        <v>15</v>
      </c>
      <c r="AF834" s="3" t="s">
        <v>151</v>
      </c>
      <c r="AG834" s="3" t="s">
        <v>318</v>
      </c>
      <c r="AH834" s="3"/>
    </row>
    <row r="835" spans="1:34" ht="14.25" customHeight="1" x14ac:dyDescent="0.25">
      <c r="A835" s="3" t="s">
        <v>118</v>
      </c>
      <c r="B835" s="3" t="s">
        <v>171</v>
      </c>
      <c r="C835" s="3"/>
      <c r="D835" s="3" t="s">
        <v>117</v>
      </c>
      <c r="E835" s="3">
        <v>1</v>
      </c>
      <c r="F835" s="3">
        <v>1</v>
      </c>
      <c r="G835" s="3" t="s">
        <v>18</v>
      </c>
      <c r="H835" s="11">
        <v>45900</v>
      </c>
      <c r="I835" s="3" t="s">
        <v>172</v>
      </c>
      <c r="J835" s="3">
        <v>0</v>
      </c>
      <c r="K835" s="3">
        <v>6</v>
      </c>
      <c r="L835" s="3">
        <v>0</v>
      </c>
      <c r="M835" s="3">
        <v>0</v>
      </c>
      <c r="N835" s="3">
        <v>0</v>
      </c>
      <c r="O835" s="3">
        <f t="shared" si="158"/>
        <v>6</v>
      </c>
      <c r="P835" s="3">
        <v>0</v>
      </c>
      <c r="Q835" s="3">
        <v>1</v>
      </c>
      <c r="R835" s="3">
        <v>3</v>
      </c>
      <c r="S835" s="3">
        <v>0</v>
      </c>
      <c r="T835" s="3">
        <v>0</v>
      </c>
      <c r="U835" s="3">
        <f t="shared" si="159"/>
        <v>4</v>
      </c>
      <c r="V835" s="13">
        <f t="shared" si="160"/>
        <v>1.5</v>
      </c>
      <c r="W835" s="13">
        <f t="shared" ref="W835:W898" si="165">O835/U835/F835</f>
        <v>1.5</v>
      </c>
      <c r="X835" s="3">
        <f t="shared" si="161"/>
        <v>4</v>
      </c>
      <c r="Y835" s="3">
        <f t="shared" ref="Y835:Y898" si="166">O835/U835/AA835</f>
        <v>1.4999999999999999E-2</v>
      </c>
      <c r="Z835" s="3"/>
      <c r="AA835" s="3">
        <f t="shared" si="164"/>
        <v>100</v>
      </c>
      <c r="AB835" s="3">
        <v>150</v>
      </c>
      <c r="AC835" s="3" t="s">
        <v>82</v>
      </c>
      <c r="AD835" s="3" t="s">
        <v>83</v>
      </c>
      <c r="AE835" s="3">
        <v>15</v>
      </c>
      <c r="AF835" s="3" t="s">
        <v>151</v>
      </c>
      <c r="AG835" s="3" t="s">
        <v>318</v>
      </c>
      <c r="AH835" s="3"/>
    </row>
    <row r="836" spans="1:34" ht="14.25" customHeight="1" x14ac:dyDescent="0.25">
      <c r="A836" s="3" t="s">
        <v>118</v>
      </c>
      <c r="B836" s="3" t="s">
        <v>171</v>
      </c>
      <c r="C836" s="3"/>
      <c r="D836" s="3" t="s">
        <v>117</v>
      </c>
      <c r="E836" s="3">
        <v>1</v>
      </c>
      <c r="F836" s="3">
        <v>1</v>
      </c>
      <c r="G836" s="3" t="s">
        <v>25</v>
      </c>
      <c r="H836" s="11">
        <v>45900</v>
      </c>
      <c r="I836" s="3" t="s">
        <v>172</v>
      </c>
      <c r="J836" s="3">
        <v>0</v>
      </c>
      <c r="K836" s="3">
        <v>0</v>
      </c>
      <c r="L836" s="3">
        <v>16</v>
      </c>
      <c r="M836" s="3">
        <v>0</v>
      </c>
      <c r="N836" s="3">
        <v>0</v>
      </c>
      <c r="O836" s="3">
        <f t="shared" si="158"/>
        <v>16</v>
      </c>
      <c r="P836" s="3">
        <v>0</v>
      </c>
      <c r="Q836" s="3">
        <v>1</v>
      </c>
      <c r="R836" s="3">
        <v>3</v>
      </c>
      <c r="S836" s="3">
        <v>0</v>
      </c>
      <c r="T836" s="3">
        <v>0</v>
      </c>
      <c r="U836" s="3">
        <f t="shared" si="159"/>
        <v>4</v>
      </c>
      <c r="V836" s="13">
        <f t="shared" si="160"/>
        <v>4</v>
      </c>
      <c r="W836" s="13">
        <f t="shared" si="165"/>
        <v>4</v>
      </c>
      <c r="X836" s="3">
        <f t="shared" si="161"/>
        <v>4</v>
      </c>
      <c r="Y836" s="3">
        <f t="shared" si="166"/>
        <v>0.04</v>
      </c>
      <c r="Z836" s="3"/>
      <c r="AA836" s="3">
        <f t="shared" si="164"/>
        <v>100</v>
      </c>
      <c r="AB836" s="3">
        <v>150</v>
      </c>
      <c r="AC836" s="3" t="s">
        <v>82</v>
      </c>
      <c r="AD836" s="3" t="s">
        <v>83</v>
      </c>
      <c r="AE836" s="3">
        <v>15</v>
      </c>
      <c r="AF836" s="3" t="s">
        <v>151</v>
      </c>
      <c r="AG836" s="3" t="s">
        <v>318</v>
      </c>
      <c r="AH836" s="3"/>
    </row>
    <row r="837" spans="1:34" ht="14.25" customHeight="1" x14ac:dyDescent="0.25">
      <c r="A837" s="3" t="s">
        <v>118</v>
      </c>
      <c r="B837" s="3" t="s">
        <v>171</v>
      </c>
      <c r="C837" s="3"/>
      <c r="D837" s="3" t="s">
        <v>117</v>
      </c>
      <c r="E837" s="3">
        <v>1</v>
      </c>
      <c r="F837" s="3">
        <v>1</v>
      </c>
      <c r="G837" s="3" t="s">
        <v>22</v>
      </c>
      <c r="H837" s="11">
        <v>45900</v>
      </c>
      <c r="I837" s="3" t="s">
        <v>172</v>
      </c>
      <c r="J837" s="3">
        <v>0</v>
      </c>
      <c r="K837" s="3">
        <v>12</v>
      </c>
      <c r="L837" s="3">
        <v>0</v>
      </c>
      <c r="M837" s="3">
        <v>0</v>
      </c>
      <c r="N837" s="3">
        <v>0</v>
      </c>
      <c r="O837" s="3">
        <f t="shared" si="158"/>
        <v>12</v>
      </c>
      <c r="P837" s="3">
        <v>0</v>
      </c>
      <c r="Q837" s="3">
        <v>1</v>
      </c>
      <c r="R837" s="3">
        <v>3</v>
      </c>
      <c r="S837" s="3">
        <v>0</v>
      </c>
      <c r="T837" s="3">
        <v>0</v>
      </c>
      <c r="U837" s="3">
        <f t="shared" si="159"/>
        <v>4</v>
      </c>
      <c r="V837" s="13">
        <f t="shared" si="160"/>
        <v>3</v>
      </c>
      <c r="W837" s="13">
        <f t="shared" si="165"/>
        <v>3</v>
      </c>
      <c r="X837" s="3">
        <f t="shared" si="161"/>
        <v>4</v>
      </c>
      <c r="Y837" s="3">
        <f t="shared" si="166"/>
        <v>0.03</v>
      </c>
      <c r="Z837" s="3"/>
      <c r="AA837" s="3">
        <f t="shared" si="164"/>
        <v>100</v>
      </c>
      <c r="AB837" s="3">
        <v>150</v>
      </c>
      <c r="AC837" s="3" t="s">
        <v>82</v>
      </c>
      <c r="AD837" s="3" t="s">
        <v>83</v>
      </c>
      <c r="AE837" s="3">
        <v>15</v>
      </c>
      <c r="AF837" s="3" t="s">
        <v>151</v>
      </c>
      <c r="AG837" s="3" t="s">
        <v>318</v>
      </c>
      <c r="AH837" s="3"/>
    </row>
    <row r="838" spans="1:34" ht="14.25" customHeight="1" x14ac:dyDescent="0.25">
      <c r="A838" s="3" t="s">
        <v>118</v>
      </c>
      <c r="B838" s="3" t="s">
        <v>171</v>
      </c>
      <c r="C838" s="3"/>
      <c r="D838" s="3" t="s">
        <v>117</v>
      </c>
      <c r="E838" s="3">
        <v>1</v>
      </c>
      <c r="F838" s="3">
        <v>1</v>
      </c>
      <c r="G838" s="3" t="s">
        <v>15</v>
      </c>
      <c r="H838" s="11">
        <v>45900</v>
      </c>
      <c r="I838" s="3" t="s">
        <v>172</v>
      </c>
      <c r="J838" s="3">
        <v>0</v>
      </c>
      <c r="K838" s="3">
        <v>0</v>
      </c>
      <c r="L838" s="3">
        <v>18</v>
      </c>
      <c r="M838" s="3">
        <v>0</v>
      </c>
      <c r="N838" s="3">
        <v>0</v>
      </c>
      <c r="O838" s="3">
        <f t="shared" si="158"/>
        <v>18</v>
      </c>
      <c r="P838" s="3">
        <v>0</v>
      </c>
      <c r="Q838" s="3">
        <v>1</v>
      </c>
      <c r="R838" s="3">
        <v>3</v>
      </c>
      <c r="S838" s="3">
        <v>0</v>
      </c>
      <c r="T838" s="3">
        <v>0</v>
      </c>
      <c r="U838" s="3">
        <f t="shared" si="159"/>
        <v>4</v>
      </c>
      <c r="V838" s="13">
        <f t="shared" si="160"/>
        <v>4.5</v>
      </c>
      <c r="W838" s="13">
        <f t="shared" si="165"/>
        <v>4.5</v>
      </c>
      <c r="X838" s="3">
        <f t="shared" si="161"/>
        <v>4</v>
      </c>
      <c r="Y838" s="3">
        <f t="shared" si="166"/>
        <v>4.4999999999999998E-2</v>
      </c>
      <c r="Z838" s="3"/>
      <c r="AA838" s="3">
        <f t="shared" si="164"/>
        <v>100</v>
      </c>
      <c r="AB838" s="3">
        <v>150</v>
      </c>
      <c r="AC838" s="3" t="s">
        <v>82</v>
      </c>
      <c r="AD838" s="3" t="s">
        <v>83</v>
      </c>
      <c r="AE838" s="3">
        <v>15</v>
      </c>
      <c r="AF838" s="3" t="s">
        <v>151</v>
      </c>
      <c r="AG838" s="3" t="s">
        <v>318</v>
      </c>
      <c r="AH838" s="3"/>
    </row>
    <row r="839" spans="1:34" ht="14.25" customHeight="1" x14ac:dyDescent="0.25">
      <c r="A839" s="3" t="s">
        <v>129</v>
      </c>
      <c r="B839" s="3" t="s">
        <v>171</v>
      </c>
      <c r="C839" s="3"/>
      <c r="D839" s="3" t="s">
        <v>117</v>
      </c>
      <c r="E839" s="3">
        <v>2</v>
      </c>
      <c r="F839" s="3">
        <v>1</v>
      </c>
      <c r="G839" s="3" t="s">
        <v>1</v>
      </c>
      <c r="H839" s="11">
        <v>45900</v>
      </c>
      <c r="I839" s="3" t="s">
        <v>172</v>
      </c>
      <c r="J839" s="3">
        <f>6+3+4</f>
        <v>13</v>
      </c>
      <c r="K839" s="3">
        <f>5+8+7+4</f>
        <v>24</v>
      </c>
      <c r="L839" s="3">
        <f>6+10+4</f>
        <v>20</v>
      </c>
      <c r="M839" s="3">
        <f>3+2+6+7</f>
        <v>18</v>
      </c>
      <c r="N839" s="3">
        <v>0</v>
      </c>
      <c r="O839" s="3">
        <f t="shared" si="158"/>
        <v>75</v>
      </c>
      <c r="P839" s="3">
        <v>7</v>
      </c>
      <c r="Q839" s="3">
        <v>6</v>
      </c>
      <c r="R839" s="3">
        <v>5</v>
      </c>
      <c r="S839" s="3">
        <v>6</v>
      </c>
      <c r="T839" s="3">
        <v>0</v>
      </c>
      <c r="U839" s="3">
        <f t="shared" si="159"/>
        <v>24</v>
      </c>
      <c r="V839" s="13">
        <f t="shared" si="160"/>
        <v>3.125</v>
      </c>
      <c r="W839" s="13">
        <f t="shared" si="165"/>
        <v>3.125</v>
      </c>
      <c r="X839" s="3">
        <f t="shared" si="161"/>
        <v>24</v>
      </c>
      <c r="Y839" s="3">
        <f t="shared" si="166"/>
        <v>0.01</v>
      </c>
      <c r="Z839" s="3"/>
      <c r="AA839" s="3">
        <f t="shared" ref="AA839:AA849" si="167">25*2.5*5</f>
        <v>312.5</v>
      </c>
      <c r="AB839" s="3">
        <f>6*3.5</f>
        <v>21</v>
      </c>
      <c r="AC839" s="3" t="s">
        <v>82</v>
      </c>
      <c r="AD839" s="3" t="s">
        <v>83</v>
      </c>
      <c r="AE839" s="3">
        <v>15</v>
      </c>
      <c r="AF839" s="3" t="s">
        <v>151</v>
      </c>
      <c r="AG839" s="3" t="s">
        <v>319</v>
      </c>
      <c r="AH839" s="3"/>
    </row>
    <row r="840" spans="1:34" ht="14.25" customHeight="1" x14ac:dyDescent="0.25">
      <c r="A840" s="3" t="s">
        <v>129</v>
      </c>
      <c r="B840" s="3" t="s">
        <v>171</v>
      </c>
      <c r="C840" s="3"/>
      <c r="D840" s="3" t="s">
        <v>117</v>
      </c>
      <c r="E840" s="3">
        <v>2</v>
      </c>
      <c r="F840" s="3">
        <v>1</v>
      </c>
      <c r="G840" s="3" t="s">
        <v>3</v>
      </c>
      <c r="H840" s="11">
        <v>45900</v>
      </c>
      <c r="I840" s="3" t="s">
        <v>172</v>
      </c>
      <c r="J840" s="3">
        <f>4+6+7+5</f>
        <v>22</v>
      </c>
      <c r="K840" s="3">
        <f>3+4+6</f>
        <v>13</v>
      </c>
      <c r="L840" s="3">
        <f>8+5+6+7</f>
        <v>26</v>
      </c>
      <c r="M840" s="3">
        <v>0</v>
      </c>
      <c r="N840" s="3">
        <v>0</v>
      </c>
      <c r="O840" s="3">
        <f t="shared" si="158"/>
        <v>61</v>
      </c>
      <c r="P840" s="3">
        <v>7</v>
      </c>
      <c r="Q840" s="3">
        <v>6</v>
      </c>
      <c r="R840" s="3">
        <v>5</v>
      </c>
      <c r="S840" s="3">
        <v>6</v>
      </c>
      <c r="T840" s="3">
        <v>0</v>
      </c>
      <c r="U840" s="3">
        <f t="shared" si="159"/>
        <v>24</v>
      </c>
      <c r="V840" s="13">
        <f t="shared" si="160"/>
        <v>2.5416666666666665</v>
      </c>
      <c r="W840" s="13">
        <f t="shared" si="165"/>
        <v>2.5416666666666665</v>
      </c>
      <c r="X840" s="3">
        <f t="shared" si="161"/>
        <v>24</v>
      </c>
      <c r="Y840" s="3">
        <f t="shared" si="166"/>
        <v>8.1333333333333327E-3</v>
      </c>
      <c r="Z840" s="3"/>
      <c r="AA840" s="3">
        <f t="shared" si="167"/>
        <v>312.5</v>
      </c>
      <c r="AB840" s="3">
        <v>21</v>
      </c>
      <c r="AC840" s="3" t="s">
        <v>82</v>
      </c>
      <c r="AD840" s="3" t="s">
        <v>83</v>
      </c>
      <c r="AE840" s="3">
        <v>15</v>
      </c>
      <c r="AF840" s="3" t="s">
        <v>151</v>
      </c>
      <c r="AG840" s="3" t="s">
        <v>319</v>
      </c>
      <c r="AH840" s="3"/>
    </row>
    <row r="841" spans="1:34" ht="14.25" customHeight="1" x14ac:dyDescent="0.25">
      <c r="A841" s="3" t="s">
        <v>129</v>
      </c>
      <c r="B841" s="3" t="s">
        <v>171</v>
      </c>
      <c r="C841" s="3"/>
      <c r="D841" s="3" t="s">
        <v>117</v>
      </c>
      <c r="E841" s="3">
        <v>2</v>
      </c>
      <c r="F841" s="3">
        <v>1</v>
      </c>
      <c r="G841" s="3" t="s">
        <v>2</v>
      </c>
      <c r="H841" s="11">
        <v>45900</v>
      </c>
      <c r="I841" s="3" t="s">
        <v>172</v>
      </c>
      <c r="J841" s="3">
        <f>6+4+3+6</f>
        <v>19</v>
      </c>
      <c r="K841" s="3">
        <f>7+4+6</f>
        <v>17</v>
      </c>
      <c r="L841" s="3">
        <f>7+4</f>
        <v>11</v>
      </c>
      <c r="M841" s="3">
        <f>4+6+5+3</f>
        <v>18</v>
      </c>
      <c r="N841" s="3">
        <v>0</v>
      </c>
      <c r="O841" s="3">
        <f t="shared" si="158"/>
        <v>65</v>
      </c>
      <c r="P841" s="3">
        <v>7</v>
      </c>
      <c r="Q841" s="3">
        <v>6</v>
      </c>
      <c r="R841" s="3">
        <v>5</v>
      </c>
      <c r="S841" s="3">
        <v>6</v>
      </c>
      <c r="T841" s="3">
        <v>0</v>
      </c>
      <c r="U841" s="3">
        <f t="shared" si="159"/>
        <v>24</v>
      </c>
      <c r="V841" s="13">
        <f t="shared" si="160"/>
        <v>2.7083333333333335</v>
      </c>
      <c r="W841" s="13">
        <f t="shared" si="165"/>
        <v>2.7083333333333335</v>
      </c>
      <c r="X841" s="3">
        <f t="shared" si="161"/>
        <v>24</v>
      </c>
      <c r="Y841" s="3">
        <f t="shared" si="166"/>
        <v>8.666666666666668E-3</v>
      </c>
      <c r="Z841" s="3"/>
      <c r="AA841" s="3">
        <f t="shared" si="167"/>
        <v>312.5</v>
      </c>
      <c r="AB841" s="3">
        <v>21</v>
      </c>
      <c r="AC841" s="3" t="s">
        <v>82</v>
      </c>
      <c r="AD841" s="3" t="s">
        <v>83</v>
      </c>
      <c r="AE841" s="3">
        <v>15</v>
      </c>
      <c r="AF841" s="3" t="s">
        <v>151</v>
      </c>
      <c r="AG841" s="3" t="s">
        <v>319</v>
      </c>
      <c r="AH841" s="3"/>
    </row>
    <row r="842" spans="1:34" ht="14.25" customHeight="1" x14ac:dyDescent="0.25">
      <c r="A842" s="3" t="s">
        <v>129</v>
      </c>
      <c r="B842" s="3" t="s">
        <v>171</v>
      </c>
      <c r="C842" s="3"/>
      <c r="D842" s="3" t="s">
        <v>117</v>
      </c>
      <c r="E842" s="3">
        <v>2</v>
      </c>
      <c r="F842" s="3">
        <v>1</v>
      </c>
      <c r="G842" s="3" t="s">
        <v>14</v>
      </c>
      <c r="H842" s="11">
        <v>45900</v>
      </c>
      <c r="I842" s="3" t="s">
        <v>172</v>
      </c>
      <c r="J842" s="3">
        <f>5+3+2+3</f>
        <v>13</v>
      </c>
      <c r="K842" s="3">
        <v>6</v>
      </c>
      <c r="L842" s="3">
        <v>2</v>
      </c>
      <c r="M842" s="3">
        <f>3+4+6</f>
        <v>13</v>
      </c>
      <c r="N842" s="3">
        <v>0</v>
      </c>
      <c r="O842" s="3">
        <f t="shared" si="158"/>
        <v>34</v>
      </c>
      <c r="P842" s="3">
        <v>7</v>
      </c>
      <c r="Q842" s="3">
        <v>6</v>
      </c>
      <c r="R842" s="3">
        <v>5</v>
      </c>
      <c r="S842" s="3">
        <v>6</v>
      </c>
      <c r="T842" s="3">
        <v>0</v>
      </c>
      <c r="U842" s="3">
        <f t="shared" si="159"/>
        <v>24</v>
      </c>
      <c r="V842" s="13">
        <f t="shared" si="160"/>
        <v>1.4166666666666667</v>
      </c>
      <c r="W842" s="13">
        <f t="shared" si="165"/>
        <v>1.4166666666666667</v>
      </c>
      <c r="X842" s="3">
        <f t="shared" si="161"/>
        <v>24</v>
      </c>
      <c r="Y842" s="3">
        <f t="shared" si="166"/>
        <v>4.5333333333333337E-3</v>
      </c>
      <c r="Z842" s="3"/>
      <c r="AA842" s="3">
        <f t="shared" si="167"/>
        <v>312.5</v>
      </c>
      <c r="AB842" s="3">
        <v>21</v>
      </c>
      <c r="AC842" s="3" t="s">
        <v>82</v>
      </c>
      <c r="AD842" s="3" t="s">
        <v>83</v>
      </c>
      <c r="AE842" s="3">
        <v>15</v>
      </c>
      <c r="AF842" s="3" t="s">
        <v>151</v>
      </c>
      <c r="AG842" s="3" t="s">
        <v>319</v>
      </c>
      <c r="AH842" s="3"/>
    </row>
    <row r="843" spans="1:34" ht="14.25" customHeight="1" x14ac:dyDescent="0.25">
      <c r="A843" s="3" t="s">
        <v>129</v>
      </c>
      <c r="B843" s="3" t="s">
        <v>171</v>
      </c>
      <c r="C843" s="3"/>
      <c r="D843" s="3" t="s">
        <v>117</v>
      </c>
      <c r="E843" s="3">
        <v>2</v>
      </c>
      <c r="F843" s="3">
        <v>1</v>
      </c>
      <c r="G843" s="3" t="s">
        <v>25</v>
      </c>
      <c r="H843" s="11">
        <v>45900</v>
      </c>
      <c r="I843" s="3" t="s">
        <v>172</v>
      </c>
      <c r="J843" s="3">
        <v>0</v>
      </c>
      <c r="K843" s="3">
        <v>10</v>
      </c>
      <c r="L843" s="3">
        <v>0</v>
      </c>
      <c r="M843" s="3">
        <v>0</v>
      </c>
      <c r="N843" s="3">
        <v>0</v>
      </c>
      <c r="O843" s="3">
        <f t="shared" si="158"/>
        <v>10</v>
      </c>
      <c r="P843" s="3">
        <v>7</v>
      </c>
      <c r="Q843" s="3">
        <v>6</v>
      </c>
      <c r="R843" s="3">
        <v>5</v>
      </c>
      <c r="S843" s="3">
        <v>6</v>
      </c>
      <c r="T843" s="3">
        <v>0</v>
      </c>
      <c r="U843" s="3">
        <f t="shared" si="159"/>
        <v>24</v>
      </c>
      <c r="V843" s="13">
        <f t="shared" si="160"/>
        <v>0.41666666666666669</v>
      </c>
      <c r="W843" s="13">
        <f t="shared" si="165"/>
        <v>0.41666666666666669</v>
      </c>
      <c r="X843" s="3">
        <f t="shared" si="161"/>
        <v>24</v>
      </c>
      <c r="Y843" s="3">
        <f t="shared" si="166"/>
        <v>1.3333333333333333E-3</v>
      </c>
      <c r="Z843" s="3"/>
      <c r="AA843" s="3">
        <f t="shared" si="167"/>
        <v>312.5</v>
      </c>
      <c r="AB843" s="3">
        <v>21</v>
      </c>
      <c r="AC843" s="3" t="s">
        <v>82</v>
      </c>
      <c r="AD843" s="3" t="s">
        <v>83</v>
      </c>
      <c r="AE843" s="3">
        <v>15</v>
      </c>
      <c r="AF843" s="3" t="s">
        <v>151</v>
      </c>
      <c r="AG843" s="3" t="s">
        <v>319</v>
      </c>
      <c r="AH843" s="3"/>
    </row>
    <row r="844" spans="1:34" ht="14.25" customHeight="1" x14ac:dyDescent="0.25">
      <c r="A844" s="3" t="s">
        <v>133</v>
      </c>
      <c r="B844" s="3" t="s">
        <v>171</v>
      </c>
      <c r="C844" s="3"/>
      <c r="D844" s="3" t="s">
        <v>117</v>
      </c>
      <c r="E844" s="3">
        <v>1</v>
      </c>
      <c r="F844" s="3">
        <v>1</v>
      </c>
      <c r="G844" s="3" t="s">
        <v>1</v>
      </c>
      <c r="H844" s="11">
        <v>45900</v>
      </c>
      <c r="I844" s="3" t="s">
        <v>172</v>
      </c>
      <c r="J844" s="3">
        <f>7+10+5</f>
        <v>22</v>
      </c>
      <c r="K844" s="3">
        <f>4+8+6</f>
        <v>18</v>
      </c>
      <c r="L844" s="3">
        <f>7+5+7</f>
        <v>19</v>
      </c>
      <c r="M844" s="3">
        <f>10+6+5+4</f>
        <v>25</v>
      </c>
      <c r="N844" s="3">
        <v>8</v>
      </c>
      <c r="O844" s="3">
        <f t="shared" si="158"/>
        <v>92</v>
      </c>
      <c r="P844" s="3">
        <v>5</v>
      </c>
      <c r="Q844" s="3">
        <v>5</v>
      </c>
      <c r="R844" s="3">
        <v>6</v>
      </c>
      <c r="S844" s="3">
        <v>7</v>
      </c>
      <c r="T844" s="3">
        <v>1</v>
      </c>
      <c r="U844" s="3">
        <f t="shared" si="159"/>
        <v>24</v>
      </c>
      <c r="V844" s="13">
        <f t="shared" si="160"/>
        <v>3.8333333333333335</v>
      </c>
      <c r="W844" s="13">
        <f t="shared" si="165"/>
        <v>3.8333333333333335</v>
      </c>
      <c r="X844" s="3">
        <f t="shared" si="161"/>
        <v>24</v>
      </c>
      <c r="Y844" s="3">
        <f t="shared" si="166"/>
        <v>1.2266666666666667E-2</v>
      </c>
      <c r="Z844" s="3"/>
      <c r="AA844" s="3">
        <f t="shared" si="167"/>
        <v>312.5</v>
      </c>
      <c r="AB844" s="3">
        <f t="shared" ref="AB844:AB849" si="168">6*3</f>
        <v>18</v>
      </c>
      <c r="AC844" s="3" t="s">
        <v>82</v>
      </c>
      <c r="AD844" s="3" t="s">
        <v>83</v>
      </c>
      <c r="AE844" s="3">
        <v>15</v>
      </c>
      <c r="AF844" s="3" t="s">
        <v>151</v>
      </c>
      <c r="AG844" s="3" t="s">
        <v>320</v>
      </c>
      <c r="AH844" s="3"/>
    </row>
    <row r="845" spans="1:34" ht="14.25" customHeight="1" x14ac:dyDescent="0.25">
      <c r="A845" s="3" t="s">
        <v>133</v>
      </c>
      <c r="B845" s="3" t="s">
        <v>171</v>
      </c>
      <c r="C845" s="3"/>
      <c r="D845" s="3" t="s">
        <v>117</v>
      </c>
      <c r="E845" s="3">
        <v>1</v>
      </c>
      <c r="F845" s="3">
        <v>1</v>
      </c>
      <c r="G845" s="3" t="s">
        <v>3</v>
      </c>
      <c r="H845" s="11">
        <v>45900</v>
      </c>
      <c r="I845" s="3" t="s">
        <v>172</v>
      </c>
      <c r="J845" s="3">
        <f>10+6+4</f>
        <v>20</v>
      </c>
      <c r="K845" s="3">
        <f>8+7+4</f>
        <v>19</v>
      </c>
      <c r="L845" s="3">
        <f>10+6</f>
        <v>16</v>
      </c>
      <c r="M845" s="3">
        <f>7+6+5+4+6</f>
        <v>28</v>
      </c>
      <c r="N845" s="3">
        <v>0</v>
      </c>
      <c r="O845" s="3">
        <f t="shared" si="158"/>
        <v>83</v>
      </c>
      <c r="P845" s="3">
        <v>5</v>
      </c>
      <c r="Q845" s="3">
        <v>5</v>
      </c>
      <c r="R845" s="3">
        <v>6</v>
      </c>
      <c r="S845" s="3">
        <v>7</v>
      </c>
      <c r="T845" s="3">
        <v>1</v>
      </c>
      <c r="U845" s="3">
        <f t="shared" si="159"/>
        <v>24</v>
      </c>
      <c r="V845" s="13">
        <f t="shared" si="160"/>
        <v>3.4583333333333335</v>
      </c>
      <c r="W845" s="13">
        <f t="shared" si="165"/>
        <v>3.4583333333333335</v>
      </c>
      <c r="X845" s="3">
        <f t="shared" si="161"/>
        <v>24</v>
      </c>
      <c r="Y845" s="3">
        <f t="shared" si="166"/>
        <v>1.1066666666666667E-2</v>
      </c>
      <c r="Z845" s="3"/>
      <c r="AA845" s="3">
        <f t="shared" si="167"/>
        <v>312.5</v>
      </c>
      <c r="AB845" s="3">
        <f t="shared" si="168"/>
        <v>18</v>
      </c>
      <c r="AC845" s="3" t="s">
        <v>82</v>
      </c>
      <c r="AD845" s="3" t="s">
        <v>83</v>
      </c>
      <c r="AE845" s="3">
        <v>15</v>
      </c>
      <c r="AF845" s="3" t="s">
        <v>151</v>
      </c>
      <c r="AG845" s="3" t="s">
        <v>320</v>
      </c>
      <c r="AH845" s="3"/>
    </row>
    <row r="846" spans="1:34" ht="14.25" customHeight="1" x14ac:dyDescent="0.25">
      <c r="A846" s="3" t="s">
        <v>133</v>
      </c>
      <c r="B846" s="3" t="s">
        <v>171</v>
      </c>
      <c r="C846" s="3"/>
      <c r="D846" s="3" t="s">
        <v>117</v>
      </c>
      <c r="E846" s="3">
        <v>1</v>
      </c>
      <c r="F846" s="3">
        <v>1</v>
      </c>
      <c r="G846" s="3" t="s">
        <v>2</v>
      </c>
      <c r="H846" s="11">
        <v>45900</v>
      </c>
      <c r="I846" s="3" t="s">
        <v>172</v>
      </c>
      <c r="J846" s="3">
        <f>6+5+4</f>
        <v>15</v>
      </c>
      <c r="K846" s="3">
        <f>3+3+6</f>
        <v>12</v>
      </c>
      <c r="L846" s="3">
        <v>7</v>
      </c>
      <c r="M846" s="3">
        <f>6+4+3+5</f>
        <v>18</v>
      </c>
      <c r="N846" s="3">
        <v>3</v>
      </c>
      <c r="O846" s="3">
        <f t="shared" si="158"/>
        <v>55</v>
      </c>
      <c r="P846" s="3">
        <v>5</v>
      </c>
      <c r="Q846" s="3">
        <v>5</v>
      </c>
      <c r="R846" s="3">
        <v>6</v>
      </c>
      <c r="S846" s="3">
        <v>7</v>
      </c>
      <c r="T846" s="3">
        <v>1</v>
      </c>
      <c r="U846" s="3">
        <f t="shared" si="159"/>
        <v>24</v>
      </c>
      <c r="V846" s="13">
        <f t="shared" si="160"/>
        <v>2.2916666666666665</v>
      </c>
      <c r="W846" s="13">
        <f t="shared" si="165"/>
        <v>2.2916666666666665</v>
      </c>
      <c r="X846" s="3">
        <f t="shared" si="161"/>
        <v>24</v>
      </c>
      <c r="Y846" s="3">
        <f t="shared" si="166"/>
        <v>7.3333333333333332E-3</v>
      </c>
      <c r="Z846" s="3"/>
      <c r="AA846" s="3">
        <f t="shared" si="167"/>
        <v>312.5</v>
      </c>
      <c r="AB846" s="3">
        <f t="shared" si="168"/>
        <v>18</v>
      </c>
      <c r="AC846" s="3" t="s">
        <v>82</v>
      </c>
      <c r="AD846" s="3" t="s">
        <v>83</v>
      </c>
      <c r="AE846" s="3">
        <v>15</v>
      </c>
      <c r="AF846" s="3" t="s">
        <v>151</v>
      </c>
      <c r="AG846" s="3" t="s">
        <v>320</v>
      </c>
      <c r="AH846" s="3"/>
    </row>
    <row r="847" spans="1:34" ht="14.25" customHeight="1" x14ac:dyDescent="0.25">
      <c r="A847" s="3" t="s">
        <v>133</v>
      </c>
      <c r="B847" s="3" t="s">
        <v>171</v>
      </c>
      <c r="C847" s="3"/>
      <c r="D847" s="3" t="s">
        <v>117</v>
      </c>
      <c r="E847" s="3">
        <v>1</v>
      </c>
      <c r="F847" s="3">
        <v>1</v>
      </c>
      <c r="G847" s="3" t="s">
        <v>14</v>
      </c>
      <c r="H847" s="11">
        <v>45900</v>
      </c>
      <c r="I847" s="3" t="s">
        <v>172</v>
      </c>
      <c r="J847" s="3">
        <f>4+6</f>
        <v>10</v>
      </c>
      <c r="K847" s="3">
        <v>3</v>
      </c>
      <c r="L847" s="3">
        <v>0</v>
      </c>
      <c r="M847" s="3">
        <v>0</v>
      </c>
      <c r="N847" s="3">
        <v>0</v>
      </c>
      <c r="O847" s="3">
        <f t="shared" si="158"/>
        <v>13</v>
      </c>
      <c r="P847" s="3">
        <v>5</v>
      </c>
      <c r="Q847" s="3">
        <v>5</v>
      </c>
      <c r="R847" s="3">
        <v>6</v>
      </c>
      <c r="S847" s="3">
        <v>7</v>
      </c>
      <c r="T847" s="3">
        <v>1</v>
      </c>
      <c r="U847" s="3">
        <f t="shared" si="159"/>
        <v>24</v>
      </c>
      <c r="V847" s="13">
        <f t="shared" si="160"/>
        <v>0.54166666666666663</v>
      </c>
      <c r="W847" s="13">
        <f t="shared" si="165"/>
        <v>0.54166666666666663</v>
      </c>
      <c r="X847" s="3">
        <f t="shared" si="161"/>
        <v>24</v>
      </c>
      <c r="Y847" s="3">
        <f t="shared" si="166"/>
        <v>1.7333333333333333E-3</v>
      </c>
      <c r="Z847" s="3"/>
      <c r="AA847" s="3">
        <f t="shared" si="167"/>
        <v>312.5</v>
      </c>
      <c r="AB847" s="3">
        <f t="shared" si="168"/>
        <v>18</v>
      </c>
      <c r="AC847" s="3" t="s">
        <v>82</v>
      </c>
      <c r="AD847" s="3" t="s">
        <v>83</v>
      </c>
      <c r="AE847" s="3">
        <v>15</v>
      </c>
      <c r="AF847" s="3" t="s">
        <v>151</v>
      </c>
      <c r="AG847" s="3" t="s">
        <v>320</v>
      </c>
      <c r="AH847" s="3"/>
    </row>
    <row r="848" spans="1:34" ht="14.25" customHeight="1" x14ac:dyDescent="0.25">
      <c r="A848" s="3" t="s">
        <v>133</v>
      </c>
      <c r="B848" s="3" t="s">
        <v>171</v>
      </c>
      <c r="C848" s="3"/>
      <c r="D848" s="3" t="s">
        <v>117</v>
      </c>
      <c r="E848" s="3">
        <v>1</v>
      </c>
      <c r="F848" s="3">
        <v>1</v>
      </c>
      <c r="G848" s="3" t="s">
        <v>16</v>
      </c>
      <c r="H848" s="11">
        <v>45900</v>
      </c>
      <c r="I848" s="3" t="s">
        <v>172</v>
      </c>
      <c r="J848" s="3">
        <v>0</v>
      </c>
      <c r="K848" s="3">
        <f>3+4</f>
        <v>7</v>
      </c>
      <c r="L848" s="3">
        <f>5+6</f>
        <v>11</v>
      </c>
      <c r="M848" s="3">
        <v>0</v>
      </c>
      <c r="N848" s="3">
        <v>0</v>
      </c>
      <c r="O848" s="3">
        <f t="shared" si="158"/>
        <v>18</v>
      </c>
      <c r="P848" s="3">
        <v>5</v>
      </c>
      <c r="Q848" s="3">
        <v>5</v>
      </c>
      <c r="R848" s="3">
        <v>6</v>
      </c>
      <c r="S848" s="3">
        <v>7</v>
      </c>
      <c r="T848" s="3">
        <v>1</v>
      </c>
      <c r="U848" s="3">
        <f t="shared" si="159"/>
        <v>24</v>
      </c>
      <c r="V848" s="13">
        <f t="shared" si="160"/>
        <v>0.75</v>
      </c>
      <c r="W848" s="13">
        <f t="shared" si="165"/>
        <v>0.75</v>
      </c>
      <c r="X848" s="3">
        <f t="shared" si="161"/>
        <v>24</v>
      </c>
      <c r="Y848" s="3">
        <f t="shared" si="166"/>
        <v>2.3999999999999998E-3</v>
      </c>
      <c r="Z848" s="3"/>
      <c r="AA848" s="3">
        <f t="shared" si="167"/>
        <v>312.5</v>
      </c>
      <c r="AB848" s="3">
        <f t="shared" si="168"/>
        <v>18</v>
      </c>
      <c r="AC848" s="3" t="s">
        <v>82</v>
      </c>
      <c r="AD848" s="3" t="s">
        <v>83</v>
      </c>
      <c r="AE848" s="3">
        <v>15</v>
      </c>
      <c r="AF848" s="3" t="s">
        <v>151</v>
      </c>
      <c r="AG848" s="3" t="s">
        <v>320</v>
      </c>
      <c r="AH848" s="3"/>
    </row>
    <row r="849" spans="1:34" ht="14.25" customHeight="1" x14ac:dyDescent="0.25">
      <c r="A849" s="3" t="s">
        <v>133</v>
      </c>
      <c r="B849" s="3" t="s">
        <v>171</v>
      </c>
      <c r="C849" s="3"/>
      <c r="D849" s="3" t="s">
        <v>117</v>
      </c>
      <c r="E849" s="3">
        <v>1</v>
      </c>
      <c r="F849" s="3">
        <v>1</v>
      </c>
      <c r="G849" s="3" t="s">
        <v>22</v>
      </c>
      <c r="H849" s="11">
        <v>45900</v>
      </c>
      <c r="I849" s="3" t="s">
        <v>172</v>
      </c>
      <c r="J849" s="3">
        <f>4+5</f>
        <v>9</v>
      </c>
      <c r="K849" s="3">
        <f>5+4</f>
        <v>9</v>
      </c>
      <c r="L849" s="3">
        <f>3+6</f>
        <v>9</v>
      </c>
      <c r="M849" s="3">
        <v>0</v>
      </c>
      <c r="N849" s="3">
        <v>0</v>
      </c>
      <c r="O849" s="3">
        <f t="shared" si="158"/>
        <v>27</v>
      </c>
      <c r="P849" s="3">
        <v>5</v>
      </c>
      <c r="Q849" s="3">
        <v>5</v>
      </c>
      <c r="R849" s="3">
        <v>6</v>
      </c>
      <c r="S849" s="3">
        <v>7</v>
      </c>
      <c r="T849" s="3">
        <v>1</v>
      </c>
      <c r="U849" s="3">
        <f t="shared" si="159"/>
        <v>24</v>
      </c>
      <c r="V849" s="13">
        <f t="shared" si="160"/>
        <v>1.125</v>
      </c>
      <c r="W849" s="13">
        <f t="shared" si="165"/>
        <v>1.125</v>
      </c>
      <c r="X849" s="3">
        <f t="shared" si="161"/>
        <v>24</v>
      </c>
      <c r="Y849" s="3">
        <f t="shared" si="166"/>
        <v>3.5999999999999999E-3</v>
      </c>
      <c r="Z849" s="3"/>
      <c r="AA849" s="3">
        <f t="shared" si="167"/>
        <v>312.5</v>
      </c>
      <c r="AB849" s="3">
        <f t="shared" si="168"/>
        <v>18</v>
      </c>
      <c r="AC849" s="3" t="s">
        <v>82</v>
      </c>
      <c r="AD849" s="3" t="s">
        <v>83</v>
      </c>
      <c r="AE849" s="3">
        <v>15</v>
      </c>
      <c r="AF849" s="3" t="s">
        <v>151</v>
      </c>
      <c r="AG849" s="3" t="s">
        <v>320</v>
      </c>
      <c r="AH849" s="3"/>
    </row>
    <row r="850" spans="1:34" ht="14.25" customHeight="1" x14ac:dyDescent="0.25">
      <c r="A850" s="3" t="s">
        <v>128</v>
      </c>
      <c r="B850" s="3" t="s">
        <v>171</v>
      </c>
      <c r="C850" s="3"/>
      <c r="D850" s="3" t="s">
        <v>117</v>
      </c>
      <c r="E850" s="3">
        <v>1</v>
      </c>
      <c r="F850" s="3">
        <v>1</v>
      </c>
      <c r="G850" s="3" t="s">
        <v>14</v>
      </c>
      <c r="H850" s="11">
        <v>45900</v>
      </c>
      <c r="I850" s="3" t="s">
        <v>172</v>
      </c>
      <c r="J850" s="3">
        <v>0</v>
      </c>
      <c r="K850" s="3">
        <f>3+3</f>
        <v>6</v>
      </c>
      <c r="L850" s="3">
        <v>0</v>
      </c>
      <c r="M850" s="3">
        <v>0</v>
      </c>
      <c r="N850" s="3">
        <v>0</v>
      </c>
      <c r="O850" s="3">
        <f t="shared" si="158"/>
        <v>6</v>
      </c>
      <c r="P850" s="3">
        <v>0</v>
      </c>
      <c r="Q850" s="3">
        <v>2</v>
      </c>
      <c r="R850" s="3">
        <v>1</v>
      </c>
      <c r="S850" s="3">
        <v>2</v>
      </c>
      <c r="T850" s="3">
        <v>0</v>
      </c>
      <c r="U850" s="3">
        <f t="shared" si="159"/>
        <v>5</v>
      </c>
      <c r="V850" s="13">
        <f t="shared" si="160"/>
        <v>1.2</v>
      </c>
      <c r="W850" s="13">
        <f t="shared" si="165"/>
        <v>1.2</v>
      </c>
      <c r="X850" s="3">
        <f t="shared" si="161"/>
        <v>5</v>
      </c>
      <c r="Y850" s="3" t="e">
        <f t="shared" si="166"/>
        <v>#DIV/0!</v>
      </c>
      <c r="Z850" s="3"/>
      <c r="AA850" s="3"/>
      <c r="AB850" s="3"/>
      <c r="AC850" s="3" t="s">
        <v>82</v>
      </c>
      <c r="AD850" s="3" t="s">
        <v>83</v>
      </c>
      <c r="AE850" s="3">
        <v>15</v>
      </c>
      <c r="AF850" s="3" t="s">
        <v>151</v>
      </c>
      <c r="AG850" s="3" t="s">
        <v>177</v>
      </c>
      <c r="AH850" s="3"/>
    </row>
    <row r="851" spans="1:34" ht="14.25" customHeight="1" x14ac:dyDescent="0.25">
      <c r="A851" s="3" t="s">
        <v>128</v>
      </c>
      <c r="B851" s="3" t="s">
        <v>171</v>
      </c>
      <c r="C851" s="3"/>
      <c r="D851" s="3" t="s">
        <v>117</v>
      </c>
      <c r="E851" s="3">
        <v>1</v>
      </c>
      <c r="F851" s="3">
        <v>1</v>
      </c>
      <c r="G851" s="3" t="s">
        <v>16</v>
      </c>
      <c r="H851" s="11">
        <v>45900</v>
      </c>
      <c r="I851" s="3" t="s">
        <v>172</v>
      </c>
      <c r="J851" s="3">
        <v>0</v>
      </c>
      <c r="K851" s="3">
        <f>4+5</f>
        <v>9</v>
      </c>
      <c r="L851" s="3">
        <v>3</v>
      </c>
      <c r="M851" s="3">
        <f>4+6</f>
        <v>10</v>
      </c>
      <c r="N851" s="3">
        <v>0</v>
      </c>
      <c r="O851" s="3">
        <f t="shared" si="158"/>
        <v>22</v>
      </c>
      <c r="P851" s="3">
        <v>0</v>
      </c>
      <c r="Q851" s="3">
        <v>2</v>
      </c>
      <c r="R851" s="3">
        <v>1</v>
      </c>
      <c r="S851" s="3">
        <v>2</v>
      </c>
      <c r="T851" s="3">
        <v>0</v>
      </c>
      <c r="U851" s="3">
        <f t="shared" si="159"/>
        <v>5</v>
      </c>
      <c r="V851" s="13">
        <f t="shared" si="160"/>
        <v>4.4000000000000004</v>
      </c>
      <c r="W851" s="13">
        <f t="shared" si="165"/>
        <v>4.4000000000000004</v>
      </c>
      <c r="X851" s="3">
        <f t="shared" si="161"/>
        <v>5</v>
      </c>
      <c r="Y851" s="3" t="e">
        <f t="shared" si="166"/>
        <v>#DIV/0!</v>
      </c>
      <c r="Z851" s="3"/>
      <c r="AA851" s="3"/>
      <c r="AB851" s="3"/>
      <c r="AC851" s="3" t="s">
        <v>82</v>
      </c>
      <c r="AD851" s="3" t="s">
        <v>83</v>
      </c>
      <c r="AE851" s="3">
        <v>15</v>
      </c>
      <c r="AF851" s="3" t="s">
        <v>151</v>
      </c>
      <c r="AG851" s="3" t="s">
        <v>177</v>
      </c>
      <c r="AH851" s="3"/>
    </row>
    <row r="852" spans="1:34" ht="14.25" customHeight="1" x14ac:dyDescent="0.25">
      <c r="A852" s="3" t="s">
        <v>128</v>
      </c>
      <c r="B852" s="3" t="s">
        <v>171</v>
      </c>
      <c r="C852" s="3"/>
      <c r="D852" s="3" t="s">
        <v>117</v>
      </c>
      <c r="E852" s="3">
        <v>1</v>
      </c>
      <c r="F852" s="3">
        <v>1</v>
      </c>
      <c r="G852" s="3" t="s">
        <v>18</v>
      </c>
      <c r="H852" s="11">
        <v>45900</v>
      </c>
      <c r="I852" s="3" t="s">
        <v>172</v>
      </c>
      <c r="J852" s="3">
        <v>0</v>
      </c>
      <c r="K852" s="3">
        <v>4</v>
      </c>
      <c r="L852" s="3">
        <v>6</v>
      </c>
      <c r="M852" s="3">
        <v>0</v>
      </c>
      <c r="N852" s="3">
        <v>0</v>
      </c>
      <c r="O852" s="3">
        <f t="shared" si="158"/>
        <v>10</v>
      </c>
      <c r="P852" s="3">
        <v>0</v>
      </c>
      <c r="Q852" s="3">
        <v>2</v>
      </c>
      <c r="R852" s="3">
        <v>1</v>
      </c>
      <c r="S852" s="3">
        <v>2</v>
      </c>
      <c r="T852" s="3">
        <v>0</v>
      </c>
      <c r="U852" s="3">
        <f t="shared" si="159"/>
        <v>5</v>
      </c>
      <c r="V852" s="13">
        <f t="shared" si="160"/>
        <v>2</v>
      </c>
      <c r="W852" s="13">
        <f t="shared" si="165"/>
        <v>2</v>
      </c>
      <c r="X852" s="3">
        <f t="shared" si="161"/>
        <v>5</v>
      </c>
      <c r="Y852" s="3" t="e">
        <f t="shared" si="166"/>
        <v>#DIV/0!</v>
      </c>
      <c r="Z852" s="3"/>
      <c r="AA852" s="3"/>
      <c r="AB852" s="3"/>
      <c r="AC852" s="3" t="s">
        <v>82</v>
      </c>
      <c r="AD852" s="3" t="s">
        <v>83</v>
      </c>
      <c r="AE852" s="3">
        <v>15</v>
      </c>
      <c r="AF852" s="3" t="s">
        <v>151</v>
      </c>
      <c r="AG852" s="3" t="s">
        <v>177</v>
      </c>
      <c r="AH852" s="3"/>
    </row>
    <row r="853" spans="1:34" ht="14.25" customHeight="1" x14ac:dyDescent="0.25">
      <c r="A853" s="3" t="s">
        <v>128</v>
      </c>
      <c r="B853" s="3" t="s">
        <v>171</v>
      </c>
      <c r="C853" s="3"/>
      <c r="D853" s="3" t="s">
        <v>117</v>
      </c>
      <c r="E853" s="3">
        <v>1</v>
      </c>
      <c r="F853" s="3">
        <v>1</v>
      </c>
      <c r="G853" s="3" t="s">
        <v>25</v>
      </c>
      <c r="H853" s="11">
        <v>45900</v>
      </c>
      <c r="I853" s="3" t="s">
        <v>172</v>
      </c>
      <c r="J853" s="3">
        <v>0</v>
      </c>
      <c r="K853" s="3">
        <v>0</v>
      </c>
      <c r="L853" s="3">
        <v>12</v>
      </c>
      <c r="M853" s="3">
        <v>0</v>
      </c>
      <c r="N853" s="3">
        <v>0</v>
      </c>
      <c r="O853" s="3">
        <f t="shared" si="158"/>
        <v>12</v>
      </c>
      <c r="P853" s="3">
        <v>0</v>
      </c>
      <c r="Q853" s="3">
        <v>2</v>
      </c>
      <c r="R853" s="3">
        <v>1</v>
      </c>
      <c r="S853" s="3">
        <v>2</v>
      </c>
      <c r="T853" s="3">
        <v>0</v>
      </c>
      <c r="U853" s="3">
        <f t="shared" si="159"/>
        <v>5</v>
      </c>
      <c r="V853" s="13">
        <f t="shared" si="160"/>
        <v>2.4</v>
      </c>
      <c r="W853" s="13">
        <f t="shared" si="165"/>
        <v>2.4</v>
      </c>
      <c r="X853" s="3">
        <f t="shared" si="161"/>
        <v>5</v>
      </c>
      <c r="Y853" s="3" t="e">
        <f t="shared" si="166"/>
        <v>#DIV/0!</v>
      </c>
      <c r="Z853" s="3"/>
      <c r="AA853" s="3"/>
      <c r="AB853" s="3"/>
      <c r="AC853" s="3" t="s">
        <v>82</v>
      </c>
      <c r="AD853" s="3" t="s">
        <v>83</v>
      </c>
      <c r="AE853" s="3">
        <v>15</v>
      </c>
      <c r="AF853" s="3" t="s">
        <v>151</v>
      </c>
      <c r="AG853" s="3" t="s">
        <v>177</v>
      </c>
      <c r="AH853" s="3"/>
    </row>
    <row r="854" spans="1:34" ht="14.25" customHeight="1" x14ac:dyDescent="0.25">
      <c r="A854" s="3" t="s">
        <v>128</v>
      </c>
      <c r="B854" s="3" t="s">
        <v>171</v>
      </c>
      <c r="C854" s="3"/>
      <c r="D854" s="3" t="s">
        <v>117</v>
      </c>
      <c r="E854" s="3">
        <v>1</v>
      </c>
      <c r="F854" s="3">
        <v>1</v>
      </c>
      <c r="G854" s="3" t="s">
        <v>22</v>
      </c>
      <c r="H854" s="11">
        <v>45900</v>
      </c>
      <c r="I854" s="3" t="s">
        <v>172</v>
      </c>
      <c r="J854" s="3">
        <v>0</v>
      </c>
      <c r="K854" s="3">
        <v>4</v>
      </c>
      <c r="L854" s="3">
        <v>0</v>
      </c>
      <c r="M854" s="3">
        <v>4</v>
      </c>
      <c r="N854" s="3">
        <v>0</v>
      </c>
      <c r="O854" s="3">
        <f t="shared" si="158"/>
        <v>8</v>
      </c>
      <c r="P854" s="3">
        <v>0</v>
      </c>
      <c r="Q854" s="3">
        <v>2</v>
      </c>
      <c r="R854" s="3">
        <v>1</v>
      </c>
      <c r="S854" s="3">
        <v>2</v>
      </c>
      <c r="T854" s="3">
        <v>0</v>
      </c>
      <c r="U854" s="3">
        <f t="shared" si="159"/>
        <v>5</v>
      </c>
      <c r="V854" s="13">
        <f t="shared" si="160"/>
        <v>1.6</v>
      </c>
      <c r="W854" s="13">
        <f t="shared" si="165"/>
        <v>1.6</v>
      </c>
      <c r="X854" s="3">
        <f t="shared" si="161"/>
        <v>5</v>
      </c>
      <c r="Y854" s="3" t="e">
        <f t="shared" si="166"/>
        <v>#DIV/0!</v>
      </c>
      <c r="Z854" s="3"/>
      <c r="AA854" s="3"/>
      <c r="AB854" s="3"/>
      <c r="AC854" s="3" t="s">
        <v>82</v>
      </c>
      <c r="AD854" s="3" t="s">
        <v>83</v>
      </c>
      <c r="AE854" s="3">
        <v>15</v>
      </c>
      <c r="AF854" s="3" t="s">
        <v>151</v>
      </c>
      <c r="AG854" s="3" t="s">
        <v>177</v>
      </c>
      <c r="AH854" s="3"/>
    </row>
    <row r="855" spans="1:34" ht="14.25" customHeight="1" x14ac:dyDescent="0.25">
      <c r="A855" s="3" t="s">
        <v>123</v>
      </c>
      <c r="B855" s="3" t="s">
        <v>171</v>
      </c>
      <c r="C855" s="3"/>
      <c r="D855" s="3" t="s">
        <v>121</v>
      </c>
      <c r="E855" s="3">
        <v>1</v>
      </c>
      <c r="F855" s="3">
        <v>1</v>
      </c>
      <c r="G855" s="3" t="s">
        <v>1</v>
      </c>
      <c r="H855" s="11">
        <v>45900</v>
      </c>
      <c r="I855" s="3" t="s">
        <v>172</v>
      </c>
      <c r="J855" s="3">
        <v>0</v>
      </c>
      <c r="K855" s="3">
        <f>5+4</f>
        <v>9</v>
      </c>
      <c r="L855" s="3">
        <v>7</v>
      </c>
      <c r="M855" s="3">
        <v>5</v>
      </c>
      <c r="N855" s="3">
        <f>4+5</f>
        <v>9</v>
      </c>
      <c r="O855" s="3">
        <f t="shared" si="158"/>
        <v>30</v>
      </c>
      <c r="P855" s="3">
        <v>0</v>
      </c>
      <c r="Q855" s="3">
        <v>2</v>
      </c>
      <c r="R855" s="3">
        <v>2</v>
      </c>
      <c r="S855" s="3">
        <v>1</v>
      </c>
      <c r="T855" s="3">
        <v>2</v>
      </c>
      <c r="U855" s="3">
        <f t="shared" ref="U855:U856" si="169">SUM(Q855:T855)</f>
        <v>7</v>
      </c>
      <c r="V855" s="13">
        <f t="shared" si="160"/>
        <v>4.2857142857142856</v>
      </c>
      <c r="W855" s="13">
        <f t="shared" si="165"/>
        <v>4.2857142857142856</v>
      </c>
      <c r="X855" s="3">
        <f t="shared" si="161"/>
        <v>7</v>
      </c>
      <c r="Y855" s="3">
        <f t="shared" si="166"/>
        <v>2.1428571428571429E-2</v>
      </c>
      <c r="Z855" s="3"/>
      <c r="AA855" s="3">
        <f t="shared" ref="AA855:AA859" si="170">20*2*5</f>
        <v>200</v>
      </c>
      <c r="AB855" s="3"/>
      <c r="AC855" s="3" t="s">
        <v>82</v>
      </c>
      <c r="AD855" s="3" t="s">
        <v>83</v>
      </c>
      <c r="AE855" s="3">
        <v>15</v>
      </c>
      <c r="AF855" s="3" t="s">
        <v>151</v>
      </c>
      <c r="AG855" s="3" t="s">
        <v>321</v>
      </c>
      <c r="AH855" s="3"/>
    </row>
    <row r="856" spans="1:34" ht="14.25" customHeight="1" x14ac:dyDescent="0.25">
      <c r="A856" s="3" t="s">
        <v>123</v>
      </c>
      <c r="B856" s="3" t="s">
        <v>171</v>
      </c>
      <c r="C856" s="3"/>
      <c r="D856" s="3" t="s">
        <v>121</v>
      </c>
      <c r="E856" s="3">
        <v>1</v>
      </c>
      <c r="F856" s="3">
        <v>1</v>
      </c>
      <c r="G856" s="3" t="s">
        <v>3</v>
      </c>
      <c r="H856" s="11">
        <v>45900</v>
      </c>
      <c r="I856" s="3" t="s">
        <v>172</v>
      </c>
      <c r="J856" s="3">
        <v>0</v>
      </c>
      <c r="K856" s="3">
        <f>4+6</f>
        <v>10</v>
      </c>
      <c r="L856" s="3">
        <v>5</v>
      </c>
      <c r="M856" s="3">
        <v>0</v>
      </c>
      <c r="N856" s="3">
        <v>0</v>
      </c>
      <c r="O856" s="3">
        <f t="shared" si="158"/>
        <v>15</v>
      </c>
      <c r="P856" s="3">
        <v>0</v>
      </c>
      <c r="Q856" s="3">
        <v>2</v>
      </c>
      <c r="R856" s="3">
        <v>2</v>
      </c>
      <c r="S856" s="3">
        <v>1</v>
      </c>
      <c r="T856" s="3">
        <v>2</v>
      </c>
      <c r="U856" s="3">
        <f t="shared" si="169"/>
        <v>7</v>
      </c>
      <c r="V856" s="13">
        <f t="shared" si="160"/>
        <v>2.1428571428571428</v>
      </c>
      <c r="W856" s="13">
        <f t="shared" si="165"/>
        <v>2.1428571428571428</v>
      </c>
      <c r="X856" s="3">
        <f t="shared" si="161"/>
        <v>7</v>
      </c>
      <c r="Y856" s="3">
        <f t="shared" si="166"/>
        <v>1.0714285714285714E-2</v>
      </c>
      <c r="Z856" s="3"/>
      <c r="AA856" s="3">
        <f t="shared" si="170"/>
        <v>200</v>
      </c>
      <c r="AB856" s="3"/>
      <c r="AC856" s="3" t="s">
        <v>82</v>
      </c>
      <c r="AD856" s="3" t="s">
        <v>83</v>
      </c>
      <c r="AE856" s="3">
        <v>15</v>
      </c>
      <c r="AF856" s="3" t="s">
        <v>151</v>
      </c>
      <c r="AG856" s="3" t="s">
        <v>321</v>
      </c>
      <c r="AH856" s="3"/>
    </row>
    <row r="857" spans="1:34" ht="14.25" customHeight="1" x14ac:dyDescent="0.25">
      <c r="A857" s="3" t="s">
        <v>123</v>
      </c>
      <c r="B857" s="3" t="s">
        <v>171</v>
      </c>
      <c r="C857" s="3"/>
      <c r="D857" s="3" t="s">
        <v>121</v>
      </c>
      <c r="E857" s="3">
        <v>1</v>
      </c>
      <c r="F857" s="3">
        <v>1</v>
      </c>
      <c r="G857" s="3" t="s">
        <v>14</v>
      </c>
      <c r="H857" s="11">
        <v>45900</v>
      </c>
      <c r="I857" s="3" t="s">
        <v>172</v>
      </c>
      <c r="J857" s="3">
        <v>0</v>
      </c>
      <c r="K857" s="3">
        <v>0</v>
      </c>
      <c r="L857" s="3">
        <v>0</v>
      </c>
      <c r="M857" s="3">
        <v>2</v>
      </c>
      <c r="N857" s="3">
        <v>3</v>
      </c>
      <c r="O857" s="3">
        <f t="shared" si="158"/>
        <v>5</v>
      </c>
      <c r="P857" s="3">
        <v>0</v>
      </c>
      <c r="Q857" s="3">
        <v>2</v>
      </c>
      <c r="R857" s="3">
        <v>2</v>
      </c>
      <c r="S857" s="3">
        <v>1</v>
      </c>
      <c r="T857" s="3">
        <v>2</v>
      </c>
      <c r="U857" s="3">
        <f t="shared" ref="U857:U859" si="171">SUM(P857:T857)</f>
        <v>7</v>
      </c>
      <c r="V857" s="13">
        <f t="shared" si="160"/>
        <v>0.7142857142857143</v>
      </c>
      <c r="W857" s="13">
        <f t="shared" si="165"/>
        <v>0.7142857142857143</v>
      </c>
      <c r="X857" s="3">
        <f t="shared" si="161"/>
        <v>7</v>
      </c>
      <c r="Y857" s="3">
        <f t="shared" si="166"/>
        <v>3.5714285714285713E-3</v>
      </c>
      <c r="Z857" s="3"/>
      <c r="AA857" s="3">
        <f t="shared" si="170"/>
        <v>200</v>
      </c>
      <c r="AB857" s="3"/>
      <c r="AC857" s="3" t="s">
        <v>82</v>
      </c>
      <c r="AD857" s="3" t="s">
        <v>83</v>
      </c>
      <c r="AE857" s="3">
        <v>15</v>
      </c>
      <c r="AF857" s="3" t="s">
        <v>151</v>
      </c>
      <c r="AG857" s="3" t="s">
        <v>321</v>
      </c>
      <c r="AH857" s="3"/>
    </row>
    <row r="858" spans="1:34" ht="14.25" customHeight="1" x14ac:dyDescent="0.25">
      <c r="A858" s="3" t="s">
        <v>123</v>
      </c>
      <c r="B858" s="3" t="s">
        <v>171</v>
      </c>
      <c r="C858" s="3"/>
      <c r="D858" s="3" t="s">
        <v>121</v>
      </c>
      <c r="E858" s="3">
        <v>1</v>
      </c>
      <c r="F858" s="3">
        <v>1</v>
      </c>
      <c r="G858" s="3" t="s">
        <v>16</v>
      </c>
      <c r="H858" s="11">
        <v>45900</v>
      </c>
      <c r="I858" s="3" t="s">
        <v>172</v>
      </c>
      <c r="J858" s="3">
        <v>0</v>
      </c>
      <c r="K858" s="3">
        <f>5+8</f>
        <v>13</v>
      </c>
      <c r="L858" s="3">
        <v>5</v>
      </c>
      <c r="M858" s="3">
        <v>0</v>
      </c>
      <c r="N858" s="3">
        <f>4+6</f>
        <v>10</v>
      </c>
      <c r="O858" s="3">
        <f t="shared" si="158"/>
        <v>28</v>
      </c>
      <c r="P858" s="3">
        <v>0</v>
      </c>
      <c r="Q858" s="3">
        <v>2</v>
      </c>
      <c r="R858" s="3">
        <v>2</v>
      </c>
      <c r="S858" s="3">
        <v>1</v>
      </c>
      <c r="T858" s="3">
        <v>2</v>
      </c>
      <c r="U858" s="3">
        <f t="shared" si="171"/>
        <v>7</v>
      </c>
      <c r="V858" s="13">
        <f t="shared" si="160"/>
        <v>4</v>
      </c>
      <c r="W858" s="13">
        <f t="shared" si="165"/>
        <v>4</v>
      </c>
      <c r="X858" s="3">
        <f t="shared" si="161"/>
        <v>7</v>
      </c>
      <c r="Y858" s="3">
        <f t="shared" si="166"/>
        <v>0.02</v>
      </c>
      <c r="Z858" s="3"/>
      <c r="AA858" s="3">
        <f t="shared" si="170"/>
        <v>200</v>
      </c>
      <c r="AB858" s="3"/>
      <c r="AC858" s="3" t="s">
        <v>82</v>
      </c>
      <c r="AD858" s="3" t="s">
        <v>83</v>
      </c>
      <c r="AE858" s="3">
        <v>15</v>
      </c>
      <c r="AF858" s="3" t="s">
        <v>151</v>
      </c>
      <c r="AG858" s="3" t="s">
        <v>321</v>
      </c>
      <c r="AH858" s="3"/>
    </row>
    <row r="859" spans="1:34" ht="14.25" customHeight="1" x14ac:dyDescent="0.25">
      <c r="A859" s="3" t="s">
        <v>123</v>
      </c>
      <c r="B859" s="3" t="s">
        <v>171</v>
      </c>
      <c r="C859" s="3"/>
      <c r="D859" s="3" t="s">
        <v>121</v>
      </c>
      <c r="E859" s="3">
        <v>1</v>
      </c>
      <c r="F859" s="3">
        <v>1</v>
      </c>
      <c r="G859" s="3" t="s">
        <v>22</v>
      </c>
      <c r="H859" s="11">
        <v>45900</v>
      </c>
      <c r="I859" s="3" t="s">
        <v>172</v>
      </c>
      <c r="J859" s="3">
        <v>0</v>
      </c>
      <c r="K859" s="3">
        <v>4</v>
      </c>
      <c r="L859" s="3">
        <v>3</v>
      </c>
      <c r="M859" s="3">
        <v>0</v>
      </c>
      <c r="N859" s="3">
        <v>0</v>
      </c>
      <c r="O859" s="3">
        <f t="shared" si="158"/>
        <v>7</v>
      </c>
      <c r="P859" s="3">
        <v>0</v>
      </c>
      <c r="Q859" s="3">
        <v>2</v>
      </c>
      <c r="R859" s="3">
        <v>2</v>
      </c>
      <c r="S859" s="3">
        <v>1</v>
      </c>
      <c r="T859" s="3">
        <v>2</v>
      </c>
      <c r="U859" s="3">
        <f t="shared" si="171"/>
        <v>7</v>
      </c>
      <c r="V859" s="13">
        <f t="shared" si="160"/>
        <v>1</v>
      </c>
      <c r="W859" s="13">
        <f t="shared" si="165"/>
        <v>1</v>
      </c>
      <c r="X859" s="3">
        <f t="shared" si="161"/>
        <v>7</v>
      </c>
      <c r="Y859" s="3">
        <f t="shared" si="166"/>
        <v>5.0000000000000001E-3</v>
      </c>
      <c r="Z859" s="3"/>
      <c r="AA859" s="3">
        <f t="shared" si="170"/>
        <v>200</v>
      </c>
      <c r="AB859" s="3"/>
      <c r="AC859" s="3" t="s">
        <v>82</v>
      </c>
      <c r="AD859" s="3" t="s">
        <v>83</v>
      </c>
      <c r="AE859" s="3">
        <v>15</v>
      </c>
      <c r="AF859" s="3" t="s">
        <v>151</v>
      </c>
      <c r="AG859" s="3" t="s">
        <v>321</v>
      </c>
      <c r="AH859" s="3"/>
    </row>
    <row r="860" spans="1:34" ht="14.25" customHeight="1" x14ac:dyDescent="0.25">
      <c r="A860" s="3" t="s">
        <v>119</v>
      </c>
      <c r="B860" s="3" t="s">
        <v>171</v>
      </c>
      <c r="C860" s="3"/>
      <c r="D860" s="3" t="s">
        <v>115</v>
      </c>
      <c r="E860" s="3">
        <v>1</v>
      </c>
      <c r="F860" s="3">
        <v>1</v>
      </c>
      <c r="G860" s="3" t="s">
        <v>1</v>
      </c>
      <c r="H860" s="11">
        <v>45900</v>
      </c>
      <c r="I860" s="3" t="s">
        <v>172</v>
      </c>
      <c r="J860" s="3">
        <v>0</v>
      </c>
      <c r="K860" s="3">
        <f>12+14+10</f>
        <v>36</v>
      </c>
      <c r="L860" s="3">
        <v>5</v>
      </c>
      <c r="M860" s="3">
        <v>8</v>
      </c>
      <c r="N860" s="3">
        <v>3</v>
      </c>
      <c r="O860" s="3">
        <f t="shared" si="158"/>
        <v>52</v>
      </c>
      <c r="P860" s="3">
        <v>0</v>
      </c>
      <c r="Q860" s="3">
        <v>3</v>
      </c>
      <c r="R860" s="3">
        <v>1</v>
      </c>
      <c r="S860" s="3">
        <v>1</v>
      </c>
      <c r="T860" s="3">
        <v>1</v>
      </c>
      <c r="U860" s="3">
        <f t="shared" ref="U860:U861" si="172">SUM(Q860:T860)</f>
        <v>6</v>
      </c>
      <c r="V860" s="13">
        <f t="shared" si="160"/>
        <v>8.6666666666666661</v>
      </c>
      <c r="W860" s="13">
        <f t="shared" si="165"/>
        <v>8.6666666666666661</v>
      </c>
      <c r="X860" s="3">
        <f t="shared" si="161"/>
        <v>6</v>
      </c>
      <c r="Y860" s="3">
        <f t="shared" si="166"/>
        <v>3.2098765432098761E-2</v>
      </c>
      <c r="Z860" s="3"/>
      <c r="AA860" s="3">
        <f t="shared" ref="AA860:AA863" si="173">12*2*5+15*2*5</f>
        <v>270</v>
      </c>
      <c r="AB860" s="3">
        <v>150</v>
      </c>
      <c r="AC860" s="3" t="s">
        <v>82</v>
      </c>
      <c r="AD860" s="3" t="s">
        <v>83</v>
      </c>
      <c r="AE860" s="3">
        <v>15</v>
      </c>
      <c r="AF860" s="3" t="s">
        <v>151</v>
      </c>
      <c r="AG860" s="3" t="s">
        <v>322</v>
      </c>
      <c r="AH860" s="3"/>
    </row>
    <row r="861" spans="1:34" ht="14.25" customHeight="1" x14ac:dyDescent="0.25">
      <c r="A861" s="3" t="s">
        <v>119</v>
      </c>
      <c r="B861" s="3" t="s">
        <v>171</v>
      </c>
      <c r="C861" s="3"/>
      <c r="D861" s="3" t="s">
        <v>115</v>
      </c>
      <c r="E861" s="3">
        <v>1</v>
      </c>
      <c r="F861" s="3">
        <v>1</v>
      </c>
      <c r="G861" s="3" t="s">
        <v>3</v>
      </c>
      <c r="H861" s="11">
        <v>45900</v>
      </c>
      <c r="I861" s="3" t="s">
        <v>172</v>
      </c>
      <c r="J861" s="3">
        <v>0</v>
      </c>
      <c r="K861" s="3">
        <f>16+8+6</f>
        <v>30</v>
      </c>
      <c r="L861" s="3">
        <v>4</v>
      </c>
      <c r="M861" s="3">
        <v>4</v>
      </c>
      <c r="N861" s="3">
        <v>0</v>
      </c>
      <c r="O861" s="3">
        <f t="shared" si="158"/>
        <v>38</v>
      </c>
      <c r="P861" s="3">
        <v>0</v>
      </c>
      <c r="Q861" s="3">
        <v>3</v>
      </c>
      <c r="R861" s="3">
        <v>1</v>
      </c>
      <c r="S861" s="3">
        <v>1</v>
      </c>
      <c r="T861" s="3">
        <v>1</v>
      </c>
      <c r="U861" s="3">
        <f t="shared" si="172"/>
        <v>6</v>
      </c>
      <c r="V861" s="13">
        <f t="shared" si="160"/>
        <v>6.333333333333333</v>
      </c>
      <c r="W861" s="13">
        <f t="shared" si="165"/>
        <v>6.333333333333333</v>
      </c>
      <c r="X861" s="3">
        <f t="shared" si="161"/>
        <v>6</v>
      </c>
      <c r="Y861" s="3">
        <f t="shared" si="166"/>
        <v>2.3456790123456788E-2</v>
      </c>
      <c r="Z861" s="3"/>
      <c r="AA861" s="3">
        <f t="shared" si="173"/>
        <v>270</v>
      </c>
      <c r="AB861" s="3">
        <v>150</v>
      </c>
      <c r="AC861" s="3" t="s">
        <v>82</v>
      </c>
      <c r="AD861" s="3" t="s">
        <v>83</v>
      </c>
      <c r="AE861" s="3">
        <v>15</v>
      </c>
      <c r="AF861" s="3" t="s">
        <v>151</v>
      </c>
      <c r="AG861" s="3" t="s">
        <v>322</v>
      </c>
      <c r="AH861" s="3"/>
    </row>
    <row r="862" spans="1:34" ht="14.25" customHeight="1" x14ac:dyDescent="0.25">
      <c r="A862" s="3" t="s">
        <v>119</v>
      </c>
      <c r="B862" s="3" t="s">
        <v>171</v>
      </c>
      <c r="C862" s="3"/>
      <c r="D862" s="3" t="s">
        <v>115</v>
      </c>
      <c r="E862" s="3">
        <v>1</v>
      </c>
      <c r="F862" s="3">
        <v>1</v>
      </c>
      <c r="G862" s="3" t="s">
        <v>14</v>
      </c>
      <c r="H862" s="11">
        <v>45900</v>
      </c>
      <c r="I862" s="3" t="s">
        <v>172</v>
      </c>
      <c r="J862" s="3">
        <v>0</v>
      </c>
      <c r="K862" s="3">
        <f>3+4</f>
        <v>7</v>
      </c>
      <c r="L862" s="3">
        <v>0</v>
      </c>
      <c r="M862" s="3">
        <v>0</v>
      </c>
      <c r="N862" s="3">
        <v>0</v>
      </c>
      <c r="O862" s="3">
        <f t="shared" si="158"/>
        <v>7</v>
      </c>
      <c r="P862" s="3">
        <v>0</v>
      </c>
      <c r="Q862" s="3">
        <v>3</v>
      </c>
      <c r="R862" s="3">
        <v>1</v>
      </c>
      <c r="S862" s="3">
        <v>1</v>
      </c>
      <c r="T862" s="3">
        <v>1</v>
      </c>
      <c r="U862" s="3">
        <f t="shared" ref="U862:U910" si="174">SUM(P862:T862)</f>
        <v>6</v>
      </c>
      <c r="V862" s="13">
        <f t="shared" si="160"/>
        <v>1.1666666666666667</v>
      </c>
      <c r="W862" s="13">
        <f t="shared" si="165"/>
        <v>1.1666666666666667</v>
      </c>
      <c r="X862" s="3">
        <f t="shared" si="161"/>
        <v>6</v>
      </c>
      <c r="Y862" s="3">
        <f t="shared" si="166"/>
        <v>4.3209876543209881E-3</v>
      </c>
      <c r="Z862" s="3"/>
      <c r="AA862" s="3">
        <f t="shared" si="173"/>
        <v>270</v>
      </c>
      <c r="AB862" s="3">
        <v>150</v>
      </c>
      <c r="AC862" s="3" t="s">
        <v>82</v>
      </c>
      <c r="AD862" s="3" t="s">
        <v>83</v>
      </c>
      <c r="AE862" s="3">
        <v>15</v>
      </c>
      <c r="AF862" s="3" t="s">
        <v>151</v>
      </c>
      <c r="AG862" s="3" t="s">
        <v>322</v>
      </c>
      <c r="AH862" s="3"/>
    </row>
    <row r="863" spans="1:34" ht="14.25" customHeight="1" x14ac:dyDescent="0.25">
      <c r="A863" s="3" t="s">
        <v>119</v>
      </c>
      <c r="B863" s="3" t="s">
        <v>171</v>
      </c>
      <c r="C863" s="3"/>
      <c r="D863" s="3" t="s">
        <v>115</v>
      </c>
      <c r="E863" s="3">
        <v>1</v>
      </c>
      <c r="F863" s="3">
        <v>1</v>
      </c>
      <c r="G863" s="3" t="s">
        <v>16</v>
      </c>
      <c r="H863" s="11">
        <v>45900</v>
      </c>
      <c r="I863" s="3" t="s">
        <v>172</v>
      </c>
      <c r="J863" s="3">
        <v>0</v>
      </c>
      <c r="K863" s="3">
        <v>6</v>
      </c>
      <c r="L863" s="3">
        <v>0</v>
      </c>
      <c r="M863" s="3">
        <v>0</v>
      </c>
      <c r="N863" s="3">
        <v>0</v>
      </c>
      <c r="O863" s="3">
        <f t="shared" si="158"/>
        <v>6</v>
      </c>
      <c r="P863" s="3">
        <v>0</v>
      </c>
      <c r="Q863" s="3">
        <v>3</v>
      </c>
      <c r="R863" s="3">
        <v>1</v>
      </c>
      <c r="S863" s="3">
        <v>1</v>
      </c>
      <c r="T863" s="3">
        <v>1</v>
      </c>
      <c r="U863" s="3">
        <f t="shared" si="174"/>
        <v>6</v>
      </c>
      <c r="V863" s="13">
        <f t="shared" si="160"/>
        <v>1</v>
      </c>
      <c r="W863" s="13">
        <f t="shared" si="165"/>
        <v>1</v>
      </c>
      <c r="X863" s="3">
        <f t="shared" si="161"/>
        <v>6</v>
      </c>
      <c r="Y863" s="3">
        <f t="shared" si="166"/>
        <v>3.7037037037037038E-3</v>
      </c>
      <c r="Z863" s="3"/>
      <c r="AA863" s="3">
        <f t="shared" si="173"/>
        <v>270</v>
      </c>
      <c r="AB863" s="3">
        <v>150</v>
      </c>
      <c r="AC863" s="3" t="s">
        <v>82</v>
      </c>
      <c r="AD863" s="3" t="s">
        <v>83</v>
      </c>
      <c r="AE863" s="3">
        <v>15</v>
      </c>
      <c r="AF863" s="3" t="s">
        <v>151</v>
      </c>
      <c r="AG863" s="3" t="s">
        <v>322</v>
      </c>
      <c r="AH863" s="3"/>
    </row>
    <row r="864" spans="1:34" ht="14.25" customHeight="1" x14ac:dyDescent="0.25">
      <c r="A864" s="3" t="s">
        <v>132</v>
      </c>
      <c r="B864" s="3" t="s">
        <v>171</v>
      </c>
      <c r="C864" s="3"/>
      <c r="D864" s="3" t="s">
        <v>117</v>
      </c>
      <c r="E864" s="3">
        <v>1</v>
      </c>
      <c r="F864" s="3">
        <v>1</v>
      </c>
      <c r="G864" s="3" t="s">
        <v>1</v>
      </c>
      <c r="H864" s="11">
        <v>45900</v>
      </c>
      <c r="I864" s="3" t="s">
        <v>172</v>
      </c>
      <c r="J864" s="3">
        <v>0</v>
      </c>
      <c r="K864" s="3">
        <f>15+8</f>
        <v>23</v>
      </c>
      <c r="L864" s="3">
        <f>14+5</f>
        <v>19</v>
      </c>
      <c r="M864" s="3">
        <f>8+12</f>
        <v>20</v>
      </c>
      <c r="N864" s="3">
        <v>5</v>
      </c>
      <c r="O864" s="3">
        <f t="shared" ref="O864:O865" si="175">SUM(K864:N864)</f>
        <v>67</v>
      </c>
      <c r="P864" s="3">
        <v>0</v>
      </c>
      <c r="Q864" s="3">
        <v>2</v>
      </c>
      <c r="R864" s="3">
        <v>2</v>
      </c>
      <c r="S864" s="3">
        <v>2</v>
      </c>
      <c r="T864" s="3">
        <v>1</v>
      </c>
      <c r="U864" s="3">
        <f t="shared" si="174"/>
        <v>7</v>
      </c>
      <c r="V864" s="13">
        <f t="shared" si="160"/>
        <v>9.5714285714285712</v>
      </c>
      <c r="W864" s="13">
        <f t="shared" si="165"/>
        <v>9.5714285714285712</v>
      </c>
      <c r="X864" s="3">
        <f t="shared" si="161"/>
        <v>7</v>
      </c>
      <c r="Y864" s="3">
        <f t="shared" si="166"/>
        <v>6.3809523809523802E-2</v>
      </c>
      <c r="Z864" s="3"/>
      <c r="AA864" s="3">
        <f t="shared" ref="AA864:AA866" si="176">15*2*5</f>
        <v>150</v>
      </c>
      <c r="AB864" s="3">
        <v>150</v>
      </c>
      <c r="AC864" s="3" t="s">
        <v>82</v>
      </c>
      <c r="AD864" s="3" t="s">
        <v>83</v>
      </c>
      <c r="AE864" s="3">
        <v>15</v>
      </c>
      <c r="AF864" s="3" t="s">
        <v>151</v>
      </c>
      <c r="AG864" s="3" t="s">
        <v>322</v>
      </c>
      <c r="AH864" s="3"/>
    </row>
    <row r="865" spans="1:34" ht="14.25" customHeight="1" x14ac:dyDescent="0.25">
      <c r="A865" s="3" t="s">
        <v>132</v>
      </c>
      <c r="B865" s="3" t="s">
        <v>171</v>
      </c>
      <c r="C865" s="3"/>
      <c r="D865" s="3" t="s">
        <v>117</v>
      </c>
      <c r="E865" s="3">
        <v>1</v>
      </c>
      <c r="F865" s="3">
        <v>1</v>
      </c>
      <c r="G865" s="3" t="s">
        <v>3</v>
      </c>
      <c r="H865" s="11">
        <v>45900</v>
      </c>
      <c r="I865" s="3" t="s">
        <v>172</v>
      </c>
      <c r="J865" s="3">
        <v>0</v>
      </c>
      <c r="K865" s="3">
        <f>15+12</f>
        <v>27</v>
      </c>
      <c r="L865" s="3">
        <f>11+2</f>
        <v>13</v>
      </c>
      <c r="M865" s="3">
        <f>12+16</f>
        <v>28</v>
      </c>
      <c r="N865" s="3">
        <v>6</v>
      </c>
      <c r="O865" s="3">
        <f t="shared" si="175"/>
        <v>74</v>
      </c>
      <c r="P865" s="3">
        <v>0</v>
      </c>
      <c r="Q865" s="3">
        <v>2</v>
      </c>
      <c r="R865" s="3">
        <v>2</v>
      </c>
      <c r="S865" s="3">
        <v>2</v>
      </c>
      <c r="T865" s="3">
        <v>1</v>
      </c>
      <c r="U865" s="3">
        <f t="shared" si="174"/>
        <v>7</v>
      </c>
      <c r="V865" s="13">
        <f t="shared" si="160"/>
        <v>10.571428571428571</v>
      </c>
      <c r="W865" s="13">
        <f t="shared" si="165"/>
        <v>10.571428571428571</v>
      </c>
      <c r="X865" s="3">
        <f t="shared" si="161"/>
        <v>7</v>
      </c>
      <c r="Y865" s="3">
        <f t="shared" si="166"/>
        <v>7.047619047619047E-2</v>
      </c>
      <c r="Z865" s="3"/>
      <c r="AA865" s="3">
        <f t="shared" si="176"/>
        <v>150</v>
      </c>
      <c r="AB865" s="3">
        <v>150</v>
      </c>
      <c r="AC865" s="3" t="s">
        <v>82</v>
      </c>
      <c r="AD865" s="3" t="s">
        <v>83</v>
      </c>
      <c r="AE865" s="3">
        <v>15</v>
      </c>
      <c r="AF865" s="3" t="s">
        <v>151</v>
      </c>
      <c r="AG865" s="3" t="s">
        <v>322</v>
      </c>
      <c r="AH865" s="3"/>
    </row>
    <row r="866" spans="1:34" ht="14.25" customHeight="1" x14ac:dyDescent="0.25">
      <c r="A866" s="3" t="s">
        <v>132</v>
      </c>
      <c r="B866" s="3" t="s">
        <v>171</v>
      </c>
      <c r="C866" s="3"/>
      <c r="D866" s="3" t="s">
        <v>117</v>
      </c>
      <c r="E866" s="3">
        <v>1</v>
      </c>
      <c r="F866" s="3">
        <v>1</v>
      </c>
      <c r="G866" s="3" t="s">
        <v>14</v>
      </c>
      <c r="H866" s="11">
        <v>45900</v>
      </c>
      <c r="I866" s="3" t="s">
        <v>172</v>
      </c>
      <c r="J866" s="3">
        <v>0</v>
      </c>
      <c r="K866" s="3">
        <v>12</v>
      </c>
      <c r="L866" s="3">
        <v>7</v>
      </c>
      <c r="M866" s="3">
        <v>0</v>
      </c>
      <c r="N866" s="3">
        <v>0</v>
      </c>
      <c r="O866" s="3">
        <f t="shared" ref="O866:O910" si="177">SUM(J866:N866)</f>
        <v>19</v>
      </c>
      <c r="P866" s="3">
        <v>0</v>
      </c>
      <c r="Q866" s="3">
        <v>2</v>
      </c>
      <c r="R866" s="3">
        <v>2</v>
      </c>
      <c r="S866" s="3">
        <v>2</v>
      </c>
      <c r="T866" s="3">
        <v>1</v>
      </c>
      <c r="U866" s="3">
        <f t="shared" si="174"/>
        <v>7</v>
      </c>
      <c r="V866" s="13">
        <f t="shared" si="160"/>
        <v>2.7142857142857144</v>
      </c>
      <c r="W866" s="13">
        <f t="shared" si="165"/>
        <v>2.7142857142857144</v>
      </c>
      <c r="X866" s="3">
        <f t="shared" si="161"/>
        <v>7</v>
      </c>
      <c r="Y866" s="3">
        <f t="shared" si="166"/>
        <v>1.8095238095238095E-2</v>
      </c>
      <c r="Z866" s="3"/>
      <c r="AA866" s="3">
        <f t="shared" si="176"/>
        <v>150</v>
      </c>
      <c r="AB866" s="3">
        <v>150</v>
      </c>
      <c r="AC866" s="3" t="s">
        <v>82</v>
      </c>
      <c r="AD866" s="3" t="s">
        <v>83</v>
      </c>
      <c r="AE866" s="3">
        <v>15</v>
      </c>
      <c r="AF866" s="3" t="s">
        <v>151</v>
      </c>
      <c r="AG866" s="3" t="s">
        <v>322</v>
      </c>
      <c r="AH866" s="3"/>
    </row>
    <row r="867" spans="1:34" ht="14.25" customHeight="1" x14ac:dyDescent="0.25">
      <c r="A867" s="3" t="s">
        <v>169</v>
      </c>
      <c r="B867" s="3" t="s">
        <v>171</v>
      </c>
      <c r="C867" s="3"/>
      <c r="D867" s="3" t="s">
        <v>117</v>
      </c>
      <c r="E867" s="3">
        <v>1</v>
      </c>
      <c r="F867" s="3">
        <v>1</v>
      </c>
      <c r="G867" s="3" t="s">
        <v>1</v>
      </c>
      <c r="H867" s="11">
        <v>45900</v>
      </c>
      <c r="I867" s="3" t="s">
        <v>172</v>
      </c>
      <c r="J867" s="3">
        <v>0</v>
      </c>
      <c r="K867" s="3">
        <f>8+10</f>
        <v>18</v>
      </c>
      <c r="L867" s="3">
        <v>0</v>
      </c>
      <c r="M867" s="3">
        <f>6+8+11</f>
        <v>25</v>
      </c>
      <c r="N867" s="3">
        <v>0</v>
      </c>
      <c r="O867" s="3">
        <f t="shared" si="177"/>
        <v>43</v>
      </c>
      <c r="P867" s="3">
        <v>0</v>
      </c>
      <c r="Q867" s="3">
        <v>2</v>
      </c>
      <c r="R867" s="3">
        <v>0</v>
      </c>
      <c r="S867" s="3">
        <v>3</v>
      </c>
      <c r="T867" s="3">
        <v>0</v>
      </c>
      <c r="U867" s="3">
        <f t="shared" si="174"/>
        <v>5</v>
      </c>
      <c r="V867" s="13">
        <f t="shared" si="160"/>
        <v>8.6</v>
      </c>
      <c r="W867" s="13">
        <f t="shared" si="165"/>
        <v>8.6</v>
      </c>
      <c r="X867" s="3">
        <f t="shared" si="161"/>
        <v>5</v>
      </c>
      <c r="Y867" s="3">
        <f t="shared" si="166"/>
        <v>8.5999999999999993E-2</v>
      </c>
      <c r="Z867" s="3"/>
      <c r="AA867" s="3">
        <f t="shared" ref="AA867:AA877" si="178">10*2*5</f>
        <v>100</v>
      </c>
      <c r="AB867" s="3">
        <v>120</v>
      </c>
      <c r="AC867" s="3" t="s">
        <v>82</v>
      </c>
      <c r="AD867" s="3" t="s">
        <v>83</v>
      </c>
      <c r="AE867" s="3">
        <v>15</v>
      </c>
      <c r="AF867" s="3" t="s">
        <v>151</v>
      </c>
      <c r="AG867" s="3" t="s">
        <v>322</v>
      </c>
      <c r="AH867" s="3"/>
    </row>
    <row r="868" spans="1:34" ht="14.25" customHeight="1" x14ac:dyDescent="0.25">
      <c r="A868" s="3" t="s">
        <v>169</v>
      </c>
      <c r="B868" s="3" t="s">
        <v>171</v>
      </c>
      <c r="C868" s="3"/>
      <c r="D868" s="3" t="s">
        <v>117</v>
      </c>
      <c r="E868" s="3">
        <v>1</v>
      </c>
      <c r="F868" s="3">
        <v>1</v>
      </c>
      <c r="G868" s="3" t="s">
        <v>3</v>
      </c>
      <c r="H868" s="11">
        <v>45900</v>
      </c>
      <c r="I868" s="3" t="s">
        <v>172</v>
      </c>
      <c r="J868" s="3">
        <v>0</v>
      </c>
      <c r="K868" s="3">
        <f>11+9</f>
        <v>20</v>
      </c>
      <c r="L868" s="3">
        <v>0</v>
      </c>
      <c r="M868" s="3">
        <f>5+11+14</f>
        <v>30</v>
      </c>
      <c r="N868" s="3">
        <v>0</v>
      </c>
      <c r="O868" s="3">
        <f t="shared" si="177"/>
        <v>50</v>
      </c>
      <c r="P868" s="3">
        <v>0</v>
      </c>
      <c r="Q868" s="3">
        <v>2</v>
      </c>
      <c r="R868" s="3">
        <v>0</v>
      </c>
      <c r="S868" s="3">
        <v>3</v>
      </c>
      <c r="T868" s="3">
        <v>0</v>
      </c>
      <c r="U868" s="3">
        <f t="shared" si="174"/>
        <v>5</v>
      </c>
      <c r="V868" s="13">
        <f t="shared" si="160"/>
        <v>10</v>
      </c>
      <c r="W868" s="13">
        <f t="shared" si="165"/>
        <v>10</v>
      </c>
      <c r="X868" s="3">
        <f t="shared" si="161"/>
        <v>5</v>
      </c>
      <c r="Y868" s="3">
        <f t="shared" si="166"/>
        <v>0.1</v>
      </c>
      <c r="Z868" s="3"/>
      <c r="AA868" s="3">
        <f t="shared" si="178"/>
        <v>100</v>
      </c>
      <c r="AB868" s="3">
        <v>120</v>
      </c>
      <c r="AC868" s="3" t="s">
        <v>82</v>
      </c>
      <c r="AD868" s="3" t="s">
        <v>83</v>
      </c>
      <c r="AE868" s="3">
        <v>15</v>
      </c>
      <c r="AF868" s="3" t="s">
        <v>151</v>
      </c>
      <c r="AG868" s="3" t="s">
        <v>322</v>
      </c>
      <c r="AH868" s="3"/>
    </row>
    <row r="869" spans="1:34" ht="14.25" customHeight="1" x14ac:dyDescent="0.25">
      <c r="A869" s="3" t="s">
        <v>169</v>
      </c>
      <c r="B869" s="3" t="s">
        <v>171</v>
      </c>
      <c r="C869" s="3"/>
      <c r="D869" s="3" t="s">
        <v>117</v>
      </c>
      <c r="E869" s="3">
        <v>1</v>
      </c>
      <c r="F869" s="3">
        <v>1</v>
      </c>
      <c r="G869" s="3" t="s">
        <v>14</v>
      </c>
      <c r="H869" s="11">
        <v>45900</v>
      </c>
      <c r="I869" s="3" t="s">
        <v>172</v>
      </c>
      <c r="J869" s="3">
        <v>0</v>
      </c>
      <c r="K869" s="3">
        <v>5</v>
      </c>
      <c r="L869" s="3">
        <v>0</v>
      </c>
      <c r="M869" s="3">
        <v>0</v>
      </c>
      <c r="N869" s="3">
        <v>0</v>
      </c>
      <c r="O869" s="3">
        <f t="shared" si="177"/>
        <v>5</v>
      </c>
      <c r="P869" s="3">
        <v>0</v>
      </c>
      <c r="Q869" s="3">
        <v>2</v>
      </c>
      <c r="R869" s="3">
        <v>0</v>
      </c>
      <c r="S869" s="3">
        <v>3</v>
      </c>
      <c r="T869" s="3">
        <v>0</v>
      </c>
      <c r="U869" s="3">
        <f t="shared" si="174"/>
        <v>5</v>
      </c>
      <c r="V869" s="13">
        <f t="shared" si="160"/>
        <v>1</v>
      </c>
      <c r="W869" s="13">
        <f t="shared" si="165"/>
        <v>1</v>
      </c>
      <c r="X869" s="3">
        <f t="shared" si="161"/>
        <v>5</v>
      </c>
      <c r="Y869" s="3">
        <f t="shared" si="166"/>
        <v>0.01</v>
      </c>
      <c r="Z869" s="3"/>
      <c r="AA869" s="3">
        <f t="shared" si="178"/>
        <v>100</v>
      </c>
      <c r="AB869" s="3">
        <v>120</v>
      </c>
      <c r="AC869" s="3" t="s">
        <v>82</v>
      </c>
      <c r="AD869" s="3" t="s">
        <v>83</v>
      </c>
      <c r="AE869" s="3">
        <v>15</v>
      </c>
      <c r="AF869" s="3" t="s">
        <v>151</v>
      </c>
      <c r="AG869" s="3" t="s">
        <v>322</v>
      </c>
      <c r="AH869" s="3"/>
    </row>
    <row r="870" spans="1:34" ht="14.25" customHeight="1" x14ac:dyDescent="0.25">
      <c r="A870" s="3" t="s">
        <v>127</v>
      </c>
      <c r="B870" s="3" t="s">
        <v>171</v>
      </c>
      <c r="C870" s="3"/>
      <c r="D870" s="3" t="s">
        <v>117</v>
      </c>
      <c r="E870" s="3">
        <v>1</v>
      </c>
      <c r="F870" s="3">
        <v>1</v>
      </c>
      <c r="G870" s="3" t="s">
        <v>1</v>
      </c>
      <c r="H870" s="11">
        <v>45900</v>
      </c>
      <c r="I870" s="3" t="s">
        <v>172</v>
      </c>
      <c r="J870" s="3">
        <v>8</v>
      </c>
      <c r="K870" s="3">
        <f>15+11</f>
        <v>26</v>
      </c>
      <c r="L870" s="3">
        <v>0</v>
      </c>
      <c r="M870" s="3">
        <f>15+8*5</f>
        <v>55</v>
      </c>
      <c r="N870" s="3">
        <v>0</v>
      </c>
      <c r="O870" s="3">
        <f t="shared" si="177"/>
        <v>89</v>
      </c>
      <c r="P870" s="3">
        <v>1</v>
      </c>
      <c r="Q870" s="3">
        <v>2</v>
      </c>
      <c r="R870" s="3">
        <v>0</v>
      </c>
      <c r="S870" s="3">
        <v>3</v>
      </c>
      <c r="T870" s="3">
        <v>0</v>
      </c>
      <c r="U870" s="3">
        <f t="shared" si="174"/>
        <v>6</v>
      </c>
      <c r="V870" s="13">
        <f t="shared" si="160"/>
        <v>14.833333333333334</v>
      </c>
      <c r="W870" s="13">
        <f t="shared" si="165"/>
        <v>14.833333333333334</v>
      </c>
      <c r="X870" s="3">
        <f t="shared" si="161"/>
        <v>6</v>
      </c>
      <c r="Y870" s="3">
        <f t="shared" si="166"/>
        <v>0.14833333333333334</v>
      </c>
      <c r="Z870" s="3"/>
      <c r="AA870" s="3">
        <f t="shared" si="178"/>
        <v>100</v>
      </c>
      <c r="AB870" s="3">
        <v>130</v>
      </c>
      <c r="AC870" s="3" t="s">
        <v>82</v>
      </c>
      <c r="AD870" s="3" t="s">
        <v>83</v>
      </c>
      <c r="AE870" s="3">
        <v>40</v>
      </c>
      <c r="AF870" s="3" t="s">
        <v>151</v>
      </c>
      <c r="AG870" s="3" t="s">
        <v>323</v>
      </c>
      <c r="AH870" s="3"/>
    </row>
    <row r="871" spans="1:34" ht="14.25" customHeight="1" x14ac:dyDescent="0.25">
      <c r="A871" s="3" t="s">
        <v>127</v>
      </c>
      <c r="B871" s="3" t="s">
        <v>171</v>
      </c>
      <c r="C871" s="3"/>
      <c r="D871" s="3" t="s">
        <v>117</v>
      </c>
      <c r="E871" s="3">
        <v>1</v>
      </c>
      <c r="F871" s="3">
        <v>1</v>
      </c>
      <c r="G871" s="3" t="s">
        <v>3</v>
      </c>
      <c r="H871" s="11">
        <v>45900</v>
      </c>
      <c r="I871" s="3" t="s">
        <v>172</v>
      </c>
      <c r="J871" s="3">
        <v>0</v>
      </c>
      <c r="K871" s="3">
        <f>8+10</f>
        <v>18</v>
      </c>
      <c r="L871" s="3">
        <v>0</v>
      </c>
      <c r="M871" s="3">
        <f>5+9+18</f>
        <v>32</v>
      </c>
      <c r="N871" s="3">
        <v>0</v>
      </c>
      <c r="O871" s="3">
        <f t="shared" si="177"/>
        <v>50</v>
      </c>
      <c r="P871" s="3">
        <v>1</v>
      </c>
      <c r="Q871" s="3">
        <v>2</v>
      </c>
      <c r="R871" s="3">
        <v>0</v>
      </c>
      <c r="S871" s="3">
        <v>3</v>
      </c>
      <c r="T871" s="3">
        <v>0</v>
      </c>
      <c r="U871" s="3">
        <f t="shared" si="174"/>
        <v>6</v>
      </c>
      <c r="V871" s="13">
        <f t="shared" si="160"/>
        <v>8.3333333333333339</v>
      </c>
      <c r="W871" s="13">
        <f t="shared" si="165"/>
        <v>8.3333333333333339</v>
      </c>
      <c r="X871" s="3">
        <f t="shared" si="161"/>
        <v>6</v>
      </c>
      <c r="Y871" s="3">
        <f t="shared" si="166"/>
        <v>8.3333333333333343E-2</v>
      </c>
      <c r="Z871" s="3"/>
      <c r="AA871" s="3">
        <f t="shared" si="178"/>
        <v>100</v>
      </c>
      <c r="AB871" s="3">
        <v>130</v>
      </c>
      <c r="AC871" s="3" t="s">
        <v>82</v>
      </c>
      <c r="AD871" s="3" t="s">
        <v>83</v>
      </c>
      <c r="AE871" s="3">
        <v>40</v>
      </c>
      <c r="AF871" s="3" t="s">
        <v>151</v>
      </c>
      <c r="AG871" s="3" t="s">
        <v>323</v>
      </c>
      <c r="AH871" s="3"/>
    </row>
    <row r="872" spans="1:34" ht="14.25" customHeight="1" x14ac:dyDescent="0.25">
      <c r="A872" s="3" t="s">
        <v>127</v>
      </c>
      <c r="B872" s="3" t="s">
        <v>171</v>
      </c>
      <c r="C872" s="3"/>
      <c r="D872" s="3" t="s">
        <v>117</v>
      </c>
      <c r="E872" s="3">
        <v>1</v>
      </c>
      <c r="F872" s="3">
        <v>1</v>
      </c>
      <c r="G872" s="3" t="s">
        <v>16</v>
      </c>
      <c r="H872" s="11">
        <v>45900</v>
      </c>
      <c r="I872" s="3" t="s">
        <v>172</v>
      </c>
      <c r="J872" s="3">
        <v>0</v>
      </c>
      <c r="K872" s="3">
        <v>5</v>
      </c>
      <c r="L872" s="3">
        <v>0</v>
      </c>
      <c r="M872" s="3">
        <v>3</v>
      </c>
      <c r="N872" s="3">
        <v>0</v>
      </c>
      <c r="O872" s="3">
        <f t="shared" si="177"/>
        <v>8</v>
      </c>
      <c r="P872" s="3">
        <v>1</v>
      </c>
      <c r="Q872" s="3">
        <v>2</v>
      </c>
      <c r="R872" s="3">
        <v>0</v>
      </c>
      <c r="S872" s="3">
        <v>3</v>
      </c>
      <c r="T872" s="3">
        <v>0</v>
      </c>
      <c r="U872" s="3">
        <f t="shared" si="174"/>
        <v>6</v>
      </c>
      <c r="V872" s="13">
        <f t="shared" si="160"/>
        <v>1.3333333333333333</v>
      </c>
      <c r="W872" s="13">
        <f t="shared" si="165"/>
        <v>1.3333333333333333</v>
      </c>
      <c r="X872" s="3">
        <f t="shared" si="161"/>
        <v>6</v>
      </c>
      <c r="Y872" s="3">
        <f t="shared" si="166"/>
        <v>1.3333333333333332E-2</v>
      </c>
      <c r="Z872" s="3"/>
      <c r="AA872" s="3">
        <f t="shared" si="178"/>
        <v>100</v>
      </c>
      <c r="AB872" s="3">
        <v>130</v>
      </c>
      <c r="AC872" s="3" t="s">
        <v>82</v>
      </c>
      <c r="AD872" s="3" t="s">
        <v>83</v>
      </c>
      <c r="AE872" s="3">
        <v>40</v>
      </c>
      <c r="AF872" s="3" t="s">
        <v>151</v>
      </c>
      <c r="AG872" s="3" t="s">
        <v>323</v>
      </c>
      <c r="AH872" s="3"/>
    </row>
    <row r="873" spans="1:34" ht="14.25" customHeight="1" x14ac:dyDescent="0.25">
      <c r="A873" s="3" t="s">
        <v>127</v>
      </c>
      <c r="B873" s="3" t="s">
        <v>171</v>
      </c>
      <c r="C873" s="3"/>
      <c r="D873" s="3" t="s">
        <v>117</v>
      </c>
      <c r="E873" s="3">
        <v>1</v>
      </c>
      <c r="F873" s="3">
        <v>1</v>
      </c>
      <c r="G873" s="3" t="s">
        <v>18</v>
      </c>
      <c r="H873" s="11">
        <v>45900</v>
      </c>
      <c r="I873" s="3" t="s">
        <v>172</v>
      </c>
      <c r="J873" s="3">
        <v>0</v>
      </c>
      <c r="K873" s="3">
        <v>8</v>
      </c>
      <c r="L873" s="3">
        <v>0</v>
      </c>
      <c r="M873" s="3">
        <f>5+9</f>
        <v>14</v>
      </c>
      <c r="N873" s="3">
        <v>0</v>
      </c>
      <c r="O873" s="3">
        <f t="shared" si="177"/>
        <v>22</v>
      </c>
      <c r="P873" s="3">
        <v>1</v>
      </c>
      <c r="Q873" s="3">
        <v>2</v>
      </c>
      <c r="R873" s="3">
        <v>0</v>
      </c>
      <c r="S873" s="3">
        <v>3</v>
      </c>
      <c r="T873" s="3">
        <v>0</v>
      </c>
      <c r="U873" s="3">
        <f t="shared" si="174"/>
        <v>6</v>
      </c>
      <c r="V873" s="13">
        <f t="shared" si="160"/>
        <v>3.6666666666666665</v>
      </c>
      <c r="W873" s="13">
        <f t="shared" si="165"/>
        <v>3.6666666666666665</v>
      </c>
      <c r="X873" s="3">
        <f t="shared" si="161"/>
        <v>6</v>
      </c>
      <c r="Y873" s="3">
        <f t="shared" si="166"/>
        <v>3.6666666666666667E-2</v>
      </c>
      <c r="Z873" s="3"/>
      <c r="AA873" s="3">
        <f t="shared" si="178"/>
        <v>100</v>
      </c>
      <c r="AB873" s="3">
        <v>130</v>
      </c>
      <c r="AC873" s="3" t="s">
        <v>82</v>
      </c>
      <c r="AD873" s="3" t="s">
        <v>83</v>
      </c>
      <c r="AE873" s="3">
        <v>40</v>
      </c>
      <c r="AF873" s="3" t="s">
        <v>151</v>
      </c>
      <c r="AG873" s="3" t="s">
        <v>323</v>
      </c>
      <c r="AH873" s="3"/>
    </row>
    <row r="874" spans="1:34" ht="14.25" customHeight="1" x14ac:dyDescent="0.25">
      <c r="A874" s="3" t="s">
        <v>165</v>
      </c>
      <c r="B874" s="3" t="s">
        <v>171</v>
      </c>
      <c r="C874" s="3"/>
      <c r="D874" s="3" t="s">
        <v>117</v>
      </c>
      <c r="E874" s="3">
        <v>1</v>
      </c>
      <c r="F874" s="3">
        <v>1</v>
      </c>
      <c r="G874" s="3" t="s">
        <v>1</v>
      </c>
      <c r="H874" s="11">
        <v>45900</v>
      </c>
      <c r="I874" s="3" t="s">
        <v>172</v>
      </c>
      <c r="J874" s="3">
        <v>0</v>
      </c>
      <c r="K874" s="3">
        <v>6</v>
      </c>
      <c r="L874" s="3">
        <v>0</v>
      </c>
      <c r="M874" s="3">
        <f>20+16+15</f>
        <v>51</v>
      </c>
      <c r="N874" s="3">
        <v>8</v>
      </c>
      <c r="O874" s="3">
        <f t="shared" si="177"/>
        <v>65</v>
      </c>
      <c r="P874" s="3">
        <v>0</v>
      </c>
      <c r="Q874" s="3">
        <v>1</v>
      </c>
      <c r="R874" s="3">
        <v>2</v>
      </c>
      <c r="S874" s="3">
        <v>3</v>
      </c>
      <c r="T874" s="3">
        <v>1</v>
      </c>
      <c r="U874" s="3">
        <f t="shared" si="174"/>
        <v>7</v>
      </c>
      <c r="V874" s="13">
        <f t="shared" si="160"/>
        <v>9.2857142857142865</v>
      </c>
      <c r="W874" s="13">
        <f t="shared" si="165"/>
        <v>9.2857142857142865</v>
      </c>
      <c r="X874" s="3">
        <f t="shared" si="161"/>
        <v>7</v>
      </c>
      <c r="Y874" s="3">
        <f t="shared" si="166"/>
        <v>9.285714285714286E-2</v>
      </c>
      <c r="Z874" s="3"/>
      <c r="AA874" s="3">
        <f t="shared" si="178"/>
        <v>100</v>
      </c>
      <c r="AB874" s="3">
        <v>150</v>
      </c>
      <c r="AC874" s="3" t="s">
        <v>82</v>
      </c>
      <c r="AD874" s="3" t="s">
        <v>83</v>
      </c>
      <c r="AE874" s="3">
        <v>15</v>
      </c>
      <c r="AF874" s="3" t="s">
        <v>151</v>
      </c>
      <c r="AG874" s="3" t="s">
        <v>324</v>
      </c>
      <c r="AH874" s="3"/>
    </row>
    <row r="875" spans="1:34" ht="14.25" customHeight="1" x14ac:dyDescent="0.25">
      <c r="A875" s="3" t="s">
        <v>165</v>
      </c>
      <c r="B875" s="3" t="s">
        <v>171</v>
      </c>
      <c r="C875" s="3"/>
      <c r="D875" s="3" t="s">
        <v>117</v>
      </c>
      <c r="E875" s="3">
        <v>1</v>
      </c>
      <c r="F875" s="3">
        <v>1</v>
      </c>
      <c r="G875" s="3" t="s">
        <v>3</v>
      </c>
      <c r="H875" s="11">
        <v>45900</v>
      </c>
      <c r="I875" s="3" t="s">
        <v>172</v>
      </c>
      <c r="J875" s="3">
        <v>0</v>
      </c>
      <c r="K875" s="3">
        <v>0</v>
      </c>
      <c r="L875" s="3">
        <v>0</v>
      </c>
      <c r="M875" s="3">
        <f>11+5+6</f>
        <v>22</v>
      </c>
      <c r="N875" s="3">
        <v>0</v>
      </c>
      <c r="O875" s="3">
        <f t="shared" si="177"/>
        <v>22</v>
      </c>
      <c r="P875" s="3">
        <v>0</v>
      </c>
      <c r="Q875" s="3">
        <v>1</v>
      </c>
      <c r="R875" s="3">
        <v>2</v>
      </c>
      <c r="S875" s="3">
        <v>3</v>
      </c>
      <c r="T875" s="3">
        <v>1</v>
      </c>
      <c r="U875" s="3">
        <f t="shared" si="174"/>
        <v>7</v>
      </c>
      <c r="V875" s="13">
        <f t="shared" si="160"/>
        <v>3.1428571428571428</v>
      </c>
      <c r="W875" s="13">
        <f t="shared" si="165"/>
        <v>3.1428571428571428</v>
      </c>
      <c r="X875" s="3">
        <f t="shared" si="161"/>
        <v>7</v>
      </c>
      <c r="Y875" s="3">
        <f t="shared" si="166"/>
        <v>3.1428571428571431E-2</v>
      </c>
      <c r="Z875" s="3"/>
      <c r="AA875" s="3">
        <f t="shared" si="178"/>
        <v>100</v>
      </c>
      <c r="AB875" s="3">
        <v>150</v>
      </c>
      <c r="AC875" s="3" t="s">
        <v>82</v>
      </c>
      <c r="AD875" s="3" t="s">
        <v>83</v>
      </c>
      <c r="AE875" s="3">
        <v>15</v>
      </c>
      <c r="AF875" s="3" t="s">
        <v>151</v>
      </c>
      <c r="AG875" s="3" t="s">
        <v>324</v>
      </c>
      <c r="AH875" s="3"/>
    </row>
    <row r="876" spans="1:34" ht="14.25" customHeight="1" x14ac:dyDescent="0.25">
      <c r="A876" s="3" t="s">
        <v>165</v>
      </c>
      <c r="B876" s="3" t="s">
        <v>171</v>
      </c>
      <c r="C876" s="3"/>
      <c r="D876" s="3" t="s">
        <v>117</v>
      </c>
      <c r="E876" s="3">
        <v>1</v>
      </c>
      <c r="F876" s="3">
        <v>1</v>
      </c>
      <c r="G876" s="3" t="s">
        <v>19</v>
      </c>
      <c r="H876" s="11">
        <v>45900</v>
      </c>
      <c r="I876" s="3" t="s">
        <v>172</v>
      </c>
      <c r="J876" s="3">
        <v>0</v>
      </c>
      <c r="K876" s="3">
        <v>0</v>
      </c>
      <c r="L876" s="3">
        <v>0</v>
      </c>
      <c r="M876" s="3">
        <f>8+5</f>
        <v>13</v>
      </c>
      <c r="N876" s="3">
        <v>0</v>
      </c>
      <c r="O876" s="3">
        <f t="shared" si="177"/>
        <v>13</v>
      </c>
      <c r="P876" s="3">
        <v>0</v>
      </c>
      <c r="Q876" s="3">
        <v>1</v>
      </c>
      <c r="R876" s="3">
        <v>2</v>
      </c>
      <c r="S876" s="3">
        <v>3</v>
      </c>
      <c r="T876" s="3">
        <v>1</v>
      </c>
      <c r="U876" s="3">
        <f t="shared" si="174"/>
        <v>7</v>
      </c>
      <c r="V876" s="13">
        <f t="shared" si="160"/>
        <v>1.8571428571428572</v>
      </c>
      <c r="W876" s="13">
        <f t="shared" si="165"/>
        <v>1.8571428571428572</v>
      </c>
      <c r="X876" s="3">
        <f t="shared" si="161"/>
        <v>7</v>
      </c>
      <c r="Y876" s="3">
        <f t="shared" si="166"/>
        <v>1.8571428571428572E-2</v>
      </c>
      <c r="Z876" s="3"/>
      <c r="AA876" s="3">
        <f t="shared" si="178"/>
        <v>100</v>
      </c>
      <c r="AB876" s="3">
        <v>150</v>
      </c>
      <c r="AC876" s="3" t="s">
        <v>82</v>
      </c>
      <c r="AD876" s="3" t="s">
        <v>83</v>
      </c>
      <c r="AE876" s="3">
        <v>15</v>
      </c>
      <c r="AF876" s="3" t="s">
        <v>151</v>
      </c>
      <c r="AG876" s="3" t="s">
        <v>324</v>
      </c>
      <c r="AH876" s="3"/>
    </row>
    <row r="877" spans="1:34" ht="14.25" customHeight="1" x14ac:dyDescent="0.25">
      <c r="A877" s="3" t="s">
        <v>165</v>
      </c>
      <c r="B877" s="3" t="s">
        <v>171</v>
      </c>
      <c r="C877" s="3"/>
      <c r="D877" s="3" t="s">
        <v>117</v>
      </c>
      <c r="E877" s="3">
        <v>1</v>
      </c>
      <c r="F877" s="3">
        <v>1</v>
      </c>
      <c r="G877" s="3" t="s">
        <v>25</v>
      </c>
      <c r="H877" s="11">
        <v>45900</v>
      </c>
      <c r="I877" s="3" t="s">
        <v>172</v>
      </c>
      <c r="J877" s="3">
        <v>0</v>
      </c>
      <c r="K877" s="3">
        <v>0</v>
      </c>
      <c r="L877" s="3">
        <f>8+11</f>
        <v>19</v>
      </c>
      <c r="M877" s="3">
        <v>0</v>
      </c>
      <c r="N877" s="3">
        <v>0</v>
      </c>
      <c r="O877" s="3">
        <f t="shared" si="177"/>
        <v>19</v>
      </c>
      <c r="P877" s="3">
        <v>0</v>
      </c>
      <c r="Q877" s="3">
        <v>1</v>
      </c>
      <c r="R877" s="3">
        <v>2</v>
      </c>
      <c r="S877" s="3">
        <v>3</v>
      </c>
      <c r="T877" s="3">
        <v>1</v>
      </c>
      <c r="U877" s="3">
        <f t="shared" si="174"/>
        <v>7</v>
      </c>
      <c r="V877" s="13">
        <f t="shared" si="160"/>
        <v>2.7142857142857144</v>
      </c>
      <c r="W877" s="13">
        <f t="shared" si="165"/>
        <v>2.7142857142857144</v>
      </c>
      <c r="X877" s="3">
        <f t="shared" si="161"/>
        <v>7</v>
      </c>
      <c r="Y877" s="3">
        <f t="shared" si="166"/>
        <v>2.7142857142857146E-2</v>
      </c>
      <c r="Z877" s="3"/>
      <c r="AA877" s="3">
        <f t="shared" si="178"/>
        <v>100</v>
      </c>
      <c r="AB877" s="3">
        <v>150</v>
      </c>
      <c r="AC877" s="3" t="s">
        <v>82</v>
      </c>
      <c r="AD877" s="3" t="s">
        <v>83</v>
      </c>
      <c r="AE877" s="3">
        <v>15</v>
      </c>
      <c r="AF877" s="3" t="s">
        <v>151</v>
      </c>
      <c r="AG877" s="3" t="s">
        <v>324</v>
      </c>
      <c r="AH877" s="3"/>
    </row>
    <row r="878" spans="1:34" ht="14.25" customHeight="1" x14ac:dyDescent="0.25">
      <c r="A878" s="3" t="s">
        <v>111</v>
      </c>
      <c r="B878" s="3" t="s">
        <v>171</v>
      </c>
      <c r="C878" s="3"/>
      <c r="D878" s="3" t="s">
        <v>101</v>
      </c>
      <c r="E878" s="3">
        <v>4</v>
      </c>
      <c r="F878" s="3">
        <v>1</v>
      </c>
      <c r="G878" s="3" t="s">
        <v>1</v>
      </c>
      <c r="H878" s="11">
        <v>45900</v>
      </c>
      <c r="I878" s="3" t="s">
        <v>172</v>
      </c>
      <c r="J878" s="3">
        <v>0</v>
      </c>
      <c r="K878" s="3">
        <v>0</v>
      </c>
      <c r="L878" s="3">
        <v>0</v>
      </c>
      <c r="M878" s="3">
        <v>14</v>
      </c>
      <c r="N878" s="3">
        <v>0</v>
      </c>
      <c r="O878" s="3">
        <f t="shared" si="177"/>
        <v>14</v>
      </c>
      <c r="P878" s="3">
        <v>2</v>
      </c>
      <c r="Q878" s="3">
        <v>1</v>
      </c>
      <c r="R878" s="3">
        <v>2</v>
      </c>
      <c r="S878" s="3">
        <v>1</v>
      </c>
      <c r="T878" s="3">
        <v>0</v>
      </c>
      <c r="U878" s="3">
        <f t="shared" si="174"/>
        <v>6</v>
      </c>
      <c r="V878" s="13">
        <f t="shared" si="160"/>
        <v>2.3333333333333335</v>
      </c>
      <c r="W878" s="13">
        <f t="shared" si="165"/>
        <v>2.3333333333333335</v>
      </c>
      <c r="X878" s="3">
        <f t="shared" si="161"/>
        <v>6</v>
      </c>
      <c r="Y878" s="3">
        <f t="shared" si="166"/>
        <v>6.4814814814814822E-3</v>
      </c>
      <c r="Z878" s="3"/>
      <c r="AA878" s="3">
        <f t="shared" ref="AA878:AA879" si="179">60*3*2</f>
        <v>360</v>
      </c>
      <c r="AB878" s="3"/>
      <c r="AC878" s="3" t="s">
        <v>82</v>
      </c>
      <c r="AD878" s="3" t="s">
        <v>83</v>
      </c>
      <c r="AE878" s="3">
        <v>50</v>
      </c>
      <c r="AF878" s="3" t="s">
        <v>102</v>
      </c>
      <c r="AG878" s="3" t="s">
        <v>325</v>
      </c>
      <c r="AH878" s="3"/>
    </row>
    <row r="879" spans="1:34" ht="14.25" customHeight="1" x14ac:dyDescent="0.25">
      <c r="A879" s="3" t="s">
        <v>111</v>
      </c>
      <c r="B879" s="3" t="s">
        <v>171</v>
      </c>
      <c r="C879" s="3"/>
      <c r="D879" s="3" t="s">
        <v>101</v>
      </c>
      <c r="E879" s="3">
        <v>4</v>
      </c>
      <c r="F879" s="3">
        <v>1</v>
      </c>
      <c r="G879" s="3" t="s">
        <v>9</v>
      </c>
      <c r="H879" s="11">
        <v>45900</v>
      </c>
      <c r="I879" s="3" t="s">
        <v>172</v>
      </c>
      <c r="J879" s="3">
        <f>40+60</f>
        <v>100</v>
      </c>
      <c r="K879" s="3">
        <v>80</v>
      </c>
      <c r="L879" s="3">
        <f>103+50</f>
        <v>153</v>
      </c>
      <c r="M879" s="3">
        <v>0</v>
      </c>
      <c r="N879" s="3">
        <v>0</v>
      </c>
      <c r="O879" s="3">
        <f t="shared" si="177"/>
        <v>333</v>
      </c>
      <c r="P879" s="3">
        <v>2</v>
      </c>
      <c r="Q879" s="3">
        <v>1</v>
      </c>
      <c r="R879" s="3">
        <v>2</v>
      </c>
      <c r="S879" s="3">
        <v>1</v>
      </c>
      <c r="T879" s="3">
        <v>0</v>
      </c>
      <c r="U879" s="3">
        <f t="shared" si="174"/>
        <v>6</v>
      </c>
      <c r="V879" s="13">
        <f t="shared" si="160"/>
        <v>55.5</v>
      </c>
      <c r="W879" s="13">
        <f t="shared" si="165"/>
        <v>55.5</v>
      </c>
      <c r="X879" s="3">
        <f t="shared" si="161"/>
        <v>6</v>
      </c>
      <c r="Y879" s="3">
        <f t="shared" si="166"/>
        <v>0.15416666666666667</v>
      </c>
      <c r="Z879" s="3"/>
      <c r="AA879" s="3">
        <f t="shared" si="179"/>
        <v>360</v>
      </c>
      <c r="AB879" s="3"/>
      <c r="AC879" s="3" t="s">
        <v>82</v>
      </c>
      <c r="AD879" s="3" t="s">
        <v>83</v>
      </c>
      <c r="AE879" s="3">
        <v>50</v>
      </c>
      <c r="AF879" s="3" t="s">
        <v>102</v>
      </c>
      <c r="AG879" s="3" t="s">
        <v>325</v>
      </c>
      <c r="AH879" s="3"/>
    </row>
    <row r="880" spans="1:34" ht="14.25" customHeight="1" x14ac:dyDescent="0.25">
      <c r="A880" s="3" t="s">
        <v>104</v>
      </c>
      <c r="B880" s="3" t="s">
        <v>171</v>
      </c>
      <c r="C880" s="3"/>
      <c r="D880" s="3" t="s">
        <v>101</v>
      </c>
      <c r="E880" s="3">
        <v>2</v>
      </c>
      <c r="F880" s="3">
        <v>1</v>
      </c>
      <c r="G880" s="3" t="s">
        <v>1</v>
      </c>
      <c r="H880" s="11">
        <v>45900</v>
      </c>
      <c r="I880" s="3" t="s">
        <v>172</v>
      </c>
      <c r="J880" s="3">
        <f>24+25</f>
        <v>49</v>
      </c>
      <c r="K880" s="3">
        <v>23</v>
      </c>
      <c r="L880" s="3">
        <v>0</v>
      </c>
      <c r="M880" s="3">
        <v>31</v>
      </c>
      <c r="N880" s="3">
        <v>0</v>
      </c>
      <c r="O880" s="3">
        <f t="shared" si="177"/>
        <v>103</v>
      </c>
      <c r="P880" s="3">
        <v>7</v>
      </c>
      <c r="Q880" s="3">
        <v>7</v>
      </c>
      <c r="R880" s="3">
        <v>5</v>
      </c>
      <c r="S880" s="3">
        <v>6</v>
      </c>
      <c r="T880" s="3">
        <v>0</v>
      </c>
      <c r="U880" s="3">
        <f t="shared" si="174"/>
        <v>25</v>
      </c>
      <c r="V880" s="13">
        <f t="shared" si="160"/>
        <v>4.12</v>
      </c>
      <c r="W880" s="13">
        <f t="shared" si="165"/>
        <v>4.12</v>
      </c>
      <c r="X880" s="3">
        <f t="shared" si="161"/>
        <v>25</v>
      </c>
      <c r="Y880" s="3">
        <f t="shared" si="166"/>
        <v>5.2020202020202017E-4</v>
      </c>
      <c r="Z880" s="3"/>
      <c r="AA880" s="3">
        <f t="shared" ref="AA880:AA882" si="180">300*6*4+120*3*2</f>
        <v>7920</v>
      </c>
      <c r="AB880" s="3"/>
      <c r="AC880" s="3" t="s">
        <v>82</v>
      </c>
      <c r="AD880" s="3" t="s">
        <v>83</v>
      </c>
      <c r="AE880" s="3">
        <v>40</v>
      </c>
      <c r="AF880" s="3" t="s">
        <v>102</v>
      </c>
      <c r="AG880" s="3" t="s">
        <v>297</v>
      </c>
      <c r="AH880" s="3"/>
    </row>
    <row r="881" spans="1:34" ht="14.25" customHeight="1" x14ac:dyDescent="0.25">
      <c r="A881" s="3" t="s">
        <v>104</v>
      </c>
      <c r="B881" s="3" t="s">
        <v>171</v>
      </c>
      <c r="C881" s="3"/>
      <c r="D881" s="3" t="s">
        <v>101</v>
      </c>
      <c r="E881" s="3">
        <v>2</v>
      </c>
      <c r="F881" s="3">
        <v>1</v>
      </c>
      <c r="G881" s="3" t="s">
        <v>3</v>
      </c>
      <c r="H881" s="11">
        <v>45900</v>
      </c>
      <c r="I881" s="3" t="s">
        <v>172</v>
      </c>
      <c r="J881" s="3">
        <f>28+27+29+18</f>
        <v>102</v>
      </c>
      <c r="K881" s="3">
        <f>152+25+28+22+33+19</f>
        <v>279</v>
      </c>
      <c r="L881" s="3">
        <f>29+30+24+42</f>
        <v>125</v>
      </c>
      <c r="M881" s="3">
        <f>76+22</f>
        <v>98</v>
      </c>
      <c r="N881" s="3">
        <v>0</v>
      </c>
      <c r="O881" s="3">
        <f t="shared" si="177"/>
        <v>604</v>
      </c>
      <c r="P881" s="3">
        <v>7</v>
      </c>
      <c r="Q881" s="3">
        <v>7</v>
      </c>
      <c r="R881" s="3">
        <v>5</v>
      </c>
      <c r="S881" s="3">
        <v>6</v>
      </c>
      <c r="T881" s="3">
        <v>0</v>
      </c>
      <c r="U881" s="3">
        <f t="shared" si="174"/>
        <v>25</v>
      </c>
      <c r="V881" s="13">
        <f t="shared" si="160"/>
        <v>24.16</v>
      </c>
      <c r="W881" s="13">
        <f t="shared" si="165"/>
        <v>24.16</v>
      </c>
      <c r="X881" s="3">
        <f t="shared" si="161"/>
        <v>25</v>
      </c>
      <c r="Y881" s="3">
        <f t="shared" si="166"/>
        <v>3.0505050505050505E-3</v>
      </c>
      <c r="Z881" s="3"/>
      <c r="AA881" s="3">
        <f t="shared" si="180"/>
        <v>7920</v>
      </c>
      <c r="AB881" s="3"/>
      <c r="AC881" s="3" t="s">
        <v>82</v>
      </c>
      <c r="AD881" s="3" t="s">
        <v>83</v>
      </c>
      <c r="AE881" s="3">
        <v>40</v>
      </c>
      <c r="AF881" s="3" t="s">
        <v>102</v>
      </c>
      <c r="AG881" s="3" t="s">
        <v>297</v>
      </c>
      <c r="AH881" s="3"/>
    </row>
    <row r="882" spans="1:34" ht="14.25" customHeight="1" x14ac:dyDescent="0.25">
      <c r="A882" s="3" t="s">
        <v>104</v>
      </c>
      <c r="B882" s="3" t="s">
        <v>171</v>
      </c>
      <c r="C882" s="3"/>
      <c r="D882" s="3" t="s">
        <v>101</v>
      </c>
      <c r="E882" s="3">
        <v>2</v>
      </c>
      <c r="F882" s="3">
        <v>1</v>
      </c>
      <c r="G882" s="3" t="s">
        <v>9</v>
      </c>
      <c r="H882" s="11">
        <v>45900</v>
      </c>
      <c r="I882" s="3" t="s">
        <v>172</v>
      </c>
      <c r="J882" s="3">
        <f>25+30+29+17</f>
        <v>101</v>
      </c>
      <c r="K882" s="3">
        <v>30</v>
      </c>
      <c r="L882" s="3">
        <v>55</v>
      </c>
      <c r="M882" s="3">
        <f>23+27+24</f>
        <v>74</v>
      </c>
      <c r="N882" s="3">
        <v>0</v>
      </c>
      <c r="O882" s="3">
        <f t="shared" si="177"/>
        <v>260</v>
      </c>
      <c r="P882" s="3">
        <v>7</v>
      </c>
      <c r="Q882" s="3">
        <v>7</v>
      </c>
      <c r="R882" s="3">
        <v>5</v>
      </c>
      <c r="S882" s="3">
        <v>6</v>
      </c>
      <c r="T882" s="3">
        <v>0</v>
      </c>
      <c r="U882" s="3">
        <f t="shared" si="174"/>
        <v>25</v>
      </c>
      <c r="V882" s="13">
        <f t="shared" si="160"/>
        <v>10.4</v>
      </c>
      <c r="W882" s="13">
        <f t="shared" si="165"/>
        <v>10.4</v>
      </c>
      <c r="X882" s="3">
        <f t="shared" si="161"/>
        <v>25</v>
      </c>
      <c r="Y882" s="3">
        <f t="shared" si="166"/>
        <v>1.3131313131313131E-3</v>
      </c>
      <c r="Z882" s="3"/>
      <c r="AA882" s="3">
        <f t="shared" si="180"/>
        <v>7920</v>
      </c>
      <c r="AB882" s="3"/>
      <c r="AC882" s="3" t="s">
        <v>82</v>
      </c>
      <c r="AD882" s="3" t="s">
        <v>83</v>
      </c>
      <c r="AE882" s="3">
        <v>40</v>
      </c>
      <c r="AF882" s="3" t="s">
        <v>102</v>
      </c>
      <c r="AG882" s="3" t="s">
        <v>297</v>
      </c>
      <c r="AH882" s="3"/>
    </row>
    <row r="883" spans="1:34" ht="14.25" customHeight="1" x14ac:dyDescent="0.25">
      <c r="A883" s="3" t="s">
        <v>108</v>
      </c>
      <c r="B883" s="3" t="s">
        <v>171</v>
      </c>
      <c r="C883" s="3"/>
      <c r="D883" s="3" t="s">
        <v>101</v>
      </c>
      <c r="E883" s="3">
        <v>2</v>
      </c>
      <c r="F883" s="3">
        <v>1</v>
      </c>
      <c r="G883" s="3" t="s">
        <v>1</v>
      </c>
      <c r="H883" s="11">
        <v>45900</v>
      </c>
      <c r="I883" s="3" t="s">
        <v>172</v>
      </c>
      <c r="J883" s="3">
        <f>25+15+30</f>
        <v>70</v>
      </c>
      <c r="K883" s="3">
        <f>12+50</f>
        <v>62</v>
      </c>
      <c r="L883" s="3">
        <f>55+33+11</f>
        <v>99</v>
      </c>
      <c r="M883" s="3">
        <f>38+19</f>
        <v>57</v>
      </c>
      <c r="N883" s="3">
        <v>0</v>
      </c>
      <c r="O883" s="3">
        <f t="shared" si="177"/>
        <v>288</v>
      </c>
      <c r="P883" s="3">
        <v>5</v>
      </c>
      <c r="Q883" s="3">
        <v>4</v>
      </c>
      <c r="R883" s="3">
        <v>4</v>
      </c>
      <c r="S883" s="3">
        <v>2</v>
      </c>
      <c r="T883" s="3">
        <v>0</v>
      </c>
      <c r="U883" s="3">
        <f t="shared" si="174"/>
        <v>15</v>
      </c>
      <c r="V883" s="13">
        <f t="shared" si="160"/>
        <v>19.2</v>
      </c>
      <c r="W883" s="13">
        <f t="shared" si="165"/>
        <v>19.2</v>
      </c>
      <c r="X883" s="3">
        <f t="shared" si="161"/>
        <v>15</v>
      </c>
      <c r="Y883" s="3">
        <f t="shared" si="166"/>
        <v>2.3703703703703703E-2</v>
      </c>
      <c r="Z883" s="3"/>
      <c r="AA883" s="3">
        <f t="shared" ref="AA883:AA885" si="181">30*3*5+20*3*6</f>
        <v>810</v>
      </c>
      <c r="AB883" s="3"/>
      <c r="AC883" s="3" t="s">
        <v>82</v>
      </c>
      <c r="AD883" s="3" t="s">
        <v>83</v>
      </c>
      <c r="AE883" s="3">
        <v>25</v>
      </c>
      <c r="AF883" s="3" t="s">
        <v>102</v>
      </c>
      <c r="AG883" s="3" t="s">
        <v>297</v>
      </c>
      <c r="AH883" s="3"/>
    </row>
    <row r="884" spans="1:34" ht="14.25" customHeight="1" x14ac:dyDescent="0.25">
      <c r="A884" s="3" t="s">
        <v>108</v>
      </c>
      <c r="B884" s="3" t="s">
        <v>171</v>
      </c>
      <c r="C884" s="3"/>
      <c r="D884" s="3" t="s">
        <v>101</v>
      </c>
      <c r="E884" s="3">
        <v>2</v>
      </c>
      <c r="F884" s="3">
        <v>1</v>
      </c>
      <c r="G884" s="3" t="s">
        <v>2</v>
      </c>
      <c r="H884" s="11">
        <v>45900</v>
      </c>
      <c r="I884" s="3" t="s">
        <v>172</v>
      </c>
      <c r="J884" s="3">
        <v>9</v>
      </c>
      <c r="K884" s="3">
        <v>11</v>
      </c>
      <c r="L884" s="3">
        <v>0</v>
      </c>
      <c r="M884" s="3">
        <v>0</v>
      </c>
      <c r="N884" s="3">
        <v>0</v>
      </c>
      <c r="O884" s="3">
        <f t="shared" si="177"/>
        <v>20</v>
      </c>
      <c r="P884" s="3">
        <v>5</v>
      </c>
      <c r="Q884" s="3">
        <v>4</v>
      </c>
      <c r="R884" s="3">
        <v>4</v>
      </c>
      <c r="S884" s="3">
        <v>2</v>
      </c>
      <c r="T884" s="3">
        <v>0</v>
      </c>
      <c r="U884" s="3">
        <f t="shared" si="174"/>
        <v>15</v>
      </c>
      <c r="V884" s="13">
        <f t="shared" si="160"/>
        <v>1.3333333333333333</v>
      </c>
      <c r="W884" s="13">
        <f t="shared" si="165"/>
        <v>1.3333333333333333</v>
      </c>
      <c r="X884" s="3">
        <f t="shared" si="161"/>
        <v>15</v>
      </c>
      <c r="Y884" s="3">
        <f t="shared" si="166"/>
        <v>1.6460905349794238E-3</v>
      </c>
      <c r="Z884" s="3"/>
      <c r="AA884" s="3">
        <f t="shared" si="181"/>
        <v>810</v>
      </c>
      <c r="AB884" s="3"/>
      <c r="AC884" s="3" t="s">
        <v>82</v>
      </c>
      <c r="AD884" s="3" t="s">
        <v>83</v>
      </c>
      <c r="AE884" s="3">
        <v>25</v>
      </c>
      <c r="AF884" s="3" t="s">
        <v>102</v>
      </c>
      <c r="AG884" s="3" t="s">
        <v>297</v>
      </c>
      <c r="AH884" s="3"/>
    </row>
    <row r="885" spans="1:34" ht="14.25" customHeight="1" x14ac:dyDescent="0.25">
      <c r="A885" s="3" t="s">
        <v>108</v>
      </c>
      <c r="B885" s="3" t="s">
        <v>171</v>
      </c>
      <c r="C885" s="3"/>
      <c r="D885" s="3" t="s">
        <v>101</v>
      </c>
      <c r="E885" s="3">
        <v>2</v>
      </c>
      <c r="F885" s="3">
        <v>1</v>
      </c>
      <c r="G885" s="3" t="s">
        <v>9</v>
      </c>
      <c r="H885" s="11">
        <v>45900</v>
      </c>
      <c r="I885" s="3" t="s">
        <v>172</v>
      </c>
      <c r="J885" s="3">
        <v>19</v>
      </c>
      <c r="K885" s="3">
        <v>16</v>
      </c>
      <c r="L885" s="3">
        <v>22</v>
      </c>
      <c r="M885" s="3">
        <v>0</v>
      </c>
      <c r="N885" s="3">
        <v>0</v>
      </c>
      <c r="O885" s="3">
        <f t="shared" si="177"/>
        <v>57</v>
      </c>
      <c r="P885" s="3">
        <v>5</v>
      </c>
      <c r="Q885" s="3">
        <v>4</v>
      </c>
      <c r="R885" s="3">
        <v>4</v>
      </c>
      <c r="S885" s="3">
        <v>2</v>
      </c>
      <c r="T885" s="3">
        <v>0</v>
      </c>
      <c r="U885" s="3">
        <f t="shared" si="174"/>
        <v>15</v>
      </c>
      <c r="V885" s="13">
        <f t="shared" si="160"/>
        <v>3.8</v>
      </c>
      <c r="W885" s="13">
        <f t="shared" si="165"/>
        <v>3.8</v>
      </c>
      <c r="X885" s="3">
        <f t="shared" si="161"/>
        <v>15</v>
      </c>
      <c r="Y885" s="3">
        <f t="shared" si="166"/>
        <v>4.691358024691358E-3</v>
      </c>
      <c r="Z885" s="3"/>
      <c r="AA885" s="3">
        <f t="shared" si="181"/>
        <v>810</v>
      </c>
      <c r="AB885" s="3"/>
      <c r="AC885" s="3" t="s">
        <v>82</v>
      </c>
      <c r="AD885" s="3" t="s">
        <v>83</v>
      </c>
      <c r="AE885" s="3">
        <v>25</v>
      </c>
      <c r="AF885" s="3" t="s">
        <v>102</v>
      </c>
      <c r="AG885" s="3" t="s">
        <v>297</v>
      </c>
      <c r="AH885" s="3"/>
    </row>
    <row r="886" spans="1:34" ht="14.25" customHeight="1" x14ac:dyDescent="0.25">
      <c r="A886" s="3" t="s">
        <v>154</v>
      </c>
      <c r="B886" s="3" t="s">
        <v>171</v>
      </c>
      <c r="C886" s="3"/>
      <c r="D886" s="3" t="s">
        <v>101</v>
      </c>
      <c r="E886" s="3">
        <v>2</v>
      </c>
      <c r="F886" s="3">
        <v>1</v>
      </c>
      <c r="G886" s="3" t="s">
        <v>1</v>
      </c>
      <c r="H886" s="11">
        <v>45900</v>
      </c>
      <c r="I886" s="3" t="s">
        <v>172</v>
      </c>
      <c r="J886" s="3">
        <f>10+7+5</f>
        <v>22</v>
      </c>
      <c r="K886" s="3">
        <f>8+20</f>
        <v>28</v>
      </c>
      <c r="L886" s="3">
        <v>0</v>
      </c>
      <c r="M886" s="3">
        <f>30+15</f>
        <v>45</v>
      </c>
      <c r="N886" s="3">
        <v>0</v>
      </c>
      <c r="O886" s="3">
        <f t="shared" si="177"/>
        <v>95</v>
      </c>
      <c r="P886" s="3">
        <v>3</v>
      </c>
      <c r="Q886" s="3">
        <v>2</v>
      </c>
      <c r="R886" s="3">
        <v>2</v>
      </c>
      <c r="S886" s="3">
        <v>3</v>
      </c>
      <c r="T886" s="3">
        <v>1</v>
      </c>
      <c r="U886" s="3">
        <f t="shared" si="174"/>
        <v>11</v>
      </c>
      <c r="V886" s="13">
        <f t="shared" si="160"/>
        <v>8.6363636363636367</v>
      </c>
      <c r="W886" s="13">
        <f t="shared" si="165"/>
        <v>8.6363636363636367</v>
      </c>
      <c r="X886" s="3">
        <f t="shared" si="161"/>
        <v>11</v>
      </c>
      <c r="Y886" s="3">
        <f t="shared" si="166"/>
        <v>8.2251082251082255E-3</v>
      </c>
      <c r="Z886" s="3"/>
      <c r="AA886" s="3">
        <f t="shared" ref="AA886:AA887" si="182">70*3*5</f>
        <v>1050</v>
      </c>
      <c r="AB886" s="3"/>
      <c r="AC886" s="3" t="s">
        <v>82</v>
      </c>
      <c r="AD886" s="3" t="s">
        <v>83</v>
      </c>
      <c r="AE886" s="3">
        <v>50</v>
      </c>
      <c r="AF886" s="3" t="s">
        <v>102</v>
      </c>
      <c r="AG886" s="3" t="s">
        <v>326</v>
      </c>
      <c r="AH886" s="3"/>
    </row>
    <row r="887" spans="1:34" ht="14.25" customHeight="1" x14ac:dyDescent="0.25">
      <c r="A887" s="3" t="s">
        <v>154</v>
      </c>
      <c r="B887" s="3" t="s">
        <v>171</v>
      </c>
      <c r="C887" s="3"/>
      <c r="D887" s="3" t="s">
        <v>101</v>
      </c>
      <c r="E887" s="3">
        <v>2</v>
      </c>
      <c r="F887" s="3">
        <v>1</v>
      </c>
      <c r="G887" s="3" t="s">
        <v>3</v>
      </c>
      <c r="H887" s="11">
        <v>45900</v>
      </c>
      <c r="I887" s="3" t="s">
        <v>172</v>
      </c>
      <c r="J887" s="3">
        <v>0</v>
      </c>
      <c r="K887" s="3">
        <v>0</v>
      </c>
      <c r="L887" s="3">
        <f>40+20</f>
        <v>60</v>
      </c>
      <c r="M887" s="3">
        <v>18</v>
      </c>
      <c r="N887" s="3">
        <v>90</v>
      </c>
      <c r="O887" s="3">
        <f t="shared" si="177"/>
        <v>168</v>
      </c>
      <c r="P887" s="3">
        <v>3</v>
      </c>
      <c r="Q887" s="3">
        <v>2</v>
      </c>
      <c r="R887" s="3">
        <v>2</v>
      </c>
      <c r="S887" s="3">
        <v>3</v>
      </c>
      <c r="T887" s="3">
        <v>1</v>
      </c>
      <c r="U887" s="3">
        <f t="shared" si="174"/>
        <v>11</v>
      </c>
      <c r="V887" s="13">
        <f t="shared" si="160"/>
        <v>15.272727272727273</v>
      </c>
      <c r="W887" s="13">
        <f t="shared" si="165"/>
        <v>15.272727272727273</v>
      </c>
      <c r="X887" s="3">
        <f t="shared" si="161"/>
        <v>11</v>
      </c>
      <c r="Y887" s="3">
        <f t="shared" si="166"/>
        <v>1.4545454545454545E-2</v>
      </c>
      <c r="Z887" s="3"/>
      <c r="AA887" s="3">
        <f t="shared" si="182"/>
        <v>1050</v>
      </c>
      <c r="AB887" s="3"/>
      <c r="AC887" s="3" t="s">
        <v>82</v>
      </c>
      <c r="AD887" s="3" t="s">
        <v>83</v>
      </c>
      <c r="AE887" s="3">
        <v>50</v>
      </c>
      <c r="AF887" s="3" t="s">
        <v>102</v>
      </c>
      <c r="AG887" s="3" t="s">
        <v>326</v>
      </c>
      <c r="AH887" s="3"/>
    </row>
    <row r="888" spans="1:34" ht="14.25" customHeight="1" x14ac:dyDescent="0.25">
      <c r="A888" s="3" t="s">
        <v>137</v>
      </c>
      <c r="B888" s="3" t="s">
        <v>171</v>
      </c>
      <c r="C888" s="3"/>
      <c r="D888" s="3" t="s">
        <v>101</v>
      </c>
      <c r="E888" s="3">
        <v>2</v>
      </c>
      <c r="F888" s="3">
        <v>1</v>
      </c>
      <c r="G888" s="3" t="s">
        <v>2</v>
      </c>
      <c r="H888" s="11">
        <v>45900</v>
      </c>
      <c r="I888" s="3" t="s">
        <v>172</v>
      </c>
      <c r="J888" s="3">
        <f>8+5+3</f>
        <v>16</v>
      </c>
      <c r="K888" s="3">
        <f>2+7</f>
        <v>9</v>
      </c>
      <c r="L888" s="3">
        <f>3.5+9.5</f>
        <v>13</v>
      </c>
      <c r="M888" s="3">
        <f>10+6</f>
        <v>16</v>
      </c>
      <c r="N888" s="3">
        <v>4</v>
      </c>
      <c r="O888" s="3">
        <f t="shared" si="177"/>
        <v>58</v>
      </c>
      <c r="P888" s="3">
        <v>3</v>
      </c>
      <c r="Q888" s="3">
        <v>2</v>
      </c>
      <c r="R888" s="3">
        <v>2</v>
      </c>
      <c r="S888" s="3">
        <v>2</v>
      </c>
      <c r="T888" s="3">
        <v>1</v>
      </c>
      <c r="U888" s="3">
        <f t="shared" si="174"/>
        <v>10</v>
      </c>
      <c r="V888" s="13">
        <f t="shared" si="160"/>
        <v>5.8</v>
      </c>
      <c r="W888" s="13">
        <f t="shared" si="165"/>
        <v>5.8</v>
      </c>
      <c r="X888" s="3">
        <f t="shared" si="161"/>
        <v>10</v>
      </c>
      <c r="Y888" s="3" t="e">
        <f t="shared" si="166"/>
        <v>#DIV/0!</v>
      </c>
      <c r="Z888" s="3"/>
      <c r="AA888" s="3"/>
      <c r="AB888" s="3"/>
      <c r="AC888" s="3" t="s">
        <v>82</v>
      </c>
      <c r="AD888" s="3" t="s">
        <v>83</v>
      </c>
      <c r="AE888" s="3">
        <v>40</v>
      </c>
      <c r="AF888" s="3" t="s">
        <v>102</v>
      </c>
      <c r="AG888" s="3" t="s">
        <v>177</v>
      </c>
      <c r="AH888" s="3"/>
    </row>
    <row r="889" spans="1:34" ht="14.25" customHeight="1" x14ac:dyDescent="0.25">
      <c r="A889" s="3" t="s">
        <v>110</v>
      </c>
      <c r="B889" s="3" t="s">
        <v>171</v>
      </c>
      <c r="C889" s="3"/>
      <c r="D889" s="3" t="s">
        <v>101</v>
      </c>
      <c r="E889" s="3">
        <v>2</v>
      </c>
      <c r="F889" s="3">
        <v>1</v>
      </c>
      <c r="G889" s="3" t="s">
        <v>1</v>
      </c>
      <c r="H889" s="11">
        <v>45900</v>
      </c>
      <c r="I889" s="3" t="s">
        <v>172</v>
      </c>
      <c r="J889" s="3">
        <f>35+22</f>
        <v>57</v>
      </c>
      <c r="K889" s="3">
        <v>15</v>
      </c>
      <c r="L889" s="3">
        <v>55</v>
      </c>
      <c r="M889" s="3">
        <v>11</v>
      </c>
      <c r="N889" s="3">
        <v>0</v>
      </c>
      <c r="O889" s="3">
        <f t="shared" si="177"/>
        <v>138</v>
      </c>
      <c r="P889" s="3">
        <v>4</v>
      </c>
      <c r="Q889" s="3">
        <v>5</v>
      </c>
      <c r="R889" s="3">
        <v>4</v>
      </c>
      <c r="S889" s="3">
        <v>3</v>
      </c>
      <c r="T889" s="3">
        <v>1</v>
      </c>
      <c r="U889" s="3">
        <f t="shared" si="174"/>
        <v>17</v>
      </c>
      <c r="V889" s="13">
        <f t="shared" si="160"/>
        <v>8.117647058823529</v>
      </c>
      <c r="W889" s="13">
        <f t="shared" si="165"/>
        <v>8.117647058823529</v>
      </c>
      <c r="X889" s="3">
        <f t="shared" si="161"/>
        <v>17</v>
      </c>
      <c r="Y889" s="3">
        <f t="shared" si="166"/>
        <v>1.4867485455720749E-3</v>
      </c>
      <c r="Z889" s="3"/>
      <c r="AA889" s="3">
        <f t="shared" ref="AA889:AA891" si="183">500*6+300*7+120*3</f>
        <v>5460</v>
      </c>
      <c r="AB889" s="3"/>
      <c r="AC889" s="3" t="s">
        <v>82</v>
      </c>
      <c r="AD889" s="3" t="s">
        <v>83</v>
      </c>
      <c r="AE889" s="3">
        <v>60</v>
      </c>
      <c r="AF889" s="3" t="s">
        <v>102</v>
      </c>
      <c r="AG889" s="3" t="s">
        <v>327</v>
      </c>
      <c r="AH889" s="3"/>
    </row>
    <row r="890" spans="1:34" ht="14.25" customHeight="1" x14ac:dyDescent="0.25">
      <c r="A890" s="3" t="s">
        <v>110</v>
      </c>
      <c r="B890" s="3" t="s">
        <v>171</v>
      </c>
      <c r="C890" s="3"/>
      <c r="D890" s="3" t="s">
        <v>101</v>
      </c>
      <c r="E890" s="3">
        <v>2</v>
      </c>
      <c r="F890" s="3">
        <v>1</v>
      </c>
      <c r="G890" s="3" t="s">
        <v>3</v>
      </c>
      <c r="H890" s="11">
        <v>45900</v>
      </c>
      <c r="I890" s="3" t="s">
        <v>172</v>
      </c>
      <c r="J890" s="3">
        <v>120</v>
      </c>
      <c r="K890" s="3">
        <f>155+200+80</f>
        <v>435</v>
      </c>
      <c r="L890" s="3">
        <v>95</v>
      </c>
      <c r="M890" s="3">
        <v>0</v>
      </c>
      <c r="N890" s="3">
        <v>0</v>
      </c>
      <c r="O890" s="3">
        <f t="shared" si="177"/>
        <v>650</v>
      </c>
      <c r="P890" s="3">
        <v>4</v>
      </c>
      <c r="Q890" s="3">
        <v>5</v>
      </c>
      <c r="R890" s="3">
        <v>4</v>
      </c>
      <c r="S890" s="3">
        <v>3</v>
      </c>
      <c r="T890" s="3">
        <v>1</v>
      </c>
      <c r="U890" s="3">
        <f t="shared" si="174"/>
        <v>17</v>
      </c>
      <c r="V890" s="13">
        <f t="shared" si="160"/>
        <v>38.235294117647058</v>
      </c>
      <c r="W890" s="13">
        <f t="shared" si="165"/>
        <v>38.235294117647058</v>
      </c>
      <c r="X890" s="3">
        <f t="shared" si="161"/>
        <v>17</v>
      </c>
      <c r="Y890" s="3">
        <f t="shared" si="166"/>
        <v>7.0028011204481795E-3</v>
      </c>
      <c r="Z890" s="3"/>
      <c r="AA890" s="3">
        <f t="shared" si="183"/>
        <v>5460</v>
      </c>
      <c r="AB890" s="3"/>
      <c r="AC890" s="3" t="s">
        <v>82</v>
      </c>
      <c r="AD890" s="3" t="s">
        <v>83</v>
      </c>
      <c r="AE890" s="3">
        <v>60</v>
      </c>
      <c r="AF890" s="3" t="s">
        <v>102</v>
      </c>
      <c r="AG890" s="3" t="s">
        <v>327</v>
      </c>
      <c r="AH890" s="3"/>
    </row>
    <row r="891" spans="1:34" ht="14.25" customHeight="1" x14ac:dyDescent="0.25">
      <c r="A891" s="3" t="s">
        <v>110</v>
      </c>
      <c r="B891" s="3" t="s">
        <v>171</v>
      </c>
      <c r="C891" s="3"/>
      <c r="D891" s="3" t="s">
        <v>101</v>
      </c>
      <c r="E891" s="3">
        <v>2</v>
      </c>
      <c r="F891" s="3">
        <v>1</v>
      </c>
      <c r="G891" s="3" t="s">
        <v>9</v>
      </c>
      <c r="H891" s="11">
        <v>45900</v>
      </c>
      <c r="I891" s="3" t="s">
        <v>172</v>
      </c>
      <c r="J891" s="3">
        <v>60</v>
      </c>
      <c r="K891" s="3">
        <f>45+15</f>
        <v>60</v>
      </c>
      <c r="L891" s="3">
        <f>35+45</f>
        <v>80</v>
      </c>
      <c r="M891" s="3">
        <f>20+18</f>
        <v>38</v>
      </c>
      <c r="N891" s="3">
        <v>70</v>
      </c>
      <c r="O891" s="3">
        <f t="shared" si="177"/>
        <v>308</v>
      </c>
      <c r="P891" s="3">
        <v>4</v>
      </c>
      <c r="Q891" s="3">
        <v>5</v>
      </c>
      <c r="R891" s="3">
        <v>4</v>
      </c>
      <c r="S891" s="3">
        <v>3</v>
      </c>
      <c r="T891" s="3">
        <v>1</v>
      </c>
      <c r="U891" s="3">
        <f t="shared" si="174"/>
        <v>17</v>
      </c>
      <c r="V891" s="13">
        <f t="shared" si="160"/>
        <v>18.117647058823529</v>
      </c>
      <c r="W891" s="13">
        <f t="shared" si="165"/>
        <v>18.117647058823529</v>
      </c>
      <c r="X891" s="3">
        <f t="shared" si="161"/>
        <v>17</v>
      </c>
      <c r="Y891" s="3">
        <f t="shared" si="166"/>
        <v>3.3182503770739064E-3</v>
      </c>
      <c r="Z891" s="3"/>
      <c r="AA891" s="3">
        <f t="shared" si="183"/>
        <v>5460</v>
      </c>
      <c r="AB891" s="3"/>
      <c r="AC891" s="3" t="s">
        <v>82</v>
      </c>
      <c r="AD891" s="3" t="s">
        <v>83</v>
      </c>
      <c r="AE891" s="3">
        <v>60</v>
      </c>
      <c r="AF891" s="3" t="s">
        <v>102</v>
      </c>
      <c r="AG891" s="3" t="s">
        <v>327</v>
      </c>
      <c r="AH891" s="3"/>
    </row>
    <row r="892" spans="1:34" ht="14.25" customHeight="1" x14ac:dyDescent="0.25">
      <c r="A892" s="3" t="s">
        <v>178</v>
      </c>
      <c r="B892" s="3" t="s">
        <v>171</v>
      </c>
      <c r="C892" s="3"/>
      <c r="D892" s="3" t="s">
        <v>101</v>
      </c>
      <c r="E892" s="3">
        <v>1</v>
      </c>
      <c r="F892" s="3">
        <v>1</v>
      </c>
      <c r="G892" s="3" t="s">
        <v>1</v>
      </c>
      <c r="H892" s="11">
        <v>45900</v>
      </c>
      <c r="I892" s="3" t="s">
        <v>172</v>
      </c>
      <c r="J892" s="3">
        <v>25</v>
      </c>
      <c r="K892" s="3">
        <v>0</v>
      </c>
      <c r="L892" s="3">
        <v>35</v>
      </c>
      <c r="M892" s="3">
        <v>60</v>
      </c>
      <c r="N892" s="3">
        <v>0</v>
      </c>
      <c r="O892" s="3">
        <f t="shared" si="177"/>
        <v>120</v>
      </c>
      <c r="P892" s="3">
        <v>1</v>
      </c>
      <c r="Q892" s="3">
        <v>1</v>
      </c>
      <c r="R892" s="3">
        <v>1</v>
      </c>
      <c r="S892" s="3">
        <v>2</v>
      </c>
      <c r="T892" s="3">
        <v>0</v>
      </c>
      <c r="U892" s="3">
        <f t="shared" si="174"/>
        <v>5</v>
      </c>
      <c r="V892" s="13">
        <f t="shared" si="160"/>
        <v>24</v>
      </c>
      <c r="W892" s="13">
        <f t="shared" si="165"/>
        <v>24</v>
      </c>
      <c r="X892" s="3">
        <f t="shared" si="161"/>
        <v>5</v>
      </c>
      <c r="Y892" s="3">
        <f t="shared" si="166"/>
        <v>4.3243243243243244E-3</v>
      </c>
      <c r="Z892" s="3"/>
      <c r="AA892" s="3">
        <f t="shared" ref="AA892:AA893" si="184">200*3*3+150*5*5</f>
        <v>5550</v>
      </c>
      <c r="AB892" s="3"/>
      <c r="AC892" s="3" t="s">
        <v>82</v>
      </c>
      <c r="AD892" s="3" t="s">
        <v>83</v>
      </c>
      <c r="AE892" s="3">
        <v>15</v>
      </c>
      <c r="AF892" s="3" t="s">
        <v>102</v>
      </c>
      <c r="AG892" s="3" t="s">
        <v>297</v>
      </c>
      <c r="AH892" s="3"/>
    </row>
    <row r="893" spans="1:34" ht="14.25" customHeight="1" x14ac:dyDescent="0.25">
      <c r="A893" s="3" t="s">
        <v>178</v>
      </c>
      <c r="B893" s="3" t="s">
        <v>171</v>
      </c>
      <c r="C893" s="3"/>
      <c r="D893" s="3" t="s">
        <v>101</v>
      </c>
      <c r="E893" s="3">
        <v>1</v>
      </c>
      <c r="F893" s="3">
        <v>1</v>
      </c>
      <c r="G893" s="3" t="s">
        <v>3</v>
      </c>
      <c r="H893" s="11">
        <v>45900</v>
      </c>
      <c r="I893" s="3" t="s">
        <v>172</v>
      </c>
      <c r="J893" s="3">
        <v>70</v>
      </c>
      <c r="K893" s="3">
        <v>50</v>
      </c>
      <c r="L893" s="3">
        <v>0</v>
      </c>
      <c r="M893" s="3">
        <v>160</v>
      </c>
      <c r="N893" s="3">
        <v>0</v>
      </c>
      <c r="O893" s="3">
        <f t="shared" si="177"/>
        <v>280</v>
      </c>
      <c r="P893" s="3">
        <v>1</v>
      </c>
      <c r="Q893" s="3">
        <v>1</v>
      </c>
      <c r="R893" s="3">
        <v>1</v>
      </c>
      <c r="S893" s="3">
        <v>2</v>
      </c>
      <c r="T893" s="3">
        <v>0</v>
      </c>
      <c r="U893" s="3">
        <f t="shared" si="174"/>
        <v>5</v>
      </c>
      <c r="V893" s="13">
        <f t="shared" si="160"/>
        <v>56</v>
      </c>
      <c r="W893" s="13">
        <f t="shared" si="165"/>
        <v>56</v>
      </c>
      <c r="X893" s="3">
        <f t="shared" si="161"/>
        <v>5</v>
      </c>
      <c r="Y893" s="3">
        <f t="shared" si="166"/>
        <v>1.0090090090090089E-2</v>
      </c>
      <c r="Z893" s="3"/>
      <c r="AA893" s="3">
        <f t="shared" si="184"/>
        <v>5550</v>
      </c>
      <c r="AB893" s="3"/>
      <c r="AC893" s="3" t="s">
        <v>82</v>
      </c>
      <c r="AD893" s="3" t="s">
        <v>83</v>
      </c>
      <c r="AE893" s="3">
        <v>15</v>
      </c>
      <c r="AF893" s="3" t="s">
        <v>102</v>
      </c>
      <c r="AG893" s="3" t="s">
        <v>297</v>
      </c>
      <c r="AH893" s="3"/>
    </row>
    <row r="894" spans="1:34" ht="14.25" customHeight="1" x14ac:dyDescent="0.25">
      <c r="A894" s="3" t="s">
        <v>158</v>
      </c>
      <c r="B894" s="3" t="s">
        <v>171</v>
      </c>
      <c r="C894" s="3"/>
      <c r="D894" s="3" t="s">
        <v>101</v>
      </c>
      <c r="E894" s="3">
        <v>1</v>
      </c>
      <c r="F894" s="3">
        <v>1</v>
      </c>
      <c r="G894" s="3" t="s">
        <v>1</v>
      </c>
      <c r="H894" s="11">
        <v>45900</v>
      </c>
      <c r="I894" s="3" t="s">
        <v>172</v>
      </c>
      <c r="J894" s="3">
        <v>0</v>
      </c>
      <c r="K894" s="3">
        <v>25</v>
      </c>
      <c r="L894" s="3">
        <v>0</v>
      </c>
      <c r="M894" s="3">
        <v>0</v>
      </c>
      <c r="N894" s="3">
        <v>0</v>
      </c>
      <c r="O894" s="3">
        <f t="shared" si="177"/>
        <v>25</v>
      </c>
      <c r="P894" s="3">
        <v>2</v>
      </c>
      <c r="Q894" s="3">
        <v>1</v>
      </c>
      <c r="R894" s="3">
        <v>2</v>
      </c>
      <c r="S894" s="3">
        <v>2</v>
      </c>
      <c r="T894" s="3">
        <v>0</v>
      </c>
      <c r="U894" s="3">
        <f t="shared" si="174"/>
        <v>7</v>
      </c>
      <c r="V894" s="13">
        <f t="shared" si="160"/>
        <v>3.5714285714285716</v>
      </c>
      <c r="W894" s="13">
        <f t="shared" si="165"/>
        <v>3.5714285714285716</v>
      </c>
      <c r="X894" s="3">
        <f t="shared" si="161"/>
        <v>7</v>
      </c>
      <c r="Y894" s="3">
        <f t="shared" si="166"/>
        <v>4.2517006802721092E-3</v>
      </c>
      <c r="Z894" s="3"/>
      <c r="AA894" s="3">
        <f t="shared" ref="AA894:AA900" si="185">60*2*4+30*3*4</f>
        <v>840</v>
      </c>
      <c r="AB894" s="3">
        <f t="shared" ref="AB894:AB900" si="186">42+65+28</f>
        <v>135</v>
      </c>
      <c r="AC894" s="3" t="s">
        <v>82</v>
      </c>
      <c r="AD894" s="3" t="s">
        <v>83</v>
      </c>
      <c r="AE894" s="3">
        <v>15</v>
      </c>
      <c r="AF894" s="3" t="s">
        <v>102</v>
      </c>
      <c r="AG894" s="3" t="s">
        <v>328</v>
      </c>
      <c r="AH894" s="3"/>
    </row>
    <row r="895" spans="1:34" ht="14.25" customHeight="1" x14ac:dyDescent="0.25">
      <c r="A895" s="3" t="s">
        <v>158</v>
      </c>
      <c r="B895" s="3" t="s">
        <v>171</v>
      </c>
      <c r="C895" s="3"/>
      <c r="D895" s="3" t="s">
        <v>101</v>
      </c>
      <c r="E895" s="3">
        <v>1</v>
      </c>
      <c r="F895" s="3">
        <v>1</v>
      </c>
      <c r="G895" s="3" t="s">
        <v>3</v>
      </c>
      <c r="H895" s="11">
        <v>45900</v>
      </c>
      <c r="I895" s="3" t="s">
        <v>172</v>
      </c>
      <c r="J895" s="3">
        <v>70</v>
      </c>
      <c r="K895" s="3">
        <v>0</v>
      </c>
      <c r="L895" s="3">
        <v>0</v>
      </c>
      <c r="M895" s="3">
        <v>0</v>
      </c>
      <c r="N895" s="3">
        <v>0</v>
      </c>
      <c r="O895" s="3">
        <f t="shared" si="177"/>
        <v>70</v>
      </c>
      <c r="P895" s="3">
        <v>2</v>
      </c>
      <c r="Q895" s="3">
        <v>1</v>
      </c>
      <c r="R895" s="3">
        <v>2</v>
      </c>
      <c r="S895" s="3">
        <v>2</v>
      </c>
      <c r="T895" s="3">
        <v>0</v>
      </c>
      <c r="U895" s="3">
        <f t="shared" si="174"/>
        <v>7</v>
      </c>
      <c r="V895" s="13">
        <f t="shared" si="160"/>
        <v>10</v>
      </c>
      <c r="W895" s="13">
        <f t="shared" si="165"/>
        <v>10</v>
      </c>
      <c r="X895" s="3">
        <f t="shared" si="161"/>
        <v>7</v>
      </c>
      <c r="Y895" s="3">
        <f t="shared" si="166"/>
        <v>1.1904761904761904E-2</v>
      </c>
      <c r="Z895" s="3"/>
      <c r="AA895" s="3">
        <f t="shared" si="185"/>
        <v>840</v>
      </c>
      <c r="AB895" s="3">
        <f t="shared" si="186"/>
        <v>135</v>
      </c>
      <c r="AC895" s="3" t="s">
        <v>82</v>
      </c>
      <c r="AD895" s="3" t="s">
        <v>83</v>
      </c>
      <c r="AE895" s="3">
        <v>15</v>
      </c>
      <c r="AF895" s="3" t="s">
        <v>102</v>
      </c>
      <c r="AG895" s="3" t="s">
        <v>328</v>
      </c>
      <c r="AH895" s="3"/>
    </row>
    <row r="896" spans="1:34" ht="14.25" customHeight="1" x14ac:dyDescent="0.25">
      <c r="A896" s="3" t="s">
        <v>158</v>
      </c>
      <c r="B896" s="3" t="s">
        <v>171</v>
      </c>
      <c r="C896" s="3"/>
      <c r="D896" s="3" t="s">
        <v>101</v>
      </c>
      <c r="E896" s="3">
        <v>1</v>
      </c>
      <c r="F896" s="3">
        <v>1</v>
      </c>
      <c r="G896" s="3" t="s">
        <v>2</v>
      </c>
      <c r="H896" s="11">
        <v>45900</v>
      </c>
      <c r="I896" s="3" t="s">
        <v>172</v>
      </c>
      <c r="J896" s="3">
        <v>0</v>
      </c>
      <c r="K896" s="3">
        <v>0</v>
      </c>
      <c r="L896" s="3">
        <v>40</v>
      </c>
      <c r="M896" s="3">
        <v>0</v>
      </c>
      <c r="N896" s="3">
        <v>0</v>
      </c>
      <c r="O896" s="3">
        <f t="shared" si="177"/>
        <v>40</v>
      </c>
      <c r="P896" s="3">
        <v>2</v>
      </c>
      <c r="Q896" s="3">
        <v>1</v>
      </c>
      <c r="R896" s="3">
        <v>2</v>
      </c>
      <c r="S896" s="3">
        <v>2</v>
      </c>
      <c r="T896" s="3">
        <v>0</v>
      </c>
      <c r="U896" s="3">
        <f t="shared" si="174"/>
        <v>7</v>
      </c>
      <c r="V896" s="13">
        <f t="shared" si="160"/>
        <v>5.7142857142857144</v>
      </c>
      <c r="W896" s="13">
        <f t="shared" si="165"/>
        <v>5.7142857142857144</v>
      </c>
      <c r="X896" s="3">
        <f t="shared" si="161"/>
        <v>7</v>
      </c>
      <c r="Y896" s="3">
        <f t="shared" si="166"/>
        <v>6.8027210884353739E-3</v>
      </c>
      <c r="Z896" s="3"/>
      <c r="AA896" s="3">
        <f t="shared" si="185"/>
        <v>840</v>
      </c>
      <c r="AB896" s="3">
        <f t="shared" si="186"/>
        <v>135</v>
      </c>
      <c r="AC896" s="3" t="s">
        <v>82</v>
      </c>
      <c r="AD896" s="3" t="s">
        <v>83</v>
      </c>
      <c r="AE896" s="3">
        <v>15</v>
      </c>
      <c r="AF896" s="3" t="s">
        <v>102</v>
      </c>
      <c r="AG896" s="3" t="s">
        <v>328</v>
      </c>
      <c r="AH896" s="3"/>
    </row>
    <row r="897" spans="1:34" ht="14.25" customHeight="1" x14ac:dyDescent="0.25">
      <c r="A897" s="3" t="s">
        <v>158</v>
      </c>
      <c r="B897" s="3" t="s">
        <v>171</v>
      </c>
      <c r="C897" s="3"/>
      <c r="D897" s="3" t="s">
        <v>101</v>
      </c>
      <c r="E897" s="3">
        <v>1</v>
      </c>
      <c r="F897" s="3">
        <v>1</v>
      </c>
      <c r="G897" s="3" t="s">
        <v>16</v>
      </c>
      <c r="H897" s="11">
        <v>45900</v>
      </c>
      <c r="I897" s="3" t="s">
        <v>172</v>
      </c>
      <c r="J897" s="3">
        <v>20</v>
      </c>
      <c r="K897" s="3">
        <v>0</v>
      </c>
      <c r="L897" s="3">
        <v>0</v>
      </c>
      <c r="M897" s="3">
        <v>0</v>
      </c>
      <c r="N897" s="3">
        <v>0</v>
      </c>
      <c r="O897" s="3">
        <f t="shared" si="177"/>
        <v>20</v>
      </c>
      <c r="P897" s="3">
        <v>2</v>
      </c>
      <c r="Q897" s="3">
        <v>1</v>
      </c>
      <c r="R897" s="3">
        <v>2</v>
      </c>
      <c r="S897" s="3">
        <v>2</v>
      </c>
      <c r="T897" s="3">
        <v>0</v>
      </c>
      <c r="U897" s="3">
        <f t="shared" si="174"/>
        <v>7</v>
      </c>
      <c r="V897" s="13">
        <f t="shared" si="160"/>
        <v>2.8571428571428572</v>
      </c>
      <c r="W897" s="13">
        <f t="shared" si="165"/>
        <v>2.8571428571428572</v>
      </c>
      <c r="X897" s="3">
        <f t="shared" si="161"/>
        <v>7</v>
      </c>
      <c r="Y897" s="3">
        <f t="shared" si="166"/>
        <v>3.4013605442176869E-3</v>
      </c>
      <c r="Z897" s="3"/>
      <c r="AA897" s="3">
        <f t="shared" si="185"/>
        <v>840</v>
      </c>
      <c r="AB897" s="3">
        <f t="shared" si="186"/>
        <v>135</v>
      </c>
      <c r="AC897" s="3" t="s">
        <v>82</v>
      </c>
      <c r="AD897" s="3" t="s">
        <v>83</v>
      </c>
      <c r="AE897" s="3">
        <v>15</v>
      </c>
      <c r="AF897" s="3" t="s">
        <v>102</v>
      </c>
      <c r="AG897" s="3" t="s">
        <v>328</v>
      </c>
      <c r="AH897" s="3"/>
    </row>
    <row r="898" spans="1:34" ht="14.25" customHeight="1" x14ac:dyDescent="0.25">
      <c r="A898" s="3" t="s">
        <v>158</v>
      </c>
      <c r="B898" s="3" t="s">
        <v>171</v>
      </c>
      <c r="C898" s="3"/>
      <c r="D898" s="3" t="s">
        <v>101</v>
      </c>
      <c r="E898" s="3">
        <v>1</v>
      </c>
      <c r="F898" s="3">
        <v>1</v>
      </c>
      <c r="G898" s="3" t="s">
        <v>18</v>
      </c>
      <c r="H898" s="11">
        <v>45900</v>
      </c>
      <c r="I898" s="3" t="s">
        <v>172</v>
      </c>
      <c r="J898" s="3">
        <v>0</v>
      </c>
      <c r="K898" s="3">
        <v>0</v>
      </c>
      <c r="L898" s="3">
        <v>0</v>
      </c>
      <c r="M898" s="3">
        <v>30</v>
      </c>
      <c r="N898" s="3">
        <v>0</v>
      </c>
      <c r="O898" s="3">
        <f t="shared" si="177"/>
        <v>30</v>
      </c>
      <c r="P898" s="3">
        <v>2</v>
      </c>
      <c r="Q898" s="3">
        <v>1</v>
      </c>
      <c r="R898" s="3">
        <v>2</v>
      </c>
      <c r="S898" s="3">
        <v>2</v>
      </c>
      <c r="T898" s="3">
        <v>0</v>
      </c>
      <c r="U898" s="3">
        <f t="shared" si="174"/>
        <v>7</v>
      </c>
      <c r="V898" s="13">
        <f t="shared" si="160"/>
        <v>4.2857142857142856</v>
      </c>
      <c r="W898" s="13">
        <f t="shared" si="165"/>
        <v>4.2857142857142856</v>
      </c>
      <c r="X898" s="3">
        <f t="shared" si="161"/>
        <v>7</v>
      </c>
      <c r="Y898" s="3">
        <f t="shared" si="166"/>
        <v>5.1020408163265302E-3</v>
      </c>
      <c r="Z898" s="3"/>
      <c r="AA898" s="3">
        <f t="shared" si="185"/>
        <v>840</v>
      </c>
      <c r="AB898" s="3">
        <f t="shared" si="186"/>
        <v>135</v>
      </c>
      <c r="AC898" s="3" t="s">
        <v>82</v>
      </c>
      <c r="AD898" s="3" t="s">
        <v>83</v>
      </c>
      <c r="AE898" s="3">
        <v>15</v>
      </c>
      <c r="AF898" s="3" t="s">
        <v>102</v>
      </c>
      <c r="AG898" s="3" t="s">
        <v>328</v>
      </c>
      <c r="AH898" s="3"/>
    </row>
    <row r="899" spans="1:34" ht="14.25" customHeight="1" x14ac:dyDescent="0.25">
      <c r="A899" s="3" t="s">
        <v>158</v>
      </c>
      <c r="B899" s="3" t="s">
        <v>171</v>
      </c>
      <c r="C899" s="3"/>
      <c r="D899" s="3" t="s">
        <v>101</v>
      </c>
      <c r="E899" s="3">
        <v>1</v>
      </c>
      <c r="F899" s="3">
        <v>1</v>
      </c>
      <c r="G899" s="3" t="s">
        <v>25</v>
      </c>
      <c r="H899" s="11">
        <v>45900</v>
      </c>
      <c r="I899" s="3" t="s">
        <v>172</v>
      </c>
      <c r="J899" s="3">
        <v>0</v>
      </c>
      <c r="K899" s="3">
        <v>0</v>
      </c>
      <c r="L899" s="3">
        <v>0</v>
      </c>
      <c r="M899" s="3">
        <v>30</v>
      </c>
      <c r="N899" s="3">
        <v>0</v>
      </c>
      <c r="O899" s="3">
        <f t="shared" si="177"/>
        <v>30</v>
      </c>
      <c r="P899" s="3">
        <v>2</v>
      </c>
      <c r="Q899" s="3">
        <v>1</v>
      </c>
      <c r="R899" s="3">
        <v>2</v>
      </c>
      <c r="S899" s="3">
        <v>2</v>
      </c>
      <c r="T899" s="3">
        <v>0</v>
      </c>
      <c r="U899" s="3">
        <f t="shared" si="174"/>
        <v>7</v>
      </c>
      <c r="V899" s="13">
        <f t="shared" si="160"/>
        <v>4.2857142857142856</v>
      </c>
      <c r="W899" s="13">
        <f t="shared" ref="W899:W962" si="187">O899/U899/F899</f>
        <v>4.2857142857142856</v>
      </c>
      <c r="X899" s="3">
        <f t="shared" si="161"/>
        <v>7</v>
      </c>
      <c r="Y899" s="3">
        <f t="shared" ref="Y899:Y962" si="188">O899/U899/AA899</f>
        <v>5.1020408163265302E-3</v>
      </c>
      <c r="Z899" s="3"/>
      <c r="AA899" s="3">
        <f t="shared" si="185"/>
        <v>840</v>
      </c>
      <c r="AB899" s="3">
        <f t="shared" si="186"/>
        <v>135</v>
      </c>
      <c r="AC899" s="3" t="s">
        <v>82</v>
      </c>
      <c r="AD899" s="3" t="s">
        <v>83</v>
      </c>
      <c r="AE899" s="3">
        <v>15</v>
      </c>
      <c r="AF899" s="3" t="s">
        <v>102</v>
      </c>
      <c r="AG899" s="3" t="s">
        <v>328</v>
      </c>
      <c r="AH899" s="3"/>
    </row>
    <row r="900" spans="1:34" ht="14.25" customHeight="1" x14ac:dyDescent="0.25">
      <c r="A900" s="3" t="s">
        <v>158</v>
      </c>
      <c r="B900" s="3" t="s">
        <v>171</v>
      </c>
      <c r="C900" s="3"/>
      <c r="D900" s="3" t="s">
        <v>101</v>
      </c>
      <c r="E900" s="3">
        <v>1</v>
      </c>
      <c r="F900" s="3">
        <v>1</v>
      </c>
      <c r="G900" s="3" t="s">
        <v>22</v>
      </c>
      <c r="H900" s="11">
        <v>45900</v>
      </c>
      <c r="I900" s="3" t="s">
        <v>172</v>
      </c>
      <c r="J900" s="3">
        <v>0</v>
      </c>
      <c r="K900" s="3">
        <v>0</v>
      </c>
      <c r="L900" s="3">
        <v>30</v>
      </c>
      <c r="M900" s="3">
        <v>0</v>
      </c>
      <c r="N900" s="3">
        <v>0</v>
      </c>
      <c r="O900" s="3">
        <f t="shared" si="177"/>
        <v>30</v>
      </c>
      <c r="P900" s="3">
        <v>2</v>
      </c>
      <c r="Q900" s="3">
        <v>1</v>
      </c>
      <c r="R900" s="3">
        <v>2</v>
      </c>
      <c r="S900" s="3">
        <v>2</v>
      </c>
      <c r="T900" s="3">
        <v>0</v>
      </c>
      <c r="U900" s="3">
        <f t="shared" si="174"/>
        <v>7</v>
      </c>
      <c r="V900" s="13">
        <f t="shared" si="160"/>
        <v>4.2857142857142856</v>
      </c>
      <c r="W900" s="13">
        <f t="shared" si="187"/>
        <v>4.2857142857142856</v>
      </c>
      <c r="X900" s="3">
        <f t="shared" si="161"/>
        <v>7</v>
      </c>
      <c r="Y900" s="3">
        <f t="shared" si="188"/>
        <v>5.1020408163265302E-3</v>
      </c>
      <c r="Z900" s="3"/>
      <c r="AA900" s="3">
        <f t="shared" si="185"/>
        <v>840</v>
      </c>
      <c r="AB900" s="3">
        <f t="shared" si="186"/>
        <v>135</v>
      </c>
      <c r="AC900" s="3" t="s">
        <v>82</v>
      </c>
      <c r="AD900" s="3" t="s">
        <v>83</v>
      </c>
      <c r="AE900" s="3">
        <v>15</v>
      </c>
      <c r="AF900" s="3" t="s">
        <v>102</v>
      </c>
      <c r="AG900" s="3" t="s">
        <v>328</v>
      </c>
      <c r="AH900" s="3"/>
    </row>
    <row r="901" spans="1:34" ht="14.25" customHeight="1" x14ac:dyDescent="0.25">
      <c r="A901" s="3" t="s">
        <v>116</v>
      </c>
      <c r="B901" s="3" t="s">
        <v>79</v>
      </c>
      <c r="C901" s="19"/>
      <c r="D901" s="3" t="s">
        <v>115</v>
      </c>
      <c r="E901" s="3">
        <v>1</v>
      </c>
      <c r="F901" s="3">
        <v>1</v>
      </c>
      <c r="G901" s="3" t="s">
        <v>1</v>
      </c>
      <c r="H901" s="11">
        <v>45899</v>
      </c>
      <c r="I901" s="3" t="s">
        <v>179</v>
      </c>
      <c r="J901" s="3">
        <f>10+13+10</f>
        <v>33</v>
      </c>
      <c r="K901" s="3">
        <f>13+11+10+12</f>
        <v>46</v>
      </c>
      <c r="L901" s="3">
        <f>13+15+10</f>
        <v>38</v>
      </c>
      <c r="M901" s="3">
        <f>10+15+15</f>
        <v>40</v>
      </c>
      <c r="N901" s="3">
        <f>10+10</f>
        <v>20</v>
      </c>
      <c r="O901" s="3">
        <f t="shared" si="177"/>
        <v>177</v>
      </c>
      <c r="P901" s="3">
        <v>7</v>
      </c>
      <c r="Q901" s="3">
        <v>7</v>
      </c>
      <c r="R901" s="3">
        <v>3</v>
      </c>
      <c r="S901" s="3">
        <v>7</v>
      </c>
      <c r="T901" s="3">
        <v>3</v>
      </c>
      <c r="U901" s="3">
        <f t="shared" si="174"/>
        <v>27</v>
      </c>
      <c r="V901" s="13">
        <f t="shared" si="160"/>
        <v>6.5555555555555554</v>
      </c>
      <c r="W901" s="13">
        <f t="shared" si="187"/>
        <v>6.5555555555555554</v>
      </c>
      <c r="X901" s="3">
        <f t="shared" si="161"/>
        <v>27</v>
      </c>
      <c r="Y901" s="3">
        <f t="shared" si="188"/>
        <v>1.0488888888888888E-2</v>
      </c>
      <c r="Z901" s="19"/>
      <c r="AA901" s="3">
        <f t="shared" ref="AA901:AA910" si="189">25*2.5*5+25*2.5*5</f>
        <v>625</v>
      </c>
      <c r="AB901" s="3">
        <v>20</v>
      </c>
      <c r="AC901" s="3" t="s">
        <v>180</v>
      </c>
      <c r="AD901" s="3" t="s">
        <v>83</v>
      </c>
      <c r="AE901" s="3">
        <v>25</v>
      </c>
      <c r="AF901" s="3" t="s">
        <v>151</v>
      </c>
      <c r="AG901" s="3" t="s">
        <v>329</v>
      </c>
      <c r="AH901" s="3"/>
    </row>
    <row r="902" spans="1:34" ht="14.25" customHeight="1" x14ac:dyDescent="0.25">
      <c r="A902" s="3" t="s">
        <v>116</v>
      </c>
      <c r="B902" s="3" t="s">
        <v>79</v>
      </c>
      <c r="C902" s="19"/>
      <c r="D902" s="3" t="s">
        <v>115</v>
      </c>
      <c r="E902" s="3">
        <v>1</v>
      </c>
      <c r="F902" s="3">
        <v>1</v>
      </c>
      <c r="G902" s="3" t="s">
        <v>3</v>
      </c>
      <c r="H902" s="11">
        <v>45899</v>
      </c>
      <c r="I902" s="3" t="s">
        <v>179</v>
      </c>
      <c r="J902" s="3">
        <f>18+20+30+10</f>
        <v>78</v>
      </c>
      <c r="K902" s="3">
        <f>15+10+15</f>
        <v>40</v>
      </c>
      <c r="L902" s="3">
        <f>20+13+10</f>
        <v>43</v>
      </c>
      <c r="M902" s="3">
        <f>10+15+10+20</f>
        <v>55</v>
      </c>
      <c r="N902" s="3">
        <v>10</v>
      </c>
      <c r="O902" s="3">
        <f t="shared" si="177"/>
        <v>226</v>
      </c>
      <c r="P902" s="3">
        <v>7</v>
      </c>
      <c r="Q902" s="3">
        <v>7</v>
      </c>
      <c r="R902" s="3">
        <v>3</v>
      </c>
      <c r="S902" s="3">
        <v>7</v>
      </c>
      <c r="T902" s="3">
        <v>3</v>
      </c>
      <c r="U902" s="3">
        <f t="shared" si="174"/>
        <v>27</v>
      </c>
      <c r="V902" s="13">
        <f t="shared" si="160"/>
        <v>8.3703703703703702</v>
      </c>
      <c r="W902" s="13">
        <f t="shared" si="187"/>
        <v>8.3703703703703702</v>
      </c>
      <c r="X902" s="3">
        <f t="shared" si="161"/>
        <v>27</v>
      </c>
      <c r="Y902" s="3">
        <f t="shared" si="188"/>
        <v>1.3392592592592593E-2</v>
      </c>
      <c r="Z902" s="19"/>
      <c r="AA902" s="3">
        <f t="shared" si="189"/>
        <v>625</v>
      </c>
      <c r="AB902" s="3">
        <v>20</v>
      </c>
      <c r="AC902" s="3" t="s">
        <v>180</v>
      </c>
      <c r="AD902" s="3" t="s">
        <v>83</v>
      </c>
      <c r="AE902" s="3">
        <v>25</v>
      </c>
      <c r="AF902" s="3" t="s">
        <v>151</v>
      </c>
      <c r="AG902" s="3" t="s">
        <v>329</v>
      </c>
      <c r="AH902" s="3"/>
    </row>
    <row r="903" spans="1:34" ht="14.25" customHeight="1" x14ac:dyDescent="0.25">
      <c r="A903" s="3" t="s">
        <v>116</v>
      </c>
      <c r="B903" s="3" t="s">
        <v>79</v>
      </c>
      <c r="C903" s="19"/>
      <c r="D903" s="3" t="s">
        <v>115</v>
      </c>
      <c r="E903" s="3">
        <v>1</v>
      </c>
      <c r="F903" s="3">
        <v>1</v>
      </c>
      <c r="G903" s="3" t="s">
        <v>2</v>
      </c>
      <c r="H903" s="11">
        <v>45899</v>
      </c>
      <c r="I903" s="3" t="s">
        <v>179</v>
      </c>
      <c r="J903" s="3">
        <v>6</v>
      </c>
      <c r="K903" s="3">
        <f>8+8</f>
        <v>16</v>
      </c>
      <c r="L903" s="3">
        <v>0</v>
      </c>
      <c r="M903" s="3">
        <v>0</v>
      </c>
      <c r="N903" s="3">
        <v>0</v>
      </c>
      <c r="O903" s="3">
        <f t="shared" si="177"/>
        <v>22</v>
      </c>
      <c r="P903" s="3">
        <v>7</v>
      </c>
      <c r="Q903" s="3">
        <v>7</v>
      </c>
      <c r="R903" s="3">
        <v>3</v>
      </c>
      <c r="S903" s="3">
        <v>7</v>
      </c>
      <c r="T903" s="3">
        <v>3</v>
      </c>
      <c r="U903" s="3">
        <f t="shared" si="174"/>
        <v>27</v>
      </c>
      <c r="V903" s="13">
        <f t="shared" si="160"/>
        <v>0.81481481481481477</v>
      </c>
      <c r="W903" s="13">
        <f t="shared" si="187"/>
        <v>0.81481481481481477</v>
      </c>
      <c r="X903" s="3">
        <f t="shared" si="161"/>
        <v>27</v>
      </c>
      <c r="Y903" s="3">
        <f t="shared" si="188"/>
        <v>1.3037037037037036E-3</v>
      </c>
      <c r="Z903" s="19"/>
      <c r="AA903" s="3">
        <f t="shared" si="189"/>
        <v>625</v>
      </c>
      <c r="AB903" s="3">
        <v>20</v>
      </c>
      <c r="AC903" s="3" t="s">
        <v>180</v>
      </c>
      <c r="AD903" s="3" t="s">
        <v>83</v>
      </c>
      <c r="AE903" s="3">
        <v>25</v>
      </c>
      <c r="AF903" s="3" t="s">
        <v>151</v>
      </c>
      <c r="AG903" s="3" t="s">
        <v>329</v>
      </c>
      <c r="AH903" s="3"/>
    </row>
    <row r="904" spans="1:34" ht="14.25" customHeight="1" x14ac:dyDescent="0.25">
      <c r="A904" s="3" t="s">
        <v>116</v>
      </c>
      <c r="B904" s="3" t="s">
        <v>79</v>
      </c>
      <c r="C904" s="19"/>
      <c r="D904" s="3" t="s">
        <v>115</v>
      </c>
      <c r="E904" s="3">
        <v>1</v>
      </c>
      <c r="F904" s="3">
        <v>1</v>
      </c>
      <c r="G904" s="3" t="s">
        <v>6</v>
      </c>
      <c r="H904" s="11">
        <v>45899</v>
      </c>
      <c r="I904" s="3" t="s">
        <v>179</v>
      </c>
      <c r="J904" s="3">
        <v>0</v>
      </c>
      <c r="K904" s="3">
        <v>5</v>
      </c>
      <c r="L904" s="3">
        <v>0</v>
      </c>
      <c r="M904" s="3">
        <v>0</v>
      </c>
      <c r="N904" s="3">
        <v>0</v>
      </c>
      <c r="O904" s="3">
        <f t="shared" si="177"/>
        <v>5</v>
      </c>
      <c r="P904" s="3">
        <v>7</v>
      </c>
      <c r="Q904" s="3">
        <v>7</v>
      </c>
      <c r="R904" s="3">
        <v>3</v>
      </c>
      <c r="S904" s="3">
        <v>7</v>
      </c>
      <c r="T904" s="3">
        <v>3</v>
      </c>
      <c r="U904" s="3">
        <f t="shared" si="174"/>
        <v>27</v>
      </c>
      <c r="V904" s="13">
        <f t="shared" si="160"/>
        <v>0.18518518518518517</v>
      </c>
      <c r="W904" s="13">
        <f t="shared" si="187"/>
        <v>0.18518518518518517</v>
      </c>
      <c r="X904" s="3">
        <f t="shared" si="161"/>
        <v>27</v>
      </c>
      <c r="Y904" s="3">
        <f t="shared" si="188"/>
        <v>2.9629629629629629E-4</v>
      </c>
      <c r="Z904" s="19"/>
      <c r="AA904" s="3">
        <f t="shared" si="189"/>
        <v>625</v>
      </c>
      <c r="AB904" s="3">
        <v>20</v>
      </c>
      <c r="AC904" s="3" t="s">
        <v>180</v>
      </c>
      <c r="AD904" s="3" t="s">
        <v>83</v>
      </c>
      <c r="AE904" s="3">
        <v>25</v>
      </c>
      <c r="AF904" s="3" t="s">
        <v>151</v>
      </c>
      <c r="AG904" s="3" t="s">
        <v>329</v>
      </c>
      <c r="AH904" s="3"/>
    </row>
    <row r="905" spans="1:34" ht="14.25" customHeight="1" x14ac:dyDescent="0.25">
      <c r="A905" s="3" t="s">
        <v>116</v>
      </c>
      <c r="B905" s="3" t="s">
        <v>79</v>
      </c>
      <c r="C905" s="19"/>
      <c r="D905" s="3" t="s">
        <v>115</v>
      </c>
      <c r="E905" s="3">
        <v>1</v>
      </c>
      <c r="F905" s="3">
        <v>1</v>
      </c>
      <c r="G905" s="3" t="s">
        <v>14</v>
      </c>
      <c r="H905" s="11">
        <v>45899</v>
      </c>
      <c r="I905" s="3" t="s">
        <v>179</v>
      </c>
      <c r="J905" s="3">
        <v>10</v>
      </c>
      <c r="K905" s="3">
        <f>10+8</f>
        <v>18</v>
      </c>
      <c r="L905" s="3">
        <v>7</v>
      </c>
      <c r="M905" s="3">
        <f>8+11+3+6</f>
        <v>28</v>
      </c>
      <c r="N905" s="3">
        <v>0</v>
      </c>
      <c r="O905" s="3">
        <f t="shared" si="177"/>
        <v>63</v>
      </c>
      <c r="P905" s="3">
        <v>7</v>
      </c>
      <c r="Q905" s="3">
        <v>7</v>
      </c>
      <c r="R905" s="3">
        <v>3</v>
      </c>
      <c r="S905" s="3">
        <v>7</v>
      </c>
      <c r="T905" s="3">
        <v>3</v>
      </c>
      <c r="U905" s="3">
        <f t="shared" si="174"/>
        <v>27</v>
      </c>
      <c r="V905" s="13">
        <f t="shared" si="160"/>
        <v>2.3333333333333335</v>
      </c>
      <c r="W905" s="13">
        <f t="shared" si="187"/>
        <v>2.3333333333333335</v>
      </c>
      <c r="X905" s="3">
        <f t="shared" si="161"/>
        <v>27</v>
      </c>
      <c r="Y905" s="3">
        <f t="shared" si="188"/>
        <v>3.7333333333333337E-3</v>
      </c>
      <c r="Z905" s="19"/>
      <c r="AA905" s="3">
        <f t="shared" si="189"/>
        <v>625</v>
      </c>
      <c r="AB905" s="3">
        <v>20</v>
      </c>
      <c r="AC905" s="3" t="s">
        <v>180</v>
      </c>
      <c r="AD905" s="3" t="s">
        <v>83</v>
      </c>
      <c r="AE905" s="3">
        <v>25</v>
      </c>
      <c r="AF905" s="3" t="s">
        <v>151</v>
      </c>
      <c r="AG905" s="3" t="s">
        <v>329</v>
      </c>
      <c r="AH905" s="3"/>
    </row>
    <row r="906" spans="1:34" ht="14.25" customHeight="1" x14ac:dyDescent="0.25">
      <c r="A906" s="3" t="s">
        <v>116</v>
      </c>
      <c r="B906" s="3" t="s">
        <v>79</v>
      </c>
      <c r="C906" s="19"/>
      <c r="D906" s="3" t="s">
        <v>115</v>
      </c>
      <c r="E906" s="3">
        <v>1</v>
      </c>
      <c r="F906" s="3">
        <v>1</v>
      </c>
      <c r="G906" s="3" t="s">
        <v>16</v>
      </c>
      <c r="H906" s="11">
        <v>45899</v>
      </c>
      <c r="I906" s="3" t="s">
        <v>179</v>
      </c>
      <c r="J906" s="3">
        <v>5</v>
      </c>
      <c r="K906" s="3">
        <v>0</v>
      </c>
      <c r="L906" s="3">
        <v>4</v>
      </c>
      <c r="M906" s="3">
        <f>6+8+7+8</f>
        <v>29</v>
      </c>
      <c r="N906" s="3">
        <v>4</v>
      </c>
      <c r="O906" s="3">
        <f t="shared" si="177"/>
        <v>42</v>
      </c>
      <c r="P906" s="3">
        <v>7</v>
      </c>
      <c r="Q906" s="3">
        <v>7</v>
      </c>
      <c r="R906" s="3">
        <v>3</v>
      </c>
      <c r="S906" s="3">
        <v>7</v>
      </c>
      <c r="T906" s="3">
        <v>3</v>
      </c>
      <c r="U906" s="3">
        <f t="shared" si="174"/>
        <v>27</v>
      </c>
      <c r="V906" s="13">
        <f t="shared" si="160"/>
        <v>1.5555555555555556</v>
      </c>
      <c r="W906" s="13">
        <f t="shared" si="187"/>
        <v>1.5555555555555556</v>
      </c>
      <c r="X906" s="3">
        <f t="shared" si="161"/>
        <v>27</v>
      </c>
      <c r="Y906" s="3">
        <f t="shared" si="188"/>
        <v>2.488888888888889E-3</v>
      </c>
      <c r="Z906" s="19"/>
      <c r="AA906" s="3">
        <f t="shared" si="189"/>
        <v>625</v>
      </c>
      <c r="AB906" s="3">
        <v>20</v>
      </c>
      <c r="AC906" s="3" t="s">
        <v>180</v>
      </c>
      <c r="AD906" s="3" t="s">
        <v>83</v>
      </c>
      <c r="AE906" s="3">
        <v>25</v>
      </c>
      <c r="AF906" s="3" t="s">
        <v>151</v>
      </c>
      <c r="AG906" s="3" t="s">
        <v>329</v>
      </c>
      <c r="AH906" s="3"/>
    </row>
    <row r="907" spans="1:34" ht="14.25" customHeight="1" x14ac:dyDescent="0.25">
      <c r="A907" s="3" t="s">
        <v>116</v>
      </c>
      <c r="B907" s="3" t="s">
        <v>79</v>
      </c>
      <c r="C907" s="19"/>
      <c r="D907" s="3" t="s">
        <v>115</v>
      </c>
      <c r="E907" s="3">
        <v>1</v>
      </c>
      <c r="F907" s="3">
        <v>1</v>
      </c>
      <c r="G907" s="3" t="s">
        <v>18</v>
      </c>
      <c r="H907" s="11">
        <v>45899</v>
      </c>
      <c r="I907" s="3" t="s">
        <v>179</v>
      </c>
      <c r="J907" s="3">
        <f>8+3</f>
        <v>11</v>
      </c>
      <c r="K907" s="3">
        <f>8</f>
        <v>8</v>
      </c>
      <c r="L907" s="3">
        <v>5</v>
      </c>
      <c r="M907" s="3">
        <f>6+4+7+5</f>
        <v>22</v>
      </c>
      <c r="N907" s="3">
        <v>0</v>
      </c>
      <c r="O907" s="3">
        <f t="shared" si="177"/>
        <v>46</v>
      </c>
      <c r="P907" s="3">
        <v>7</v>
      </c>
      <c r="Q907" s="3">
        <v>7</v>
      </c>
      <c r="R907" s="3">
        <v>3</v>
      </c>
      <c r="S907" s="3">
        <v>7</v>
      </c>
      <c r="T907" s="3">
        <v>3</v>
      </c>
      <c r="U907" s="3">
        <f t="shared" si="174"/>
        <v>27</v>
      </c>
      <c r="V907" s="13">
        <f t="shared" si="160"/>
        <v>1.7037037037037037</v>
      </c>
      <c r="W907" s="13">
        <f t="shared" si="187"/>
        <v>1.7037037037037037</v>
      </c>
      <c r="X907" s="3">
        <f t="shared" si="161"/>
        <v>27</v>
      </c>
      <c r="Y907" s="3">
        <f t="shared" si="188"/>
        <v>2.7259259259259259E-3</v>
      </c>
      <c r="Z907" s="19"/>
      <c r="AA907" s="3">
        <f t="shared" si="189"/>
        <v>625</v>
      </c>
      <c r="AB907" s="3">
        <v>20</v>
      </c>
      <c r="AC907" s="3" t="s">
        <v>180</v>
      </c>
      <c r="AD907" s="3" t="s">
        <v>83</v>
      </c>
      <c r="AE907" s="3">
        <v>25</v>
      </c>
      <c r="AF907" s="3" t="s">
        <v>151</v>
      </c>
      <c r="AG907" s="3" t="s">
        <v>329</v>
      </c>
      <c r="AH907" s="3"/>
    </row>
    <row r="908" spans="1:34" ht="14.25" customHeight="1" x14ac:dyDescent="0.25">
      <c r="A908" s="3" t="s">
        <v>116</v>
      </c>
      <c r="B908" s="3" t="s">
        <v>79</v>
      </c>
      <c r="C908" s="19"/>
      <c r="D908" s="3" t="s">
        <v>115</v>
      </c>
      <c r="E908" s="3">
        <v>1</v>
      </c>
      <c r="F908" s="3">
        <v>1</v>
      </c>
      <c r="G908" s="3" t="s">
        <v>25</v>
      </c>
      <c r="H908" s="11">
        <v>45899</v>
      </c>
      <c r="I908" s="3" t="s">
        <v>179</v>
      </c>
      <c r="J908" s="3">
        <f>10+15</f>
        <v>25</v>
      </c>
      <c r="K908" s="3">
        <f>13+7+13+8</f>
        <v>41</v>
      </c>
      <c r="L908" s="3">
        <v>0</v>
      </c>
      <c r="M908" s="3">
        <v>0</v>
      </c>
      <c r="N908" s="3">
        <v>0</v>
      </c>
      <c r="O908" s="3">
        <f t="shared" si="177"/>
        <v>66</v>
      </c>
      <c r="P908" s="3">
        <v>7</v>
      </c>
      <c r="Q908" s="3">
        <v>7</v>
      </c>
      <c r="R908" s="3">
        <v>3</v>
      </c>
      <c r="S908" s="3">
        <v>7</v>
      </c>
      <c r="T908" s="3">
        <v>3</v>
      </c>
      <c r="U908" s="3">
        <f t="shared" si="174"/>
        <v>27</v>
      </c>
      <c r="V908" s="13">
        <f t="shared" si="160"/>
        <v>2.4444444444444446</v>
      </c>
      <c r="W908" s="13">
        <f t="shared" si="187"/>
        <v>2.4444444444444446</v>
      </c>
      <c r="X908" s="3">
        <f t="shared" si="161"/>
        <v>27</v>
      </c>
      <c r="Y908" s="3">
        <f t="shared" si="188"/>
        <v>3.9111111111111117E-3</v>
      </c>
      <c r="Z908" s="19"/>
      <c r="AA908" s="3">
        <f t="shared" si="189"/>
        <v>625</v>
      </c>
      <c r="AB908" s="3">
        <v>20</v>
      </c>
      <c r="AC908" s="3" t="s">
        <v>180</v>
      </c>
      <c r="AD908" s="3" t="s">
        <v>83</v>
      </c>
      <c r="AE908" s="3">
        <v>25</v>
      </c>
      <c r="AF908" s="3" t="s">
        <v>151</v>
      </c>
      <c r="AG908" s="3" t="s">
        <v>329</v>
      </c>
      <c r="AH908" s="3"/>
    </row>
    <row r="909" spans="1:34" ht="14.25" customHeight="1" x14ac:dyDescent="0.25">
      <c r="A909" s="3" t="s">
        <v>116</v>
      </c>
      <c r="B909" s="3" t="s">
        <v>79</v>
      </c>
      <c r="C909" s="19"/>
      <c r="D909" s="3" t="s">
        <v>115</v>
      </c>
      <c r="E909" s="3">
        <v>1</v>
      </c>
      <c r="F909" s="3">
        <v>1</v>
      </c>
      <c r="G909" s="3" t="s">
        <v>22</v>
      </c>
      <c r="H909" s="11">
        <v>45899</v>
      </c>
      <c r="I909" s="3" t="s">
        <v>179</v>
      </c>
      <c r="J909" s="3">
        <v>0</v>
      </c>
      <c r="K909" s="3">
        <v>0</v>
      </c>
      <c r="L909" s="3">
        <v>4</v>
      </c>
      <c r="M909" s="3">
        <f>8+6+7+6</f>
        <v>27</v>
      </c>
      <c r="N909" s="3">
        <v>7</v>
      </c>
      <c r="O909" s="3">
        <f t="shared" si="177"/>
        <v>38</v>
      </c>
      <c r="P909" s="3">
        <v>7</v>
      </c>
      <c r="Q909" s="3">
        <v>7</v>
      </c>
      <c r="R909" s="3">
        <v>3</v>
      </c>
      <c r="S909" s="3">
        <v>7</v>
      </c>
      <c r="T909" s="3">
        <v>3</v>
      </c>
      <c r="U909" s="3">
        <f t="shared" si="174"/>
        <v>27</v>
      </c>
      <c r="V909" s="13">
        <f t="shared" si="160"/>
        <v>1.4074074074074074</v>
      </c>
      <c r="W909" s="13">
        <f t="shared" si="187"/>
        <v>1.4074074074074074</v>
      </c>
      <c r="X909" s="3">
        <f t="shared" si="161"/>
        <v>27</v>
      </c>
      <c r="Y909" s="3">
        <f t="shared" si="188"/>
        <v>2.2518518518518521E-3</v>
      </c>
      <c r="Z909" s="19"/>
      <c r="AA909" s="3">
        <f t="shared" si="189"/>
        <v>625</v>
      </c>
      <c r="AB909" s="3">
        <v>20</v>
      </c>
      <c r="AC909" s="3" t="s">
        <v>180</v>
      </c>
      <c r="AD909" s="3" t="s">
        <v>83</v>
      </c>
      <c r="AE909" s="3">
        <v>25</v>
      </c>
      <c r="AF909" s="3" t="s">
        <v>151</v>
      </c>
      <c r="AG909" s="3" t="s">
        <v>329</v>
      </c>
      <c r="AH909" s="3"/>
    </row>
    <row r="910" spans="1:34" ht="14.25" customHeight="1" x14ac:dyDescent="0.25">
      <c r="A910" s="3" t="s">
        <v>116</v>
      </c>
      <c r="B910" s="3" t="s">
        <v>79</v>
      </c>
      <c r="C910" s="19"/>
      <c r="D910" s="3" t="s">
        <v>115</v>
      </c>
      <c r="E910" s="3">
        <v>1</v>
      </c>
      <c r="F910" s="3">
        <v>1</v>
      </c>
      <c r="G910" s="3" t="s">
        <v>15</v>
      </c>
      <c r="H910" s="11">
        <v>45899</v>
      </c>
      <c r="I910" s="3" t="s">
        <v>179</v>
      </c>
      <c r="J910" s="3">
        <v>0</v>
      </c>
      <c r="K910" s="3">
        <v>9</v>
      </c>
      <c r="L910" s="3">
        <v>0</v>
      </c>
      <c r="M910" s="3">
        <v>0</v>
      </c>
      <c r="N910" s="3">
        <v>0</v>
      </c>
      <c r="O910" s="3">
        <f t="shared" si="177"/>
        <v>9</v>
      </c>
      <c r="P910" s="3">
        <v>7</v>
      </c>
      <c r="Q910" s="3">
        <v>7</v>
      </c>
      <c r="R910" s="3">
        <v>3</v>
      </c>
      <c r="S910" s="3">
        <v>7</v>
      </c>
      <c r="T910" s="3">
        <v>3</v>
      </c>
      <c r="U910" s="3">
        <f t="shared" si="174"/>
        <v>27</v>
      </c>
      <c r="V910" s="13">
        <f t="shared" si="160"/>
        <v>0.33333333333333331</v>
      </c>
      <c r="W910" s="13">
        <f t="shared" si="187"/>
        <v>0.33333333333333331</v>
      </c>
      <c r="X910" s="3">
        <f t="shared" si="161"/>
        <v>27</v>
      </c>
      <c r="Y910" s="3">
        <f t="shared" si="188"/>
        <v>5.3333333333333325E-4</v>
      </c>
      <c r="Z910" s="19"/>
      <c r="AA910" s="3">
        <f t="shared" si="189"/>
        <v>625</v>
      </c>
      <c r="AB910" s="3">
        <v>20</v>
      </c>
      <c r="AC910" s="3" t="s">
        <v>180</v>
      </c>
      <c r="AD910" s="3" t="s">
        <v>83</v>
      </c>
      <c r="AE910" s="3">
        <v>25</v>
      </c>
      <c r="AF910" s="3" t="s">
        <v>151</v>
      </c>
      <c r="AG910" s="3" t="s">
        <v>329</v>
      </c>
      <c r="AH910" s="3"/>
    </row>
    <row r="911" spans="1:34" ht="14.25" customHeight="1" x14ac:dyDescent="0.25">
      <c r="A911" s="3" t="s">
        <v>110</v>
      </c>
      <c r="B911" s="3" t="s">
        <v>79</v>
      </c>
      <c r="C911" s="3"/>
      <c r="D911" s="3" t="s">
        <v>101</v>
      </c>
      <c r="E911" s="3">
        <v>2</v>
      </c>
      <c r="F911" s="3">
        <v>1</v>
      </c>
      <c r="G911" s="3" t="s">
        <v>3</v>
      </c>
      <c r="H911" s="11">
        <v>45930</v>
      </c>
      <c r="I911" s="3" t="s">
        <v>181</v>
      </c>
      <c r="J911" s="3">
        <f>60+100</f>
        <v>160</v>
      </c>
      <c r="K911" s="3">
        <v>70</v>
      </c>
      <c r="L911" s="3">
        <f>90+45</f>
        <v>135</v>
      </c>
      <c r="M911" s="3">
        <v>120</v>
      </c>
      <c r="N911" s="3">
        <v>0</v>
      </c>
      <c r="O911" s="3">
        <f t="shared" ref="O911:O1020" si="190">SUM(J911:N911)</f>
        <v>485</v>
      </c>
      <c r="P911" s="3">
        <v>4</v>
      </c>
      <c r="Q911" s="3">
        <v>3</v>
      </c>
      <c r="R911" s="3">
        <v>2</v>
      </c>
      <c r="S911" s="3">
        <v>2</v>
      </c>
      <c r="T911" s="3">
        <v>1</v>
      </c>
      <c r="U911" s="3">
        <v>15</v>
      </c>
      <c r="V911" s="13">
        <f t="shared" ref="V911:V1085" si="191">O911/U911/F911</f>
        <v>32.333333333333336</v>
      </c>
      <c r="W911" s="13">
        <f t="shared" si="187"/>
        <v>32.333333333333336</v>
      </c>
      <c r="X911" s="3">
        <f t="shared" ref="X911:X1085" si="192">F911*U911</f>
        <v>15</v>
      </c>
      <c r="Y911" s="3">
        <f t="shared" si="188"/>
        <v>3.0793650793650797E-2</v>
      </c>
      <c r="Z911" s="3"/>
      <c r="AA911" s="3">
        <f t="shared" ref="AA911:AA912" si="193">70*3*5</f>
        <v>1050</v>
      </c>
      <c r="AB911" s="3">
        <v>50</v>
      </c>
      <c r="AC911" s="3" t="s">
        <v>180</v>
      </c>
      <c r="AD911" s="3" t="s">
        <v>83</v>
      </c>
      <c r="AE911" s="3">
        <v>15</v>
      </c>
      <c r="AF911" s="3" t="s">
        <v>102</v>
      </c>
      <c r="AG911" s="3" t="s">
        <v>330</v>
      </c>
      <c r="AH911" s="3"/>
    </row>
    <row r="912" spans="1:34" ht="14.25" customHeight="1" x14ac:dyDescent="0.25">
      <c r="A912" s="3" t="s">
        <v>110</v>
      </c>
      <c r="B912" s="3" t="s">
        <v>79</v>
      </c>
      <c r="C912" s="3"/>
      <c r="D912" s="3" t="s">
        <v>101</v>
      </c>
      <c r="E912" s="3">
        <v>2</v>
      </c>
      <c r="F912" s="3">
        <v>1</v>
      </c>
      <c r="G912" s="3" t="s">
        <v>25</v>
      </c>
      <c r="H912" s="11">
        <v>45930</v>
      </c>
      <c r="I912" s="3" t="s">
        <v>181</v>
      </c>
      <c r="J912" s="3">
        <f>48+12</f>
        <v>60</v>
      </c>
      <c r="K912" s="3">
        <f>36+28</f>
        <v>64</v>
      </c>
      <c r="L912" s="3">
        <v>0</v>
      </c>
      <c r="M912" s="3">
        <f>37</f>
        <v>37</v>
      </c>
      <c r="N912" s="3">
        <v>41</v>
      </c>
      <c r="O912" s="3">
        <f t="shared" si="190"/>
        <v>202</v>
      </c>
      <c r="P912" s="3">
        <v>4</v>
      </c>
      <c r="Q912" s="3">
        <v>3</v>
      </c>
      <c r="R912" s="3">
        <v>2</v>
      </c>
      <c r="S912" s="3">
        <v>2</v>
      </c>
      <c r="T912" s="3">
        <v>1</v>
      </c>
      <c r="U912" s="3">
        <v>15</v>
      </c>
      <c r="V912" s="13">
        <f t="shared" si="191"/>
        <v>13.466666666666667</v>
      </c>
      <c r="W912" s="13">
        <f t="shared" si="187"/>
        <v>13.466666666666667</v>
      </c>
      <c r="X912" s="3">
        <f t="shared" si="192"/>
        <v>15</v>
      </c>
      <c r="Y912" s="3">
        <f t="shared" si="188"/>
        <v>1.2825396825396825E-2</v>
      </c>
      <c r="Z912" s="3"/>
      <c r="AA912" s="3">
        <f t="shared" si="193"/>
        <v>1050</v>
      </c>
      <c r="AB912" s="3">
        <v>50</v>
      </c>
      <c r="AC912" s="3" t="s">
        <v>180</v>
      </c>
      <c r="AD912" s="3" t="s">
        <v>83</v>
      </c>
      <c r="AE912" s="3">
        <v>15</v>
      </c>
      <c r="AF912" s="3" t="s">
        <v>102</v>
      </c>
      <c r="AG912" s="3" t="s">
        <v>330</v>
      </c>
      <c r="AH912" s="3"/>
    </row>
    <row r="913" spans="1:34" ht="14.25" customHeight="1" x14ac:dyDescent="0.25">
      <c r="A913" s="3" t="s">
        <v>154</v>
      </c>
      <c r="B913" s="3" t="s">
        <v>79</v>
      </c>
      <c r="C913" s="3"/>
      <c r="D913" s="3" t="s">
        <v>101</v>
      </c>
      <c r="E913" s="3">
        <v>2</v>
      </c>
      <c r="F913" s="3">
        <v>1</v>
      </c>
      <c r="G913" s="3" t="s">
        <v>2</v>
      </c>
      <c r="H913" s="11">
        <v>45930</v>
      </c>
      <c r="I913" s="3" t="s">
        <v>181</v>
      </c>
      <c r="J913" s="3">
        <f>2+14</f>
        <v>16</v>
      </c>
      <c r="K913" s="3">
        <f>6+7</f>
        <v>13</v>
      </c>
      <c r="L913" s="3">
        <f>14.5+12+7</f>
        <v>33.5</v>
      </c>
      <c r="M913" s="3">
        <v>13</v>
      </c>
      <c r="N913" s="3">
        <v>9</v>
      </c>
      <c r="O913" s="3">
        <f t="shared" si="190"/>
        <v>84.5</v>
      </c>
      <c r="P913" s="3">
        <v>5</v>
      </c>
      <c r="Q913" s="3">
        <v>5</v>
      </c>
      <c r="R913" s="3">
        <v>5</v>
      </c>
      <c r="S913" s="3">
        <v>3</v>
      </c>
      <c r="T913" s="3">
        <v>1</v>
      </c>
      <c r="U913" s="3">
        <v>28</v>
      </c>
      <c r="V913" s="13">
        <f t="shared" si="191"/>
        <v>3.0178571428571428</v>
      </c>
      <c r="W913" s="13">
        <f t="shared" si="187"/>
        <v>3.0178571428571428</v>
      </c>
      <c r="X913" s="3">
        <f t="shared" si="192"/>
        <v>28</v>
      </c>
      <c r="Y913" s="3" t="e">
        <f t="shared" si="188"/>
        <v>#DIV/0!</v>
      </c>
      <c r="Z913" s="3"/>
      <c r="AA913" s="3"/>
      <c r="AB913" s="3">
        <f t="shared" ref="AB913:AB915" si="194">10*4</f>
        <v>40</v>
      </c>
      <c r="AC913" s="3" t="s">
        <v>180</v>
      </c>
      <c r="AD913" s="3" t="s">
        <v>83</v>
      </c>
      <c r="AE913" s="3">
        <v>50</v>
      </c>
      <c r="AF913" s="3" t="s">
        <v>102</v>
      </c>
      <c r="AG913" s="3" t="s">
        <v>255</v>
      </c>
      <c r="AH913" s="3"/>
    </row>
    <row r="914" spans="1:34" ht="14.25" customHeight="1" x14ac:dyDescent="0.25">
      <c r="A914" s="3" t="s">
        <v>154</v>
      </c>
      <c r="B914" s="3" t="s">
        <v>79</v>
      </c>
      <c r="C914" s="3"/>
      <c r="D914" s="3" t="s">
        <v>101</v>
      </c>
      <c r="E914" s="3">
        <v>2</v>
      </c>
      <c r="F914" s="3">
        <v>1</v>
      </c>
      <c r="G914" s="3" t="s">
        <v>14</v>
      </c>
      <c r="H914" s="11">
        <v>45930</v>
      </c>
      <c r="I914" s="3" t="s">
        <v>181</v>
      </c>
      <c r="J914" s="3">
        <v>5</v>
      </c>
      <c r="K914" s="3">
        <f>8+5+17</f>
        <v>30</v>
      </c>
      <c r="L914" s="3">
        <f>8+3</f>
        <v>11</v>
      </c>
      <c r="M914" s="3">
        <v>5</v>
      </c>
      <c r="N914" s="3">
        <v>0</v>
      </c>
      <c r="O914" s="3">
        <f t="shared" si="190"/>
        <v>51</v>
      </c>
      <c r="P914" s="3">
        <v>5</v>
      </c>
      <c r="Q914" s="3">
        <v>5</v>
      </c>
      <c r="R914" s="3">
        <v>5</v>
      </c>
      <c r="S914" s="3">
        <v>3</v>
      </c>
      <c r="T914" s="3">
        <v>1</v>
      </c>
      <c r="U914" s="3">
        <v>28</v>
      </c>
      <c r="V914" s="13">
        <f t="shared" si="191"/>
        <v>1.8214285714285714</v>
      </c>
      <c r="W914" s="13">
        <f t="shared" si="187"/>
        <v>1.8214285714285714</v>
      </c>
      <c r="X914" s="3">
        <f t="shared" si="192"/>
        <v>28</v>
      </c>
      <c r="Y914" s="3" t="e">
        <f t="shared" si="188"/>
        <v>#DIV/0!</v>
      </c>
      <c r="Z914" s="3"/>
      <c r="AA914" s="3"/>
      <c r="AB914" s="3">
        <f t="shared" si="194"/>
        <v>40</v>
      </c>
      <c r="AC914" s="3" t="s">
        <v>180</v>
      </c>
      <c r="AD914" s="3" t="s">
        <v>83</v>
      </c>
      <c r="AE914" s="3">
        <v>50</v>
      </c>
      <c r="AF914" s="3" t="s">
        <v>102</v>
      </c>
      <c r="AG914" s="3" t="s">
        <v>255</v>
      </c>
      <c r="AH914" s="3"/>
    </row>
    <row r="915" spans="1:34" ht="14.25" customHeight="1" x14ac:dyDescent="0.25">
      <c r="A915" s="3" t="s">
        <v>154</v>
      </c>
      <c r="B915" s="3" t="s">
        <v>79</v>
      </c>
      <c r="C915" s="3"/>
      <c r="D915" s="3" t="s">
        <v>101</v>
      </c>
      <c r="E915" s="3">
        <v>2</v>
      </c>
      <c r="F915" s="3">
        <v>1</v>
      </c>
      <c r="G915" s="3" t="s">
        <v>25</v>
      </c>
      <c r="H915" s="11">
        <v>45930</v>
      </c>
      <c r="I915" s="3" t="s">
        <v>181</v>
      </c>
      <c r="J915" s="3">
        <f>8+10+13+20</f>
        <v>51</v>
      </c>
      <c r="K915" s="3">
        <v>7</v>
      </c>
      <c r="L915" s="3">
        <f>12+10+12</f>
        <v>34</v>
      </c>
      <c r="M915" s="3">
        <f>8+17+10</f>
        <v>35</v>
      </c>
      <c r="N915" s="3">
        <v>18</v>
      </c>
      <c r="O915" s="3">
        <f t="shared" si="190"/>
        <v>145</v>
      </c>
      <c r="P915" s="3">
        <v>5</v>
      </c>
      <c r="Q915" s="3">
        <v>5</v>
      </c>
      <c r="R915" s="3">
        <v>5</v>
      </c>
      <c r="S915" s="3">
        <v>3</v>
      </c>
      <c r="T915" s="3">
        <v>1</v>
      </c>
      <c r="U915" s="3">
        <v>28</v>
      </c>
      <c r="V915" s="13">
        <f t="shared" si="191"/>
        <v>5.1785714285714288</v>
      </c>
      <c r="W915" s="13">
        <f t="shared" si="187"/>
        <v>5.1785714285714288</v>
      </c>
      <c r="X915" s="3">
        <f t="shared" si="192"/>
        <v>28</v>
      </c>
      <c r="Y915" s="3" t="e">
        <f t="shared" si="188"/>
        <v>#DIV/0!</v>
      </c>
      <c r="Z915" s="3"/>
      <c r="AA915" s="3"/>
      <c r="AB915" s="3">
        <f t="shared" si="194"/>
        <v>40</v>
      </c>
      <c r="AC915" s="3" t="s">
        <v>180</v>
      </c>
      <c r="AD915" s="3" t="s">
        <v>83</v>
      </c>
      <c r="AE915" s="3">
        <v>50</v>
      </c>
      <c r="AF915" s="3" t="s">
        <v>102</v>
      </c>
      <c r="AG915" s="3" t="s">
        <v>255</v>
      </c>
      <c r="AH915" s="3"/>
    </row>
    <row r="916" spans="1:34" ht="14.25" customHeight="1" x14ac:dyDescent="0.25">
      <c r="A916" s="3" t="s">
        <v>105</v>
      </c>
      <c r="B916" s="3" t="s">
        <v>79</v>
      </c>
      <c r="C916" s="3"/>
      <c r="D916" s="3" t="s">
        <v>101</v>
      </c>
      <c r="E916" s="3">
        <v>2</v>
      </c>
      <c r="F916" s="3">
        <v>1</v>
      </c>
      <c r="G916" s="3" t="s">
        <v>3</v>
      </c>
      <c r="H916" s="11">
        <v>45930</v>
      </c>
      <c r="I916" s="3" t="s">
        <v>181</v>
      </c>
      <c r="J916" s="3">
        <v>0</v>
      </c>
      <c r="K916" s="3">
        <v>11</v>
      </c>
      <c r="L916" s="3">
        <v>0</v>
      </c>
      <c r="M916" s="3">
        <v>0</v>
      </c>
      <c r="N916" s="3">
        <v>0</v>
      </c>
      <c r="O916" s="3">
        <f t="shared" si="190"/>
        <v>11</v>
      </c>
      <c r="P916" s="3">
        <v>0</v>
      </c>
      <c r="Q916" s="3">
        <v>1</v>
      </c>
      <c r="R916" s="3">
        <v>0</v>
      </c>
      <c r="S916" s="3">
        <v>0</v>
      </c>
      <c r="T916" s="3">
        <v>0</v>
      </c>
      <c r="U916" s="3">
        <v>7</v>
      </c>
      <c r="V916" s="13">
        <f t="shared" si="191"/>
        <v>1.5714285714285714</v>
      </c>
      <c r="W916" s="13">
        <f t="shared" si="187"/>
        <v>1.5714285714285714</v>
      </c>
      <c r="X916" s="3">
        <f t="shared" si="192"/>
        <v>7</v>
      </c>
      <c r="Y916" s="3">
        <f t="shared" si="188"/>
        <v>8.9540089540089546E-3</v>
      </c>
      <c r="Z916" s="3"/>
      <c r="AA916" s="3">
        <f t="shared" ref="AA916:AA917" si="195">55*1.8*1+45*1.7*1</f>
        <v>175.5</v>
      </c>
      <c r="AB916" s="3"/>
      <c r="AC916" s="3" t="s">
        <v>180</v>
      </c>
      <c r="AD916" s="3" t="s">
        <v>83</v>
      </c>
      <c r="AE916" s="3">
        <v>15</v>
      </c>
      <c r="AF916" s="3" t="s">
        <v>102</v>
      </c>
      <c r="AG916" s="3" t="s">
        <v>287</v>
      </c>
      <c r="AH916" s="3"/>
    </row>
    <row r="917" spans="1:34" ht="14.25" customHeight="1" x14ac:dyDescent="0.25">
      <c r="A917" s="3" t="s">
        <v>105</v>
      </c>
      <c r="B917" s="3" t="s">
        <v>79</v>
      </c>
      <c r="C917" s="3"/>
      <c r="D917" s="3" t="s">
        <v>101</v>
      </c>
      <c r="E917" s="3">
        <v>2</v>
      </c>
      <c r="F917" s="3">
        <v>1</v>
      </c>
      <c r="G917" s="3" t="s">
        <v>2</v>
      </c>
      <c r="H917" s="11">
        <v>45930</v>
      </c>
      <c r="I917" s="3" t="s">
        <v>181</v>
      </c>
      <c r="J917" s="3">
        <v>0</v>
      </c>
      <c r="K917" s="3">
        <v>7</v>
      </c>
      <c r="L917" s="3">
        <v>0</v>
      </c>
      <c r="M917" s="3">
        <v>0</v>
      </c>
      <c r="N917" s="3">
        <v>0</v>
      </c>
      <c r="O917" s="3">
        <f t="shared" si="190"/>
        <v>7</v>
      </c>
      <c r="P917" s="3">
        <v>0</v>
      </c>
      <c r="Q917" s="3">
        <v>1</v>
      </c>
      <c r="R917" s="3">
        <v>0</v>
      </c>
      <c r="S917" s="3">
        <v>0</v>
      </c>
      <c r="T917" s="3">
        <v>0</v>
      </c>
      <c r="U917" s="3">
        <v>7</v>
      </c>
      <c r="V917" s="13">
        <f t="shared" si="191"/>
        <v>1</v>
      </c>
      <c r="W917" s="13">
        <f t="shared" si="187"/>
        <v>1</v>
      </c>
      <c r="X917" s="3">
        <f t="shared" si="192"/>
        <v>7</v>
      </c>
      <c r="Y917" s="3">
        <f t="shared" si="188"/>
        <v>5.6980056980056983E-3</v>
      </c>
      <c r="Z917" s="3"/>
      <c r="AA917" s="3">
        <f t="shared" si="195"/>
        <v>175.5</v>
      </c>
      <c r="AB917" s="3"/>
      <c r="AC917" s="3" t="s">
        <v>180</v>
      </c>
      <c r="AD917" s="3" t="s">
        <v>83</v>
      </c>
      <c r="AE917" s="3">
        <v>15</v>
      </c>
      <c r="AF917" s="3" t="s">
        <v>102</v>
      </c>
      <c r="AG917" s="3" t="s">
        <v>287</v>
      </c>
      <c r="AH917" s="3"/>
    </row>
    <row r="918" spans="1:34" ht="14.25" customHeight="1" x14ac:dyDescent="0.25">
      <c r="A918" s="3" t="s">
        <v>104</v>
      </c>
      <c r="B918" s="3" t="s">
        <v>79</v>
      </c>
      <c r="C918" s="3"/>
      <c r="D918" s="3" t="s">
        <v>101</v>
      </c>
      <c r="E918" s="3">
        <v>2</v>
      </c>
      <c r="F918" s="3">
        <v>1</v>
      </c>
      <c r="G918" s="3" t="s">
        <v>1</v>
      </c>
      <c r="H918" s="11">
        <v>45930</v>
      </c>
      <c r="I918" s="3" t="s">
        <v>181</v>
      </c>
      <c r="J918" s="3">
        <f>40+30</f>
        <v>70</v>
      </c>
      <c r="K918" s="3">
        <f>10+100</f>
        <v>110</v>
      </c>
      <c r="L918" s="3">
        <f>80+30</f>
        <v>110</v>
      </c>
      <c r="M918" s="3">
        <f>25+15</f>
        <v>40</v>
      </c>
      <c r="N918" s="3">
        <v>0</v>
      </c>
      <c r="O918" s="3">
        <f t="shared" si="190"/>
        <v>330</v>
      </c>
      <c r="P918" s="3">
        <v>5</v>
      </c>
      <c r="Q918" s="3">
        <v>4</v>
      </c>
      <c r="R918" s="3">
        <v>4</v>
      </c>
      <c r="S918" s="3">
        <v>6</v>
      </c>
      <c r="T918" s="3">
        <v>1</v>
      </c>
      <c r="U918" s="3">
        <v>28</v>
      </c>
      <c r="V918" s="13">
        <f t="shared" si="191"/>
        <v>11.785714285714286</v>
      </c>
      <c r="W918" s="13">
        <f t="shared" si="187"/>
        <v>11.785714285714286</v>
      </c>
      <c r="X918" s="3">
        <f t="shared" si="192"/>
        <v>28</v>
      </c>
      <c r="Y918" s="3">
        <f t="shared" si="188"/>
        <v>5.036630036630037E-3</v>
      </c>
      <c r="Z918" s="3"/>
      <c r="AA918" s="3">
        <f t="shared" ref="AA918:AA921" si="196">60*6*4+60*3*5</f>
        <v>2340</v>
      </c>
      <c r="AB918" s="3">
        <v>45</v>
      </c>
      <c r="AC918" s="3" t="s">
        <v>180</v>
      </c>
      <c r="AD918" s="3" t="s">
        <v>83</v>
      </c>
      <c r="AE918" s="3">
        <v>40</v>
      </c>
      <c r="AF918" s="3" t="s">
        <v>102</v>
      </c>
      <c r="AG918" s="3" t="s">
        <v>331</v>
      </c>
      <c r="AH918" s="3"/>
    </row>
    <row r="919" spans="1:34" ht="14.25" customHeight="1" x14ac:dyDescent="0.25">
      <c r="A919" s="3" t="s">
        <v>104</v>
      </c>
      <c r="B919" s="3" t="s">
        <v>79</v>
      </c>
      <c r="C919" s="3"/>
      <c r="D919" s="3" t="s">
        <v>101</v>
      </c>
      <c r="E919" s="3">
        <v>2</v>
      </c>
      <c r="F919" s="3">
        <v>1</v>
      </c>
      <c r="G919" s="3" t="s">
        <v>3</v>
      </c>
      <c r="H919" s="11">
        <v>45930</v>
      </c>
      <c r="I919" s="3" t="s">
        <v>181</v>
      </c>
      <c r="J919" s="3">
        <f>100+80+120</f>
        <v>300</v>
      </c>
      <c r="K919" s="3">
        <f>65+200</f>
        <v>265</v>
      </c>
      <c r="L919" s="3">
        <v>110</v>
      </c>
      <c r="M919" s="3">
        <f>115+90+120</f>
        <v>325</v>
      </c>
      <c r="N919" s="3">
        <v>0</v>
      </c>
      <c r="O919" s="3">
        <f t="shared" si="190"/>
        <v>1000</v>
      </c>
      <c r="P919" s="3">
        <v>5</v>
      </c>
      <c r="Q919" s="3">
        <v>4</v>
      </c>
      <c r="R919" s="3">
        <v>4</v>
      </c>
      <c r="S919" s="3">
        <v>6</v>
      </c>
      <c r="T919" s="3">
        <v>1</v>
      </c>
      <c r="U919" s="3">
        <v>28</v>
      </c>
      <c r="V919" s="13">
        <f t="shared" si="191"/>
        <v>35.714285714285715</v>
      </c>
      <c r="W919" s="13">
        <f t="shared" si="187"/>
        <v>35.714285714285715</v>
      </c>
      <c r="X919" s="3">
        <f t="shared" si="192"/>
        <v>28</v>
      </c>
      <c r="Y919" s="3">
        <f t="shared" si="188"/>
        <v>1.5262515262515264E-2</v>
      </c>
      <c r="Z919" s="3"/>
      <c r="AA919" s="3">
        <f t="shared" si="196"/>
        <v>2340</v>
      </c>
      <c r="AB919" s="3">
        <v>45</v>
      </c>
      <c r="AC919" s="3" t="s">
        <v>180</v>
      </c>
      <c r="AD919" s="3" t="s">
        <v>83</v>
      </c>
      <c r="AE919" s="3">
        <v>40</v>
      </c>
      <c r="AF919" s="3" t="s">
        <v>102</v>
      </c>
      <c r="AG919" s="3" t="s">
        <v>331</v>
      </c>
      <c r="AH919" s="3"/>
    </row>
    <row r="920" spans="1:34" ht="14.25" customHeight="1" x14ac:dyDescent="0.25">
      <c r="A920" s="3" t="s">
        <v>104</v>
      </c>
      <c r="B920" s="3" t="s">
        <v>79</v>
      </c>
      <c r="C920" s="3"/>
      <c r="D920" s="3" t="s">
        <v>101</v>
      </c>
      <c r="E920" s="3">
        <v>2</v>
      </c>
      <c r="F920" s="3">
        <v>1</v>
      </c>
      <c r="G920" s="3" t="s">
        <v>9</v>
      </c>
      <c r="H920" s="11">
        <v>45930</v>
      </c>
      <c r="I920" s="3" t="s">
        <v>181</v>
      </c>
      <c r="J920" s="3">
        <f>50+25</f>
        <v>75</v>
      </c>
      <c r="K920" s="3">
        <v>50</v>
      </c>
      <c r="L920" s="3">
        <v>30</v>
      </c>
      <c r="M920" s="3">
        <v>0</v>
      </c>
      <c r="N920" s="3">
        <v>30</v>
      </c>
      <c r="O920" s="3">
        <f t="shared" si="190"/>
        <v>185</v>
      </c>
      <c r="P920" s="3">
        <v>5</v>
      </c>
      <c r="Q920" s="3">
        <v>4</v>
      </c>
      <c r="R920" s="3">
        <v>4</v>
      </c>
      <c r="S920" s="3">
        <v>6</v>
      </c>
      <c r="T920" s="3">
        <v>1</v>
      </c>
      <c r="U920" s="3">
        <v>28</v>
      </c>
      <c r="V920" s="13">
        <f t="shared" si="191"/>
        <v>6.6071428571428568</v>
      </c>
      <c r="W920" s="13">
        <f t="shared" si="187"/>
        <v>6.6071428571428568</v>
      </c>
      <c r="X920" s="3">
        <f t="shared" si="192"/>
        <v>28</v>
      </c>
      <c r="Y920" s="3">
        <f t="shared" si="188"/>
        <v>2.8235653235653235E-3</v>
      </c>
      <c r="Z920" s="3"/>
      <c r="AA920" s="3">
        <f t="shared" si="196"/>
        <v>2340</v>
      </c>
      <c r="AB920" s="3">
        <v>45</v>
      </c>
      <c r="AC920" s="3" t="s">
        <v>180</v>
      </c>
      <c r="AD920" s="3" t="s">
        <v>83</v>
      </c>
      <c r="AE920" s="3">
        <v>40</v>
      </c>
      <c r="AF920" s="3" t="s">
        <v>102</v>
      </c>
      <c r="AG920" s="3" t="s">
        <v>331</v>
      </c>
      <c r="AH920" s="3"/>
    </row>
    <row r="921" spans="1:34" ht="14.25" customHeight="1" x14ac:dyDescent="0.25">
      <c r="A921" s="3" t="s">
        <v>104</v>
      </c>
      <c r="B921" s="3" t="s">
        <v>79</v>
      </c>
      <c r="C921" s="3"/>
      <c r="D921" s="3" t="s">
        <v>101</v>
      </c>
      <c r="E921" s="3">
        <v>2</v>
      </c>
      <c r="F921" s="3">
        <v>1</v>
      </c>
      <c r="G921" s="3" t="s">
        <v>14</v>
      </c>
      <c r="H921" s="11">
        <v>45930</v>
      </c>
      <c r="I921" s="3" t="s">
        <v>181</v>
      </c>
      <c r="J921" s="3">
        <f>20+12+10</f>
        <v>42</v>
      </c>
      <c r="K921" s="3">
        <f>20+12</f>
        <v>32</v>
      </c>
      <c r="L921" s="3">
        <f>15+10</f>
        <v>25</v>
      </c>
      <c r="M921" s="3">
        <v>11</v>
      </c>
      <c r="N921" s="3">
        <v>0</v>
      </c>
      <c r="O921" s="3">
        <f t="shared" si="190"/>
        <v>110</v>
      </c>
      <c r="P921" s="3">
        <v>5</v>
      </c>
      <c r="Q921" s="3">
        <v>4</v>
      </c>
      <c r="R921" s="3">
        <v>4</v>
      </c>
      <c r="S921" s="3">
        <v>6</v>
      </c>
      <c r="T921" s="3">
        <v>1</v>
      </c>
      <c r="U921" s="3">
        <v>28</v>
      </c>
      <c r="V921" s="13">
        <f t="shared" si="191"/>
        <v>3.9285714285714284</v>
      </c>
      <c r="W921" s="13">
        <f t="shared" si="187"/>
        <v>3.9285714285714284</v>
      </c>
      <c r="X921" s="3">
        <f t="shared" si="192"/>
        <v>28</v>
      </c>
      <c r="Y921" s="3">
        <f t="shared" si="188"/>
        <v>1.6788766788766788E-3</v>
      </c>
      <c r="Z921" s="3"/>
      <c r="AA921" s="3">
        <f t="shared" si="196"/>
        <v>2340</v>
      </c>
      <c r="AB921" s="3">
        <v>45</v>
      </c>
      <c r="AC921" s="3" t="s">
        <v>180</v>
      </c>
      <c r="AD921" s="3" t="s">
        <v>83</v>
      </c>
      <c r="AE921" s="3">
        <v>40</v>
      </c>
      <c r="AF921" s="3" t="s">
        <v>102</v>
      </c>
      <c r="AG921" s="3" t="s">
        <v>331</v>
      </c>
      <c r="AH921" s="3"/>
    </row>
    <row r="922" spans="1:34" ht="14.25" customHeight="1" x14ac:dyDescent="0.25">
      <c r="A922" s="3" t="s">
        <v>137</v>
      </c>
      <c r="B922" s="3" t="s">
        <v>79</v>
      </c>
      <c r="C922" s="3"/>
      <c r="D922" s="3" t="s">
        <v>101</v>
      </c>
      <c r="E922" s="3">
        <v>2</v>
      </c>
      <c r="F922" s="3">
        <v>1</v>
      </c>
      <c r="G922" s="3" t="s">
        <v>14</v>
      </c>
      <c r="H922" s="11">
        <v>45930</v>
      </c>
      <c r="I922" s="3" t="s">
        <v>181</v>
      </c>
      <c r="J922" s="3">
        <v>0</v>
      </c>
      <c r="K922" s="3">
        <v>13</v>
      </c>
      <c r="L922" s="3">
        <v>0</v>
      </c>
      <c r="M922" s="3">
        <v>0</v>
      </c>
      <c r="N922" s="3">
        <v>0</v>
      </c>
      <c r="O922" s="3">
        <f t="shared" si="190"/>
        <v>13</v>
      </c>
      <c r="P922" s="3">
        <v>5</v>
      </c>
      <c r="Q922" s="3">
        <v>2</v>
      </c>
      <c r="R922" s="3">
        <v>0</v>
      </c>
      <c r="S922" s="3">
        <v>0</v>
      </c>
      <c r="T922" s="3">
        <v>0</v>
      </c>
      <c r="U922" s="3">
        <f t="shared" ref="U922:U923" si="197">SUM(P922:T922)</f>
        <v>7</v>
      </c>
      <c r="V922" s="13">
        <f t="shared" si="191"/>
        <v>1.8571428571428572</v>
      </c>
      <c r="W922" s="13">
        <f t="shared" si="187"/>
        <v>1.8571428571428572</v>
      </c>
      <c r="X922" s="3">
        <f t="shared" si="192"/>
        <v>7</v>
      </c>
      <c r="Y922" s="3" t="e">
        <f t="shared" si="188"/>
        <v>#DIV/0!</v>
      </c>
      <c r="Z922" s="3"/>
      <c r="AA922" s="3"/>
      <c r="AB922" s="3">
        <f t="shared" ref="AB922:AB923" si="198">10*3</f>
        <v>30</v>
      </c>
      <c r="AC922" s="3" t="s">
        <v>180</v>
      </c>
      <c r="AD922" s="3" t="s">
        <v>83</v>
      </c>
      <c r="AE922" s="3">
        <v>40</v>
      </c>
      <c r="AF922" s="3" t="s">
        <v>102</v>
      </c>
      <c r="AG922" s="3" t="s">
        <v>256</v>
      </c>
      <c r="AH922" s="3"/>
    </row>
    <row r="923" spans="1:34" ht="14.25" customHeight="1" x14ac:dyDescent="0.25">
      <c r="A923" s="3" t="s">
        <v>137</v>
      </c>
      <c r="B923" s="3" t="s">
        <v>79</v>
      </c>
      <c r="C923" s="3"/>
      <c r="D923" s="3" t="s">
        <v>101</v>
      </c>
      <c r="E923" s="3">
        <v>2</v>
      </c>
      <c r="F923" s="3">
        <v>1</v>
      </c>
      <c r="G923" s="3" t="s">
        <v>25</v>
      </c>
      <c r="H923" s="11">
        <v>45930</v>
      </c>
      <c r="I923" s="3" t="s">
        <v>181</v>
      </c>
      <c r="J923" s="3">
        <f>12+7+9+22+6</f>
        <v>56</v>
      </c>
      <c r="K923" s="3">
        <v>21</v>
      </c>
      <c r="L923" s="3">
        <v>0</v>
      </c>
      <c r="M923" s="3">
        <v>0</v>
      </c>
      <c r="N923" s="3">
        <v>0</v>
      </c>
      <c r="O923" s="3">
        <f t="shared" si="190"/>
        <v>77</v>
      </c>
      <c r="P923" s="3">
        <v>5</v>
      </c>
      <c r="Q923" s="3">
        <v>2</v>
      </c>
      <c r="R923" s="3">
        <v>0</v>
      </c>
      <c r="S923" s="3">
        <v>0</v>
      </c>
      <c r="T923" s="3">
        <v>0</v>
      </c>
      <c r="U923" s="3">
        <f t="shared" si="197"/>
        <v>7</v>
      </c>
      <c r="V923" s="13">
        <f t="shared" si="191"/>
        <v>11</v>
      </c>
      <c r="W923" s="13">
        <f t="shared" si="187"/>
        <v>11</v>
      </c>
      <c r="X923" s="3">
        <f t="shared" si="192"/>
        <v>7</v>
      </c>
      <c r="Y923" s="3" t="e">
        <f t="shared" si="188"/>
        <v>#DIV/0!</v>
      </c>
      <c r="Z923" s="3"/>
      <c r="AA923" s="3"/>
      <c r="AB923" s="3">
        <f t="shared" si="198"/>
        <v>30</v>
      </c>
      <c r="AC923" s="3" t="s">
        <v>180</v>
      </c>
      <c r="AD923" s="3" t="s">
        <v>83</v>
      </c>
      <c r="AE923" s="3">
        <v>40</v>
      </c>
      <c r="AF923" s="3" t="s">
        <v>102</v>
      </c>
      <c r="AG923" s="3" t="s">
        <v>256</v>
      </c>
      <c r="AH923" s="3"/>
    </row>
    <row r="924" spans="1:34" ht="14.25" customHeight="1" x14ac:dyDescent="0.25">
      <c r="A924" s="3" t="s">
        <v>109</v>
      </c>
      <c r="B924" s="3" t="s">
        <v>79</v>
      </c>
      <c r="C924" s="3"/>
      <c r="D924" s="3" t="s">
        <v>101</v>
      </c>
      <c r="E924" s="3">
        <v>2</v>
      </c>
      <c r="F924" s="3">
        <v>1</v>
      </c>
      <c r="G924" s="3" t="s">
        <v>1</v>
      </c>
      <c r="H924" s="11">
        <v>45930</v>
      </c>
      <c r="I924" s="3" t="s">
        <v>181</v>
      </c>
      <c r="J924" s="3">
        <v>15</v>
      </c>
      <c r="K924" s="3">
        <v>0</v>
      </c>
      <c r="L924" s="3">
        <v>0</v>
      </c>
      <c r="M924" s="3">
        <v>0</v>
      </c>
      <c r="N924" s="3">
        <v>0</v>
      </c>
      <c r="O924" s="3">
        <f t="shared" si="190"/>
        <v>15</v>
      </c>
      <c r="P924" s="3">
        <v>2</v>
      </c>
      <c r="Q924" s="3">
        <v>1</v>
      </c>
      <c r="R924" s="3">
        <v>0</v>
      </c>
      <c r="S924" s="3">
        <v>2</v>
      </c>
      <c r="T924" s="3">
        <v>1</v>
      </c>
      <c r="U924" s="3">
        <v>26</v>
      </c>
      <c r="V924" s="13">
        <f t="shared" si="191"/>
        <v>0.57692307692307687</v>
      </c>
      <c r="W924" s="13">
        <f t="shared" si="187"/>
        <v>0.57692307692307687</v>
      </c>
      <c r="X924" s="3">
        <f t="shared" si="192"/>
        <v>26</v>
      </c>
      <c r="Y924" s="3">
        <f t="shared" si="188"/>
        <v>1.1538461538461537E-2</v>
      </c>
      <c r="Z924" s="3"/>
      <c r="AA924" s="3">
        <f t="shared" ref="AA924:AA929" si="199">50*1</f>
        <v>50</v>
      </c>
      <c r="AB924" s="3">
        <v>15</v>
      </c>
      <c r="AC924" s="3" t="s">
        <v>180</v>
      </c>
      <c r="AD924" s="3" t="s">
        <v>83</v>
      </c>
      <c r="AE924" s="3">
        <v>40</v>
      </c>
      <c r="AF924" s="3" t="s">
        <v>102</v>
      </c>
      <c r="AG924" s="3" t="s">
        <v>332</v>
      </c>
      <c r="AH924" s="3"/>
    </row>
    <row r="925" spans="1:34" ht="14.25" customHeight="1" x14ac:dyDescent="0.25">
      <c r="A925" s="3" t="s">
        <v>109</v>
      </c>
      <c r="B925" s="3" t="s">
        <v>79</v>
      </c>
      <c r="C925" s="3"/>
      <c r="D925" s="3" t="s">
        <v>101</v>
      </c>
      <c r="E925" s="3">
        <v>2</v>
      </c>
      <c r="F925" s="3">
        <v>1</v>
      </c>
      <c r="G925" s="3" t="s">
        <v>2</v>
      </c>
      <c r="H925" s="11">
        <v>45930</v>
      </c>
      <c r="I925" s="3" t="s">
        <v>181</v>
      </c>
      <c r="J925" s="3">
        <v>0</v>
      </c>
      <c r="K925" s="3">
        <v>0</v>
      </c>
      <c r="L925" s="3">
        <v>0</v>
      </c>
      <c r="M925" s="3">
        <v>25</v>
      </c>
      <c r="N925" s="3">
        <v>0</v>
      </c>
      <c r="O925" s="3">
        <f t="shared" si="190"/>
        <v>25</v>
      </c>
      <c r="P925" s="3">
        <v>2</v>
      </c>
      <c r="Q925" s="3">
        <v>1</v>
      </c>
      <c r="R925" s="3">
        <v>0</v>
      </c>
      <c r="S925" s="3">
        <v>2</v>
      </c>
      <c r="T925" s="3">
        <v>1</v>
      </c>
      <c r="U925" s="3">
        <v>26</v>
      </c>
      <c r="V925" s="13">
        <f t="shared" si="191"/>
        <v>0.96153846153846156</v>
      </c>
      <c r="W925" s="13">
        <f t="shared" si="187"/>
        <v>0.96153846153846156</v>
      </c>
      <c r="X925" s="3">
        <f t="shared" si="192"/>
        <v>26</v>
      </c>
      <c r="Y925" s="3">
        <f t="shared" si="188"/>
        <v>1.9230769230769232E-2</v>
      </c>
      <c r="Z925" s="3"/>
      <c r="AA925" s="3">
        <f t="shared" si="199"/>
        <v>50</v>
      </c>
      <c r="AB925" s="3">
        <v>15</v>
      </c>
      <c r="AC925" s="3" t="s">
        <v>180</v>
      </c>
      <c r="AD925" s="3" t="s">
        <v>83</v>
      </c>
      <c r="AE925" s="3">
        <v>40</v>
      </c>
      <c r="AF925" s="3" t="s">
        <v>102</v>
      </c>
      <c r="AG925" s="3" t="s">
        <v>332</v>
      </c>
      <c r="AH925" s="3"/>
    </row>
    <row r="926" spans="1:34" ht="14.25" customHeight="1" x14ac:dyDescent="0.25">
      <c r="A926" s="3" t="s">
        <v>109</v>
      </c>
      <c r="B926" s="3" t="s">
        <v>79</v>
      </c>
      <c r="C926" s="3"/>
      <c r="D926" s="3" t="s">
        <v>101</v>
      </c>
      <c r="E926" s="3">
        <v>2</v>
      </c>
      <c r="F926" s="3">
        <v>1</v>
      </c>
      <c r="G926" s="3" t="s">
        <v>10</v>
      </c>
      <c r="H926" s="11">
        <v>45930</v>
      </c>
      <c r="I926" s="3" t="s">
        <v>181</v>
      </c>
      <c r="J926" s="3">
        <v>0</v>
      </c>
      <c r="K926" s="3">
        <v>9</v>
      </c>
      <c r="L926" s="3">
        <v>0</v>
      </c>
      <c r="M926" s="3">
        <v>0</v>
      </c>
      <c r="N926" s="3">
        <v>0</v>
      </c>
      <c r="O926" s="3">
        <f t="shared" si="190"/>
        <v>9</v>
      </c>
      <c r="P926" s="3">
        <v>2</v>
      </c>
      <c r="Q926" s="3">
        <v>1</v>
      </c>
      <c r="R926" s="3">
        <v>0</v>
      </c>
      <c r="S926" s="3">
        <v>2</v>
      </c>
      <c r="T926" s="3">
        <v>1</v>
      </c>
      <c r="U926" s="3">
        <v>26</v>
      </c>
      <c r="V926" s="13">
        <f t="shared" si="191"/>
        <v>0.34615384615384615</v>
      </c>
      <c r="W926" s="13">
        <f t="shared" si="187"/>
        <v>0.34615384615384615</v>
      </c>
      <c r="X926" s="3">
        <f t="shared" si="192"/>
        <v>26</v>
      </c>
      <c r="Y926" s="3">
        <f t="shared" si="188"/>
        <v>6.9230769230769233E-3</v>
      </c>
      <c r="Z926" s="3"/>
      <c r="AA926" s="3">
        <f t="shared" si="199"/>
        <v>50</v>
      </c>
      <c r="AB926" s="3">
        <v>15</v>
      </c>
      <c r="AC926" s="3" t="s">
        <v>180</v>
      </c>
      <c r="AD926" s="3" t="s">
        <v>83</v>
      </c>
      <c r="AE926" s="3">
        <v>40</v>
      </c>
      <c r="AF926" s="3" t="s">
        <v>102</v>
      </c>
      <c r="AG926" s="3" t="s">
        <v>332</v>
      </c>
      <c r="AH926" s="3"/>
    </row>
    <row r="927" spans="1:34" ht="14.25" customHeight="1" x14ac:dyDescent="0.25">
      <c r="A927" s="3" t="s">
        <v>109</v>
      </c>
      <c r="B927" s="3" t="s">
        <v>79</v>
      </c>
      <c r="C927" s="3"/>
      <c r="D927" s="3" t="s">
        <v>101</v>
      </c>
      <c r="E927" s="3">
        <v>2</v>
      </c>
      <c r="F927" s="3">
        <v>1</v>
      </c>
      <c r="G927" s="3" t="s">
        <v>9</v>
      </c>
      <c r="H927" s="11">
        <v>45930</v>
      </c>
      <c r="I927" s="3" t="s">
        <v>181</v>
      </c>
      <c r="J927" s="3">
        <v>50</v>
      </c>
      <c r="K927" s="3">
        <v>0</v>
      </c>
      <c r="L927" s="3">
        <v>0</v>
      </c>
      <c r="M927" s="3">
        <v>0</v>
      </c>
      <c r="N927" s="3">
        <v>0</v>
      </c>
      <c r="O927" s="3">
        <f t="shared" si="190"/>
        <v>50</v>
      </c>
      <c r="P927" s="3">
        <v>2</v>
      </c>
      <c r="Q927" s="3">
        <v>1</v>
      </c>
      <c r="R927" s="3">
        <v>0</v>
      </c>
      <c r="S927" s="3">
        <v>2</v>
      </c>
      <c r="T927" s="3">
        <v>1</v>
      </c>
      <c r="U927" s="3">
        <v>26</v>
      </c>
      <c r="V927" s="13">
        <f t="shared" si="191"/>
        <v>1.9230769230769231</v>
      </c>
      <c r="W927" s="13">
        <f t="shared" si="187"/>
        <v>1.9230769230769231</v>
      </c>
      <c r="X927" s="3">
        <f t="shared" si="192"/>
        <v>26</v>
      </c>
      <c r="Y927" s="3">
        <f t="shared" si="188"/>
        <v>3.8461538461538464E-2</v>
      </c>
      <c r="Z927" s="3"/>
      <c r="AA927" s="3">
        <f t="shared" si="199"/>
        <v>50</v>
      </c>
      <c r="AB927" s="3">
        <v>15</v>
      </c>
      <c r="AC927" s="3" t="s">
        <v>180</v>
      </c>
      <c r="AD927" s="3" t="s">
        <v>83</v>
      </c>
      <c r="AE927" s="3">
        <v>40</v>
      </c>
      <c r="AF927" s="3" t="s">
        <v>102</v>
      </c>
      <c r="AG927" s="3" t="s">
        <v>332</v>
      </c>
      <c r="AH927" s="3"/>
    </row>
    <row r="928" spans="1:34" ht="14.25" customHeight="1" x14ac:dyDescent="0.25">
      <c r="A928" s="3" t="s">
        <v>109</v>
      </c>
      <c r="B928" s="3" t="s">
        <v>79</v>
      </c>
      <c r="C928" s="3"/>
      <c r="D928" s="3" t="s">
        <v>101</v>
      </c>
      <c r="E928" s="3">
        <v>2</v>
      </c>
      <c r="F928" s="3">
        <v>1</v>
      </c>
      <c r="G928" s="3" t="s">
        <v>14</v>
      </c>
      <c r="H928" s="11">
        <v>45930</v>
      </c>
      <c r="I928" s="3" t="s">
        <v>181</v>
      </c>
      <c r="J928" s="3">
        <v>0</v>
      </c>
      <c r="K928" s="3">
        <v>0</v>
      </c>
      <c r="L928" s="3">
        <v>0</v>
      </c>
      <c r="M928" s="3">
        <v>16</v>
      </c>
      <c r="N928" s="3">
        <v>0</v>
      </c>
      <c r="O928" s="3">
        <f t="shared" si="190"/>
        <v>16</v>
      </c>
      <c r="P928" s="3">
        <v>2</v>
      </c>
      <c r="Q928" s="3">
        <v>1</v>
      </c>
      <c r="R928" s="3">
        <v>0</v>
      </c>
      <c r="S928" s="3">
        <v>2</v>
      </c>
      <c r="T928" s="3">
        <v>1</v>
      </c>
      <c r="U928" s="3">
        <v>26</v>
      </c>
      <c r="V928" s="13">
        <f t="shared" si="191"/>
        <v>0.61538461538461542</v>
      </c>
      <c r="W928" s="13">
        <f t="shared" si="187"/>
        <v>0.61538461538461542</v>
      </c>
      <c r="X928" s="3">
        <f t="shared" si="192"/>
        <v>26</v>
      </c>
      <c r="Y928" s="3">
        <f t="shared" si="188"/>
        <v>1.2307692307692308E-2</v>
      </c>
      <c r="Z928" s="3"/>
      <c r="AA928" s="3">
        <f t="shared" si="199"/>
        <v>50</v>
      </c>
      <c r="AB928" s="3">
        <v>15</v>
      </c>
      <c r="AC928" s="3" t="s">
        <v>180</v>
      </c>
      <c r="AD928" s="3" t="s">
        <v>83</v>
      </c>
      <c r="AE928" s="3">
        <v>40</v>
      </c>
      <c r="AF928" s="3" t="s">
        <v>102</v>
      </c>
      <c r="AG928" s="3" t="s">
        <v>332</v>
      </c>
      <c r="AH928" s="3"/>
    </row>
    <row r="929" spans="1:34" ht="14.25" customHeight="1" x14ac:dyDescent="0.25">
      <c r="A929" s="3" t="s">
        <v>109</v>
      </c>
      <c r="B929" s="3" t="s">
        <v>79</v>
      </c>
      <c r="C929" s="3"/>
      <c r="D929" s="3" t="s">
        <v>101</v>
      </c>
      <c r="E929" s="3">
        <v>2</v>
      </c>
      <c r="F929" s="3">
        <v>1</v>
      </c>
      <c r="G929" s="3" t="s">
        <v>25</v>
      </c>
      <c r="H929" s="11">
        <v>45930</v>
      </c>
      <c r="I929" s="3" t="s">
        <v>181</v>
      </c>
      <c r="J929" s="3">
        <v>0</v>
      </c>
      <c r="K929" s="3">
        <v>0</v>
      </c>
      <c r="L929" s="3">
        <v>0</v>
      </c>
      <c r="M929" s="3">
        <v>0</v>
      </c>
      <c r="N929" s="3">
        <v>14</v>
      </c>
      <c r="O929" s="3">
        <f t="shared" si="190"/>
        <v>14</v>
      </c>
      <c r="P929" s="3">
        <v>2</v>
      </c>
      <c r="Q929" s="3">
        <v>1</v>
      </c>
      <c r="R929" s="3">
        <v>0</v>
      </c>
      <c r="S929" s="3">
        <v>2</v>
      </c>
      <c r="T929" s="3">
        <v>1</v>
      </c>
      <c r="U929" s="3">
        <v>26</v>
      </c>
      <c r="V929" s="13">
        <f t="shared" si="191"/>
        <v>0.53846153846153844</v>
      </c>
      <c r="W929" s="13">
        <f t="shared" si="187"/>
        <v>0.53846153846153844</v>
      </c>
      <c r="X929" s="3">
        <f t="shared" si="192"/>
        <v>26</v>
      </c>
      <c r="Y929" s="3">
        <f t="shared" si="188"/>
        <v>1.0769230769230769E-2</v>
      </c>
      <c r="Z929" s="3"/>
      <c r="AA929" s="3">
        <f t="shared" si="199"/>
        <v>50</v>
      </c>
      <c r="AB929" s="3">
        <v>15</v>
      </c>
      <c r="AC929" s="3" t="s">
        <v>180</v>
      </c>
      <c r="AD929" s="3" t="s">
        <v>83</v>
      </c>
      <c r="AE929" s="3">
        <v>40</v>
      </c>
      <c r="AF929" s="3" t="s">
        <v>102</v>
      </c>
      <c r="AG929" s="3" t="s">
        <v>332</v>
      </c>
      <c r="AH929" s="3"/>
    </row>
    <row r="930" spans="1:34" ht="14.25" customHeight="1" x14ac:dyDescent="0.25">
      <c r="A930" s="3" t="s">
        <v>111</v>
      </c>
      <c r="B930" s="3" t="s">
        <v>79</v>
      </c>
      <c r="C930" s="3"/>
      <c r="D930" s="3" t="s">
        <v>101</v>
      </c>
      <c r="E930" s="3">
        <v>2</v>
      </c>
      <c r="F930" s="3">
        <v>1</v>
      </c>
      <c r="G930" s="3" t="s">
        <v>1</v>
      </c>
      <c r="H930" s="11">
        <v>45930</v>
      </c>
      <c r="I930" s="3" t="s">
        <v>181</v>
      </c>
      <c r="J930" s="3">
        <v>15</v>
      </c>
      <c r="K930" s="3">
        <v>0</v>
      </c>
      <c r="L930" s="3">
        <v>0</v>
      </c>
      <c r="M930" s="3">
        <v>0</v>
      </c>
      <c r="N930" s="3">
        <v>0</v>
      </c>
      <c r="O930" s="3">
        <f t="shared" si="190"/>
        <v>15</v>
      </c>
      <c r="P930" s="3">
        <v>2</v>
      </c>
      <c r="Q930" s="3">
        <v>0</v>
      </c>
      <c r="R930" s="3">
        <v>1</v>
      </c>
      <c r="S930" s="3">
        <v>1</v>
      </c>
      <c r="T930" s="3">
        <v>0</v>
      </c>
      <c r="U930" s="3">
        <v>23</v>
      </c>
      <c r="V930" s="13">
        <f t="shared" si="191"/>
        <v>0.65217391304347827</v>
      </c>
      <c r="W930" s="13">
        <f t="shared" si="187"/>
        <v>0.65217391304347827</v>
      </c>
      <c r="X930" s="3">
        <f t="shared" si="192"/>
        <v>23</v>
      </c>
      <c r="Y930" s="3" t="e">
        <f t="shared" si="188"/>
        <v>#DIV/0!</v>
      </c>
      <c r="Z930" s="3"/>
      <c r="AA930" s="3"/>
      <c r="AB930" s="3">
        <v>10</v>
      </c>
      <c r="AC930" s="3" t="s">
        <v>180</v>
      </c>
      <c r="AD930" s="3" t="s">
        <v>83</v>
      </c>
      <c r="AE930" s="3">
        <v>50</v>
      </c>
      <c r="AF930" s="3" t="s">
        <v>102</v>
      </c>
      <c r="AG930" s="3" t="s">
        <v>333</v>
      </c>
      <c r="AH930" s="3"/>
    </row>
    <row r="931" spans="1:34" ht="14.25" customHeight="1" x14ac:dyDescent="0.25">
      <c r="A931" s="3" t="s">
        <v>111</v>
      </c>
      <c r="B931" s="3" t="s">
        <v>79</v>
      </c>
      <c r="C931" s="3"/>
      <c r="D931" s="3" t="s">
        <v>101</v>
      </c>
      <c r="E931" s="3">
        <v>2</v>
      </c>
      <c r="F931" s="3">
        <v>1</v>
      </c>
      <c r="G931" s="3" t="s">
        <v>10</v>
      </c>
      <c r="H931" s="11">
        <v>45930</v>
      </c>
      <c r="I931" s="3" t="s">
        <v>181</v>
      </c>
      <c r="J931" s="3">
        <v>0</v>
      </c>
      <c r="K931" s="3">
        <v>0</v>
      </c>
      <c r="L931" s="3">
        <v>0</v>
      </c>
      <c r="M931" s="3">
        <v>12</v>
      </c>
      <c r="N931" s="3">
        <v>0</v>
      </c>
      <c r="O931" s="3">
        <f t="shared" si="190"/>
        <v>12</v>
      </c>
      <c r="P931" s="3">
        <v>2</v>
      </c>
      <c r="Q931" s="3">
        <v>0</v>
      </c>
      <c r="R931" s="3">
        <v>1</v>
      </c>
      <c r="S931" s="3">
        <v>1</v>
      </c>
      <c r="T931" s="3">
        <v>0</v>
      </c>
      <c r="U931" s="3">
        <v>23</v>
      </c>
      <c r="V931" s="13">
        <f t="shared" si="191"/>
        <v>0.52173913043478259</v>
      </c>
      <c r="W931" s="13">
        <f t="shared" si="187"/>
        <v>0.52173913043478259</v>
      </c>
      <c r="X931" s="3">
        <f t="shared" si="192"/>
        <v>23</v>
      </c>
      <c r="Y931" s="3" t="e">
        <f t="shared" si="188"/>
        <v>#DIV/0!</v>
      </c>
      <c r="Z931" s="3"/>
      <c r="AA931" s="3"/>
      <c r="AB931" s="3">
        <v>10</v>
      </c>
      <c r="AC931" s="3" t="s">
        <v>180</v>
      </c>
      <c r="AD931" s="3" t="s">
        <v>83</v>
      </c>
      <c r="AE931" s="3">
        <v>50</v>
      </c>
      <c r="AF931" s="3" t="s">
        <v>102</v>
      </c>
      <c r="AG931" s="3" t="s">
        <v>333</v>
      </c>
      <c r="AH931" s="3"/>
    </row>
    <row r="932" spans="1:34" ht="14.25" customHeight="1" x14ac:dyDescent="0.25">
      <c r="A932" s="3" t="s">
        <v>111</v>
      </c>
      <c r="B932" s="3" t="s">
        <v>79</v>
      </c>
      <c r="C932" s="3"/>
      <c r="D932" s="3" t="s">
        <v>101</v>
      </c>
      <c r="E932" s="3">
        <v>2</v>
      </c>
      <c r="F932" s="3">
        <v>1</v>
      </c>
      <c r="G932" s="3" t="s">
        <v>9</v>
      </c>
      <c r="H932" s="11">
        <v>45930</v>
      </c>
      <c r="I932" s="3" t="s">
        <v>181</v>
      </c>
      <c r="J932" s="3">
        <v>50</v>
      </c>
      <c r="K932" s="3">
        <v>0</v>
      </c>
      <c r="L932" s="3">
        <v>0</v>
      </c>
      <c r="M932" s="3">
        <v>0</v>
      </c>
      <c r="N932" s="3">
        <v>0</v>
      </c>
      <c r="O932" s="3">
        <f t="shared" si="190"/>
        <v>50</v>
      </c>
      <c r="P932" s="3">
        <v>2</v>
      </c>
      <c r="Q932" s="3">
        <v>0</v>
      </c>
      <c r="R932" s="3">
        <v>1</v>
      </c>
      <c r="S932" s="3">
        <v>1</v>
      </c>
      <c r="T932" s="3">
        <v>0</v>
      </c>
      <c r="U932" s="3">
        <v>23</v>
      </c>
      <c r="V932" s="13">
        <f t="shared" si="191"/>
        <v>2.1739130434782608</v>
      </c>
      <c r="W932" s="13">
        <f t="shared" si="187"/>
        <v>2.1739130434782608</v>
      </c>
      <c r="X932" s="3">
        <f t="shared" si="192"/>
        <v>23</v>
      </c>
      <c r="Y932" s="3" t="e">
        <f t="shared" si="188"/>
        <v>#DIV/0!</v>
      </c>
      <c r="Z932" s="3"/>
      <c r="AA932" s="3"/>
      <c r="AB932" s="3">
        <v>10</v>
      </c>
      <c r="AC932" s="3" t="s">
        <v>180</v>
      </c>
      <c r="AD932" s="3" t="s">
        <v>83</v>
      </c>
      <c r="AE932" s="3">
        <v>50</v>
      </c>
      <c r="AF932" s="3" t="s">
        <v>102</v>
      </c>
      <c r="AG932" s="3" t="s">
        <v>333</v>
      </c>
      <c r="AH932" s="3"/>
    </row>
    <row r="933" spans="1:34" ht="14.25" customHeight="1" x14ac:dyDescent="0.25">
      <c r="A933" s="3" t="s">
        <v>111</v>
      </c>
      <c r="B933" s="3" t="s">
        <v>79</v>
      </c>
      <c r="C933" s="3"/>
      <c r="D933" s="3" t="s">
        <v>101</v>
      </c>
      <c r="E933" s="3">
        <v>2</v>
      </c>
      <c r="F933" s="3">
        <v>1</v>
      </c>
      <c r="G933" s="3" t="s">
        <v>15</v>
      </c>
      <c r="H933" s="11">
        <v>45930</v>
      </c>
      <c r="I933" s="3" t="s">
        <v>181</v>
      </c>
      <c r="J933" s="3">
        <v>0</v>
      </c>
      <c r="K933" s="3">
        <v>0</v>
      </c>
      <c r="L933" s="3">
        <v>15</v>
      </c>
      <c r="M933" s="3">
        <v>0</v>
      </c>
      <c r="N933" s="3">
        <v>0</v>
      </c>
      <c r="O933" s="3">
        <f t="shared" si="190"/>
        <v>15</v>
      </c>
      <c r="P933" s="3">
        <v>2</v>
      </c>
      <c r="Q933" s="3">
        <v>0</v>
      </c>
      <c r="R933" s="3">
        <v>1</v>
      </c>
      <c r="S933" s="3">
        <v>1</v>
      </c>
      <c r="T933" s="3">
        <v>0</v>
      </c>
      <c r="U933" s="3">
        <v>23</v>
      </c>
      <c r="V933" s="13">
        <f t="shared" si="191"/>
        <v>0.65217391304347827</v>
      </c>
      <c r="W933" s="13">
        <f t="shared" si="187"/>
        <v>0.65217391304347827</v>
      </c>
      <c r="X933" s="3">
        <f t="shared" si="192"/>
        <v>23</v>
      </c>
      <c r="Y933" s="3" t="e">
        <f t="shared" si="188"/>
        <v>#DIV/0!</v>
      </c>
      <c r="Z933" s="3"/>
      <c r="AA933" s="3"/>
      <c r="AB933" s="3">
        <v>10</v>
      </c>
      <c r="AC933" s="3" t="s">
        <v>180</v>
      </c>
      <c r="AD933" s="3" t="s">
        <v>83</v>
      </c>
      <c r="AE933" s="3">
        <v>50</v>
      </c>
      <c r="AF933" s="3" t="s">
        <v>102</v>
      </c>
      <c r="AG933" s="3" t="s">
        <v>333</v>
      </c>
      <c r="AH933" s="3"/>
    </row>
    <row r="934" spans="1:34" ht="14.25" customHeight="1" x14ac:dyDescent="0.25">
      <c r="A934" s="3" t="s">
        <v>160</v>
      </c>
      <c r="B934" s="3" t="s">
        <v>79</v>
      </c>
      <c r="C934" s="3"/>
      <c r="D934" s="3" t="s">
        <v>117</v>
      </c>
      <c r="E934" s="3">
        <v>2</v>
      </c>
      <c r="F934" s="3">
        <v>1</v>
      </c>
      <c r="G934" s="3" t="s">
        <v>1</v>
      </c>
      <c r="H934" s="11">
        <v>45930</v>
      </c>
      <c r="I934" s="3" t="s">
        <v>181</v>
      </c>
      <c r="J934" s="3">
        <f>11+9.3+6.8</f>
        <v>27.1</v>
      </c>
      <c r="K934" s="3">
        <f>13+5.2</f>
        <v>18.2</v>
      </c>
      <c r="L934" s="3">
        <f>8.6+17+14</f>
        <v>39.6</v>
      </c>
      <c r="M934" s="3">
        <f>10.8+4.6+5.2</f>
        <v>20.6</v>
      </c>
      <c r="N934" s="3">
        <v>0</v>
      </c>
      <c r="O934" s="3">
        <f t="shared" si="190"/>
        <v>105.5</v>
      </c>
      <c r="P934" s="3">
        <v>5</v>
      </c>
      <c r="Q934" s="3">
        <v>4</v>
      </c>
      <c r="R934" s="3">
        <v>3</v>
      </c>
      <c r="S934" s="3">
        <v>5</v>
      </c>
      <c r="T934" s="3">
        <v>0</v>
      </c>
      <c r="U934" s="3">
        <f t="shared" ref="U934:U1037" si="200">SUM(P934:T934)</f>
        <v>17</v>
      </c>
      <c r="V934" s="13">
        <f t="shared" si="191"/>
        <v>6.2058823529411766</v>
      </c>
      <c r="W934" s="13">
        <f t="shared" si="187"/>
        <v>6.2058823529411766</v>
      </c>
      <c r="X934" s="3">
        <f t="shared" si="192"/>
        <v>17</v>
      </c>
      <c r="Y934" s="3">
        <f t="shared" si="188"/>
        <v>1.4365468409586057E-2</v>
      </c>
      <c r="Z934" s="3"/>
      <c r="AA934" s="3">
        <f t="shared" ref="AA934:AA937" si="201">60*2.4*3</f>
        <v>432</v>
      </c>
      <c r="AB934" s="3">
        <v>25</v>
      </c>
      <c r="AC934" s="3" t="s">
        <v>180</v>
      </c>
      <c r="AD934" s="3" t="s">
        <v>83</v>
      </c>
      <c r="AE934" s="3">
        <v>15</v>
      </c>
      <c r="AF934" s="3" t="s">
        <v>143</v>
      </c>
      <c r="AG934" s="3" t="s">
        <v>334</v>
      </c>
      <c r="AH934" s="3"/>
    </row>
    <row r="935" spans="1:34" ht="14.25" customHeight="1" x14ac:dyDescent="0.25">
      <c r="A935" s="3" t="s">
        <v>160</v>
      </c>
      <c r="B935" s="3" t="s">
        <v>79</v>
      </c>
      <c r="C935" s="3"/>
      <c r="D935" s="3" t="s">
        <v>117</v>
      </c>
      <c r="E935" s="3">
        <v>2</v>
      </c>
      <c r="F935" s="3">
        <v>1</v>
      </c>
      <c r="G935" s="3" t="s">
        <v>3</v>
      </c>
      <c r="H935" s="11">
        <v>45930</v>
      </c>
      <c r="I935" s="3" t="s">
        <v>181</v>
      </c>
      <c r="J935" s="3">
        <f>12+8</f>
        <v>20</v>
      </c>
      <c r="K935" s="3">
        <v>6</v>
      </c>
      <c r="L935" s="3">
        <v>0</v>
      </c>
      <c r="M935" s="3">
        <f>8+6</f>
        <v>14</v>
      </c>
      <c r="N935" s="3">
        <v>0</v>
      </c>
      <c r="O935" s="3">
        <f t="shared" si="190"/>
        <v>40</v>
      </c>
      <c r="P935" s="3">
        <v>5</v>
      </c>
      <c r="Q935" s="3">
        <v>4</v>
      </c>
      <c r="R935" s="3">
        <v>3</v>
      </c>
      <c r="S935" s="3">
        <v>5</v>
      </c>
      <c r="T935" s="3">
        <v>0</v>
      </c>
      <c r="U935" s="3">
        <f t="shared" si="200"/>
        <v>17</v>
      </c>
      <c r="V935" s="13">
        <f t="shared" si="191"/>
        <v>2.3529411764705883</v>
      </c>
      <c r="W935" s="13">
        <f t="shared" si="187"/>
        <v>2.3529411764705883</v>
      </c>
      <c r="X935" s="3">
        <f t="shared" si="192"/>
        <v>17</v>
      </c>
      <c r="Y935" s="3">
        <f t="shared" si="188"/>
        <v>5.4466230936819175E-3</v>
      </c>
      <c r="Z935" s="3"/>
      <c r="AA935" s="3">
        <f t="shared" si="201"/>
        <v>432</v>
      </c>
      <c r="AB935" s="3">
        <v>25</v>
      </c>
      <c r="AC935" s="3" t="s">
        <v>180</v>
      </c>
      <c r="AD935" s="3" t="s">
        <v>83</v>
      </c>
      <c r="AE935" s="3">
        <v>15</v>
      </c>
      <c r="AF935" s="3" t="s">
        <v>143</v>
      </c>
      <c r="AG935" s="3" t="s">
        <v>334</v>
      </c>
      <c r="AH935" s="3"/>
    </row>
    <row r="936" spans="1:34" ht="14.25" customHeight="1" x14ac:dyDescent="0.25">
      <c r="A936" s="3" t="s">
        <v>160</v>
      </c>
      <c r="B936" s="3" t="s">
        <v>79</v>
      </c>
      <c r="C936" s="3"/>
      <c r="D936" s="3" t="s">
        <v>117</v>
      </c>
      <c r="E936" s="3">
        <v>2</v>
      </c>
      <c r="F936" s="3">
        <v>1</v>
      </c>
      <c r="G936" s="3" t="s">
        <v>16</v>
      </c>
      <c r="H936" s="11">
        <v>45930</v>
      </c>
      <c r="I936" s="3" t="s">
        <v>181</v>
      </c>
      <c r="J936" s="3">
        <v>0</v>
      </c>
      <c r="K936" s="3">
        <v>3.3</v>
      </c>
      <c r="L936" s="3">
        <v>0</v>
      </c>
      <c r="M936" s="3">
        <v>2.6</v>
      </c>
      <c r="N936" s="3">
        <v>0</v>
      </c>
      <c r="O936" s="3">
        <f t="shared" si="190"/>
        <v>5.9</v>
      </c>
      <c r="P936" s="3">
        <v>5</v>
      </c>
      <c r="Q936" s="3">
        <v>4</v>
      </c>
      <c r="R936" s="3">
        <v>3</v>
      </c>
      <c r="S936" s="3">
        <v>5</v>
      </c>
      <c r="T936" s="3">
        <v>0</v>
      </c>
      <c r="U936" s="3">
        <f t="shared" si="200"/>
        <v>17</v>
      </c>
      <c r="V936" s="13">
        <f t="shared" si="191"/>
        <v>0.34705882352941181</v>
      </c>
      <c r="W936" s="13">
        <f t="shared" si="187"/>
        <v>0.34705882352941181</v>
      </c>
      <c r="X936" s="3">
        <f t="shared" si="192"/>
        <v>17</v>
      </c>
      <c r="Y936" s="3">
        <f t="shared" si="188"/>
        <v>8.0337690631808293E-4</v>
      </c>
      <c r="Z936" s="3"/>
      <c r="AA936" s="3">
        <f t="shared" si="201"/>
        <v>432</v>
      </c>
      <c r="AB936" s="3">
        <v>25</v>
      </c>
      <c r="AC936" s="3" t="s">
        <v>180</v>
      </c>
      <c r="AD936" s="3" t="s">
        <v>83</v>
      </c>
      <c r="AE936" s="3">
        <v>15</v>
      </c>
      <c r="AF936" s="3" t="s">
        <v>143</v>
      </c>
      <c r="AG936" s="3" t="s">
        <v>334</v>
      </c>
      <c r="AH936" s="3"/>
    </row>
    <row r="937" spans="1:34" ht="14.25" customHeight="1" x14ac:dyDescent="0.25">
      <c r="A937" s="3" t="s">
        <v>160</v>
      </c>
      <c r="B937" s="3" t="s">
        <v>79</v>
      </c>
      <c r="C937" s="3"/>
      <c r="D937" s="3" t="s">
        <v>117</v>
      </c>
      <c r="E937" s="3">
        <v>2</v>
      </c>
      <c r="F937" s="3">
        <v>1</v>
      </c>
      <c r="G937" s="3" t="s">
        <v>22</v>
      </c>
      <c r="H937" s="11">
        <v>45930</v>
      </c>
      <c r="I937" s="3" t="s">
        <v>181</v>
      </c>
      <c r="J937" s="3">
        <f>2.9</f>
        <v>2.9</v>
      </c>
      <c r="K937" s="3">
        <v>0</v>
      </c>
      <c r="L937" s="3">
        <v>4.2</v>
      </c>
      <c r="M937" s="3">
        <v>0</v>
      </c>
      <c r="N937" s="3">
        <v>0</v>
      </c>
      <c r="O937" s="3">
        <f t="shared" si="190"/>
        <v>7.1</v>
      </c>
      <c r="P937" s="3">
        <v>5</v>
      </c>
      <c r="Q937" s="3">
        <v>4</v>
      </c>
      <c r="R937" s="3">
        <v>3</v>
      </c>
      <c r="S937" s="3">
        <v>5</v>
      </c>
      <c r="T937" s="3">
        <v>0</v>
      </c>
      <c r="U937" s="3">
        <f t="shared" si="200"/>
        <v>17</v>
      </c>
      <c r="V937" s="13">
        <f t="shared" si="191"/>
        <v>0.41764705882352937</v>
      </c>
      <c r="W937" s="13">
        <f t="shared" si="187"/>
        <v>0.41764705882352937</v>
      </c>
      <c r="X937" s="3">
        <f t="shared" si="192"/>
        <v>17</v>
      </c>
      <c r="Y937" s="3">
        <f t="shared" si="188"/>
        <v>9.667755991285402E-4</v>
      </c>
      <c r="Z937" s="3"/>
      <c r="AA937" s="3">
        <f t="shared" si="201"/>
        <v>432</v>
      </c>
      <c r="AB937" s="3">
        <v>25</v>
      </c>
      <c r="AC937" s="3" t="s">
        <v>180</v>
      </c>
      <c r="AD937" s="3" t="s">
        <v>83</v>
      </c>
      <c r="AE937" s="3">
        <v>15</v>
      </c>
      <c r="AF937" s="3" t="s">
        <v>143</v>
      </c>
      <c r="AG937" s="3" t="s">
        <v>334</v>
      </c>
      <c r="AH937" s="3"/>
    </row>
    <row r="938" spans="1:34" ht="14.25" customHeight="1" x14ac:dyDescent="0.25">
      <c r="A938" s="3" t="s">
        <v>90</v>
      </c>
      <c r="B938" s="3" t="s">
        <v>79</v>
      </c>
      <c r="C938" s="3"/>
      <c r="D938" s="3" t="s">
        <v>80</v>
      </c>
      <c r="E938" s="3">
        <v>2</v>
      </c>
      <c r="F938" s="3">
        <v>1</v>
      </c>
      <c r="G938" s="3" t="s">
        <v>2</v>
      </c>
      <c r="H938" s="11">
        <v>45930</v>
      </c>
      <c r="I938" s="3" t="s">
        <v>181</v>
      </c>
      <c r="J938" s="3">
        <f>3.6+4.2</f>
        <v>7.8000000000000007</v>
      </c>
      <c r="K938" s="3">
        <v>8</v>
      </c>
      <c r="L938" s="3">
        <f>3.3+2.8</f>
        <v>6.1</v>
      </c>
      <c r="M938" s="3">
        <v>6</v>
      </c>
      <c r="N938" s="3">
        <v>12</v>
      </c>
      <c r="O938" s="3">
        <f t="shared" si="190"/>
        <v>39.9</v>
      </c>
      <c r="P938" s="3">
        <v>3</v>
      </c>
      <c r="Q938" s="3">
        <v>3</v>
      </c>
      <c r="R938" s="3">
        <v>3</v>
      </c>
      <c r="S938" s="3">
        <v>3</v>
      </c>
      <c r="T938" s="3">
        <v>1</v>
      </c>
      <c r="U938" s="3">
        <f t="shared" si="200"/>
        <v>13</v>
      </c>
      <c r="V938" s="13">
        <f t="shared" si="191"/>
        <v>3.069230769230769</v>
      </c>
      <c r="W938" s="13">
        <f t="shared" si="187"/>
        <v>3.069230769230769</v>
      </c>
      <c r="X938" s="3">
        <f t="shared" si="192"/>
        <v>13</v>
      </c>
      <c r="Y938" s="3" t="e">
        <f t="shared" si="188"/>
        <v>#DIV/0!</v>
      </c>
      <c r="Z938" s="3"/>
      <c r="AA938" s="3"/>
      <c r="AB938" s="3">
        <v>15</v>
      </c>
      <c r="AC938" s="3" t="s">
        <v>180</v>
      </c>
      <c r="AD938" s="3" t="s">
        <v>83</v>
      </c>
      <c r="AE938" s="3">
        <v>15</v>
      </c>
      <c r="AF938" s="3" t="s">
        <v>143</v>
      </c>
      <c r="AG938" s="3" t="s">
        <v>257</v>
      </c>
      <c r="AH938" s="3"/>
    </row>
    <row r="939" spans="1:34" ht="14.25" customHeight="1" x14ac:dyDescent="0.25">
      <c r="A939" s="3" t="s">
        <v>90</v>
      </c>
      <c r="B939" s="3" t="s">
        <v>79</v>
      </c>
      <c r="C939" s="3"/>
      <c r="D939" s="3" t="s">
        <v>80</v>
      </c>
      <c r="E939" s="3">
        <v>2</v>
      </c>
      <c r="F939" s="3">
        <v>1</v>
      </c>
      <c r="G939" s="3" t="s">
        <v>16</v>
      </c>
      <c r="H939" s="11">
        <v>45930</v>
      </c>
      <c r="I939" s="3" t="s">
        <v>181</v>
      </c>
      <c r="J939" s="3">
        <v>0</v>
      </c>
      <c r="K939" s="3">
        <v>4</v>
      </c>
      <c r="L939" s="3">
        <v>0</v>
      </c>
      <c r="M939" s="3">
        <v>0</v>
      </c>
      <c r="N939" s="3">
        <v>0</v>
      </c>
      <c r="O939" s="3">
        <f t="shared" si="190"/>
        <v>4</v>
      </c>
      <c r="P939" s="3">
        <v>3</v>
      </c>
      <c r="Q939" s="3">
        <v>3</v>
      </c>
      <c r="R939" s="3">
        <v>3</v>
      </c>
      <c r="S939" s="3">
        <v>3</v>
      </c>
      <c r="T939" s="3">
        <v>1</v>
      </c>
      <c r="U939" s="3">
        <f t="shared" si="200"/>
        <v>13</v>
      </c>
      <c r="V939" s="13">
        <f t="shared" si="191"/>
        <v>0.30769230769230771</v>
      </c>
      <c r="W939" s="13">
        <f t="shared" si="187"/>
        <v>0.30769230769230771</v>
      </c>
      <c r="X939" s="3">
        <f t="shared" si="192"/>
        <v>13</v>
      </c>
      <c r="Y939" s="3" t="e">
        <f t="shared" si="188"/>
        <v>#DIV/0!</v>
      </c>
      <c r="Z939" s="3"/>
      <c r="AA939" s="3"/>
      <c r="AB939" s="3">
        <v>15</v>
      </c>
      <c r="AC939" s="3" t="s">
        <v>180</v>
      </c>
      <c r="AD939" s="3" t="s">
        <v>83</v>
      </c>
      <c r="AE939" s="3">
        <v>15</v>
      </c>
      <c r="AF939" s="3" t="s">
        <v>143</v>
      </c>
      <c r="AG939" s="3" t="s">
        <v>257</v>
      </c>
      <c r="AH939" s="3"/>
    </row>
    <row r="940" spans="1:34" ht="14.25" customHeight="1" x14ac:dyDescent="0.25">
      <c r="A940" s="3" t="s">
        <v>90</v>
      </c>
      <c r="B940" s="3" t="s">
        <v>79</v>
      </c>
      <c r="C940" s="3"/>
      <c r="D940" s="3" t="s">
        <v>80</v>
      </c>
      <c r="E940" s="3">
        <v>2</v>
      </c>
      <c r="F940" s="3">
        <v>1</v>
      </c>
      <c r="G940" s="3" t="s">
        <v>18</v>
      </c>
      <c r="H940" s="11">
        <v>45930</v>
      </c>
      <c r="I940" s="3" t="s">
        <v>181</v>
      </c>
      <c r="J940" s="3">
        <v>0</v>
      </c>
      <c r="K940" s="3">
        <v>0</v>
      </c>
      <c r="L940" s="3">
        <v>6</v>
      </c>
      <c r="M940" s="3">
        <v>3.2</v>
      </c>
      <c r="N940" s="3">
        <v>0</v>
      </c>
      <c r="O940" s="3">
        <f t="shared" si="190"/>
        <v>9.1999999999999993</v>
      </c>
      <c r="P940" s="3">
        <v>3</v>
      </c>
      <c r="Q940" s="3">
        <v>3</v>
      </c>
      <c r="R940" s="3">
        <v>3</v>
      </c>
      <c r="S940" s="3">
        <v>3</v>
      </c>
      <c r="T940" s="3">
        <v>1</v>
      </c>
      <c r="U940" s="3">
        <f t="shared" si="200"/>
        <v>13</v>
      </c>
      <c r="V940" s="13">
        <f t="shared" si="191"/>
        <v>0.70769230769230762</v>
      </c>
      <c r="W940" s="13">
        <f t="shared" si="187"/>
        <v>0.70769230769230762</v>
      </c>
      <c r="X940" s="3">
        <f t="shared" si="192"/>
        <v>13</v>
      </c>
      <c r="Y940" s="3" t="e">
        <f t="shared" si="188"/>
        <v>#DIV/0!</v>
      </c>
      <c r="Z940" s="3"/>
      <c r="AA940" s="3"/>
      <c r="AB940" s="3">
        <v>15</v>
      </c>
      <c r="AC940" s="3" t="s">
        <v>180</v>
      </c>
      <c r="AD940" s="3" t="s">
        <v>83</v>
      </c>
      <c r="AE940" s="3">
        <v>15</v>
      </c>
      <c r="AF940" s="3" t="s">
        <v>143</v>
      </c>
      <c r="AG940" s="3" t="s">
        <v>257</v>
      </c>
      <c r="AH940" s="3"/>
    </row>
    <row r="941" spans="1:34" ht="14.25" customHeight="1" x14ac:dyDescent="0.25">
      <c r="A941" s="3" t="s">
        <v>90</v>
      </c>
      <c r="B941" s="3" t="s">
        <v>79</v>
      </c>
      <c r="C941" s="3"/>
      <c r="D941" s="3" t="s">
        <v>80</v>
      </c>
      <c r="E941" s="3">
        <v>2</v>
      </c>
      <c r="F941" s="3">
        <v>1</v>
      </c>
      <c r="G941" s="3" t="s">
        <v>25</v>
      </c>
      <c r="H941" s="11">
        <v>45930</v>
      </c>
      <c r="I941" s="3" t="s">
        <v>181</v>
      </c>
      <c r="J941" s="3">
        <v>14</v>
      </c>
      <c r="K941" s="3">
        <v>0</v>
      </c>
      <c r="L941" s="3">
        <v>0</v>
      </c>
      <c r="M941" s="3">
        <v>14.5</v>
      </c>
      <c r="N941" s="3">
        <v>0</v>
      </c>
      <c r="O941" s="3">
        <f t="shared" si="190"/>
        <v>28.5</v>
      </c>
      <c r="P941" s="3">
        <v>3</v>
      </c>
      <c r="Q941" s="3">
        <v>3</v>
      </c>
      <c r="R941" s="3">
        <v>3</v>
      </c>
      <c r="S941" s="3">
        <v>3</v>
      </c>
      <c r="T941" s="3">
        <v>1</v>
      </c>
      <c r="U941" s="3">
        <f t="shared" si="200"/>
        <v>13</v>
      </c>
      <c r="V941" s="13">
        <f t="shared" si="191"/>
        <v>2.1923076923076925</v>
      </c>
      <c r="W941" s="13">
        <f t="shared" si="187"/>
        <v>2.1923076923076925</v>
      </c>
      <c r="X941" s="3">
        <f t="shared" si="192"/>
        <v>13</v>
      </c>
      <c r="Y941" s="3" t="e">
        <f t="shared" si="188"/>
        <v>#DIV/0!</v>
      </c>
      <c r="Z941" s="3"/>
      <c r="AA941" s="3"/>
      <c r="AB941" s="3">
        <v>15</v>
      </c>
      <c r="AC941" s="3" t="s">
        <v>180</v>
      </c>
      <c r="AD941" s="3" t="s">
        <v>83</v>
      </c>
      <c r="AE941" s="3">
        <v>15</v>
      </c>
      <c r="AF941" s="3" t="s">
        <v>143</v>
      </c>
      <c r="AG941" s="3" t="s">
        <v>257</v>
      </c>
      <c r="AH941" s="3"/>
    </row>
    <row r="942" spans="1:34" ht="14.25" customHeight="1" x14ac:dyDescent="0.25">
      <c r="A942" s="3" t="s">
        <v>90</v>
      </c>
      <c r="B942" s="3" t="s">
        <v>79</v>
      </c>
      <c r="C942" s="3"/>
      <c r="D942" s="3" t="s">
        <v>80</v>
      </c>
      <c r="E942" s="3">
        <v>2</v>
      </c>
      <c r="F942" s="3">
        <v>1</v>
      </c>
      <c r="G942" s="3" t="s">
        <v>15</v>
      </c>
      <c r="H942" s="11">
        <v>45930</v>
      </c>
      <c r="I942" s="3" t="s">
        <v>181</v>
      </c>
      <c r="J942" s="3">
        <v>0</v>
      </c>
      <c r="K942" s="3">
        <v>18</v>
      </c>
      <c r="L942" s="3">
        <v>0</v>
      </c>
      <c r="M942" s="3">
        <v>20</v>
      </c>
      <c r="N942" s="3">
        <v>0</v>
      </c>
      <c r="O942" s="3">
        <f t="shared" si="190"/>
        <v>38</v>
      </c>
      <c r="P942" s="3">
        <v>3</v>
      </c>
      <c r="Q942" s="3">
        <v>3</v>
      </c>
      <c r="R942" s="3">
        <v>3</v>
      </c>
      <c r="S942" s="3">
        <v>3</v>
      </c>
      <c r="T942" s="3">
        <v>1</v>
      </c>
      <c r="U942" s="3">
        <f t="shared" si="200"/>
        <v>13</v>
      </c>
      <c r="V942" s="13">
        <f t="shared" si="191"/>
        <v>2.9230769230769229</v>
      </c>
      <c r="W942" s="13">
        <f t="shared" si="187"/>
        <v>2.9230769230769229</v>
      </c>
      <c r="X942" s="3">
        <f t="shared" si="192"/>
        <v>13</v>
      </c>
      <c r="Y942" s="3" t="e">
        <f t="shared" si="188"/>
        <v>#DIV/0!</v>
      </c>
      <c r="Z942" s="3"/>
      <c r="AA942" s="3"/>
      <c r="AB942" s="3">
        <v>15</v>
      </c>
      <c r="AC942" s="3" t="s">
        <v>180</v>
      </c>
      <c r="AD942" s="3" t="s">
        <v>83</v>
      </c>
      <c r="AE942" s="3">
        <v>15</v>
      </c>
      <c r="AF942" s="3" t="s">
        <v>143</v>
      </c>
      <c r="AG942" s="3" t="s">
        <v>257</v>
      </c>
      <c r="AH942" s="3"/>
    </row>
    <row r="943" spans="1:34" ht="14.25" customHeight="1" x14ac:dyDescent="0.25">
      <c r="A943" s="3" t="s">
        <v>85</v>
      </c>
      <c r="B943" s="3" t="s">
        <v>79</v>
      </c>
      <c r="C943" s="3"/>
      <c r="D943" s="3" t="s">
        <v>80</v>
      </c>
      <c r="E943" s="3">
        <v>1</v>
      </c>
      <c r="F943" s="3">
        <v>1</v>
      </c>
      <c r="G943" s="3" t="s">
        <v>2</v>
      </c>
      <c r="H943" s="11">
        <v>45930</v>
      </c>
      <c r="I943" s="3" t="s">
        <v>181</v>
      </c>
      <c r="J943" s="3">
        <f>13+7.2</f>
        <v>20.2</v>
      </c>
      <c r="K943" s="3">
        <v>6</v>
      </c>
      <c r="L943" s="3">
        <f>8.8</f>
        <v>8.8000000000000007</v>
      </c>
      <c r="M943" s="3">
        <f>6+8.8</f>
        <v>14.8</v>
      </c>
      <c r="N943" s="3">
        <f>7.2</f>
        <v>7.2</v>
      </c>
      <c r="O943" s="3">
        <f t="shared" si="190"/>
        <v>57</v>
      </c>
      <c r="P943" s="3">
        <v>3</v>
      </c>
      <c r="Q943" s="3">
        <v>2</v>
      </c>
      <c r="R943" s="3">
        <v>4</v>
      </c>
      <c r="S943" s="3">
        <v>4</v>
      </c>
      <c r="T943" s="3">
        <v>1</v>
      </c>
      <c r="U943" s="3">
        <f t="shared" si="200"/>
        <v>14</v>
      </c>
      <c r="V943" s="13">
        <f t="shared" si="191"/>
        <v>4.0714285714285712</v>
      </c>
      <c r="W943" s="13">
        <f t="shared" si="187"/>
        <v>4.0714285714285712</v>
      </c>
      <c r="X943" s="3">
        <f t="shared" si="192"/>
        <v>14</v>
      </c>
      <c r="Y943" s="3" t="e">
        <f t="shared" si="188"/>
        <v>#DIV/0!</v>
      </c>
      <c r="Z943" s="3"/>
      <c r="AA943" s="3"/>
      <c r="AB943" s="3">
        <v>15</v>
      </c>
      <c r="AC943" s="3" t="s">
        <v>180</v>
      </c>
      <c r="AD943" s="3" t="s">
        <v>83</v>
      </c>
      <c r="AE943" s="3">
        <v>20</v>
      </c>
      <c r="AF943" s="3" t="s">
        <v>143</v>
      </c>
      <c r="AG943" s="3" t="s">
        <v>258</v>
      </c>
      <c r="AH943" s="3"/>
    </row>
    <row r="944" spans="1:34" ht="14.25" customHeight="1" x14ac:dyDescent="0.25">
      <c r="A944" s="3" t="s">
        <v>85</v>
      </c>
      <c r="B944" s="3" t="s">
        <v>79</v>
      </c>
      <c r="C944" s="3"/>
      <c r="D944" s="3" t="s">
        <v>80</v>
      </c>
      <c r="E944" s="3">
        <v>1</v>
      </c>
      <c r="F944" s="3">
        <v>1</v>
      </c>
      <c r="G944" s="3" t="s">
        <v>14</v>
      </c>
      <c r="H944" s="11">
        <v>45930</v>
      </c>
      <c r="I944" s="3" t="s">
        <v>181</v>
      </c>
      <c r="J944" s="3">
        <f>4+6.2</f>
        <v>10.199999999999999</v>
      </c>
      <c r="K944" s="3">
        <v>0</v>
      </c>
      <c r="L944" s="3">
        <f>3.6+4.6</f>
        <v>8.1999999999999993</v>
      </c>
      <c r="M944" s="3">
        <f>4.2+5.8</f>
        <v>10</v>
      </c>
      <c r="N944" s="3">
        <v>0</v>
      </c>
      <c r="O944" s="3">
        <f t="shared" si="190"/>
        <v>28.4</v>
      </c>
      <c r="P944" s="3">
        <v>3</v>
      </c>
      <c r="Q944" s="3">
        <v>2</v>
      </c>
      <c r="R944" s="3">
        <v>4</v>
      </c>
      <c r="S944" s="3">
        <v>4</v>
      </c>
      <c r="T944" s="3">
        <v>1</v>
      </c>
      <c r="U944" s="3">
        <f t="shared" si="200"/>
        <v>14</v>
      </c>
      <c r="V944" s="13">
        <f t="shared" si="191"/>
        <v>2.0285714285714285</v>
      </c>
      <c r="W944" s="13">
        <f t="shared" si="187"/>
        <v>2.0285714285714285</v>
      </c>
      <c r="X944" s="3">
        <f t="shared" si="192"/>
        <v>14</v>
      </c>
      <c r="Y944" s="3" t="e">
        <f t="shared" si="188"/>
        <v>#DIV/0!</v>
      </c>
      <c r="Z944" s="3"/>
      <c r="AA944" s="3"/>
      <c r="AB944" s="3">
        <v>15</v>
      </c>
      <c r="AC944" s="3" t="s">
        <v>180</v>
      </c>
      <c r="AD944" s="3" t="s">
        <v>83</v>
      </c>
      <c r="AE944" s="3">
        <v>20</v>
      </c>
      <c r="AF944" s="3" t="s">
        <v>143</v>
      </c>
      <c r="AG944" s="3" t="s">
        <v>258</v>
      </c>
      <c r="AH944" s="3"/>
    </row>
    <row r="945" spans="1:34" ht="14.25" customHeight="1" x14ac:dyDescent="0.25">
      <c r="A945" s="3" t="s">
        <v>85</v>
      </c>
      <c r="B945" s="3" t="s">
        <v>79</v>
      </c>
      <c r="C945" s="3"/>
      <c r="D945" s="3" t="s">
        <v>80</v>
      </c>
      <c r="E945" s="3">
        <v>1</v>
      </c>
      <c r="F945" s="3">
        <v>1</v>
      </c>
      <c r="G945" s="3" t="s">
        <v>16</v>
      </c>
      <c r="H945" s="11">
        <v>45930</v>
      </c>
      <c r="I945" s="3" t="s">
        <v>181</v>
      </c>
      <c r="J945" s="3">
        <v>3.3</v>
      </c>
      <c r="K945" s="3">
        <v>3</v>
      </c>
      <c r="L945" s="3">
        <v>0</v>
      </c>
      <c r="M945" s="3">
        <v>0</v>
      </c>
      <c r="N945" s="3">
        <v>0</v>
      </c>
      <c r="O945" s="3">
        <f t="shared" si="190"/>
        <v>6.3</v>
      </c>
      <c r="P945" s="3">
        <v>3</v>
      </c>
      <c r="Q945" s="3">
        <v>2</v>
      </c>
      <c r="R945" s="3">
        <v>4</v>
      </c>
      <c r="S945" s="3">
        <v>4</v>
      </c>
      <c r="T945" s="3">
        <v>1</v>
      </c>
      <c r="U945" s="3">
        <f t="shared" si="200"/>
        <v>14</v>
      </c>
      <c r="V945" s="13">
        <f t="shared" si="191"/>
        <v>0.45</v>
      </c>
      <c r="W945" s="13">
        <f t="shared" si="187"/>
        <v>0.45</v>
      </c>
      <c r="X945" s="3">
        <f t="shared" si="192"/>
        <v>14</v>
      </c>
      <c r="Y945" s="3" t="e">
        <f t="shared" si="188"/>
        <v>#DIV/0!</v>
      </c>
      <c r="Z945" s="3"/>
      <c r="AA945" s="3"/>
      <c r="AB945" s="3">
        <v>15</v>
      </c>
      <c r="AC945" s="3" t="s">
        <v>180</v>
      </c>
      <c r="AD945" s="3" t="s">
        <v>83</v>
      </c>
      <c r="AE945" s="3">
        <v>20</v>
      </c>
      <c r="AF945" s="3" t="s">
        <v>143</v>
      </c>
      <c r="AG945" s="3" t="s">
        <v>258</v>
      </c>
      <c r="AH945" s="3"/>
    </row>
    <row r="946" spans="1:34" ht="14.25" customHeight="1" x14ac:dyDescent="0.25">
      <c r="A946" s="3" t="s">
        <v>85</v>
      </c>
      <c r="B946" s="3" t="s">
        <v>79</v>
      </c>
      <c r="C946" s="3"/>
      <c r="D946" s="3" t="s">
        <v>80</v>
      </c>
      <c r="E946" s="3">
        <v>1</v>
      </c>
      <c r="F946" s="3">
        <v>1</v>
      </c>
      <c r="G946" s="3" t="s">
        <v>25</v>
      </c>
      <c r="H946" s="11">
        <v>45930</v>
      </c>
      <c r="I946" s="3" t="s">
        <v>181</v>
      </c>
      <c r="J946" s="3">
        <v>0</v>
      </c>
      <c r="K946" s="3">
        <v>0</v>
      </c>
      <c r="L946" s="3">
        <v>12</v>
      </c>
      <c r="M946" s="3">
        <v>0</v>
      </c>
      <c r="N946" s="3">
        <v>0</v>
      </c>
      <c r="O946" s="3">
        <f t="shared" si="190"/>
        <v>12</v>
      </c>
      <c r="P946" s="3">
        <v>3</v>
      </c>
      <c r="Q946" s="3">
        <v>2</v>
      </c>
      <c r="R946" s="3">
        <v>4</v>
      </c>
      <c r="S946" s="3">
        <v>4</v>
      </c>
      <c r="T946" s="3">
        <v>1</v>
      </c>
      <c r="U946" s="3">
        <f t="shared" si="200"/>
        <v>14</v>
      </c>
      <c r="V946" s="13">
        <f t="shared" si="191"/>
        <v>0.8571428571428571</v>
      </c>
      <c r="W946" s="13">
        <f t="shared" si="187"/>
        <v>0.8571428571428571</v>
      </c>
      <c r="X946" s="3">
        <f t="shared" si="192"/>
        <v>14</v>
      </c>
      <c r="Y946" s="3" t="e">
        <f t="shared" si="188"/>
        <v>#DIV/0!</v>
      </c>
      <c r="Z946" s="3"/>
      <c r="AA946" s="3"/>
      <c r="AB946" s="3">
        <v>15</v>
      </c>
      <c r="AC946" s="3" t="s">
        <v>180</v>
      </c>
      <c r="AD946" s="3" t="s">
        <v>83</v>
      </c>
      <c r="AE946" s="3">
        <v>20</v>
      </c>
      <c r="AF946" s="3" t="s">
        <v>143</v>
      </c>
      <c r="AG946" s="3" t="s">
        <v>258</v>
      </c>
      <c r="AH946" s="3"/>
    </row>
    <row r="947" spans="1:34" ht="14.25" customHeight="1" x14ac:dyDescent="0.25">
      <c r="A947" s="3" t="s">
        <v>168</v>
      </c>
      <c r="B947" s="3" t="s">
        <v>79</v>
      </c>
      <c r="C947" s="3"/>
      <c r="D947" s="3" t="s">
        <v>98</v>
      </c>
      <c r="E947" s="3">
        <v>1</v>
      </c>
      <c r="F947" s="3">
        <v>1</v>
      </c>
      <c r="G947" s="3" t="s">
        <v>16</v>
      </c>
      <c r="H947" s="11">
        <v>45930</v>
      </c>
      <c r="I947" s="3" t="s">
        <v>181</v>
      </c>
      <c r="J947" s="3">
        <f>4+6</f>
        <v>10</v>
      </c>
      <c r="K947" s="3">
        <f>9+3+5</f>
        <v>17</v>
      </c>
      <c r="L947" s="3">
        <f>8+7</f>
        <v>15</v>
      </c>
      <c r="M947" s="3">
        <f>6+5+8</f>
        <v>19</v>
      </c>
      <c r="N947" s="3">
        <v>4</v>
      </c>
      <c r="O947" s="3">
        <f t="shared" si="190"/>
        <v>65</v>
      </c>
      <c r="P947" s="3">
        <v>3</v>
      </c>
      <c r="Q947" s="3">
        <v>5</v>
      </c>
      <c r="R947" s="3">
        <v>4</v>
      </c>
      <c r="S947" s="3">
        <v>5</v>
      </c>
      <c r="T947" s="3">
        <v>2</v>
      </c>
      <c r="U947" s="3">
        <f t="shared" si="200"/>
        <v>19</v>
      </c>
      <c r="V947" s="13">
        <f t="shared" si="191"/>
        <v>3.4210526315789473</v>
      </c>
      <c r="W947" s="13">
        <f t="shared" si="187"/>
        <v>3.4210526315789473</v>
      </c>
      <c r="X947" s="3">
        <f t="shared" si="192"/>
        <v>19</v>
      </c>
      <c r="Y947" s="3" t="e">
        <f t="shared" si="188"/>
        <v>#DIV/0!</v>
      </c>
      <c r="Z947" s="3"/>
      <c r="AA947" s="3"/>
      <c r="AB947" s="3"/>
      <c r="AC947" s="3" t="s">
        <v>180</v>
      </c>
      <c r="AD947" s="3" t="s">
        <v>83</v>
      </c>
      <c r="AE947" s="3">
        <v>60</v>
      </c>
      <c r="AF947" s="3" t="s">
        <v>143</v>
      </c>
      <c r="AG947" s="3" t="s">
        <v>182</v>
      </c>
      <c r="AH947" s="3"/>
    </row>
    <row r="948" spans="1:34" ht="14.25" customHeight="1" x14ac:dyDescent="0.25">
      <c r="A948" s="3" t="s">
        <v>168</v>
      </c>
      <c r="B948" s="3" t="s">
        <v>79</v>
      </c>
      <c r="C948" s="3"/>
      <c r="D948" s="3" t="s">
        <v>98</v>
      </c>
      <c r="E948" s="3">
        <v>1</v>
      </c>
      <c r="F948" s="3">
        <v>1</v>
      </c>
      <c r="G948" s="3" t="s">
        <v>18</v>
      </c>
      <c r="H948" s="11">
        <v>45930</v>
      </c>
      <c r="I948" s="3" t="s">
        <v>181</v>
      </c>
      <c r="J948" s="3">
        <f>2+3+5</f>
        <v>10</v>
      </c>
      <c r="K948" s="3">
        <f>7+3</f>
        <v>10</v>
      </c>
      <c r="L948" s="3">
        <f>5+4</f>
        <v>9</v>
      </c>
      <c r="M948" s="3">
        <f>3+7</f>
        <v>10</v>
      </c>
      <c r="N948" s="3">
        <v>0</v>
      </c>
      <c r="O948" s="3">
        <f t="shared" si="190"/>
        <v>39</v>
      </c>
      <c r="P948" s="3">
        <v>3</v>
      </c>
      <c r="Q948" s="3">
        <v>5</v>
      </c>
      <c r="R948" s="3">
        <v>4</v>
      </c>
      <c r="S948" s="3">
        <v>5</v>
      </c>
      <c r="T948" s="3">
        <v>2</v>
      </c>
      <c r="U948" s="3">
        <f t="shared" si="200"/>
        <v>19</v>
      </c>
      <c r="V948" s="13">
        <f t="shared" si="191"/>
        <v>2.0526315789473686</v>
      </c>
      <c r="W948" s="13">
        <f t="shared" si="187"/>
        <v>2.0526315789473686</v>
      </c>
      <c r="X948" s="3">
        <f t="shared" si="192"/>
        <v>19</v>
      </c>
      <c r="Y948" s="3" t="e">
        <f t="shared" si="188"/>
        <v>#DIV/0!</v>
      </c>
      <c r="Z948" s="3"/>
      <c r="AA948" s="3"/>
      <c r="AB948" s="3"/>
      <c r="AC948" s="3" t="s">
        <v>180</v>
      </c>
      <c r="AD948" s="3" t="s">
        <v>83</v>
      </c>
      <c r="AE948" s="3">
        <v>60</v>
      </c>
      <c r="AF948" s="3" t="s">
        <v>143</v>
      </c>
      <c r="AG948" s="3" t="s">
        <v>182</v>
      </c>
      <c r="AH948" s="3"/>
    </row>
    <row r="949" spans="1:34" ht="14.25" customHeight="1" x14ac:dyDescent="0.25">
      <c r="A949" s="3" t="s">
        <v>168</v>
      </c>
      <c r="B949" s="3" t="s">
        <v>79</v>
      </c>
      <c r="C949" s="3"/>
      <c r="D949" s="3" t="s">
        <v>98</v>
      </c>
      <c r="E949" s="3">
        <v>1</v>
      </c>
      <c r="F949" s="3">
        <v>1</v>
      </c>
      <c r="G949" s="3" t="s">
        <v>19</v>
      </c>
      <c r="H949" s="11">
        <v>45930</v>
      </c>
      <c r="I949" s="3" t="s">
        <v>181</v>
      </c>
      <c r="J949" s="3">
        <v>0</v>
      </c>
      <c r="K949" s="3">
        <v>0</v>
      </c>
      <c r="L949" s="3">
        <v>0</v>
      </c>
      <c r="M949" s="3">
        <v>0</v>
      </c>
      <c r="N949" s="3">
        <v>4</v>
      </c>
      <c r="O949" s="3">
        <f t="shared" si="190"/>
        <v>4</v>
      </c>
      <c r="P949" s="3">
        <v>3</v>
      </c>
      <c r="Q949" s="3">
        <v>5</v>
      </c>
      <c r="R949" s="3">
        <v>4</v>
      </c>
      <c r="S949" s="3">
        <v>5</v>
      </c>
      <c r="T949" s="3">
        <v>2</v>
      </c>
      <c r="U949" s="3">
        <f t="shared" si="200"/>
        <v>19</v>
      </c>
      <c r="V949" s="13">
        <f t="shared" si="191"/>
        <v>0.21052631578947367</v>
      </c>
      <c r="W949" s="13">
        <f t="shared" si="187"/>
        <v>0.21052631578947367</v>
      </c>
      <c r="X949" s="3">
        <f t="shared" si="192"/>
        <v>19</v>
      </c>
      <c r="Y949" s="3" t="e">
        <f t="shared" si="188"/>
        <v>#DIV/0!</v>
      </c>
      <c r="Z949" s="3"/>
      <c r="AA949" s="3"/>
      <c r="AB949" s="3"/>
      <c r="AC949" s="3" t="s">
        <v>180</v>
      </c>
      <c r="AD949" s="3" t="s">
        <v>83</v>
      </c>
      <c r="AE949" s="3">
        <v>60</v>
      </c>
      <c r="AF949" s="3" t="s">
        <v>143</v>
      </c>
      <c r="AG949" s="3" t="s">
        <v>182</v>
      </c>
      <c r="AH949" s="3"/>
    </row>
    <row r="950" spans="1:34" ht="14.25" customHeight="1" x14ac:dyDescent="0.25">
      <c r="A950" s="3" t="s">
        <v>86</v>
      </c>
      <c r="B950" s="3" t="s">
        <v>79</v>
      </c>
      <c r="C950" s="3"/>
      <c r="D950" s="3" t="s">
        <v>80</v>
      </c>
      <c r="E950" s="3">
        <v>1</v>
      </c>
      <c r="F950" s="3">
        <v>1</v>
      </c>
      <c r="G950" s="3" t="s">
        <v>1</v>
      </c>
      <c r="H950" s="11">
        <v>45930</v>
      </c>
      <c r="I950" s="3" t="s">
        <v>181</v>
      </c>
      <c r="J950" s="3">
        <f>22+18+12+21.3</f>
        <v>73.3</v>
      </c>
      <c r="K950" s="3">
        <f>28+18.5+23.4+19</f>
        <v>88.9</v>
      </c>
      <c r="L950" s="3">
        <f>28+32+11+9</f>
        <v>80</v>
      </c>
      <c r="M950" s="3">
        <f>16+15.2+14</f>
        <v>45.2</v>
      </c>
      <c r="N950" s="3">
        <v>0</v>
      </c>
      <c r="O950" s="3">
        <f t="shared" si="190"/>
        <v>287.39999999999998</v>
      </c>
      <c r="P950" s="3">
        <v>4</v>
      </c>
      <c r="Q950" s="3">
        <v>6</v>
      </c>
      <c r="R950" s="3">
        <v>4</v>
      </c>
      <c r="S950" s="3">
        <v>6</v>
      </c>
      <c r="T950" s="3">
        <v>0</v>
      </c>
      <c r="U950" s="3">
        <f t="shared" si="200"/>
        <v>20</v>
      </c>
      <c r="V950" s="13">
        <f t="shared" si="191"/>
        <v>14.37</v>
      </c>
      <c r="W950" s="13">
        <f t="shared" si="187"/>
        <v>14.37</v>
      </c>
      <c r="X950" s="3">
        <f t="shared" si="192"/>
        <v>20</v>
      </c>
      <c r="Y950" s="3" t="e">
        <f t="shared" si="188"/>
        <v>#DIV/0!</v>
      </c>
      <c r="Z950" s="3"/>
      <c r="AA950" s="3"/>
      <c r="AB950" s="3">
        <v>40</v>
      </c>
      <c r="AC950" s="3" t="s">
        <v>180</v>
      </c>
      <c r="AD950" s="3" t="s">
        <v>83</v>
      </c>
      <c r="AE950" s="3">
        <v>20</v>
      </c>
      <c r="AF950" s="3" t="s">
        <v>143</v>
      </c>
      <c r="AG950" s="3" t="s">
        <v>259</v>
      </c>
      <c r="AH950" s="3"/>
    </row>
    <row r="951" spans="1:34" ht="14.25" customHeight="1" x14ac:dyDescent="0.25">
      <c r="A951" s="3" t="s">
        <v>86</v>
      </c>
      <c r="B951" s="3" t="s">
        <v>79</v>
      </c>
      <c r="C951" s="3"/>
      <c r="D951" s="3" t="s">
        <v>80</v>
      </c>
      <c r="E951" s="3">
        <v>1</v>
      </c>
      <c r="F951" s="3">
        <v>1</v>
      </c>
      <c r="G951" s="3" t="s">
        <v>2</v>
      </c>
      <c r="H951" s="11">
        <v>45930</v>
      </c>
      <c r="I951" s="3" t="s">
        <v>181</v>
      </c>
      <c r="J951" s="3">
        <v>0</v>
      </c>
      <c r="K951" s="3">
        <v>0</v>
      </c>
      <c r="L951" s="3">
        <v>0</v>
      </c>
      <c r="M951" s="3">
        <f>8+3.6</f>
        <v>11.6</v>
      </c>
      <c r="N951" s="3">
        <v>0</v>
      </c>
      <c r="O951" s="3">
        <f t="shared" si="190"/>
        <v>11.6</v>
      </c>
      <c r="P951" s="3">
        <v>4</v>
      </c>
      <c r="Q951" s="3">
        <v>6</v>
      </c>
      <c r="R951" s="3">
        <v>4</v>
      </c>
      <c r="S951" s="3">
        <v>6</v>
      </c>
      <c r="T951" s="3">
        <v>0</v>
      </c>
      <c r="U951" s="3">
        <f t="shared" si="200"/>
        <v>20</v>
      </c>
      <c r="V951" s="13">
        <f t="shared" si="191"/>
        <v>0.57999999999999996</v>
      </c>
      <c r="W951" s="13">
        <f t="shared" si="187"/>
        <v>0.57999999999999996</v>
      </c>
      <c r="X951" s="3">
        <f t="shared" si="192"/>
        <v>20</v>
      </c>
      <c r="Y951" s="3" t="e">
        <f t="shared" si="188"/>
        <v>#DIV/0!</v>
      </c>
      <c r="Z951" s="3"/>
      <c r="AA951" s="3"/>
      <c r="AB951" s="3">
        <v>40</v>
      </c>
      <c r="AC951" s="3" t="s">
        <v>180</v>
      </c>
      <c r="AD951" s="3" t="s">
        <v>83</v>
      </c>
      <c r="AE951" s="3">
        <v>20</v>
      </c>
      <c r="AF951" s="3" t="s">
        <v>143</v>
      </c>
      <c r="AG951" s="3" t="s">
        <v>259</v>
      </c>
      <c r="AH951" s="3"/>
    </row>
    <row r="952" spans="1:34" ht="14.25" customHeight="1" x14ac:dyDescent="0.25">
      <c r="A952" s="3" t="s">
        <v>86</v>
      </c>
      <c r="B952" s="3" t="s">
        <v>79</v>
      </c>
      <c r="C952" s="3"/>
      <c r="D952" s="3" t="s">
        <v>80</v>
      </c>
      <c r="E952" s="3">
        <v>1</v>
      </c>
      <c r="F952" s="3">
        <v>1</v>
      </c>
      <c r="G952" s="3" t="s">
        <v>13</v>
      </c>
      <c r="H952" s="11">
        <v>45930</v>
      </c>
      <c r="I952" s="3" t="s">
        <v>181</v>
      </c>
      <c r="J952" s="3">
        <v>0</v>
      </c>
      <c r="K952" s="3">
        <v>0</v>
      </c>
      <c r="L952" s="3">
        <v>0</v>
      </c>
      <c r="M952" s="3">
        <f>14+8</f>
        <v>22</v>
      </c>
      <c r="N952" s="3">
        <v>0</v>
      </c>
      <c r="O952" s="3">
        <f t="shared" si="190"/>
        <v>22</v>
      </c>
      <c r="P952" s="3">
        <v>4</v>
      </c>
      <c r="Q952" s="3">
        <v>6</v>
      </c>
      <c r="R952" s="3">
        <v>4</v>
      </c>
      <c r="S952" s="3">
        <v>6</v>
      </c>
      <c r="T952" s="3">
        <v>0</v>
      </c>
      <c r="U952" s="3">
        <f t="shared" si="200"/>
        <v>20</v>
      </c>
      <c r="V952" s="13">
        <f t="shared" si="191"/>
        <v>1.1000000000000001</v>
      </c>
      <c r="W952" s="13">
        <f t="shared" si="187"/>
        <v>1.1000000000000001</v>
      </c>
      <c r="X952" s="3">
        <f t="shared" si="192"/>
        <v>20</v>
      </c>
      <c r="Y952" s="3" t="e">
        <f t="shared" si="188"/>
        <v>#DIV/0!</v>
      </c>
      <c r="Z952" s="3"/>
      <c r="AA952" s="3"/>
      <c r="AB952" s="3">
        <v>40</v>
      </c>
      <c r="AC952" s="3" t="s">
        <v>180</v>
      </c>
      <c r="AD952" s="3" t="s">
        <v>83</v>
      </c>
      <c r="AE952" s="3">
        <v>20</v>
      </c>
      <c r="AF952" s="3" t="s">
        <v>143</v>
      </c>
      <c r="AG952" s="3" t="s">
        <v>259</v>
      </c>
      <c r="AH952" s="3"/>
    </row>
    <row r="953" spans="1:34" ht="14.25" customHeight="1" x14ac:dyDescent="0.25">
      <c r="A953" s="3" t="s">
        <v>86</v>
      </c>
      <c r="B953" s="3" t="s">
        <v>79</v>
      </c>
      <c r="C953" s="3"/>
      <c r="D953" s="3" t="s">
        <v>80</v>
      </c>
      <c r="E953" s="3">
        <v>1</v>
      </c>
      <c r="F953" s="3">
        <v>1</v>
      </c>
      <c r="G953" s="3" t="s">
        <v>15</v>
      </c>
      <c r="H953" s="11">
        <v>45930</v>
      </c>
      <c r="I953" s="3" t="s">
        <v>181</v>
      </c>
      <c r="J953" s="3">
        <v>16</v>
      </c>
      <c r="K953" s="3">
        <f>75+22</f>
        <v>97</v>
      </c>
      <c r="L953" s="3">
        <v>21.5</v>
      </c>
      <c r="M953" s="3">
        <v>12</v>
      </c>
      <c r="N953" s="3">
        <v>0</v>
      </c>
      <c r="O953" s="3">
        <f t="shared" si="190"/>
        <v>146.5</v>
      </c>
      <c r="P953" s="3">
        <v>4</v>
      </c>
      <c r="Q953" s="3">
        <v>6</v>
      </c>
      <c r="R953" s="3">
        <v>4</v>
      </c>
      <c r="S953" s="3">
        <v>6</v>
      </c>
      <c r="T953" s="3">
        <v>0</v>
      </c>
      <c r="U953" s="3">
        <f t="shared" si="200"/>
        <v>20</v>
      </c>
      <c r="V953" s="13">
        <f t="shared" si="191"/>
        <v>7.3250000000000002</v>
      </c>
      <c r="W953" s="13">
        <f t="shared" si="187"/>
        <v>7.3250000000000002</v>
      </c>
      <c r="X953" s="3">
        <f t="shared" si="192"/>
        <v>20</v>
      </c>
      <c r="Y953" s="3" t="e">
        <f t="shared" si="188"/>
        <v>#DIV/0!</v>
      </c>
      <c r="Z953" s="3"/>
      <c r="AA953" s="3"/>
      <c r="AB953" s="3">
        <v>40</v>
      </c>
      <c r="AC953" s="3" t="s">
        <v>180</v>
      </c>
      <c r="AD953" s="3" t="s">
        <v>83</v>
      </c>
      <c r="AE953" s="3">
        <v>20</v>
      </c>
      <c r="AF953" s="3" t="s">
        <v>143</v>
      </c>
      <c r="AG953" s="3" t="s">
        <v>259</v>
      </c>
      <c r="AH953" s="3"/>
    </row>
    <row r="954" spans="1:34" ht="14.25" customHeight="1" x14ac:dyDescent="0.25">
      <c r="A954" s="3" t="s">
        <v>145</v>
      </c>
      <c r="B954" s="3" t="s">
        <v>79</v>
      </c>
      <c r="C954" s="3"/>
      <c r="D954" s="3" t="s">
        <v>186</v>
      </c>
      <c r="E954" s="3">
        <v>1</v>
      </c>
      <c r="F954" s="3">
        <v>1</v>
      </c>
      <c r="G954" s="3" t="s">
        <v>3</v>
      </c>
      <c r="H954" s="11">
        <v>45930</v>
      </c>
      <c r="I954" s="3" t="s">
        <v>181</v>
      </c>
      <c r="J954" s="3">
        <v>14</v>
      </c>
      <c r="K954" s="3">
        <v>5</v>
      </c>
      <c r="L954" s="3">
        <v>2.6</v>
      </c>
      <c r="M954" s="3">
        <f>6.6+4</f>
        <v>10.6</v>
      </c>
      <c r="N954" s="3">
        <v>0</v>
      </c>
      <c r="O954" s="3">
        <f t="shared" si="190"/>
        <v>32.200000000000003</v>
      </c>
      <c r="P954" s="3">
        <v>5</v>
      </c>
      <c r="Q954" s="3">
        <v>2</v>
      </c>
      <c r="R954" s="3">
        <v>1</v>
      </c>
      <c r="S954" s="3">
        <v>5</v>
      </c>
      <c r="T954" s="3">
        <v>0</v>
      </c>
      <c r="U954" s="3">
        <f t="shared" si="200"/>
        <v>13</v>
      </c>
      <c r="V954" s="13">
        <f t="shared" si="191"/>
        <v>2.476923076923077</v>
      </c>
      <c r="W954" s="13">
        <f t="shared" si="187"/>
        <v>2.476923076923077</v>
      </c>
      <c r="X954" s="3">
        <f t="shared" si="192"/>
        <v>13</v>
      </c>
      <c r="Y954" s="3">
        <f t="shared" si="188"/>
        <v>9.3822843822843824E-3</v>
      </c>
      <c r="Z954" s="3"/>
      <c r="AA954" s="3">
        <f t="shared" ref="AA954:AA957" si="202">10*2.2*12</f>
        <v>264</v>
      </c>
      <c r="AB954" s="3"/>
      <c r="AC954" s="3" t="s">
        <v>180</v>
      </c>
      <c r="AD954" s="3" t="s">
        <v>83</v>
      </c>
      <c r="AE954" s="3">
        <v>15</v>
      </c>
      <c r="AF954" s="3" t="s">
        <v>143</v>
      </c>
      <c r="AG954" s="3" t="s">
        <v>303</v>
      </c>
      <c r="AH954" s="3"/>
    </row>
    <row r="955" spans="1:34" ht="14.25" customHeight="1" x14ac:dyDescent="0.25">
      <c r="A955" s="3" t="s">
        <v>145</v>
      </c>
      <c r="B955" s="3" t="s">
        <v>79</v>
      </c>
      <c r="C955" s="3"/>
      <c r="D955" s="3" t="s">
        <v>186</v>
      </c>
      <c r="E955" s="3">
        <v>1</v>
      </c>
      <c r="F955" s="3">
        <v>1</v>
      </c>
      <c r="G955" s="3" t="s">
        <v>10</v>
      </c>
      <c r="H955" s="11">
        <v>45930</v>
      </c>
      <c r="I955" s="3" t="s">
        <v>181</v>
      </c>
      <c r="J955" s="3">
        <f>1.8+2.6</f>
        <v>4.4000000000000004</v>
      </c>
      <c r="K955" s="3">
        <f>2.6+1.2</f>
        <v>3.8</v>
      </c>
      <c r="L955" s="3">
        <v>0</v>
      </c>
      <c r="M955" s="3">
        <v>2.6</v>
      </c>
      <c r="N955" s="3">
        <v>0</v>
      </c>
      <c r="O955" s="3">
        <f t="shared" si="190"/>
        <v>10.799999999999999</v>
      </c>
      <c r="P955" s="3">
        <v>5</v>
      </c>
      <c r="Q955" s="3">
        <v>2</v>
      </c>
      <c r="R955" s="3">
        <v>1</v>
      </c>
      <c r="S955" s="3">
        <v>5</v>
      </c>
      <c r="T955" s="3">
        <v>0</v>
      </c>
      <c r="U955" s="3">
        <f t="shared" si="200"/>
        <v>13</v>
      </c>
      <c r="V955" s="13">
        <f t="shared" si="191"/>
        <v>0.8307692307692307</v>
      </c>
      <c r="W955" s="13">
        <f t="shared" si="187"/>
        <v>0.8307692307692307</v>
      </c>
      <c r="X955" s="3">
        <f t="shared" si="192"/>
        <v>13</v>
      </c>
      <c r="Y955" s="3">
        <f t="shared" si="188"/>
        <v>3.1468531468531466E-3</v>
      </c>
      <c r="Z955" s="3"/>
      <c r="AA955" s="3">
        <f t="shared" si="202"/>
        <v>264</v>
      </c>
      <c r="AB955" s="3"/>
      <c r="AC955" s="3" t="s">
        <v>180</v>
      </c>
      <c r="AD955" s="3" t="s">
        <v>83</v>
      </c>
      <c r="AE955" s="3">
        <v>15</v>
      </c>
      <c r="AF955" s="3" t="s">
        <v>143</v>
      </c>
      <c r="AG955" s="3" t="s">
        <v>303</v>
      </c>
      <c r="AH955" s="3"/>
    </row>
    <row r="956" spans="1:34" ht="14.25" customHeight="1" x14ac:dyDescent="0.25">
      <c r="A956" s="3" t="s">
        <v>145</v>
      </c>
      <c r="B956" s="3" t="s">
        <v>79</v>
      </c>
      <c r="C956" s="3"/>
      <c r="D956" s="3" t="s">
        <v>186</v>
      </c>
      <c r="E956" s="3">
        <v>1</v>
      </c>
      <c r="F956" s="3">
        <v>1</v>
      </c>
      <c r="G956" s="3" t="s">
        <v>12</v>
      </c>
      <c r="H956" s="11">
        <v>45930</v>
      </c>
      <c r="I956" s="3" t="s">
        <v>181</v>
      </c>
      <c r="J956" s="3">
        <v>1.1000000000000001</v>
      </c>
      <c r="K956" s="3">
        <v>0</v>
      </c>
      <c r="L956" s="3">
        <v>0</v>
      </c>
      <c r="M956" s="3">
        <v>1.3</v>
      </c>
      <c r="N956" s="3">
        <v>0</v>
      </c>
      <c r="O956" s="3">
        <f t="shared" si="190"/>
        <v>2.4000000000000004</v>
      </c>
      <c r="P956" s="3">
        <v>5</v>
      </c>
      <c r="Q956" s="3">
        <v>2</v>
      </c>
      <c r="R956" s="3">
        <v>1</v>
      </c>
      <c r="S956" s="3">
        <v>5</v>
      </c>
      <c r="T956" s="3">
        <v>0</v>
      </c>
      <c r="U956" s="3">
        <f t="shared" si="200"/>
        <v>13</v>
      </c>
      <c r="V956" s="13">
        <f t="shared" si="191"/>
        <v>0.18461538461538465</v>
      </c>
      <c r="W956" s="13">
        <f t="shared" si="187"/>
        <v>0.18461538461538465</v>
      </c>
      <c r="X956" s="3">
        <f t="shared" si="192"/>
        <v>13</v>
      </c>
      <c r="Y956" s="3">
        <f t="shared" si="188"/>
        <v>6.9930069930069941E-4</v>
      </c>
      <c r="Z956" s="3"/>
      <c r="AA956" s="3">
        <f t="shared" si="202"/>
        <v>264</v>
      </c>
      <c r="AB956" s="3"/>
      <c r="AC956" s="3" t="s">
        <v>180</v>
      </c>
      <c r="AD956" s="3" t="s">
        <v>83</v>
      </c>
      <c r="AE956" s="3">
        <v>15</v>
      </c>
      <c r="AF956" s="3" t="s">
        <v>143</v>
      </c>
      <c r="AG956" s="3" t="s">
        <v>303</v>
      </c>
      <c r="AH956" s="3"/>
    </row>
    <row r="957" spans="1:34" ht="14.25" customHeight="1" x14ac:dyDescent="0.25">
      <c r="A957" s="3" t="s">
        <v>145</v>
      </c>
      <c r="B957" s="3" t="s">
        <v>79</v>
      </c>
      <c r="C957" s="3"/>
      <c r="D957" s="3" t="s">
        <v>186</v>
      </c>
      <c r="E957" s="3">
        <v>1</v>
      </c>
      <c r="F957" s="3">
        <v>1</v>
      </c>
      <c r="G957" s="3" t="s">
        <v>14</v>
      </c>
      <c r="H957" s="11">
        <v>45930</v>
      </c>
      <c r="I957" s="3" t="s">
        <v>181</v>
      </c>
      <c r="J957" s="3">
        <f>6+2.9</f>
        <v>8.9</v>
      </c>
      <c r="K957" s="3">
        <v>0</v>
      </c>
      <c r="L957" s="3">
        <v>0</v>
      </c>
      <c r="M957" s="3">
        <f>4+2.6</f>
        <v>6.6</v>
      </c>
      <c r="N957" s="3">
        <v>0</v>
      </c>
      <c r="O957" s="3">
        <f t="shared" si="190"/>
        <v>15.5</v>
      </c>
      <c r="P957" s="3">
        <v>5</v>
      </c>
      <c r="Q957" s="3">
        <v>2</v>
      </c>
      <c r="R957" s="3">
        <v>1</v>
      </c>
      <c r="S957" s="3">
        <v>5</v>
      </c>
      <c r="T957" s="3">
        <v>0</v>
      </c>
      <c r="U957" s="3">
        <f t="shared" si="200"/>
        <v>13</v>
      </c>
      <c r="V957" s="13">
        <f t="shared" si="191"/>
        <v>1.1923076923076923</v>
      </c>
      <c r="W957" s="13">
        <f t="shared" si="187"/>
        <v>1.1923076923076923</v>
      </c>
      <c r="X957" s="3">
        <f t="shared" si="192"/>
        <v>13</v>
      </c>
      <c r="Y957" s="3">
        <f t="shared" si="188"/>
        <v>4.516317016317016E-3</v>
      </c>
      <c r="Z957" s="3"/>
      <c r="AA957" s="3">
        <f t="shared" si="202"/>
        <v>264</v>
      </c>
      <c r="AB957" s="3"/>
      <c r="AC957" s="3" t="s">
        <v>180</v>
      </c>
      <c r="AD957" s="3" t="s">
        <v>83</v>
      </c>
      <c r="AE957" s="3">
        <v>15</v>
      </c>
      <c r="AF957" s="3" t="s">
        <v>143</v>
      </c>
      <c r="AG957" s="3" t="s">
        <v>303</v>
      </c>
      <c r="AH957" s="3"/>
    </row>
    <row r="958" spans="1:34" ht="14.25" customHeight="1" x14ac:dyDescent="0.25">
      <c r="A958" s="3" t="s">
        <v>93</v>
      </c>
      <c r="B958" s="3" t="s">
        <v>79</v>
      </c>
      <c r="C958" s="3"/>
      <c r="D958" s="3" t="s">
        <v>80</v>
      </c>
      <c r="E958" s="3">
        <v>1</v>
      </c>
      <c r="F958" s="3">
        <v>1</v>
      </c>
      <c r="G958" s="3" t="s">
        <v>2</v>
      </c>
      <c r="H958" s="11">
        <v>45930</v>
      </c>
      <c r="I958" s="3" t="s">
        <v>181</v>
      </c>
      <c r="J958" s="3">
        <f>4.8+16</f>
        <v>20.8</v>
      </c>
      <c r="K958" s="3">
        <v>14</v>
      </c>
      <c r="L958" s="3">
        <v>5</v>
      </c>
      <c r="M958" s="3">
        <f>9+3</f>
        <v>12</v>
      </c>
      <c r="N958" s="3">
        <v>0</v>
      </c>
      <c r="O958" s="3">
        <f t="shared" si="190"/>
        <v>51.8</v>
      </c>
      <c r="P958" s="3">
        <v>3</v>
      </c>
      <c r="Q958" s="3">
        <v>2</v>
      </c>
      <c r="R958" s="3">
        <v>3</v>
      </c>
      <c r="S958" s="3">
        <v>3</v>
      </c>
      <c r="T958" s="3">
        <v>0</v>
      </c>
      <c r="U958" s="3">
        <f t="shared" si="200"/>
        <v>11</v>
      </c>
      <c r="V958" s="13">
        <f t="shared" si="191"/>
        <v>4.709090909090909</v>
      </c>
      <c r="W958" s="13">
        <f t="shared" si="187"/>
        <v>4.709090909090909</v>
      </c>
      <c r="X958" s="3">
        <f t="shared" si="192"/>
        <v>11</v>
      </c>
      <c r="Y958" s="3" t="e">
        <f t="shared" si="188"/>
        <v>#DIV/0!</v>
      </c>
      <c r="Z958" s="3"/>
      <c r="AA958" s="3"/>
      <c r="AB958" s="3">
        <v>13</v>
      </c>
      <c r="AC958" s="3" t="s">
        <v>180</v>
      </c>
      <c r="AD958" s="3" t="s">
        <v>83</v>
      </c>
      <c r="AE958" s="3">
        <v>50</v>
      </c>
      <c r="AF958" s="3" t="s">
        <v>143</v>
      </c>
      <c r="AG958" s="3" t="s">
        <v>257</v>
      </c>
      <c r="AH958" s="3"/>
    </row>
    <row r="959" spans="1:34" ht="14.25" customHeight="1" x14ac:dyDescent="0.25">
      <c r="A959" s="3" t="s">
        <v>93</v>
      </c>
      <c r="B959" s="3" t="s">
        <v>79</v>
      </c>
      <c r="C959" s="3"/>
      <c r="D959" s="3" t="s">
        <v>80</v>
      </c>
      <c r="E959" s="3">
        <v>1</v>
      </c>
      <c r="F959" s="3">
        <v>1</v>
      </c>
      <c r="G959" s="3" t="s">
        <v>14</v>
      </c>
      <c r="H959" s="11">
        <v>45930</v>
      </c>
      <c r="I959" s="3" t="s">
        <v>181</v>
      </c>
      <c r="J959" s="3">
        <v>0</v>
      </c>
      <c r="K959" s="3">
        <v>0</v>
      </c>
      <c r="L959" s="3">
        <v>2.2999999999999998</v>
      </c>
      <c r="M959" s="3">
        <v>0</v>
      </c>
      <c r="N959" s="3">
        <v>0</v>
      </c>
      <c r="O959" s="3">
        <f t="shared" si="190"/>
        <v>2.2999999999999998</v>
      </c>
      <c r="P959" s="3">
        <v>3</v>
      </c>
      <c r="Q959" s="3">
        <v>2</v>
      </c>
      <c r="R959" s="3">
        <v>3</v>
      </c>
      <c r="S959" s="3">
        <v>3</v>
      </c>
      <c r="T959" s="3">
        <v>0</v>
      </c>
      <c r="U959" s="3">
        <f t="shared" si="200"/>
        <v>11</v>
      </c>
      <c r="V959" s="13">
        <f t="shared" si="191"/>
        <v>0.20909090909090908</v>
      </c>
      <c r="W959" s="13">
        <f t="shared" si="187"/>
        <v>0.20909090909090908</v>
      </c>
      <c r="X959" s="3">
        <f t="shared" si="192"/>
        <v>11</v>
      </c>
      <c r="Y959" s="3" t="e">
        <f t="shared" si="188"/>
        <v>#DIV/0!</v>
      </c>
      <c r="Z959" s="3"/>
      <c r="AA959" s="3"/>
      <c r="AB959" s="3">
        <v>13</v>
      </c>
      <c r="AC959" s="3" t="s">
        <v>180</v>
      </c>
      <c r="AD959" s="3" t="s">
        <v>83</v>
      </c>
      <c r="AE959" s="3">
        <v>50</v>
      </c>
      <c r="AF959" s="3" t="s">
        <v>143</v>
      </c>
      <c r="AG959" s="3" t="s">
        <v>257</v>
      </c>
      <c r="AH959" s="3"/>
    </row>
    <row r="960" spans="1:34" ht="14.25" customHeight="1" x14ac:dyDescent="0.25">
      <c r="A960" s="3" t="s">
        <v>93</v>
      </c>
      <c r="B960" s="3" t="s">
        <v>79</v>
      </c>
      <c r="C960" s="3"/>
      <c r="D960" s="3" t="s">
        <v>80</v>
      </c>
      <c r="E960" s="3">
        <v>1</v>
      </c>
      <c r="F960" s="3">
        <v>1</v>
      </c>
      <c r="G960" s="3" t="s">
        <v>16</v>
      </c>
      <c r="H960" s="11">
        <v>45930</v>
      </c>
      <c r="I960" s="3" t="s">
        <v>181</v>
      </c>
      <c r="J960" s="3">
        <v>0</v>
      </c>
      <c r="K960" s="3">
        <v>0</v>
      </c>
      <c r="L960" s="3">
        <v>0</v>
      </c>
      <c r="M960" s="3">
        <v>2.8</v>
      </c>
      <c r="N960" s="3">
        <v>0</v>
      </c>
      <c r="O960" s="3">
        <f t="shared" si="190"/>
        <v>2.8</v>
      </c>
      <c r="P960" s="3">
        <v>3</v>
      </c>
      <c r="Q960" s="3">
        <v>2</v>
      </c>
      <c r="R960" s="3">
        <v>3</v>
      </c>
      <c r="S960" s="3">
        <v>3</v>
      </c>
      <c r="T960" s="3">
        <v>0</v>
      </c>
      <c r="U960" s="3">
        <f t="shared" si="200"/>
        <v>11</v>
      </c>
      <c r="V960" s="13">
        <f t="shared" si="191"/>
        <v>0.25454545454545452</v>
      </c>
      <c r="W960" s="13">
        <f t="shared" si="187"/>
        <v>0.25454545454545452</v>
      </c>
      <c r="X960" s="3">
        <f t="shared" si="192"/>
        <v>11</v>
      </c>
      <c r="Y960" s="3" t="e">
        <f t="shared" si="188"/>
        <v>#DIV/0!</v>
      </c>
      <c r="Z960" s="3"/>
      <c r="AA960" s="3"/>
      <c r="AB960" s="3">
        <v>13</v>
      </c>
      <c r="AC960" s="3" t="s">
        <v>180</v>
      </c>
      <c r="AD960" s="3" t="s">
        <v>83</v>
      </c>
      <c r="AE960" s="3">
        <v>50</v>
      </c>
      <c r="AF960" s="3" t="s">
        <v>143</v>
      </c>
      <c r="AG960" s="3" t="s">
        <v>257</v>
      </c>
      <c r="AH960" s="3"/>
    </row>
    <row r="961" spans="1:34" ht="14.25" customHeight="1" x14ac:dyDescent="0.25">
      <c r="A961" s="3" t="s">
        <v>93</v>
      </c>
      <c r="B961" s="3" t="s">
        <v>79</v>
      </c>
      <c r="C961" s="3"/>
      <c r="D961" s="3" t="s">
        <v>80</v>
      </c>
      <c r="E961" s="3">
        <v>1</v>
      </c>
      <c r="F961" s="3">
        <v>1</v>
      </c>
      <c r="G961" s="3" t="s">
        <v>18</v>
      </c>
      <c r="H961" s="11">
        <v>45930</v>
      </c>
      <c r="I961" s="3" t="s">
        <v>181</v>
      </c>
      <c r="J961" s="3">
        <v>0</v>
      </c>
      <c r="K961" s="3">
        <v>6</v>
      </c>
      <c r="L961" s="3">
        <v>0</v>
      </c>
      <c r="M961" s="3">
        <v>0</v>
      </c>
      <c r="N961" s="3">
        <v>0</v>
      </c>
      <c r="O961" s="3">
        <f t="shared" si="190"/>
        <v>6</v>
      </c>
      <c r="P961" s="3">
        <v>3</v>
      </c>
      <c r="Q961" s="3">
        <v>2</v>
      </c>
      <c r="R961" s="3">
        <v>3</v>
      </c>
      <c r="S961" s="3">
        <v>3</v>
      </c>
      <c r="T961" s="3">
        <v>0</v>
      </c>
      <c r="U961" s="3">
        <f t="shared" si="200"/>
        <v>11</v>
      </c>
      <c r="V961" s="13">
        <f t="shared" si="191"/>
        <v>0.54545454545454541</v>
      </c>
      <c r="W961" s="13">
        <f t="shared" si="187"/>
        <v>0.54545454545454541</v>
      </c>
      <c r="X961" s="3">
        <f t="shared" si="192"/>
        <v>11</v>
      </c>
      <c r="Y961" s="3" t="e">
        <f t="shared" si="188"/>
        <v>#DIV/0!</v>
      </c>
      <c r="Z961" s="3"/>
      <c r="AA961" s="3"/>
      <c r="AB961" s="3">
        <v>13</v>
      </c>
      <c r="AC961" s="3" t="s">
        <v>180</v>
      </c>
      <c r="AD961" s="3" t="s">
        <v>83</v>
      </c>
      <c r="AE961" s="3">
        <v>50</v>
      </c>
      <c r="AF961" s="3" t="s">
        <v>143</v>
      </c>
      <c r="AG961" s="3" t="s">
        <v>257</v>
      </c>
      <c r="AH961" s="3"/>
    </row>
    <row r="962" spans="1:34" ht="14.25" customHeight="1" x14ac:dyDescent="0.25">
      <c r="A962" s="3" t="s">
        <v>93</v>
      </c>
      <c r="B962" s="3" t="s">
        <v>79</v>
      </c>
      <c r="C962" s="3"/>
      <c r="D962" s="3" t="s">
        <v>80</v>
      </c>
      <c r="E962" s="3">
        <v>1</v>
      </c>
      <c r="F962" s="3">
        <v>1</v>
      </c>
      <c r="G962" s="3" t="s">
        <v>25</v>
      </c>
      <c r="H962" s="11">
        <v>45930</v>
      </c>
      <c r="I962" s="3" t="s">
        <v>181</v>
      </c>
      <c r="J962" s="3">
        <v>12</v>
      </c>
      <c r="K962" s="3">
        <v>0</v>
      </c>
      <c r="L962" s="3">
        <v>8</v>
      </c>
      <c r="M962" s="3">
        <v>0</v>
      </c>
      <c r="N962" s="3">
        <v>0</v>
      </c>
      <c r="O962" s="3">
        <f t="shared" si="190"/>
        <v>20</v>
      </c>
      <c r="P962" s="3">
        <v>3</v>
      </c>
      <c r="Q962" s="3">
        <v>2</v>
      </c>
      <c r="R962" s="3">
        <v>3</v>
      </c>
      <c r="S962" s="3">
        <v>3</v>
      </c>
      <c r="T962" s="3">
        <v>0</v>
      </c>
      <c r="U962" s="3">
        <f t="shared" si="200"/>
        <v>11</v>
      </c>
      <c r="V962" s="13">
        <f t="shared" si="191"/>
        <v>1.8181818181818181</v>
      </c>
      <c r="W962" s="13">
        <f t="shared" si="187"/>
        <v>1.8181818181818181</v>
      </c>
      <c r="X962" s="3">
        <f t="shared" si="192"/>
        <v>11</v>
      </c>
      <c r="Y962" s="3" t="e">
        <f t="shared" si="188"/>
        <v>#DIV/0!</v>
      </c>
      <c r="Z962" s="3"/>
      <c r="AA962" s="3"/>
      <c r="AB962" s="3">
        <v>13</v>
      </c>
      <c r="AC962" s="3" t="s">
        <v>180</v>
      </c>
      <c r="AD962" s="3" t="s">
        <v>83</v>
      </c>
      <c r="AE962" s="3">
        <v>50</v>
      </c>
      <c r="AF962" s="3" t="s">
        <v>143</v>
      </c>
      <c r="AG962" s="3" t="s">
        <v>257</v>
      </c>
      <c r="AH962" s="3"/>
    </row>
    <row r="963" spans="1:34" ht="14.25" customHeight="1" x14ac:dyDescent="0.25">
      <c r="A963" s="3" t="s">
        <v>89</v>
      </c>
      <c r="B963" s="3" t="s">
        <v>79</v>
      </c>
      <c r="C963" s="3"/>
      <c r="D963" s="3" t="s">
        <v>80</v>
      </c>
      <c r="E963" s="3">
        <v>2</v>
      </c>
      <c r="F963" s="3">
        <v>1</v>
      </c>
      <c r="G963" s="3" t="s">
        <v>3</v>
      </c>
      <c r="H963" s="11">
        <v>45930</v>
      </c>
      <c r="I963" s="3" t="s">
        <v>181</v>
      </c>
      <c r="J963" s="3">
        <f>40+92</f>
        <v>132</v>
      </c>
      <c r="K963" s="3">
        <v>90</v>
      </c>
      <c r="L963" s="3">
        <v>62</v>
      </c>
      <c r="M963" s="3">
        <v>38</v>
      </c>
      <c r="N963" s="3">
        <v>0</v>
      </c>
      <c r="O963" s="3">
        <f t="shared" si="190"/>
        <v>322</v>
      </c>
      <c r="P963" s="3">
        <v>4</v>
      </c>
      <c r="Q963" s="3">
        <v>3</v>
      </c>
      <c r="R963" s="3">
        <v>3</v>
      </c>
      <c r="S963" s="3">
        <v>3</v>
      </c>
      <c r="T963" s="3">
        <v>0</v>
      </c>
      <c r="U963" s="3">
        <f t="shared" si="200"/>
        <v>13</v>
      </c>
      <c r="V963" s="13">
        <f t="shared" si="191"/>
        <v>24.76923076923077</v>
      </c>
      <c r="W963" s="13">
        <f t="shared" ref="W963:W1026" si="203">O963/U963/F963</f>
        <v>24.76923076923077</v>
      </c>
      <c r="X963" s="3">
        <f t="shared" si="192"/>
        <v>13</v>
      </c>
      <c r="Y963" s="3">
        <f t="shared" ref="Y963:Y1026" si="204">O963/U963/AA963</f>
        <v>4.3002136752136752E-2</v>
      </c>
      <c r="Z963" s="3"/>
      <c r="AA963" s="3">
        <f t="shared" ref="AA963:AA968" si="205">60*2.4*4</f>
        <v>576</v>
      </c>
      <c r="AB963" s="3">
        <v>15</v>
      </c>
      <c r="AC963" s="3" t="s">
        <v>180</v>
      </c>
      <c r="AD963" s="3" t="s">
        <v>83</v>
      </c>
      <c r="AE963" s="3">
        <v>40</v>
      </c>
      <c r="AF963" s="3" t="s">
        <v>143</v>
      </c>
      <c r="AG963" s="3" t="s">
        <v>335</v>
      </c>
      <c r="AH963" s="3"/>
    </row>
    <row r="964" spans="1:34" ht="14.25" customHeight="1" x14ac:dyDescent="0.25">
      <c r="A964" s="3" t="s">
        <v>89</v>
      </c>
      <c r="B964" s="3" t="s">
        <v>79</v>
      </c>
      <c r="C964" s="3"/>
      <c r="D964" s="3" t="s">
        <v>80</v>
      </c>
      <c r="E964" s="3">
        <v>2</v>
      </c>
      <c r="F964" s="3">
        <v>1</v>
      </c>
      <c r="G964" s="3" t="s">
        <v>2</v>
      </c>
      <c r="H964" s="11">
        <v>45930</v>
      </c>
      <c r="I964" s="3" t="s">
        <v>181</v>
      </c>
      <c r="J964" s="3">
        <v>0</v>
      </c>
      <c r="K964" s="3">
        <v>0</v>
      </c>
      <c r="L964" s="3">
        <v>4</v>
      </c>
      <c r="M964" s="3">
        <v>0</v>
      </c>
      <c r="N964" s="3">
        <v>0</v>
      </c>
      <c r="O964" s="3">
        <f t="shared" si="190"/>
        <v>4</v>
      </c>
      <c r="P964" s="3">
        <v>4</v>
      </c>
      <c r="Q964" s="3">
        <v>3</v>
      </c>
      <c r="R964" s="3">
        <v>3</v>
      </c>
      <c r="S964" s="3">
        <v>3</v>
      </c>
      <c r="T964" s="3">
        <v>0</v>
      </c>
      <c r="U964" s="3">
        <f t="shared" si="200"/>
        <v>13</v>
      </c>
      <c r="V964" s="13">
        <f t="shared" si="191"/>
        <v>0.30769230769230771</v>
      </c>
      <c r="W964" s="13">
        <f t="shared" si="203"/>
        <v>0.30769230769230771</v>
      </c>
      <c r="X964" s="3">
        <f t="shared" si="192"/>
        <v>13</v>
      </c>
      <c r="Y964" s="3">
        <f t="shared" si="204"/>
        <v>5.3418803418803424E-4</v>
      </c>
      <c r="Z964" s="3"/>
      <c r="AA964" s="3">
        <f t="shared" si="205"/>
        <v>576</v>
      </c>
      <c r="AB964" s="3">
        <v>15</v>
      </c>
      <c r="AC964" s="3" t="s">
        <v>180</v>
      </c>
      <c r="AD964" s="3" t="s">
        <v>83</v>
      </c>
      <c r="AE964" s="3">
        <v>40</v>
      </c>
      <c r="AF964" s="3" t="s">
        <v>143</v>
      </c>
      <c r="AG964" s="3" t="s">
        <v>335</v>
      </c>
      <c r="AH964" s="3"/>
    </row>
    <row r="965" spans="1:34" ht="14.25" customHeight="1" x14ac:dyDescent="0.25">
      <c r="A965" s="3" t="s">
        <v>89</v>
      </c>
      <c r="B965" s="3" t="s">
        <v>79</v>
      </c>
      <c r="C965" s="3"/>
      <c r="D965" s="3" t="s">
        <v>80</v>
      </c>
      <c r="E965" s="3">
        <v>2</v>
      </c>
      <c r="F965" s="3">
        <v>1</v>
      </c>
      <c r="G965" s="3" t="s">
        <v>16</v>
      </c>
      <c r="H965" s="11">
        <v>45930</v>
      </c>
      <c r="I965" s="3" t="s">
        <v>181</v>
      </c>
      <c r="J965" s="3">
        <v>0</v>
      </c>
      <c r="K965" s="3">
        <v>0</v>
      </c>
      <c r="L965" s="3">
        <v>5</v>
      </c>
      <c r="M965" s="3">
        <v>0</v>
      </c>
      <c r="N965" s="3">
        <v>0</v>
      </c>
      <c r="O965" s="3">
        <f t="shared" si="190"/>
        <v>5</v>
      </c>
      <c r="P965" s="3">
        <v>4</v>
      </c>
      <c r="Q965" s="3">
        <v>3</v>
      </c>
      <c r="R965" s="3">
        <v>3</v>
      </c>
      <c r="S965" s="3">
        <v>3</v>
      </c>
      <c r="T965" s="3">
        <v>0</v>
      </c>
      <c r="U965" s="3">
        <f t="shared" si="200"/>
        <v>13</v>
      </c>
      <c r="V965" s="13">
        <f t="shared" si="191"/>
        <v>0.38461538461538464</v>
      </c>
      <c r="W965" s="13">
        <f t="shared" si="203"/>
        <v>0.38461538461538464</v>
      </c>
      <c r="X965" s="3">
        <f t="shared" si="192"/>
        <v>13</v>
      </c>
      <c r="Y965" s="3">
        <f t="shared" si="204"/>
        <v>6.6773504273504275E-4</v>
      </c>
      <c r="Z965" s="3"/>
      <c r="AA965" s="3">
        <f t="shared" si="205"/>
        <v>576</v>
      </c>
      <c r="AB965" s="3">
        <v>15</v>
      </c>
      <c r="AC965" s="3" t="s">
        <v>180</v>
      </c>
      <c r="AD965" s="3" t="s">
        <v>83</v>
      </c>
      <c r="AE965" s="3">
        <v>40</v>
      </c>
      <c r="AF965" s="3" t="s">
        <v>143</v>
      </c>
      <c r="AG965" s="3" t="s">
        <v>335</v>
      </c>
      <c r="AH965" s="3"/>
    </row>
    <row r="966" spans="1:34" ht="14.25" customHeight="1" x14ac:dyDescent="0.25">
      <c r="A966" s="3" t="s">
        <v>89</v>
      </c>
      <c r="B966" s="3" t="s">
        <v>79</v>
      </c>
      <c r="C966" s="3"/>
      <c r="D966" s="3" t="s">
        <v>80</v>
      </c>
      <c r="E966" s="3">
        <v>2</v>
      </c>
      <c r="F966" s="3">
        <v>1</v>
      </c>
      <c r="G966" s="3" t="s">
        <v>18</v>
      </c>
      <c r="H966" s="11">
        <v>45930</v>
      </c>
      <c r="I966" s="3" t="s">
        <v>181</v>
      </c>
      <c r="J966" s="3">
        <v>3.5</v>
      </c>
      <c r="K966" s="3">
        <v>0</v>
      </c>
      <c r="L966" s="3">
        <v>0</v>
      </c>
      <c r="M966" s="3">
        <v>0</v>
      </c>
      <c r="N966" s="3">
        <v>0</v>
      </c>
      <c r="O966" s="3">
        <f t="shared" si="190"/>
        <v>3.5</v>
      </c>
      <c r="P966" s="3">
        <v>4</v>
      </c>
      <c r="Q966" s="3">
        <v>3</v>
      </c>
      <c r="R966" s="3">
        <v>3</v>
      </c>
      <c r="S966" s="3">
        <v>3</v>
      </c>
      <c r="T966" s="3">
        <v>0</v>
      </c>
      <c r="U966" s="3">
        <f t="shared" si="200"/>
        <v>13</v>
      </c>
      <c r="V966" s="13">
        <f t="shared" si="191"/>
        <v>0.26923076923076922</v>
      </c>
      <c r="W966" s="13">
        <f t="shared" si="203"/>
        <v>0.26923076923076922</v>
      </c>
      <c r="X966" s="3">
        <f t="shared" si="192"/>
        <v>13</v>
      </c>
      <c r="Y966" s="3">
        <f t="shared" si="204"/>
        <v>4.6741452991452988E-4</v>
      </c>
      <c r="Z966" s="3"/>
      <c r="AA966" s="3">
        <f t="shared" si="205"/>
        <v>576</v>
      </c>
      <c r="AB966" s="3">
        <v>15</v>
      </c>
      <c r="AC966" s="3" t="s">
        <v>180</v>
      </c>
      <c r="AD966" s="3" t="s">
        <v>83</v>
      </c>
      <c r="AE966" s="3">
        <v>40</v>
      </c>
      <c r="AF966" s="3" t="s">
        <v>143</v>
      </c>
      <c r="AG966" s="3" t="s">
        <v>335</v>
      </c>
      <c r="AH966" s="3"/>
    </row>
    <row r="967" spans="1:34" ht="14.25" customHeight="1" x14ac:dyDescent="0.25">
      <c r="A967" s="3" t="s">
        <v>89</v>
      </c>
      <c r="B967" s="3" t="s">
        <v>79</v>
      </c>
      <c r="C967" s="3"/>
      <c r="D967" s="3" t="s">
        <v>80</v>
      </c>
      <c r="E967" s="3">
        <v>2</v>
      </c>
      <c r="F967" s="3">
        <v>1</v>
      </c>
      <c r="G967" s="3" t="s">
        <v>25</v>
      </c>
      <c r="H967" s="11">
        <v>45930</v>
      </c>
      <c r="I967" s="3" t="s">
        <v>181</v>
      </c>
      <c r="J967" s="3">
        <v>9.6</v>
      </c>
      <c r="K967" s="3">
        <f>12</f>
        <v>12</v>
      </c>
      <c r="L967" s="3">
        <v>0</v>
      </c>
      <c r="M967" s="3">
        <v>17</v>
      </c>
      <c r="N967" s="3">
        <v>0</v>
      </c>
      <c r="O967" s="3">
        <f t="shared" si="190"/>
        <v>38.6</v>
      </c>
      <c r="P967" s="3">
        <v>4</v>
      </c>
      <c r="Q967" s="3">
        <v>3</v>
      </c>
      <c r="R967" s="3">
        <v>3</v>
      </c>
      <c r="S967" s="3">
        <v>3</v>
      </c>
      <c r="T967" s="3">
        <v>0</v>
      </c>
      <c r="U967" s="3">
        <f t="shared" si="200"/>
        <v>13</v>
      </c>
      <c r="V967" s="13">
        <f t="shared" si="191"/>
        <v>2.9692307692307693</v>
      </c>
      <c r="W967" s="13">
        <f t="shared" si="203"/>
        <v>2.9692307692307693</v>
      </c>
      <c r="X967" s="3">
        <f t="shared" si="192"/>
        <v>13</v>
      </c>
      <c r="Y967" s="3">
        <f t="shared" si="204"/>
        <v>5.1549145299145298E-3</v>
      </c>
      <c r="Z967" s="3"/>
      <c r="AA967" s="3">
        <f t="shared" si="205"/>
        <v>576</v>
      </c>
      <c r="AB967" s="3">
        <v>15</v>
      </c>
      <c r="AC967" s="3" t="s">
        <v>180</v>
      </c>
      <c r="AD967" s="3" t="s">
        <v>83</v>
      </c>
      <c r="AE967" s="3">
        <v>40</v>
      </c>
      <c r="AF967" s="3" t="s">
        <v>143</v>
      </c>
      <c r="AG967" s="3" t="s">
        <v>335</v>
      </c>
      <c r="AH967" s="3"/>
    </row>
    <row r="968" spans="1:34" ht="14.25" customHeight="1" x14ac:dyDescent="0.25">
      <c r="A968" s="3" t="s">
        <v>89</v>
      </c>
      <c r="B968" s="3" t="s">
        <v>79</v>
      </c>
      <c r="C968" s="3"/>
      <c r="D968" s="3" t="s">
        <v>80</v>
      </c>
      <c r="E968" s="3">
        <v>2</v>
      </c>
      <c r="F968" s="3">
        <v>1</v>
      </c>
      <c r="G968" s="3" t="s">
        <v>22</v>
      </c>
      <c r="H968" s="11">
        <v>45930</v>
      </c>
      <c r="I968" s="3" t="s">
        <v>181</v>
      </c>
      <c r="J968" s="3">
        <v>0</v>
      </c>
      <c r="K968" s="3">
        <v>3.6</v>
      </c>
      <c r="L968" s="3">
        <v>0</v>
      </c>
      <c r="M968" s="3">
        <v>5</v>
      </c>
      <c r="N968" s="3">
        <v>0</v>
      </c>
      <c r="O968" s="3">
        <f t="shared" si="190"/>
        <v>8.6</v>
      </c>
      <c r="P968" s="3">
        <v>4</v>
      </c>
      <c r="Q968" s="3">
        <v>3</v>
      </c>
      <c r="R968" s="3">
        <v>3</v>
      </c>
      <c r="S968" s="3">
        <v>3</v>
      </c>
      <c r="T968" s="3">
        <v>0</v>
      </c>
      <c r="U968" s="3">
        <f t="shared" si="200"/>
        <v>13</v>
      </c>
      <c r="V968" s="13">
        <f t="shared" si="191"/>
        <v>0.66153846153846152</v>
      </c>
      <c r="W968" s="13">
        <f t="shared" si="203"/>
        <v>0.66153846153846152</v>
      </c>
      <c r="X968" s="3">
        <f t="shared" si="192"/>
        <v>13</v>
      </c>
      <c r="Y968" s="3">
        <f t="shared" si="204"/>
        <v>1.1485042735042735E-3</v>
      </c>
      <c r="Z968" s="3"/>
      <c r="AA968" s="3">
        <f t="shared" si="205"/>
        <v>576</v>
      </c>
      <c r="AB968" s="3">
        <v>15</v>
      </c>
      <c r="AC968" s="3" t="s">
        <v>180</v>
      </c>
      <c r="AD968" s="3" t="s">
        <v>83</v>
      </c>
      <c r="AE968" s="3">
        <v>40</v>
      </c>
      <c r="AF968" s="3" t="s">
        <v>143</v>
      </c>
      <c r="AG968" s="3" t="s">
        <v>335</v>
      </c>
      <c r="AH968" s="3"/>
    </row>
    <row r="969" spans="1:34" ht="14.25" customHeight="1" x14ac:dyDescent="0.25">
      <c r="A969" s="3" t="s">
        <v>99</v>
      </c>
      <c r="B969" s="3" t="s">
        <v>79</v>
      </c>
      <c r="C969" s="3"/>
      <c r="D969" s="3" t="s">
        <v>80</v>
      </c>
      <c r="E969" s="3">
        <v>2</v>
      </c>
      <c r="F969" s="3">
        <v>1</v>
      </c>
      <c r="G969" s="3" t="s">
        <v>1</v>
      </c>
      <c r="H969" s="11">
        <v>45930</v>
      </c>
      <c r="I969" s="3" t="s">
        <v>181</v>
      </c>
      <c r="J969" s="3">
        <f>12+6</f>
        <v>18</v>
      </c>
      <c r="K969" s="3">
        <v>9.1999999999999993</v>
      </c>
      <c r="L969" s="3">
        <v>0</v>
      </c>
      <c r="M969" s="3">
        <f>13+7.2</f>
        <v>20.2</v>
      </c>
      <c r="N969" s="3">
        <v>0</v>
      </c>
      <c r="O969" s="3">
        <f t="shared" si="190"/>
        <v>47.4</v>
      </c>
      <c r="P969" s="3">
        <v>3</v>
      </c>
      <c r="Q969" s="3">
        <v>2</v>
      </c>
      <c r="R969" s="3">
        <v>2</v>
      </c>
      <c r="S969" s="3">
        <v>4</v>
      </c>
      <c r="T969" s="3">
        <v>0</v>
      </c>
      <c r="U969" s="3">
        <f t="shared" si="200"/>
        <v>11</v>
      </c>
      <c r="V969" s="13">
        <f t="shared" si="191"/>
        <v>4.3090909090909086</v>
      </c>
      <c r="W969" s="13">
        <f t="shared" si="203"/>
        <v>4.3090909090909086</v>
      </c>
      <c r="X969" s="3">
        <f t="shared" si="192"/>
        <v>11</v>
      </c>
      <c r="Y969" s="3">
        <f t="shared" si="204"/>
        <v>9.9747474747474731E-3</v>
      </c>
      <c r="Z969" s="3"/>
      <c r="AA969" s="3">
        <f t="shared" ref="AA969:AA974" si="206">60*2.4*3</f>
        <v>432</v>
      </c>
      <c r="AB969" s="3"/>
      <c r="AC969" s="3" t="s">
        <v>180</v>
      </c>
      <c r="AD969" s="3" t="s">
        <v>83</v>
      </c>
      <c r="AE969" s="3">
        <v>40</v>
      </c>
      <c r="AF969" s="3" t="s">
        <v>143</v>
      </c>
      <c r="AG969" s="3" t="s">
        <v>303</v>
      </c>
      <c r="AH969" s="3"/>
    </row>
    <row r="970" spans="1:34" ht="14.25" customHeight="1" x14ac:dyDescent="0.25">
      <c r="A970" s="3" t="s">
        <v>99</v>
      </c>
      <c r="B970" s="3" t="s">
        <v>79</v>
      </c>
      <c r="C970" s="3"/>
      <c r="D970" s="3" t="s">
        <v>80</v>
      </c>
      <c r="E970" s="3">
        <v>2</v>
      </c>
      <c r="F970" s="3">
        <v>1</v>
      </c>
      <c r="G970" s="3" t="s">
        <v>2</v>
      </c>
      <c r="H970" s="11">
        <v>45930</v>
      </c>
      <c r="I970" s="3" t="s">
        <v>181</v>
      </c>
      <c r="J970" s="3">
        <v>0</v>
      </c>
      <c r="K970" s="3">
        <v>0</v>
      </c>
      <c r="L970" s="3">
        <v>5.2</v>
      </c>
      <c r="M970" s="3">
        <v>6</v>
      </c>
      <c r="N970" s="3">
        <v>0</v>
      </c>
      <c r="O970" s="3">
        <f t="shared" si="190"/>
        <v>11.2</v>
      </c>
      <c r="P970" s="3">
        <v>3</v>
      </c>
      <c r="Q970" s="3">
        <v>2</v>
      </c>
      <c r="R970" s="3">
        <v>2</v>
      </c>
      <c r="S970" s="3">
        <v>4</v>
      </c>
      <c r="T970" s="3">
        <v>0</v>
      </c>
      <c r="U970" s="3">
        <f t="shared" si="200"/>
        <v>11</v>
      </c>
      <c r="V970" s="13">
        <f t="shared" si="191"/>
        <v>1.0181818181818181</v>
      </c>
      <c r="W970" s="13">
        <f t="shared" si="203"/>
        <v>1.0181818181818181</v>
      </c>
      <c r="X970" s="3">
        <f t="shared" si="192"/>
        <v>11</v>
      </c>
      <c r="Y970" s="3">
        <f t="shared" si="204"/>
        <v>2.3569023569023568E-3</v>
      </c>
      <c r="Z970" s="3"/>
      <c r="AA970" s="3">
        <f t="shared" si="206"/>
        <v>432</v>
      </c>
      <c r="AB970" s="3"/>
      <c r="AC970" s="3" t="s">
        <v>180</v>
      </c>
      <c r="AD970" s="3" t="s">
        <v>83</v>
      </c>
      <c r="AE970" s="3">
        <v>40</v>
      </c>
      <c r="AF970" s="3" t="s">
        <v>143</v>
      </c>
      <c r="AG970" s="3" t="s">
        <v>303</v>
      </c>
      <c r="AH970" s="3"/>
    </row>
    <row r="971" spans="1:34" ht="14.25" customHeight="1" x14ac:dyDescent="0.25">
      <c r="A971" s="3" t="s">
        <v>99</v>
      </c>
      <c r="B971" s="3" t="s">
        <v>79</v>
      </c>
      <c r="C971" s="3"/>
      <c r="D971" s="3" t="s">
        <v>80</v>
      </c>
      <c r="E971" s="3">
        <v>2</v>
      </c>
      <c r="F971" s="3">
        <v>1</v>
      </c>
      <c r="G971" s="3" t="s">
        <v>18</v>
      </c>
      <c r="H971" s="11">
        <v>45930</v>
      </c>
      <c r="I971" s="3" t="s">
        <v>181</v>
      </c>
      <c r="J971" s="3">
        <v>0</v>
      </c>
      <c r="K971" s="3">
        <v>0</v>
      </c>
      <c r="L971" s="3">
        <v>3</v>
      </c>
      <c r="M971" s="3">
        <v>0</v>
      </c>
      <c r="N971" s="3">
        <v>0</v>
      </c>
      <c r="O971" s="3">
        <f t="shared" si="190"/>
        <v>3</v>
      </c>
      <c r="P971" s="3">
        <v>3</v>
      </c>
      <c r="Q971" s="3">
        <v>2</v>
      </c>
      <c r="R971" s="3">
        <v>2</v>
      </c>
      <c r="S971" s="3">
        <v>4</v>
      </c>
      <c r="T971" s="3">
        <v>0</v>
      </c>
      <c r="U971" s="3">
        <f t="shared" si="200"/>
        <v>11</v>
      </c>
      <c r="V971" s="13">
        <f t="shared" si="191"/>
        <v>0.27272727272727271</v>
      </c>
      <c r="W971" s="13">
        <f t="shared" si="203"/>
        <v>0.27272727272727271</v>
      </c>
      <c r="X971" s="3">
        <f t="shared" si="192"/>
        <v>11</v>
      </c>
      <c r="Y971" s="3">
        <f t="shared" si="204"/>
        <v>6.3131313131313126E-4</v>
      </c>
      <c r="Z971" s="3"/>
      <c r="AA971" s="3">
        <f t="shared" si="206"/>
        <v>432</v>
      </c>
      <c r="AB971" s="3"/>
      <c r="AC971" s="3" t="s">
        <v>180</v>
      </c>
      <c r="AD971" s="3" t="s">
        <v>83</v>
      </c>
      <c r="AE971" s="3">
        <v>40</v>
      </c>
      <c r="AF971" s="3" t="s">
        <v>143</v>
      </c>
      <c r="AG971" s="3" t="s">
        <v>303</v>
      </c>
      <c r="AH971" s="3"/>
    </row>
    <row r="972" spans="1:34" ht="14.25" customHeight="1" x14ac:dyDescent="0.25">
      <c r="A972" s="3" t="s">
        <v>99</v>
      </c>
      <c r="B972" s="3" t="s">
        <v>79</v>
      </c>
      <c r="C972" s="3"/>
      <c r="D972" s="3" t="s">
        <v>80</v>
      </c>
      <c r="E972" s="3">
        <v>2</v>
      </c>
      <c r="F972" s="3">
        <v>1</v>
      </c>
      <c r="G972" s="3" t="s">
        <v>19</v>
      </c>
      <c r="H972" s="11">
        <v>45930</v>
      </c>
      <c r="I972" s="3" t="s">
        <v>181</v>
      </c>
      <c r="J972" s="3">
        <v>3</v>
      </c>
      <c r="K972" s="3">
        <v>0</v>
      </c>
      <c r="L972" s="3">
        <v>0</v>
      </c>
      <c r="M972" s="3">
        <v>0</v>
      </c>
      <c r="N972" s="3">
        <v>0</v>
      </c>
      <c r="O972" s="3">
        <f t="shared" si="190"/>
        <v>3</v>
      </c>
      <c r="P972" s="3">
        <v>3</v>
      </c>
      <c r="Q972" s="3">
        <v>2</v>
      </c>
      <c r="R972" s="3">
        <v>2</v>
      </c>
      <c r="S972" s="3">
        <v>4</v>
      </c>
      <c r="T972" s="3">
        <v>0</v>
      </c>
      <c r="U972" s="3">
        <f t="shared" si="200"/>
        <v>11</v>
      </c>
      <c r="V972" s="13">
        <f t="shared" si="191"/>
        <v>0.27272727272727271</v>
      </c>
      <c r="W972" s="13">
        <f t="shared" si="203"/>
        <v>0.27272727272727271</v>
      </c>
      <c r="X972" s="3">
        <f t="shared" si="192"/>
        <v>11</v>
      </c>
      <c r="Y972" s="3">
        <f t="shared" si="204"/>
        <v>6.3131313131313126E-4</v>
      </c>
      <c r="Z972" s="3"/>
      <c r="AA972" s="3">
        <f t="shared" si="206"/>
        <v>432</v>
      </c>
      <c r="AB972" s="3"/>
      <c r="AC972" s="3" t="s">
        <v>180</v>
      </c>
      <c r="AD972" s="3" t="s">
        <v>83</v>
      </c>
      <c r="AE972" s="3">
        <v>40</v>
      </c>
      <c r="AF972" s="3" t="s">
        <v>143</v>
      </c>
      <c r="AG972" s="3" t="s">
        <v>303</v>
      </c>
      <c r="AH972" s="3"/>
    </row>
    <row r="973" spans="1:34" ht="14.25" customHeight="1" x14ac:dyDescent="0.25">
      <c r="A973" s="3" t="s">
        <v>99</v>
      </c>
      <c r="B973" s="3" t="s">
        <v>79</v>
      </c>
      <c r="C973" s="3"/>
      <c r="D973" s="3" t="s">
        <v>80</v>
      </c>
      <c r="E973" s="3">
        <v>2</v>
      </c>
      <c r="F973" s="3">
        <v>1</v>
      </c>
      <c r="G973" s="3" t="s">
        <v>25</v>
      </c>
      <c r="H973" s="11">
        <v>45930</v>
      </c>
      <c r="I973" s="3" t="s">
        <v>181</v>
      </c>
      <c r="J973" s="3">
        <v>0</v>
      </c>
      <c r="K973" s="3">
        <v>22</v>
      </c>
      <c r="L973" s="3">
        <v>0</v>
      </c>
      <c r="M973" s="3">
        <v>17</v>
      </c>
      <c r="N973" s="3">
        <v>0</v>
      </c>
      <c r="O973" s="3">
        <f t="shared" si="190"/>
        <v>39</v>
      </c>
      <c r="P973" s="3">
        <v>3</v>
      </c>
      <c r="Q973" s="3">
        <v>2</v>
      </c>
      <c r="R973" s="3">
        <v>2</v>
      </c>
      <c r="S973" s="3">
        <v>4</v>
      </c>
      <c r="T973" s="3">
        <v>0</v>
      </c>
      <c r="U973" s="3">
        <f t="shared" si="200"/>
        <v>11</v>
      </c>
      <c r="V973" s="13">
        <f t="shared" si="191"/>
        <v>3.5454545454545454</v>
      </c>
      <c r="W973" s="13">
        <f t="shared" si="203"/>
        <v>3.5454545454545454</v>
      </c>
      <c r="X973" s="3">
        <f t="shared" si="192"/>
        <v>11</v>
      </c>
      <c r="Y973" s="3">
        <f t="shared" si="204"/>
        <v>8.2070707070707061E-3</v>
      </c>
      <c r="Z973" s="3"/>
      <c r="AA973" s="3">
        <f t="shared" si="206"/>
        <v>432</v>
      </c>
      <c r="AB973" s="3"/>
      <c r="AC973" s="3" t="s">
        <v>180</v>
      </c>
      <c r="AD973" s="3" t="s">
        <v>83</v>
      </c>
      <c r="AE973" s="3">
        <v>40</v>
      </c>
      <c r="AF973" s="3" t="s">
        <v>143</v>
      </c>
      <c r="AG973" s="3" t="s">
        <v>303</v>
      </c>
      <c r="AH973" s="3"/>
    </row>
    <row r="974" spans="1:34" ht="14.25" customHeight="1" x14ac:dyDescent="0.25">
      <c r="A974" s="3" t="s">
        <v>99</v>
      </c>
      <c r="B974" s="3" t="s">
        <v>79</v>
      </c>
      <c r="C974" s="3"/>
      <c r="D974" s="3" t="s">
        <v>80</v>
      </c>
      <c r="E974" s="3">
        <v>2</v>
      </c>
      <c r="F974" s="3">
        <v>1</v>
      </c>
      <c r="G974" s="3" t="s">
        <v>15</v>
      </c>
      <c r="H974" s="11">
        <v>45930</v>
      </c>
      <c r="I974" s="3" t="s">
        <v>181</v>
      </c>
      <c r="J974" s="3">
        <v>0</v>
      </c>
      <c r="K974" s="3">
        <v>0</v>
      </c>
      <c r="L974" s="3">
        <v>11</v>
      </c>
      <c r="M974" s="3">
        <v>0</v>
      </c>
      <c r="N974" s="3">
        <v>0</v>
      </c>
      <c r="O974" s="3">
        <f t="shared" si="190"/>
        <v>11</v>
      </c>
      <c r="P974" s="3">
        <v>3</v>
      </c>
      <c r="Q974" s="3">
        <v>2</v>
      </c>
      <c r="R974" s="3">
        <v>2</v>
      </c>
      <c r="S974" s="3">
        <v>4</v>
      </c>
      <c r="T974" s="3">
        <v>0</v>
      </c>
      <c r="U974" s="3">
        <f t="shared" si="200"/>
        <v>11</v>
      </c>
      <c r="V974" s="13">
        <f t="shared" si="191"/>
        <v>1</v>
      </c>
      <c r="W974" s="13">
        <f t="shared" si="203"/>
        <v>1</v>
      </c>
      <c r="X974" s="3">
        <f t="shared" si="192"/>
        <v>11</v>
      </c>
      <c r="Y974" s="3">
        <f t="shared" si="204"/>
        <v>2.3148148148148147E-3</v>
      </c>
      <c r="Z974" s="3"/>
      <c r="AA974" s="3">
        <f t="shared" si="206"/>
        <v>432</v>
      </c>
      <c r="AB974" s="3"/>
      <c r="AC974" s="3" t="s">
        <v>180</v>
      </c>
      <c r="AD974" s="3" t="s">
        <v>83</v>
      </c>
      <c r="AE974" s="3">
        <v>40</v>
      </c>
      <c r="AF974" s="3" t="s">
        <v>143</v>
      </c>
      <c r="AG974" s="3" t="s">
        <v>303</v>
      </c>
      <c r="AH974" s="3"/>
    </row>
    <row r="975" spans="1:34" ht="14.25" customHeight="1" x14ac:dyDescent="0.25">
      <c r="A975" s="3" t="s">
        <v>146</v>
      </c>
      <c r="B975" s="3" t="s">
        <v>79</v>
      </c>
      <c r="C975" s="3"/>
      <c r="D975" s="3" t="s">
        <v>80</v>
      </c>
      <c r="E975" s="3">
        <v>1</v>
      </c>
      <c r="F975" s="3">
        <v>1</v>
      </c>
      <c r="G975" s="3" t="s">
        <v>1</v>
      </c>
      <c r="H975" s="11">
        <v>45930</v>
      </c>
      <c r="I975" s="3" t="s">
        <v>181</v>
      </c>
      <c r="J975" s="3">
        <f>5.2+6.3</f>
        <v>11.5</v>
      </c>
      <c r="K975" s="3">
        <f>15+9</f>
        <v>24</v>
      </c>
      <c r="L975" s="3">
        <v>0</v>
      </c>
      <c r="M975" s="3">
        <f>10.6+14</f>
        <v>24.6</v>
      </c>
      <c r="N975" s="3">
        <v>0</v>
      </c>
      <c r="O975" s="3">
        <f t="shared" si="190"/>
        <v>60.1</v>
      </c>
      <c r="P975" s="3">
        <v>4</v>
      </c>
      <c r="Q975" s="3">
        <v>4</v>
      </c>
      <c r="R975" s="3">
        <v>2</v>
      </c>
      <c r="S975" s="3">
        <v>5</v>
      </c>
      <c r="T975" s="3">
        <v>0</v>
      </c>
      <c r="U975" s="3">
        <f t="shared" si="200"/>
        <v>15</v>
      </c>
      <c r="V975" s="13">
        <f t="shared" si="191"/>
        <v>4.0066666666666668</v>
      </c>
      <c r="W975" s="13">
        <f t="shared" si="203"/>
        <v>4.0066666666666668</v>
      </c>
      <c r="X975" s="3">
        <f t="shared" si="192"/>
        <v>15</v>
      </c>
      <c r="Y975" s="3">
        <f t="shared" si="204"/>
        <v>8.3472222222222229E-3</v>
      </c>
      <c r="Z975" s="3"/>
      <c r="AA975" s="3">
        <f t="shared" ref="AA975:AA980" si="207">50*2.4*4</f>
        <v>480</v>
      </c>
      <c r="AB975" s="3">
        <v>25</v>
      </c>
      <c r="AC975" s="3" t="s">
        <v>180</v>
      </c>
      <c r="AD975" s="3" t="s">
        <v>83</v>
      </c>
      <c r="AE975" s="3">
        <v>30</v>
      </c>
      <c r="AF975" s="3" t="s">
        <v>143</v>
      </c>
      <c r="AG975" s="3" t="s">
        <v>334</v>
      </c>
      <c r="AH975" s="3"/>
    </row>
    <row r="976" spans="1:34" ht="14.25" customHeight="1" x14ac:dyDescent="0.25">
      <c r="A976" s="3" t="s">
        <v>146</v>
      </c>
      <c r="B976" s="3" t="s">
        <v>79</v>
      </c>
      <c r="C976" s="3"/>
      <c r="D976" s="3" t="s">
        <v>80</v>
      </c>
      <c r="E976" s="3">
        <v>1</v>
      </c>
      <c r="F976" s="3">
        <v>1</v>
      </c>
      <c r="G976" s="3" t="s">
        <v>3</v>
      </c>
      <c r="H976" s="11">
        <v>45930</v>
      </c>
      <c r="I976" s="3" t="s">
        <v>181</v>
      </c>
      <c r="J976" s="3">
        <v>4.5</v>
      </c>
      <c r="K976" s="3">
        <v>0</v>
      </c>
      <c r="L976" s="3">
        <v>2.6</v>
      </c>
      <c r="M976" s="3">
        <v>0</v>
      </c>
      <c r="N976" s="3">
        <v>0</v>
      </c>
      <c r="O976" s="3">
        <f t="shared" si="190"/>
        <v>7.1</v>
      </c>
      <c r="P976" s="3">
        <v>4</v>
      </c>
      <c r="Q976" s="3">
        <v>4</v>
      </c>
      <c r="R976" s="3">
        <v>2</v>
      </c>
      <c r="S976" s="3">
        <v>5</v>
      </c>
      <c r="T976" s="3">
        <v>0</v>
      </c>
      <c r="U976" s="3">
        <f t="shared" si="200"/>
        <v>15</v>
      </c>
      <c r="V976" s="13">
        <f t="shared" si="191"/>
        <v>0.47333333333333333</v>
      </c>
      <c r="W976" s="13">
        <f t="shared" si="203"/>
        <v>0.47333333333333333</v>
      </c>
      <c r="X976" s="3">
        <f t="shared" si="192"/>
        <v>15</v>
      </c>
      <c r="Y976" s="3">
        <f t="shared" si="204"/>
        <v>9.86111111111111E-4</v>
      </c>
      <c r="Z976" s="3"/>
      <c r="AA976" s="3">
        <f t="shared" si="207"/>
        <v>480</v>
      </c>
      <c r="AB976" s="3">
        <v>25</v>
      </c>
      <c r="AC976" s="3" t="s">
        <v>180</v>
      </c>
      <c r="AD976" s="3" t="s">
        <v>83</v>
      </c>
      <c r="AE976" s="3">
        <v>30</v>
      </c>
      <c r="AF976" s="3" t="s">
        <v>143</v>
      </c>
      <c r="AG976" s="3" t="s">
        <v>334</v>
      </c>
      <c r="AH976" s="3"/>
    </row>
    <row r="977" spans="1:34" ht="14.25" customHeight="1" x14ac:dyDescent="0.25">
      <c r="A977" s="3" t="s">
        <v>146</v>
      </c>
      <c r="B977" s="3" t="s">
        <v>79</v>
      </c>
      <c r="C977" s="3"/>
      <c r="D977" s="3" t="s">
        <v>80</v>
      </c>
      <c r="E977" s="3">
        <v>1</v>
      </c>
      <c r="F977" s="3">
        <v>1</v>
      </c>
      <c r="G977" s="3" t="s">
        <v>2</v>
      </c>
      <c r="H977" s="11">
        <v>45930</v>
      </c>
      <c r="I977" s="3" t="s">
        <v>181</v>
      </c>
      <c r="J977" s="3">
        <v>15</v>
      </c>
      <c r="K977" s="3">
        <v>0</v>
      </c>
      <c r="L977" s="3">
        <v>5</v>
      </c>
      <c r="M977" s="3">
        <v>6.5</v>
      </c>
      <c r="N977" s="3">
        <v>0</v>
      </c>
      <c r="O977" s="3">
        <f t="shared" si="190"/>
        <v>26.5</v>
      </c>
      <c r="P977" s="3">
        <v>4</v>
      </c>
      <c r="Q977" s="3">
        <v>4</v>
      </c>
      <c r="R977" s="3">
        <v>2</v>
      </c>
      <c r="S977" s="3">
        <v>5</v>
      </c>
      <c r="T977" s="3">
        <v>0</v>
      </c>
      <c r="U977" s="3">
        <f t="shared" si="200"/>
        <v>15</v>
      </c>
      <c r="V977" s="13">
        <f t="shared" si="191"/>
        <v>1.7666666666666666</v>
      </c>
      <c r="W977" s="13">
        <f t="shared" si="203"/>
        <v>1.7666666666666666</v>
      </c>
      <c r="X977" s="3">
        <f t="shared" si="192"/>
        <v>15</v>
      </c>
      <c r="Y977" s="3">
        <f t="shared" si="204"/>
        <v>3.6805555555555554E-3</v>
      </c>
      <c r="Z977" s="3"/>
      <c r="AA977" s="3">
        <f t="shared" si="207"/>
        <v>480</v>
      </c>
      <c r="AB977" s="3">
        <v>25</v>
      </c>
      <c r="AC977" s="3" t="s">
        <v>180</v>
      </c>
      <c r="AD977" s="3" t="s">
        <v>83</v>
      </c>
      <c r="AE977" s="3">
        <v>30</v>
      </c>
      <c r="AF977" s="3" t="s">
        <v>143</v>
      </c>
      <c r="AG977" s="3" t="s">
        <v>334</v>
      </c>
      <c r="AH977" s="3"/>
    </row>
    <row r="978" spans="1:34" ht="14.25" customHeight="1" x14ac:dyDescent="0.25">
      <c r="A978" s="3" t="s">
        <v>146</v>
      </c>
      <c r="B978" s="3" t="s">
        <v>79</v>
      </c>
      <c r="C978" s="3"/>
      <c r="D978" s="3" t="s">
        <v>80</v>
      </c>
      <c r="E978" s="3">
        <v>1</v>
      </c>
      <c r="F978" s="3">
        <v>1</v>
      </c>
      <c r="G978" s="3" t="s">
        <v>9</v>
      </c>
      <c r="H978" s="11">
        <v>45930</v>
      </c>
      <c r="I978" s="3" t="s">
        <v>181</v>
      </c>
      <c r="J978" s="3">
        <v>0</v>
      </c>
      <c r="K978" s="3">
        <f>4.6+2.6+8</f>
        <v>15.2</v>
      </c>
      <c r="L978" s="3">
        <v>0</v>
      </c>
      <c r="M978" s="3">
        <v>3</v>
      </c>
      <c r="N978" s="3">
        <v>0</v>
      </c>
      <c r="O978" s="3">
        <f t="shared" si="190"/>
        <v>18.2</v>
      </c>
      <c r="P978" s="3">
        <v>4</v>
      </c>
      <c r="Q978" s="3">
        <v>4</v>
      </c>
      <c r="R978" s="3">
        <v>2</v>
      </c>
      <c r="S978" s="3">
        <v>5</v>
      </c>
      <c r="T978" s="3">
        <v>0</v>
      </c>
      <c r="U978" s="3">
        <f t="shared" si="200"/>
        <v>15</v>
      </c>
      <c r="V978" s="13">
        <f t="shared" si="191"/>
        <v>1.2133333333333334</v>
      </c>
      <c r="W978" s="13">
        <f t="shared" si="203"/>
        <v>1.2133333333333334</v>
      </c>
      <c r="X978" s="3">
        <f t="shared" si="192"/>
        <v>15</v>
      </c>
      <c r="Y978" s="3">
        <f t="shared" si="204"/>
        <v>2.5277777777777777E-3</v>
      </c>
      <c r="Z978" s="3"/>
      <c r="AA978" s="3">
        <f t="shared" si="207"/>
        <v>480</v>
      </c>
      <c r="AB978" s="3">
        <v>25</v>
      </c>
      <c r="AC978" s="3" t="s">
        <v>180</v>
      </c>
      <c r="AD978" s="3" t="s">
        <v>83</v>
      </c>
      <c r="AE978" s="3">
        <v>30</v>
      </c>
      <c r="AF978" s="3" t="s">
        <v>143</v>
      </c>
      <c r="AG978" s="3" t="s">
        <v>334</v>
      </c>
      <c r="AH978" s="3"/>
    </row>
    <row r="979" spans="1:34" ht="14.25" customHeight="1" x14ac:dyDescent="0.25">
      <c r="A979" s="3" t="s">
        <v>146</v>
      </c>
      <c r="B979" s="3" t="s">
        <v>79</v>
      </c>
      <c r="C979" s="3"/>
      <c r="D979" s="3" t="s">
        <v>80</v>
      </c>
      <c r="E979" s="3">
        <v>1</v>
      </c>
      <c r="F979" s="3">
        <v>1</v>
      </c>
      <c r="G979" s="3" t="s">
        <v>14</v>
      </c>
      <c r="H979" s="11">
        <v>45930</v>
      </c>
      <c r="I979" s="3" t="s">
        <v>181</v>
      </c>
      <c r="J979" s="3">
        <v>0</v>
      </c>
      <c r="K979" s="3">
        <v>0</v>
      </c>
      <c r="L979" s="3">
        <v>0</v>
      </c>
      <c r="M979" s="3">
        <v>1.1000000000000001</v>
      </c>
      <c r="N979" s="3">
        <v>0</v>
      </c>
      <c r="O979" s="3">
        <f t="shared" si="190"/>
        <v>1.1000000000000001</v>
      </c>
      <c r="P979" s="3">
        <v>4</v>
      </c>
      <c r="Q979" s="3">
        <v>4</v>
      </c>
      <c r="R979" s="3">
        <v>2</v>
      </c>
      <c r="S979" s="3">
        <v>5</v>
      </c>
      <c r="T979" s="3">
        <v>0</v>
      </c>
      <c r="U979" s="3">
        <f t="shared" si="200"/>
        <v>15</v>
      </c>
      <c r="V979" s="13">
        <f t="shared" si="191"/>
        <v>7.3333333333333334E-2</v>
      </c>
      <c r="W979" s="13">
        <f t="shared" si="203"/>
        <v>7.3333333333333334E-2</v>
      </c>
      <c r="X979" s="3">
        <f t="shared" si="192"/>
        <v>15</v>
      </c>
      <c r="Y979" s="3">
        <f t="shared" si="204"/>
        <v>1.5277777777777777E-4</v>
      </c>
      <c r="Z979" s="3"/>
      <c r="AA979" s="3">
        <f t="shared" si="207"/>
        <v>480</v>
      </c>
      <c r="AB979" s="3">
        <v>25</v>
      </c>
      <c r="AC979" s="3" t="s">
        <v>180</v>
      </c>
      <c r="AD979" s="3" t="s">
        <v>83</v>
      </c>
      <c r="AE979" s="3">
        <v>30</v>
      </c>
      <c r="AF979" s="3" t="s">
        <v>143</v>
      </c>
      <c r="AG979" s="3" t="s">
        <v>334</v>
      </c>
      <c r="AH979" s="3"/>
    </row>
    <row r="980" spans="1:34" ht="14.25" customHeight="1" x14ac:dyDescent="0.25">
      <c r="A980" s="3" t="s">
        <v>146</v>
      </c>
      <c r="B980" s="3" t="s">
        <v>79</v>
      </c>
      <c r="C980" s="3"/>
      <c r="D980" s="3" t="s">
        <v>80</v>
      </c>
      <c r="E980" s="3">
        <v>1</v>
      </c>
      <c r="F980" s="3">
        <v>1</v>
      </c>
      <c r="G980" s="3" t="s">
        <v>15</v>
      </c>
      <c r="H980" s="11">
        <v>45930</v>
      </c>
      <c r="I980" s="3" t="s">
        <v>181</v>
      </c>
      <c r="J980" s="3">
        <v>0</v>
      </c>
      <c r="K980" s="3">
        <v>9</v>
      </c>
      <c r="L980" s="3">
        <v>0</v>
      </c>
      <c r="M980" s="3">
        <v>0</v>
      </c>
      <c r="N980" s="3">
        <v>0</v>
      </c>
      <c r="O980" s="3">
        <f t="shared" si="190"/>
        <v>9</v>
      </c>
      <c r="P980" s="3">
        <v>4</v>
      </c>
      <c r="Q980" s="3">
        <v>4</v>
      </c>
      <c r="R980" s="3">
        <v>2</v>
      </c>
      <c r="S980" s="3">
        <v>5</v>
      </c>
      <c r="T980" s="3">
        <v>0</v>
      </c>
      <c r="U980" s="3">
        <f t="shared" si="200"/>
        <v>15</v>
      </c>
      <c r="V980" s="13">
        <f t="shared" si="191"/>
        <v>0.6</v>
      </c>
      <c r="W980" s="13">
        <f t="shared" si="203"/>
        <v>0.6</v>
      </c>
      <c r="X980" s="3">
        <f t="shared" si="192"/>
        <v>15</v>
      </c>
      <c r="Y980" s="3">
        <f t="shared" si="204"/>
        <v>1.25E-3</v>
      </c>
      <c r="Z980" s="3"/>
      <c r="AA980" s="3">
        <f t="shared" si="207"/>
        <v>480</v>
      </c>
      <c r="AB980" s="3">
        <v>25</v>
      </c>
      <c r="AC980" s="3" t="s">
        <v>180</v>
      </c>
      <c r="AD980" s="3" t="s">
        <v>83</v>
      </c>
      <c r="AE980" s="3">
        <v>30</v>
      </c>
      <c r="AF980" s="3" t="s">
        <v>143</v>
      </c>
      <c r="AG980" s="3" t="s">
        <v>334</v>
      </c>
      <c r="AH980" s="3"/>
    </row>
    <row r="981" spans="1:34" ht="14.25" customHeight="1" x14ac:dyDescent="0.25">
      <c r="A981" s="3" t="s">
        <v>97</v>
      </c>
      <c r="B981" s="3" t="s">
        <v>79</v>
      </c>
      <c r="C981" s="3"/>
      <c r="D981" s="3" t="s">
        <v>98</v>
      </c>
      <c r="E981" s="3">
        <v>1</v>
      </c>
      <c r="F981" s="3">
        <v>1</v>
      </c>
      <c r="G981" s="3" t="s">
        <v>14</v>
      </c>
      <c r="H981" s="11">
        <v>45930</v>
      </c>
      <c r="I981" s="3" t="s">
        <v>181</v>
      </c>
      <c r="J981" s="3">
        <v>0</v>
      </c>
      <c r="K981" s="3">
        <v>0</v>
      </c>
      <c r="L981" s="3">
        <v>2.5</v>
      </c>
      <c r="M981" s="3">
        <f>2.6+1.6</f>
        <v>4.2</v>
      </c>
      <c r="N981" s="3">
        <v>0</v>
      </c>
      <c r="O981" s="3">
        <f t="shared" si="190"/>
        <v>6.7</v>
      </c>
      <c r="P981" s="3">
        <v>3</v>
      </c>
      <c r="Q981" s="3">
        <v>2</v>
      </c>
      <c r="R981" s="3">
        <v>1</v>
      </c>
      <c r="S981" s="3">
        <v>4</v>
      </c>
      <c r="T981" s="3">
        <v>0</v>
      </c>
      <c r="U981" s="3">
        <f t="shared" si="200"/>
        <v>10</v>
      </c>
      <c r="V981" s="13">
        <f t="shared" si="191"/>
        <v>0.67</v>
      </c>
      <c r="W981" s="13">
        <f t="shared" si="203"/>
        <v>0.67</v>
      </c>
      <c r="X981" s="3">
        <f t="shared" si="192"/>
        <v>10</v>
      </c>
      <c r="Y981" s="3" t="e">
        <f t="shared" si="204"/>
        <v>#DIV/0!</v>
      </c>
      <c r="Z981" s="3"/>
      <c r="AA981" s="3"/>
      <c r="AB981" s="3"/>
      <c r="AC981" s="3" t="s">
        <v>180</v>
      </c>
      <c r="AD981" s="3" t="s">
        <v>83</v>
      </c>
      <c r="AE981" s="3">
        <v>15</v>
      </c>
      <c r="AF981" s="3" t="s">
        <v>143</v>
      </c>
      <c r="AG981" s="3" t="s">
        <v>173</v>
      </c>
      <c r="AH981" s="3"/>
    </row>
    <row r="982" spans="1:34" ht="14.25" customHeight="1" x14ac:dyDescent="0.25">
      <c r="A982" s="3" t="s">
        <v>97</v>
      </c>
      <c r="B982" s="3" t="s">
        <v>79</v>
      </c>
      <c r="C982" s="3"/>
      <c r="D982" s="3" t="s">
        <v>98</v>
      </c>
      <c r="E982" s="3">
        <v>1</v>
      </c>
      <c r="F982" s="3">
        <v>1</v>
      </c>
      <c r="G982" s="3" t="s">
        <v>16</v>
      </c>
      <c r="H982" s="11">
        <v>45930</v>
      </c>
      <c r="I982" s="3" t="s">
        <v>181</v>
      </c>
      <c r="J982" s="3">
        <v>2.8</v>
      </c>
      <c r="K982" s="3">
        <v>1.9</v>
      </c>
      <c r="L982" s="3">
        <v>0</v>
      </c>
      <c r="M982" s="3">
        <v>3.6</v>
      </c>
      <c r="N982" s="3">
        <v>0</v>
      </c>
      <c r="O982" s="3">
        <f t="shared" si="190"/>
        <v>8.2999999999999989</v>
      </c>
      <c r="P982" s="3">
        <v>3</v>
      </c>
      <c r="Q982" s="3">
        <v>2</v>
      </c>
      <c r="R982" s="3">
        <v>1</v>
      </c>
      <c r="S982" s="3">
        <v>4</v>
      </c>
      <c r="T982" s="3">
        <v>0</v>
      </c>
      <c r="U982" s="3">
        <f t="shared" si="200"/>
        <v>10</v>
      </c>
      <c r="V982" s="13">
        <f t="shared" si="191"/>
        <v>0.82999999999999985</v>
      </c>
      <c r="W982" s="13">
        <f t="shared" si="203"/>
        <v>0.82999999999999985</v>
      </c>
      <c r="X982" s="3">
        <f t="shared" si="192"/>
        <v>10</v>
      </c>
      <c r="Y982" s="3" t="e">
        <f t="shared" si="204"/>
        <v>#DIV/0!</v>
      </c>
      <c r="Z982" s="3"/>
      <c r="AA982" s="3"/>
      <c r="AB982" s="3"/>
      <c r="AC982" s="3" t="s">
        <v>180</v>
      </c>
      <c r="AD982" s="3" t="s">
        <v>83</v>
      </c>
      <c r="AE982" s="3">
        <v>15</v>
      </c>
      <c r="AF982" s="3" t="s">
        <v>143</v>
      </c>
      <c r="AG982" s="3" t="s">
        <v>173</v>
      </c>
      <c r="AH982" s="3"/>
    </row>
    <row r="983" spans="1:34" ht="14.25" customHeight="1" x14ac:dyDescent="0.25">
      <c r="A983" s="3" t="s">
        <v>97</v>
      </c>
      <c r="B983" s="3" t="s">
        <v>79</v>
      </c>
      <c r="C983" s="3"/>
      <c r="D983" s="3" t="s">
        <v>98</v>
      </c>
      <c r="E983" s="3">
        <v>1</v>
      </c>
      <c r="F983" s="3">
        <v>1</v>
      </c>
      <c r="G983" s="3" t="s">
        <v>18</v>
      </c>
      <c r="H983" s="11">
        <v>45930</v>
      </c>
      <c r="I983" s="3" t="s">
        <v>181</v>
      </c>
      <c r="J983" s="3">
        <f>3+5.6+4.6</f>
        <v>13.2</v>
      </c>
      <c r="K983" s="3">
        <f>2.2+4</f>
        <v>6.2</v>
      </c>
      <c r="L983" s="3">
        <v>5</v>
      </c>
      <c r="M983" s="3">
        <f>2.6+3.7+8.7</f>
        <v>15</v>
      </c>
      <c r="N983" s="3">
        <v>0</v>
      </c>
      <c r="O983" s="3">
        <f t="shared" si="190"/>
        <v>39.4</v>
      </c>
      <c r="P983" s="3">
        <v>3</v>
      </c>
      <c r="Q983" s="3">
        <v>2</v>
      </c>
      <c r="R983" s="3">
        <v>1</v>
      </c>
      <c r="S983" s="3">
        <v>4</v>
      </c>
      <c r="T983" s="3">
        <v>0</v>
      </c>
      <c r="U983" s="3">
        <f t="shared" si="200"/>
        <v>10</v>
      </c>
      <c r="V983" s="13">
        <f t="shared" si="191"/>
        <v>3.94</v>
      </c>
      <c r="W983" s="13">
        <f t="shared" si="203"/>
        <v>3.94</v>
      </c>
      <c r="X983" s="3">
        <f t="shared" si="192"/>
        <v>10</v>
      </c>
      <c r="Y983" s="3" t="e">
        <f t="shared" si="204"/>
        <v>#DIV/0!</v>
      </c>
      <c r="Z983" s="3"/>
      <c r="AA983" s="3"/>
      <c r="AB983" s="3"/>
      <c r="AC983" s="3" t="s">
        <v>180</v>
      </c>
      <c r="AD983" s="3" t="s">
        <v>83</v>
      </c>
      <c r="AE983" s="3">
        <v>15</v>
      </c>
      <c r="AF983" s="3" t="s">
        <v>143</v>
      </c>
      <c r="AG983" s="3" t="s">
        <v>173</v>
      </c>
      <c r="AH983" s="3"/>
    </row>
    <row r="984" spans="1:34" ht="14.25" customHeight="1" x14ac:dyDescent="0.25">
      <c r="A984" s="3" t="s">
        <v>96</v>
      </c>
      <c r="B984" s="3" t="s">
        <v>79</v>
      </c>
      <c r="C984" s="3"/>
      <c r="D984" s="3" t="s">
        <v>80</v>
      </c>
      <c r="E984" s="3">
        <v>2</v>
      </c>
      <c r="F984" s="3">
        <v>1</v>
      </c>
      <c r="G984" s="3" t="s">
        <v>2</v>
      </c>
      <c r="H984" s="11">
        <v>45930</v>
      </c>
      <c r="I984" s="3" t="s">
        <v>181</v>
      </c>
      <c r="J984" s="3">
        <v>0</v>
      </c>
      <c r="K984" s="3">
        <v>0</v>
      </c>
      <c r="L984" s="3">
        <v>3.8</v>
      </c>
      <c r="M984" s="3">
        <v>7.6</v>
      </c>
      <c r="N984" s="3">
        <v>0</v>
      </c>
      <c r="O984" s="3">
        <f t="shared" si="190"/>
        <v>11.399999999999999</v>
      </c>
      <c r="P984" s="3">
        <v>4</v>
      </c>
      <c r="Q984" s="3">
        <v>3</v>
      </c>
      <c r="R984" s="3">
        <v>2</v>
      </c>
      <c r="S984" s="3">
        <v>3</v>
      </c>
      <c r="T984" s="3">
        <v>0</v>
      </c>
      <c r="U984" s="3">
        <f t="shared" si="200"/>
        <v>12</v>
      </c>
      <c r="V984" s="13">
        <f t="shared" si="191"/>
        <v>0.94999999999999984</v>
      </c>
      <c r="W984" s="13">
        <f t="shared" si="203"/>
        <v>0.94999999999999984</v>
      </c>
      <c r="X984" s="3">
        <f t="shared" si="192"/>
        <v>12</v>
      </c>
      <c r="Y984" s="3" t="e">
        <f t="shared" si="204"/>
        <v>#DIV/0!</v>
      </c>
      <c r="Z984" s="3"/>
      <c r="AA984" s="3"/>
      <c r="AB984" s="3"/>
      <c r="AC984" s="3" t="s">
        <v>180</v>
      </c>
      <c r="AD984" s="3" t="s">
        <v>83</v>
      </c>
      <c r="AE984" s="3">
        <v>40</v>
      </c>
      <c r="AF984" s="3" t="s">
        <v>143</v>
      </c>
      <c r="AG984" s="3" t="s">
        <v>173</v>
      </c>
      <c r="AH984" s="3"/>
    </row>
    <row r="985" spans="1:34" ht="14.25" customHeight="1" x14ac:dyDescent="0.25">
      <c r="A985" s="3" t="s">
        <v>96</v>
      </c>
      <c r="B985" s="3" t="s">
        <v>79</v>
      </c>
      <c r="C985" s="3"/>
      <c r="D985" s="3" t="s">
        <v>80</v>
      </c>
      <c r="E985" s="3">
        <v>2</v>
      </c>
      <c r="F985" s="3">
        <v>1</v>
      </c>
      <c r="G985" s="3" t="s">
        <v>12</v>
      </c>
      <c r="H985" s="11">
        <v>45930</v>
      </c>
      <c r="I985" s="3" t="s">
        <v>181</v>
      </c>
      <c r="J985" s="3">
        <v>0</v>
      </c>
      <c r="K985" s="3">
        <v>0</v>
      </c>
      <c r="L985" s="3">
        <v>4</v>
      </c>
      <c r="M985" s="3">
        <v>0</v>
      </c>
      <c r="N985" s="3">
        <v>0</v>
      </c>
      <c r="O985" s="3">
        <f t="shared" si="190"/>
        <v>4</v>
      </c>
      <c r="P985" s="3">
        <v>4</v>
      </c>
      <c r="Q985" s="3">
        <v>3</v>
      </c>
      <c r="R985" s="3">
        <v>2</v>
      </c>
      <c r="S985" s="3">
        <v>3</v>
      </c>
      <c r="T985" s="3">
        <v>0</v>
      </c>
      <c r="U985" s="3">
        <f t="shared" si="200"/>
        <v>12</v>
      </c>
      <c r="V985" s="13">
        <f t="shared" si="191"/>
        <v>0.33333333333333331</v>
      </c>
      <c r="W985" s="13">
        <f t="shared" si="203"/>
        <v>0.33333333333333331</v>
      </c>
      <c r="X985" s="3">
        <f t="shared" si="192"/>
        <v>12</v>
      </c>
      <c r="Y985" s="3" t="e">
        <f t="shared" si="204"/>
        <v>#DIV/0!</v>
      </c>
      <c r="Z985" s="3"/>
      <c r="AA985" s="3"/>
      <c r="AB985" s="3"/>
      <c r="AC985" s="3" t="s">
        <v>180</v>
      </c>
      <c r="AD985" s="3" t="s">
        <v>83</v>
      </c>
      <c r="AE985" s="3">
        <v>40</v>
      </c>
      <c r="AF985" s="3" t="s">
        <v>143</v>
      </c>
      <c r="AG985" s="3" t="s">
        <v>173</v>
      </c>
      <c r="AH985" s="3"/>
    </row>
    <row r="986" spans="1:34" ht="14.25" customHeight="1" x14ac:dyDescent="0.25">
      <c r="A986" s="3" t="s">
        <v>96</v>
      </c>
      <c r="B986" s="3" t="s">
        <v>79</v>
      </c>
      <c r="C986" s="3"/>
      <c r="D986" s="3" t="s">
        <v>80</v>
      </c>
      <c r="E986" s="3">
        <v>2</v>
      </c>
      <c r="F986" s="3">
        <v>1</v>
      </c>
      <c r="G986" s="3" t="s">
        <v>14</v>
      </c>
      <c r="H986" s="11">
        <v>45930</v>
      </c>
      <c r="I986" s="3" t="s">
        <v>181</v>
      </c>
      <c r="J986" s="3">
        <v>3.2</v>
      </c>
      <c r="K986" s="3">
        <v>0</v>
      </c>
      <c r="L986" s="3">
        <v>0</v>
      </c>
      <c r="M986" s="3">
        <v>0</v>
      </c>
      <c r="N986" s="3">
        <v>0</v>
      </c>
      <c r="O986" s="3">
        <f t="shared" si="190"/>
        <v>3.2</v>
      </c>
      <c r="P986" s="3">
        <v>4</v>
      </c>
      <c r="Q986" s="3">
        <v>3</v>
      </c>
      <c r="R986" s="3">
        <v>2</v>
      </c>
      <c r="S986" s="3">
        <v>3</v>
      </c>
      <c r="T986" s="3">
        <v>0</v>
      </c>
      <c r="U986" s="3">
        <f t="shared" si="200"/>
        <v>12</v>
      </c>
      <c r="V986" s="13">
        <f t="shared" si="191"/>
        <v>0.26666666666666666</v>
      </c>
      <c r="W986" s="13">
        <f t="shared" si="203"/>
        <v>0.26666666666666666</v>
      </c>
      <c r="X986" s="3">
        <f t="shared" si="192"/>
        <v>12</v>
      </c>
      <c r="Y986" s="3" t="e">
        <f t="shared" si="204"/>
        <v>#DIV/0!</v>
      </c>
      <c r="Z986" s="3"/>
      <c r="AA986" s="3"/>
      <c r="AB986" s="3"/>
      <c r="AC986" s="3" t="s">
        <v>180</v>
      </c>
      <c r="AD986" s="3" t="s">
        <v>83</v>
      </c>
      <c r="AE986" s="3">
        <v>40</v>
      </c>
      <c r="AF986" s="3" t="s">
        <v>143</v>
      </c>
      <c r="AG986" s="3" t="s">
        <v>173</v>
      </c>
      <c r="AH986" s="3"/>
    </row>
    <row r="987" spans="1:34" ht="14.25" customHeight="1" x14ac:dyDescent="0.25">
      <c r="A987" s="3" t="s">
        <v>96</v>
      </c>
      <c r="B987" s="3" t="s">
        <v>79</v>
      </c>
      <c r="C987" s="3"/>
      <c r="D987" s="3" t="s">
        <v>80</v>
      </c>
      <c r="E987" s="3">
        <v>2</v>
      </c>
      <c r="F987" s="3">
        <v>1</v>
      </c>
      <c r="G987" s="3" t="s">
        <v>16</v>
      </c>
      <c r="H987" s="11">
        <v>45930</v>
      </c>
      <c r="I987" s="3" t="s">
        <v>181</v>
      </c>
      <c r="J987" s="3">
        <v>2.8</v>
      </c>
      <c r="K987" s="3">
        <v>2.7</v>
      </c>
      <c r="L987" s="3">
        <v>0</v>
      </c>
      <c r="M987" s="3">
        <v>3.6</v>
      </c>
      <c r="N987" s="3">
        <v>0</v>
      </c>
      <c r="O987" s="3">
        <f t="shared" si="190"/>
        <v>9.1</v>
      </c>
      <c r="P987" s="3">
        <v>4</v>
      </c>
      <c r="Q987" s="3">
        <v>3</v>
      </c>
      <c r="R987" s="3">
        <v>2</v>
      </c>
      <c r="S987" s="3">
        <v>3</v>
      </c>
      <c r="T987" s="3">
        <v>0</v>
      </c>
      <c r="U987" s="3">
        <f t="shared" si="200"/>
        <v>12</v>
      </c>
      <c r="V987" s="13">
        <f t="shared" si="191"/>
        <v>0.7583333333333333</v>
      </c>
      <c r="W987" s="13">
        <f t="shared" si="203"/>
        <v>0.7583333333333333</v>
      </c>
      <c r="X987" s="3">
        <f t="shared" si="192"/>
        <v>12</v>
      </c>
      <c r="Y987" s="3" t="e">
        <f t="shared" si="204"/>
        <v>#DIV/0!</v>
      </c>
      <c r="Z987" s="3"/>
      <c r="AA987" s="3"/>
      <c r="AB987" s="3"/>
      <c r="AC987" s="3" t="s">
        <v>180</v>
      </c>
      <c r="AD987" s="3" t="s">
        <v>83</v>
      </c>
      <c r="AE987" s="3">
        <v>40</v>
      </c>
      <c r="AF987" s="3" t="s">
        <v>143</v>
      </c>
      <c r="AG987" s="3" t="s">
        <v>173</v>
      </c>
      <c r="AH987" s="3"/>
    </row>
    <row r="988" spans="1:34" ht="14.25" customHeight="1" x14ac:dyDescent="0.25">
      <c r="A988" s="3" t="s">
        <v>96</v>
      </c>
      <c r="B988" s="3" t="s">
        <v>79</v>
      </c>
      <c r="C988" s="3"/>
      <c r="D988" s="3" t="s">
        <v>80</v>
      </c>
      <c r="E988" s="3">
        <v>2</v>
      </c>
      <c r="F988" s="3">
        <v>1</v>
      </c>
      <c r="G988" s="3" t="s">
        <v>18</v>
      </c>
      <c r="H988" s="11">
        <v>45930</v>
      </c>
      <c r="I988" s="3" t="s">
        <v>181</v>
      </c>
      <c r="J988" s="3">
        <f>6+3.2+5.6</f>
        <v>14.799999999999999</v>
      </c>
      <c r="K988" s="3">
        <v>6.6</v>
      </c>
      <c r="L988" s="3">
        <v>0</v>
      </c>
      <c r="M988" s="3">
        <v>4.9000000000000004</v>
      </c>
      <c r="N988" s="3">
        <v>0</v>
      </c>
      <c r="O988" s="3">
        <f t="shared" si="190"/>
        <v>26.299999999999997</v>
      </c>
      <c r="P988" s="3">
        <v>4</v>
      </c>
      <c r="Q988" s="3">
        <v>3</v>
      </c>
      <c r="R988" s="3">
        <v>2</v>
      </c>
      <c r="S988" s="3">
        <v>3</v>
      </c>
      <c r="T988" s="3">
        <v>0</v>
      </c>
      <c r="U988" s="3">
        <f t="shared" si="200"/>
        <v>12</v>
      </c>
      <c r="V988" s="13">
        <f t="shared" si="191"/>
        <v>2.1916666666666664</v>
      </c>
      <c r="W988" s="13">
        <f t="shared" si="203"/>
        <v>2.1916666666666664</v>
      </c>
      <c r="X988" s="3">
        <f t="shared" si="192"/>
        <v>12</v>
      </c>
      <c r="Y988" s="3" t="e">
        <f t="shared" si="204"/>
        <v>#DIV/0!</v>
      </c>
      <c r="Z988" s="3"/>
      <c r="AA988" s="3"/>
      <c r="AB988" s="3"/>
      <c r="AC988" s="3" t="s">
        <v>180</v>
      </c>
      <c r="AD988" s="3" t="s">
        <v>83</v>
      </c>
      <c r="AE988" s="3">
        <v>40</v>
      </c>
      <c r="AF988" s="3" t="s">
        <v>143</v>
      </c>
      <c r="AG988" s="3" t="s">
        <v>173</v>
      </c>
      <c r="AH988" s="3"/>
    </row>
    <row r="989" spans="1:34" ht="14.25" customHeight="1" x14ac:dyDescent="0.25">
      <c r="A989" s="3" t="s">
        <v>96</v>
      </c>
      <c r="B989" s="3" t="s">
        <v>79</v>
      </c>
      <c r="C989" s="3"/>
      <c r="D989" s="3" t="s">
        <v>80</v>
      </c>
      <c r="E989" s="3">
        <v>2</v>
      </c>
      <c r="F989" s="3">
        <v>1</v>
      </c>
      <c r="G989" s="3" t="s">
        <v>25</v>
      </c>
      <c r="H989" s="11">
        <v>45930</v>
      </c>
      <c r="I989" s="3" t="s">
        <v>181</v>
      </c>
      <c r="J989" s="3">
        <v>0</v>
      </c>
      <c r="K989" s="3">
        <v>0</v>
      </c>
      <c r="L989" s="3">
        <v>9.6</v>
      </c>
      <c r="M989" s="3">
        <v>0</v>
      </c>
      <c r="N989" s="3">
        <v>0</v>
      </c>
      <c r="O989" s="3">
        <f t="shared" si="190"/>
        <v>9.6</v>
      </c>
      <c r="P989" s="3">
        <v>4</v>
      </c>
      <c r="Q989" s="3">
        <v>3</v>
      </c>
      <c r="R989" s="3">
        <v>2</v>
      </c>
      <c r="S989" s="3">
        <v>3</v>
      </c>
      <c r="T989" s="3">
        <v>0</v>
      </c>
      <c r="U989" s="3">
        <f t="shared" si="200"/>
        <v>12</v>
      </c>
      <c r="V989" s="13">
        <f t="shared" si="191"/>
        <v>0.79999999999999993</v>
      </c>
      <c r="W989" s="13">
        <f t="shared" si="203"/>
        <v>0.79999999999999993</v>
      </c>
      <c r="X989" s="3">
        <f t="shared" si="192"/>
        <v>12</v>
      </c>
      <c r="Y989" s="3" t="e">
        <f t="shared" si="204"/>
        <v>#DIV/0!</v>
      </c>
      <c r="Z989" s="3"/>
      <c r="AA989" s="3"/>
      <c r="AB989" s="3"/>
      <c r="AC989" s="3" t="s">
        <v>180</v>
      </c>
      <c r="AD989" s="3" t="s">
        <v>83</v>
      </c>
      <c r="AE989" s="3">
        <v>40</v>
      </c>
      <c r="AF989" s="3" t="s">
        <v>143</v>
      </c>
      <c r="AG989" s="3" t="s">
        <v>173</v>
      </c>
      <c r="AH989" s="3"/>
    </row>
    <row r="990" spans="1:34" ht="14.25" customHeight="1" x14ac:dyDescent="0.25">
      <c r="A990" s="3" t="s">
        <v>96</v>
      </c>
      <c r="B990" s="3" t="s">
        <v>79</v>
      </c>
      <c r="C990" s="3"/>
      <c r="D990" s="3" t="s">
        <v>80</v>
      </c>
      <c r="E990" s="3">
        <v>2</v>
      </c>
      <c r="F990" s="3">
        <v>1</v>
      </c>
      <c r="G990" s="3" t="s">
        <v>13</v>
      </c>
      <c r="H990" s="11">
        <v>45930</v>
      </c>
      <c r="I990" s="3" t="s">
        <v>181</v>
      </c>
      <c r="J990" s="3">
        <v>0</v>
      </c>
      <c r="K990" s="3">
        <v>3.8</v>
      </c>
      <c r="L990" s="3">
        <v>0</v>
      </c>
      <c r="M990" s="3">
        <v>0</v>
      </c>
      <c r="N990" s="3">
        <v>0</v>
      </c>
      <c r="O990" s="3">
        <f t="shared" si="190"/>
        <v>3.8</v>
      </c>
      <c r="P990" s="3">
        <v>4</v>
      </c>
      <c r="Q990" s="3">
        <v>3</v>
      </c>
      <c r="R990" s="3">
        <v>2</v>
      </c>
      <c r="S990" s="3">
        <v>3</v>
      </c>
      <c r="T990" s="3">
        <v>0</v>
      </c>
      <c r="U990" s="3">
        <f t="shared" si="200"/>
        <v>12</v>
      </c>
      <c r="V990" s="13">
        <f t="shared" si="191"/>
        <v>0.31666666666666665</v>
      </c>
      <c r="W990" s="13">
        <f t="shared" si="203"/>
        <v>0.31666666666666665</v>
      </c>
      <c r="X990" s="3">
        <f t="shared" si="192"/>
        <v>12</v>
      </c>
      <c r="Y990" s="3" t="e">
        <f t="shared" si="204"/>
        <v>#DIV/0!</v>
      </c>
      <c r="Z990" s="3"/>
      <c r="AA990" s="3"/>
      <c r="AB990" s="3"/>
      <c r="AC990" s="3" t="s">
        <v>180</v>
      </c>
      <c r="AD990" s="3" t="s">
        <v>83</v>
      </c>
      <c r="AE990" s="3">
        <v>40</v>
      </c>
      <c r="AF990" s="3" t="s">
        <v>143</v>
      </c>
      <c r="AG990" s="3" t="s">
        <v>173</v>
      </c>
      <c r="AH990" s="3"/>
    </row>
    <row r="991" spans="1:34" ht="14.25" customHeight="1" x14ac:dyDescent="0.25">
      <c r="A991" s="3" t="s">
        <v>95</v>
      </c>
      <c r="B991" s="3" t="s">
        <v>79</v>
      </c>
      <c r="C991" s="3"/>
      <c r="D991" s="3" t="s">
        <v>80</v>
      </c>
      <c r="E991" s="3">
        <v>2</v>
      </c>
      <c r="F991" s="3">
        <v>1</v>
      </c>
      <c r="G991" s="3" t="s">
        <v>1</v>
      </c>
      <c r="H991" s="11">
        <v>45930</v>
      </c>
      <c r="I991" s="3" t="s">
        <v>181</v>
      </c>
      <c r="J991" s="3">
        <v>0</v>
      </c>
      <c r="K991" s="3">
        <v>3.6</v>
      </c>
      <c r="L991" s="3">
        <v>0</v>
      </c>
      <c r="M991" s="3">
        <v>3</v>
      </c>
      <c r="N991" s="3">
        <v>0</v>
      </c>
      <c r="O991" s="3">
        <f t="shared" si="190"/>
        <v>6.6</v>
      </c>
      <c r="P991" s="3">
        <v>4</v>
      </c>
      <c r="Q991" s="3">
        <v>3</v>
      </c>
      <c r="R991" s="3">
        <v>3</v>
      </c>
      <c r="S991" s="3">
        <v>5</v>
      </c>
      <c r="T991" s="3">
        <v>0</v>
      </c>
      <c r="U991" s="3">
        <f t="shared" si="200"/>
        <v>15</v>
      </c>
      <c r="V991" s="13">
        <f t="shared" si="191"/>
        <v>0.44</v>
      </c>
      <c r="W991" s="13">
        <f t="shared" si="203"/>
        <v>0.44</v>
      </c>
      <c r="X991" s="3">
        <f t="shared" si="192"/>
        <v>15</v>
      </c>
      <c r="Y991" s="3">
        <f t="shared" si="204"/>
        <v>1.25E-3</v>
      </c>
      <c r="Z991" s="3"/>
      <c r="AA991" s="3">
        <f t="shared" ref="AA991:AA996" si="208">10*2.2*16</f>
        <v>352</v>
      </c>
      <c r="AB991" s="3"/>
      <c r="AC991" s="3" t="s">
        <v>180</v>
      </c>
      <c r="AD991" s="3" t="s">
        <v>83</v>
      </c>
      <c r="AE991" s="3">
        <v>15</v>
      </c>
      <c r="AF991" s="3" t="s">
        <v>143</v>
      </c>
      <c r="AG991" s="3" t="s">
        <v>287</v>
      </c>
      <c r="AH991" s="3"/>
    </row>
    <row r="992" spans="1:34" ht="14.25" customHeight="1" x14ac:dyDescent="0.25">
      <c r="A992" s="3" t="s">
        <v>95</v>
      </c>
      <c r="B992" s="3" t="s">
        <v>79</v>
      </c>
      <c r="C992" s="3"/>
      <c r="D992" s="3" t="s">
        <v>80</v>
      </c>
      <c r="E992" s="3">
        <v>2</v>
      </c>
      <c r="F992" s="3">
        <v>1</v>
      </c>
      <c r="G992" s="3" t="s">
        <v>3</v>
      </c>
      <c r="H992" s="11">
        <v>45930</v>
      </c>
      <c r="I992" s="3" t="s">
        <v>181</v>
      </c>
      <c r="J992" s="3">
        <f>3.2+5</f>
        <v>8.1999999999999993</v>
      </c>
      <c r="K992" s="3">
        <v>9</v>
      </c>
      <c r="L992" s="3">
        <v>0</v>
      </c>
      <c r="M992" s="3">
        <v>5.2</v>
      </c>
      <c r="N992" s="3">
        <v>0</v>
      </c>
      <c r="O992" s="3">
        <f t="shared" si="190"/>
        <v>22.4</v>
      </c>
      <c r="P992" s="3">
        <v>4</v>
      </c>
      <c r="Q992" s="3">
        <v>3</v>
      </c>
      <c r="R992" s="3">
        <v>3</v>
      </c>
      <c r="S992" s="3">
        <v>5</v>
      </c>
      <c r="T992" s="3">
        <v>0</v>
      </c>
      <c r="U992" s="3">
        <f t="shared" si="200"/>
        <v>15</v>
      </c>
      <c r="V992" s="13">
        <f t="shared" si="191"/>
        <v>1.4933333333333332</v>
      </c>
      <c r="W992" s="13">
        <f t="shared" si="203"/>
        <v>1.4933333333333332</v>
      </c>
      <c r="X992" s="3">
        <f t="shared" si="192"/>
        <v>15</v>
      </c>
      <c r="Y992" s="3">
        <f t="shared" si="204"/>
        <v>4.242424242424242E-3</v>
      </c>
      <c r="Z992" s="3"/>
      <c r="AA992" s="3">
        <f t="shared" si="208"/>
        <v>352</v>
      </c>
      <c r="AB992" s="3"/>
      <c r="AC992" s="3" t="s">
        <v>180</v>
      </c>
      <c r="AD992" s="3" t="s">
        <v>83</v>
      </c>
      <c r="AE992" s="3">
        <v>15</v>
      </c>
      <c r="AF992" s="3" t="s">
        <v>143</v>
      </c>
      <c r="AG992" s="3" t="s">
        <v>287</v>
      </c>
      <c r="AH992" s="3"/>
    </row>
    <row r="993" spans="1:34" ht="14.25" customHeight="1" x14ac:dyDescent="0.25">
      <c r="A993" s="3" t="s">
        <v>95</v>
      </c>
      <c r="B993" s="3" t="s">
        <v>79</v>
      </c>
      <c r="C993" s="3"/>
      <c r="D993" s="3" t="s">
        <v>80</v>
      </c>
      <c r="E993" s="3">
        <v>2</v>
      </c>
      <c r="F993" s="3">
        <v>1</v>
      </c>
      <c r="G993" s="3" t="s">
        <v>10</v>
      </c>
      <c r="H993" s="11">
        <v>45930</v>
      </c>
      <c r="I993" s="3" t="s">
        <v>181</v>
      </c>
      <c r="J993" s="3">
        <v>0</v>
      </c>
      <c r="K993" s="3">
        <v>0</v>
      </c>
      <c r="L993" s="3">
        <v>1.1000000000000001</v>
      </c>
      <c r="M993" s="3">
        <v>1</v>
      </c>
      <c r="N993" s="3">
        <v>0</v>
      </c>
      <c r="O993" s="3">
        <f t="shared" si="190"/>
        <v>2.1</v>
      </c>
      <c r="P993" s="3">
        <v>4</v>
      </c>
      <c r="Q993" s="3">
        <v>3</v>
      </c>
      <c r="R993" s="3">
        <v>3</v>
      </c>
      <c r="S993" s="3">
        <v>5</v>
      </c>
      <c r="T993" s="3">
        <v>0</v>
      </c>
      <c r="U993" s="3">
        <f t="shared" si="200"/>
        <v>15</v>
      </c>
      <c r="V993" s="13">
        <f t="shared" si="191"/>
        <v>0.14000000000000001</v>
      </c>
      <c r="W993" s="13">
        <f t="shared" si="203"/>
        <v>0.14000000000000001</v>
      </c>
      <c r="X993" s="3">
        <f t="shared" si="192"/>
        <v>15</v>
      </c>
      <c r="Y993" s="3">
        <f t="shared" si="204"/>
        <v>3.9772727272727274E-4</v>
      </c>
      <c r="Z993" s="3"/>
      <c r="AA993" s="3">
        <f t="shared" si="208"/>
        <v>352</v>
      </c>
      <c r="AB993" s="3"/>
      <c r="AC993" s="3" t="s">
        <v>180</v>
      </c>
      <c r="AD993" s="3" t="s">
        <v>83</v>
      </c>
      <c r="AE993" s="3">
        <v>15</v>
      </c>
      <c r="AF993" s="3" t="s">
        <v>143</v>
      </c>
      <c r="AG993" s="3" t="s">
        <v>287</v>
      </c>
      <c r="AH993" s="3"/>
    </row>
    <row r="994" spans="1:34" ht="14.25" customHeight="1" x14ac:dyDescent="0.25">
      <c r="A994" s="3" t="s">
        <v>95</v>
      </c>
      <c r="B994" s="3" t="s">
        <v>79</v>
      </c>
      <c r="C994" s="3"/>
      <c r="D994" s="3" t="s">
        <v>80</v>
      </c>
      <c r="E994" s="3">
        <v>2</v>
      </c>
      <c r="F994" s="3">
        <v>1</v>
      </c>
      <c r="G994" s="3" t="s">
        <v>9</v>
      </c>
      <c r="H994" s="11">
        <v>45930</v>
      </c>
      <c r="I994" s="3" t="s">
        <v>181</v>
      </c>
      <c r="J994" s="3">
        <f>2.2+1.8</f>
        <v>4</v>
      </c>
      <c r="K994" s="3">
        <v>0</v>
      </c>
      <c r="L994" s="3">
        <v>0</v>
      </c>
      <c r="M994" s="3">
        <v>1.8</v>
      </c>
      <c r="N994" s="3">
        <v>0</v>
      </c>
      <c r="O994" s="3">
        <f t="shared" si="190"/>
        <v>5.8</v>
      </c>
      <c r="P994" s="3">
        <v>4</v>
      </c>
      <c r="Q994" s="3">
        <v>3</v>
      </c>
      <c r="R994" s="3">
        <v>3</v>
      </c>
      <c r="S994" s="3">
        <v>5</v>
      </c>
      <c r="T994" s="3">
        <v>0</v>
      </c>
      <c r="U994" s="3">
        <f t="shared" si="200"/>
        <v>15</v>
      </c>
      <c r="V994" s="13">
        <f t="shared" si="191"/>
        <v>0.38666666666666666</v>
      </c>
      <c r="W994" s="13">
        <f t="shared" si="203"/>
        <v>0.38666666666666666</v>
      </c>
      <c r="X994" s="3">
        <f t="shared" si="192"/>
        <v>15</v>
      </c>
      <c r="Y994" s="3">
        <f t="shared" si="204"/>
        <v>1.0984848484848484E-3</v>
      </c>
      <c r="Z994" s="3"/>
      <c r="AA994" s="3">
        <f t="shared" si="208"/>
        <v>352</v>
      </c>
      <c r="AB994" s="3"/>
      <c r="AC994" s="3" t="s">
        <v>180</v>
      </c>
      <c r="AD994" s="3" t="s">
        <v>83</v>
      </c>
      <c r="AE994" s="3">
        <v>15</v>
      </c>
      <c r="AF994" s="3" t="s">
        <v>143</v>
      </c>
      <c r="AG994" s="3" t="s">
        <v>287</v>
      </c>
      <c r="AH994" s="3"/>
    </row>
    <row r="995" spans="1:34" ht="14.25" customHeight="1" x14ac:dyDescent="0.25">
      <c r="A995" s="3" t="s">
        <v>95</v>
      </c>
      <c r="B995" s="3" t="s">
        <v>79</v>
      </c>
      <c r="C995" s="3"/>
      <c r="D995" s="3" t="s">
        <v>80</v>
      </c>
      <c r="E995" s="3">
        <v>2</v>
      </c>
      <c r="F995" s="3">
        <v>1</v>
      </c>
      <c r="G995" s="3" t="s">
        <v>12</v>
      </c>
      <c r="H995" s="11">
        <v>45930</v>
      </c>
      <c r="I995" s="3" t="s">
        <v>181</v>
      </c>
      <c r="J995" s="3">
        <v>0</v>
      </c>
      <c r="K995" s="3">
        <v>2.2000000000000002</v>
      </c>
      <c r="L995" s="3">
        <v>1.3</v>
      </c>
      <c r="M995" s="3">
        <v>0</v>
      </c>
      <c r="N995" s="3">
        <v>0</v>
      </c>
      <c r="O995" s="3">
        <f t="shared" si="190"/>
        <v>3.5</v>
      </c>
      <c r="P995" s="3">
        <v>4</v>
      </c>
      <c r="Q995" s="3">
        <v>3</v>
      </c>
      <c r="R995" s="3">
        <v>3</v>
      </c>
      <c r="S995" s="3">
        <v>5</v>
      </c>
      <c r="T995" s="3">
        <v>0</v>
      </c>
      <c r="U995" s="3">
        <f t="shared" si="200"/>
        <v>15</v>
      </c>
      <c r="V995" s="13">
        <f t="shared" si="191"/>
        <v>0.23333333333333334</v>
      </c>
      <c r="W995" s="13">
        <f t="shared" si="203"/>
        <v>0.23333333333333334</v>
      </c>
      <c r="X995" s="3">
        <f t="shared" si="192"/>
        <v>15</v>
      </c>
      <c r="Y995" s="3">
        <f t="shared" si="204"/>
        <v>6.6287878787878792E-4</v>
      </c>
      <c r="Z995" s="3"/>
      <c r="AA995" s="3">
        <f t="shared" si="208"/>
        <v>352</v>
      </c>
      <c r="AB995" s="3"/>
      <c r="AC995" s="3" t="s">
        <v>180</v>
      </c>
      <c r="AD995" s="3" t="s">
        <v>83</v>
      </c>
      <c r="AE995" s="3">
        <v>15</v>
      </c>
      <c r="AF995" s="3" t="s">
        <v>143</v>
      </c>
      <c r="AG995" s="3" t="s">
        <v>287</v>
      </c>
      <c r="AH995" s="3"/>
    </row>
    <row r="996" spans="1:34" ht="14.25" customHeight="1" x14ac:dyDescent="0.25">
      <c r="A996" s="3" t="s">
        <v>95</v>
      </c>
      <c r="B996" s="3" t="s">
        <v>79</v>
      </c>
      <c r="C996" s="3"/>
      <c r="D996" s="3" t="s">
        <v>80</v>
      </c>
      <c r="E996" s="3">
        <v>2</v>
      </c>
      <c r="F996" s="3">
        <v>1</v>
      </c>
      <c r="G996" s="3" t="s">
        <v>24</v>
      </c>
      <c r="H996" s="11">
        <v>45930</v>
      </c>
      <c r="I996" s="3" t="s">
        <v>181</v>
      </c>
      <c r="J996" s="3">
        <v>0</v>
      </c>
      <c r="K996" s="3">
        <v>0</v>
      </c>
      <c r="L996" s="3">
        <v>2</v>
      </c>
      <c r="M996" s="3">
        <v>0.6</v>
      </c>
      <c r="N996" s="3">
        <v>0</v>
      </c>
      <c r="O996" s="3">
        <f t="shared" si="190"/>
        <v>2.6</v>
      </c>
      <c r="P996" s="3">
        <v>4</v>
      </c>
      <c r="Q996" s="3">
        <v>3</v>
      </c>
      <c r="R996" s="3">
        <v>3</v>
      </c>
      <c r="S996" s="3">
        <v>5</v>
      </c>
      <c r="T996" s="3">
        <v>0</v>
      </c>
      <c r="U996" s="3">
        <f t="shared" si="200"/>
        <v>15</v>
      </c>
      <c r="V996" s="13">
        <f t="shared" si="191"/>
        <v>0.17333333333333334</v>
      </c>
      <c r="W996" s="13">
        <f t="shared" si="203"/>
        <v>0.17333333333333334</v>
      </c>
      <c r="X996" s="3">
        <f t="shared" si="192"/>
        <v>15</v>
      </c>
      <c r="Y996" s="3">
        <f t="shared" si="204"/>
        <v>4.9242424242424245E-4</v>
      </c>
      <c r="Z996" s="3"/>
      <c r="AA996" s="3">
        <f t="shared" si="208"/>
        <v>352</v>
      </c>
      <c r="AB996" s="3"/>
      <c r="AC996" s="3" t="s">
        <v>180</v>
      </c>
      <c r="AD996" s="3" t="s">
        <v>83</v>
      </c>
      <c r="AE996" s="3">
        <v>15</v>
      </c>
      <c r="AF996" s="3" t="s">
        <v>143</v>
      </c>
      <c r="AG996" s="3" t="s">
        <v>287</v>
      </c>
      <c r="AH996" s="3"/>
    </row>
    <row r="997" spans="1:34" ht="14.25" customHeight="1" x14ac:dyDescent="0.25">
      <c r="A997" s="3" t="s">
        <v>116</v>
      </c>
      <c r="B997" s="3" t="s">
        <v>79</v>
      </c>
      <c r="C997" s="3"/>
      <c r="D997" s="3" t="s">
        <v>115</v>
      </c>
      <c r="E997" s="3">
        <v>1</v>
      </c>
      <c r="F997" s="3">
        <v>1</v>
      </c>
      <c r="G997" s="3" t="s">
        <v>1</v>
      </c>
      <c r="H997" s="11">
        <v>45930</v>
      </c>
      <c r="I997" s="3" t="s">
        <v>181</v>
      </c>
      <c r="J997" s="3">
        <f>5+8+10</f>
        <v>23</v>
      </c>
      <c r="K997" s="3">
        <f>20+7+15+18</f>
        <v>60</v>
      </c>
      <c r="L997" s="3">
        <f>20+10</f>
        <v>30</v>
      </c>
      <c r="M997" s="3">
        <f>12+10+12</f>
        <v>34</v>
      </c>
      <c r="N997" s="3">
        <v>10</v>
      </c>
      <c r="O997" s="3">
        <f t="shared" si="190"/>
        <v>157</v>
      </c>
      <c r="P997" s="3">
        <v>5</v>
      </c>
      <c r="Q997" s="3">
        <v>7</v>
      </c>
      <c r="R997" s="3">
        <v>2</v>
      </c>
      <c r="S997" s="3">
        <v>7</v>
      </c>
      <c r="T997" s="3">
        <v>3</v>
      </c>
      <c r="U997" s="3">
        <f t="shared" si="200"/>
        <v>24</v>
      </c>
      <c r="V997" s="13">
        <f t="shared" si="191"/>
        <v>6.541666666666667</v>
      </c>
      <c r="W997" s="13">
        <f t="shared" si="203"/>
        <v>6.541666666666667</v>
      </c>
      <c r="X997" s="3">
        <f t="shared" si="192"/>
        <v>24</v>
      </c>
      <c r="Y997" s="3">
        <f t="shared" si="204"/>
        <v>2.0933333333333335E-2</v>
      </c>
      <c r="Z997" s="3"/>
      <c r="AA997" s="3">
        <f t="shared" ref="AA997:AA1003" si="209">25*2.5*5</f>
        <v>312.5</v>
      </c>
      <c r="AB997" s="3">
        <v>10</v>
      </c>
      <c r="AC997" s="3" t="s">
        <v>180</v>
      </c>
      <c r="AD997" s="3" t="s">
        <v>83</v>
      </c>
      <c r="AE997" s="3">
        <v>25</v>
      </c>
      <c r="AF997" s="3" t="s">
        <v>151</v>
      </c>
      <c r="AG997" s="3" t="s">
        <v>336</v>
      </c>
      <c r="AH997" s="3"/>
    </row>
    <row r="998" spans="1:34" ht="14.25" customHeight="1" x14ac:dyDescent="0.25">
      <c r="A998" s="3" t="s">
        <v>116</v>
      </c>
      <c r="B998" s="3" t="s">
        <v>79</v>
      </c>
      <c r="C998" s="3"/>
      <c r="D998" s="3" t="s">
        <v>115</v>
      </c>
      <c r="E998" s="3">
        <v>1</v>
      </c>
      <c r="F998" s="3">
        <v>1</v>
      </c>
      <c r="G998" s="3" t="s">
        <v>3</v>
      </c>
      <c r="H998" s="11">
        <v>45930</v>
      </c>
      <c r="I998" s="3" t="s">
        <v>181</v>
      </c>
      <c r="J998" s="3">
        <f>10+10+12</f>
        <v>32</v>
      </c>
      <c r="K998" s="3">
        <f>10+10</f>
        <v>20</v>
      </c>
      <c r="L998" s="3">
        <v>13</v>
      </c>
      <c r="M998" s="3">
        <v>0</v>
      </c>
      <c r="N998" s="3">
        <v>0</v>
      </c>
      <c r="O998" s="3">
        <f t="shared" si="190"/>
        <v>65</v>
      </c>
      <c r="P998" s="3">
        <v>5</v>
      </c>
      <c r="Q998" s="3">
        <v>7</v>
      </c>
      <c r="R998" s="3">
        <v>2</v>
      </c>
      <c r="S998" s="3">
        <v>7</v>
      </c>
      <c r="T998" s="3">
        <v>3</v>
      </c>
      <c r="U998" s="3">
        <f t="shared" si="200"/>
        <v>24</v>
      </c>
      <c r="V998" s="13">
        <f t="shared" si="191"/>
        <v>2.7083333333333335</v>
      </c>
      <c r="W998" s="13">
        <f t="shared" si="203"/>
        <v>2.7083333333333335</v>
      </c>
      <c r="X998" s="3">
        <f t="shared" si="192"/>
        <v>24</v>
      </c>
      <c r="Y998" s="3">
        <f t="shared" si="204"/>
        <v>8.666666666666668E-3</v>
      </c>
      <c r="Z998" s="3"/>
      <c r="AA998" s="3">
        <f t="shared" si="209"/>
        <v>312.5</v>
      </c>
      <c r="AB998" s="3">
        <v>10</v>
      </c>
      <c r="AC998" s="3" t="s">
        <v>180</v>
      </c>
      <c r="AD998" s="3" t="s">
        <v>83</v>
      </c>
      <c r="AE998" s="3">
        <v>25</v>
      </c>
      <c r="AF998" s="3" t="s">
        <v>151</v>
      </c>
      <c r="AG998" s="3" t="s">
        <v>336</v>
      </c>
      <c r="AH998" s="3"/>
    </row>
    <row r="999" spans="1:34" ht="14.25" customHeight="1" x14ac:dyDescent="0.25">
      <c r="A999" s="3" t="s">
        <v>116</v>
      </c>
      <c r="B999" s="3" t="s">
        <v>79</v>
      </c>
      <c r="C999" s="3"/>
      <c r="D999" s="3" t="s">
        <v>115</v>
      </c>
      <c r="E999" s="3">
        <v>1</v>
      </c>
      <c r="F999" s="3">
        <v>1</v>
      </c>
      <c r="G999" s="3" t="s">
        <v>5</v>
      </c>
      <c r="H999" s="11">
        <v>45930</v>
      </c>
      <c r="I999" s="3" t="s">
        <v>181</v>
      </c>
      <c r="J999" s="3">
        <v>0</v>
      </c>
      <c r="K999" s="3">
        <v>0</v>
      </c>
      <c r="L999" s="3">
        <v>10</v>
      </c>
      <c r="M999" s="3">
        <f>18+10+12</f>
        <v>40</v>
      </c>
      <c r="N999" s="3">
        <v>10</v>
      </c>
      <c r="O999" s="3">
        <f t="shared" si="190"/>
        <v>60</v>
      </c>
      <c r="P999" s="3">
        <v>5</v>
      </c>
      <c r="Q999" s="3">
        <v>7</v>
      </c>
      <c r="R999" s="3">
        <v>2</v>
      </c>
      <c r="S999" s="3">
        <v>7</v>
      </c>
      <c r="T999" s="3">
        <v>3</v>
      </c>
      <c r="U999" s="3">
        <f t="shared" si="200"/>
        <v>24</v>
      </c>
      <c r="V999" s="13">
        <f t="shared" si="191"/>
        <v>2.5</v>
      </c>
      <c r="W999" s="13">
        <f t="shared" si="203"/>
        <v>2.5</v>
      </c>
      <c r="X999" s="3">
        <f t="shared" si="192"/>
        <v>24</v>
      </c>
      <c r="Y999" s="3">
        <f t="shared" si="204"/>
        <v>8.0000000000000002E-3</v>
      </c>
      <c r="Z999" s="3"/>
      <c r="AA999" s="3">
        <f t="shared" si="209"/>
        <v>312.5</v>
      </c>
      <c r="AB999" s="3">
        <v>10</v>
      </c>
      <c r="AC999" s="3" t="s">
        <v>180</v>
      </c>
      <c r="AD999" s="3" t="s">
        <v>83</v>
      </c>
      <c r="AE999" s="3">
        <v>25</v>
      </c>
      <c r="AF999" s="3" t="s">
        <v>151</v>
      </c>
      <c r="AG999" s="3" t="s">
        <v>336</v>
      </c>
      <c r="AH999" s="3"/>
    </row>
    <row r="1000" spans="1:34" ht="14.25" customHeight="1" x14ac:dyDescent="0.25">
      <c r="A1000" s="3" t="s">
        <v>116</v>
      </c>
      <c r="B1000" s="3" t="s">
        <v>79</v>
      </c>
      <c r="C1000" s="3"/>
      <c r="D1000" s="3" t="s">
        <v>115</v>
      </c>
      <c r="E1000" s="3">
        <v>1</v>
      </c>
      <c r="F1000" s="3">
        <v>1</v>
      </c>
      <c r="G1000" s="3" t="s">
        <v>2</v>
      </c>
      <c r="H1000" s="11">
        <v>45930</v>
      </c>
      <c r="I1000" s="3" t="s">
        <v>181</v>
      </c>
      <c r="J1000" s="3">
        <f>10+12+10</f>
        <v>32</v>
      </c>
      <c r="K1000" s="3">
        <f>7+15+10+15</f>
        <v>47</v>
      </c>
      <c r="L1000" s="3">
        <v>20</v>
      </c>
      <c r="M1000" s="3">
        <f>13+12+10</f>
        <v>35</v>
      </c>
      <c r="N1000" s="3">
        <v>11</v>
      </c>
      <c r="O1000" s="3">
        <f t="shared" si="190"/>
        <v>145</v>
      </c>
      <c r="P1000" s="3">
        <v>5</v>
      </c>
      <c r="Q1000" s="3">
        <v>7</v>
      </c>
      <c r="R1000" s="3">
        <v>2</v>
      </c>
      <c r="S1000" s="3">
        <v>7</v>
      </c>
      <c r="T1000" s="3">
        <v>3</v>
      </c>
      <c r="U1000" s="3">
        <f t="shared" si="200"/>
        <v>24</v>
      </c>
      <c r="V1000" s="13">
        <f t="shared" si="191"/>
        <v>6.041666666666667</v>
      </c>
      <c r="W1000" s="13">
        <f t="shared" si="203"/>
        <v>6.041666666666667</v>
      </c>
      <c r="X1000" s="3">
        <f t="shared" si="192"/>
        <v>24</v>
      </c>
      <c r="Y1000" s="3">
        <f t="shared" si="204"/>
        <v>1.9333333333333334E-2</v>
      </c>
      <c r="Z1000" s="3"/>
      <c r="AA1000" s="3">
        <f t="shared" si="209"/>
        <v>312.5</v>
      </c>
      <c r="AB1000" s="3">
        <v>10</v>
      </c>
      <c r="AC1000" s="3" t="s">
        <v>180</v>
      </c>
      <c r="AD1000" s="3" t="s">
        <v>83</v>
      </c>
      <c r="AE1000" s="3">
        <v>25</v>
      </c>
      <c r="AF1000" s="3" t="s">
        <v>151</v>
      </c>
      <c r="AG1000" s="3" t="s">
        <v>336</v>
      </c>
      <c r="AH1000" s="3"/>
    </row>
    <row r="1001" spans="1:34" ht="14.25" customHeight="1" x14ac:dyDescent="0.25">
      <c r="A1001" s="3" t="s">
        <v>116</v>
      </c>
      <c r="B1001" s="3" t="s">
        <v>79</v>
      </c>
      <c r="C1001" s="3"/>
      <c r="D1001" s="3" t="s">
        <v>115</v>
      </c>
      <c r="E1001" s="3">
        <v>1</v>
      </c>
      <c r="F1001" s="3">
        <v>1</v>
      </c>
      <c r="G1001" s="3" t="s">
        <v>16</v>
      </c>
      <c r="H1001" s="11">
        <v>45930</v>
      </c>
      <c r="I1001" s="3" t="s">
        <v>181</v>
      </c>
      <c r="J1001" s="3">
        <v>0</v>
      </c>
      <c r="K1001" s="3">
        <v>0</v>
      </c>
      <c r="L1001" s="3">
        <v>6</v>
      </c>
      <c r="M1001" s="3">
        <f>7+4+3</f>
        <v>14</v>
      </c>
      <c r="N1001" s="3">
        <v>5</v>
      </c>
      <c r="O1001" s="3">
        <f t="shared" si="190"/>
        <v>25</v>
      </c>
      <c r="P1001" s="3">
        <v>5</v>
      </c>
      <c r="Q1001" s="3">
        <v>7</v>
      </c>
      <c r="R1001" s="3">
        <v>2</v>
      </c>
      <c r="S1001" s="3">
        <v>7</v>
      </c>
      <c r="T1001" s="3">
        <v>3</v>
      </c>
      <c r="U1001" s="3">
        <f t="shared" si="200"/>
        <v>24</v>
      </c>
      <c r="V1001" s="13">
        <f t="shared" si="191"/>
        <v>1.0416666666666667</v>
      </c>
      <c r="W1001" s="13">
        <f t="shared" si="203"/>
        <v>1.0416666666666667</v>
      </c>
      <c r="X1001" s="3">
        <f t="shared" si="192"/>
        <v>24</v>
      </c>
      <c r="Y1001" s="3">
        <f t="shared" si="204"/>
        <v>3.3333333333333335E-3</v>
      </c>
      <c r="Z1001" s="3"/>
      <c r="AA1001" s="3">
        <f t="shared" si="209"/>
        <v>312.5</v>
      </c>
      <c r="AB1001" s="3">
        <v>10</v>
      </c>
      <c r="AC1001" s="3" t="s">
        <v>180</v>
      </c>
      <c r="AD1001" s="3" t="s">
        <v>83</v>
      </c>
      <c r="AE1001" s="3">
        <v>25</v>
      </c>
      <c r="AF1001" s="3" t="s">
        <v>151</v>
      </c>
      <c r="AG1001" s="3" t="s">
        <v>336</v>
      </c>
      <c r="AH1001" s="3"/>
    </row>
    <row r="1002" spans="1:34" ht="14.25" customHeight="1" x14ac:dyDescent="0.25">
      <c r="A1002" s="3" t="s">
        <v>116</v>
      </c>
      <c r="B1002" s="3" t="s">
        <v>79</v>
      </c>
      <c r="C1002" s="3"/>
      <c r="D1002" s="3" t="s">
        <v>115</v>
      </c>
      <c r="E1002" s="3">
        <v>1</v>
      </c>
      <c r="F1002" s="3">
        <v>1</v>
      </c>
      <c r="G1002" s="3" t="s">
        <v>25</v>
      </c>
      <c r="H1002" s="11">
        <v>45930</v>
      </c>
      <c r="I1002" s="3" t="s">
        <v>181</v>
      </c>
      <c r="J1002" s="3">
        <f>13+12+11</f>
        <v>36</v>
      </c>
      <c r="K1002" s="3">
        <f>10+10+11</f>
        <v>31</v>
      </c>
      <c r="L1002" s="3">
        <f t="shared" ref="L1002:M1002" si="210">12+15</f>
        <v>27</v>
      </c>
      <c r="M1002" s="3">
        <f t="shared" si="210"/>
        <v>27</v>
      </c>
      <c r="N1002" s="3">
        <v>0</v>
      </c>
      <c r="O1002" s="3">
        <f t="shared" si="190"/>
        <v>121</v>
      </c>
      <c r="P1002" s="3">
        <v>5</v>
      </c>
      <c r="Q1002" s="3">
        <v>7</v>
      </c>
      <c r="R1002" s="3">
        <v>2</v>
      </c>
      <c r="S1002" s="3">
        <v>7</v>
      </c>
      <c r="T1002" s="3">
        <v>3</v>
      </c>
      <c r="U1002" s="3">
        <f t="shared" si="200"/>
        <v>24</v>
      </c>
      <c r="V1002" s="13">
        <f t="shared" si="191"/>
        <v>5.041666666666667</v>
      </c>
      <c r="W1002" s="13">
        <f t="shared" si="203"/>
        <v>5.041666666666667</v>
      </c>
      <c r="X1002" s="3">
        <f t="shared" si="192"/>
        <v>24</v>
      </c>
      <c r="Y1002" s="3">
        <f t="shared" si="204"/>
        <v>1.6133333333333333E-2</v>
      </c>
      <c r="Z1002" s="3"/>
      <c r="AA1002" s="3">
        <f t="shared" si="209"/>
        <v>312.5</v>
      </c>
      <c r="AB1002" s="3">
        <v>10</v>
      </c>
      <c r="AC1002" s="3" t="s">
        <v>180</v>
      </c>
      <c r="AD1002" s="3" t="s">
        <v>83</v>
      </c>
      <c r="AE1002" s="3">
        <v>25</v>
      </c>
      <c r="AF1002" s="3" t="s">
        <v>151</v>
      </c>
      <c r="AG1002" s="3" t="s">
        <v>336</v>
      </c>
      <c r="AH1002" s="3"/>
    </row>
    <row r="1003" spans="1:34" ht="14.25" customHeight="1" x14ac:dyDescent="0.25">
      <c r="A1003" s="3" t="s">
        <v>116</v>
      </c>
      <c r="B1003" s="3" t="s">
        <v>79</v>
      </c>
      <c r="C1003" s="3"/>
      <c r="D1003" s="3" t="s">
        <v>115</v>
      </c>
      <c r="E1003" s="3">
        <v>1</v>
      </c>
      <c r="F1003" s="3">
        <v>1</v>
      </c>
      <c r="G1003" s="3" t="s">
        <v>22</v>
      </c>
      <c r="H1003" s="11">
        <v>45930</v>
      </c>
      <c r="I1003" s="3" t="s">
        <v>181</v>
      </c>
      <c r="J1003" s="3">
        <f>6+7+9</f>
        <v>22</v>
      </c>
      <c r="K1003" s="3">
        <v>10</v>
      </c>
      <c r="L1003" s="3">
        <v>0</v>
      </c>
      <c r="M1003" s="3">
        <f>7+6+5</f>
        <v>18</v>
      </c>
      <c r="N1003" s="3">
        <v>0</v>
      </c>
      <c r="O1003" s="3">
        <f t="shared" si="190"/>
        <v>50</v>
      </c>
      <c r="P1003" s="3">
        <v>5</v>
      </c>
      <c r="Q1003" s="3">
        <v>7</v>
      </c>
      <c r="R1003" s="3">
        <v>2</v>
      </c>
      <c r="S1003" s="3">
        <v>7</v>
      </c>
      <c r="T1003" s="3">
        <v>3</v>
      </c>
      <c r="U1003" s="3">
        <f t="shared" si="200"/>
        <v>24</v>
      </c>
      <c r="V1003" s="13">
        <f t="shared" si="191"/>
        <v>2.0833333333333335</v>
      </c>
      <c r="W1003" s="13">
        <f t="shared" si="203"/>
        <v>2.0833333333333335</v>
      </c>
      <c r="X1003" s="3">
        <f t="shared" si="192"/>
        <v>24</v>
      </c>
      <c r="Y1003" s="3">
        <f t="shared" si="204"/>
        <v>6.6666666666666671E-3</v>
      </c>
      <c r="Z1003" s="3"/>
      <c r="AA1003" s="3">
        <f t="shared" si="209"/>
        <v>312.5</v>
      </c>
      <c r="AB1003" s="3">
        <v>10</v>
      </c>
      <c r="AC1003" s="3" t="s">
        <v>180</v>
      </c>
      <c r="AD1003" s="3" t="s">
        <v>83</v>
      </c>
      <c r="AE1003" s="3">
        <v>25</v>
      </c>
      <c r="AF1003" s="3" t="s">
        <v>151</v>
      </c>
      <c r="AG1003" s="3" t="s">
        <v>336</v>
      </c>
      <c r="AH1003" s="3"/>
    </row>
    <row r="1004" spans="1:34" ht="14.25" customHeight="1" x14ac:dyDescent="0.25">
      <c r="A1004" s="3" t="s">
        <v>126</v>
      </c>
      <c r="B1004" s="3" t="s">
        <v>79</v>
      </c>
      <c r="C1004" s="3"/>
      <c r="D1004" s="3" t="s">
        <v>117</v>
      </c>
      <c r="E1004" s="3">
        <v>2</v>
      </c>
      <c r="F1004" s="3">
        <v>1</v>
      </c>
      <c r="G1004" s="3" t="s">
        <v>3</v>
      </c>
      <c r="H1004" s="11">
        <v>45930</v>
      </c>
      <c r="I1004" s="3" t="s">
        <v>181</v>
      </c>
      <c r="J1004" s="3">
        <f>12+9+10</f>
        <v>31</v>
      </c>
      <c r="K1004" s="3">
        <f>15+12+10+10</f>
        <v>47</v>
      </c>
      <c r="L1004" s="3">
        <f>15+13+9</f>
        <v>37</v>
      </c>
      <c r="M1004" s="3">
        <f>7+5+11</f>
        <v>23</v>
      </c>
      <c r="N1004" s="3">
        <v>9</v>
      </c>
      <c r="O1004" s="3">
        <f t="shared" si="190"/>
        <v>147</v>
      </c>
      <c r="P1004" s="3">
        <v>3</v>
      </c>
      <c r="Q1004" s="3">
        <v>4</v>
      </c>
      <c r="R1004" s="3">
        <v>3</v>
      </c>
      <c r="S1004" s="3">
        <v>4</v>
      </c>
      <c r="T1004" s="3">
        <v>1</v>
      </c>
      <c r="U1004" s="3">
        <f t="shared" si="200"/>
        <v>15</v>
      </c>
      <c r="V1004" s="13">
        <f t="shared" si="191"/>
        <v>9.8000000000000007</v>
      </c>
      <c r="W1004" s="13">
        <f t="shared" si="203"/>
        <v>9.8000000000000007</v>
      </c>
      <c r="X1004" s="3">
        <f t="shared" si="192"/>
        <v>15</v>
      </c>
      <c r="Y1004" s="3">
        <f t="shared" si="204"/>
        <v>9.3333333333333341E-3</v>
      </c>
      <c r="Z1004" s="3"/>
      <c r="AA1004" s="3">
        <f t="shared" ref="AA1004:AA1006" si="211">50*3*5+50*3*2</f>
        <v>1050</v>
      </c>
      <c r="AB1004" s="3"/>
      <c r="AC1004" s="3" t="s">
        <v>180</v>
      </c>
      <c r="AD1004" s="3" t="s">
        <v>83</v>
      </c>
      <c r="AE1004" s="3">
        <v>25</v>
      </c>
      <c r="AF1004" s="3" t="s">
        <v>151</v>
      </c>
      <c r="AG1004" s="3" t="s">
        <v>297</v>
      </c>
      <c r="AH1004" s="3"/>
    </row>
    <row r="1005" spans="1:34" ht="14.25" customHeight="1" x14ac:dyDescent="0.25">
      <c r="A1005" s="3" t="s">
        <v>126</v>
      </c>
      <c r="B1005" s="3" t="s">
        <v>79</v>
      </c>
      <c r="C1005" s="3"/>
      <c r="D1005" s="3" t="s">
        <v>117</v>
      </c>
      <c r="E1005" s="3">
        <v>2</v>
      </c>
      <c r="F1005" s="3">
        <v>1</v>
      </c>
      <c r="G1005" s="3" t="s">
        <v>9</v>
      </c>
      <c r="H1005" s="11">
        <v>45930</v>
      </c>
      <c r="I1005" s="3" t="s">
        <v>181</v>
      </c>
      <c r="J1005" s="3">
        <v>0</v>
      </c>
      <c r="K1005" s="3">
        <v>0</v>
      </c>
      <c r="L1005" s="3">
        <v>0</v>
      </c>
      <c r="M1005" s="3">
        <f>15+12+8+8</f>
        <v>43</v>
      </c>
      <c r="N1005" s="3">
        <v>3</v>
      </c>
      <c r="O1005" s="3">
        <f t="shared" si="190"/>
        <v>46</v>
      </c>
      <c r="P1005" s="3">
        <v>3</v>
      </c>
      <c r="Q1005" s="3">
        <v>4</v>
      </c>
      <c r="R1005" s="3">
        <v>3</v>
      </c>
      <c r="S1005" s="3">
        <v>4</v>
      </c>
      <c r="T1005" s="3">
        <v>1</v>
      </c>
      <c r="U1005" s="3">
        <f t="shared" si="200"/>
        <v>15</v>
      </c>
      <c r="V1005" s="13">
        <f t="shared" si="191"/>
        <v>3.0666666666666669</v>
      </c>
      <c r="W1005" s="13">
        <f t="shared" si="203"/>
        <v>3.0666666666666669</v>
      </c>
      <c r="X1005" s="3">
        <f t="shared" si="192"/>
        <v>15</v>
      </c>
      <c r="Y1005" s="3">
        <f t="shared" si="204"/>
        <v>2.9206349206349208E-3</v>
      </c>
      <c r="Z1005" s="3"/>
      <c r="AA1005" s="3">
        <f t="shared" si="211"/>
        <v>1050</v>
      </c>
      <c r="AB1005" s="3"/>
      <c r="AC1005" s="3" t="s">
        <v>180</v>
      </c>
      <c r="AD1005" s="3" t="s">
        <v>83</v>
      </c>
      <c r="AE1005" s="3">
        <v>25</v>
      </c>
      <c r="AF1005" s="3" t="s">
        <v>151</v>
      </c>
      <c r="AG1005" s="3" t="s">
        <v>297</v>
      </c>
      <c r="AH1005" s="3"/>
    </row>
    <row r="1006" spans="1:34" ht="14.25" customHeight="1" x14ac:dyDescent="0.25">
      <c r="A1006" s="3" t="s">
        <v>126</v>
      </c>
      <c r="B1006" s="3" t="s">
        <v>79</v>
      </c>
      <c r="C1006" s="3"/>
      <c r="D1006" s="3" t="s">
        <v>117</v>
      </c>
      <c r="E1006" s="3">
        <v>2</v>
      </c>
      <c r="F1006" s="3">
        <v>1</v>
      </c>
      <c r="G1006" s="3" t="s">
        <v>18</v>
      </c>
      <c r="H1006" s="11">
        <v>45930</v>
      </c>
      <c r="I1006" s="3" t="s">
        <v>181</v>
      </c>
      <c r="J1006" s="3">
        <v>3</v>
      </c>
      <c r="K1006" s="3">
        <v>4</v>
      </c>
      <c r="L1006" s="3">
        <v>0</v>
      </c>
      <c r="M1006" s="3">
        <v>13</v>
      </c>
      <c r="N1006" s="3">
        <v>0</v>
      </c>
      <c r="O1006" s="3">
        <f t="shared" si="190"/>
        <v>20</v>
      </c>
      <c r="P1006" s="3">
        <v>3</v>
      </c>
      <c r="Q1006" s="3">
        <v>4</v>
      </c>
      <c r="R1006" s="3">
        <v>3</v>
      </c>
      <c r="S1006" s="3">
        <v>4</v>
      </c>
      <c r="T1006" s="3">
        <v>1</v>
      </c>
      <c r="U1006" s="3">
        <f t="shared" si="200"/>
        <v>15</v>
      </c>
      <c r="V1006" s="13">
        <f t="shared" si="191"/>
        <v>1.3333333333333333</v>
      </c>
      <c r="W1006" s="13">
        <f t="shared" si="203"/>
        <v>1.3333333333333333</v>
      </c>
      <c r="X1006" s="3">
        <f t="shared" si="192"/>
        <v>15</v>
      </c>
      <c r="Y1006" s="3">
        <f t="shared" si="204"/>
        <v>1.2698412698412698E-3</v>
      </c>
      <c r="Z1006" s="3"/>
      <c r="AA1006" s="3">
        <f t="shared" si="211"/>
        <v>1050</v>
      </c>
      <c r="AB1006" s="3"/>
      <c r="AC1006" s="3" t="s">
        <v>180</v>
      </c>
      <c r="AD1006" s="3" t="s">
        <v>83</v>
      </c>
      <c r="AE1006" s="3">
        <v>25</v>
      </c>
      <c r="AF1006" s="3" t="s">
        <v>151</v>
      </c>
      <c r="AG1006" s="3" t="s">
        <v>297</v>
      </c>
      <c r="AH1006" s="3"/>
    </row>
    <row r="1007" spans="1:34" ht="14.25" customHeight="1" x14ac:dyDescent="0.25">
      <c r="A1007" s="3" t="s">
        <v>129</v>
      </c>
      <c r="B1007" s="3" t="s">
        <v>79</v>
      </c>
      <c r="C1007" s="3"/>
      <c r="D1007" s="3" t="s">
        <v>117</v>
      </c>
      <c r="E1007" s="3">
        <v>2</v>
      </c>
      <c r="F1007" s="3">
        <v>1</v>
      </c>
      <c r="G1007" s="3" t="s">
        <v>1</v>
      </c>
      <c r="H1007" s="11">
        <v>45930</v>
      </c>
      <c r="I1007" s="3" t="s">
        <v>181</v>
      </c>
      <c r="J1007" s="3">
        <f>10+5+7+6</f>
        <v>28</v>
      </c>
      <c r="K1007" s="3">
        <f>8+15+10</f>
        <v>33</v>
      </c>
      <c r="L1007" s="3">
        <f>13+12+10+7+10</f>
        <v>52</v>
      </c>
      <c r="M1007" s="3">
        <f>12+15+13+20</f>
        <v>60</v>
      </c>
      <c r="N1007" s="3">
        <v>11</v>
      </c>
      <c r="O1007" s="3">
        <f t="shared" si="190"/>
        <v>184</v>
      </c>
      <c r="P1007" s="3">
        <v>7</v>
      </c>
      <c r="Q1007" s="3">
        <v>5</v>
      </c>
      <c r="R1007" s="3">
        <v>7</v>
      </c>
      <c r="S1007" s="3">
        <v>6</v>
      </c>
      <c r="T1007" s="3">
        <v>2</v>
      </c>
      <c r="U1007" s="3">
        <f t="shared" si="200"/>
        <v>27</v>
      </c>
      <c r="V1007" s="13">
        <f t="shared" si="191"/>
        <v>6.8148148148148149</v>
      </c>
      <c r="W1007" s="13">
        <f t="shared" si="203"/>
        <v>6.8148148148148149</v>
      </c>
      <c r="X1007" s="3">
        <f t="shared" si="192"/>
        <v>27</v>
      </c>
      <c r="Y1007" s="3">
        <f t="shared" si="204"/>
        <v>0.20968660968660968</v>
      </c>
      <c r="Z1007" s="3"/>
      <c r="AA1007" s="3">
        <f t="shared" ref="AA1007:AA1013" si="212">25+2.5+5</f>
        <v>32.5</v>
      </c>
      <c r="AB1007" s="3">
        <v>10</v>
      </c>
      <c r="AC1007" s="3" t="s">
        <v>180</v>
      </c>
      <c r="AD1007" s="3"/>
      <c r="AE1007" s="3">
        <v>20</v>
      </c>
      <c r="AF1007" s="3" t="s">
        <v>151</v>
      </c>
      <c r="AG1007" s="3" t="s">
        <v>337</v>
      </c>
      <c r="AH1007" s="3"/>
    </row>
    <row r="1008" spans="1:34" ht="14.25" customHeight="1" x14ac:dyDescent="0.25">
      <c r="A1008" s="3" t="s">
        <v>129</v>
      </c>
      <c r="B1008" s="3" t="s">
        <v>79</v>
      </c>
      <c r="C1008" s="3"/>
      <c r="D1008" s="3" t="s">
        <v>117</v>
      </c>
      <c r="E1008" s="3">
        <v>2</v>
      </c>
      <c r="F1008" s="3">
        <v>1</v>
      </c>
      <c r="G1008" s="3" t="s">
        <v>3</v>
      </c>
      <c r="H1008" s="11">
        <v>45930</v>
      </c>
      <c r="I1008" s="3" t="s">
        <v>181</v>
      </c>
      <c r="J1008" s="3">
        <f>8+6+7+8</f>
        <v>29</v>
      </c>
      <c r="K1008" s="3">
        <f>10+7+6+5</f>
        <v>28</v>
      </c>
      <c r="L1008" s="3">
        <f>4+3+8+10</f>
        <v>25</v>
      </c>
      <c r="M1008" s="3">
        <f>5+7+10+15</f>
        <v>37</v>
      </c>
      <c r="N1008" s="3">
        <f>12+16</f>
        <v>28</v>
      </c>
      <c r="O1008" s="3">
        <f t="shared" si="190"/>
        <v>147</v>
      </c>
      <c r="P1008" s="3">
        <v>7</v>
      </c>
      <c r="Q1008" s="3">
        <v>5</v>
      </c>
      <c r="R1008" s="3">
        <v>7</v>
      </c>
      <c r="S1008" s="3">
        <v>6</v>
      </c>
      <c r="T1008" s="3">
        <v>2</v>
      </c>
      <c r="U1008" s="3">
        <f t="shared" si="200"/>
        <v>27</v>
      </c>
      <c r="V1008" s="13">
        <f t="shared" si="191"/>
        <v>5.4444444444444446</v>
      </c>
      <c r="W1008" s="13">
        <f t="shared" si="203"/>
        <v>5.4444444444444446</v>
      </c>
      <c r="X1008" s="3">
        <f t="shared" si="192"/>
        <v>27</v>
      </c>
      <c r="Y1008" s="3">
        <f t="shared" si="204"/>
        <v>0.16752136752136754</v>
      </c>
      <c r="Z1008" s="3"/>
      <c r="AA1008" s="3">
        <f t="shared" si="212"/>
        <v>32.5</v>
      </c>
      <c r="AB1008" s="3">
        <v>10</v>
      </c>
      <c r="AC1008" s="3" t="s">
        <v>180</v>
      </c>
      <c r="AD1008" s="3"/>
      <c r="AE1008" s="3">
        <v>20</v>
      </c>
      <c r="AF1008" s="3" t="s">
        <v>151</v>
      </c>
      <c r="AG1008" s="3" t="s">
        <v>337</v>
      </c>
      <c r="AH1008" s="3"/>
    </row>
    <row r="1009" spans="1:34" ht="14.25" customHeight="1" x14ac:dyDescent="0.25">
      <c r="A1009" s="3" t="s">
        <v>129</v>
      </c>
      <c r="B1009" s="3" t="s">
        <v>79</v>
      </c>
      <c r="C1009" s="3"/>
      <c r="D1009" s="3" t="s">
        <v>117</v>
      </c>
      <c r="E1009" s="3">
        <v>2</v>
      </c>
      <c r="F1009" s="3">
        <v>1</v>
      </c>
      <c r="G1009" s="3" t="s">
        <v>2</v>
      </c>
      <c r="H1009" s="11">
        <v>45930</v>
      </c>
      <c r="I1009" s="3" t="s">
        <v>181</v>
      </c>
      <c r="J1009" s="3">
        <f>6+4+7+6</f>
        <v>23</v>
      </c>
      <c r="K1009" s="3">
        <f>6+4</f>
        <v>10</v>
      </c>
      <c r="L1009" s="3">
        <f>7+6+7</f>
        <v>20</v>
      </c>
      <c r="M1009" s="3">
        <f>12+6+5</f>
        <v>23</v>
      </c>
      <c r="N1009" s="3">
        <v>0</v>
      </c>
      <c r="O1009" s="3">
        <f t="shared" si="190"/>
        <v>76</v>
      </c>
      <c r="P1009" s="3">
        <v>7</v>
      </c>
      <c r="Q1009" s="3">
        <v>5</v>
      </c>
      <c r="R1009" s="3">
        <v>7</v>
      </c>
      <c r="S1009" s="3">
        <v>6</v>
      </c>
      <c r="T1009" s="3">
        <v>2</v>
      </c>
      <c r="U1009" s="3">
        <f t="shared" si="200"/>
        <v>27</v>
      </c>
      <c r="V1009" s="13">
        <f t="shared" si="191"/>
        <v>2.8148148148148149</v>
      </c>
      <c r="W1009" s="13">
        <f t="shared" si="203"/>
        <v>2.8148148148148149</v>
      </c>
      <c r="X1009" s="3">
        <f t="shared" si="192"/>
        <v>27</v>
      </c>
      <c r="Y1009" s="3">
        <f t="shared" si="204"/>
        <v>8.6609686609686612E-2</v>
      </c>
      <c r="Z1009" s="3"/>
      <c r="AA1009" s="3">
        <f t="shared" si="212"/>
        <v>32.5</v>
      </c>
      <c r="AB1009" s="3">
        <v>10</v>
      </c>
      <c r="AC1009" s="3" t="s">
        <v>180</v>
      </c>
      <c r="AD1009" s="3"/>
      <c r="AE1009" s="3">
        <v>20</v>
      </c>
      <c r="AF1009" s="3" t="s">
        <v>151</v>
      </c>
      <c r="AG1009" s="3" t="s">
        <v>337</v>
      </c>
      <c r="AH1009" s="3"/>
    </row>
    <row r="1010" spans="1:34" ht="14.25" customHeight="1" x14ac:dyDescent="0.25">
      <c r="A1010" s="3" t="s">
        <v>129</v>
      </c>
      <c r="B1010" s="3" t="s">
        <v>79</v>
      </c>
      <c r="C1010" s="3"/>
      <c r="D1010" s="3" t="s">
        <v>117</v>
      </c>
      <c r="E1010" s="3">
        <v>2</v>
      </c>
      <c r="F1010" s="3">
        <v>1</v>
      </c>
      <c r="G1010" s="3" t="s">
        <v>14</v>
      </c>
      <c r="H1010" s="11">
        <v>45930</v>
      </c>
      <c r="I1010" s="3" t="s">
        <v>181</v>
      </c>
      <c r="J1010" s="3">
        <v>0</v>
      </c>
      <c r="K1010" s="3">
        <v>0</v>
      </c>
      <c r="L1010" s="3">
        <v>3</v>
      </c>
      <c r="M1010" s="3">
        <f>6+4+3</f>
        <v>13</v>
      </c>
      <c r="N1010" s="3">
        <v>0</v>
      </c>
      <c r="O1010" s="3">
        <f t="shared" si="190"/>
        <v>16</v>
      </c>
      <c r="P1010" s="3">
        <v>7</v>
      </c>
      <c r="Q1010" s="3">
        <v>5</v>
      </c>
      <c r="R1010" s="3">
        <v>7</v>
      </c>
      <c r="S1010" s="3">
        <v>6</v>
      </c>
      <c r="T1010" s="3">
        <v>2</v>
      </c>
      <c r="U1010" s="3">
        <f t="shared" si="200"/>
        <v>27</v>
      </c>
      <c r="V1010" s="13">
        <f t="shared" si="191"/>
        <v>0.59259259259259256</v>
      </c>
      <c r="W1010" s="13">
        <f t="shared" si="203"/>
        <v>0.59259259259259256</v>
      </c>
      <c r="X1010" s="3">
        <f t="shared" si="192"/>
        <v>27</v>
      </c>
      <c r="Y1010" s="3">
        <f t="shared" si="204"/>
        <v>1.8233618233618232E-2</v>
      </c>
      <c r="Z1010" s="3"/>
      <c r="AA1010" s="3">
        <f t="shared" si="212"/>
        <v>32.5</v>
      </c>
      <c r="AB1010" s="3">
        <v>10</v>
      </c>
      <c r="AC1010" s="3" t="s">
        <v>180</v>
      </c>
      <c r="AD1010" s="3"/>
      <c r="AE1010" s="3">
        <v>20</v>
      </c>
      <c r="AF1010" s="3" t="s">
        <v>151</v>
      </c>
      <c r="AG1010" s="3" t="s">
        <v>337</v>
      </c>
      <c r="AH1010" s="3"/>
    </row>
    <row r="1011" spans="1:34" ht="14.25" customHeight="1" x14ac:dyDescent="0.25">
      <c r="A1011" s="3" t="s">
        <v>129</v>
      </c>
      <c r="B1011" s="3" t="s">
        <v>79</v>
      </c>
      <c r="C1011" s="3"/>
      <c r="D1011" s="3" t="s">
        <v>117</v>
      </c>
      <c r="E1011" s="3">
        <v>2</v>
      </c>
      <c r="F1011" s="3">
        <v>1</v>
      </c>
      <c r="G1011" s="3" t="s">
        <v>16</v>
      </c>
      <c r="H1011" s="11">
        <v>45930</v>
      </c>
      <c r="I1011" s="3" t="s">
        <v>181</v>
      </c>
      <c r="J1011" s="3">
        <f>4+6+5+3</f>
        <v>18</v>
      </c>
      <c r="K1011" s="3">
        <f>4+6</f>
        <v>10</v>
      </c>
      <c r="L1011" s="3">
        <v>5</v>
      </c>
      <c r="M1011" s="3">
        <v>0</v>
      </c>
      <c r="N1011" s="3">
        <v>0</v>
      </c>
      <c r="O1011" s="3">
        <f t="shared" si="190"/>
        <v>33</v>
      </c>
      <c r="P1011" s="3">
        <v>7</v>
      </c>
      <c r="Q1011" s="3">
        <v>5</v>
      </c>
      <c r="R1011" s="3">
        <v>7</v>
      </c>
      <c r="S1011" s="3">
        <v>6</v>
      </c>
      <c r="T1011" s="3">
        <v>2</v>
      </c>
      <c r="U1011" s="3">
        <f t="shared" si="200"/>
        <v>27</v>
      </c>
      <c r="V1011" s="13">
        <f t="shared" si="191"/>
        <v>1.2222222222222223</v>
      </c>
      <c r="W1011" s="13">
        <f t="shared" si="203"/>
        <v>1.2222222222222223</v>
      </c>
      <c r="X1011" s="3">
        <f t="shared" si="192"/>
        <v>27</v>
      </c>
      <c r="Y1011" s="3">
        <f t="shared" si="204"/>
        <v>3.7606837606837612E-2</v>
      </c>
      <c r="Z1011" s="3"/>
      <c r="AA1011" s="3">
        <f t="shared" si="212"/>
        <v>32.5</v>
      </c>
      <c r="AB1011" s="3">
        <v>10</v>
      </c>
      <c r="AC1011" s="3" t="s">
        <v>180</v>
      </c>
      <c r="AD1011" s="3"/>
      <c r="AE1011" s="3">
        <v>20</v>
      </c>
      <c r="AF1011" s="3" t="s">
        <v>151</v>
      </c>
      <c r="AG1011" s="3" t="s">
        <v>337</v>
      </c>
      <c r="AH1011" s="3"/>
    </row>
    <row r="1012" spans="1:34" ht="14.25" customHeight="1" x14ac:dyDescent="0.25">
      <c r="A1012" s="3" t="s">
        <v>129</v>
      </c>
      <c r="B1012" s="3" t="s">
        <v>79</v>
      </c>
      <c r="C1012" s="3"/>
      <c r="D1012" s="3" t="s">
        <v>117</v>
      </c>
      <c r="E1012" s="3">
        <v>2</v>
      </c>
      <c r="F1012" s="3">
        <v>1</v>
      </c>
      <c r="G1012" s="3" t="s">
        <v>25</v>
      </c>
      <c r="H1012" s="11">
        <v>45930</v>
      </c>
      <c r="I1012" s="3" t="s">
        <v>181</v>
      </c>
      <c r="J1012" s="3">
        <v>0</v>
      </c>
      <c r="K1012" s="3">
        <v>0</v>
      </c>
      <c r="L1012" s="3">
        <v>10</v>
      </c>
      <c r="M1012" s="3">
        <f>16+19</f>
        <v>35</v>
      </c>
      <c r="N1012" s="3">
        <v>0</v>
      </c>
      <c r="O1012" s="3">
        <f t="shared" si="190"/>
        <v>45</v>
      </c>
      <c r="P1012" s="3">
        <v>7</v>
      </c>
      <c r="Q1012" s="3">
        <v>5</v>
      </c>
      <c r="R1012" s="3">
        <v>7</v>
      </c>
      <c r="S1012" s="3">
        <v>6</v>
      </c>
      <c r="T1012" s="3">
        <v>2</v>
      </c>
      <c r="U1012" s="3">
        <f t="shared" si="200"/>
        <v>27</v>
      </c>
      <c r="V1012" s="13">
        <f t="shared" si="191"/>
        <v>1.6666666666666667</v>
      </c>
      <c r="W1012" s="13">
        <f t="shared" si="203"/>
        <v>1.6666666666666667</v>
      </c>
      <c r="X1012" s="3">
        <f t="shared" si="192"/>
        <v>27</v>
      </c>
      <c r="Y1012" s="3">
        <f t="shared" si="204"/>
        <v>5.1282051282051287E-2</v>
      </c>
      <c r="Z1012" s="3"/>
      <c r="AA1012" s="3">
        <f t="shared" si="212"/>
        <v>32.5</v>
      </c>
      <c r="AB1012" s="3">
        <v>10</v>
      </c>
      <c r="AC1012" s="3" t="s">
        <v>180</v>
      </c>
      <c r="AD1012" s="3"/>
      <c r="AE1012" s="3">
        <v>20</v>
      </c>
      <c r="AF1012" s="3" t="s">
        <v>151</v>
      </c>
      <c r="AG1012" s="3" t="s">
        <v>337</v>
      </c>
      <c r="AH1012" s="3"/>
    </row>
    <row r="1013" spans="1:34" ht="14.25" customHeight="1" x14ac:dyDescent="0.25">
      <c r="A1013" s="3" t="s">
        <v>129</v>
      </c>
      <c r="B1013" s="3" t="s">
        <v>79</v>
      </c>
      <c r="C1013" s="3"/>
      <c r="D1013" s="3" t="s">
        <v>117</v>
      </c>
      <c r="E1013" s="3">
        <v>2</v>
      </c>
      <c r="F1013" s="3">
        <v>1</v>
      </c>
      <c r="G1013" s="3" t="s">
        <v>22</v>
      </c>
      <c r="H1013" s="11">
        <v>45930</v>
      </c>
      <c r="I1013" s="3" t="s">
        <v>181</v>
      </c>
      <c r="J1013" s="3">
        <f>4+6+3</f>
        <v>13</v>
      </c>
      <c r="K1013" s="3">
        <v>5</v>
      </c>
      <c r="L1013" s="3">
        <v>0</v>
      </c>
      <c r="M1013" s="3">
        <v>0</v>
      </c>
      <c r="N1013" s="3">
        <v>0</v>
      </c>
      <c r="O1013" s="3">
        <f t="shared" si="190"/>
        <v>18</v>
      </c>
      <c r="P1013" s="3">
        <v>7</v>
      </c>
      <c r="Q1013" s="3">
        <v>5</v>
      </c>
      <c r="R1013" s="3">
        <v>7</v>
      </c>
      <c r="S1013" s="3">
        <v>6</v>
      </c>
      <c r="T1013" s="3">
        <v>2</v>
      </c>
      <c r="U1013" s="3">
        <f t="shared" si="200"/>
        <v>27</v>
      </c>
      <c r="V1013" s="13">
        <f t="shared" si="191"/>
        <v>0.66666666666666663</v>
      </c>
      <c r="W1013" s="13">
        <f t="shared" si="203"/>
        <v>0.66666666666666663</v>
      </c>
      <c r="X1013" s="3">
        <f t="shared" si="192"/>
        <v>27</v>
      </c>
      <c r="Y1013" s="3">
        <f t="shared" si="204"/>
        <v>2.0512820512820513E-2</v>
      </c>
      <c r="Z1013" s="3"/>
      <c r="AA1013" s="3">
        <f t="shared" si="212"/>
        <v>32.5</v>
      </c>
      <c r="AB1013" s="3">
        <v>10</v>
      </c>
      <c r="AC1013" s="3" t="s">
        <v>180</v>
      </c>
      <c r="AD1013" s="3"/>
      <c r="AE1013" s="3">
        <v>20</v>
      </c>
      <c r="AF1013" s="3" t="s">
        <v>151</v>
      </c>
      <c r="AG1013" s="3" t="s">
        <v>337</v>
      </c>
      <c r="AH1013" s="3"/>
    </row>
    <row r="1014" spans="1:34" ht="14.25" customHeight="1" x14ac:dyDescent="0.25">
      <c r="A1014" s="3" t="s">
        <v>133</v>
      </c>
      <c r="B1014" s="3" t="s">
        <v>79</v>
      </c>
      <c r="C1014" s="3"/>
      <c r="D1014" s="3" t="s">
        <v>117</v>
      </c>
      <c r="E1014" s="3">
        <v>1</v>
      </c>
      <c r="F1014" s="3">
        <v>1</v>
      </c>
      <c r="G1014" s="3" t="s">
        <v>1</v>
      </c>
      <c r="H1014" s="11">
        <v>45930</v>
      </c>
      <c r="I1014" s="3" t="s">
        <v>181</v>
      </c>
      <c r="J1014" s="3">
        <f>10+5+7+6</f>
        <v>28</v>
      </c>
      <c r="K1014" s="3">
        <f>8+15+10</f>
        <v>33</v>
      </c>
      <c r="L1014" s="3">
        <f>13+12+10+7+10</f>
        <v>52</v>
      </c>
      <c r="M1014" s="3">
        <f>12+15+13+20</f>
        <v>60</v>
      </c>
      <c r="N1014" s="3">
        <v>11</v>
      </c>
      <c r="O1014" s="3">
        <f t="shared" si="190"/>
        <v>184</v>
      </c>
      <c r="P1014" s="3">
        <v>7</v>
      </c>
      <c r="Q1014" s="3">
        <v>5</v>
      </c>
      <c r="R1014" s="3">
        <v>7</v>
      </c>
      <c r="S1014" s="3">
        <v>6</v>
      </c>
      <c r="T1014" s="3">
        <v>2</v>
      </c>
      <c r="U1014" s="3">
        <f t="shared" si="200"/>
        <v>27</v>
      </c>
      <c r="V1014" s="13">
        <f t="shared" si="191"/>
        <v>6.8148148148148149</v>
      </c>
      <c r="W1014" s="13">
        <f t="shared" si="203"/>
        <v>6.8148148148148149</v>
      </c>
      <c r="X1014" s="3">
        <f t="shared" si="192"/>
        <v>27</v>
      </c>
      <c r="Y1014" s="3">
        <f t="shared" si="204"/>
        <v>2.1807407407407407E-2</v>
      </c>
      <c r="Z1014" s="3"/>
      <c r="AA1014" s="3">
        <f t="shared" ref="AA1014:AA1020" si="213">25*2.5*5</f>
        <v>312.5</v>
      </c>
      <c r="AB1014" s="3">
        <v>10</v>
      </c>
      <c r="AC1014" s="3" t="s">
        <v>180</v>
      </c>
      <c r="AD1014" s="3"/>
      <c r="AE1014" s="3">
        <v>20</v>
      </c>
      <c r="AF1014" s="3" t="s">
        <v>151</v>
      </c>
      <c r="AG1014" s="3" t="s">
        <v>338</v>
      </c>
      <c r="AH1014" s="3"/>
    </row>
    <row r="1015" spans="1:34" ht="14.25" customHeight="1" x14ac:dyDescent="0.25">
      <c r="A1015" s="3" t="s">
        <v>133</v>
      </c>
      <c r="B1015" s="3" t="s">
        <v>79</v>
      </c>
      <c r="C1015" s="3"/>
      <c r="D1015" s="3" t="s">
        <v>117</v>
      </c>
      <c r="E1015" s="3">
        <v>1</v>
      </c>
      <c r="F1015" s="3">
        <v>1</v>
      </c>
      <c r="G1015" s="3" t="s">
        <v>3</v>
      </c>
      <c r="H1015" s="11">
        <v>45930</v>
      </c>
      <c r="I1015" s="3" t="s">
        <v>181</v>
      </c>
      <c r="J1015" s="3">
        <f>8+6+7+8</f>
        <v>29</v>
      </c>
      <c r="K1015" s="3">
        <f>10+7+6+5</f>
        <v>28</v>
      </c>
      <c r="L1015" s="3">
        <f>4+3+8+10</f>
        <v>25</v>
      </c>
      <c r="M1015" s="3">
        <f>5+7+10+15</f>
        <v>37</v>
      </c>
      <c r="N1015" s="3">
        <f>12+10</f>
        <v>22</v>
      </c>
      <c r="O1015" s="3">
        <f t="shared" si="190"/>
        <v>141</v>
      </c>
      <c r="P1015" s="3">
        <v>7</v>
      </c>
      <c r="Q1015" s="3">
        <v>5</v>
      </c>
      <c r="R1015" s="3">
        <v>7</v>
      </c>
      <c r="S1015" s="3">
        <v>6</v>
      </c>
      <c r="T1015" s="3">
        <v>2</v>
      </c>
      <c r="U1015" s="3">
        <f t="shared" si="200"/>
        <v>27</v>
      </c>
      <c r="V1015" s="13">
        <f t="shared" si="191"/>
        <v>5.2222222222222223</v>
      </c>
      <c r="W1015" s="13">
        <f t="shared" si="203"/>
        <v>5.2222222222222223</v>
      </c>
      <c r="X1015" s="3">
        <f t="shared" si="192"/>
        <v>27</v>
      </c>
      <c r="Y1015" s="3">
        <f t="shared" si="204"/>
        <v>1.6711111111111111E-2</v>
      </c>
      <c r="Z1015" s="3"/>
      <c r="AA1015" s="3">
        <f t="shared" si="213"/>
        <v>312.5</v>
      </c>
      <c r="AB1015" s="3">
        <v>10</v>
      </c>
      <c r="AC1015" s="3" t="s">
        <v>180</v>
      </c>
      <c r="AD1015" s="3"/>
      <c r="AE1015" s="3">
        <v>20</v>
      </c>
      <c r="AF1015" s="3" t="s">
        <v>151</v>
      </c>
      <c r="AG1015" s="3" t="s">
        <v>338</v>
      </c>
      <c r="AH1015" s="3"/>
    </row>
    <row r="1016" spans="1:34" ht="14.25" customHeight="1" x14ac:dyDescent="0.25">
      <c r="A1016" s="3" t="s">
        <v>133</v>
      </c>
      <c r="B1016" s="3" t="s">
        <v>79</v>
      </c>
      <c r="C1016" s="3"/>
      <c r="D1016" s="3" t="s">
        <v>117</v>
      </c>
      <c r="E1016" s="3">
        <v>1</v>
      </c>
      <c r="F1016" s="3">
        <v>1</v>
      </c>
      <c r="G1016" s="3" t="s">
        <v>2</v>
      </c>
      <c r="H1016" s="11">
        <v>45930</v>
      </c>
      <c r="I1016" s="3" t="s">
        <v>181</v>
      </c>
      <c r="J1016" s="3">
        <f>6+4+7+6</f>
        <v>23</v>
      </c>
      <c r="K1016" s="3">
        <f>6+4</f>
        <v>10</v>
      </c>
      <c r="L1016" s="3">
        <f>7+6+7</f>
        <v>20</v>
      </c>
      <c r="M1016" s="3">
        <f>12+6+5</f>
        <v>23</v>
      </c>
      <c r="N1016" s="3">
        <v>0</v>
      </c>
      <c r="O1016" s="3">
        <f t="shared" si="190"/>
        <v>76</v>
      </c>
      <c r="P1016" s="3">
        <v>7</v>
      </c>
      <c r="Q1016" s="3">
        <v>5</v>
      </c>
      <c r="R1016" s="3">
        <v>7</v>
      </c>
      <c r="S1016" s="3">
        <v>6</v>
      </c>
      <c r="T1016" s="3">
        <v>2</v>
      </c>
      <c r="U1016" s="3">
        <f t="shared" si="200"/>
        <v>27</v>
      </c>
      <c r="V1016" s="13">
        <f t="shared" si="191"/>
        <v>2.8148148148148149</v>
      </c>
      <c r="W1016" s="13">
        <f t="shared" si="203"/>
        <v>2.8148148148148149</v>
      </c>
      <c r="X1016" s="3">
        <f t="shared" si="192"/>
        <v>27</v>
      </c>
      <c r="Y1016" s="3">
        <f t="shared" si="204"/>
        <v>9.0074074074074084E-3</v>
      </c>
      <c r="Z1016" s="3"/>
      <c r="AA1016" s="3">
        <f t="shared" si="213"/>
        <v>312.5</v>
      </c>
      <c r="AB1016" s="3">
        <v>10</v>
      </c>
      <c r="AC1016" s="3" t="s">
        <v>180</v>
      </c>
      <c r="AD1016" s="3"/>
      <c r="AE1016" s="3">
        <v>20</v>
      </c>
      <c r="AF1016" s="3" t="s">
        <v>151</v>
      </c>
      <c r="AG1016" s="3" t="s">
        <v>338</v>
      </c>
      <c r="AH1016" s="3"/>
    </row>
    <row r="1017" spans="1:34" ht="14.25" customHeight="1" x14ac:dyDescent="0.25">
      <c r="A1017" s="3" t="s">
        <v>133</v>
      </c>
      <c r="B1017" s="3" t="s">
        <v>79</v>
      </c>
      <c r="C1017" s="3"/>
      <c r="D1017" s="3" t="s">
        <v>117</v>
      </c>
      <c r="E1017" s="3">
        <v>1</v>
      </c>
      <c r="F1017" s="3">
        <v>1</v>
      </c>
      <c r="G1017" s="3" t="s">
        <v>14</v>
      </c>
      <c r="H1017" s="11">
        <v>45930</v>
      </c>
      <c r="I1017" s="3" t="s">
        <v>181</v>
      </c>
      <c r="J1017" s="3">
        <v>0</v>
      </c>
      <c r="K1017" s="3">
        <v>0</v>
      </c>
      <c r="L1017" s="3">
        <v>3</v>
      </c>
      <c r="M1017" s="3">
        <f>6+4+3</f>
        <v>13</v>
      </c>
      <c r="N1017" s="3">
        <v>0</v>
      </c>
      <c r="O1017" s="3">
        <f t="shared" si="190"/>
        <v>16</v>
      </c>
      <c r="P1017" s="3">
        <v>7</v>
      </c>
      <c r="Q1017" s="3">
        <v>5</v>
      </c>
      <c r="R1017" s="3">
        <v>7</v>
      </c>
      <c r="S1017" s="3">
        <v>6</v>
      </c>
      <c r="T1017" s="3">
        <v>2</v>
      </c>
      <c r="U1017" s="3">
        <f t="shared" si="200"/>
        <v>27</v>
      </c>
      <c r="V1017" s="13">
        <f t="shared" si="191"/>
        <v>0.59259259259259256</v>
      </c>
      <c r="W1017" s="13">
        <f t="shared" si="203"/>
        <v>0.59259259259259256</v>
      </c>
      <c r="X1017" s="3">
        <f t="shared" si="192"/>
        <v>27</v>
      </c>
      <c r="Y1017" s="3">
        <f t="shared" si="204"/>
        <v>1.8962962962962961E-3</v>
      </c>
      <c r="Z1017" s="3"/>
      <c r="AA1017" s="3">
        <f t="shared" si="213"/>
        <v>312.5</v>
      </c>
      <c r="AB1017" s="3">
        <v>10</v>
      </c>
      <c r="AC1017" s="3" t="s">
        <v>180</v>
      </c>
      <c r="AD1017" s="3"/>
      <c r="AE1017" s="3">
        <v>20</v>
      </c>
      <c r="AF1017" s="3" t="s">
        <v>151</v>
      </c>
      <c r="AG1017" s="3" t="s">
        <v>338</v>
      </c>
      <c r="AH1017" s="3"/>
    </row>
    <row r="1018" spans="1:34" ht="14.25" customHeight="1" x14ac:dyDescent="0.25">
      <c r="A1018" s="3" t="s">
        <v>133</v>
      </c>
      <c r="B1018" s="3" t="s">
        <v>79</v>
      </c>
      <c r="C1018" s="3"/>
      <c r="D1018" s="3" t="s">
        <v>117</v>
      </c>
      <c r="E1018" s="3">
        <v>1</v>
      </c>
      <c r="F1018" s="3">
        <v>1</v>
      </c>
      <c r="G1018" s="3" t="s">
        <v>16</v>
      </c>
      <c r="H1018" s="11">
        <v>45930</v>
      </c>
      <c r="I1018" s="3" t="s">
        <v>181</v>
      </c>
      <c r="J1018" s="3">
        <f>4+6+5+3</f>
        <v>18</v>
      </c>
      <c r="K1018" s="3">
        <f>4+6</f>
        <v>10</v>
      </c>
      <c r="L1018" s="3">
        <v>5</v>
      </c>
      <c r="M1018" s="3">
        <v>0</v>
      </c>
      <c r="N1018" s="3">
        <v>0</v>
      </c>
      <c r="O1018" s="3">
        <f t="shared" si="190"/>
        <v>33</v>
      </c>
      <c r="P1018" s="3">
        <v>7</v>
      </c>
      <c r="Q1018" s="3">
        <v>5</v>
      </c>
      <c r="R1018" s="3">
        <v>7</v>
      </c>
      <c r="S1018" s="3">
        <v>6</v>
      </c>
      <c r="T1018" s="3">
        <v>2</v>
      </c>
      <c r="U1018" s="3">
        <f t="shared" si="200"/>
        <v>27</v>
      </c>
      <c r="V1018" s="13">
        <f t="shared" si="191"/>
        <v>1.2222222222222223</v>
      </c>
      <c r="W1018" s="13">
        <f t="shared" si="203"/>
        <v>1.2222222222222223</v>
      </c>
      <c r="X1018" s="3">
        <f t="shared" si="192"/>
        <v>27</v>
      </c>
      <c r="Y1018" s="3">
        <f t="shared" si="204"/>
        <v>3.9111111111111117E-3</v>
      </c>
      <c r="Z1018" s="3"/>
      <c r="AA1018" s="3">
        <f t="shared" si="213"/>
        <v>312.5</v>
      </c>
      <c r="AB1018" s="3">
        <v>10</v>
      </c>
      <c r="AC1018" s="3" t="s">
        <v>180</v>
      </c>
      <c r="AD1018" s="3"/>
      <c r="AE1018" s="3">
        <v>20</v>
      </c>
      <c r="AF1018" s="3" t="s">
        <v>151</v>
      </c>
      <c r="AG1018" s="3" t="s">
        <v>338</v>
      </c>
      <c r="AH1018" s="3"/>
    </row>
    <row r="1019" spans="1:34" ht="14.25" customHeight="1" x14ac:dyDescent="0.25">
      <c r="A1019" s="3" t="s">
        <v>133</v>
      </c>
      <c r="B1019" s="3" t="s">
        <v>79</v>
      </c>
      <c r="C1019" s="3"/>
      <c r="D1019" s="3" t="s">
        <v>117</v>
      </c>
      <c r="E1019" s="3">
        <v>1</v>
      </c>
      <c r="F1019" s="3">
        <v>1</v>
      </c>
      <c r="G1019" s="3" t="s">
        <v>25</v>
      </c>
      <c r="H1019" s="11">
        <v>45930</v>
      </c>
      <c r="I1019" s="3" t="s">
        <v>181</v>
      </c>
      <c r="J1019" s="3">
        <v>0</v>
      </c>
      <c r="K1019" s="3">
        <v>0</v>
      </c>
      <c r="L1019" s="3">
        <v>10</v>
      </c>
      <c r="M1019" s="3">
        <f>16+19</f>
        <v>35</v>
      </c>
      <c r="N1019" s="3">
        <v>0</v>
      </c>
      <c r="O1019" s="3">
        <f t="shared" si="190"/>
        <v>45</v>
      </c>
      <c r="P1019" s="3">
        <v>7</v>
      </c>
      <c r="Q1019" s="3">
        <v>5</v>
      </c>
      <c r="R1019" s="3">
        <v>7</v>
      </c>
      <c r="S1019" s="3">
        <v>6</v>
      </c>
      <c r="T1019" s="3">
        <v>2</v>
      </c>
      <c r="U1019" s="3">
        <f t="shared" si="200"/>
        <v>27</v>
      </c>
      <c r="V1019" s="13">
        <f t="shared" si="191"/>
        <v>1.6666666666666667</v>
      </c>
      <c r="W1019" s="13">
        <f t="shared" si="203"/>
        <v>1.6666666666666667</v>
      </c>
      <c r="X1019" s="3">
        <f t="shared" si="192"/>
        <v>27</v>
      </c>
      <c r="Y1019" s="3">
        <f t="shared" si="204"/>
        <v>5.3333333333333332E-3</v>
      </c>
      <c r="Z1019" s="3"/>
      <c r="AA1019" s="3">
        <f t="shared" si="213"/>
        <v>312.5</v>
      </c>
      <c r="AB1019" s="3">
        <v>10</v>
      </c>
      <c r="AC1019" s="3" t="s">
        <v>180</v>
      </c>
      <c r="AD1019" s="3"/>
      <c r="AE1019" s="3">
        <v>20</v>
      </c>
      <c r="AF1019" s="3" t="s">
        <v>151</v>
      </c>
      <c r="AG1019" s="3" t="s">
        <v>338</v>
      </c>
      <c r="AH1019" s="3"/>
    </row>
    <row r="1020" spans="1:34" ht="14.25" customHeight="1" x14ac:dyDescent="0.25">
      <c r="A1020" s="3" t="s">
        <v>133</v>
      </c>
      <c r="B1020" s="3" t="s">
        <v>79</v>
      </c>
      <c r="C1020" s="3"/>
      <c r="D1020" s="3" t="s">
        <v>117</v>
      </c>
      <c r="E1020" s="3">
        <v>1</v>
      </c>
      <c r="F1020" s="3">
        <v>1</v>
      </c>
      <c r="G1020" s="3" t="s">
        <v>22</v>
      </c>
      <c r="H1020" s="11">
        <v>45930</v>
      </c>
      <c r="I1020" s="3" t="s">
        <v>181</v>
      </c>
      <c r="J1020" s="3">
        <f>4+6+3</f>
        <v>13</v>
      </c>
      <c r="K1020" s="3">
        <v>5</v>
      </c>
      <c r="L1020" s="3">
        <v>0</v>
      </c>
      <c r="M1020" s="3">
        <v>0</v>
      </c>
      <c r="N1020" s="3">
        <v>0</v>
      </c>
      <c r="O1020" s="3">
        <f t="shared" si="190"/>
        <v>18</v>
      </c>
      <c r="P1020" s="3">
        <v>7</v>
      </c>
      <c r="Q1020" s="3">
        <v>5</v>
      </c>
      <c r="R1020" s="3">
        <v>7</v>
      </c>
      <c r="S1020" s="3">
        <v>6</v>
      </c>
      <c r="T1020" s="3">
        <v>2</v>
      </c>
      <c r="U1020" s="3">
        <f t="shared" si="200"/>
        <v>27</v>
      </c>
      <c r="V1020" s="13">
        <f t="shared" si="191"/>
        <v>0.66666666666666663</v>
      </c>
      <c r="W1020" s="13">
        <f t="shared" si="203"/>
        <v>0.66666666666666663</v>
      </c>
      <c r="X1020" s="3">
        <f t="shared" si="192"/>
        <v>27</v>
      </c>
      <c r="Y1020" s="3">
        <f t="shared" si="204"/>
        <v>2.133333333333333E-3</v>
      </c>
      <c r="Z1020" s="3"/>
      <c r="AA1020" s="3">
        <f t="shared" si="213"/>
        <v>312.5</v>
      </c>
      <c r="AB1020" s="3">
        <v>10</v>
      </c>
      <c r="AC1020" s="3" t="s">
        <v>180</v>
      </c>
      <c r="AD1020" s="3"/>
      <c r="AE1020" s="3">
        <v>20</v>
      </c>
      <c r="AF1020" s="3" t="s">
        <v>151</v>
      </c>
      <c r="AG1020" s="3" t="s">
        <v>338</v>
      </c>
      <c r="AH1020" s="3"/>
    </row>
    <row r="1021" spans="1:34" ht="14.25" customHeight="1" x14ac:dyDescent="0.25">
      <c r="A1021" s="3" t="s">
        <v>132</v>
      </c>
      <c r="B1021" s="3" t="s">
        <v>79</v>
      </c>
      <c r="C1021" s="3"/>
      <c r="D1021" s="3" t="s">
        <v>117</v>
      </c>
      <c r="E1021" s="3">
        <v>1</v>
      </c>
      <c r="F1021" s="3">
        <v>1</v>
      </c>
      <c r="G1021" s="3" t="s">
        <v>2</v>
      </c>
      <c r="H1021" s="11">
        <v>45930</v>
      </c>
      <c r="I1021" s="3" t="s">
        <v>181</v>
      </c>
      <c r="J1021" s="3"/>
      <c r="K1021" s="3"/>
      <c r="L1021" s="3"/>
      <c r="M1021" s="3"/>
      <c r="N1021" s="3"/>
      <c r="O1021" s="3">
        <v>35</v>
      </c>
      <c r="P1021" s="3"/>
      <c r="Q1021" s="3"/>
      <c r="R1021" s="3"/>
      <c r="S1021" s="3"/>
      <c r="T1021" s="3"/>
      <c r="U1021" s="3"/>
      <c r="V1021" s="13" t="e">
        <f t="shared" si="191"/>
        <v>#DIV/0!</v>
      </c>
      <c r="W1021" s="13" t="e">
        <f t="shared" si="203"/>
        <v>#DIV/0!</v>
      </c>
      <c r="X1021" s="3">
        <f t="shared" si="192"/>
        <v>0</v>
      </c>
      <c r="Y1021" s="3" t="e">
        <f t="shared" si="204"/>
        <v>#DIV/0!</v>
      </c>
      <c r="Z1021" s="3"/>
      <c r="AA1021" s="3"/>
      <c r="AB1021" s="3">
        <v>120</v>
      </c>
      <c r="AC1021" s="3" t="s">
        <v>180</v>
      </c>
      <c r="AD1021" s="3" t="s">
        <v>83</v>
      </c>
      <c r="AE1021" s="3">
        <v>15</v>
      </c>
      <c r="AF1021" s="3" t="s">
        <v>151</v>
      </c>
      <c r="AG1021" s="3" t="s">
        <v>260</v>
      </c>
      <c r="AH1021" s="3"/>
    </row>
    <row r="1022" spans="1:34" ht="14.25" customHeight="1" x14ac:dyDescent="0.25">
      <c r="A1022" s="3" t="s">
        <v>132</v>
      </c>
      <c r="B1022" s="3" t="s">
        <v>79</v>
      </c>
      <c r="C1022" s="3"/>
      <c r="D1022" s="3" t="s">
        <v>117</v>
      </c>
      <c r="E1022" s="3">
        <v>1</v>
      </c>
      <c r="F1022" s="3">
        <v>1</v>
      </c>
      <c r="G1022" s="3" t="s">
        <v>14</v>
      </c>
      <c r="H1022" s="11">
        <v>45930</v>
      </c>
      <c r="I1022" s="3" t="s">
        <v>181</v>
      </c>
      <c r="J1022" s="3"/>
      <c r="K1022" s="3"/>
      <c r="L1022" s="3"/>
      <c r="M1022" s="3"/>
      <c r="N1022" s="3"/>
      <c r="O1022" s="3">
        <v>28</v>
      </c>
      <c r="P1022" s="3"/>
      <c r="Q1022" s="3"/>
      <c r="R1022" s="3"/>
      <c r="S1022" s="3"/>
      <c r="T1022" s="3"/>
      <c r="U1022" s="3"/>
      <c r="V1022" s="13" t="e">
        <f t="shared" si="191"/>
        <v>#DIV/0!</v>
      </c>
      <c r="W1022" s="13" t="e">
        <f t="shared" si="203"/>
        <v>#DIV/0!</v>
      </c>
      <c r="X1022" s="3">
        <f t="shared" si="192"/>
        <v>0</v>
      </c>
      <c r="Y1022" s="3" t="e">
        <f t="shared" si="204"/>
        <v>#DIV/0!</v>
      </c>
      <c r="Z1022" s="3"/>
      <c r="AA1022" s="3"/>
      <c r="AB1022" s="3">
        <v>120</v>
      </c>
      <c r="AC1022" s="3" t="s">
        <v>180</v>
      </c>
      <c r="AD1022" s="3" t="s">
        <v>83</v>
      </c>
      <c r="AE1022" s="3">
        <v>15</v>
      </c>
      <c r="AF1022" s="3" t="s">
        <v>151</v>
      </c>
      <c r="AG1022" s="3" t="s">
        <v>260</v>
      </c>
      <c r="AH1022" s="3"/>
    </row>
    <row r="1023" spans="1:34" ht="14.25" customHeight="1" x14ac:dyDescent="0.25">
      <c r="A1023" s="3" t="s">
        <v>132</v>
      </c>
      <c r="B1023" s="3" t="s">
        <v>79</v>
      </c>
      <c r="C1023" s="3"/>
      <c r="D1023" s="3" t="s">
        <v>117</v>
      </c>
      <c r="E1023" s="3">
        <v>1</v>
      </c>
      <c r="F1023" s="3">
        <v>1</v>
      </c>
      <c r="G1023" s="3" t="s">
        <v>25</v>
      </c>
      <c r="H1023" s="11">
        <v>45930</v>
      </c>
      <c r="I1023" s="3" t="s">
        <v>181</v>
      </c>
      <c r="J1023" s="3"/>
      <c r="K1023" s="3"/>
      <c r="L1023" s="3"/>
      <c r="M1023" s="3"/>
      <c r="N1023" s="3"/>
      <c r="O1023" s="3">
        <v>85</v>
      </c>
      <c r="P1023" s="3"/>
      <c r="Q1023" s="3"/>
      <c r="R1023" s="3"/>
      <c r="S1023" s="3"/>
      <c r="T1023" s="3"/>
      <c r="U1023" s="3"/>
      <c r="V1023" s="13" t="e">
        <f t="shared" si="191"/>
        <v>#DIV/0!</v>
      </c>
      <c r="W1023" s="13" t="e">
        <f t="shared" si="203"/>
        <v>#DIV/0!</v>
      </c>
      <c r="X1023" s="3">
        <f t="shared" si="192"/>
        <v>0</v>
      </c>
      <c r="Y1023" s="3" t="e">
        <f t="shared" si="204"/>
        <v>#DIV/0!</v>
      </c>
      <c r="Z1023" s="3"/>
      <c r="AA1023" s="3"/>
      <c r="AB1023" s="3">
        <v>120</v>
      </c>
      <c r="AC1023" s="3" t="s">
        <v>180</v>
      </c>
      <c r="AD1023" s="3" t="s">
        <v>83</v>
      </c>
      <c r="AE1023" s="3">
        <v>15</v>
      </c>
      <c r="AF1023" s="3" t="s">
        <v>151</v>
      </c>
      <c r="AG1023" s="3" t="s">
        <v>260</v>
      </c>
      <c r="AH1023" s="3"/>
    </row>
    <row r="1024" spans="1:34" ht="14.25" customHeight="1" x14ac:dyDescent="0.25">
      <c r="A1024" s="3" t="s">
        <v>132</v>
      </c>
      <c r="B1024" s="3" t="s">
        <v>79</v>
      </c>
      <c r="C1024" s="3"/>
      <c r="D1024" s="3" t="s">
        <v>117</v>
      </c>
      <c r="E1024" s="3">
        <v>1</v>
      </c>
      <c r="F1024" s="3">
        <v>1</v>
      </c>
      <c r="G1024" s="3" t="s">
        <v>15</v>
      </c>
      <c r="H1024" s="11">
        <v>45930</v>
      </c>
      <c r="I1024" s="3" t="s">
        <v>181</v>
      </c>
      <c r="J1024" s="3"/>
      <c r="K1024" s="3"/>
      <c r="L1024" s="3"/>
      <c r="M1024" s="3"/>
      <c r="N1024" s="3"/>
      <c r="O1024" s="3">
        <v>61</v>
      </c>
      <c r="P1024" s="3"/>
      <c r="Q1024" s="3"/>
      <c r="R1024" s="3"/>
      <c r="S1024" s="3"/>
      <c r="T1024" s="3"/>
      <c r="U1024" s="3"/>
      <c r="V1024" s="13" t="e">
        <f t="shared" si="191"/>
        <v>#DIV/0!</v>
      </c>
      <c r="W1024" s="13" t="e">
        <f t="shared" si="203"/>
        <v>#DIV/0!</v>
      </c>
      <c r="X1024" s="3">
        <f t="shared" si="192"/>
        <v>0</v>
      </c>
      <c r="Y1024" s="3" t="e">
        <f t="shared" si="204"/>
        <v>#DIV/0!</v>
      </c>
      <c r="Z1024" s="3"/>
      <c r="AA1024" s="3"/>
      <c r="AB1024" s="3">
        <v>120</v>
      </c>
      <c r="AC1024" s="3" t="s">
        <v>180</v>
      </c>
      <c r="AD1024" s="3" t="s">
        <v>83</v>
      </c>
      <c r="AE1024" s="3">
        <v>15</v>
      </c>
      <c r="AF1024" s="3" t="s">
        <v>151</v>
      </c>
      <c r="AG1024" s="3" t="s">
        <v>260</v>
      </c>
      <c r="AH1024" s="3"/>
    </row>
    <row r="1025" spans="1:34" ht="14.25" customHeight="1" x14ac:dyDescent="0.25">
      <c r="A1025" s="3" t="s">
        <v>127</v>
      </c>
      <c r="B1025" s="3" t="s">
        <v>79</v>
      </c>
      <c r="C1025" s="3"/>
      <c r="D1025" s="3" t="s">
        <v>117</v>
      </c>
      <c r="E1025" s="3">
        <v>1</v>
      </c>
      <c r="F1025" s="3">
        <v>1</v>
      </c>
      <c r="G1025" s="3" t="s">
        <v>2</v>
      </c>
      <c r="H1025" s="11">
        <v>45930</v>
      </c>
      <c r="I1025" s="3" t="s">
        <v>181</v>
      </c>
      <c r="J1025" s="3"/>
      <c r="K1025" s="3"/>
      <c r="L1025" s="3"/>
      <c r="M1025" s="3"/>
      <c r="N1025" s="3"/>
      <c r="O1025" s="3">
        <v>40</v>
      </c>
      <c r="P1025" s="3"/>
      <c r="Q1025" s="3"/>
      <c r="R1025" s="3"/>
      <c r="S1025" s="3"/>
      <c r="T1025" s="3"/>
      <c r="U1025" s="3"/>
      <c r="V1025" s="13" t="e">
        <f t="shared" si="191"/>
        <v>#DIV/0!</v>
      </c>
      <c r="W1025" s="13" t="e">
        <f t="shared" si="203"/>
        <v>#DIV/0!</v>
      </c>
      <c r="X1025" s="3">
        <f t="shared" si="192"/>
        <v>0</v>
      </c>
      <c r="Y1025" s="3" t="e">
        <f t="shared" si="204"/>
        <v>#DIV/0!</v>
      </c>
      <c r="Z1025" s="3"/>
      <c r="AA1025" s="3"/>
      <c r="AB1025" s="3">
        <v>90</v>
      </c>
      <c r="AC1025" s="3" t="s">
        <v>180</v>
      </c>
      <c r="AD1025" s="3" t="s">
        <v>83</v>
      </c>
      <c r="AE1025" s="3">
        <v>15</v>
      </c>
      <c r="AF1025" s="3" t="s">
        <v>151</v>
      </c>
      <c r="AG1025" s="3" t="s">
        <v>260</v>
      </c>
      <c r="AH1025" s="3"/>
    </row>
    <row r="1026" spans="1:34" ht="14.25" customHeight="1" x14ac:dyDescent="0.25">
      <c r="A1026" s="3" t="s">
        <v>127</v>
      </c>
      <c r="B1026" s="3" t="s">
        <v>79</v>
      </c>
      <c r="C1026" s="3"/>
      <c r="D1026" s="3" t="s">
        <v>117</v>
      </c>
      <c r="E1026" s="3">
        <v>1</v>
      </c>
      <c r="F1026" s="3">
        <v>1</v>
      </c>
      <c r="G1026" s="3" t="s">
        <v>14</v>
      </c>
      <c r="H1026" s="11">
        <v>45930</v>
      </c>
      <c r="I1026" s="3" t="s">
        <v>181</v>
      </c>
      <c r="J1026" s="3"/>
      <c r="K1026" s="3"/>
      <c r="L1026" s="3"/>
      <c r="M1026" s="3"/>
      <c r="N1026" s="3"/>
      <c r="O1026" s="3">
        <v>90</v>
      </c>
      <c r="P1026" s="3"/>
      <c r="Q1026" s="3"/>
      <c r="R1026" s="3"/>
      <c r="S1026" s="3"/>
      <c r="T1026" s="3"/>
      <c r="U1026" s="3"/>
      <c r="V1026" s="13" t="e">
        <f t="shared" si="191"/>
        <v>#DIV/0!</v>
      </c>
      <c r="W1026" s="13" t="e">
        <f t="shared" si="203"/>
        <v>#DIV/0!</v>
      </c>
      <c r="X1026" s="3">
        <f t="shared" si="192"/>
        <v>0</v>
      </c>
      <c r="Y1026" s="3" t="e">
        <f t="shared" si="204"/>
        <v>#DIV/0!</v>
      </c>
      <c r="Z1026" s="3"/>
      <c r="AA1026" s="3"/>
      <c r="AB1026" s="3">
        <v>90</v>
      </c>
      <c r="AC1026" s="3" t="s">
        <v>180</v>
      </c>
      <c r="AD1026" s="3" t="s">
        <v>83</v>
      </c>
      <c r="AE1026" s="3">
        <v>15</v>
      </c>
      <c r="AF1026" s="3" t="s">
        <v>151</v>
      </c>
      <c r="AG1026" s="3" t="s">
        <v>260</v>
      </c>
      <c r="AH1026" s="3"/>
    </row>
    <row r="1027" spans="1:34" ht="14.25" customHeight="1" x14ac:dyDescent="0.25">
      <c r="A1027" s="3" t="s">
        <v>127</v>
      </c>
      <c r="B1027" s="3" t="s">
        <v>79</v>
      </c>
      <c r="C1027" s="3"/>
      <c r="D1027" s="3" t="s">
        <v>117</v>
      </c>
      <c r="E1027" s="3">
        <v>1</v>
      </c>
      <c r="F1027" s="3">
        <v>1</v>
      </c>
      <c r="G1027" s="3" t="s">
        <v>25</v>
      </c>
      <c r="H1027" s="11">
        <v>45930</v>
      </c>
      <c r="I1027" s="3" t="s">
        <v>181</v>
      </c>
      <c r="J1027" s="3"/>
      <c r="K1027" s="3"/>
      <c r="L1027" s="3"/>
      <c r="M1027" s="3"/>
      <c r="N1027" s="3"/>
      <c r="O1027" s="3">
        <v>80</v>
      </c>
      <c r="P1027" s="3"/>
      <c r="Q1027" s="3"/>
      <c r="R1027" s="3"/>
      <c r="S1027" s="3"/>
      <c r="T1027" s="3"/>
      <c r="U1027" s="3"/>
      <c r="V1027" s="13" t="e">
        <f t="shared" si="191"/>
        <v>#DIV/0!</v>
      </c>
      <c r="W1027" s="13" t="e">
        <f t="shared" ref="W1027:W1090" si="214">O1027/U1027/F1027</f>
        <v>#DIV/0!</v>
      </c>
      <c r="X1027" s="3">
        <f t="shared" si="192"/>
        <v>0</v>
      </c>
      <c r="Y1027" s="3" t="e">
        <f t="shared" ref="Y1027:Y1090" si="215">O1027/U1027/AA1027</f>
        <v>#DIV/0!</v>
      </c>
      <c r="Z1027" s="3"/>
      <c r="AA1027" s="3"/>
      <c r="AB1027" s="3">
        <v>90</v>
      </c>
      <c r="AC1027" s="3" t="s">
        <v>180</v>
      </c>
      <c r="AD1027" s="3" t="s">
        <v>83</v>
      </c>
      <c r="AE1027" s="3">
        <v>15</v>
      </c>
      <c r="AF1027" s="3" t="s">
        <v>151</v>
      </c>
      <c r="AG1027" s="3" t="s">
        <v>260</v>
      </c>
      <c r="AH1027" s="3"/>
    </row>
    <row r="1028" spans="1:34" ht="14.25" customHeight="1" x14ac:dyDescent="0.25">
      <c r="A1028" s="3" t="s">
        <v>127</v>
      </c>
      <c r="B1028" s="3" t="s">
        <v>79</v>
      </c>
      <c r="C1028" s="3"/>
      <c r="D1028" s="3" t="s">
        <v>117</v>
      </c>
      <c r="E1028" s="3">
        <v>1</v>
      </c>
      <c r="F1028" s="3">
        <v>1</v>
      </c>
      <c r="G1028" s="3" t="s">
        <v>15</v>
      </c>
      <c r="H1028" s="11">
        <v>45930</v>
      </c>
      <c r="I1028" s="3" t="s">
        <v>181</v>
      </c>
      <c r="J1028" s="3"/>
      <c r="K1028" s="3"/>
      <c r="L1028" s="3"/>
      <c r="M1028" s="3"/>
      <c r="N1028" s="3"/>
      <c r="O1028" s="3">
        <v>105</v>
      </c>
      <c r="P1028" s="3"/>
      <c r="Q1028" s="3"/>
      <c r="R1028" s="3"/>
      <c r="S1028" s="3"/>
      <c r="T1028" s="3"/>
      <c r="U1028" s="3"/>
      <c r="V1028" s="13" t="e">
        <f t="shared" si="191"/>
        <v>#DIV/0!</v>
      </c>
      <c r="W1028" s="13" t="e">
        <f t="shared" si="214"/>
        <v>#DIV/0!</v>
      </c>
      <c r="X1028" s="3">
        <f t="shared" si="192"/>
        <v>0</v>
      </c>
      <c r="Y1028" s="3" t="e">
        <f t="shared" si="215"/>
        <v>#DIV/0!</v>
      </c>
      <c r="Z1028" s="3"/>
      <c r="AA1028" s="3"/>
      <c r="AB1028" s="3">
        <v>90</v>
      </c>
      <c r="AC1028" s="3" t="s">
        <v>180</v>
      </c>
      <c r="AD1028" s="3" t="s">
        <v>83</v>
      </c>
      <c r="AE1028" s="3">
        <v>15</v>
      </c>
      <c r="AF1028" s="3" t="s">
        <v>151</v>
      </c>
      <c r="AG1028" s="3" t="s">
        <v>260</v>
      </c>
      <c r="AH1028" s="3"/>
    </row>
    <row r="1029" spans="1:34" ht="14.25" customHeight="1" x14ac:dyDescent="0.25">
      <c r="A1029" s="3" t="s">
        <v>114</v>
      </c>
      <c r="B1029" s="3" t="s">
        <v>79</v>
      </c>
      <c r="C1029" s="3"/>
      <c r="D1029" s="3" t="s">
        <v>117</v>
      </c>
      <c r="E1029" s="3">
        <v>1</v>
      </c>
      <c r="F1029" s="3">
        <v>1</v>
      </c>
      <c r="G1029" s="3" t="s">
        <v>1</v>
      </c>
      <c r="H1029" s="11">
        <v>45930</v>
      </c>
      <c r="I1029" s="3" t="s">
        <v>181</v>
      </c>
      <c r="J1029" s="3">
        <v>0</v>
      </c>
      <c r="K1029" s="3">
        <f>8+10</f>
        <v>18</v>
      </c>
      <c r="L1029" s="3">
        <f>9+6</f>
        <v>15</v>
      </c>
      <c r="M1029" s="3">
        <v>7</v>
      </c>
      <c r="N1029" s="3">
        <v>0</v>
      </c>
      <c r="O1029" s="3">
        <f t="shared" ref="O1029:O1035" si="216">SUM(J1029:N1029)</f>
        <v>40</v>
      </c>
      <c r="P1029" s="3">
        <v>2</v>
      </c>
      <c r="Q1029" s="3">
        <v>3</v>
      </c>
      <c r="R1029" s="3">
        <v>2</v>
      </c>
      <c r="S1029" s="3">
        <v>3</v>
      </c>
      <c r="T1029" s="3">
        <v>0</v>
      </c>
      <c r="U1029" s="3">
        <f t="shared" si="200"/>
        <v>10</v>
      </c>
      <c r="V1029" s="13">
        <f t="shared" si="191"/>
        <v>4</v>
      </c>
      <c r="W1029" s="13">
        <f t="shared" si="214"/>
        <v>4</v>
      </c>
      <c r="X1029" s="3">
        <f t="shared" si="192"/>
        <v>10</v>
      </c>
      <c r="Y1029" s="3">
        <f t="shared" si="215"/>
        <v>0.04</v>
      </c>
      <c r="Z1029" s="3"/>
      <c r="AA1029" s="3">
        <f t="shared" ref="AA1029:AA1037" si="217">10*2*5</f>
        <v>100</v>
      </c>
      <c r="AB1029" s="3">
        <v>130</v>
      </c>
      <c r="AC1029" s="3" t="s">
        <v>180</v>
      </c>
      <c r="AD1029" s="3" t="s">
        <v>83</v>
      </c>
      <c r="AE1029" s="3">
        <v>15</v>
      </c>
      <c r="AF1029" s="3" t="s">
        <v>151</v>
      </c>
      <c r="AG1029" s="3" t="s">
        <v>339</v>
      </c>
      <c r="AH1029" s="3"/>
    </row>
    <row r="1030" spans="1:34" ht="14.25" customHeight="1" x14ac:dyDescent="0.25">
      <c r="A1030" s="3" t="s">
        <v>114</v>
      </c>
      <c r="B1030" s="3" t="s">
        <v>79</v>
      </c>
      <c r="C1030" s="3"/>
      <c r="D1030" s="3" t="s">
        <v>117</v>
      </c>
      <c r="E1030" s="3">
        <v>1</v>
      </c>
      <c r="F1030" s="3">
        <v>1</v>
      </c>
      <c r="G1030" s="3" t="s">
        <v>2</v>
      </c>
      <c r="H1030" s="11">
        <v>45930</v>
      </c>
      <c r="I1030" s="3" t="s">
        <v>181</v>
      </c>
      <c r="J1030" s="3">
        <v>0</v>
      </c>
      <c r="K1030" s="3">
        <v>0</v>
      </c>
      <c r="L1030" s="3">
        <v>0</v>
      </c>
      <c r="M1030" s="3">
        <v>6</v>
      </c>
      <c r="N1030" s="3">
        <v>0</v>
      </c>
      <c r="O1030" s="3">
        <f t="shared" si="216"/>
        <v>6</v>
      </c>
      <c r="P1030" s="3">
        <v>2</v>
      </c>
      <c r="Q1030" s="3">
        <v>3</v>
      </c>
      <c r="R1030" s="3">
        <v>2</v>
      </c>
      <c r="S1030" s="3">
        <v>3</v>
      </c>
      <c r="T1030" s="3">
        <v>0</v>
      </c>
      <c r="U1030" s="3">
        <f t="shared" si="200"/>
        <v>10</v>
      </c>
      <c r="V1030" s="13">
        <f t="shared" si="191"/>
        <v>0.6</v>
      </c>
      <c r="W1030" s="13">
        <f t="shared" si="214"/>
        <v>0.6</v>
      </c>
      <c r="X1030" s="3">
        <f t="shared" si="192"/>
        <v>10</v>
      </c>
      <c r="Y1030" s="3">
        <f t="shared" si="215"/>
        <v>6.0000000000000001E-3</v>
      </c>
      <c r="Z1030" s="3"/>
      <c r="AA1030" s="3">
        <f t="shared" si="217"/>
        <v>100</v>
      </c>
      <c r="AB1030" s="3">
        <v>130</v>
      </c>
      <c r="AC1030" s="3" t="s">
        <v>180</v>
      </c>
      <c r="AD1030" s="3" t="s">
        <v>83</v>
      </c>
      <c r="AE1030" s="3">
        <v>15</v>
      </c>
      <c r="AF1030" s="3" t="s">
        <v>151</v>
      </c>
      <c r="AG1030" s="3" t="s">
        <v>339</v>
      </c>
      <c r="AH1030" s="3"/>
    </row>
    <row r="1031" spans="1:34" ht="14.25" customHeight="1" x14ac:dyDescent="0.25">
      <c r="A1031" s="3" t="s">
        <v>114</v>
      </c>
      <c r="B1031" s="3" t="s">
        <v>79</v>
      </c>
      <c r="C1031" s="3"/>
      <c r="D1031" s="3" t="s">
        <v>117</v>
      </c>
      <c r="E1031" s="3">
        <v>1</v>
      </c>
      <c r="F1031" s="3">
        <v>1</v>
      </c>
      <c r="G1031" s="3" t="s">
        <v>9</v>
      </c>
      <c r="H1031" s="11">
        <v>45930</v>
      </c>
      <c r="I1031" s="3" t="s">
        <v>181</v>
      </c>
      <c r="J1031" s="3">
        <v>10</v>
      </c>
      <c r="K1031" s="3">
        <v>0</v>
      </c>
      <c r="L1031" s="3">
        <v>0</v>
      </c>
      <c r="M1031" s="3">
        <v>0</v>
      </c>
      <c r="N1031" s="3">
        <v>0</v>
      </c>
      <c r="O1031" s="3">
        <f t="shared" si="216"/>
        <v>10</v>
      </c>
      <c r="P1031" s="3">
        <v>2</v>
      </c>
      <c r="Q1031" s="3">
        <v>3</v>
      </c>
      <c r="R1031" s="3">
        <v>2</v>
      </c>
      <c r="S1031" s="3">
        <v>3</v>
      </c>
      <c r="T1031" s="3">
        <v>0</v>
      </c>
      <c r="U1031" s="3">
        <f t="shared" si="200"/>
        <v>10</v>
      </c>
      <c r="V1031" s="13">
        <f t="shared" si="191"/>
        <v>1</v>
      </c>
      <c r="W1031" s="13">
        <f t="shared" si="214"/>
        <v>1</v>
      </c>
      <c r="X1031" s="3">
        <f t="shared" si="192"/>
        <v>10</v>
      </c>
      <c r="Y1031" s="3">
        <f t="shared" si="215"/>
        <v>0.01</v>
      </c>
      <c r="Z1031" s="3"/>
      <c r="AA1031" s="3">
        <f t="shared" si="217"/>
        <v>100</v>
      </c>
      <c r="AB1031" s="3">
        <v>130</v>
      </c>
      <c r="AC1031" s="3" t="s">
        <v>180</v>
      </c>
      <c r="AD1031" s="3" t="s">
        <v>83</v>
      </c>
      <c r="AE1031" s="3">
        <v>15</v>
      </c>
      <c r="AF1031" s="3" t="s">
        <v>151</v>
      </c>
      <c r="AG1031" s="3" t="s">
        <v>339</v>
      </c>
      <c r="AH1031" s="3"/>
    </row>
    <row r="1032" spans="1:34" ht="14.25" customHeight="1" x14ac:dyDescent="0.25">
      <c r="A1032" s="3" t="s">
        <v>114</v>
      </c>
      <c r="B1032" s="3" t="s">
        <v>79</v>
      </c>
      <c r="C1032" s="3"/>
      <c r="D1032" s="3" t="s">
        <v>117</v>
      </c>
      <c r="E1032" s="3">
        <v>1</v>
      </c>
      <c r="F1032" s="3">
        <v>1</v>
      </c>
      <c r="G1032" s="3" t="s">
        <v>19</v>
      </c>
      <c r="H1032" s="11">
        <v>45930</v>
      </c>
      <c r="I1032" s="3" t="s">
        <v>181</v>
      </c>
      <c r="J1032" s="3">
        <v>0</v>
      </c>
      <c r="K1032" s="3">
        <v>0</v>
      </c>
      <c r="L1032" s="3">
        <v>0</v>
      </c>
      <c r="M1032" s="3">
        <v>4</v>
      </c>
      <c r="N1032" s="3">
        <v>0</v>
      </c>
      <c r="O1032" s="3">
        <f t="shared" si="216"/>
        <v>4</v>
      </c>
      <c r="P1032" s="3">
        <v>2</v>
      </c>
      <c r="Q1032" s="3">
        <v>3</v>
      </c>
      <c r="R1032" s="3">
        <v>2</v>
      </c>
      <c r="S1032" s="3">
        <v>3</v>
      </c>
      <c r="T1032" s="3">
        <v>0</v>
      </c>
      <c r="U1032" s="3">
        <f t="shared" si="200"/>
        <v>10</v>
      </c>
      <c r="V1032" s="13">
        <f t="shared" si="191"/>
        <v>0.4</v>
      </c>
      <c r="W1032" s="13">
        <f t="shared" si="214"/>
        <v>0.4</v>
      </c>
      <c r="X1032" s="3">
        <f t="shared" si="192"/>
        <v>10</v>
      </c>
      <c r="Y1032" s="3">
        <f t="shared" si="215"/>
        <v>4.0000000000000001E-3</v>
      </c>
      <c r="Z1032" s="3"/>
      <c r="AA1032" s="3">
        <f t="shared" si="217"/>
        <v>100</v>
      </c>
      <c r="AB1032" s="3">
        <v>130</v>
      </c>
      <c r="AC1032" s="3" t="s">
        <v>180</v>
      </c>
      <c r="AD1032" s="3" t="s">
        <v>83</v>
      </c>
      <c r="AE1032" s="3">
        <v>15</v>
      </c>
      <c r="AF1032" s="3" t="s">
        <v>151</v>
      </c>
      <c r="AG1032" s="3" t="s">
        <v>339</v>
      </c>
      <c r="AH1032" s="3"/>
    </row>
    <row r="1033" spans="1:34" ht="14.25" customHeight="1" x14ac:dyDescent="0.25">
      <c r="A1033" s="3" t="s">
        <v>114</v>
      </c>
      <c r="B1033" s="3" t="s">
        <v>79</v>
      </c>
      <c r="C1033" s="3"/>
      <c r="D1033" s="3" t="s">
        <v>117</v>
      </c>
      <c r="E1033" s="3">
        <v>1</v>
      </c>
      <c r="F1033" s="3">
        <v>1</v>
      </c>
      <c r="G1033" s="3" t="s">
        <v>25</v>
      </c>
      <c r="H1033" s="11">
        <v>45930</v>
      </c>
      <c r="I1033" s="3" t="s">
        <v>181</v>
      </c>
      <c r="J1033" s="3">
        <v>0</v>
      </c>
      <c r="K1033" s="3">
        <v>0</v>
      </c>
      <c r="L1033" s="3">
        <v>0</v>
      </c>
      <c r="M1033" s="3">
        <v>8</v>
      </c>
      <c r="N1033" s="3">
        <v>0</v>
      </c>
      <c r="O1033" s="3">
        <f t="shared" si="216"/>
        <v>8</v>
      </c>
      <c r="P1033" s="3">
        <v>2</v>
      </c>
      <c r="Q1033" s="3">
        <v>3</v>
      </c>
      <c r="R1033" s="3">
        <v>2</v>
      </c>
      <c r="S1033" s="3">
        <v>3</v>
      </c>
      <c r="T1033" s="3">
        <v>0</v>
      </c>
      <c r="U1033" s="3">
        <f t="shared" si="200"/>
        <v>10</v>
      </c>
      <c r="V1033" s="13">
        <f t="shared" si="191"/>
        <v>0.8</v>
      </c>
      <c r="W1033" s="13">
        <f t="shared" si="214"/>
        <v>0.8</v>
      </c>
      <c r="X1033" s="3">
        <f t="shared" si="192"/>
        <v>10</v>
      </c>
      <c r="Y1033" s="3">
        <f t="shared" si="215"/>
        <v>8.0000000000000002E-3</v>
      </c>
      <c r="Z1033" s="3"/>
      <c r="AA1033" s="3">
        <f t="shared" si="217"/>
        <v>100</v>
      </c>
      <c r="AB1033" s="3">
        <v>130</v>
      </c>
      <c r="AC1033" s="3" t="s">
        <v>180</v>
      </c>
      <c r="AD1033" s="3" t="s">
        <v>83</v>
      </c>
      <c r="AE1033" s="3">
        <v>15</v>
      </c>
      <c r="AF1033" s="3" t="s">
        <v>151</v>
      </c>
      <c r="AG1033" s="3" t="s">
        <v>339</v>
      </c>
      <c r="AH1033" s="3"/>
    </row>
    <row r="1034" spans="1:34" ht="14.25" customHeight="1" x14ac:dyDescent="0.25">
      <c r="A1034" s="3" t="s">
        <v>114</v>
      </c>
      <c r="B1034" s="3" t="s">
        <v>79</v>
      </c>
      <c r="C1034" s="3"/>
      <c r="D1034" s="3" t="s">
        <v>117</v>
      </c>
      <c r="E1034" s="3">
        <v>1</v>
      </c>
      <c r="F1034" s="3">
        <v>1</v>
      </c>
      <c r="G1034" s="3" t="s">
        <v>22</v>
      </c>
      <c r="H1034" s="11">
        <v>45930</v>
      </c>
      <c r="I1034" s="3" t="s">
        <v>181</v>
      </c>
      <c r="J1034" s="3">
        <v>0</v>
      </c>
      <c r="K1034" s="3">
        <v>8</v>
      </c>
      <c r="L1034" s="3">
        <v>5</v>
      </c>
      <c r="M1034" s="3">
        <v>5</v>
      </c>
      <c r="N1034" s="3">
        <v>0</v>
      </c>
      <c r="O1034" s="3">
        <f t="shared" si="216"/>
        <v>18</v>
      </c>
      <c r="P1034" s="3">
        <v>2</v>
      </c>
      <c r="Q1034" s="3">
        <v>3</v>
      </c>
      <c r="R1034" s="3">
        <v>2</v>
      </c>
      <c r="S1034" s="3">
        <v>3</v>
      </c>
      <c r="T1034" s="3">
        <v>0</v>
      </c>
      <c r="U1034" s="3">
        <f t="shared" si="200"/>
        <v>10</v>
      </c>
      <c r="V1034" s="13">
        <f t="shared" si="191"/>
        <v>1.8</v>
      </c>
      <c r="W1034" s="13">
        <f t="shared" si="214"/>
        <v>1.8</v>
      </c>
      <c r="X1034" s="3">
        <f t="shared" si="192"/>
        <v>10</v>
      </c>
      <c r="Y1034" s="3">
        <f t="shared" si="215"/>
        <v>1.8000000000000002E-2</v>
      </c>
      <c r="Z1034" s="3"/>
      <c r="AA1034" s="3">
        <f t="shared" si="217"/>
        <v>100</v>
      </c>
      <c r="AB1034" s="3">
        <v>130</v>
      </c>
      <c r="AC1034" s="3" t="s">
        <v>180</v>
      </c>
      <c r="AD1034" s="3" t="s">
        <v>83</v>
      </c>
      <c r="AE1034" s="3">
        <v>15</v>
      </c>
      <c r="AF1034" s="3" t="s">
        <v>151</v>
      </c>
      <c r="AG1034" s="3" t="s">
        <v>339</v>
      </c>
      <c r="AH1034" s="3"/>
    </row>
    <row r="1035" spans="1:34" ht="14.25" customHeight="1" x14ac:dyDescent="0.25">
      <c r="A1035" s="3" t="s">
        <v>114</v>
      </c>
      <c r="B1035" s="3" t="s">
        <v>79</v>
      </c>
      <c r="C1035" s="3"/>
      <c r="D1035" s="3" t="s">
        <v>117</v>
      </c>
      <c r="E1035" s="3">
        <v>1</v>
      </c>
      <c r="F1035" s="3">
        <v>1</v>
      </c>
      <c r="G1035" s="3" t="s">
        <v>28</v>
      </c>
      <c r="H1035" s="11">
        <v>45930</v>
      </c>
      <c r="I1035" s="3" t="s">
        <v>181</v>
      </c>
      <c r="J1035" s="3">
        <v>0</v>
      </c>
      <c r="K1035" s="3">
        <v>4</v>
      </c>
      <c r="L1035" s="3">
        <v>0</v>
      </c>
      <c r="M1035" s="3">
        <f>6+4</f>
        <v>10</v>
      </c>
      <c r="N1035" s="3">
        <v>0</v>
      </c>
      <c r="O1035" s="3">
        <f t="shared" si="216"/>
        <v>14</v>
      </c>
      <c r="P1035" s="3">
        <v>2</v>
      </c>
      <c r="Q1035" s="3">
        <v>3</v>
      </c>
      <c r="R1035" s="3">
        <v>2</v>
      </c>
      <c r="S1035" s="3">
        <v>3</v>
      </c>
      <c r="T1035" s="3">
        <v>0</v>
      </c>
      <c r="U1035" s="3">
        <f t="shared" si="200"/>
        <v>10</v>
      </c>
      <c r="V1035" s="13">
        <f t="shared" si="191"/>
        <v>1.4</v>
      </c>
      <c r="W1035" s="13">
        <f t="shared" si="214"/>
        <v>1.4</v>
      </c>
      <c r="X1035" s="3">
        <f t="shared" si="192"/>
        <v>10</v>
      </c>
      <c r="Y1035" s="3">
        <f t="shared" si="215"/>
        <v>1.3999999999999999E-2</v>
      </c>
      <c r="Z1035" s="3"/>
      <c r="AA1035" s="3">
        <f t="shared" si="217"/>
        <v>100</v>
      </c>
      <c r="AB1035" s="3">
        <v>130</v>
      </c>
      <c r="AC1035" s="3" t="s">
        <v>180</v>
      </c>
      <c r="AD1035" s="3" t="s">
        <v>83</v>
      </c>
      <c r="AE1035" s="3">
        <v>15</v>
      </c>
      <c r="AF1035" s="3" t="s">
        <v>151</v>
      </c>
      <c r="AG1035" s="3" t="s">
        <v>339</v>
      </c>
      <c r="AH1035" s="3"/>
    </row>
    <row r="1036" spans="1:34" ht="14.25" customHeight="1" x14ac:dyDescent="0.25">
      <c r="A1036" s="3" t="s">
        <v>136</v>
      </c>
      <c r="B1036" s="3" t="s">
        <v>79</v>
      </c>
      <c r="C1036" s="3"/>
      <c r="D1036" s="3" t="s">
        <v>115</v>
      </c>
      <c r="E1036" s="3">
        <v>1</v>
      </c>
      <c r="F1036" s="3">
        <v>1</v>
      </c>
      <c r="G1036" s="3" t="s">
        <v>1</v>
      </c>
      <c r="H1036" s="11">
        <v>45930</v>
      </c>
      <c r="I1036" s="3" t="s">
        <v>181</v>
      </c>
      <c r="J1036" s="3">
        <v>0</v>
      </c>
      <c r="K1036" s="3">
        <v>0</v>
      </c>
      <c r="L1036" s="3">
        <v>0</v>
      </c>
      <c r="M1036" s="3">
        <f>8+2</f>
        <v>10</v>
      </c>
      <c r="N1036" s="3">
        <v>0</v>
      </c>
      <c r="O1036" s="3">
        <v>10</v>
      </c>
      <c r="P1036" s="3">
        <v>0</v>
      </c>
      <c r="Q1036" s="3">
        <v>0</v>
      </c>
      <c r="R1036" s="3">
        <v>0</v>
      </c>
      <c r="S1036" s="3">
        <v>2</v>
      </c>
      <c r="T1036" s="3">
        <v>0</v>
      </c>
      <c r="U1036" s="3">
        <f t="shared" si="200"/>
        <v>2</v>
      </c>
      <c r="V1036" s="13">
        <f t="shared" si="191"/>
        <v>5</v>
      </c>
      <c r="W1036" s="13">
        <f t="shared" si="214"/>
        <v>5</v>
      </c>
      <c r="X1036" s="3">
        <f t="shared" si="192"/>
        <v>2</v>
      </c>
      <c r="Y1036" s="3">
        <f t="shared" si="215"/>
        <v>0.05</v>
      </c>
      <c r="Z1036" s="3"/>
      <c r="AA1036" s="3">
        <f t="shared" si="217"/>
        <v>100</v>
      </c>
      <c r="AB1036" s="3"/>
      <c r="AC1036" s="3" t="s">
        <v>180</v>
      </c>
      <c r="AD1036" s="3" t="s">
        <v>83</v>
      </c>
      <c r="AE1036" s="3">
        <v>18</v>
      </c>
      <c r="AF1036" s="3" t="s">
        <v>151</v>
      </c>
      <c r="AG1036" s="3" t="s">
        <v>287</v>
      </c>
      <c r="AH1036" s="3"/>
    </row>
    <row r="1037" spans="1:34" ht="14.25" customHeight="1" x14ac:dyDescent="0.25">
      <c r="A1037" s="3" t="s">
        <v>136</v>
      </c>
      <c r="B1037" s="3" t="s">
        <v>79</v>
      </c>
      <c r="C1037" s="3"/>
      <c r="D1037" s="3" t="s">
        <v>115</v>
      </c>
      <c r="E1037" s="3">
        <v>1</v>
      </c>
      <c r="F1037" s="3">
        <v>1</v>
      </c>
      <c r="G1037" s="3" t="s">
        <v>3</v>
      </c>
      <c r="H1037" s="11">
        <v>45930</v>
      </c>
      <c r="I1037" s="3" t="s">
        <v>181</v>
      </c>
      <c r="J1037" s="3">
        <v>0</v>
      </c>
      <c r="K1037" s="3">
        <v>0</v>
      </c>
      <c r="L1037" s="3">
        <v>0</v>
      </c>
      <c r="M1037" s="3">
        <f>12+7</f>
        <v>19</v>
      </c>
      <c r="N1037" s="3">
        <v>0</v>
      </c>
      <c r="O1037" s="3">
        <v>19</v>
      </c>
      <c r="P1037" s="3">
        <v>0</v>
      </c>
      <c r="Q1037" s="3">
        <v>0</v>
      </c>
      <c r="R1037" s="3">
        <v>0</v>
      </c>
      <c r="S1037" s="3">
        <v>2</v>
      </c>
      <c r="T1037" s="3">
        <v>0</v>
      </c>
      <c r="U1037" s="3">
        <f t="shared" si="200"/>
        <v>2</v>
      </c>
      <c r="V1037" s="13">
        <f t="shared" si="191"/>
        <v>9.5</v>
      </c>
      <c r="W1037" s="13">
        <f t="shared" si="214"/>
        <v>9.5</v>
      </c>
      <c r="X1037" s="3">
        <f t="shared" si="192"/>
        <v>2</v>
      </c>
      <c r="Y1037" s="3">
        <f t="shared" si="215"/>
        <v>9.5000000000000001E-2</v>
      </c>
      <c r="Z1037" s="3"/>
      <c r="AA1037" s="3">
        <f t="shared" si="217"/>
        <v>100</v>
      </c>
      <c r="AB1037" s="3"/>
      <c r="AC1037" s="3" t="s">
        <v>180</v>
      </c>
      <c r="AD1037" s="3" t="s">
        <v>83</v>
      </c>
      <c r="AE1037" s="3">
        <v>18</v>
      </c>
      <c r="AF1037" s="3" t="s">
        <v>151</v>
      </c>
      <c r="AG1037" s="3" t="s">
        <v>287</v>
      </c>
      <c r="AH1037" s="3"/>
    </row>
    <row r="1038" spans="1:34" ht="14.25" customHeight="1" x14ac:dyDescent="0.25">
      <c r="A1038" s="3" t="s">
        <v>124</v>
      </c>
      <c r="B1038" s="3" t="s">
        <v>79</v>
      </c>
      <c r="C1038" s="3"/>
      <c r="D1038" s="3" t="s">
        <v>117</v>
      </c>
      <c r="E1038" s="3">
        <v>1</v>
      </c>
      <c r="F1038" s="3">
        <v>1</v>
      </c>
      <c r="G1038" s="3" t="s">
        <v>2</v>
      </c>
      <c r="H1038" s="11">
        <v>45930</v>
      </c>
      <c r="I1038" s="3" t="s">
        <v>181</v>
      </c>
      <c r="J1038" s="3"/>
      <c r="K1038" s="3"/>
      <c r="L1038" s="3"/>
      <c r="M1038" s="3"/>
      <c r="N1038" s="3"/>
      <c r="O1038" s="3">
        <v>40</v>
      </c>
      <c r="P1038" s="3"/>
      <c r="Q1038" s="3"/>
      <c r="R1038" s="3"/>
      <c r="S1038" s="3"/>
      <c r="T1038" s="3"/>
      <c r="U1038" s="3"/>
      <c r="V1038" s="13" t="e">
        <f t="shared" si="191"/>
        <v>#DIV/0!</v>
      </c>
      <c r="W1038" s="13" t="e">
        <f t="shared" si="214"/>
        <v>#DIV/0!</v>
      </c>
      <c r="X1038" s="3">
        <f t="shared" si="192"/>
        <v>0</v>
      </c>
      <c r="Y1038" s="3" t="e">
        <f t="shared" si="215"/>
        <v>#DIV/0!</v>
      </c>
      <c r="Z1038" s="3"/>
      <c r="AA1038" s="3"/>
      <c r="AB1038" s="3">
        <v>80</v>
      </c>
      <c r="AC1038" s="3" t="s">
        <v>180</v>
      </c>
      <c r="AD1038" s="3" t="s">
        <v>83</v>
      </c>
      <c r="AE1038" s="3">
        <v>15</v>
      </c>
      <c r="AF1038" s="3" t="s">
        <v>151</v>
      </c>
      <c r="AG1038" s="3" t="s">
        <v>260</v>
      </c>
      <c r="AH1038" s="3"/>
    </row>
    <row r="1039" spans="1:34" ht="14.25" customHeight="1" x14ac:dyDescent="0.25">
      <c r="A1039" s="3" t="s">
        <v>124</v>
      </c>
      <c r="B1039" s="3" t="s">
        <v>79</v>
      </c>
      <c r="C1039" s="3"/>
      <c r="D1039" s="3" t="s">
        <v>117</v>
      </c>
      <c r="E1039" s="3">
        <v>1</v>
      </c>
      <c r="F1039" s="3">
        <v>1</v>
      </c>
      <c r="G1039" s="3" t="s">
        <v>14</v>
      </c>
      <c r="H1039" s="11">
        <v>45930</v>
      </c>
      <c r="I1039" s="3" t="s">
        <v>181</v>
      </c>
      <c r="J1039" s="3"/>
      <c r="K1039" s="3"/>
      <c r="L1039" s="3"/>
      <c r="M1039" s="3"/>
      <c r="N1039" s="3"/>
      <c r="O1039" s="3">
        <v>60</v>
      </c>
      <c r="P1039" s="3"/>
      <c r="Q1039" s="3"/>
      <c r="R1039" s="3"/>
      <c r="S1039" s="3"/>
      <c r="T1039" s="3"/>
      <c r="U1039" s="3"/>
      <c r="V1039" s="13" t="e">
        <f t="shared" si="191"/>
        <v>#DIV/0!</v>
      </c>
      <c r="W1039" s="13" t="e">
        <f t="shared" si="214"/>
        <v>#DIV/0!</v>
      </c>
      <c r="X1039" s="3">
        <f t="shared" si="192"/>
        <v>0</v>
      </c>
      <c r="Y1039" s="3" t="e">
        <f t="shared" si="215"/>
        <v>#DIV/0!</v>
      </c>
      <c r="Z1039" s="3"/>
      <c r="AA1039" s="3"/>
      <c r="AB1039" s="3">
        <v>80</v>
      </c>
      <c r="AC1039" s="3" t="s">
        <v>180</v>
      </c>
      <c r="AD1039" s="3" t="s">
        <v>83</v>
      </c>
      <c r="AE1039" s="3">
        <v>15</v>
      </c>
      <c r="AF1039" s="3" t="s">
        <v>151</v>
      </c>
      <c r="AG1039" s="3" t="s">
        <v>260</v>
      </c>
      <c r="AH1039" s="3"/>
    </row>
    <row r="1040" spans="1:34" ht="14.25" customHeight="1" x14ac:dyDescent="0.25">
      <c r="A1040" s="3" t="s">
        <v>124</v>
      </c>
      <c r="B1040" s="3" t="s">
        <v>79</v>
      </c>
      <c r="C1040" s="3"/>
      <c r="D1040" s="3" t="s">
        <v>117</v>
      </c>
      <c r="E1040" s="3">
        <v>1</v>
      </c>
      <c r="F1040" s="3">
        <v>1</v>
      </c>
      <c r="G1040" s="3" t="s">
        <v>25</v>
      </c>
      <c r="H1040" s="11">
        <v>45930</v>
      </c>
      <c r="I1040" s="3" t="s">
        <v>181</v>
      </c>
      <c r="J1040" s="3"/>
      <c r="K1040" s="3"/>
      <c r="L1040" s="3"/>
      <c r="M1040" s="3"/>
      <c r="N1040" s="3"/>
      <c r="O1040" s="3">
        <v>70</v>
      </c>
      <c r="P1040" s="3"/>
      <c r="Q1040" s="3"/>
      <c r="R1040" s="3"/>
      <c r="S1040" s="3"/>
      <c r="T1040" s="3"/>
      <c r="U1040" s="3"/>
      <c r="V1040" s="13" t="e">
        <f t="shared" si="191"/>
        <v>#DIV/0!</v>
      </c>
      <c r="W1040" s="13" t="e">
        <f t="shared" si="214"/>
        <v>#DIV/0!</v>
      </c>
      <c r="X1040" s="3">
        <f t="shared" si="192"/>
        <v>0</v>
      </c>
      <c r="Y1040" s="3" t="e">
        <f t="shared" si="215"/>
        <v>#DIV/0!</v>
      </c>
      <c r="Z1040" s="3"/>
      <c r="AA1040" s="3"/>
      <c r="AB1040" s="3">
        <v>80</v>
      </c>
      <c r="AC1040" s="3" t="s">
        <v>180</v>
      </c>
      <c r="AD1040" s="3" t="s">
        <v>83</v>
      </c>
      <c r="AE1040" s="3">
        <v>15</v>
      </c>
      <c r="AF1040" s="3" t="s">
        <v>151</v>
      </c>
      <c r="AG1040" s="3" t="s">
        <v>260</v>
      </c>
      <c r="AH1040" s="3"/>
    </row>
    <row r="1041" spans="1:34" ht="14.25" customHeight="1" x14ac:dyDescent="0.25">
      <c r="A1041" s="3" t="s">
        <v>124</v>
      </c>
      <c r="B1041" s="3" t="s">
        <v>79</v>
      </c>
      <c r="C1041" s="3"/>
      <c r="D1041" s="3" t="s">
        <v>117</v>
      </c>
      <c r="E1041" s="3">
        <v>1</v>
      </c>
      <c r="F1041" s="3">
        <v>1</v>
      </c>
      <c r="G1041" s="3" t="s">
        <v>15</v>
      </c>
      <c r="H1041" s="11">
        <v>45930</v>
      </c>
      <c r="I1041" s="3" t="s">
        <v>181</v>
      </c>
      <c r="J1041" s="3"/>
      <c r="K1041" s="3"/>
      <c r="L1041" s="3"/>
      <c r="M1041" s="3"/>
      <c r="N1041" s="3"/>
      <c r="O1041" s="3">
        <v>40</v>
      </c>
      <c r="P1041" s="3"/>
      <c r="Q1041" s="3"/>
      <c r="R1041" s="3"/>
      <c r="S1041" s="3"/>
      <c r="T1041" s="3"/>
      <c r="U1041" s="3"/>
      <c r="V1041" s="13" t="e">
        <f t="shared" si="191"/>
        <v>#DIV/0!</v>
      </c>
      <c r="W1041" s="13" t="e">
        <f t="shared" si="214"/>
        <v>#DIV/0!</v>
      </c>
      <c r="X1041" s="3">
        <f t="shared" si="192"/>
        <v>0</v>
      </c>
      <c r="Y1041" s="3" t="e">
        <f t="shared" si="215"/>
        <v>#DIV/0!</v>
      </c>
      <c r="Z1041" s="3"/>
      <c r="AA1041" s="3"/>
      <c r="AB1041" s="3">
        <v>80</v>
      </c>
      <c r="AC1041" s="3" t="s">
        <v>180</v>
      </c>
      <c r="AD1041" s="3" t="s">
        <v>83</v>
      </c>
      <c r="AE1041" s="3">
        <v>15</v>
      </c>
      <c r="AF1041" s="3" t="s">
        <v>151</v>
      </c>
      <c r="AG1041" s="3" t="s">
        <v>260</v>
      </c>
      <c r="AH1041" s="3"/>
    </row>
    <row r="1042" spans="1:34" ht="14.25" customHeight="1" x14ac:dyDescent="0.25">
      <c r="A1042" s="3" t="s">
        <v>165</v>
      </c>
      <c r="B1042" s="3" t="s">
        <v>79</v>
      </c>
      <c r="C1042" s="3"/>
      <c r="D1042" s="3" t="s">
        <v>117</v>
      </c>
      <c r="E1042" s="3">
        <v>1</v>
      </c>
      <c r="F1042" s="3">
        <v>1</v>
      </c>
      <c r="G1042" s="3" t="s">
        <v>2</v>
      </c>
      <c r="H1042" s="11">
        <v>45930</v>
      </c>
      <c r="I1042" s="3" t="s">
        <v>181</v>
      </c>
      <c r="J1042" s="3"/>
      <c r="K1042" s="3"/>
      <c r="L1042" s="3"/>
      <c r="M1042" s="3"/>
      <c r="N1042" s="3"/>
      <c r="O1042" s="3">
        <v>40</v>
      </c>
      <c r="P1042" s="3"/>
      <c r="Q1042" s="3"/>
      <c r="R1042" s="3"/>
      <c r="S1042" s="3"/>
      <c r="T1042" s="3"/>
      <c r="U1042" s="3"/>
      <c r="V1042" s="13" t="e">
        <f t="shared" si="191"/>
        <v>#DIV/0!</v>
      </c>
      <c r="W1042" s="13" t="e">
        <f t="shared" si="214"/>
        <v>#DIV/0!</v>
      </c>
      <c r="X1042" s="3">
        <f t="shared" si="192"/>
        <v>0</v>
      </c>
      <c r="Y1042" s="3" t="e">
        <f t="shared" si="215"/>
        <v>#DIV/0!</v>
      </c>
      <c r="Z1042" s="3"/>
      <c r="AA1042" s="3"/>
      <c r="AB1042" s="3">
        <v>150</v>
      </c>
      <c r="AC1042" s="3" t="s">
        <v>180</v>
      </c>
      <c r="AD1042" s="3" t="s">
        <v>83</v>
      </c>
      <c r="AE1042" s="3">
        <v>15</v>
      </c>
      <c r="AF1042" s="3" t="s">
        <v>151</v>
      </c>
      <c r="AG1042" s="3" t="s">
        <v>260</v>
      </c>
      <c r="AH1042" s="3"/>
    </row>
    <row r="1043" spans="1:34" ht="14.25" customHeight="1" x14ac:dyDescent="0.25">
      <c r="A1043" s="3" t="s">
        <v>165</v>
      </c>
      <c r="B1043" s="3" t="s">
        <v>79</v>
      </c>
      <c r="C1043" s="3"/>
      <c r="D1043" s="3" t="s">
        <v>117</v>
      </c>
      <c r="E1043" s="3">
        <v>1</v>
      </c>
      <c r="F1043" s="3">
        <v>1</v>
      </c>
      <c r="G1043" s="3" t="s">
        <v>14</v>
      </c>
      <c r="H1043" s="11">
        <v>45930</v>
      </c>
      <c r="I1043" s="3" t="s">
        <v>181</v>
      </c>
      <c r="J1043" s="3"/>
      <c r="K1043" s="3"/>
      <c r="L1043" s="3"/>
      <c r="M1043" s="3"/>
      <c r="N1043" s="3"/>
      <c r="O1043" s="3">
        <v>30</v>
      </c>
      <c r="P1043" s="3"/>
      <c r="Q1043" s="3"/>
      <c r="R1043" s="3"/>
      <c r="S1043" s="3"/>
      <c r="T1043" s="3"/>
      <c r="U1043" s="3"/>
      <c r="V1043" s="13" t="e">
        <f t="shared" si="191"/>
        <v>#DIV/0!</v>
      </c>
      <c r="W1043" s="13" t="e">
        <f t="shared" si="214"/>
        <v>#DIV/0!</v>
      </c>
      <c r="X1043" s="3">
        <f t="shared" si="192"/>
        <v>0</v>
      </c>
      <c r="Y1043" s="3" t="e">
        <f t="shared" si="215"/>
        <v>#DIV/0!</v>
      </c>
      <c r="Z1043" s="3"/>
      <c r="AA1043" s="3"/>
      <c r="AB1043" s="3">
        <v>150</v>
      </c>
      <c r="AC1043" s="3" t="s">
        <v>180</v>
      </c>
      <c r="AD1043" s="3" t="s">
        <v>83</v>
      </c>
      <c r="AE1043" s="3">
        <v>15</v>
      </c>
      <c r="AF1043" s="3" t="s">
        <v>151</v>
      </c>
      <c r="AG1043" s="3" t="s">
        <v>260</v>
      </c>
      <c r="AH1043" s="3"/>
    </row>
    <row r="1044" spans="1:34" ht="14.25" customHeight="1" x14ac:dyDescent="0.25">
      <c r="A1044" s="3" t="s">
        <v>165</v>
      </c>
      <c r="B1044" s="3" t="s">
        <v>79</v>
      </c>
      <c r="C1044" s="3"/>
      <c r="D1044" s="3" t="s">
        <v>117</v>
      </c>
      <c r="E1044" s="3">
        <v>1</v>
      </c>
      <c r="F1044" s="3">
        <v>1</v>
      </c>
      <c r="G1044" s="3" t="s">
        <v>25</v>
      </c>
      <c r="H1044" s="11">
        <v>45930</v>
      </c>
      <c r="I1044" s="3" t="s">
        <v>181</v>
      </c>
      <c r="J1044" s="3"/>
      <c r="K1044" s="3"/>
      <c r="L1044" s="3"/>
      <c r="M1044" s="3"/>
      <c r="N1044" s="3"/>
      <c r="O1044" s="3">
        <v>62</v>
      </c>
      <c r="P1044" s="3"/>
      <c r="Q1044" s="3"/>
      <c r="R1044" s="3"/>
      <c r="S1044" s="3"/>
      <c r="T1044" s="3"/>
      <c r="U1044" s="3"/>
      <c r="V1044" s="13" t="e">
        <f t="shared" si="191"/>
        <v>#DIV/0!</v>
      </c>
      <c r="W1044" s="13" t="e">
        <f t="shared" si="214"/>
        <v>#DIV/0!</v>
      </c>
      <c r="X1044" s="3">
        <f t="shared" si="192"/>
        <v>0</v>
      </c>
      <c r="Y1044" s="3" t="e">
        <f t="shared" si="215"/>
        <v>#DIV/0!</v>
      </c>
      <c r="Z1044" s="3"/>
      <c r="AA1044" s="3"/>
      <c r="AB1044" s="3">
        <v>150</v>
      </c>
      <c r="AC1044" s="3" t="s">
        <v>180</v>
      </c>
      <c r="AD1044" s="3" t="s">
        <v>83</v>
      </c>
      <c r="AE1044" s="3">
        <v>15</v>
      </c>
      <c r="AF1044" s="3" t="s">
        <v>151</v>
      </c>
      <c r="AG1044" s="3" t="s">
        <v>260</v>
      </c>
      <c r="AH1044" s="3"/>
    </row>
    <row r="1045" spans="1:34" ht="14.25" customHeight="1" x14ac:dyDescent="0.25">
      <c r="A1045" s="3" t="s">
        <v>165</v>
      </c>
      <c r="B1045" s="3" t="s">
        <v>79</v>
      </c>
      <c r="C1045" s="3"/>
      <c r="D1045" s="3" t="s">
        <v>117</v>
      </c>
      <c r="E1045" s="3">
        <v>1</v>
      </c>
      <c r="F1045" s="3">
        <v>1</v>
      </c>
      <c r="G1045" s="3" t="s">
        <v>15</v>
      </c>
      <c r="H1045" s="11">
        <v>45930</v>
      </c>
      <c r="I1045" s="3" t="s">
        <v>181</v>
      </c>
      <c r="J1045" s="3"/>
      <c r="K1045" s="3"/>
      <c r="L1045" s="3"/>
      <c r="M1045" s="3"/>
      <c r="N1045" s="3"/>
      <c r="O1045" s="3">
        <v>68</v>
      </c>
      <c r="P1045" s="3"/>
      <c r="Q1045" s="3"/>
      <c r="R1045" s="3"/>
      <c r="S1045" s="3"/>
      <c r="T1045" s="3"/>
      <c r="U1045" s="3"/>
      <c r="V1045" s="13" t="e">
        <f t="shared" si="191"/>
        <v>#DIV/0!</v>
      </c>
      <c r="W1045" s="13" t="e">
        <f t="shared" si="214"/>
        <v>#DIV/0!</v>
      </c>
      <c r="X1045" s="3">
        <f t="shared" si="192"/>
        <v>0</v>
      </c>
      <c r="Y1045" s="3" t="e">
        <f t="shared" si="215"/>
        <v>#DIV/0!</v>
      </c>
      <c r="Z1045" s="3"/>
      <c r="AA1045" s="3"/>
      <c r="AB1045" s="3">
        <v>150</v>
      </c>
      <c r="AC1045" s="3" t="s">
        <v>180</v>
      </c>
      <c r="AD1045" s="3" t="s">
        <v>83</v>
      </c>
      <c r="AE1045" s="3">
        <v>15</v>
      </c>
      <c r="AF1045" s="3" t="s">
        <v>151</v>
      </c>
      <c r="AG1045" s="3" t="s">
        <v>260</v>
      </c>
      <c r="AH1045" s="3"/>
    </row>
    <row r="1046" spans="1:34" ht="14.25" customHeight="1" x14ac:dyDescent="0.25">
      <c r="A1046" s="3" t="s">
        <v>125</v>
      </c>
      <c r="B1046" s="3" t="s">
        <v>79</v>
      </c>
      <c r="C1046" s="3"/>
      <c r="D1046" s="3" t="s">
        <v>115</v>
      </c>
      <c r="E1046" s="3">
        <v>1</v>
      </c>
      <c r="F1046" s="3">
        <v>1</v>
      </c>
      <c r="G1046" s="3" t="s">
        <v>2</v>
      </c>
      <c r="H1046" s="11">
        <v>45930</v>
      </c>
      <c r="I1046" s="3" t="s">
        <v>181</v>
      </c>
      <c r="J1046" s="3"/>
      <c r="K1046" s="3"/>
      <c r="L1046" s="3"/>
      <c r="M1046" s="3"/>
      <c r="N1046" s="3"/>
      <c r="O1046" s="3">
        <v>70</v>
      </c>
      <c r="P1046" s="3"/>
      <c r="Q1046" s="3"/>
      <c r="R1046" s="3"/>
      <c r="S1046" s="3"/>
      <c r="T1046" s="3"/>
      <c r="U1046" s="3"/>
      <c r="V1046" s="13" t="e">
        <f t="shared" si="191"/>
        <v>#DIV/0!</v>
      </c>
      <c r="W1046" s="13" t="e">
        <f t="shared" si="214"/>
        <v>#DIV/0!</v>
      </c>
      <c r="X1046" s="3">
        <f t="shared" si="192"/>
        <v>0</v>
      </c>
      <c r="Y1046" s="3" t="e">
        <f t="shared" si="215"/>
        <v>#DIV/0!</v>
      </c>
      <c r="Z1046" s="3"/>
      <c r="AA1046" s="3"/>
      <c r="AB1046" s="3">
        <v>90</v>
      </c>
      <c r="AC1046" s="3" t="s">
        <v>180</v>
      </c>
      <c r="AD1046" s="3" t="s">
        <v>83</v>
      </c>
      <c r="AE1046" s="3">
        <v>15</v>
      </c>
      <c r="AF1046" s="3" t="s">
        <v>151</v>
      </c>
      <c r="AG1046" s="3" t="s">
        <v>261</v>
      </c>
      <c r="AH1046" s="3"/>
    </row>
    <row r="1047" spans="1:34" ht="14.25" customHeight="1" x14ac:dyDescent="0.25">
      <c r="A1047" s="3" t="s">
        <v>125</v>
      </c>
      <c r="B1047" s="3" t="s">
        <v>79</v>
      </c>
      <c r="C1047" s="3"/>
      <c r="D1047" s="3" t="s">
        <v>115</v>
      </c>
      <c r="E1047" s="3">
        <v>1</v>
      </c>
      <c r="F1047" s="3">
        <v>1</v>
      </c>
      <c r="G1047" s="3" t="s">
        <v>14</v>
      </c>
      <c r="H1047" s="11">
        <v>45930</v>
      </c>
      <c r="I1047" s="3" t="s">
        <v>181</v>
      </c>
      <c r="J1047" s="3"/>
      <c r="K1047" s="3"/>
      <c r="L1047" s="3"/>
      <c r="M1047" s="3"/>
      <c r="N1047" s="3"/>
      <c r="O1047" s="3">
        <v>50</v>
      </c>
      <c r="P1047" s="3"/>
      <c r="Q1047" s="3"/>
      <c r="R1047" s="3"/>
      <c r="S1047" s="3"/>
      <c r="T1047" s="3"/>
      <c r="U1047" s="3"/>
      <c r="V1047" s="13" t="e">
        <f t="shared" si="191"/>
        <v>#DIV/0!</v>
      </c>
      <c r="W1047" s="13" t="e">
        <f t="shared" si="214"/>
        <v>#DIV/0!</v>
      </c>
      <c r="X1047" s="3">
        <f t="shared" si="192"/>
        <v>0</v>
      </c>
      <c r="Y1047" s="3" t="e">
        <f t="shared" si="215"/>
        <v>#DIV/0!</v>
      </c>
      <c r="Z1047" s="3"/>
      <c r="AA1047" s="3"/>
      <c r="AB1047" s="3">
        <v>90</v>
      </c>
      <c r="AC1047" s="3" t="s">
        <v>180</v>
      </c>
      <c r="AD1047" s="3" t="s">
        <v>83</v>
      </c>
      <c r="AE1047" s="3">
        <v>15</v>
      </c>
      <c r="AF1047" s="3" t="s">
        <v>151</v>
      </c>
      <c r="AG1047" s="3" t="s">
        <v>261</v>
      </c>
      <c r="AH1047" s="3"/>
    </row>
    <row r="1048" spans="1:34" ht="14.25" customHeight="1" x14ac:dyDescent="0.25">
      <c r="A1048" s="3" t="s">
        <v>125</v>
      </c>
      <c r="B1048" s="3" t="s">
        <v>79</v>
      </c>
      <c r="C1048" s="3"/>
      <c r="D1048" s="3" t="s">
        <v>115</v>
      </c>
      <c r="E1048" s="3">
        <v>1</v>
      </c>
      <c r="F1048" s="3">
        <v>1</v>
      </c>
      <c r="G1048" s="3" t="s">
        <v>18</v>
      </c>
      <c r="H1048" s="11">
        <v>45930</v>
      </c>
      <c r="I1048" s="3" t="s">
        <v>181</v>
      </c>
      <c r="J1048" s="3"/>
      <c r="K1048" s="3"/>
      <c r="L1048" s="3"/>
      <c r="M1048" s="3"/>
      <c r="N1048" s="3"/>
      <c r="O1048" s="3">
        <v>15</v>
      </c>
      <c r="P1048" s="3"/>
      <c r="Q1048" s="3"/>
      <c r="R1048" s="3"/>
      <c r="S1048" s="3"/>
      <c r="T1048" s="3"/>
      <c r="U1048" s="3"/>
      <c r="V1048" s="13" t="e">
        <f t="shared" si="191"/>
        <v>#DIV/0!</v>
      </c>
      <c r="W1048" s="13" t="e">
        <f t="shared" si="214"/>
        <v>#DIV/0!</v>
      </c>
      <c r="X1048" s="3">
        <f t="shared" si="192"/>
        <v>0</v>
      </c>
      <c r="Y1048" s="3" t="e">
        <f t="shared" si="215"/>
        <v>#DIV/0!</v>
      </c>
      <c r="Z1048" s="3"/>
      <c r="AA1048" s="3"/>
      <c r="AB1048" s="3">
        <v>90</v>
      </c>
      <c r="AC1048" s="3" t="s">
        <v>180</v>
      </c>
      <c r="AD1048" s="3" t="s">
        <v>83</v>
      </c>
      <c r="AE1048" s="3">
        <v>15</v>
      </c>
      <c r="AF1048" s="3" t="s">
        <v>151</v>
      </c>
      <c r="AG1048" s="3" t="s">
        <v>261</v>
      </c>
      <c r="AH1048" s="3"/>
    </row>
    <row r="1049" spans="1:34" ht="14.25" customHeight="1" x14ac:dyDescent="0.25">
      <c r="A1049" s="3" t="s">
        <v>125</v>
      </c>
      <c r="B1049" s="3" t="s">
        <v>79</v>
      </c>
      <c r="C1049" s="3"/>
      <c r="D1049" s="3" t="s">
        <v>115</v>
      </c>
      <c r="E1049" s="3">
        <v>1</v>
      </c>
      <c r="F1049" s="3">
        <v>1</v>
      </c>
      <c r="G1049" s="3" t="s">
        <v>25</v>
      </c>
      <c r="H1049" s="11">
        <v>45930</v>
      </c>
      <c r="I1049" s="3" t="s">
        <v>181</v>
      </c>
      <c r="J1049" s="3"/>
      <c r="K1049" s="3"/>
      <c r="L1049" s="3"/>
      <c r="M1049" s="3"/>
      <c r="N1049" s="3"/>
      <c r="O1049" s="3">
        <v>10</v>
      </c>
      <c r="P1049" s="3"/>
      <c r="Q1049" s="3"/>
      <c r="R1049" s="3"/>
      <c r="S1049" s="3"/>
      <c r="T1049" s="3"/>
      <c r="U1049" s="3"/>
      <c r="V1049" s="13" t="e">
        <f t="shared" si="191"/>
        <v>#DIV/0!</v>
      </c>
      <c r="W1049" s="13" t="e">
        <f t="shared" si="214"/>
        <v>#DIV/0!</v>
      </c>
      <c r="X1049" s="3">
        <f t="shared" si="192"/>
        <v>0</v>
      </c>
      <c r="Y1049" s="3" t="e">
        <f t="shared" si="215"/>
        <v>#DIV/0!</v>
      </c>
      <c r="Z1049" s="3"/>
      <c r="AA1049" s="3"/>
      <c r="AB1049" s="3">
        <v>90</v>
      </c>
      <c r="AC1049" s="3" t="s">
        <v>180</v>
      </c>
      <c r="AD1049" s="3" t="s">
        <v>83</v>
      </c>
      <c r="AE1049" s="3">
        <v>15</v>
      </c>
      <c r="AF1049" s="3" t="s">
        <v>151</v>
      </c>
      <c r="AG1049" s="3" t="s">
        <v>261</v>
      </c>
      <c r="AH1049" s="3"/>
    </row>
    <row r="1050" spans="1:34" ht="14.25" customHeight="1" x14ac:dyDescent="0.25">
      <c r="A1050" s="3" t="s">
        <v>169</v>
      </c>
      <c r="B1050" s="3" t="s">
        <v>79</v>
      </c>
      <c r="C1050" s="3"/>
      <c r="D1050" s="3" t="s">
        <v>121</v>
      </c>
      <c r="E1050" s="3">
        <v>1</v>
      </c>
      <c r="F1050" s="3">
        <v>1</v>
      </c>
      <c r="G1050" s="3" t="s">
        <v>2</v>
      </c>
      <c r="H1050" s="11">
        <v>45930</v>
      </c>
      <c r="I1050" s="3" t="s">
        <v>181</v>
      </c>
      <c r="J1050" s="3"/>
      <c r="K1050" s="3"/>
      <c r="L1050" s="3"/>
      <c r="M1050" s="3"/>
      <c r="N1050" s="3"/>
      <c r="O1050" s="3">
        <v>35</v>
      </c>
      <c r="P1050" s="3"/>
      <c r="Q1050" s="3"/>
      <c r="R1050" s="3"/>
      <c r="S1050" s="3"/>
      <c r="T1050" s="3"/>
      <c r="U1050" s="3"/>
      <c r="V1050" s="13" t="e">
        <f t="shared" si="191"/>
        <v>#DIV/0!</v>
      </c>
      <c r="W1050" s="13" t="e">
        <f t="shared" si="214"/>
        <v>#DIV/0!</v>
      </c>
      <c r="X1050" s="3">
        <f t="shared" si="192"/>
        <v>0</v>
      </c>
      <c r="Y1050" s="3" t="e">
        <f t="shared" si="215"/>
        <v>#DIV/0!</v>
      </c>
      <c r="Z1050" s="3"/>
      <c r="AA1050" s="3"/>
      <c r="AB1050" s="3">
        <v>105</v>
      </c>
      <c r="AC1050" s="3" t="s">
        <v>180</v>
      </c>
      <c r="AD1050" s="3" t="s">
        <v>83</v>
      </c>
      <c r="AE1050" s="3">
        <v>15</v>
      </c>
      <c r="AF1050" s="3" t="s">
        <v>151</v>
      </c>
      <c r="AG1050" s="3" t="s">
        <v>262</v>
      </c>
      <c r="AH1050" s="3"/>
    </row>
    <row r="1051" spans="1:34" ht="14.25" customHeight="1" x14ac:dyDescent="0.25">
      <c r="A1051" s="3" t="s">
        <v>169</v>
      </c>
      <c r="B1051" s="3" t="s">
        <v>79</v>
      </c>
      <c r="C1051" s="3"/>
      <c r="D1051" s="3" t="s">
        <v>121</v>
      </c>
      <c r="E1051" s="3">
        <v>1</v>
      </c>
      <c r="F1051" s="3">
        <v>1</v>
      </c>
      <c r="G1051" s="3" t="s">
        <v>14</v>
      </c>
      <c r="H1051" s="11">
        <v>45930</v>
      </c>
      <c r="I1051" s="3" t="s">
        <v>181</v>
      </c>
      <c r="J1051" s="3"/>
      <c r="K1051" s="3"/>
      <c r="L1051" s="3"/>
      <c r="M1051" s="3"/>
      <c r="N1051" s="3"/>
      <c r="O1051" s="3">
        <v>18</v>
      </c>
      <c r="P1051" s="3"/>
      <c r="Q1051" s="3"/>
      <c r="R1051" s="3"/>
      <c r="S1051" s="3"/>
      <c r="T1051" s="3"/>
      <c r="U1051" s="3"/>
      <c r="V1051" s="13" t="e">
        <f t="shared" si="191"/>
        <v>#DIV/0!</v>
      </c>
      <c r="W1051" s="13" t="e">
        <f t="shared" si="214"/>
        <v>#DIV/0!</v>
      </c>
      <c r="X1051" s="3">
        <f t="shared" si="192"/>
        <v>0</v>
      </c>
      <c r="Y1051" s="3" t="e">
        <f t="shared" si="215"/>
        <v>#DIV/0!</v>
      </c>
      <c r="Z1051" s="3"/>
      <c r="AA1051" s="3"/>
      <c r="AB1051" s="3">
        <v>105</v>
      </c>
      <c r="AC1051" s="3" t="s">
        <v>180</v>
      </c>
      <c r="AD1051" s="3" t="s">
        <v>83</v>
      </c>
      <c r="AE1051" s="3">
        <v>15</v>
      </c>
      <c r="AF1051" s="3" t="s">
        <v>151</v>
      </c>
      <c r="AG1051" s="3" t="s">
        <v>262</v>
      </c>
      <c r="AH1051" s="3"/>
    </row>
    <row r="1052" spans="1:34" ht="14.25" customHeight="1" x14ac:dyDescent="0.25">
      <c r="A1052" s="3" t="s">
        <v>169</v>
      </c>
      <c r="B1052" s="3" t="s">
        <v>79</v>
      </c>
      <c r="C1052" s="3"/>
      <c r="D1052" s="3" t="s">
        <v>121</v>
      </c>
      <c r="E1052" s="3">
        <v>1</v>
      </c>
      <c r="F1052" s="3">
        <v>1</v>
      </c>
      <c r="G1052" s="3" t="s">
        <v>25</v>
      </c>
      <c r="H1052" s="11">
        <v>45930</v>
      </c>
      <c r="I1052" s="3" t="s">
        <v>181</v>
      </c>
      <c r="J1052" s="3"/>
      <c r="K1052" s="3"/>
      <c r="L1052" s="3"/>
      <c r="M1052" s="3"/>
      <c r="N1052" s="3"/>
      <c r="O1052" s="3">
        <v>43</v>
      </c>
      <c r="P1052" s="3"/>
      <c r="Q1052" s="3"/>
      <c r="R1052" s="3"/>
      <c r="S1052" s="3"/>
      <c r="T1052" s="3"/>
      <c r="U1052" s="3"/>
      <c r="V1052" s="13" t="e">
        <f t="shared" si="191"/>
        <v>#DIV/0!</v>
      </c>
      <c r="W1052" s="13" t="e">
        <f t="shared" si="214"/>
        <v>#DIV/0!</v>
      </c>
      <c r="X1052" s="3">
        <f t="shared" si="192"/>
        <v>0</v>
      </c>
      <c r="Y1052" s="3" t="e">
        <f t="shared" si="215"/>
        <v>#DIV/0!</v>
      </c>
      <c r="Z1052" s="3"/>
      <c r="AA1052" s="3"/>
      <c r="AB1052" s="3">
        <v>105</v>
      </c>
      <c r="AC1052" s="3" t="s">
        <v>180</v>
      </c>
      <c r="AD1052" s="3" t="s">
        <v>83</v>
      </c>
      <c r="AE1052" s="3">
        <v>15</v>
      </c>
      <c r="AF1052" s="3" t="s">
        <v>151</v>
      </c>
      <c r="AG1052" s="3" t="s">
        <v>262</v>
      </c>
      <c r="AH1052" s="3"/>
    </row>
    <row r="1053" spans="1:34" ht="14.25" customHeight="1" x14ac:dyDescent="0.25">
      <c r="A1053" s="3" t="s">
        <v>169</v>
      </c>
      <c r="B1053" s="3" t="s">
        <v>79</v>
      </c>
      <c r="C1053" s="3"/>
      <c r="D1053" s="3" t="s">
        <v>121</v>
      </c>
      <c r="E1053" s="3">
        <v>1</v>
      </c>
      <c r="F1053" s="3">
        <v>1</v>
      </c>
      <c r="G1053" s="3" t="s">
        <v>15</v>
      </c>
      <c r="H1053" s="11">
        <v>45930</v>
      </c>
      <c r="I1053" s="3" t="s">
        <v>181</v>
      </c>
      <c r="J1053" s="3"/>
      <c r="K1053" s="3"/>
      <c r="L1053" s="3"/>
      <c r="M1053" s="3"/>
      <c r="N1053" s="3"/>
      <c r="O1053" s="3">
        <v>65</v>
      </c>
      <c r="P1053" s="3"/>
      <c r="Q1053" s="3"/>
      <c r="R1053" s="3"/>
      <c r="S1053" s="3"/>
      <c r="T1053" s="3"/>
      <c r="U1053" s="3"/>
      <c r="V1053" s="13" t="e">
        <f t="shared" si="191"/>
        <v>#DIV/0!</v>
      </c>
      <c r="W1053" s="13" t="e">
        <f t="shared" si="214"/>
        <v>#DIV/0!</v>
      </c>
      <c r="X1053" s="3">
        <f t="shared" si="192"/>
        <v>0</v>
      </c>
      <c r="Y1053" s="3" t="e">
        <f t="shared" si="215"/>
        <v>#DIV/0!</v>
      </c>
      <c r="Z1053" s="3"/>
      <c r="AA1053" s="3"/>
      <c r="AB1053" s="3">
        <v>105</v>
      </c>
      <c r="AC1053" s="3" t="s">
        <v>180</v>
      </c>
      <c r="AD1053" s="3" t="s">
        <v>83</v>
      </c>
      <c r="AE1053" s="3">
        <v>15</v>
      </c>
      <c r="AF1053" s="3" t="s">
        <v>151</v>
      </c>
      <c r="AG1053" s="3" t="s">
        <v>262</v>
      </c>
      <c r="AH1053" s="3"/>
    </row>
    <row r="1054" spans="1:34" ht="14.25" customHeight="1" x14ac:dyDescent="0.25">
      <c r="A1054" s="3" t="s">
        <v>119</v>
      </c>
      <c r="B1054" s="3" t="s">
        <v>79</v>
      </c>
      <c r="C1054" s="3"/>
      <c r="D1054" s="3" t="s">
        <v>115</v>
      </c>
      <c r="E1054" s="3">
        <v>1</v>
      </c>
      <c r="F1054" s="3">
        <v>1</v>
      </c>
      <c r="G1054" s="3" t="s">
        <v>1</v>
      </c>
      <c r="H1054" s="11">
        <v>45930</v>
      </c>
      <c r="I1054" s="3" t="s">
        <v>181</v>
      </c>
      <c r="J1054" s="3"/>
      <c r="K1054" s="3"/>
      <c r="L1054" s="3"/>
      <c r="M1054" s="3"/>
      <c r="N1054" s="3"/>
      <c r="O1054" s="3">
        <v>15</v>
      </c>
      <c r="P1054" s="3"/>
      <c r="Q1054" s="3"/>
      <c r="R1054" s="3"/>
      <c r="S1054" s="3"/>
      <c r="T1054" s="3"/>
      <c r="U1054" s="3"/>
      <c r="V1054" s="13" t="e">
        <f t="shared" si="191"/>
        <v>#DIV/0!</v>
      </c>
      <c r="W1054" s="13" t="e">
        <f t="shared" si="214"/>
        <v>#DIV/0!</v>
      </c>
      <c r="X1054" s="3">
        <f t="shared" si="192"/>
        <v>0</v>
      </c>
      <c r="Y1054" s="3" t="e">
        <f t="shared" si="215"/>
        <v>#DIV/0!</v>
      </c>
      <c r="Z1054" s="3"/>
      <c r="AA1054" s="3">
        <f t="shared" ref="AA1054:AA1057" si="218">15*2.3*5+10*1*5</f>
        <v>222.5</v>
      </c>
      <c r="AB1054" s="3">
        <v>110</v>
      </c>
      <c r="AC1054" s="3" t="s">
        <v>180</v>
      </c>
      <c r="AD1054" s="3" t="s">
        <v>83</v>
      </c>
      <c r="AE1054" s="3">
        <v>15</v>
      </c>
      <c r="AF1054" s="3" t="s">
        <v>151</v>
      </c>
      <c r="AG1054" s="3" t="s">
        <v>340</v>
      </c>
      <c r="AH1054" s="3"/>
    </row>
    <row r="1055" spans="1:34" ht="14.25" customHeight="1" x14ac:dyDescent="0.25">
      <c r="A1055" s="3" t="s">
        <v>119</v>
      </c>
      <c r="B1055" s="3" t="s">
        <v>79</v>
      </c>
      <c r="C1055" s="3"/>
      <c r="D1055" s="3" t="s">
        <v>115</v>
      </c>
      <c r="E1055" s="3">
        <v>1</v>
      </c>
      <c r="F1055" s="3">
        <v>1</v>
      </c>
      <c r="G1055" s="3" t="s">
        <v>3</v>
      </c>
      <c r="H1055" s="11">
        <v>45930</v>
      </c>
      <c r="I1055" s="3" t="s">
        <v>181</v>
      </c>
      <c r="J1055" s="3"/>
      <c r="K1055" s="3"/>
      <c r="L1055" s="3"/>
      <c r="M1055" s="3"/>
      <c r="N1055" s="3"/>
      <c r="O1055" s="3">
        <v>26</v>
      </c>
      <c r="P1055" s="3"/>
      <c r="Q1055" s="3"/>
      <c r="R1055" s="3"/>
      <c r="S1055" s="3"/>
      <c r="T1055" s="3"/>
      <c r="U1055" s="3"/>
      <c r="V1055" s="13" t="e">
        <f t="shared" si="191"/>
        <v>#DIV/0!</v>
      </c>
      <c r="W1055" s="13" t="e">
        <f t="shared" si="214"/>
        <v>#DIV/0!</v>
      </c>
      <c r="X1055" s="3">
        <f t="shared" si="192"/>
        <v>0</v>
      </c>
      <c r="Y1055" s="3" t="e">
        <f t="shared" si="215"/>
        <v>#DIV/0!</v>
      </c>
      <c r="Z1055" s="3"/>
      <c r="AA1055" s="3">
        <f t="shared" si="218"/>
        <v>222.5</v>
      </c>
      <c r="AB1055" s="3">
        <v>110</v>
      </c>
      <c r="AC1055" s="3" t="s">
        <v>180</v>
      </c>
      <c r="AD1055" s="3" t="s">
        <v>83</v>
      </c>
      <c r="AE1055" s="3">
        <v>15</v>
      </c>
      <c r="AF1055" s="3" t="s">
        <v>151</v>
      </c>
      <c r="AG1055" s="3" t="s">
        <v>340</v>
      </c>
      <c r="AH1055" s="3"/>
    </row>
    <row r="1056" spans="1:34" ht="14.25" customHeight="1" x14ac:dyDescent="0.25">
      <c r="A1056" s="3" t="s">
        <v>119</v>
      </c>
      <c r="B1056" s="3" t="s">
        <v>79</v>
      </c>
      <c r="C1056" s="3"/>
      <c r="D1056" s="3" t="s">
        <v>115</v>
      </c>
      <c r="E1056" s="3">
        <v>1</v>
      </c>
      <c r="F1056" s="3">
        <v>1</v>
      </c>
      <c r="G1056" s="3" t="s">
        <v>14</v>
      </c>
      <c r="H1056" s="11">
        <v>45930</v>
      </c>
      <c r="I1056" s="3" t="s">
        <v>181</v>
      </c>
      <c r="J1056" s="3"/>
      <c r="K1056" s="3"/>
      <c r="L1056" s="3"/>
      <c r="M1056" s="3"/>
      <c r="N1056" s="3"/>
      <c r="O1056" s="3">
        <v>8</v>
      </c>
      <c r="P1056" s="3"/>
      <c r="Q1056" s="3"/>
      <c r="R1056" s="3"/>
      <c r="S1056" s="3"/>
      <c r="T1056" s="3"/>
      <c r="U1056" s="3"/>
      <c r="V1056" s="13" t="e">
        <f t="shared" si="191"/>
        <v>#DIV/0!</v>
      </c>
      <c r="W1056" s="13" t="e">
        <f t="shared" si="214"/>
        <v>#DIV/0!</v>
      </c>
      <c r="X1056" s="3">
        <f t="shared" si="192"/>
        <v>0</v>
      </c>
      <c r="Y1056" s="3" t="e">
        <f t="shared" si="215"/>
        <v>#DIV/0!</v>
      </c>
      <c r="Z1056" s="3"/>
      <c r="AA1056" s="3">
        <f t="shared" si="218"/>
        <v>222.5</v>
      </c>
      <c r="AB1056" s="3">
        <v>110</v>
      </c>
      <c r="AC1056" s="3" t="s">
        <v>180</v>
      </c>
      <c r="AD1056" s="3" t="s">
        <v>83</v>
      </c>
      <c r="AE1056" s="3">
        <v>15</v>
      </c>
      <c r="AF1056" s="3" t="s">
        <v>151</v>
      </c>
      <c r="AG1056" s="3" t="s">
        <v>340</v>
      </c>
      <c r="AH1056" s="3"/>
    </row>
    <row r="1057" spans="1:34" ht="14.25" customHeight="1" x14ac:dyDescent="0.25">
      <c r="A1057" s="3" t="s">
        <v>119</v>
      </c>
      <c r="B1057" s="3" t="s">
        <v>79</v>
      </c>
      <c r="C1057" s="3"/>
      <c r="D1057" s="3" t="s">
        <v>115</v>
      </c>
      <c r="E1057" s="3">
        <v>1</v>
      </c>
      <c r="F1057" s="3">
        <v>1</v>
      </c>
      <c r="G1057" s="3" t="s">
        <v>18</v>
      </c>
      <c r="H1057" s="11">
        <v>45930</v>
      </c>
      <c r="I1057" s="3" t="s">
        <v>181</v>
      </c>
      <c r="J1057" s="3"/>
      <c r="K1057" s="3"/>
      <c r="L1057" s="3"/>
      <c r="M1057" s="3"/>
      <c r="N1057" s="3"/>
      <c r="O1057" s="3">
        <v>5</v>
      </c>
      <c r="P1057" s="3"/>
      <c r="Q1057" s="3"/>
      <c r="R1057" s="3"/>
      <c r="S1057" s="3"/>
      <c r="T1057" s="3"/>
      <c r="U1057" s="3"/>
      <c r="V1057" s="13" t="e">
        <f t="shared" si="191"/>
        <v>#DIV/0!</v>
      </c>
      <c r="W1057" s="13" t="e">
        <f t="shared" si="214"/>
        <v>#DIV/0!</v>
      </c>
      <c r="X1057" s="3">
        <f t="shared" si="192"/>
        <v>0</v>
      </c>
      <c r="Y1057" s="3" t="e">
        <f t="shared" si="215"/>
        <v>#DIV/0!</v>
      </c>
      <c r="Z1057" s="3"/>
      <c r="AA1057" s="3">
        <f t="shared" si="218"/>
        <v>222.5</v>
      </c>
      <c r="AB1057" s="3">
        <v>110</v>
      </c>
      <c r="AC1057" s="3" t="s">
        <v>180</v>
      </c>
      <c r="AD1057" s="3" t="s">
        <v>83</v>
      </c>
      <c r="AE1057" s="3">
        <v>15</v>
      </c>
      <c r="AF1057" s="3" t="s">
        <v>151</v>
      </c>
      <c r="AG1057" s="3" t="s">
        <v>340</v>
      </c>
      <c r="AH1057" s="3"/>
    </row>
    <row r="1058" spans="1:34" ht="14.25" customHeight="1" x14ac:dyDescent="0.25">
      <c r="A1058" s="3" t="s">
        <v>130</v>
      </c>
      <c r="B1058" s="3" t="s">
        <v>79</v>
      </c>
      <c r="C1058" s="3"/>
      <c r="D1058" s="3" t="s">
        <v>117</v>
      </c>
      <c r="E1058" s="3">
        <v>1</v>
      </c>
      <c r="F1058" s="3">
        <v>1</v>
      </c>
      <c r="G1058" s="3" t="s">
        <v>2</v>
      </c>
      <c r="H1058" s="11">
        <v>45930</v>
      </c>
      <c r="I1058" s="3" t="s">
        <v>181</v>
      </c>
      <c r="J1058" s="3"/>
      <c r="K1058" s="3"/>
      <c r="L1058" s="3"/>
      <c r="M1058" s="3"/>
      <c r="N1058" s="3"/>
      <c r="O1058" s="3">
        <v>30</v>
      </c>
      <c r="P1058" s="3"/>
      <c r="Q1058" s="3"/>
      <c r="R1058" s="3"/>
      <c r="S1058" s="3"/>
      <c r="T1058" s="3"/>
      <c r="U1058" s="3"/>
      <c r="V1058" s="13" t="e">
        <f t="shared" si="191"/>
        <v>#DIV/0!</v>
      </c>
      <c r="W1058" s="13" t="e">
        <f t="shared" si="214"/>
        <v>#DIV/0!</v>
      </c>
      <c r="X1058" s="3">
        <f t="shared" si="192"/>
        <v>0</v>
      </c>
      <c r="Y1058" s="3" t="e">
        <f t="shared" si="215"/>
        <v>#DIV/0!</v>
      </c>
      <c r="Z1058" s="3"/>
      <c r="AA1058" s="3"/>
      <c r="AB1058" s="3">
        <v>60</v>
      </c>
      <c r="AC1058" s="3" t="s">
        <v>180</v>
      </c>
      <c r="AD1058" s="3" t="s">
        <v>83</v>
      </c>
      <c r="AE1058" s="3">
        <v>15</v>
      </c>
      <c r="AF1058" s="3" t="s">
        <v>151</v>
      </c>
      <c r="AG1058" s="3" t="s">
        <v>260</v>
      </c>
      <c r="AH1058" s="3"/>
    </row>
    <row r="1059" spans="1:34" ht="14.25" customHeight="1" x14ac:dyDescent="0.25">
      <c r="A1059" s="3" t="s">
        <v>130</v>
      </c>
      <c r="B1059" s="3" t="s">
        <v>79</v>
      </c>
      <c r="C1059" s="3"/>
      <c r="D1059" s="3" t="s">
        <v>117</v>
      </c>
      <c r="E1059" s="3">
        <v>1</v>
      </c>
      <c r="F1059" s="3">
        <v>1</v>
      </c>
      <c r="G1059" s="3" t="s">
        <v>14</v>
      </c>
      <c r="H1059" s="11">
        <v>45930</v>
      </c>
      <c r="I1059" s="3" t="s">
        <v>181</v>
      </c>
      <c r="J1059" s="3"/>
      <c r="K1059" s="3"/>
      <c r="L1059" s="3"/>
      <c r="M1059" s="3"/>
      <c r="N1059" s="3"/>
      <c r="O1059" s="3">
        <v>18</v>
      </c>
      <c r="P1059" s="3"/>
      <c r="Q1059" s="3"/>
      <c r="R1059" s="3"/>
      <c r="S1059" s="3"/>
      <c r="T1059" s="3"/>
      <c r="U1059" s="3"/>
      <c r="V1059" s="13" t="e">
        <f t="shared" si="191"/>
        <v>#DIV/0!</v>
      </c>
      <c r="W1059" s="13" t="e">
        <f t="shared" si="214"/>
        <v>#DIV/0!</v>
      </c>
      <c r="X1059" s="3">
        <f t="shared" si="192"/>
        <v>0</v>
      </c>
      <c r="Y1059" s="3" t="e">
        <f t="shared" si="215"/>
        <v>#DIV/0!</v>
      </c>
      <c r="Z1059" s="3"/>
      <c r="AA1059" s="3"/>
      <c r="AB1059" s="3">
        <v>60</v>
      </c>
      <c r="AC1059" s="3" t="s">
        <v>180</v>
      </c>
      <c r="AD1059" s="3" t="s">
        <v>83</v>
      </c>
      <c r="AE1059" s="3">
        <v>15</v>
      </c>
      <c r="AF1059" s="3" t="s">
        <v>151</v>
      </c>
      <c r="AG1059" s="3" t="s">
        <v>260</v>
      </c>
      <c r="AH1059" s="3"/>
    </row>
    <row r="1060" spans="1:34" ht="14.25" customHeight="1" x14ac:dyDescent="0.25">
      <c r="A1060" s="3" t="s">
        <v>130</v>
      </c>
      <c r="B1060" s="3" t="s">
        <v>79</v>
      </c>
      <c r="C1060" s="3"/>
      <c r="D1060" s="3" t="s">
        <v>117</v>
      </c>
      <c r="E1060" s="3">
        <v>1</v>
      </c>
      <c r="F1060" s="3">
        <v>1</v>
      </c>
      <c r="G1060" s="3" t="s">
        <v>25</v>
      </c>
      <c r="H1060" s="11">
        <v>45930</v>
      </c>
      <c r="I1060" s="3" t="s">
        <v>181</v>
      </c>
      <c r="J1060" s="3"/>
      <c r="K1060" s="3"/>
      <c r="L1060" s="3"/>
      <c r="M1060" s="3"/>
      <c r="N1060" s="3"/>
      <c r="O1060" s="3">
        <v>42</v>
      </c>
      <c r="P1060" s="3"/>
      <c r="Q1060" s="3"/>
      <c r="R1060" s="3"/>
      <c r="S1060" s="3"/>
      <c r="T1060" s="3"/>
      <c r="U1060" s="3"/>
      <c r="V1060" s="13" t="e">
        <f t="shared" si="191"/>
        <v>#DIV/0!</v>
      </c>
      <c r="W1060" s="13" t="e">
        <f t="shared" si="214"/>
        <v>#DIV/0!</v>
      </c>
      <c r="X1060" s="3">
        <f t="shared" si="192"/>
        <v>0</v>
      </c>
      <c r="Y1060" s="3" t="e">
        <f t="shared" si="215"/>
        <v>#DIV/0!</v>
      </c>
      <c r="Z1060" s="3"/>
      <c r="AA1060" s="3"/>
      <c r="AB1060" s="3">
        <v>60</v>
      </c>
      <c r="AC1060" s="3" t="s">
        <v>180</v>
      </c>
      <c r="AD1060" s="3" t="s">
        <v>83</v>
      </c>
      <c r="AE1060" s="3">
        <v>15</v>
      </c>
      <c r="AF1060" s="3" t="s">
        <v>151</v>
      </c>
      <c r="AG1060" s="3" t="s">
        <v>260</v>
      </c>
      <c r="AH1060" s="3"/>
    </row>
    <row r="1061" spans="1:34" ht="14.25" customHeight="1" x14ac:dyDescent="0.25">
      <c r="A1061" s="3" t="s">
        <v>130</v>
      </c>
      <c r="B1061" s="3" t="s">
        <v>79</v>
      </c>
      <c r="C1061" s="3"/>
      <c r="D1061" s="3" t="s">
        <v>117</v>
      </c>
      <c r="E1061" s="3">
        <v>1</v>
      </c>
      <c r="F1061" s="3">
        <v>1</v>
      </c>
      <c r="G1061" s="3" t="s">
        <v>15</v>
      </c>
      <c r="H1061" s="11">
        <v>45930</v>
      </c>
      <c r="I1061" s="3" t="s">
        <v>181</v>
      </c>
      <c r="J1061" s="3"/>
      <c r="K1061" s="3"/>
      <c r="L1061" s="3"/>
      <c r="M1061" s="3"/>
      <c r="N1061" s="3"/>
      <c r="O1061" s="3">
        <v>61</v>
      </c>
      <c r="P1061" s="3"/>
      <c r="Q1061" s="3"/>
      <c r="R1061" s="3"/>
      <c r="S1061" s="3"/>
      <c r="T1061" s="3"/>
      <c r="U1061" s="3"/>
      <c r="V1061" s="13" t="e">
        <f t="shared" si="191"/>
        <v>#DIV/0!</v>
      </c>
      <c r="W1061" s="13" t="e">
        <f t="shared" si="214"/>
        <v>#DIV/0!</v>
      </c>
      <c r="X1061" s="3">
        <f t="shared" si="192"/>
        <v>0</v>
      </c>
      <c r="Y1061" s="3" t="e">
        <f t="shared" si="215"/>
        <v>#DIV/0!</v>
      </c>
      <c r="Z1061" s="3"/>
      <c r="AA1061" s="3"/>
      <c r="AB1061" s="3">
        <v>60</v>
      </c>
      <c r="AC1061" s="3" t="s">
        <v>180</v>
      </c>
      <c r="AD1061" s="3" t="s">
        <v>83</v>
      </c>
      <c r="AE1061" s="3">
        <v>15</v>
      </c>
      <c r="AF1061" s="3" t="s">
        <v>151</v>
      </c>
      <c r="AG1061" s="3" t="s">
        <v>260</v>
      </c>
      <c r="AH1061" s="3"/>
    </row>
    <row r="1062" spans="1:34" ht="14.25" customHeight="1" x14ac:dyDescent="0.25">
      <c r="A1062" s="3" t="s">
        <v>128</v>
      </c>
      <c r="B1062" s="3" t="s">
        <v>79</v>
      </c>
      <c r="C1062" s="3"/>
      <c r="D1062" s="3" t="s">
        <v>117</v>
      </c>
      <c r="E1062" s="3">
        <v>1</v>
      </c>
      <c r="F1062" s="3">
        <v>1</v>
      </c>
      <c r="G1062" s="3" t="s">
        <v>2</v>
      </c>
      <c r="H1062" s="11">
        <v>45930</v>
      </c>
      <c r="I1062" s="3" t="s">
        <v>181</v>
      </c>
      <c r="J1062" s="3"/>
      <c r="K1062" s="3"/>
      <c r="L1062" s="3"/>
      <c r="M1062" s="3"/>
      <c r="N1062" s="3"/>
      <c r="O1062" s="3">
        <v>6</v>
      </c>
      <c r="P1062" s="3"/>
      <c r="Q1062" s="3"/>
      <c r="R1062" s="3"/>
      <c r="S1062" s="3"/>
      <c r="T1062" s="3"/>
      <c r="U1062" s="3"/>
      <c r="V1062" s="13" t="e">
        <f t="shared" si="191"/>
        <v>#DIV/0!</v>
      </c>
      <c r="W1062" s="13" t="e">
        <f t="shared" si="214"/>
        <v>#DIV/0!</v>
      </c>
      <c r="X1062" s="3">
        <f t="shared" si="192"/>
        <v>0</v>
      </c>
      <c r="Y1062" s="3" t="e">
        <f t="shared" si="215"/>
        <v>#DIV/0!</v>
      </c>
      <c r="Z1062" s="3"/>
      <c r="AA1062" s="3"/>
      <c r="AB1062" s="3">
        <f t="shared" ref="AB1062:AB1066" si="219">60+30</f>
        <v>90</v>
      </c>
      <c r="AC1062" s="3" t="s">
        <v>180</v>
      </c>
      <c r="AD1062" s="3" t="s">
        <v>83</v>
      </c>
      <c r="AE1062" s="3">
        <v>15</v>
      </c>
      <c r="AF1062" s="3" t="s">
        <v>151</v>
      </c>
      <c r="AG1062" s="3" t="s">
        <v>263</v>
      </c>
      <c r="AH1062" s="3"/>
    </row>
    <row r="1063" spans="1:34" ht="14.25" customHeight="1" x14ac:dyDescent="0.25">
      <c r="A1063" s="3" t="s">
        <v>128</v>
      </c>
      <c r="B1063" s="3" t="s">
        <v>79</v>
      </c>
      <c r="C1063" s="3"/>
      <c r="D1063" s="3" t="s">
        <v>117</v>
      </c>
      <c r="E1063" s="3">
        <v>1</v>
      </c>
      <c r="F1063" s="3">
        <v>1</v>
      </c>
      <c r="G1063" s="3" t="s">
        <v>14</v>
      </c>
      <c r="H1063" s="11">
        <v>45930</v>
      </c>
      <c r="I1063" s="3" t="s">
        <v>181</v>
      </c>
      <c r="J1063" s="3"/>
      <c r="K1063" s="3"/>
      <c r="L1063" s="3"/>
      <c r="M1063" s="3"/>
      <c r="N1063" s="3"/>
      <c r="O1063" s="3">
        <v>8</v>
      </c>
      <c r="P1063" s="3"/>
      <c r="Q1063" s="3"/>
      <c r="R1063" s="3"/>
      <c r="S1063" s="3"/>
      <c r="T1063" s="3"/>
      <c r="U1063" s="3"/>
      <c r="V1063" s="13" t="e">
        <f t="shared" si="191"/>
        <v>#DIV/0!</v>
      </c>
      <c r="W1063" s="13" t="e">
        <f t="shared" si="214"/>
        <v>#DIV/0!</v>
      </c>
      <c r="X1063" s="3">
        <f t="shared" si="192"/>
        <v>0</v>
      </c>
      <c r="Y1063" s="3" t="e">
        <f t="shared" si="215"/>
        <v>#DIV/0!</v>
      </c>
      <c r="Z1063" s="3"/>
      <c r="AA1063" s="3"/>
      <c r="AB1063" s="3">
        <f t="shared" si="219"/>
        <v>90</v>
      </c>
      <c r="AC1063" s="3" t="s">
        <v>180</v>
      </c>
      <c r="AD1063" s="3" t="s">
        <v>83</v>
      </c>
      <c r="AE1063" s="3">
        <v>15</v>
      </c>
      <c r="AF1063" s="3" t="s">
        <v>151</v>
      </c>
      <c r="AG1063" s="3" t="s">
        <v>263</v>
      </c>
      <c r="AH1063" s="3"/>
    </row>
    <row r="1064" spans="1:34" ht="14.25" customHeight="1" x14ac:dyDescent="0.25">
      <c r="A1064" s="3" t="s">
        <v>128</v>
      </c>
      <c r="B1064" s="3" t="s">
        <v>79</v>
      </c>
      <c r="C1064" s="3"/>
      <c r="D1064" s="3" t="s">
        <v>117</v>
      </c>
      <c r="E1064" s="3">
        <v>1</v>
      </c>
      <c r="F1064" s="3">
        <v>1</v>
      </c>
      <c r="G1064" s="3" t="s">
        <v>16</v>
      </c>
      <c r="H1064" s="11">
        <v>45930</v>
      </c>
      <c r="I1064" s="3" t="s">
        <v>181</v>
      </c>
      <c r="J1064" s="3"/>
      <c r="K1064" s="3"/>
      <c r="L1064" s="3"/>
      <c r="M1064" s="3"/>
      <c r="N1064" s="3"/>
      <c r="O1064" s="3">
        <v>12</v>
      </c>
      <c r="P1064" s="3"/>
      <c r="Q1064" s="3"/>
      <c r="R1064" s="3"/>
      <c r="S1064" s="3"/>
      <c r="T1064" s="3"/>
      <c r="U1064" s="3"/>
      <c r="V1064" s="13" t="e">
        <f t="shared" si="191"/>
        <v>#DIV/0!</v>
      </c>
      <c r="W1064" s="13" t="e">
        <f t="shared" si="214"/>
        <v>#DIV/0!</v>
      </c>
      <c r="X1064" s="3">
        <f t="shared" si="192"/>
        <v>0</v>
      </c>
      <c r="Y1064" s="3" t="e">
        <f t="shared" si="215"/>
        <v>#DIV/0!</v>
      </c>
      <c r="Z1064" s="3"/>
      <c r="AA1064" s="3"/>
      <c r="AB1064" s="3">
        <f t="shared" si="219"/>
        <v>90</v>
      </c>
      <c r="AC1064" s="3" t="s">
        <v>180</v>
      </c>
      <c r="AD1064" s="3" t="s">
        <v>83</v>
      </c>
      <c r="AE1064" s="3">
        <v>15</v>
      </c>
      <c r="AF1064" s="3" t="s">
        <v>151</v>
      </c>
      <c r="AG1064" s="3" t="s">
        <v>263</v>
      </c>
      <c r="AH1064" s="3"/>
    </row>
    <row r="1065" spans="1:34" ht="14.25" customHeight="1" x14ac:dyDescent="0.25">
      <c r="A1065" s="3" t="s">
        <v>128</v>
      </c>
      <c r="B1065" s="3" t="s">
        <v>79</v>
      </c>
      <c r="C1065" s="3"/>
      <c r="D1065" s="3" t="s">
        <v>117</v>
      </c>
      <c r="E1065" s="3">
        <v>1</v>
      </c>
      <c r="F1065" s="3">
        <v>1</v>
      </c>
      <c r="G1065" s="3" t="s">
        <v>18</v>
      </c>
      <c r="H1065" s="11">
        <v>45930</v>
      </c>
      <c r="I1065" s="3" t="s">
        <v>181</v>
      </c>
      <c r="J1065" s="3"/>
      <c r="K1065" s="3"/>
      <c r="L1065" s="3"/>
      <c r="M1065" s="3"/>
      <c r="N1065" s="3"/>
      <c r="O1065" s="3">
        <v>15</v>
      </c>
      <c r="P1065" s="3"/>
      <c r="Q1065" s="3"/>
      <c r="R1065" s="3"/>
      <c r="S1065" s="3"/>
      <c r="T1065" s="3"/>
      <c r="U1065" s="3"/>
      <c r="V1065" s="13" t="e">
        <f t="shared" si="191"/>
        <v>#DIV/0!</v>
      </c>
      <c r="W1065" s="13" t="e">
        <f t="shared" si="214"/>
        <v>#DIV/0!</v>
      </c>
      <c r="X1065" s="3">
        <f t="shared" si="192"/>
        <v>0</v>
      </c>
      <c r="Y1065" s="3" t="e">
        <f t="shared" si="215"/>
        <v>#DIV/0!</v>
      </c>
      <c r="Z1065" s="3"/>
      <c r="AA1065" s="3"/>
      <c r="AB1065" s="3">
        <f t="shared" si="219"/>
        <v>90</v>
      </c>
      <c r="AC1065" s="3" t="s">
        <v>180</v>
      </c>
      <c r="AD1065" s="3" t="s">
        <v>83</v>
      </c>
      <c r="AE1065" s="3">
        <v>15</v>
      </c>
      <c r="AF1065" s="3" t="s">
        <v>151</v>
      </c>
      <c r="AG1065" s="3" t="s">
        <v>263</v>
      </c>
      <c r="AH1065" s="3"/>
    </row>
    <row r="1066" spans="1:34" ht="14.25" customHeight="1" x14ac:dyDescent="0.25">
      <c r="A1066" s="3" t="s">
        <v>128</v>
      </c>
      <c r="B1066" s="3" t="s">
        <v>79</v>
      </c>
      <c r="C1066" s="3"/>
      <c r="D1066" s="3" t="s">
        <v>117</v>
      </c>
      <c r="E1066" s="3">
        <v>1</v>
      </c>
      <c r="F1066" s="3">
        <v>1</v>
      </c>
      <c r="G1066" s="3" t="s">
        <v>25</v>
      </c>
      <c r="H1066" s="11">
        <v>45930</v>
      </c>
      <c r="I1066" s="3" t="s">
        <v>181</v>
      </c>
      <c r="J1066" s="3"/>
      <c r="K1066" s="3"/>
      <c r="L1066" s="3"/>
      <c r="M1066" s="3"/>
      <c r="N1066" s="3"/>
      <c r="O1066" s="3">
        <v>11</v>
      </c>
      <c r="P1066" s="3"/>
      <c r="Q1066" s="3"/>
      <c r="R1066" s="3"/>
      <c r="S1066" s="3"/>
      <c r="T1066" s="3"/>
      <c r="U1066" s="3"/>
      <c r="V1066" s="13" t="e">
        <f t="shared" si="191"/>
        <v>#DIV/0!</v>
      </c>
      <c r="W1066" s="13" t="e">
        <f t="shared" si="214"/>
        <v>#DIV/0!</v>
      </c>
      <c r="X1066" s="3">
        <f t="shared" si="192"/>
        <v>0</v>
      </c>
      <c r="Y1066" s="3" t="e">
        <f t="shared" si="215"/>
        <v>#DIV/0!</v>
      </c>
      <c r="Z1066" s="3"/>
      <c r="AA1066" s="3"/>
      <c r="AB1066" s="3">
        <f t="shared" si="219"/>
        <v>90</v>
      </c>
      <c r="AC1066" s="3" t="s">
        <v>180</v>
      </c>
      <c r="AD1066" s="3" t="s">
        <v>83</v>
      </c>
      <c r="AE1066" s="3">
        <v>15</v>
      </c>
      <c r="AF1066" s="3" t="s">
        <v>151</v>
      </c>
      <c r="AG1066" s="3" t="s">
        <v>263</v>
      </c>
      <c r="AH1066" s="3"/>
    </row>
    <row r="1067" spans="1:34" ht="14.25" customHeight="1" x14ac:dyDescent="0.25">
      <c r="A1067" s="3" t="s">
        <v>152</v>
      </c>
      <c r="B1067" s="3" t="s">
        <v>79</v>
      </c>
      <c r="C1067" s="3"/>
      <c r="D1067" s="3" t="s">
        <v>115</v>
      </c>
      <c r="E1067" s="3">
        <v>1</v>
      </c>
      <c r="F1067" s="3">
        <v>1</v>
      </c>
      <c r="G1067" s="3" t="s">
        <v>1</v>
      </c>
      <c r="H1067" s="11">
        <v>45930</v>
      </c>
      <c r="I1067" s="3" t="s">
        <v>181</v>
      </c>
      <c r="J1067" s="3"/>
      <c r="K1067" s="3"/>
      <c r="L1067" s="3"/>
      <c r="M1067" s="3"/>
      <c r="N1067" s="3"/>
      <c r="O1067" s="3">
        <v>85</v>
      </c>
      <c r="P1067" s="3"/>
      <c r="Q1067" s="3"/>
      <c r="R1067" s="3"/>
      <c r="S1067" s="3"/>
      <c r="T1067" s="3"/>
      <c r="U1067" s="3"/>
      <c r="V1067" s="13" t="e">
        <f t="shared" si="191"/>
        <v>#DIV/0!</v>
      </c>
      <c r="W1067" s="13" t="e">
        <f t="shared" si="214"/>
        <v>#DIV/0!</v>
      </c>
      <c r="X1067" s="3">
        <f t="shared" si="192"/>
        <v>0</v>
      </c>
      <c r="Y1067" s="3" t="e">
        <f t="shared" si="215"/>
        <v>#DIV/0!</v>
      </c>
      <c r="Z1067" s="3"/>
      <c r="AA1067" s="3">
        <f t="shared" ref="AA1067:AA1078" si="220">10*2.5*5+12*2*5</f>
        <v>245</v>
      </c>
      <c r="AB1067" s="3">
        <v>130</v>
      </c>
      <c r="AC1067" s="3" t="s">
        <v>180</v>
      </c>
      <c r="AD1067" s="3" t="s">
        <v>83</v>
      </c>
      <c r="AE1067" s="3">
        <v>15</v>
      </c>
      <c r="AF1067" s="3" t="s">
        <v>151</v>
      </c>
      <c r="AG1067" s="3" t="s">
        <v>340</v>
      </c>
      <c r="AH1067" s="3"/>
    </row>
    <row r="1068" spans="1:34" ht="14.25" customHeight="1" x14ac:dyDescent="0.25">
      <c r="A1068" s="3" t="s">
        <v>152</v>
      </c>
      <c r="B1068" s="3" t="s">
        <v>79</v>
      </c>
      <c r="C1068" s="3"/>
      <c r="D1068" s="3" t="s">
        <v>115</v>
      </c>
      <c r="E1068" s="3">
        <v>1</v>
      </c>
      <c r="F1068" s="3">
        <v>1</v>
      </c>
      <c r="G1068" s="3" t="s">
        <v>3</v>
      </c>
      <c r="H1068" s="11">
        <v>45930</v>
      </c>
      <c r="I1068" s="3" t="s">
        <v>181</v>
      </c>
      <c r="J1068" s="3"/>
      <c r="K1068" s="3"/>
      <c r="L1068" s="3"/>
      <c r="M1068" s="3"/>
      <c r="N1068" s="3"/>
      <c r="O1068" s="3">
        <v>63</v>
      </c>
      <c r="P1068" s="3"/>
      <c r="Q1068" s="3"/>
      <c r="R1068" s="3"/>
      <c r="S1068" s="3"/>
      <c r="T1068" s="3"/>
      <c r="U1068" s="3"/>
      <c r="V1068" s="13" t="e">
        <f t="shared" si="191"/>
        <v>#DIV/0!</v>
      </c>
      <c r="W1068" s="13" t="e">
        <f t="shared" si="214"/>
        <v>#DIV/0!</v>
      </c>
      <c r="X1068" s="3">
        <f t="shared" si="192"/>
        <v>0</v>
      </c>
      <c r="Y1068" s="3" t="e">
        <f t="shared" si="215"/>
        <v>#DIV/0!</v>
      </c>
      <c r="Z1068" s="3"/>
      <c r="AA1068" s="3">
        <f t="shared" si="220"/>
        <v>245</v>
      </c>
      <c r="AB1068" s="3">
        <v>130</v>
      </c>
      <c r="AC1068" s="3" t="s">
        <v>180</v>
      </c>
      <c r="AD1068" s="3" t="s">
        <v>83</v>
      </c>
      <c r="AE1068" s="3">
        <v>15</v>
      </c>
      <c r="AF1068" s="3" t="s">
        <v>151</v>
      </c>
      <c r="AG1068" s="3" t="s">
        <v>340</v>
      </c>
      <c r="AH1068" s="3"/>
    </row>
    <row r="1069" spans="1:34" ht="14.25" customHeight="1" x14ac:dyDescent="0.25">
      <c r="A1069" s="3" t="s">
        <v>152</v>
      </c>
      <c r="B1069" s="3" t="s">
        <v>79</v>
      </c>
      <c r="C1069" s="3"/>
      <c r="D1069" s="3" t="s">
        <v>115</v>
      </c>
      <c r="E1069" s="3">
        <v>1</v>
      </c>
      <c r="F1069" s="3">
        <v>1</v>
      </c>
      <c r="G1069" s="3" t="s">
        <v>7</v>
      </c>
      <c r="H1069" s="11">
        <v>45930</v>
      </c>
      <c r="I1069" s="3" t="s">
        <v>181</v>
      </c>
      <c r="J1069" s="3"/>
      <c r="K1069" s="3"/>
      <c r="L1069" s="3"/>
      <c r="M1069" s="3"/>
      <c r="N1069" s="3"/>
      <c r="O1069" s="3">
        <v>10</v>
      </c>
      <c r="P1069" s="3"/>
      <c r="Q1069" s="3"/>
      <c r="R1069" s="3"/>
      <c r="S1069" s="3"/>
      <c r="T1069" s="3"/>
      <c r="U1069" s="3"/>
      <c r="V1069" s="13" t="e">
        <f t="shared" si="191"/>
        <v>#DIV/0!</v>
      </c>
      <c r="W1069" s="13" t="e">
        <f t="shared" si="214"/>
        <v>#DIV/0!</v>
      </c>
      <c r="X1069" s="3">
        <f t="shared" si="192"/>
        <v>0</v>
      </c>
      <c r="Y1069" s="3" t="e">
        <f t="shared" si="215"/>
        <v>#DIV/0!</v>
      </c>
      <c r="Z1069" s="3"/>
      <c r="AA1069" s="3">
        <f t="shared" si="220"/>
        <v>245</v>
      </c>
      <c r="AB1069" s="3">
        <v>130</v>
      </c>
      <c r="AC1069" s="3" t="s">
        <v>180</v>
      </c>
      <c r="AD1069" s="3" t="s">
        <v>83</v>
      </c>
      <c r="AE1069" s="3">
        <v>15</v>
      </c>
      <c r="AF1069" s="3" t="s">
        <v>151</v>
      </c>
      <c r="AG1069" s="3" t="s">
        <v>340</v>
      </c>
      <c r="AH1069" s="3"/>
    </row>
    <row r="1070" spans="1:34" ht="14.25" customHeight="1" x14ac:dyDescent="0.25">
      <c r="A1070" s="3" t="s">
        <v>152</v>
      </c>
      <c r="B1070" s="3" t="s">
        <v>79</v>
      </c>
      <c r="C1070" s="3"/>
      <c r="D1070" s="3" t="s">
        <v>115</v>
      </c>
      <c r="E1070" s="3">
        <v>1</v>
      </c>
      <c r="F1070" s="3">
        <v>1</v>
      </c>
      <c r="G1070" s="3" t="s">
        <v>2</v>
      </c>
      <c r="H1070" s="11">
        <v>45930</v>
      </c>
      <c r="I1070" s="3" t="s">
        <v>181</v>
      </c>
      <c r="J1070" s="3"/>
      <c r="K1070" s="3"/>
      <c r="L1070" s="3"/>
      <c r="M1070" s="3"/>
      <c r="N1070" s="3"/>
      <c r="O1070" s="3">
        <v>60</v>
      </c>
      <c r="P1070" s="3"/>
      <c r="Q1070" s="3"/>
      <c r="R1070" s="3"/>
      <c r="S1070" s="3"/>
      <c r="T1070" s="3"/>
      <c r="U1070" s="3"/>
      <c r="V1070" s="13" t="e">
        <f t="shared" si="191"/>
        <v>#DIV/0!</v>
      </c>
      <c r="W1070" s="13" t="e">
        <f t="shared" si="214"/>
        <v>#DIV/0!</v>
      </c>
      <c r="X1070" s="3">
        <f t="shared" si="192"/>
        <v>0</v>
      </c>
      <c r="Y1070" s="3" t="e">
        <f t="shared" si="215"/>
        <v>#DIV/0!</v>
      </c>
      <c r="Z1070" s="3"/>
      <c r="AA1070" s="3">
        <f t="shared" si="220"/>
        <v>245</v>
      </c>
      <c r="AB1070" s="3">
        <v>130</v>
      </c>
      <c r="AC1070" s="3" t="s">
        <v>180</v>
      </c>
      <c r="AD1070" s="3" t="s">
        <v>83</v>
      </c>
      <c r="AE1070" s="3">
        <v>15</v>
      </c>
      <c r="AF1070" s="3" t="s">
        <v>151</v>
      </c>
      <c r="AG1070" s="3" t="s">
        <v>340</v>
      </c>
      <c r="AH1070" s="3"/>
    </row>
    <row r="1071" spans="1:34" ht="14.25" customHeight="1" x14ac:dyDescent="0.25">
      <c r="A1071" s="3" t="s">
        <v>152</v>
      </c>
      <c r="B1071" s="3" t="s">
        <v>79</v>
      </c>
      <c r="C1071" s="3"/>
      <c r="D1071" s="3" t="s">
        <v>115</v>
      </c>
      <c r="E1071" s="3">
        <v>1</v>
      </c>
      <c r="F1071" s="3">
        <v>1</v>
      </c>
      <c r="G1071" s="3" t="s">
        <v>10</v>
      </c>
      <c r="H1071" s="11">
        <v>45930</v>
      </c>
      <c r="I1071" s="3" t="s">
        <v>181</v>
      </c>
      <c r="J1071" s="3"/>
      <c r="K1071" s="3"/>
      <c r="L1071" s="3"/>
      <c r="M1071" s="3"/>
      <c r="N1071" s="3"/>
      <c r="O1071" s="3">
        <v>11</v>
      </c>
      <c r="P1071" s="3"/>
      <c r="Q1071" s="3"/>
      <c r="R1071" s="3"/>
      <c r="S1071" s="3"/>
      <c r="T1071" s="3"/>
      <c r="U1071" s="3"/>
      <c r="V1071" s="13" t="e">
        <f t="shared" si="191"/>
        <v>#DIV/0!</v>
      </c>
      <c r="W1071" s="13" t="e">
        <f t="shared" si="214"/>
        <v>#DIV/0!</v>
      </c>
      <c r="X1071" s="3">
        <f t="shared" si="192"/>
        <v>0</v>
      </c>
      <c r="Y1071" s="3" t="e">
        <f t="shared" si="215"/>
        <v>#DIV/0!</v>
      </c>
      <c r="Z1071" s="3"/>
      <c r="AA1071" s="3">
        <f t="shared" si="220"/>
        <v>245</v>
      </c>
      <c r="AB1071" s="3">
        <v>130</v>
      </c>
      <c r="AC1071" s="3" t="s">
        <v>180</v>
      </c>
      <c r="AD1071" s="3" t="s">
        <v>83</v>
      </c>
      <c r="AE1071" s="3">
        <v>15</v>
      </c>
      <c r="AF1071" s="3" t="s">
        <v>151</v>
      </c>
      <c r="AG1071" s="3" t="s">
        <v>340</v>
      </c>
      <c r="AH1071" s="3"/>
    </row>
    <row r="1072" spans="1:34" ht="14.25" customHeight="1" x14ac:dyDescent="0.25">
      <c r="A1072" s="3" t="s">
        <v>152</v>
      </c>
      <c r="B1072" s="3" t="s">
        <v>79</v>
      </c>
      <c r="C1072" s="3"/>
      <c r="D1072" s="3" t="s">
        <v>115</v>
      </c>
      <c r="E1072" s="3">
        <v>1</v>
      </c>
      <c r="F1072" s="3">
        <v>1</v>
      </c>
      <c r="G1072" s="3" t="s">
        <v>9</v>
      </c>
      <c r="H1072" s="11">
        <v>45930</v>
      </c>
      <c r="I1072" s="3" t="s">
        <v>181</v>
      </c>
      <c r="J1072" s="3"/>
      <c r="K1072" s="3"/>
      <c r="L1072" s="3"/>
      <c r="M1072" s="3"/>
      <c r="N1072" s="3"/>
      <c r="O1072" s="3">
        <v>16</v>
      </c>
      <c r="P1072" s="3"/>
      <c r="Q1072" s="3"/>
      <c r="R1072" s="3"/>
      <c r="S1072" s="3"/>
      <c r="T1072" s="3"/>
      <c r="U1072" s="3"/>
      <c r="V1072" s="13" t="e">
        <f t="shared" si="191"/>
        <v>#DIV/0!</v>
      </c>
      <c r="W1072" s="13" t="e">
        <f t="shared" si="214"/>
        <v>#DIV/0!</v>
      </c>
      <c r="X1072" s="3">
        <f t="shared" si="192"/>
        <v>0</v>
      </c>
      <c r="Y1072" s="3" t="e">
        <f t="shared" si="215"/>
        <v>#DIV/0!</v>
      </c>
      <c r="Z1072" s="3"/>
      <c r="AA1072" s="3">
        <f t="shared" si="220"/>
        <v>245</v>
      </c>
      <c r="AB1072" s="3">
        <v>130</v>
      </c>
      <c r="AC1072" s="3" t="s">
        <v>180</v>
      </c>
      <c r="AD1072" s="3" t="s">
        <v>83</v>
      </c>
      <c r="AE1072" s="3">
        <v>15</v>
      </c>
      <c r="AF1072" s="3" t="s">
        <v>151</v>
      </c>
      <c r="AG1072" s="3" t="s">
        <v>340</v>
      </c>
      <c r="AH1072" s="3"/>
    </row>
    <row r="1073" spans="1:34" ht="14.25" customHeight="1" x14ac:dyDescent="0.25">
      <c r="A1073" s="3" t="s">
        <v>152</v>
      </c>
      <c r="B1073" s="3" t="s">
        <v>79</v>
      </c>
      <c r="C1073" s="3"/>
      <c r="D1073" s="3" t="s">
        <v>115</v>
      </c>
      <c r="E1073" s="3">
        <v>1</v>
      </c>
      <c r="F1073" s="3">
        <v>1</v>
      </c>
      <c r="G1073" s="3" t="s">
        <v>14</v>
      </c>
      <c r="H1073" s="11">
        <v>45930</v>
      </c>
      <c r="I1073" s="3" t="s">
        <v>181</v>
      </c>
      <c r="J1073" s="3"/>
      <c r="K1073" s="3"/>
      <c r="L1073" s="3"/>
      <c r="M1073" s="3"/>
      <c r="N1073" s="3"/>
      <c r="O1073" s="3">
        <v>32</v>
      </c>
      <c r="P1073" s="3"/>
      <c r="Q1073" s="3"/>
      <c r="R1073" s="3"/>
      <c r="S1073" s="3"/>
      <c r="T1073" s="3"/>
      <c r="U1073" s="3"/>
      <c r="V1073" s="13" t="e">
        <f t="shared" si="191"/>
        <v>#DIV/0!</v>
      </c>
      <c r="W1073" s="13" t="e">
        <f t="shared" si="214"/>
        <v>#DIV/0!</v>
      </c>
      <c r="X1073" s="3">
        <f t="shared" si="192"/>
        <v>0</v>
      </c>
      <c r="Y1073" s="3" t="e">
        <f t="shared" si="215"/>
        <v>#DIV/0!</v>
      </c>
      <c r="Z1073" s="3"/>
      <c r="AA1073" s="3">
        <f t="shared" si="220"/>
        <v>245</v>
      </c>
      <c r="AB1073" s="3">
        <v>130</v>
      </c>
      <c r="AC1073" s="3" t="s">
        <v>180</v>
      </c>
      <c r="AD1073" s="3" t="s">
        <v>83</v>
      </c>
      <c r="AE1073" s="3">
        <v>15</v>
      </c>
      <c r="AF1073" s="3" t="s">
        <v>151</v>
      </c>
      <c r="AG1073" s="3" t="s">
        <v>340</v>
      </c>
      <c r="AH1073" s="3"/>
    </row>
    <row r="1074" spans="1:34" ht="14.25" customHeight="1" x14ac:dyDescent="0.25">
      <c r="A1074" s="3" t="s">
        <v>152</v>
      </c>
      <c r="B1074" s="3" t="s">
        <v>79</v>
      </c>
      <c r="C1074" s="3"/>
      <c r="D1074" s="3" t="s">
        <v>115</v>
      </c>
      <c r="E1074" s="3">
        <v>1</v>
      </c>
      <c r="F1074" s="3">
        <v>1</v>
      </c>
      <c r="G1074" s="3" t="s">
        <v>16</v>
      </c>
      <c r="H1074" s="11">
        <v>45930</v>
      </c>
      <c r="I1074" s="3" t="s">
        <v>181</v>
      </c>
      <c r="J1074" s="3"/>
      <c r="K1074" s="3"/>
      <c r="L1074" s="3"/>
      <c r="M1074" s="3"/>
      <c r="N1074" s="3"/>
      <c r="O1074" s="3">
        <v>12</v>
      </c>
      <c r="P1074" s="3"/>
      <c r="Q1074" s="3"/>
      <c r="R1074" s="3"/>
      <c r="S1074" s="3"/>
      <c r="T1074" s="3"/>
      <c r="U1074" s="3"/>
      <c r="V1074" s="13" t="e">
        <f t="shared" si="191"/>
        <v>#DIV/0!</v>
      </c>
      <c r="W1074" s="13" t="e">
        <f t="shared" si="214"/>
        <v>#DIV/0!</v>
      </c>
      <c r="X1074" s="3">
        <f t="shared" si="192"/>
        <v>0</v>
      </c>
      <c r="Y1074" s="3" t="e">
        <f t="shared" si="215"/>
        <v>#DIV/0!</v>
      </c>
      <c r="Z1074" s="3"/>
      <c r="AA1074" s="3">
        <f t="shared" si="220"/>
        <v>245</v>
      </c>
      <c r="AB1074" s="3">
        <v>130</v>
      </c>
      <c r="AC1074" s="3" t="s">
        <v>180</v>
      </c>
      <c r="AD1074" s="3" t="s">
        <v>83</v>
      </c>
      <c r="AE1074" s="3">
        <v>15</v>
      </c>
      <c r="AF1074" s="3" t="s">
        <v>151</v>
      </c>
      <c r="AG1074" s="3" t="s">
        <v>340</v>
      </c>
      <c r="AH1074" s="3"/>
    </row>
    <row r="1075" spans="1:34" ht="14.25" customHeight="1" x14ac:dyDescent="0.25">
      <c r="A1075" s="3" t="s">
        <v>152</v>
      </c>
      <c r="B1075" s="3" t="s">
        <v>79</v>
      </c>
      <c r="C1075" s="3"/>
      <c r="D1075" s="3" t="s">
        <v>115</v>
      </c>
      <c r="E1075" s="3">
        <v>1</v>
      </c>
      <c r="F1075" s="3">
        <v>1</v>
      </c>
      <c r="G1075" s="3" t="s">
        <v>18</v>
      </c>
      <c r="H1075" s="11">
        <v>45930</v>
      </c>
      <c r="I1075" s="3" t="s">
        <v>181</v>
      </c>
      <c r="J1075" s="3"/>
      <c r="K1075" s="3"/>
      <c r="L1075" s="3"/>
      <c r="M1075" s="3"/>
      <c r="N1075" s="3"/>
      <c r="O1075" s="3">
        <v>16</v>
      </c>
      <c r="P1075" s="3"/>
      <c r="Q1075" s="3"/>
      <c r="R1075" s="3"/>
      <c r="S1075" s="3"/>
      <c r="T1075" s="3"/>
      <c r="U1075" s="3"/>
      <c r="V1075" s="13" t="e">
        <f t="shared" si="191"/>
        <v>#DIV/0!</v>
      </c>
      <c r="W1075" s="13" t="e">
        <f t="shared" si="214"/>
        <v>#DIV/0!</v>
      </c>
      <c r="X1075" s="3">
        <f t="shared" si="192"/>
        <v>0</v>
      </c>
      <c r="Y1075" s="3" t="e">
        <f t="shared" si="215"/>
        <v>#DIV/0!</v>
      </c>
      <c r="Z1075" s="3"/>
      <c r="AA1075" s="3">
        <f t="shared" si="220"/>
        <v>245</v>
      </c>
      <c r="AB1075" s="3">
        <v>130</v>
      </c>
      <c r="AC1075" s="3" t="s">
        <v>180</v>
      </c>
      <c r="AD1075" s="3" t="s">
        <v>83</v>
      </c>
      <c r="AE1075" s="3">
        <v>15</v>
      </c>
      <c r="AF1075" s="3" t="s">
        <v>151</v>
      </c>
      <c r="AG1075" s="3" t="s">
        <v>340</v>
      </c>
      <c r="AH1075" s="3"/>
    </row>
    <row r="1076" spans="1:34" ht="14.25" customHeight="1" x14ac:dyDescent="0.25">
      <c r="A1076" s="3" t="s">
        <v>152</v>
      </c>
      <c r="B1076" s="3" t="s">
        <v>79</v>
      </c>
      <c r="C1076" s="3"/>
      <c r="D1076" s="3" t="s">
        <v>115</v>
      </c>
      <c r="E1076" s="3">
        <v>1</v>
      </c>
      <c r="F1076" s="3">
        <v>1</v>
      </c>
      <c r="G1076" s="3" t="s">
        <v>25</v>
      </c>
      <c r="H1076" s="11">
        <v>45930</v>
      </c>
      <c r="I1076" s="3" t="s">
        <v>181</v>
      </c>
      <c r="J1076" s="3"/>
      <c r="K1076" s="3"/>
      <c r="L1076" s="3"/>
      <c r="M1076" s="3"/>
      <c r="N1076" s="3"/>
      <c r="O1076" s="3">
        <v>22</v>
      </c>
      <c r="P1076" s="3"/>
      <c r="Q1076" s="3"/>
      <c r="R1076" s="3"/>
      <c r="S1076" s="3"/>
      <c r="T1076" s="3"/>
      <c r="U1076" s="3"/>
      <c r="V1076" s="13" t="e">
        <f t="shared" si="191"/>
        <v>#DIV/0!</v>
      </c>
      <c r="W1076" s="13" t="e">
        <f t="shared" si="214"/>
        <v>#DIV/0!</v>
      </c>
      <c r="X1076" s="3">
        <f t="shared" si="192"/>
        <v>0</v>
      </c>
      <c r="Y1076" s="3" t="e">
        <f t="shared" si="215"/>
        <v>#DIV/0!</v>
      </c>
      <c r="Z1076" s="3"/>
      <c r="AA1076" s="3">
        <f t="shared" si="220"/>
        <v>245</v>
      </c>
      <c r="AB1076" s="3">
        <v>130</v>
      </c>
      <c r="AC1076" s="3" t="s">
        <v>180</v>
      </c>
      <c r="AD1076" s="3" t="s">
        <v>83</v>
      </c>
      <c r="AE1076" s="3">
        <v>15</v>
      </c>
      <c r="AF1076" s="3" t="s">
        <v>151</v>
      </c>
      <c r="AG1076" s="3" t="s">
        <v>340</v>
      </c>
      <c r="AH1076" s="3"/>
    </row>
    <row r="1077" spans="1:34" ht="14.25" customHeight="1" x14ac:dyDescent="0.25">
      <c r="A1077" s="3" t="s">
        <v>152</v>
      </c>
      <c r="B1077" s="3" t="s">
        <v>79</v>
      </c>
      <c r="C1077" s="3"/>
      <c r="D1077" s="3" t="s">
        <v>115</v>
      </c>
      <c r="E1077" s="3">
        <v>1</v>
      </c>
      <c r="F1077" s="3">
        <v>1</v>
      </c>
      <c r="G1077" s="3" t="s">
        <v>22</v>
      </c>
      <c r="H1077" s="11">
        <v>45930</v>
      </c>
      <c r="I1077" s="3" t="s">
        <v>181</v>
      </c>
      <c r="J1077" s="3"/>
      <c r="K1077" s="3"/>
      <c r="L1077" s="3"/>
      <c r="M1077" s="3"/>
      <c r="N1077" s="3"/>
      <c r="O1077" s="3">
        <v>5</v>
      </c>
      <c r="P1077" s="3"/>
      <c r="Q1077" s="3"/>
      <c r="R1077" s="3"/>
      <c r="S1077" s="3"/>
      <c r="T1077" s="3"/>
      <c r="U1077" s="3"/>
      <c r="V1077" s="13" t="e">
        <f t="shared" si="191"/>
        <v>#DIV/0!</v>
      </c>
      <c r="W1077" s="13" t="e">
        <f t="shared" si="214"/>
        <v>#DIV/0!</v>
      </c>
      <c r="X1077" s="3">
        <f t="shared" si="192"/>
        <v>0</v>
      </c>
      <c r="Y1077" s="3" t="e">
        <f t="shared" si="215"/>
        <v>#DIV/0!</v>
      </c>
      <c r="Z1077" s="3"/>
      <c r="AA1077" s="3">
        <f t="shared" si="220"/>
        <v>245</v>
      </c>
      <c r="AB1077" s="3">
        <v>130</v>
      </c>
      <c r="AC1077" s="3" t="s">
        <v>180</v>
      </c>
      <c r="AD1077" s="3" t="s">
        <v>83</v>
      </c>
      <c r="AE1077" s="3">
        <v>15</v>
      </c>
      <c r="AF1077" s="3" t="s">
        <v>151</v>
      </c>
      <c r="AG1077" s="3" t="s">
        <v>340</v>
      </c>
      <c r="AH1077" s="3"/>
    </row>
    <row r="1078" spans="1:34" ht="14.25" customHeight="1" x14ac:dyDescent="0.25">
      <c r="A1078" s="3" t="s">
        <v>152</v>
      </c>
      <c r="B1078" s="3" t="s">
        <v>79</v>
      </c>
      <c r="C1078" s="3"/>
      <c r="D1078" s="3" t="s">
        <v>115</v>
      </c>
      <c r="E1078" s="3">
        <v>1</v>
      </c>
      <c r="F1078" s="3">
        <v>1</v>
      </c>
      <c r="G1078" s="3" t="s">
        <v>15</v>
      </c>
      <c r="H1078" s="11">
        <v>45930</v>
      </c>
      <c r="I1078" s="3" t="s">
        <v>181</v>
      </c>
      <c r="J1078" s="3"/>
      <c r="K1078" s="3"/>
      <c r="L1078" s="3"/>
      <c r="M1078" s="3"/>
      <c r="N1078" s="3"/>
      <c r="O1078" s="3">
        <v>14</v>
      </c>
      <c r="P1078" s="3"/>
      <c r="Q1078" s="3"/>
      <c r="R1078" s="3"/>
      <c r="S1078" s="3"/>
      <c r="T1078" s="3"/>
      <c r="U1078" s="3"/>
      <c r="V1078" s="13" t="e">
        <f t="shared" si="191"/>
        <v>#DIV/0!</v>
      </c>
      <c r="W1078" s="13" t="e">
        <f t="shared" si="214"/>
        <v>#DIV/0!</v>
      </c>
      <c r="X1078" s="3">
        <f t="shared" si="192"/>
        <v>0</v>
      </c>
      <c r="Y1078" s="3" t="e">
        <f t="shared" si="215"/>
        <v>#DIV/0!</v>
      </c>
      <c r="Z1078" s="3"/>
      <c r="AA1078" s="3">
        <f t="shared" si="220"/>
        <v>245</v>
      </c>
      <c r="AB1078" s="3">
        <v>130</v>
      </c>
      <c r="AC1078" s="3" t="s">
        <v>180</v>
      </c>
      <c r="AD1078" s="3" t="s">
        <v>83</v>
      </c>
      <c r="AE1078" s="3">
        <v>15</v>
      </c>
      <c r="AF1078" s="3" t="s">
        <v>151</v>
      </c>
      <c r="AG1078" s="3" t="s">
        <v>340</v>
      </c>
      <c r="AH1078" s="3"/>
    </row>
    <row r="1079" spans="1:34" ht="14.25" customHeight="1" x14ac:dyDescent="0.25">
      <c r="A1079" s="3" t="s">
        <v>123</v>
      </c>
      <c r="B1079" s="3" t="s">
        <v>79</v>
      </c>
      <c r="C1079" s="3"/>
      <c r="D1079" s="3" t="s">
        <v>121</v>
      </c>
      <c r="E1079" s="3">
        <v>1</v>
      </c>
      <c r="F1079" s="3">
        <v>1</v>
      </c>
      <c r="G1079" s="3" t="s">
        <v>1</v>
      </c>
      <c r="H1079" s="11">
        <v>45930</v>
      </c>
      <c r="I1079" s="3" t="s">
        <v>181</v>
      </c>
      <c r="J1079" s="3"/>
      <c r="K1079" s="3"/>
      <c r="L1079" s="3"/>
      <c r="M1079" s="3"/>
      <c r="N1079" s="3"/>
      <c r="O1079" s="3">
        <v>12</v>
      </c>
      <c r="P1079" s="3"/>
      <c r="Q1079" s="3"/>
      <c r="R1079" s="3"/>
      <c r="S1079" s="3"/>
      <c r="T1079" s="3"/>
      <c r="U1079" s="3"/>
      <c r="V1079" s="13" t="e">
        <f t="shared" si="191"/>
        <v>#DIV/0!</v>
      </c>
      <c r="W1079" s="13" t="e">
        <f t="shared" si="214"/>
        <v>#DIV/0!</v>
      </c>
      <c r="X1079" s="3">
        <f t="shared" si="192"/>
        <v>0</v>
      </c>
      <c r="Y1079" s="3" t="e">
        <f t="shared" si="215"/>
        <v>#DIV/0!</v>
      </c>
      <c r="Z1079" s="3"/>
      <c r="AA1079" s="3">
        <f t="shared" ref="AA1079:AA1085" si="221">10*2*5</f>
        <v>100</v>
      </c>
      <c r="AB1079" s="3">
        <v>130</v>
      </c>
      <c r="AC1079" s="3" t="s">
        <v>180</v>
      </c>
      <c r="AD1079" s="3" t="s">
        <v>83</v>
      </c>
      <c r="AE1079" s="3">
        <v>15</v>
      </c>
      <c r="AF1079" s="3" t="s">
        <v>151</v>
      </c>
      <c r="AG1079" s="3" t="s">
        <v>341</v>
      </c>
      <c r="AH1079" s="3"/>
    </row>
    <row r="1080" spans="1:34" ht="14.25" customHeight="1" x14ac:dyDescent="0.25">
      <c r="A1080" s="3" t="s">
        <v>123</v>
      </c>
      <c r="B1080" s="3" t="s">
        <v>79</v>
      </c>
      <c r="C1080" s="3"/>
      <c r="D1080" s="3" t="s">
        <v>121</v>
      </c>
      <c r="E1080" s="3">
        <v>1</v>
      </c>
      <c r="F1080" s="3">
        <v>1</v>
      </c>
      <c r="G1080" s="3" t="s">
        <v>3</v>
      </c>
      <c r="H1080" s="11">
        <v>45930</v>
      </c>
      <c r="I1080" s="3" t="s">
        <v>181</v>
      </c>
      <c r="J1080" s="3"/>
      <c r="K1080" s="3"/>
      <c r="L1080" s="3"/>
      <c r="M1080" s="3"/>
      <c r="N1080" s="3"/>
      <c r="O1080" s="3">
        <v>20</v>
      </c>
      <c r="P1080" s="3"/>
      <c r="Q1080" s="3"/>
      <c r="R1080" s="3"/>
      <c r="S1080" s="3"/>
      <c r="T1080" s="3"/>
      <c r="U1080" s="3"/>
      <c r="V1080" s="13" t="e">
        <f t="shared" si="191"/>
        <v>#DIV/0!</v>
      </c>
      <c r="W1080" s="13" t="e">
        <f t="shared" si="214"/>
        <v>#DIV/0!</v>
      </c>
      <c r="X1080" s="3">
        <f t="shared" si="192"/>
        <v>0</v>
      </c>
      <c r="Y1080" s="3" t="e">
        <f t="shared" si="215"/>
        <v>#DIV/0!</v>
      </c>
      <c r="Z1080" s="3"/>
      <c r="AA1080" s="3">
        <f t="shared" si="221"/>
        <v>100</v>
      </c>
      <c r="AB1080" s="3">
        <v>130</v>
      </c>
      <c r="AC1080" s="3" t="s">
        <v>180</v>
      </c>
      <c r="AD1080" s="3" t="s">
        <v>83</v>
      </c>
      <c r="AE1080" s="3">
        <v>15</v>
      </c>
      <c r="AF1080" s="3" t="s">
        <v>151</v>
      </c>
      <c r="AG1080" s="3" t="s">
        <v>341</v>
      </c>
      <c r="AH1080" s="3"/>
    </row>
    <row r="1081" spans="1:34" ht="14.25" customHeight="1" x14ac:dyDescent="0.25">
      <c r="A1081" s="3" t="s">
        <v>123</v>
      </c>
      <c r="B1081" s="3" t="s">
        <v>79</v>
      </c>
      <c r="C1081" s="3"/>
      <c r="D1081" s="3" t="s">
        <v>121</v>
      </c>
      <c r="E1081" s="3">
        <v>1</v>
      </c>
      <c r="F1081" s="3">
        <v>1</v>
      </c>
      <c r="G1081" s="3" t="s">
        <v>2</v>
      </c>
      <c r="H1081" s="11">
        <v>45930</v>
      </c>
      <c r="I1081" s="3" t="s">
        <v>181</v>
      </c>
      <c r="J1081" s="3"/>
      <c r="K1081" s="3"/>
      <c r="L1081" s="3"/>
      <c r="M1081" s="3"/>
      <c r="N1081" s="3"/>
      <c r="O1081" s="3">
        <v>5</v>
      </c>
      <c r="P1081" s="3"/>
      <c r="Q1081" s="3"/>
      <c r="R1081" s="3"/>
      <c r="S1081" s="3"/>
      <c r="T1081" s="3"/>
      <c r="U1081" s="3"/>
      <c r="V1081" s="13" t="e">
        <f t="shared" si="191"/>
        <v>#DIV/0!</v>
      </c>
      <c r="W1081" s="13" t="e">
        <f t="shared" si="214"/>
        <v>#DIV/0!</v>
      </c>
      <c r="X1081" s="3">
        <f t="shared" si="192"/>
        <v>0</v>
      </c>
      <c r="Y1081" s="3" t="e">
        <f t="shared" si="215"/>
        <v>#DIV/0!</v>
      </c>
      <c r="Z1081" s="3"/>
      <c r="AA1081" s="3">
        <f t="shared" si="221"/>
        <v>100</v>
      </c>
      <c r="AB1081" s="3">
        <v>130</v>
      </c>
      <c r="AC1081" s="3" t="s">
        <v>180</v>
      </c>
      <c r="AD1081" s="3" t="s">
        <v>83</v>
      </c>
      <c r="AE1081" s="3">
        <v>15</v>
      </c>
      <c r="AF1081" s="3" t="s">
        <v>151</v>
      </c>
      <c r="AG1081" s="3" t="s">
        <v>341</v>
      </c>
      <c r="AH1081" s="3"/>
    </row>
    <row r="1082" spans="1:34" ht="14.25" customHeight="1" x14ac:dyDescent="0.25">
      <c r="A1082" s="3" t="s">
        <v>123</v>
      </c>
      <c r="B1082" s="3" t="s">
        <v>79</v>
      </c>
      <c r="C1082" s="3"/>
      <c r="D1082" s="3" t="s">
        <v>121</v>
      </c>
      <c r="E1082" s="3">
        <v>1</v>
      </c>
      <c r="F1082" s="3">
        <v>1</v>
      </c>
      <c r="G1082" s="3" t="s">
        <v>9</v>
      </c>
      <c r="H1082" s="11">
        <v>45930</v>
      </c>
      <c r="I1082" s="3" t="s">
        <v>181</v>
      </c>
      <c r="J1082" s="3"/>
      <c r="K1082" s="3"/>
      <c r="L1082" s="3"/>
      <c r="M1082" s="3"/>
      <c r="N1082" s="3"/>
      <c r="O1082" s="3">
        <v>25</v>
      </c>
      <c r="P1082" s="3"/>
      <c r="Q1082" s="3"/>
      <c r="R1082" s="3"/>
      <c r="S1082" s="3"/>
      <c r="T1082" s="3"/>
      <c r="U1082" s="3"/>
      <c r="V1082" s="13" t="e">
        <f t="shared" si="191"/>
        <v>#DIV/0!</v>
      </c>
      <c r="W1082" s="13" t="e">
        <f t="shared" si="214"/>
        <v>#DIV/0!</v>
      </c>
      <c r="X1082" s="3">
        <f t="shared" si="192"/>
        <v>0</v>
      </c>
      <c r="Y1082" s="3" t="e">
        <f t="shared" si="215"/>
        <v>#DIV/0!</v>
      </c>
      <c r="Z1082" s="3"/>
      <c r="AA1082" s="3">
        <f t="shared" si="221"/>
        <v>100</v>
      </c>
      <c r="AB1082" s="3">
        <v>130</v>
      </c>
      <c r="AC1082" s="3" t="s">
        <v>180</v>
      </c>
      <c r="AD1082" s="3" t="s">
        <v>83</v>
      </c>
      <c r="AE1082" s="3">
        <v>15</v>
      </c>
      <c r="AF1082" s="3" t="s">
        <v>151</v>
      </c>
      <c r="AG1082" s="3" t="s">
        <v>341</v>
      </c>
      <c r="AH1082" s="3"/>
    </row>
    <row r="1083" spans="1:34" ht="14.25" customHeight="1" x14ac:dyDescent="0.25">
      <c r="A1083" s="3" t="s">
        <v>123</v>
      </c>
      <c r="B1083" s="3" t="s">
        <v>79</v>
      </c>
      <c r="C1083" s="3"/>
      <c r="D1083" s="3" t="s">
        <v>121</v>
      </c>
      <c r="E1083" s="3">
        <v>1</v>
      </c>
      <c r="F1083" s="3">
        <v>1</v>
      </c>
      <c r="G1083" s="3" t="s">
        <v>14</v>
      </c>
      <c r="H1083" s="11">
        <v>45930</v>
      </c>
      <c r="I1083" s="3" t="s">
        <v>181</v>
      </c>
      <c r="J1083" s="3"/>
      <c r="K1083" s="3"/>
      <c r="L1083" s="3"/>
      <c r="M1083" s="3"/>
      <c r="N1083" s="3"/>
      <c r="O1083" s="3">
        <v>11</v>
      </c>
      <c r="P1083" s="3"/>
      <c r="Q1083" s="3"/>
      <c r="R1083" s="3"/>
      <c r="S1083" s="3"/>
      <c r="T1083" s="3"/>
      <c r="U1083" s="3"/>
      <c r="V1083" s="13" t="e">
        <f t="shared" si="191"/>
        <v>#DIV/0!</v>
      </c>
      <c r="W1083" s="13" t="e">
        <f t="shared" si="214"/>
        <v>#DIV/0!</v>
      </c>
      <c r="X1083" s="3">
        <f t="shared" si="192"/>
        <v>0</v>
      </c>
      <c r="Y1083" s="3" t="e">
        <f t="shared" si="215"/>
        <v>#DIV/0!</v>
      </c>
      <c r="Z1083" s="3"/>
      <c r="AA1083" s="3">
        <f t="shared" si="221"/>
        <v>100</v>
      </c>
      <c r="AB1083" s="3">
        <v>130</v>
      </c>
      <c r="AC1083" s="3" t="s">
        <v>180</v>
      </c>
      <c r="AD1083" s="3" t="s">
        <v>83</v>
      </c>
      <c r="AE1083" s="3">
        <v>15</v>
      </c>
      <c r="AF1083" s="3" t="s">
        <v>151</v>
      </c>
      <c r="AG1083" s="3" t="s">
        <v>341</v>
      </c>
      <c r="AH1083" s="3"/>
    </row>
    <row r="1084" spans="1:34" ht="14.25" customHeight="1" x14ac:dyDescent="0.25">
      <c r="A1084" s="3" t="s">
        <v>123</v>
      </c>
      <c r="B1084" s="3" t="s">
        <v>79</v>
      </c>
      <c r="C1084" s="3"/>
      <c r="D1084" s="3" t="s">
        <v>121</v>
      </c>
      <c r="E1084" s="3">
        <v>1</v>
      </c>
      <c r="F1084" s="3">
        <v>1</v>
      </c>
      <c r="G1084" s="3" t="s">
        <v>16</v>
      </c>
      <c r="H1084" s="11">
        <v>45930</v>
      </c>
      <c r="I1084" s="3" t="s">
        <v>181</v>
      </c>
      <c r="J1084" s="3"/>
      <c r="K1084" s="3"/>
      <c r="L1084" s="3"/>
      <c r="M1084" s="3"/>
      <c r="N1084" s="3"/>
      <c r="O1084" s="3">
        <v>15</v>
      </c>
      <c r="P1084" s="3"/>
      <c r="Q1084" s="3"/>
      <c r="R1084" s="3"/>
      <c r="S1084" s="3"/>
      <c r="T1084" s="3"/>
      <c r="U1084" s="3"/>
      <c r="V1084" s="13" t="e">
        <f t="shared" si="191"/>
        <v>#DIV/0!</v>
      </c>
      <c r="W1084" s="13" t="e">
        <f t="shared" si="214"/>
        <v>#DIV/0!</v>
      </c>
      <c r="X1084" s="3">
        <f t="shared" si="192"/>
        <v>0</v>
      </c>
      <c r="Y1084" s="3" t="e">
        <f t="shared" si="215"/>
        <v>#DIV/0!</v>
      </c>
      <c r="Z1084" s="3"/>
      <c r="AA1084" s="3">
        <f t="shared" si="221"/>
        <v>100</v>
      </c>
      <c r="AB1084" s="3">
        <v>130</v>
      </c>
      <c r="AC1084" s="3" t="s">
        <v>180</v>
      </c>
      <c r="AD1084" s="3" t="s">
        <v>83</v>
      </c>
      <c r="AE1084" s="3">
        <v>15</v>
      </c>
      <c r="AF1084" s="3" t="s">
        <v>151</v>
      </c>
      <c r="AG1084" s="3" t="s">
        <v>341</v>
      </c>
      <c r="AH1084" s="3"/>
    </row>
    <row r="1085" spans="1:34" ht="14.25" customHeight="1" x14ac:dyDescent="0.25">
      <c r="A1085" s="3" t="s">
        <v>123</v>
      </c>
      <c r="B1085" s="3" t="s">
        <v>79</v>
      </c>
      <c r="C1085" s="3"/>
      <c r="D1085" s="3" t="s">
        <v>121</v>
      </c>
      <c r="E1085" s="3">
        <v>1</v>
      </c>
      <c r="F1085" s="3">
        <v>1</v>
      </c>
      <c r="G1085" s="3" t="s">
        <v>15</v>
      </c>
      <c r="H1085" s="11">
        <v>45930</v>
      </c>
      <c r="I1085" s="3" t="s">
        <v>181</v>
      </c>
      <c r="J1085" s="3"/>
      <c r="K1085" s="3"/>
      <c r="L1085" s="3"/>
      <c r="M1085" s="3"/>
      <c r="N1085" s="3"/>
      <c r="O1085" s="3">
        <v>15</v>
      </c>
      <c r="P1085" s="3"/>
      <c r="Q1085" s="3"/>
      <c r="R1085" s="3"/>
      <c r="S1085" s="3"/>
      <c r="T1085" s="3"/>
      <c r="U1085" s="3"/>
      <c r="V1085" s="13" t="e">
        <f t="shared" si="191"/>
        <v>#DIV/0!</v>
      </c>
      <c r="W1085" s="13" t="e">
        <f t="shared" si="214"/>
        <v>#DIV/0!</v>
      </c>
      <c r="X1085" s="3">
        <f t="shared" si="192"/>
        <v>0</v>
      </c>
      <c r="Y1085" s="3" t="e">
        <f t="shared" si="215"/>
        <v>#DIV/0!</v>
      </c>
      <c r="Z1085" s="3"/>
      <c r="AA1085" s="3">
        <f t="shared" si="221"/>
        <v>100</v>
      </c>
      <c r="AB1085" s="3">
        <v>130</v>
      </c>
      <c r="AC1085" s="3" t="s">
        <v>180</v>
      </c>
      <c r="AD1085" s="3" t="s">
        <v>83</v>
      </c>
      <c r="AE1085" s="3">
        <v>15</v>
      </c>
      <c r="AF1085" s="3" t="s">
        <v>151</v>
      </c>
      <c r="AG1085" s="3" t="s">
        <v>341</v>
      </c>
      <c r="AH1085" s="3"/>
    </row>
    <row r="1086" spans="1:34" ht="14.25" customHeight="1" x14ac:dyDescent="0.25">
      <c r="A1086" s="3" t="s">
        <v>118</v>
      </c>
      <c r="B1086" s="3" t="s">
        <v>79</v>
      </c>
      <c r="C1086" s="3"/>
      <c r="D1086" s="3" t="s">
        <v>117</v>
      </c>
      <c r="E1086" s="3">
        <v>1</v>
      </c>
      <c r="F1086" s="3">
        <v>1</v>
      </c>
      <c r="G1086" s="3" t="s">
        <v>1</v>
      </c>
      <c r="H1086" s="11">
        <v>45961</v>
      </c>
      <c r="I1086" s="3" t="s">
        <v>183</v>
      </c>
      <c r="J1086" s="3">
        <v>0</v>
      </c>
      <c r="K1086" s="3">
        <v>0</v>
      </c>
      <c r="L1086" s="3">
        <v>0</v>
      </c>
      <c r="M1086" s="3">
        <v>0</v>
      </c>
      <c r="N1086" s="3">
        <v>0</v>
      </c>
      <c r="O1086" s="3">
        <v>60</v>
      </c>
      <c r="P1086" s="3"/>
      <c r="Q1086" s="3"/>
      <c r="R1086" s="3"/>
      <c r="S1086" s="3"/>
      <c r="T1086" s="3"/>
      <c r="U1086" s="3">
        <v>28</v>
      </c>
      <c r="V1086" s="13">
        <f>O1086/U1086/F1086</f>
        <v>2.1428571428571428</v>
      </c>
      <c r="W1086" s="13">
        <f t="shared" si="214"/>
        <v>2.1428571428571428</v>
      </c>
      <c r="X1086" s="3">
        <f>F1086*U1086</f>
        <v>28</v>
      </c>
      <c r="Y1086" s="3">
        <f t="shared" si="215"/>
        <v>2.8571428571428571E-3</v>
      </c>
      <c r="Z1086" s="3"/>
      <c r="AA1086" s="3">
        <f>50*3*5</f>
        <v>750</v>
      </c>
      <c r="AB1086" s="3">
        <v>80</v>
      </c>
      <c r="AC1086" s="3" t="s">
        <v>82</v>
      </c>
      <c r="AD1086" s="3" t="s">
        <v>83</v>
      </c>
      <c r="AE1086" s="3">
        <v>15</v>
      </c>
      <c r="AF1086" s="3" t="s">
        <v>151</v>
      </c>
      <c r="AG1086" s="3" t="s">
        <v>264</v>
      </c>
      <c r="AH1086" s="3"/>
    </row>
    <row r="1087" spans="1:34" ht="14.25" customHeight="1" x14ac:dyDescent="0.25">
      <c r="A1087" s="3" t="s">
        <v>118</v>
      </c>
      <c r="B1087" s="3" t="s">
        <v>79</v>
      </c>
      <c r="C1087" s="3"/>
      <c r="D1087" s="3" t="s">
        <v>117</v>
      </c>
      <c r="E1087" s="3">
        <v>1</v>
      </c>
      <c r="F1087" s="3">
        <v>1</v>
      </c>
      <c r="G1087" s="3" t="s">
        <v>5</v>
      </c>
      <c r="H1087" s="11">
        <v>45961</v>
      </c>
      <c r="I1087" s="3" t="s">
        <v>183</v>
      </c>
      <c r="J1087" s="3">
        <v>0</v>
      </c>
      <c r="K1087" s="3">
        <v>0</v>
      </c>
      <c r="L1087" s="3">
        <v>0</v>
      </c>
      <c r="M1087" s="3">
        <v>0</v>
      </c>
      <c r="N1087" s="3">
        <v>0</v>
      </c>
      <c r="O1087" s="3">
        <v>50</v>
      </c>
      <c r="P1087" s="3"/>
      <c r="Q1087" s="3"/>
      <c r="R1087" s="3"/>
      <c r="S1087" s="3"/>
      <c r="T1087" s="3"/>
      <c r="U1087" s="3">
        <v>28</v>
      </c>
      <c r="V1087" s="13">
        <f t="shared" ref="V1087:V1150" si="222">O1087/U1087/F1087</f>
        <v>1.7857142857142858</v>
      </c>
      <c r="W1087" s="13">
        <f t="shared" si="214"/>
        <v>1.7857142857142858</v>
      </c>
      <c r="X1087" s="3">
        <f t="shared" ref="X1087:X1150" si="223">F1087*U1087</f>
        <v>28</v>
      </c>
      <c r="Y1087" s="3">
        <f t="shared" si="215"/>
        <v>2.3809523809523812E-3</v>
      </c>
      <c r="Z1087" s="3"/>
      <c r="AA1087" s="3">
        <f t="shared" ref="AA1087:AA1101" si="224">50*3*5</f>
        <v>750</v>
      </c>
      <c r="AB1087" s="3">
        <v>80</v>
      </c>
      <c r="AC1087" s="3" t="s">
        <v>82</v>
      </c>
      <c r="AD1087" s="3" t="s">
        <v>83</v>
      </c>
      <c r="AE1087" s="3">
        <v>15</v>
      </c>
      <c r="AF1087" s="3" t="s">
        <v>151</v>
      </c>
      <c r="AG1087" s="3" t="s">
        <v>264</v>
      </c>
      <c r="AH1087" s="3"/>
    </row>
    <row r="1088" spans="1:34" ht="14.25" customHeight="1" x14ac:dyDescent="0.25">
      <c r="A1088" s="3" t="s">
        <v>118</v>
      </c>
      <c r="B1088" s="3" t="s">
        <v>79</v>
      </c>
      <c r="C1088" s="3"/>
      <c r="D1088" s="3" t="s">
        <v>117</v>
      </c>
      <c r="E1088" s="3">
        <v>1</v>
      </c>
      <c r="F1088" s="3">
        <v>1</v>
      </c>
      <c r="G1088" s="3" t="s">
        <v>7</v>
      </c>
      <c r="H1088" s="11">
        <v>45961</v>
      </c>
      <c r="I1088" s="3" t="s">
        <v>183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18</v>
      </c>
      <c r="P1088" s="3"/>
      <c r="Q1088" s="3"/>
      <c r="R1088" s="3"/>
      <c r="S1088" s="3"/>
      <c r="T1088" s="3"/>
      <c r="U1088" s="3">
        <v>28</v>
      </c>
      <c r="V1088" s="13">
        <f t="shared" si="222"/>
        <v>0.6428571428571429</v>
      </c>
      <c r="W1088" s="13">
        <f t="shared" si="214"/>
        <v>0.6428571428571429</v>
      </c>
      <c r="X1088" s="3">
        <f t="shared" si="223"/>
        <v>28</v>
      </c>
      <c r="Y1088" s="3">
        <f t="shared" si="215"/>
        <v>8.5714285714285721E-4</v>
      </c>
      <c r="Z1088" s="3"/>
      <c r="AA1088" s="3">
        <f t="shared" si="224"/>
        <v>750</v>
      </c>
      <c r="AB1088" s="3">
        <v>80</v>
      </c>
      <c r="AC1088" s="3" t="s">
        <v>82</v>
      </c>
      <c r="AD1088" s="3" t="s">
        <v>83</v>
      </c>
      <c r="AE1088" s="3">
        <v>15</v>
      </c>
      <c r="AF1088" s="3" t="s">
        <v>151</v>
      </c>
      <c r="AG1088" s="3" t="s">
        <v>264</v>
      </c>
      <c r="AH1088" s="3"/>
    </row>
    <row r="1089" spans="1:34" ht="14.25" customHeight="1" x14ac:dyDescent="0.25">
      <c r="A1089" s="3" t="s">
        <v>118</v>
      </c>
      <c r="B1089" s="3" t="s">
        <v>79</v>
      </c>
      <c r="C1089" s="3"/>
      <c r="D1089" s="3" t="s">
        <v>117</v>
      </c>
      <c r="E1089" s="3">
        <v>1</v>
      </c>
      <c r="F1089" s="3">
        <v>1</v>
      </c>
      <c r="G1089" s="3" t="s">
        <v>2</v>
      </c>
      <c r="H1089" s="11">
        <v>45961</v>
      </c>
      <c r="I1089" s="3" t="s">
        <v>183</v>
      </c>
      <c r="J1089" s="3">
        <v>0</v>
      </c>
      <c r="K1089" s="3">
        <v>0</v>
      </c>
      <c r="L1089" s="3">
        <v>0</v>
      </c>
      <c r="M1089" s="3">
        <v>0</v>
      </c>
      <c r="N1089" s="3">
        <v>0</v>
      </c>
      <c r="O1089" s="3">
        <v>22</v>
      </c>
      <c r="P1089" s="3"/>
      <c r="Q1089" s="3"/>
      <c r="R1089" s="3"/>
      <c r="S1089" s="3"/>
      <c r="T1089" s="3"/>
      <c r="U1089" s="3">
        <v>28</v>
      </c>
      <c r="V1089" s="13">
        <f t="shared" si="222"/>
        <v>0.7857142857142857</v>
      </c>
      <c r="W1089" s="13">
        <f t="shared" si="214"/>
        <v>0.7857142857142857</v>
      </c>
      <c r="X1089" s="3">
        <f t="shared" si="223"/>
        <v>28</v>
      </c>
      <c r="Y1089" s="3">
        <f t="shared" si="215"/>
        <v>1.0476190476190477E-3</v>
      </c>
      <c r="Z1089" s="3"/>
      <c r="AA1089" s="3">
        <f t="shared" si="224"/>
        <v>750</v>
      </c>
      <c r="AB1089" s="3">
        <v>80</v>
      </c>
      <c r="AC1089" s="3" t="s">
        <v>82</v>
      </c>
      <c r="AD1089" s="3" t="s">
        <v>83</v>
      </c>
      <c r="AE1089" s="3">
        <v>15</v>
      </c>
      <c r="AF1089" s="3" t="s">
        <v>151</v>
      </c>
      <c r="AG1089" s="3" t="s">
        <v>264</v>
      </c>
      <c r="AH1089" s="3"/>
    </row>
    <row r="1090" spans="1:34" ht="14.25" customHeight="1" x14ac:dyDescent="0.25">
      <c r="A1090" s="3" t="s">
        <v>118</v>
      </c>
      <c r="B1090" s="3" t="s">
        <v>79</v>
      </c>
      <c r="C1090" s="3"/>
      <c r="D1090" s="3" t="s">
        <v>117</v>
      </c>
      <c r="E1090" s="3">
        <v>1</v>
      </c>
      <c r="F1090" s="3">
        <v>1</v>
      </c>
      <c r="G1090" s="3" t="s">
        <v>10</v>
      </c>
      <c r="H1090" s="11">
        <v>45961</v>
      </c>
      <c r="I1090" s="3" t="s">
        <v>183</v>
      </c>
      <c r="J1090" s="3">
        <v>0</v>
      </c>
      <c r="K1090" s="3">
        <v>0</v>
      </c>
      <c r="L1090" s="3">
        <v>0</v>
      </c>
      <c r="M1090" s="3">
        <v>0</v>
      </c>
      <c r="N1090" s="3">
        <v>0</v>
      </c>
      <c r="O1090" s="3">
        <v>20</v>
      </c>
      <c r="P1090" s="3"/>
      <c r="Q1090" s="3"/>
      <c r="R1090" s="3"/>
      <c r="S1090" s="3"/>
      <c r="T1090" s="3"/>
      <c r="U1090" s="3">
        <v>28</v>
      </c>
      <c r="V1090" s="13">
        <f t="shared" si="222"/>
        <v>0.7142857142857143</v>
      </c>
      <c r="W1090" s="13">
        <f t="shared" si="214"/>
        <v>0.7142857142857143</v>
      </c>
      <c r="X1090" s="3">
        <f t="shared" si="223"/>
        <v>28</v>
      </c>
      <c r="Y1090" s="3">
        <f t="shared" si="215"/>
        <v>9.5238095238095238E-4</v>
      </c>
      <c r="Z1090" s="3"/>
      <c r="AA1090" s="3">
        <f t="shared" si="224"/>
        <v>750</v>
      </c>
      <c r="AB1090" s="3">
        <v>80</v>
      </c>
      <c r="AC1090" s="3" t="s">
        <v>82</v>
      </c>
      <c r="AD1090" s="3" t="s">
        <v>83</v>
      </c>
      <c r="AE1090" s="3">
        <v>15</v>
      </c>
      <c r="AF1090" s="3" t="s">
        <v>151</v>
      </c>
      <c r="AG1090" s="3" t="s">
        <v>264</v>
      </c>
      <c r="AH1090" s="3"/>
    </row>
    <row r="1091" spans="1:34" ht="14.25" customHeight="1" x14ac:dyDescent="0.25">
      <c r="A1091" s="3" t="s">
        <v>118</v>
      </c>
      <c r="B1091" s="3" t="s">
        <v>79</v>
      </c>
      <c r="C1091" s="3"/>
      <c r="D1091" s="3" t="s">
        <v>117</v>
      </c>
      <c r="E1091" s="3">
        <v>1</v>
      </c>
      <c r="F1091" s="3">
        <v>1</v>
      </c>
      <c r="G1091" s="3" t="s">
        <v>9</v>
      </c>
      <c r="H1091" s="11">
        <v>45961</v>
      </c>
      <c r="I1091" s="3" t="s">
        <v>183</v>
      </c>
      <c r="J1091" s="3">
        <v>0</v>
      </c>
      <c r="K1091" s="3">
        <v>0</v>
      </c>
      <c r="L1091" s="3">
        <v>0</v>
      </c>
      <c r="M1091" s="3">
        <v>0</v>
      </c>
      <c r="N1091" s="3">
        <v>0</v>
      </c>
      <c r="O1091" s="3">
        <v>12</v>
      </c>
      <c r="P1091" s="3"/>
      <c r="Q1091" s="3"/>
      <c r="R1091" s="3"/>
      <c r="S1091" s="3"/>
      <c r="T1091" s="3"/>
      <c r="U1091" s="3">
        <v>28</v>
      </c>
      <c r="V1091" s="13">
        <f t="shared" si="222"/>
        <v>0.42857142857142855</v>
      </c>
      <c r="W1091" s="13">
        <f t="shared" ref="W1091:W1154" si="225">O1091/U1091/F1091</f>
        <v>0.42857142857142855</v>
      </c>
      <c r="X1091" s="3">
        <f t="shared" si="223"/>
        <v>28</v>
      </c>
      <c r="Y1091" s="3">
        <f t="shared" ref="Y1091:Y1154" si="226">O1091/U1091/AA1091</f>
        <v>5.7142857142857136E-4</v>
      </c>
      <c r="Z1091" s="3"/>
      <c r="AA1091" s="3">
        <f t="shared" si="224"/>
        <v>750</v>
      </c>
      <c r="AB1091" s="3">
        <v>80</v>
      </c>
      <c r="AC1091" s="3" t="s">
        <v>82</v>
      </c>
      <c r="AD1091" s="3" t="s">
        <v>83</v>
      </c>
      <c r="AE1091" s="3">
        <v>15</v>
      </c>
      <c r="AF1091" s="3" t="s">
        <v>151</v>
      </c>
      <c r="AG1091" s="3" t="s">
        <v>264</v>
      </c>
      <c r="AH1091" s="3"/>
    </row>
    <row r="1092" spans="1:34" ht="14.25" customHeight="1" x14ac:dyDescent="0.25">
      <c r="A1092" s="3" t="s">
        <v>118</v>
      </c>
      <c r="B1092" s="3" t="s">
        <v>79</v>
      </c>
      <c r="C1092" s="3"/>
      <c r="D1092" s="3" t="s">
        <v>117</v>
      </c>
      <c r="E1092" s="3">
        <v>1</v>
      </c>
      <c r="F1092" s="3">
        <v>1</v>
      </c>
      <c r="G1092" s="3" t="s">
        <v>12</v>
      </c>
      <c r="H1092" s="11">
        <v>45961</v>
      </c>
      <c r="I1092" s="3" t="s">
        <v>183</v>
      </c>
      <c r="J1092" s="3">
        <v>0</v>
      </c>
      <c r="K1092" s="3">
        <v>0</v>
      </c>
      <c r="L1092" s="3">
        <v>0</v>
      </c>
      <c r="M1092" s="3">
        <v>0</v>
      </c>
      <c r="N1092" s="3">
        <v>0</v>
      </c>
      <c r="O1092" s="3">
        <v>14</v>
      </c>
      <c r="P1092" s="3"/>
      <c r="Q1092" s="3"/>
      <c r="R1092" s="3"/>
      <c r="S1092" s="3"/>
      <c r="T1092" s="3"/>
      <c r="U1092" s="3">
        <v>28</v>
      </c>
      <c r="V1092" s="13">
        <f t="shared" si="222"/>
        <v>0.5</v>
      </c>
      <c r="W1092" s="13">
        <f t="shared" si="225"/>
        <v>0.5</v>
      </c>
      <c r="X1092" s="3">
        <f t="shared" si="223"/>
        <v>28</v>
      </c>
      <c r="Y1092" s="3">
        <f t="shared" si="226"/>
        <v>6.6666666666666664E-4</v>
      </c>
      <c r="Z1092" s="3"/>
      <c r="AA1092" s="3">
        <f t="shared" si="224"/>
        <v>750</v>
      </c>
      <c r="AB1092" s="3">
        <v>80</v>
      </c>
      <c r="AC1092" s="3" t="s">
        <v>82</v>
      </c>
      <c r="AD1092" s="3" t="s">
        <v>83</v>
      </c>
      <c r="AE1092" s="3">
        <v>15</v>
      </c>
      <c r="AF1092" s="3" t="s">
        <v>151</v>
      </c>
      <c r="AG1092" s="3" t="s">
        <v>264</v>
      </c>
      <c r="AH1092" s="3"/>
    </row>
    <row r="1093" spans="1:34" ht="14.25" customHeight="1" x14ac:dyDescent="0.25">
      <c r="A1093" s="3" t="s">
        <v>118</v>
      </c>
      <c r="B1093" s="3" t="s">
        <v>79</v>
      </c>
      <c r="C1093" s="3"/>
      <c r="D1093" s="3" t="s">
        <v>117</v>
      </c>
      <c r="E1093" s="3">
        <v>1</v>
      </c>
      <c r="F1093" s="3">
        <v>1</v>
      </c>
      <c r="G1093" s="3" t="s">
        <v>14</v>
      </c>
      <c r="H1093" s="11">
        <v>45961</v>
      </c>
      <c r="I1093" s="3" t="s">
        <v>183</v>
      </c>
      <c r="J1093" s="3">
        <v>0</v>
      </c>
      <c r="K1093" s="3">
        <v>0</v>
      </c>
      <c r="L1093" s="3">
        <v>0</v>
      </c>
      <c r="M1093" s="3">
        <v>0</v>
      </c>
      <c r="N1093" s="3">
        <v>0</v>
      </c>
      <c r="O1093" s="3">
        <v>11</v>
      </c>
      <c r="P1093" s="3"/>
      <c r="Q1093" s="3"/>
      <c r="R1093" s="3"/>
      <c r="S1093" s="3"/>
      <c r="T1093" s="3"/>
      <c r="U1093" s="3">
        <v>28</v>
      </c>
      <c r="V1093" s="13">
        <f t="shared" si="222"/>
        <v>0.39285714285714285</v>
      </c>
      <c r="W1093" s="13">
        <f t="shared" si="225"/>
        <v>0.39285714285714285</v>
      </c>
      <c r="X1093" s="3">
        <f t="shared" si="223"/>
        <v>28</v>
      </c>
      <c r="Y1093" s="3">
        <f t="shared" si="226"/>
        <v>5.2380952380952383E-4</v>
      </c>
      <c r="Z1093" s="3"/>
      <c r="AA1093" s="3">
        <f t="shared" si="224"/>
        <v>750</v>
      </c>
      <c r="AB1093" s="3">
        <v>80</v>
      </c>
      <c r="AC1093" s="3" t="s">
        <v>82</v>
      </c>
      <c r="AD1093" s="3" t="s">
        <v>83</v>
      </c>
      <c r="AE1093" s="3">
        <v>15</v>
      </c>
      <c r="AF1093" s="3" t="s">
        <v>151</v>
      </c>
      <c r="AG1093" s="3" t="s">
        <v>264</v>
      </c>
      <c r="AH1093" s="3"/>
    </row>
    <row r="1094" spans="1:34" ht="14.25" customHeight="1" x14ac:dyDescent="0.25">
      <c r="A1094" s="3" t="s">
        <v>118</v>
      </c>
      <c r="B1094" s="3" t="s">
        <v>79</v>
      </c>
      <c r="C1094" s="3"/>
      <c r="D1094" s="3" t="s">
        <v>117</v>
      </c>
      <c r="E1094" s="3">
        <v>1</v>
      </c>
      <c r="F1094" s="3">
        <v>1</v>
      </c>
      <c r="G1094" s="3" t="s">
        <v>16</v>
      </c>
      <c r="H1094" s="11">
        <v>45961</v>
      </c>
      <c r="I1094" s="3" t="s">
        <v>183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>
        <v>40</v>
      </c>
      <c r="P1094" s="3"/>
      <c r="Q1094" s="3"/>
      <c r="R1094" s="3"/>
      <c r="S1094" s="3"/>
      <c r="T1094" s="3"/>
      <c r="U1094" s="3">
        <v>28</v>
      </c>
      <c r="V1094" s="13">
        <f t="shared" si="222"/>
        <v>1.4285714285714286</v>
      </c>
      <c r="W1094" s="13">
        <f t="shared" si="225"/>
        <v>1.4285714285714286</v>
      </c>
      <c r="X1094" s="3">
        <f t="shared" si="223"/>
        <v>28</v>
      </c>
      <c r="Y1094" s="3">
        <f t="shared" si="226"/>
        <v>1.9047619047619048E-3</v>
      </c>
      <c r="Z1094" s="3"/>
      <c r="AA1094" s="3">
        <f t="shared" si="224"/>
        <v>750</v>
      </c>
      <c r="AB1094" s="3">
        <v>80</v>
      </c>
      <c r="AC1094" s="3" t="s">
        <v>82</v>
      </c>
      <c r="AD1094" s="3" t="s">
        <v>83</v>
      </c>
      <c r="AE1094" s="3">
        <v>15</v>
      </c>
      <c r="AF1094" s="3" t="s">
        <v>151</v>
      </c>
      <c r="AG1094" s="3" t="s">
        <v>264</v>
      </c>
      <c r="AH1094" s="3"/>
    </row>
    <row r="1095" spans="1:34" ht="14.25" customHeight="1" x14ac:dyDescent="0.25">
      <c r="A1095" s="3" t="s">
        <v>118</v>
      </c>
      <c r="B1095" s="3" t="s">
        <v>79</v>
      </c>
      <c r="C1095" s="3"/>
      <c r="D1095" s="3" t="s">
        <v>117</v>
      </c>
      <c r="E1095" s="3">
        <v>1</v>
      </c>
      <c r="F1095" s="3">
        <v>1</v>
      </c>
      <c r="G1095" s="3" t="s">
        <v>18</v>
      </c>
      <c r="H1095" s="11">
        <v>45961</v>
      </c>
      <c r="I1095" s="3" t="s">
        <v>183</v>
      </c>
      <c r="J1095" s="3">
        <v>0</v>
      </c>
      <c r="K1095" s="3">
        <v>0</v>
      </c>
      <c r="L1095" s="3">
        <v>0</v>
      </c>
      <c r="M1095" s="3">
        <v>0</v>
      </c>
      <c r="N1095" s="3">
        <v>0</v>
      </c>
      <c r="O1095" s="3">
        <v>22</v>
      </c>
      <c r="P1095" s="3"/>
      <c r="Q1095" s="3"/>
      <c r="R1095" s="3"/>
      <c r="S1095" s="3"/>
      <c r="T1095" s="3"/>
      <c r="U1095" s="3">
        <v>28</v>
      </c>
      <c r="V1095" s="13">
        <f t="shared" si="222"/>
        <v>0.7857142857142857</v>
      </c>
      <c r="W1095" s="13">
        <f t="shared" si="225"/>
        <v>0.7857142857142857</v>
      </c>
      <c r="X1095" s="3">
        <f t="shared" si="223"/>
        <v>28</v>
      </c>
      <c r="Y1095" s="3">
        <f t="shared" si="226"/>
        <v>1.0476190476190477E-3</v>
      </c>
      <c r="Z1095" s="3"/>
      <c r="AA1095" s="3">
        <f t="shared" si="224"/>
        <v>750</v>
      </c>
      <c r="AB1095" s="3">
        <v>80</v>
      </c>
      <c r="AC1095" s="3" t="s">
        <v>82</v>
      </c>
      <c r="AD1095" s="3" t="s">
        <v>83</v>
      </c>
      <c r="AE1095" s="3">
        <v>15</v>
      </c>
      <c r="AF1095" s="3" t="s">
        <v>151</v>
      </c>
      <c r="AG1095" s="3" t="s">
        <v>264</v>
      </c>
      <c r="AH1095" s="3"/>
    </row>
    <row r="1096" spans="1:34" ht="14.25" customHeight="1" x14ac:dyDescent="0.25">
      <c r="A1096" s="3" t="s">
        <v>118</v>
      </c>
      <c r="B1096" s="3" t="s">
        <v>79</v>
      </c>
      <c r="C1096" s="3"/>
      <c r="D1096" s="3" t="s">
        <v>117</v>
      </c>
      <c r="E1096" s="3">
        <v>1</v>
      </c>
      <c r="F1096" s="3">
        <v>1</v>
      </c>
      <c r="G1096" s="3" t="s">
        <v>19</v>
      </c>
      <c r="H1096" s="11">
        <v>45961</v>
      </c>
      <c r="I1096" s="3" t="s">
        <v>183</v>
      </c>
      <c r="J1096" s="3">
        <v>0</v>
      </c>
      <c r="K1096" s="3">
        <v>0</v>
      </c>
      <c r="L1096" s="3">
        <v>0</v>
      </c>
      <c r="M1096" s="3">
        <v>0</v>
      </c>
      <c r="N1096" s="3">
        <v>0</v>
      </c>
      <c r="O1096" s="3">
        <v>8</v>
      </c>
      <c r="P1096" s="3"/>
      <c r="Q1096" s="3"/>
      <c r="R1096" s="3"/>
      <c r="S1096" s="3"/>
      <c r="T1096" s="3"/>
      <c r="U1096" s="3">
        <v>28</v>
      </c>
      <c r="V1096" s="13">
        <f t="shared" si="222"/>
        <v>0.2857142857142857</v>
      </c>
      <c r="W1096" s="13">
        <f t="shared" si="225"/>
        <v>0.2857142857142857</v>
      </c>
      <c r="X1096" s="3">
        <f t="shared" si="223"/>
        <v>28</v>
      </c>
      <c r="Y1096" s="3">
        <f t="shared" si="226"/>
        <v>3.8095238095238091E-4</v>
      </c>
      <c r="Z1096" s="3"/>
      <c r="AA1096" s="3">
        <f t="shared" si="224"/>
        <v>750</v>
      </c>
      <c r="AB1096" s="3">
        <v>80</v>
      </c>
      <c r="AC1096" s="3" t="s">
        <v>82</v>
      </c>
      <c r="AD1096" s="3" t="s">
        <v>83</v>
      </c>
      <c r="AE1096" s="3">
        <v>15</v>
      </c>
      <c r="AF1096" s="3" t="s">
        <v>151</v>
      </c>
      <c r="AG1096" s="3" t="s">
        <v>264</v>
      </c>
      <c r="AH1096" s="3"/>
    </row>
    <row r="1097" spans="1:34" ht="14.25" customHeight="1" x14ac:dyDescent="0.25">
      <c r="A1097" s="3" t="s">
        <v>118</v>
      </c>
      <c r="B1097" s="3" t="s">
        <v>79</v>
      </c>
      <c r="C1097" s="3"/>
      <c r="D1097" s="3" t="s">
        <v>117</v>
      </c>
      <c r="E1097" s="3">
        <v>1</v>
      </c>
      <c r="F1097" s="3">
        <v>1</v>
      </c>
      <c r="G1097" s="3" t="s">
        <v>24</v>
      </c>
      <c r="H1097" s="11">
        <v>45961</v>
      </c>
      <c r="I1097" s="3" t="s">
        <v>183</v>
      </c>
      <c r="J1097" s="3">
        <v>0</v>
      </c>
      <c r="K1097" s="3">
        <v>0</v>
      </c>
      <c r="L1097" s="3">
        <v>0</v>
      </c>
      <c r="M1097" s="3">
        <v>0</v>
      </c>
      <c r="N1097" s="3">
        <v>0</v>
      </c>
      <c r="O1097" s="3">
        <v>10</v>
      </c>
      <c r="P1097" s="3"/>
      <c r="Q1097" s="3"/>
      <c r="R1097" s="3"/>
      <c r="S1097" s="3"/>
      <c r="T1097" s="3"/>
      <c r="U1097" s="3">
        <v>28</v>
      </c>
      <c r="V1097" s="13">
        <f t="shared" si="222"/>
        <v>0.35714285714285715</v>
      </c>
      <c r="W1097" s="13">
        <f t="shared" si="225"/>
        <v>0.35714285714285715</v>
      </c>
      <c r="X1097" s="3">
        <f t="shared" si="223"/>
        <v>28</v>
      </c>
      <c r="Y1097" s="3">
        <f t="shared" si="226"/>
        <v>4.7619047619047619E-4</v>
      </c>
      <c r="Z1097" s="3"/>
      <c r="AA1097" s="3">
        <f t="shared" si="224"/>
        <v>750</v>
      </c>
      <c r="AB1097" s="3">
        <v>80</v>
      </c>
      <c r="AC1097" s="3" t="s">
        <v>82</v>
      </c>
      <c r="AD1097" s="3" t="s">
        <v>83</v>
      </c>
      <c r="AE1097" s="3">
        <v>15</v>
      </c>
      <c r="AF1097" s="3" t="s">
        <v>151</v>
      </c>
      <c r="AG1097" s="3" t="s">
        <v>264</v>
      </c>
      <c r="AH1097" s="3"/>
    </row>
    <row r="1098" spans="1:34" ht="14.25" customHeight="1" x14ac:dyDescent="0.25">
      <c r="A1098" s="3" t="s">
        <v>118</v>
      </c>
      <c r="B1098" s="3" t="s">
        <v>79</v>
      </c>
      <c r="C1098" s="3"/>
      <c r="D1098" s="3" t="s">
        <v>117</v>
      </c>
      <c r="E1098" s="3">
        <v>1</v>
      </c>
      <c r="F1098" s="3">
        <v>1</v>
      </c>
      <c r="G1098" s="3" t="s">
        <v>25</v>
      </c>
      <c r="H1098" s="11">
        <v>45961</v>
      </c>
      <c r="I1098" s="3" t="s">
        <v>183</v>
      </c>
      <c r="J1098" s="3">
        <v>0</v>
      </c>
      <c r="K1098" s="3">
        <v>0</v>
      </c>
      <c r="L1098" s="3">
        <v>0</v>
      </c>
      <c r="M1098" s="3">
        <v>0</v>
      </c>
      <c r="N1098" s="3">
        <v>0</v>
      </c>
      <c r="O1098" s="3">
        <v>22</v>
      </c>
      <c r="P1098" s="3"/>
      <c r="Q1098" s="3"/>
      <c r="R1098" s="3"/>
      <c r="S1098" s="3"/>
      <c r="T1098" s="3"/>
      <c r="U1098" s="3">
        <v>28</v>
      </c>
      <c r="V1098" s="13">
        <f t="shared" si="222"/>
        <v>0.7857142857142857</v>
      </c>
      <c r="W1098" s="13">
        <f t="shared" si="225"/>
        <v>0.7857142857142857</v>
      </c>
      <c r="X1098" s="3">
        <f t="shared" si="223"/>
        <v>28</v>
      </c>
      <c r="Y1098" s="3">
        <f t="shared" si="226"/>
        <v>1.0476190476190477E-3</v>
      </c>
      <c r="Z1098" s="3"/>
      <c r="AA1098" s="3">
        <f t="shared" si="224"/>
        <v>750</v>
      </c>
      <c r="AB1098" s="3">
        <v>80</v>
      </c>
      <c r="AC1098" s="3" t="s">
        <v>82</v>
      </c>
      <c r="AD1098" s="3" t="s">
        <v>83</v>
      </c>
      <c r="AE1098" s="3">
        <v>15</v>
      </c>
      <c r="AF1098" s="3" t="s">
        <v>151</v>
      </c>
      <c r="AG1098" s="3" t="s">
        <v>264</v>
      </c>
      <c r="AH1098" s="3"/>
    </row>
    <row r="1099" spans="1:34" ht="14.25" customHeight="1" x14ac:dyDescent="0.25">
      <c r="A1099" s="3" t="s">
        <v>118</v>
      </c>
      <c r="B1099" s="3" t="s">
        <v>79</v>
      </c>
      <c r="C1099" s="3"/>
      <c r="D1099" s="3" t="s">
        <v>117</v>
      </c>
      <c r="E1099" s="3">
        <v>1</v>
      </c>
      <c r="F1099" s="3">
        <v>1</v>
      </c>
      <c r="G1099" s="3" t="s">
        <v>22</v>
      </c>
      <c r="H1099" s="11">
        <v>45961</v>
      </c>
      <c r="I1099" s="3" t="s">
        <v>183</v>
      </c>
      <c r="J1099" s="3">
        <v>0</v>
      </c>
      <c r="K1099" s="3">
        <v>0</v>
      </c>
      <c r="L1099" s="3">
        <v>0</v>
      </c>
      <c r="M1099" s="3">
        <v>0</v>
      </c>
      <c r="N1099" s="3">
        <v>0</v>
      </c>
      <c r="O1099" s="3">
        <v>36</v>
      </c>
      <c r="P1099" s="3"/>
      <c r="Q1099" s="3"/>
      <c r="R1099" s="3"/>
      <c r="S1099" s="3"/>
      <c r="T1099" s="3"/>
      <c r="U1099" s="3">
        <v>28</v>
      </c>
      <c r="V1099" s="13">
        <f t="shared" si="222"/>
        <v>1.2857142857142858</v>
      </c>
      <c r="W1099" s="13">
        <f t="shared" si="225"/>
        <v>1.2857142857142858</v>
      </c>
      <c r="X1099" s="3">
        <f t="shared" si="223"/>
        <v>28</v>
      </c>
      <c r="Y1099" s="3">
        <f t="shared" si="226"/>
        <v>1.7142857142857144E-3</v>
      </c>
      <c r="Z1099" s="3"/>
      <c r="AA1099" s="3">
        <f t="shared" si="224"/>
        <v>750</v>
      </c>
      <c r="AB1099" s="3">
        <v>80</v>
      </c>
      <c r="AC1099" s="3" t="s">
        <v>82</v>
      </c>
      <c r="AD1099" s="3" t="s">
        <v>83</v>
      </c>
      <c r="AE1099" s="3">
        <v>15</v>
      </c>
      <c r="AF1099" s="3" t="s">
        <v>151</v>
      </c>
      <c r="AG1099" s="3" t="s">
        <v>264</v>
      </c>
      <c r="AH1099" s="3"/>
    </row>
    <row r="1100" spans="1:34" ht="14.25" customHeight="1" x14ac:dyDescent="0.25">
      <c r="A1100" s="3" t="s">
        <v>118</v>
      </c>
      <c r="B1100" s="3" t="s">
        <v>79</v>
      </c>
      <c r="C1100" s="3"/>
      <c r="D1100" s="3" t="s">
        <v>117</v>
      </c>
      <c r="E1100" s="3">
        <v>1</v>
      </c>
      <c r="F1100" s="3">
        <v>1</v>
      </c>
      <c r="G1100" s="3" t="s">
        <v>11</v>
      </c>
      <c r="H1100" s="11">
        <v>45961</v>
      </c>
      <c r="I1100" s="3" t="s">
        <v>183</v>
      </c>
      <c r="J1100" s="3">
        <v>0</v>
      </c>
      <c r="K1100" s="3">
        <v>0</v>
      </c>
      <c r="L1100" s="3">
        <v>0</v>
      </c>
      <c r="M1100" s="3">
        <v>0</v>
      </c>
      <c r="N1100" s="3">
        <v>0</v>
      </c>
      <c r="O1100" s="3">
        <v>6</v>
      </c>
      <c r="P1100" s="3"/>
      <c r="Q1100" s="3"/>
      <c r="R1100" s="3"/>
      <c r="S1100" s="3"/>
      <c r="T1100" s="3"/>
      <c r="U1100" s="3">
        <v>28</v>
      </c>
      <c r="V1100" s="13">
        <f t="shared" si="222"/>
        <v>0.21428571428571427</v>
      </c>
      <c r="W1100" s="13">
        <f t="shared" si="225"/>
        <v>0.21428571428571427</v>
      </c>
      <c r="X1100" s="3">
        <f t="shared" si="223"/>
        <v>28</v>
      </c>
      <c r="Y1100" s="3">
        <f t="shared" si="226"/>
        <v>2.8571428571428568E-4</v>
      </c>
      <c r="Z1100" s="3"/>
      <c r="AA1100" s="3">
        <f t="shared" si="224"/>
        <v>750</v>
      </c>
      <c r="AB1100" s="3">
        <v>80</v>
      </c>
      <c r="AC1100" s="3" t="s">
        <v>82</v>
      </c>
      <c r="AD1100" s="3" t="s">
        <v>83</v>
      </c>
      <c r="AE1100" s="3">
        <v>15</v>
      </c>
      <c r="AF1100" s="3" t="s">
        <v>151</v>
      </c>
      <c r="AG1100" s="3" t="s">
        <v>264</v>
      </c>
      <c r="AH1100" s="3"/>
    </row>
    <row r="1101" spans="1:34" ht="14.25" customHeight="1" x14ac:dyDescent="0.25">
      <c r="A1101" s="3" t="s">
        <v>118</v>
      </c>
      <c r="B1101" s="3" t="s">
        <v>79</v>
      </c>
      <c r="C1101" s="3"/>
      <c r="D1101" s="3" t="s">
        <v>117</v>
      </c>
      <c r="E1101" s="3">
        <v>1</v>
      </c>
      <c r="F1101" s="3">
        <v>1</v>
      </c>
      <c r="G1101" s="3" t="s">
        <v>15</v>
      </c>
      <c r="H1101" s="11">
        <v>45961</v>
      </c>
      <c r="I1101" s="3" t="s">
        <v>183</v>
      </c>
      <c r="J1101" s="3">
        <v>0</v>
      </c>
      <c r="K1101" s="3">
        <v>0</v>
      </c>
      <c r="L1101" s="3">
        <v>0</v>
      </c>
      <c r="M1101" s="3">
        <v>0</v>
      </c>
      <c r="N1101" s="3">
        <v>0</v>
      </c>
      <c r="O1101" s="3">
        <v>33</v>
      </c>
      <c r="P1101" s="3"/>
      <c r="Q1101" s="3"/>
      <c r="R1101" s="3"/>
      <c r="S1101" s="3"/>
      <c r="T1101" s="3"/>
      <c r="U1101" s="3">
        <v>28</v>
      </c>
      <c r="V1101" s="13">
        <f t="shared" si="222"/>
        <v>1.1785714285714286</v>
      </c>
      <c r="W1101" s="13">
        <f t="shared" si="225"/>
        <v>1.1785714285714286</v>
      </c>
      <c r="X1101" s="3">
        <f t="shared" si="223"/>
        <v>28</v>
      </c>
      <c r="Y1101" s="3">
        <f t="shared" si="226"/>
        <v>1.5714285714285715E-3</v>
      </c>
      <c r="Z1101" s="3"/>
      <c r="AA1101" s="3">
        <f t="shared" si="224"/>
        <v>750</v>
      </c>
      <c r="AB1101" s="3">
        <v>80</v>
      </c>
      <c r="AC1101" s="3" t="s">
        <v>82</v>
      </c>
      <c r="AD1101" s="3" t="s">
        <v>83</v>
      </c>
      <c r="AE1101" s="3">
        <v>15</v>
      </c>
      <c r="AF1101" s="3" t="s">
        <v>151</v>
      </c>
      <c r="AG1101" s="3" t="s">
        <v>264</v>
      </c>
      <c r="AH1101" s="3"/>
    </row>
    <row r="1102" spans="1:34" ht="14.25" customHeight="1" x14ac:dyDescent="0.25">
      <c r="A1102" s="3" t="s">
        <v>131</v>
      </c>
      <c r="B1102" s="3" t="s">
        <v>79</v>
      </c>
      <c r="C1102" s="3"/>
      <c r="D1102" s="3" t="s">
        <v>117</v>
      </c>
      <c r="E1102" s="3">
        <v>1</v>
      </c>
      <c r="F1102" s="3">
        <v>1</v>
      </c>
      <c r="G1102" s="3" t="s">
        <v>1</v>
      </c>
      <c r="H1102" s="11">
        <v>45961</v>
      </c>
      <c r="I1102" s="3" t="s">
        <v>183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>
        <v>51</v>
      </c>
      <c r="P1102" s="3"/>
      <c r="Q1102" s="3"/>
      <c r="R1102" s="3"/>
      <c r="S1102" s="3"/>
      <c r="T1102" s="3"/>
      <c r="U1102" s="3">
        <v>28</v>
      </c>
      <c r="V1102" s="13">
        <f t="shared" si="222"/>
        <v>1.8214285714285714</v>
      </c>
      <c r="W1102" s="13">
        <f t="shared" si="225"/>
        <v>1.8214285714285714</v>
      </c>
      <c r="X1102" s="3">
        <f t="shared" si="223"/>
        <v>28</v>
      </c>
      <c r="Y1102" s="3">
        <f t="shared" si="226"/>
        <v>4.5535714285714285E-3</v>
      </c>
      <c r="Z1102" s="3"/>
      <c r="AA1102" s="3">
        <f>40*2*5</f>
        <v>400</v>
      </c>
      <c r="AB1102" s="3">
        <v>120</v>
      </c>
      <c r="AC1102" s="3" t="s">
        <v>82</v>
      </c>
      <c r="AD1102" s="3" t="s">
        <v>83</v>
      </c>
      <c r="AE1102" s="3">
        <v>15</v>
      </c>
      <c r="AF1102" s="3" t="s">
        <v>151</v>
      </c>
      <c r="AG1102" s="3" t="s">
        <v>265</v>
      </c>
      <c r="AH1102" s="3"/>
    </row>
    <row r="1103" spans="1:34" ht="14.25" customHeight="1" x14ac:dyDescent="0.25">
      <c r="A1103" s="3" t="s">
        <v>131</v>
      </c>
      <c r="B1103" s="3" t="s">
        <v>79</v>
      </c>
      <c r="C1103" s="3"/>
      <c r="D1103" s="3" t="s">
        <v>117</v>
      </c>
      <c r="E1103" s="3">
        <v>1</v>
      </c>
      <c r="F1103" s="3">
        <v>1</v>
      </c>
      <c r="G1103" s="3" t="s">
        <v>3</v>
      </c>
      <c r="H1103" s="11">
        <v>45961</v>
      </c>
      <c r="I1103" s="3" t="s">
        <v>183</v>
      </c>
      <c r="J1103" s="3">
        <v>0</v>
      </c>
      <c r="K1103" s="3">
        <v>0</v>
      </c>
      <c r="L1103" s="3">
        <v>0</v>
      </c>
      <c r="M1103" s="3">
        <v>0</v>
      </c>
      <c r="N1103" s="3">
        <v>0</v>
      </c>
      <c r="O1103" s="3">
        <v>30</v>
      </c>
      <c r="P1103" s="3"/>
      <c r="Q1103" s="3"/>
      <c r="R1103" s="3"/>
      <c r="S1103" s="3"/>
      <c r="T1103" s="3"/>
      <c r="U1103" s="3">
        <v>28</v>
      </c>
      <c r="V1103" s="13">
        <f t="shared" si="222"/>
        <v>1.0714285714285714</v>
      </c>
      <c r="W1103" s="13">
        <f t="shared" si="225"/>
        <v>1.0714285714285714</v>
      </c>
      <c r="X1103" s="3">
        <f t="shared" si="223"/>
        <v>28</v>
      </c>
      <c r="Y1103" s="3">
        <f t="shared" si="226"/>
        <v>2.6785714285714286E-3</v>
      </c>
      <c r="Z1103" s="3"/>
      <c r="AA1103" s="3">
        <f t="shared" ref="AA1103:AA1118" si="227">40*2*5</f>
        <v>400</v>
      </c>
      <c r="AB1103" s="3">
        <v>120</v>
      </c>
      <c r="AC1103" s="3" t="s">
        <v>82</v>
      </c>
      <c r="AD1103" s="3" t="s">
        <v>83</v>
      </c>
      <c r="AE1103" s="3">
        <v>15</v>
      </c>
      <c r="AF1103" s="3" t="s">
        <v>151</v>
      </c>
      <c r="AG1103" s="3" t="s">
        <v>265</v>
      </c>
      <c r="AH1103" s="3"/>
    </row>
    <row r="1104" spans="1:34" ht="14.25" customHeight="1" x14ac:dyDescent="0.25">
      <c r="A1104" s="3" t="s">
        <v>131</v>
      </c>
      <c r="B1104" s="3" t="s">
        <v>79</v>
      </c>
      <c r="C1104" s="3"/>
      <c r="D1104" s="3" t="s">
        <v>117</v>
      </c>
      <c r="E1104" s="3">
        <v>1</v>
      </c>
      <c r="F1104" s="3">
        <v>1</v>
      </c>
      <c r="G1104" s="3" t="s">
        <v>5</v>
      </c>
      <c r="H1104" s="11">
        <v>45961</v>
      </c>
      <c r="I1104" s="3" t="s">
        <v>183</v>
      </c>
      <c r="J1104" s="3">
        <v>0</v>
      </c>
      <c r="K1104" s="3">
        <v>0</v>
      </c>
      <c r="L1104" s="3">
        <v>0</v>
      </c>
      <c r="M1104" s="3">
        <v>0</v>
      </c>
      <c r="N1104" s="3">
        <v>0</v>
      </c>
      <c r="O1104" s="3">
        <v>10</v>
      </c>
      <c r="P1104" s="3"/>
      <c r="Q1104" s="3"/>
      <c r="R1104" s="3"/>
      <c r="S1104" s="3"/>
      <c r="T1104" s="3"/>
      <c r="U1104" s="3">
        <v>28</v>
      </c>
      <c r="V1104" s="13">
        <f t="shared" si="222"/>
        <v>0.35714285714285715</v>
      </c>
      <c r="W1104" s="13">
        <f t="shared" si="225"/>
        <v>0.35714285714285715</v>
      </c>
      <c r="X1104" s="3">
        <f t="shared" si="223"/>
        <v>28</v>
      </c>
      <c r="Y1104" s="3">
        <f t="shared" si="226"/>
        <v>8.9285714285714283E-4</v>
      </c>
      <c r="Z1104" s="3"/>
      <c r="AA1104" s="3">
        <f t="shared" si="227"/>
        <v>400</v>
      </c>
      <c r="AB1104" s="3">
        <v>120</v>
      </c>
      <c r="AC1104" s="3" t="s">
        <v>82</v>
      </c>
      <c r="AD1104" s="3" t="s">
        <v>83</v>
      </c>
      <c r="AE1104" s="3">
        <v>15</v>
      </c>
      <c r="AF1104" s="3" t="s">
        <v>151</v>
      </c>
      <c r="AG1104" s="3" t="s">
        <v>265</v>
      </c>
      <c r="AH1104" s="3"/>
    </row>
    <row r="1105" spans="1:34" ht="14.25" customHeight="1" x14ac:dyDescent="0.25">
      <c r="A1105" s="3" t="s">
        <v>131</v>
      </c>
      <c r="B1105" s="3" t="s">
        <v>79</v>
      </c>
      <c r="C1105" s="3"/>
      <c r="D1105" s="3" t="s">
        <v>117</v>
      </c>
      <c r="E1105" s="3">
        <v>1</v>
      </c>
      <c r="F1105" s="3">
        <v>1</v>
      </c>
      <c r="G1105" s="3" t="s">
        <v>7</v>
      </c>
      <c r="H1105" s="11">
        <v>45961</v>
      </c>
      <c r="I1105" s="3" t="s">
        <v>183</v>
      </c>
      <c r="J1105" s="3">
        <v>0</v>
      </c>
      <c r="K1105" s="3">
        <v>0</v>
      </c>
      <c r="L1105" s="3">
        <v>0</v>
      </c>
      <c r="M1105" s="3">
        <v>0</v>
      </c>
      <c r="N1105" s="3">
        <v>0</v>
      </c>
      <c r="O1105" s="3">
        <v>15</v>
      </c>
      <c r="P1105" s="3"/>
      <c r="Q1105" s="3"/>
      <c r="R1105" s="3"/>
      <c r="S1105" s="3"/>
      <c r="T1105" s="3"/>
      <c r="U1105" s="3">
        <v>28</v>
      </c>
      <c r="V1105" s="13">
        <f t="shared" si="222"/>
        <v>0.5357142857142857</v>
      </c>
      <c r="W1105" s="13">
        <f t="shared" si="225"/>
        <v>0.5357142857142857</v>
      </c>
      <c r="X1105" s="3">
        <f t="shared" si="223"/>
        <v>28</v>
      </c>
      <c r="Y1105" s="3">
        <f t="shared" si="226"/>
        <v>1.3392857142857143E-3</v>
      </c>
      <c r="Z1105" s="3"/>
      <c r="AA1105" s="3">
        <f t="shared" si="227"/>
        <v>400</v>
      </c>
      <c r="AB1105" s="3">
        <v>120</v>
      </c>
      <c r="AC1105" s="3" t="s">
        <v>82</v>
      </c>
      <c r="AD1105" s="3" t="s">
        <v>83</v>
      </c>
      <c r="AE1105" s="3">
        <v>15</v>
      </c>
      <c r="AF1105" s="3" t="s">
        <v>151</v>
      </c>
      <c r="AG1105" s="3" t="s">
        <v>265</v>
      </c>
      <c r="AH1105" s="3"/>
    </row>
    <row r="1106" spans="1:34" ht="14.25" customHeight="1" x14ac:dyDescent="0.25">
      <c r="A1106" s="3" t="s">
        <v>131</v>
      </c>
      <c r="B1106" s="3" t="s">
        <v>79</v>
      </c>
      <c r="C1106" s="3"/>
      <c r="D1106" s="3" t="s">
        <v>117</v>
      </c>
      <c r="E1106" s="3">
        <v>1</v>
      </c>
      <c r="F1106" s="3">
        <v>1</v>
      </c>
      <c r="G1106" s="3" t="s">
        <v>2</v>
      </c>
      <c r="H1106" s="11">
        <v>45961</v>
      </c>
      <c r="I1106" s="3" t="s">
        <v>183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>
        <v>19</v>
      </c>
      <c r="P1106" s="3"/>
      <c r="Q1106" s="3"/>
      <c r="R1106" s="3"/>
      <c r="S1106" s="3"/>
      <c r="T1106" s="3"/>
      <c r="U1106" s="3">
        <v>28</v>
      </c>
      <c r="V1106" s="13">
        <f t="shared" si="222"/>
        <v>0.6785714285714286</v>
      </c>
      <c r="W1106" s="13">
        <f t="shared" si="225"/>
        <v>0.6785714285714286</v>
      </c>
      <c r="X1106" s="3">
        <f t="shared" si="223"/>
        <v>28</v>
      </c>
      <c r="Y1106" s="3">
        <f t="shared" si="226"/>
        <v>1.6964285714285716E-3</v>
      </c>
      <c r="Z1106" s="3"/>
      <c r="AA1106" s="3">
        <f t="shared" si="227"/>
        <v>400</v>
      </c>
      <c r="AB1106" s="3">
        <v>120</v>
      </c>
      <c r="AC1106" s="3" t="s">
        <v>82</v>
      </c>
      <c r="AD1106" s="3" t="s">
        <v>83</v>
      </c>
      <c r="AE1106" s="3">
        <v>15</v>
      </c>
      <c r="AF1106" s="3" t="s">
        <v>151</v>
      </c>
      <c r="AG1106" s="3" t="s">
        <v>265</v>
      </c>
      <c r="AH1106" s="3"/>
    </row>
    <row r="1107" spans="1:34" ht="14.25" customHeight="1" x14ac:dyDescent="0.25">
      <c r="A1107" s="3" t="s">
        <v>131</v>
      </c>
      <c r="B1107" s="3" t="s">
        <v>79</v>
      </c>
      <c r="C1107" s="3"/>
      <c r="D1107" s="3" t="s">
        <v>117</v>
      </c>
      <c r="E1107" s="3">
        <v>1</v>
      </c>
      <c r="F1107" s="3">
        <v>1</v>
      </c>
      <c r="G1107" s="3" t="s">
        <v>10</v>
      </c>
      <c r="H1107" s="11">
        <v>45961</v>
      </c>
      <c r="I1107" s="3" t="s">
        <v>183</v>
      </c>
      <c r="J1107" s="3">
        <v>0</v>
      </c>
      <c r="K1107" s="3">
        <v>0</v>
      </c>
      <c r="L1107" s="3">
        <v>0</v>
      </c>
      <c r="M1107" s="3">
        <v>0</v>
      </c>
      <c r="N1107" s="3">
        <v>0</v>
      </c>
      <c r="O1107" s="3">
        <v>30</v>
      </c>
      <c r="P1107" s="3"/>
      <c r="Q1107" s="3"/>
      <c r="R1107" s="3"/>
      <c r="S1107" s="3"/>
      <c r="T1107" s="3"/>
      <c r="U1107" s="3">
        <v>28</v>
      </c>
      <c r="V1107" s="13">
        <f t="shared" si="222"/>
        <v>1.0714285714285714</v>
      </c>
      <c r="W1107" s="13">
        <f t="shared" si="225"/>
        <v>1.0714285714285714</v>
      </c>
      <c r="X1107" s="3">
        <f t="shared" si="223"/>
        <v>28</v>
      </c>
      <c r="Y1107" s="3">
        <f t="shared" si="226"/>
        <v>2.6785714285714286E-3</v>
      </c>
      <c r="Z1107" s="3"/>
      <c r="AA1107" s="3">
        <f t="shared" si="227"/>
        <v>400</v>
      </c>
      <c r="AB1107" s="3">
        <v>120</v>
      </c>
      <c r="AC1107" s="3" t="s">
        <v>82</v>
      </c>
      <c r="AD1107" s="3" t="s">
        <v>83</v>
      </c>
      <c r="AE1107" s="3">
        <v>15</v>
      </c>
      <c r="AF1107" s="3" t="s">
        <v>151</v>
      </c>
      <c r="AG1107" s="3" t="s">
        <v>265</v>
      </c>
      <c r="AH1107" s="3"/>
    </row>
    <row r="1108" spans="1:34" ht="14.25" customHeight="1" x14ac:dyDescent="0.25">
      <c r="A1108" s="3" t="s">
        <v>131</v>
      </c>
      <c r="B1108" s="3" t="s">
        <v>79</v>
      </c>
      <c r="C1108" s="3"/>
      <c r="D1108" s="3" t="s">
        <v>117</v>
      </c>
      <c r="E1108" s="3">
        <v>1</v>
      </c>
      <c r="F1108" s="3">
        <v>1</v>
      </c>
      <c r="G1108" s="3" t="s">
        <v>9</v>
      </c>
      <c r="H1108" s="11">
        <v>45961</v>
      </c>
      <c r="I1108" s="3" t="s">
        <v>183</v>
      </c>
      <c r="J1108" s="3">
        <v>0</v>
      </c>
      <c r="K1108" s="3">
        <v>0</v>
      </c>
      <c r="L1108" s="3">
        <v>0</v>
      </c>
      <c r="M1108" s="3">
        <v>0</v>
      </c>
      <c r="N1108" s="3">
        <v>0</v>
      </c>
      <c r="O1108" s="3">
        <v>16</v>
      </c>
      <c r="P1108" s="3"/>
      <c r="Q1108" s="3"/>
      <c r="R1108" s="3"/>
      <c r="S1108" s="3"/>
      <c r="T1108" s="3"/>
      <c r="U1108" s="3">
        <v>28</v>
      </c>
      <c r="V1108" s="13">
        <f t="shared" si="222"/>
        <v>0.5714285714285714</v>
      </c>
      <c r="W1108" s="13">
        <f t="shared" si="225"/>
        <v>0.5714285714285714</v>
      </c>
      <c r="X1108" s="3">
        <f t="shared" si="223"/>
        <v>28</v>
      </c>
      <c r="Y1108" s="3">
        <f t="shared" si="226"/>
        <v>1.4285714285714286E-3</v>
      </c>
      <c r="Z1108" s="3"/>
      <c r="AA1108" s="3">
        <f t="shared" si="227"/>
        <v>400</v>
      </c>
      <c r="AB1108" s="3">
        <v>120</v>
      </c>
      <c r="AC1108" s="3" t="s">
        <v>82</v>
      </c>
      <c r="AD1108" s="3" t="s">
        <v>83</v>
      </c>
      <c r="AE1108" s="3">
        <v>15</v>
      </c>
      <c r="AF1108" s="3" t="s">
        <v>151</v>
      </c>
      <c r="AG1108" s="3" t="s">
        <v>265</v>
      </c>
      <c r="AH1108" s="3"/>
    </row>
    <row r="1109" spans="1:34" ht="14.25" customHeight="1" x14ac:dyDescent="0.25">
      <c r="A1109" s="3" t="s">
        <v>131</v>
      </c>
      <c r="B1109" s="3" t="s">
        <v>79</v>
      </c>
      <c r="C1109" s="3"/>
      <c r="D1109" s="3" t="s">
        <v>117</v>
      </c>
      <c r="E1109" s="3">
        <v>1</v>
      </c>
      <c r="F1109" s="3">
        <v>1</v>
      </c>
      <c r="G1109" s="3" t="s">
        <v>12</v>
      </c>
      <c r="H1109" s="11">
        <v>45961</v>
      </c>
      <c r="I1109" s="3" t="s">
        <v>183</v>
      </c>
      <c r="J1109" s="3">
        <v>0</v>
      </c>
      <c r="K1109" s="3">
        <v>0</v>
      </c>
      <c r="L1109" s="3">
        <v>0</v>
      </c>
      <c r="M1109" s="3">
        <v>0</v>
      </c>
      <c r="N1109" s="3">
        <v>0</v>
      </c>
      <c r="O1109" s="3">
        <v>18</v>
      </c>
      <c r="P1109" s="3"/>
      <c r="Q1109" s="3"/>
      <c r="R1109" s="3"/>
      <c r="S1109" s="3"/>
      <c r="T1109" s="3"/>
      <c r="U1109" s="3">
        <v>28</v>
      </c>
      <c r="V1109" s="13">
        <f t="shared" si="222"/>
        <v>0.6428571428571429</v>
      </c>
      <c r="W1109" s="13">
        <f t="shared" si="225"/>
        <v>0.6428571428571429</v>
      </c>
      <c r="X1109" s="3">
        <f t="shared" si="223"/>
        <v>28</v>
      </c>
      <c r="Y1109" s="3">
        <f t="shared" si="226"/>
        <v>1.6071428571428573E-3</v>
      </c>
      <c r="Z1109" s="3"/>
      <c r="AA1109" s="3">
        <f t="shared" si="227"/>
        <v>400</v>
      </c>
      <c r="AB1109" s="3">
        <v>120</v>
      </c>
      <c r="AC1109" s="3" t="s">
        <v>82</v>
      </c>
      <c r="AD1109" s="3" t="s">
        <v>83</v>
      </c>
      <c r="AE1109" s="3">
        <v>15</v>
      </c>
      <c r="AF1109" s="3" t="s">
        <v>151</v>
      </c>
      <c r="AG1109" s="3" t="s">
        <v>265</v>
      </c>
      <c r="AH1109" s="3"/>
    </row>
    <row r="1110" spans="1:34" ht="14.25" customHeight="1" x14ac:dyDescent="0.25">
      <c r="A1110" s="3" t="s">
        <v>131</v>
      </c>
      <c r="B1110" s="3" t="s">
        <v>79</v>
      </c>
      <c r="C1110" s="3"/>
      <c r="D1110" s="3" t="s">
        <v>117</v>
      </c>
      <c r="E1110" s="3">
        <v>1</v>
      </c>
      <c r="F1110" s="3">
        <v>1</v>
      </c>
      <c r="G1110" s="3" t="s">
        <v>14</v>
      </c>
      <c r="H1110" s="11">
        <v>45961</v>
      </c>
      <c r="I1110" s="3" t="s">
        <v>183</v>
      </c>
      <c r="J1110" s="3">
        <v>0</v>
      </c>
      <c r="K1110" s="3">
        <v>0</v>
      </c>
      <c r="L1110" s="3">
        <v>0</v>
      </c>
      <c r="M1110" s="3">
        <v>0</v>
      </c>
      <c r="N1110" s="3">
        <v>0</v>
      </c>
      <c r="O1110" s="3">
        <v>10</v>
      </c>
      <c r="P1110" s="3"/>
      <c r="Q1110" s="3"/>
      <c r="R1110" s="3"/>
      <c r="S1110" s="3"/>
      <c r="T1110" s="3"/>
      <c r="U1110" s="3">
        <v>28</v>
      </c>
      <c r="V1110" s="13">
        <f t="shared" si="222"/>
        <v>0.35714285714285715</v>
      </c>
      <c r="W1110" s="13">
        <f t="shared" si="225"/>
        <v>0.35714285714285715</v>
      </c>
      <c r="X1110" s="3">
        <f t="shared" si="223"/>
        <v>28</v>
      </c>
      <c r="Y1110" s="3">
        <f t="shared" si="226"/>
        <v>8.9285714285714283E-4</v>
      </c>
      <c r="Z1110" s="3"/>
      <c r="AA1110" s="3">
        <f t="shared" si="227"/>
        <v>400</v>
      </c>
      <c r="AB1110" s="3">
        <v>120</v>
      </c>
      <c r="AC1110" s="3" t="s">
        <v>82</v>
      </c>
      <c r="AD1110" s="3" t="s">
        <v>83</v>
      </c>
      <c r="AE1110" s="3">
        <v>15</v>
      </c>
      <c r="AF1110" s="3" t="s">
        <v>151</v>
      </c>
      <c r="AG1110" s="3" t="s">
        <v>265</v>
      </c>
      <c r="AH1110" s="3"/>
    </row>
    <row r="1111" spans="1:34" ht="14.25" customHeight="1" x14ac:dyDescent="0.25">
      <c r="A1111" s="3" t="s">
        <v>131</v>
      </c>
      <c r="B1111" s="3" t="s">
        <v>79</v>
      </c>
      <c r="C1111" s="3"/>
      <c r="D1111" s="3" t="s">
        <v>117</v>
      </c>
      <c r="E1111" s="3">
        <v>1</v>
      </c>
      <c r="F1111" s="3">
        <v>1</v>
      </c>
      <c r="G1111" s="3" t="s">
        <v>16</v>
      </c>
      <c r="H1111" s="11">
        <v>45961</v>
      </c>
      <c r="I1111" s="3" t="s">
        <v>183</v>
      </c>
      <c r="J1111" s="3">
        <v>0</v>
      </c>
      <c r="K1111" s="3">
        <v>0</v>
      </c>
      <c r="L1111" s="3">
        <v>0</v>
      </c>
      <c r="M1111" s="3">
        <v>0</v>
      </c>
      <c r="N1111" s="3">
        <v>0</v>
      </c>
      <c r="O1111" s="3">
        <v>30</v>
      </c>
      <c r="P1111" s="3"/>
      <c r="Q1111" s="3"/>
      <c r="R1111" s="3"/>
      <c r="S1111" s="3"/>
      <c r="T1111" s="3"/>
      <c r="U1111" s="3">
        <v>28</v>
      </c>
      <c r="V1111" s="13">
        <f t="shared" si="222"/>
        <v>1.0714285714285714</v>
      </c>
      <c r="W1111" s="13">
        <f t="shared" si="225"/>
        <v>1.0714285714285714</v>
      </c>
      <c r="X1111" s="3">
        <f t="shared" si="223"/>
        <v>28</v>
      </c>
      <c r="Y1111" s="3">
        <f t="shared" si="226"/>
        <v>2.6785714285714286E-3</v>
      </c>
      <c r="Z1111" s="3"/>
      <c r="AA1111" s="3">
        <f t="shared" si="227"/>
        <v>400</v>
      </c>
      <c r="AB1111" s="3">
        <v>120</v>
      </c>
      <c r="AC1111" s="3" t="s">
        <v>82</v>
      </c>
      <c r="AD1111" s="3" t="s">
        <v>83</v>
      </c>
      <c r="AE1111" s="3">
        <v>15</v>
      </c>
      <c r="AF1111" s="3" t="s">
        <v>151</v>
      </c>
      <c r="AG1111" s="3" t="s">
        <v>265</v>
      </c>
      <c r="AH1111" s="3"/>
    </row>
    <row r="1112" spans="1:34" ht="14.25" customHeight="1" x14ac:dyDescent="0.25">
      <c r="A1112" s="3" t="s">
        <v>131</v>
      </c>
      <c r="B1112" s="3" t="s">
        <v>79</v>
      </c>
      <c r="C1112" s="3"/>
      <c r="D1112" s="3" t="s">
        <v>117</v>
      </c>
      <c r="E1112" s="3">
        <v>1</v>
      </c>
      <c r="F1112" s="3">
        <v>1</v>
      </c>
      <c r="G1112" s="3" t="s">
        <v>18</v>
      </c>
      <c r="H1112" s="11">
        <v>45961</v>
      </c>
      <c r="I1112" s="3" t="s">
        <v>183</v>
      </c>
      <c r="J1112" s="3">
        <v>0</v>
      </c>
      <c r="K1112" s="3">
        <v>0</v>
      </c>
      <c r="L1112" s="3">
        <v>0</v>
      </c>
      <c r="M1112" s="3">
        <v>0</v>
      </c>
      <c r="N1112" s="3">
        <v>0</v>
      </c>
      <c r="O1112" s="3">
        <v>32</v>
      </c>
      <c r="P1112" s="3"/>
      <c r="Q1112" s="3"/>
      <c r="R1112" s="3"/>
      <c r="S1112" s="3"/>
      <c r="T1112" s="3"/>
      <c r="U1112" s="3">
        <v>28</v>
      </c>
      <c r="V1112" s="13">
        <f t="shared" si="222"/>
        <v>1.1428571428571428</v>
      </c>
      <c r="W1112" s="13">
        <f t="shared" si="225"/>
        <v>1.1428571428571428</v>
      </c>
      <c r="X1112" s="3">
        <f t="shared" si="223"/>
        <v>28</v>
      </c>
      <c r="Y1112" s="3">
        <f t="shared" si="226"/>
        <v>2.8571428571428571E-3</v>
      </c>
      <c r="Z1112" s="3"/>
      <c r="AA1112" s="3">
        <f t="shared" si="227"/>
        <v>400</v>
      </c>
      <c r="AB1112" s="3">
        <v>120</v>
      </c>
      <c r="AC1112" s="3" t="s">
        <v>82</v>
      </c>
      <c r="AD1112" s="3" t="s">
        <v>83</v>
      </c>
      <c r="AE1112" s="3">
        <v>15</v>
      </c>
      <c r="AF1112" s="3" t="s">
        <v>151</v>
      </c>
      <c r="AG1112" s="3" t="s">
        <v>265</v>
      </c>
      <c r="AH1112" s="3"/>
    </row>
    <row r="1113" spans="1:34" ht="14.25" customHeight="1" x14ac:dyDescent="0.25">
      <c r="A1113" s="3" t="s">
        <v>131</v>
      </c>
      <c r="B1113" s="3" t="s">
        <v>79</v>
      </c>
      <c r="C1113" s="3"/>
      <c r="D1113" s="3" t="s">
        <v>117</v>
      </c>
      <c r="E1113" s="3">
        <v>1</v>
      </c>
      <c r="F1113" s="3">
        <v>1</v>
      </c>
      <c r="G1113" s="3" t="s">
        <v>19</v>
      </c>
      <c r="H1113" s="11">
        <v>45961</v>
      </c>
      <c r="I1113" s="3" t="s">
        <v>183</v>
      </c>
      <c r="J1113" s="3">
        <v>0</v>
      </c>
      <c r="K1113" s="3">
        <v>0</v>
      </c>
      <c r="L1113" s="3">
        <v>0</v>
      </c>
      <c r="M1113" s="3">
        <v>0</v>
      </c>
      <c r="N1113" s="3">
        <v>0</v>
      </c>
      <c r="O1113" s="3">
        <v>10</v>
      </c>
      <c r="P1113" s="3"/>
      <c r="Q1113" s="3"/>
      <c r="R1113" s="3"/>
      <c r="S1113" s="3"/>
      <c r="T1113" s="3"/>
      <c r="U1113" s="3">
        <v>28</v>
      </c>
      <c r="V1113" s="13">
        <f t="shared" si="222"/>
        <v>0.35714285714285715</v>
      </c>
      <c r="W1113" s="13">
        <f t="shared" si="225"/>
        <v>0.35714285714285715</v>
      </c>
      <c r="X1113" s="3">
        <f t="shared" si="223"/>
        <v>28</v>
      </c>
      <c r="Y1113" s="3">
        <f t="shared" si="226"/>
        <v>8.9285714285714283E-4</v>
      </c>
      <c r="Z1113" s="3"/>
      <c r="AA1113" s="3">
        <f t="shared" si="227"/>
        <v>400</v>
      </c>
      <c r="AB1113" s="3">
        <v>120</v>
      </c>
      <c r="AC1113" s="3" t="s">
        <v>82</v>
      </c>
      <c r="AD1113" s="3" t="s">
        <v>83</v>
      </c>
      <c r="AE1113" s="3">
        <v>15</v>
      </c>
      <c r="AF1113" s="3" t="s">
        <v>151</v>
      </c>
      <c r="AG1113" s="3" t="s">
        <v>265</v>
      </c>
      <c r="AH1113" s="3"/>
    </row>
    <row r="1114" spans="1:34" ht="14.25" customHeight="1" x14ac:dyDescent="0.25">
      <c r="A1114" s="3" t="s">
        <v>131</v>
      </c>
      <c r="B1114" s="3" t="s">
        <v>79</v>
      </c>
      <c r="C1114" s="3"/>
      <c r="D1114" s="3" t="s">
        <v>117</v>
      </c>
      <c r="E1114" s="3">
        <v>1</v>
      </c>
      <c r="F1114" s="3">
        <v>1</v>
      </c>
      <c r="G1114" s="3" t="s">
        <v>24</v>
      </c>
      <c r="H1114" s="11">
        <v>45961</v>
      </c>
      <c r="I1114" s="3" t="s">
        <v>183</v>
      </c>
      <c r="J1114" s="3">
        <v>0</v>
      </c>
      <c r="K1114" s="3">
        <v>0</v>
      </c>
      <c r="L1114" s="3">
        <v>0</v>
      </c>
      <c r="M1114" s="3">
        <v>0</v>
      </c>
      <c r="N1114" s="3">
        <v>0</v>
      </c>
      <c r="O1114" s="3">
        <v>14</v>
      </c>
      <c r="P1114" s="3"/>
      <c r="Q1114" s="3"/>
      <c r="R1114" s="3"/>
      <c r="S1114" s="3"/>
      <c r="T1114" s="3"/>
      <c r="U1114" s="3">
        <v>28</v>
      </c>
      <c r="V1114" s="13">
        <f t="shared" si="222"/>
        <v>0.5</v>
      </c>
      <c r="W1114" s="13">
        <f t="shared" si="225"/>
        <v>0.5</v>
      </c>
      <c r="X1114" s="3">
        <f t="shared" si="223"/>
        <v>28</v>
      </c>
      <c r="Y1114" s="3">
        <f t="shared" si="226"/>
        <v>1.25E-3</v>
      </c>
      <c r="Z1114" s="3"/>
      <c r="AA1114" s="3">
        <f t="shared" si="227"/>
        <v>400</v>
      </c>
      <c r="AB1114" s="3">
        <v>120</v>
      </c>
      <c r="AC1114" s="3" t="s">
        <v>82</v>
      </c>
      <c r="AD1114" s="3" t="s">
        <v>83</v>
      </c>
      <c r="AE1114" s="3">
        <v>15</v>
      </c>
      <c r="AF1114" s="3" t="s">
        <v>151</v>
      </c>
      <c r="AG1114" s="3" t="s">
        <v>265</v>
      </c>
      <c r="AH1114" s="3"/>
    </row>
    <row r="1115" spans="1:34" ht="14.25" customHeight="1" x14ac:dyDescent="0.25">
      <c r="A1115" s="3" t="s">
        <v>131</v>
      </c>
      <c r="B1115" s="3" t="s">
        <v>79</v>
      </c>
      <c r="C1115" s="3"/>
      <c r="D1115" s="3" t="s">
        <v>117</v>
      </c>
      <c r="E1115" s="3">
        <v>1</v>
      </c>
      <c r="F1115" s="3">
        <v>1</v>
      </c>
      <c r="G1115" s="3" t="s">
        <v>25</v>
      </c>
      <c r="H1115" s="11">
        <v>45961</v>
      </c>
      <c r="I1115" s="3" t="s">
        <v>183</v>
      </c>
      <c r="J1115" s="3">
        <v>0</v>
      </c>
      <c r="K1115" s="3">
        <v>0</v>
      </c>
      <c r="L1115" s="3">
        <v>0</v>
      </c>
      <c r="M1115" s="3">
        <v>0</v>
      </c>
      <c r="N1115" s="3">
        <v>0</v>
      </c>
      <c r="O1115" s="3">
        <v>38</v>
      </c>
      <c r="P1115" s="3"/>
      <c r="Q1115" s="3"/>
      <c r="R1115" s="3"/>
      <c r="S1115" s="3"/>
      <c r="T1115" s="3"/>
      <c r="U1115" s="3">
        <v>28</v>
      </c>
      <c r="V1115" s="13">
        <f t="shared" si="222"/>
        <v>1.3571428571428572</v>
      </c>
      <c r="W1115" s="13">
        <f t="shared" si="225"/>
        <v>1.3571428571428572</v>
      </c>
      <c r="X1115" s="3">
        <f t="shared" si="223"/>
        <v>28</v>
      </c>
      <c r="Y1115" s="3">
        <f t="shared" si="226"/>
        <v>3.3928571428571432E-3</v>
      </c>
      <c r="Z1115" s="3"/>
      <c r="AA1115" s="3">
        <f t="shared" si="227"/>
        <v>400</v>
      </c>
      <c r="AB1115" s="3">
        <v>120</v>
      </c>
      <c r="AC1115" s="3" t="s">
        <v>82</v>
      </c>
      <c r="AD1115" s="3" t="s">
        <v>83</v>
      </c>
      <c r="AE1115" s="3">
        <v>15</v>
      </c>
      <c r="AF1115" s="3" t="s">
        <v>151</v>
      </c>
      <c r="AG1115" s="3" t="s">
        <v>265</v>
      </c>
      <c r="AH1115" s="3"/>
    </row>
    <row r="1116" spans="1:34" ht="14.25" customHeight="1" x14ac:dyDescent="0.25">
      <c r="A1116" s="3" t="s">
        <v>131</v>
      </c>
      <c r="B1116" s="3" t="s">
        <v>79</v>
      </c>
      <c r="C1116" s="3"/>
      <c r="D1116" s="3" t="s">
        <v>117</v>
      </c>
      <c r="E1116" s="3">
        <v>1</v>
      </c>
      <c r="F1116" s="3">
        <v>1</v>
      </c>
      <c r="G1116" s="3" t="s">
        <v>22</v>
      </c>
      <c r="H1116" s="11">
        <v>45961</v>
      </c>
      <c r="I1116" s="3" t="s">
        <v>183</v>
      </c>
      <c r="J1116" s="3">
        <v>0</v>
      </c>
      <c r="K1116" s="3">
        <v>0</v>
      </c>
      <c r="L1116" s="3">
        <v>0</v>
      </c>
      <c r="M1116" s="3">
        <v>0</v>
      </c>
      <c r="N1116" s="3">
        <v>0</v>
      </c>
      <c r="O1116" s="3">
        <v>21</v>
      </c>
      <c r="P1116" s="3"/>
      <c r="Q1116" s="3"/>
      <c r="R1116" s="3"/>
      <c r="S1116" s="3"/>
      <c r="T1116" s="3"/>
      <c r="U1116" s="3">
        <v>28</v>
      </c>
      <c r="V1116" s="13">
        <f t="shared" si="222"/>
        <v>0.75</v>
      </c>
      <c r="W1116" s="13">
        <f t="shared" si="225"/>
        <v>0.75</v>
      </c>
      <c r="X1116" s="3">
        <f t="shared" si="223"/>
        <v>28</v>
      </c>
      <c r="Y1116" s="3">
        <f t="shared" si="226"/>
        <v>1.8749999999999999E-3</v>
      </c>
      <c r="Z1116" s="3"/>
      <c r="AA1116" s="3">
        <f t="shared" si="227"/>
        <v>400</v>
      </c>
      <c r="AB1116" s="3">
        <v>120</v>
      </c>
      <c r="AC1116" s="3" t="s">
        <v>82</v>
      </c>
      <c r="AD1116" s="3" t="s">
        <v>83</v>
      </c>
      <c r="AE1116" s="3">
        <v>15</v>
      </c>
      <c r="AF1116" s="3" t="s">
        <v>151</v>
      </c>
      <c r="AG1116" s="3" t="s">
        <v>265</v>
      </c>
      <c r="AH1116" s="3"/>
    </row>
    <row r="1117" spans="1:34" ht="14.25" customHeight="1" x14ac:dyDescent="0.25">
      <c r="A1117" s="3" t="s">
        <v>131</v>
      </c>
      <c r="B1117" s="3" t="s">
        <v>79</v>
      </c>
      <c r="C1117" s="3"/>
      <c r="D1117" s="3" t="s">
        <v>117</v>
      </c>
      <c r="E1117" s="3">
        <v>1</v>
      </c>
      <c r="F1117" s="3">
        <v>1</v>
      </c>
      <c r="G1117" s="3" t="s">
        <v>11</v>
      </c>
      <c r="H1117" s="11">
        <v>45961</v>
      </c>
      <c r="I1117" s="3" t="s">
        <v>183</v>
      </c>
      <c r="J1117" s="3">
        <v>0</v>
      </c>
      <c r="K1117" s="3">
        <v>0</v>
      </c>
      <c r="L1117" s="3">
        <v>0</v>
      </c>
      <c r="M1117" s="3">
        <v>0</v>
      </c>
      <c r="N1117" s="3">
        <v>0</v>
      </c>
      <c r="O1117" s="3">
        <v>11</v>
      </c>
      <c r="P1117" s="3"/>
      <c r="Q1117" s="3"/>
      <c r="R1117" s="3"/>
      <c r="S1117" s="3"/>
      <c r="T1117" s="3"/>
      <c r="U1117" s="3">
        <v>28</v>
      </c>
      <c r="V1117" s="13">
        <f t="shared" si="222"/>
        <v>0.39285714285714285</v>
      </c>
      <c r="W1117" s="13">
        <f t="shared" si="225"/>
        <v>0.39285714285714285</v>
      </c>
      <c r="X1117" s="3">
        <f t="shared" si="223"/>
        <v>28</v>
      </c>
      <c r="Y1117" s="3">
        <f t="shared" si="226"/>
        <v>9.8214285714285721E-4</v>
      </c>
      <c r="Z1117" s="3"/>
      <c r="AA1117" s="3">
        <f t="shared" si="227"/>
        <v>400</v>
      </c>
      <c r="AB1117" s="3">
        <v>120</v>
      </c>
      <c r="AC1117" s="3" t="s">
        <v>82</v>
      </c>
      <c r="AD1117" s="3" t="s">
        <v>83</v>
      </c>
      <c r="AE1117" s="3">
        <v>15</v>
      </c>
      <c r="AF1117" s="3" t="s">
        <v>151</v>
      </c>
      <c r="AG1117" s="3" t="s">
        <v>265</v>
      </c>
      <c r="AH1117" s="3"/>
    </row>
    <row r="1118" spans="1:34" ht="14.25" customHeight="1" x14ac:dyDescent="0.25">
      <c r="A1118" s="3" t="s">
        <v>131</v>
      </c>
      <c r="B1118" s="3" t="s">
        <v>79</v>
      </c>
      <c r="C1118" s="3"/>
      <c r="D1118" s="3" t="s">
        <v>117</v>
      </c>
      <c r="E1118" s="3">
        <v>1</v>
      </c>
      <c r="F1118" s="3">
        <v>1</v>
      </c>
      <c r="G1118" s="3" t="s">
        <v>15</v>
      </c>
      <c r="H1118" s="11">
        <v>45961</v>
      </c>
      <c r="I1118" s="3" t="s">
        <v>183</v>
      </c>
      <c r="J1118" s="3">
        <v>0</v>
      </c>
      <c r="K1118" s="3">
        <v>0</v>
      </c>
      <c r="L1118" s="3">
        <v>0</v>
      </c>
      <c r="M1118" s="3">
        <v>0</v>
      </c>
      <c r="N1118" s="3">
        <v>0</v>
      </c>
      <c r="O1118" s="3">
        <v>36</v>
      </c>
      <c r="P1118" s="3"/>
      <c r="Q1118" s="3"/>
      <c r="R1118" s="3"/>
      <c r="S1118" s="3"/>
      <c r="T1118" s="3"/>
      <c r="U1118" s="3">
        <v>28</v>
      </c>
      <c r="V1118" s="13">
        <f t="shared" si="222"/>
        <v>1.2857142857142858</v>
      </c>
      <c r="W1118" s="13">
        <f t="shared" si="225"/>
        <v>1.2857142857142858</v>
      </c>
      <c r="X1118" s="3">
        <f t="shared" si="223"/>
        <v>28</v>
      </c>
      <c r="Y1118" s="3">
        <f t="shared" si="226"/>
        <v>3.2142857142857147E-3</v>
      </c>
      <c r="Z1118" s="3"/>
      <c r="AA1118" s="3">
        <f t="shared" si="227"/>
        <v>400</v>
      </c>
      <c r="AB1118" s="3">
        <v>120</v>
      </c>
      <c r="AC1118" s="3" t="s">
        <v>82</v>
      </c>
      <c r="AD1118" s="3" t="s">
        <v>83</v>
      </c>
      <c r="AE1118" s="3">
        <v>15</v>
      </c>
      <c r="AF1118" s="3" t="s">
        <v>151</v>
      </c>
      <c r="AG1118" s="3" t="s">
        <v>265</v>
      </c>
      <c r="AH1118" s="3"/>
    </row>
    <row r="1119" spans="1:34" ht="14.25" customHeight="1" x14ac:dyDescent="0.25">
      <c r="A1119" s="3" t="s">
        <v>134</v>
      </c>
      <c r="B1119" s="3" t="s">
        <v>79</v>
      </c>
      <c r="C1119" s="3"/>
      <c r="D1119" s="3" t="s">
        <v>117</v>
      </c>
      <c r="E1119" s="3">
        <v>1</v>
      </c>
      <c r="F1119" s="3">
        <v>1</v>
      </c>
      <c r="G1119" s="3" t="s">
        <v>1</v>
      </c>
      <c r="H1119" s="11">
        <v>45961</v>
      </c>
      <c r="I1119" s="3" t="s">
        <v>183</v>
      </c>
      <c r="J1119" s="3">
        <v>13</v>
      </c>
      <c r="K1119" s="3">
        <v>5</v>
      </c>
      <c r="L1119" s="3">
        <v>7</v>
      </c>
      <c r="M1119" s="3">
        <v>5</v>
      </c>
      <c r="N1119" s="3">
        <v>0</v>
      </c>
      <c r="O1119" s="3">
        <f t="shared" ref="O1119:O1150" si="228">SUM(J1119:N1119)</f>
        <v>30</v>
      </c>
      <c r="P1119" s="3">
        <v>5</v>
      </c>
      <c r="Q1119" s="3">
        <v>5</v>
      </c>
      <c r="R1119" s="3">
        <v>3</v>
      </c>
      <c r="S1119" s="3">
        <v>7</v>
      </c>
      <c r="T1119" s="3">
        <v>2</v>
      </c>
      <c r="U1119" s="3">
        <f>SUM(P1119:T1119)</f>
        <v>22</v>
      </c>
      <c r="V1119" s="13">
        <f t="shared" si="222"/>
        <v>1.3636363636363635</v>
      </c>
      <c r="W1119" s="13">
        <f t="shared" si="225"/>
        <v>1.3636363636363635</v>
      </c>
      <c r="X1119" s="3">
        <f t="shared" si="223"/>
        <v>22</v>
      </c>
      <c r="Y1119" s="3" t="e">
        <f t="shared" si="226"/>
        <v>#DIV/0!</v>
      </c>
      <c r="Z1119" s="3"/>
      <c r="AA1119" s="3"/>
      <c r="AB1119" s="3"/>
      <c r="AC1119" s="3" t="s">
        <v>82</v>
      </c>
      <c r="AD1119" s="3" t="s">
        <v>83</v>
      </c>
      <c r="AE1119" s="3">
        <v>15</v>
      </c>
      <c r="AF1119" s="3" t="s">
        <v>151</v>
      </c>
      <c r="AG1119" s="3" t="s">
        <v>184</v>
      </c>
      <c r="AH1119" s="3"/>
    </row>
    <row r="1120" spans="1:34" ht="14.25" customHeight="1" x14ac:dyDescent="0.25">
      <c r="A1120" s="3" t="s">
        <v>134</v>
      </c>
      <c r="B1120" s="3" t="s">
        <v>79</v>
      </c>
      <c r="C1120" s="3"/>
      <c r="D1120" s="3" t="s">
        <v>117</v>
      </c>
      <c r="E1120" s="3">
        <v>1</v>
      </c>
      <c r="F1120" s="3">
        <v>1</v>
      </c>
      <c r="G1120" s="3" t="s">
        <v>2</v>
      </c>
      <c r="H1120" s="11">
        <v>45961</v>
      </c>
      <c r="I1120" s="3" t="s">
        <v>183</v>
      </c>
      <c r="J1120" s="3">
        <v>5</v>
      </c>
      <c r="K1120" s="3">
        <v>18</v>
      </c>
      <c r="L1120" s="3">
        <v>4</v>
      </c>
      <c r="M1120" s="3">
        <v>9</v>
      </c>
      <c r="N1120" s="3">
        <v>3</v>
      </c>
      <c r="O1120" s="3">
        <f t="shared" si="228"/>
        <v>39</v>
      </c>
      <c r="P1120" s="3">
        <v>5</v>
      </c>
      <c r="Q1120" s="3">
        <v>5</v>
      </c>
      <c r="R1120" s="3">
        <v>3</v>
      </c>
      <c r="S1120" s="3">
        <v>7</v>
      </c>
      <c r="T1120" s="3">
        <v>2</v>
      </c>
      <c r="U1120" s="3">
        <f t="shared" ref="U1120:U1123" si="229">SUM(P1120:T1120)</f>
        <v>22</v>
      </c>
      <c r="V1120" s="13">
        <f t="shared" si="222"/>
        <v>1.7727272727272727</v>
      </c>
      <c r="W1120" s="13">
        <f t="shared" si="225"/>
        <v>1.7727272727272727</v>
      </c>
      <c r="X1120" s="3">
        <f t="shared" si="223"/>
        <v>22</v>
      </c>
      <c r="Y1120" s="3" t="e">
        <f t="shared" si="226"/>
        <v>#DIV/0!</v>
      </c>
      <c r="Z1120" s="3"/>
      <c r="AA1120" s="3"/>
      <c r="AB1120" s="3"/>
      <c r="AC1120" s="3" t="s">
        <v>82</v>
      </c>
      <c r="AD1120" s="3" t="s">
        <v>83</v>
      </c>
      <c r="AE1120" s="3">
        <v>15</v>
      </c>
      <c r="AF1120" s="3" t="s">
        <v>151</v>
      </c>
      <c r="AG1120" s="3" t="s">
        <v>184</v>
      </c>
      <c r="AH1120" s="3"/>
    </row>
    <row r="1121" spans="1:34" ht="14.25" customHeight="1" x14ac:dyDescent="0.25">
      <c r="A1121" s="3" t="s">
        <v>134</v>
      </c>
      <c r="B1121" s="3" t="s">
        <v>79</v>
      </c>
      <c r="C1121" s="3"/>
      <c r="D1121" s="3" t="s">
        <v>117</v>
      </c>
      <c r="E1121" s="3">
        <v>1</v>
      </c>
      <c r="F1121" s="3">
        <v>1</v>
      </c>
      <c r="G1121" s="3" t="s">
        <v>14</v>
      </c>
      <c r="H1121" s="11">
        <v>45961</v>
      </c>
      <c r="I1121" s="3" t="s">
        <v>183</v>
      </c>
      <c r="J1121" s="3">
        <v>8</v>
      </c>
      <c r="K1121" s="3">
        <v>2</v>
      </c>
      <c r="L1121" s="3">
        <v>0</v>
      </c>
      <c r="M1121" s="3">
        <v>2</v>
      </c>
      <c r="N1121" s="3">
        <v>0</v>
      </c>
      <c r="O1121" s="3">
        <f t="shared" si="228"/>
        <v>12</v>
      </c>
      <c r="P1121" s="3">
        <v>5</v>
      </c>
      <c r="Q1121" s="3">
        <v>5</v>
      </c>
      <c r="R1121" s="3">
        <v>3</v>
      </c>
      <c r="S1121" s="3">
        <v>7</v>
      </c>
      <c r="T1121" s="3">
        <v>2</v>
      </c>
      <c r="U1121" s="3">
        <f t="shared" si="229"/>
        <v>22</v>
      </c>
      <c r="V1121" s="13">
        <f t="shared" si="222"/>
        <v>0.54545454545454541</v>
      </c>
      <c r="W1121" s="13">
        <f t="shared" si="225"/>
        <v>0.54545454545454541</v>
      </c>
      <c r="X1121" s="3">
        <f t="shared" si="223"/>
        <v>22</v>
      </c>
      <c r="Y1121" s="3" t="e">
        <f t="shared" si="226"/>
        <v>#DIV/0!</v>
      </c>
      <c r="Z1121" s="3"/>
      <c r="AA1121" s="3"/>
      <c r="AB1121" s="3"/>
      <c r="AC1121" s="3" t="s">
        <v>82</v>
      </c>
      <c r="AD1121" s="3" t="s">
        <v>83</v>
      </c>
      <c r="AE1121" s="3">
        <v>15</v>
      </c>
      <c r="AF1121" s="3" t="s">
        <v>151</v>
      </c>
      <c r="AG1121" s="3" t="s">
        <v>184</v>
      </c>
      <c r="AH1121" s="3"/>
    </row>
    <row r="1122" spans="1:34" ht="14.25" customHeight="1" x14ac:dyDescent="0.25">
      <c r="A1122" s="3" t="s">
        <v>134</v>
      </c>
      <c r="B1122" s="3" t="s">
        <v>79</v>
      </c>
      <c r="C1122" s="3"/>
      <c r="D1122" s="3" t="s">
        <v>117</v>
      </c>
      <c r="E1122" s="3">
        <v>1</v>
      </c>
      <c r="F1122" s="3">
        <v>1</v>
      </c>
      <c r="G1122" s="3" t="s">
        <v>16</v>
      </c>
      <c r="H1122" s="11">
        <v>45961</v>
      </c>
      <c r="I1122" s="3" t="s">
        <v>183</v>
      </c>
      <c r="J1122" s="3">
        <v>0</v>
      </c>
      <c r="K1122" s="3">
        <v>10</v>
      </c>
      <c r="L1122" s="3">
        <v>0</v>
      </c>
      <c r="M1122" s="3">
        <v>5</v>
      </c>
      <c r="N1122" s="3">
        <v>0</v>
      </c>
      <c r="O1122" s="3">
        <f t="shared" si="228"/>
        <v>15</v>
      </c>
      <c r="P1122" s="3">
        <v>5</v>
      </c>
      <c r="Q1122" s="3">
        <v>5</v>
      </c>
      <c r="R1122" s="3">
        <v>3</v>
      </c>
      <c r="S1122" s="3">
        <v>7</v>
      </c>
      <c r="T1122" s="3">
        <v>2</v>
      </c>
      <c r="U1122" s="3">
        <f t="shared" si="229"/>
        <v>22</v>
      </c>
      <c r="V1122" s="13">
        <f t="shared" si="222"/>
        <v>0.68181818181818177</v>
      </c>
      <c r="W1122" s="13">
        <f t="shared" si="225"/>
        <v>0.68181818181818177</v>
      </c>
      <c r="X1122" s="3">
        <f t="shared" si="223"/>
        <v>22</v>
      </c>
      <c r="Y1122" s="3" t="e">
        <f t="shared" si="226"/>
        <v>#DIV/0!</v>
      </c>
      <c r="Z1122" s="3"/>
      <c r="AA1122" s="3"/>
      <c r="AB1122" s="3"/>
      <c r="AC1122" s="3" t="s">
        <v>82</v>
      </c>
      <c r="AD1122" s="3" t="s">
        <v>83</v>
      </c>
      <c r="AE1122" s="3">
        <v>15</v>
      </c>
      <c r="AF1122" s="3" t="s">
        <v>151</v>
      </c>
      <c r="AG1122" s="3" t="s">
        <v>184</v>
      </c>
      <c r="AH1122" s="3"/>
    </row>
    <row r="1123" spans="1:34" ht="14.25" customHeight="1" x14ac:dyDescent="0.25">
      <c r="A1123" s="3" t="s">
        <v>134</v>
      </c>
      <c r="B1123" s="3" t="s">
        <v>79</v>
      </c>
      <c r="C1123" s="3"/>
      <c r="D1123" s="3" t="s">
        <v>117</v>
      </c>
      <c r="E1123" s="3">
        <v>1</v>
      </c>
      <c r="F1123" s="3">
        <v>1</v>
      </c>
      <c r="G1123" s="3" t="s">
        <v>18</v>
      </c>
      <c r="H1123" s="11">
        <v>45961</v>
      </c>
      <c r="I1123" s="3" t="s">
        <v>183</v>
      </c>
      <c r="J1123" s="3">
        <v>2</v>
      </c>
      <c r="K1123" s="3">
        <v>3</v>
      </c>
      <c r="L1123" s="3">
        <v>0</v>
      </c>
      <c r="M1123" s="3">
        <v>2</v>
      </c>
      <c r="N1123" s="3">
        <v>2</v>
      </c>
      <c r="O1123" s="3">
        <f t="shared" si="228"/>
        <v>9</v>
      </c>
      <c r="P1123" s="3">
        <v>5</v>
      </c>
      <c r="Q1123" s="3">
        <v>5</v>
      </c>
      <c r="R1123" s="3">
        <v>3</v>
      </c>
      <c r="S1123" s="3">
        <v>7</v>
      </c>
      <c r="T1123" s="3">
        <v>2</v>
      </c>
      <c r="U1123" s="3">
        <f t="shared" si="229"/>
        <v>22</v>
      </c>
      <c r="V1123" s="13">
        <f t="shared" si="222"/>
        <v>0.40909090909090912</v>
      </c>
      <c r="W1123" s="13">
        <f t="shared" si="225"/>
        <v>0.40909090909090912</v>
      </c>
      <c r="X1123" s="3">
        <f t="shared" si="223"/>
        <v>22</v>
      </c>
      <c r="Y1123" s="3" t="e">
        <f t="shared" si="226"/>
        <v>#DIV/0!</v>
      </c>
      <c r="Z1123" s="3"/>
      <c r="AA1123" s="3"/>
      <c r="AB1123" s="3"/>
      <c r="AC1123" s="3" t="s">
        <v>82</v>
      </c>
      <c r="AD1123" s="3" t="s">
        <v>83</v>
      </c>
      <c r="AE1123" s="3">
        <v>15</v>
      </c>
      <c r="AF1123" s="3" t="s">
        <v>151</v>
      </c>
      <c r="AG1123" s="3" t="s">
        <v>184</v>
      </c>
      <c r="AH1123" s="3"/>
    </row>
    <row r="1124" spans="1:34" ht="14.25" customHeight="1" x14ac:dyDescent="0.25">
      <c r="A1124" s="3" t="s">
        <v>185</v>
      </c>
      <c r="B1124" s="3" t="s">
        <v>79</v>
      </c>
      <c r="C1124" s="3"/>
      <c r="D1124" s="3" t="s">
        <v>117</v>
      </c>
      <c r="E1124" s="3">
        <v>1</v>
      </c>
      <c r="F1124" s="3">
        <v>1</v>
      </c>
      <c r="G1124" s="3" t="s">
        <v>2</v>
      </c>
      <c r="H1124" s="11">
        <v>45961</v>
      </c>
      <c r="I1124" s="3" t="s">
        <v>183</v>
      </c>
      <c r="J1124" s="3">
        <v>0</v>
      </c>
      <c r="K1124" s="3">
        <v>0</v>
      </c>
      <c r="L1124" s="3">
        <v>13</v>
      </c>
      <c r="M1124" s="3">
        <v>7</v>
      </c>
      <c r="N1124" s="3">
        <v>9</v>
      </c>
      <c r="O1124" s="3">
        <f t="shared" si="228"/>
        <v>29</v>
      </c>
      <c r="P1124" s="3">
        <v>3</v>
      </c>
      <c r="Q1124" s="3">
        <v>1</v>
      </c>
      <c r="R1124" s="3">
        <v>2</v>
      </c>
      <c r="S1124" s="3">
        <v>1</v>
      </c>
      <c r="T1124" s="3">
        <v>2</v>
      </c>
      <c r="U1124" s="3">
        <v>14</v>
      </c>
      <c r="V1124" s="13">
        <f t="shared" si="222"/>
        <v>2.0714285714285716</v>
      </c>
      <c r="W1124" s="13">
        <f t="shared" si="225"/>
        <v>2.0714285714285716</v>
      </c>
      <c r="X1124" s="3">
        <f t="shared" si="223"/>
        <v>14</v>
      </c>
      <c r="Y1124" s="3" t="e">
        <f t="shared" si="226"/>
        <v>#DIV/0!</v>
      </c>
      <c r="Z1124" s="3"/>
      <c r="AA1124" s="3"/>
      <c r="AB1124" s="3">
        <v>50</v>
      </c>
      <c r="AC1124" s="3" t="s">
        <v>82</v>
      </c>
      <c r="AD1124" s="3" t="s">
        <v>83</v>
      </c>
      <c r="AE1124" s="3"/>
      <c r="AF1124" s="3" t="s">
        <v>151</v>
      </c>
      <c r="AG1124" s="3" t="s">
        <v>266</v>
      </c>
      <c r="AH1124" s="3"/>
    </row>
    <row r="1125" spans="1:34" ht="14.25" customHeight="1" x14ac:dyDescent="0.25">
      <c r="A1125" s="3" t="s">
        <v>185</v>
      </c>
      <c r="B1125" s="3" t="s">
        <v>79</v>
      </c>
      <c r="C1125" s="3"/>
      <c r="D1125" s="3" t="s">
        <v>117</v>
      </c>
      <c r="E1125" s="3">
        <v>1</v>
      </c>
      <c r="F1125" s="3">
        <v>1</v>
      </c>
      <c r="G1125" s="3" t="s">
        <v>16</v>
      </c>
      <c r="H1125" s="11">
        <v>45961</v>
      </c>
      <c r="I1125" s="3" t="s">
        <v>183</v>
      </c>
      <c r="J1125" s="3">
        <v>6</v>
      </c>
      <c r="K1125" s="3">
        <v>0</v>
      </c>
      <c r="L1125" s="3">
        <v>0</v>
      </c>
      <c r="M1125" s="3">
        <v>0</v>
      </c>
      <c r="N1125" s="3">
        <v>0</v>
      </c>
      <c r="O1125" s="3">
        <f t="shared" si="228"/>
        <v>6</v>
      </c>
      <c r="P1125" s="3">
        <v>3</v>
      </c>
      <c r="Q1125" s="3">
        <v>1</v>
      </c>
      <c r="R1125" s="3">
        <v>2</v>
      </c>
      <c r="S1125" s="3">
        <v>1</v>
      </c>
      <c r="T1125" s="3">
        <v>2</v>
      </c>
      <c r="U1125" s="3">
        <v>14</v>
      </c>
      <c r="V1125" s="13">
        <f t="shared" si="222"/>
        <v>0.42857142857142855</v>
      </c>
      <c r="W1125" s="13">
        <f t="shared" si="225"/>
        <v>0.42857142857142855</v>
      </c>
      <c r="X1125" s="3">
        <f t="shared" si="223"/>
        <v>14</v>
      </c>
      <c r="Y1125" s="3" t="e">
        <f t="shared" si="226"/>
        <v>#DIV/0!</v>
      </c>
      <c r="Z1125" s="3"/>
      <c r="AA1125" s="3"/>
      <c r="AB1125" s="3">
        <v>50</v>
      </c>
      <c r="AC1125" s="3" t="s">
        <v>82</v>
      </c>
      <c r="AD1125" s="3" t="s">
        <v>83</v>
      </c>
      <c r="AE1125" s="3"/>
      <c r="AF1125" s="3" t="s">
        <v>151</v>
      </c>
      <c r="AG1125" s="3" t="s">
        <v>266</v>
      </c>
      <c r="AH1125" s="3"/>
    </row>
    <row r="1126" spans="1:34" ht="14.25" customHeight="1" x14ac:dyDescent="0.25">
      <c r="A1126" s="3" t="s">
        <v>185</v>
      </c>
      <c r="B1126" s="3" t="s">
        <v>79</v>
      </c>
      <c r="C1126" s="3"/>
      <c r="D1126" s="3" t="s">
        <v>117</v>
      </c>
      <c r="E1126" s="3">
        <v>1</v>
      </c>
      <c r="F1126" s="3">
        <v>1</v>
      </c>
      <c r="G1126" s="3" t="s">
        <v>18</v>
      </c>
      <c r="H1126" s="11">
        <v>45961</v>
      </c>
      <c r="I1126" s="3" t="s">
        <v>183</v>
      </c>
      <c r="J1126" s="3">
        <v>4</v>
      </c>
      <c r="K1126" s="3">
        <v>0</v>
      </c>
      <c r="L1126" s="3">
        <v>0</v>
      </c>
      <c r="M1126" s="3">
        <v>0</v>
      </c>
      <c r="N1126" s="3">
        <v>0</v>
      </c>
      <c r="O1126" s="3">
        <f t="shared" si="228"/>
        <v>4</v>
      </c>
      <c r="P1126" s="3">
        <v>3</v>
      </c>
      <c r="Q1126" s="3">
        <v>1</v>
      </c>
      <c r="R1126" s="3">
        <v>2</v>
      </c>
      <c r="S1126" s="3">
        <v>1</v>
      </c>
      <c r="T1126" s="3">
        <v>2</v>
      </c>
      <c r="U1126" s="3">
        <v>14</v>
      </c>
      <c r="V1126" s="13">
        <f t="shared" si="222"/>
        <v>0.2857142857142857</v>
      </c>
      <c r="W1126" s="13">
        <f t="shared" si="225"/>
        <v>0.2857142857142857</v>
      </c>
      <c r="X1126" s="3">
        <f t="shared" si="223"/>
        <v>14</v>
      </c>
      <c r="Y1126" s="3" t="e">
        <f t="shared" si="226"/>
        <v>#DIV/0!</v>
      </c>
      <c r="Z1126" s="3"/>
      <c r="AA1126" s="3"/>
      <c r="AB1126" s="3">
        <v>50</v>
      </c>
      <c r="AC1126" s="3" t="s">
        <v>82</v>
      </c>
      <c r="AD1126" s="3" t="s">
        <v>83</v>
      </c>
      <c r="AE1126" s="3"/>
      <c r="AF1126" s="3" t="s">
        <v>151</v>
      </c>
      <c r="AG1126" s="3" t="s">
        <v>266</v>
      </c>
      <c r="AH1126" s="3"/>
    </row>
    <row r="1127" spans="1:34" ht="14.25" customHeight="1" x14ac:dyDescent="0.25">
      <c r="A1127" s="3" t="s">
        <v>185</v>
      </c>
      <c r="B1127" s="3" t="s">
        <v>79</v>
      </c>
      <c r="C1127" s="3"/>
      <c r="D1127" s="3" t="s">
        <v>117</v>
      </c>
      <c r="E1127" s="3">
        <v>1</v>
      </c>
      <c r="F1127" s="3">
        <v>1</v>
      </c>
      <c r="G1127" s="3" t="s">
        <v>19</v>
      </c>
      <c r="H1127" s="11">
        <v>45961</v>
      </c>
      <c r="I1127" s="3" t="s">
        <v>183</v>
      </c>
      <c r="J1127" s="3">
        <v>0</v>
      </c>
      <c r="K1127" s="3">
        <v>3</v>
      </c>
      <c r="L1127" s="3">
        <v>0</v>
      </c>
      <c r="M1127" s="3">
        <v>0</v>
      </c>
      <c r="N1127" s="3">
        <v>0</v>
      </c>
      <c r="O1127" s="3">
        <f t="shared" si="228"/>
        <v>3</v>
      </c>
      <c r="P1127" s="3">
        <v>3</v>
      </c>
      <c r="Q1127" s="3">
        <v>1</v>
      </c>
      <c r="R1127" s="3">
        <v>2</v>
      </c>
      <c r="S1127" s="3">
        <v>1</v>
      </c>
      <c r="T1127" s="3">
        <v>2</v>
      </c>
      <c r="U1127" s="3">
        <v>14</v>
      </c>
      <c r="V1127" s="13">
        <f t="shared" si="222"/>
        <v>0.21428571428571427</v>
      </c>
      <c r="W1127" s="13">
        <f t="shared" si="225"/>
        <v>0.21428571428571427</v>
      </c>
      <c r="X1127" s="3">
        <f t="shared" si="223"/>
        <v>14</v>
      </c>
      <c r="Y1127" s="3" t="e">
        <f t="shared" si="226"/>
        <v>#DIV/0!</v>
      </c>
      <c r="Z1127" s="3"/>
      <c r="AA1127" s="3"/>
      <c r="AB1127" s="3">
        <v>50</v>
      </c>
      <c r="AC1127" s="3" t="s">
        <v>82</v>
      </c>
      <c r="AD1127" s="3" t="s">
        <v>83</v>
      </c>
      <c r="AE1127" s="3"/>
      <c r="AF1127" s="3" t="s">
        <v>151</v>
      </c>
      <c r="AG1127" s="3" t="s">
        <v>266</v>
      </c>
      <c r="AH1127" s="3"/>
    </row>
    <row r="1128" spans="1:34" ht="14.25" customHeight="1" x14ac:dyDescent="0.25">
      <c r="A1128" s="3" t="s">
        <v>185</v>
      </c>
      <c r="B1128" s="3" t="s">
        <v>79</v>
      </c>
      <c r="C1128" s="3"/>
      <c r="D1128" s="3" t="s">
        <v>117</v>
      </c>
      <c r="E1128" s="3">
        <v>1</v>
      </c>
      <c r="F1128" s="3">
        <v>1</v>
      </c>
      <c r="G1128" s="3" t="s">
        <v>25</v>
      </c>
      <c r="H1128" s="11">
        <v>45961</v>
      </c>
      <c r="I1128" s="3" t="s">
        <v>183</v>
      </c>
      <c r="J1128" s="3">
        <v>25</v>
      </c>
      <c r="K1128" s="3">
        <v>0</v>
      </c>
      <c r="L1128" s="3">
        <v>0</v>
      </c>
      <c r="M1128" s="3">
        <v>0</v>
      </c>
      <c r="N1128" s="3">
        <v>0</v>
      </c>
      <c r="O1128" s="3">
        <f t="shared" si="228"/>
        <v>25</v>
      </c>
      <c r="P1128" s="3">
        <v>3</v>
      </c>
      <c r="Q1128" s="3">
        <v>1</v>
      </c>
      <c r="R1128" s="3">
        <v>2</v>
      </c>
      <c r="S1128" s="3">
        <v>1</v>
      </c>
      <c r="T1128" s="3">
        <v>2</v>
      </c>
      <c r="U1128" s="3">
        <v>14</v>
      </c>
      <c r="V1128" s="13">
        <f t="shared" si="222"/>
        <v>1.7857142857142858</v>
      </c>
      <c r="W1128" s="13">
        <f t="shared" si="225"/>
        <v>1.7857142857142858</v>
      </c>
      <c r="X1128" s="3">
        <f t="shared" si="223"/>
        <v>14</v>
      </c>
      <c r="Y1128" s="3" t="e">
        <f t="shared" si="226"/>
        <v>#DIV/0!</v>
      </c>
      <c r="Z1128" s="3"/>
      <c r="AA1128" s="3"/>
      <c r="AB1128" s="3">
        <v>50</v>
      </c>
      <c r="AC1128" s="3" t="s">
        <v>82</v>
      </c>
      <c r="AD1128" s="3" t="s">
        <v>83</v>
      </c>
      <c r="AE1128" s="3"/>
      <c r="AF1128" s="3" t="s">
        <v>151</v>
      </c>
      <c r="AG1128" s="3" t="s">
        <v>266</v>
      </c>
      <c r="AH1128" s="3"/>
    </row>
    <row r="1129" spans="1:34" ht="14.25" customHeight="1" x14ac:dyDescent="0.25">
      <c r="A1129" s="3" t="s">
        <v>185</v>
      </c>
      <c r="B1129" s="3" t="s">
        <v>79</v>
      </c>
      <c r="C1129" s="3"/>
      <c r="D1129" s="3" t="s">
        <v>117</v>
      </c>
      <c r="E1129" s="3">
        <v>1</v>
      </c>
      <c r="F1129" s="3">
        <v>1</v>
      </c>
      <c r="G1129" s="3" t="s">
        <v>22</v>
      </c>
      <c r="H1129" s="11">
        <v>45961</v>
      </c>
      <c r="I1129" s="3" t="s">
        <v>183</v>
      </c>
      <c r="J1129" s="3">
        <v>0</v>
      </c>
      <c r="K1129" s="3">
        <v>0</v>
      </c>
      <c r="L1129" s="3">
        <v>0</v>
      </c>
      <c r="M1129" s="3">
        <v>0</v>
      </c>
      <c r="N1129" s="3">
        <v>6</v>
      </c>
      <c r="O1129" s="3">
        <f t="shared" si="228"/>
        <v>6</v>
      </c>
      <c r="P1129" s="3">
        <v>3</v>
      </c>
      <c r="Q1129" s="3">
        <v>1</v>
      </c>
      <c r="R1129" s="3">
        <v>2</v>
      </c>
      <c r="S1129" s="3">
        <v>1</v>
      </c>
      <c r="T1129" s="3">
        <v>2</v>
      </c>
      <c r="U1129" s="3">
        <v>14</v>
      </c>
      <c r="V1129" s="13">
        <f t="shared" si="222"/>
        <v>0.42857142857142855</v>
      </c>
      <c r="W1129" s="13">
        <f t="shared" si="225"/>
        <v>0.42857142857142855</v>
      </c>
      <c r="X1129" s="3">
        <f t="shared" si="223"/>
        <v>14</v>
      </c>
      <c r="Y1129" s="3" t="e">
        <f t="shared" si="226"/>
        <v>#DIV/0!</v>
      </c>
      <c r="Z1129" s="3"/>
      <c r="AA1129" s="3"/>
      <c r="AB1129" s="3">
        <v>50</v>
      </c>
      <c r="AC1129" s="3" t="s">
        <v>82</v>
      </c>
      <c r="AD1129" s="3" t="s">
        <v>83</v>
      </c>
      <c r="AE1129" s="3"/>
      <c r="AF1129" s="3" t="s">
        <v>151</v>
      </c>
      <c r="AG1129" s="3" t="s">
        <v>266</v>
      </c>
      <c r="AH1129" s="3"/>
    </row>
    <row r="1130" spans="1:34" ht="14.25" customHeight="1" x14ac:dyDescent="0.25">
      <c r="A1130" s="3" t="s">
        <v>152</v>
      </c>
      <c r="B1130" s="3" t="s">
        <v>79</v>
      </c>
      <c r="C1130" s="3"/>
      <c r="D1130" s="3" t="s">
        <v>117</v>
      </c>
      <c r="E1130" s="3">
        <v>1</v>
      </c>
      <c r="F1130" s="3">
        <v>1</v>
      </c>
      <c r="G1130" s="3" t="s">
        <v>1</v>
      </c>
      <c r="H1130" s="11">
        <v>45961</v>
      </c>
      <c r="I1130" s="3" t="s">
        <v>183</v>
      </c>
      <c r="J1130" s="3">
        <v>20</v>
      </c>
      <c r="K1130" s="3">
        <v>18</v>
      </c>
      <c r="L1130" s="3">
        <v>30</v>
      </c>
      <c r="M1130" s="3">
        <v>50</v>
      </c>
      <c r="N1130" s="3">
        <v>0</v>
      </c>
      <c r="O1130" s="3">
        <f t="shared" si="228"/>
        <v>118</v>
      </c>
      <c r="P1130" s="3">
        <v>2</v>
      </c>
      <c r="Q1130" s="3">
        <v>1</v>
      </c>
      <c r="R1130" s="3">
        <v>1</v>
      </c>
      <c r="S1130" s="3">
        <v>1</v>
      </c>
      <c r="T1130" s="3">
        <v>0</v>
      </c>
      <c r="U1130" s="3">
        <f>SUM(P1130:T1130)</f>
        <v>5</v>
      </c>
      <c r="V1130" s="13">
        <f t="shared" si="222"/>
        <v>23.6</v>
      </c>
      <c r="W1130" s="13">
        <f t="shared" si="225"/>
        <v>23.6</v>
      </c>
      <c r="X1130" s="3">
        <f t="shared" si="223"/>
        <v>5</v>
      </c>
      <c r="Y1130" s="3">
        <f t="shared" si="226"/>
        <v>1.1800000000000001E-2</v>
      </c>
      <c r="Z1130" s="3"/>
      <c r="AA1130" s="3">
        <f>40*2.5*20</f>
        <v>2000</v>
      </c>
      <c r="AB1130" s="3">
        <v>100</v>
      </c>
      <c r="AC1130" s="3" t="s">
        <v>82</v>
      </c>
      <c r="AD1130" s="3" t="s">
        <v>83</v>
      </c>
      <c r="AE1130" s="3">
        <v>15</v>
      </c>
      <c r="AF1130" s="3" t="s">
        <v>151</v>
      </c>
      <c r="AG1130" s="3" t="s">
        <v>267</v>
      </c>
      <c r="AH1130" s="3"/>
    </row>
    <row r="1131" spans="1:34" ht="14.25" customHeight="1" x14ac:dyDescent="0.25">
      <c r="A1131" s="3" t="s">
        <v>152</v>
      </c>
      <c r="B1131" s="3" t="s">
        <v>79</v>
      </c>
      <c r="C1131" s="3"/>
      <c r="D1131" s="3" t="s">
        <v>117</v>
      </c>
      <c r="E1131" s="3">
        <v>1</v>
      </c>
      <c r="F1131" s="3">
        <v>1</v>
      </c>
      <c r="G1131" s="3" t="s">
        <v>3</v>
      </c>
      <c r="H1131" s="11">
        <v>45961</v>
      </c>
      <c r="I1131" s="3" t="s">
        <v>183</v>
      </c>
      <c r="J1131" s="3">
        <v>30</v>
      </c>
      <c r="K1131" s="3">
        <v>15</v>
      </c>
      <c r="L1131" s="3">
        <v>0</v>
      </c>
      <c r="M1131" s="3">
        <v>10</v>
      </c>
      <c r="N1131" s="3">
        <v>0</v>
      </c>
      <c r="O1131" s="3">
        <f t="shared" si="228"/>
        <v>55</v>
      </c>
      <c r="P1131" s="3">
        <v>2</v>
      </c>
      <c r="Q1131" s="3">
        <v>1</v>
      </c>
      <c r="R1131" s="3">
        <v>1</v>
      </c>
      <c r="S1131" s="3">
        <v>1</v>
      </c>
      <c r="T1131" s="3">
        <v>0</v>
      </c>
      <c r="U1131" s="3">
        <f t="shared" ref="U1131:U1145" si="230">SUM(P1131:T1131)</f>
        <v>5</v>
      </c>
      <c r="V1131" s="13">
        <f t="shared" si="222"/>
        <v>11</v>
      </c>
      <c r="W1131" s="13">
        <f t="shared" si="225"/>
        <v>11</v>
      </c>
      <c r="X1131" s="3">
        <f t="shared" si="223"/>
        <v>5</v>
      </c>
      <c r="Y1131" s="3">
        <f t="shared" si="226"/>
        <v>5.4999999999999997E-3</v>
      </c>
      <c r="Z1131" s="3"/>
      <c r="AA1131" s="3">
        <f t="shared" ref="AA1131:AA1137" si="231">40*2.5*20</f>
        <v>2000</v>
      </c>
      <c r="AB1131" s="3">
        <v>100</v>
      </c>
      <c r="AC1131" s="3" t="s">
        <v>82</v>
      </c>
      <c r="AD1131" s="3" t="s">
        <v>83</v>
      </c>
      <c r="AE1131" s="3">
        <v>15</v>
      </c>
      <c r="AF1131" s="3" t="s">
        <v>151</v>
      </c>
      <c r="AG1131" s="3" t="s">
        <v>267</v>
      </c>
      <c r="AH1131" s="3"/>
    </row>
    <row r="1132" spans="1:34" ht="14.25" customHeight="1" x14ac:dyDescent="0.25">
      <c r="A1132" s="3" t="s">
        <v>152</v>
      </c>
      <c r="B1132" s="3" t="s">
        <v>79</v>
      </c>
      <c r="C1132" s="3"/>
      <c r="D1132" s="3" t="s">
        <v>117</v>
      </c>
      <c r="E1132" s="3">
        <v>1</v>
      </c>
      <c r="F1132" s="3">
        <v>1</v>
      </c>
      <c r="G1132" s="3" t="s">
        <v>5</v>
      </c>
      <c r="H1132" s="11">
        <v>45961</v>
      </c>
      <c r="I1132" s="3" t="s">
        <v>183</v>
      </c>
      <c r="J1132" s="3">
        <v>0</v>
      </c>
      <c r="K1132" s="3">
        <v>5</v>
      </c>
      <c r="L1132" s="3">
        <v>10</v>
      </c>
      <c r="M1132" s="3">
        <v>0</v>
      </c>
      <c r="N1132" s="3">
        <v>0</v>
      </c>
      <c r="O1132" s="3">
        <f t="shared" si="228"/>
        <v>15</v>
      </c>
      <c r="P1132" s="3">
        <v>2</v>
      </c>
      <c r="Q1132" s="3">
        <v>1</v>
      </c>
      <c r="R1132" s="3">
        <v>1</v>
      </c>
      <c r="S1132" s="3">
        <v>1</v>
      </c>
      <c r="T1132" s="3">
        <v>0</v>
      </c>
      <c r="U1132" s="3">
        <f t="shared" si="230"/>
        <v>5</v>
      </c>
      <c r="V1132" s="13">
        <f t="shared" si="222"/>
        <v>3</v>
      </c>
      <c r="W1132" s="13">
        <f t="shared" si="225"/>
        <v>3</v>
      </c>
      <c r="X1132" s="3">
        <f t="shared" si="223"/>
        <v>5</v>
      </c>
      <c r="Y1132" s="3">
        <f t="shared" si="226"/>
        <v>1.5E-3</v>
      </c>
      <c r="Z1132" s="3"/>
      <c r="AA1132" s="3">
        <f t="shared" si="231"/>
        <v>2000</v>
      </c>
      <c r="AB1132" s="3">
        <v>100</v>
      </c>
      <c r="AC1132" s="3" t="s">
        <v>82</v>
      </c>
      <c r="AD1132" s="3" t="s">
        <v>83</v>
      </c>
      <c r="AE1132" s="3">
        <v>15</v>
      </c>
      <c r="AF1132" s="3" t="s">
        <v>151</v>
      </c>
      <c r="AG1132" s="3" t="s">
        <v>267</v>
      </c>
      <c r="AH1132" s="3"/>
    </row>
    <row r="1133" spans="1:34" ht="14.25" customHeight="1" x14ac:dyDescent="0.25">
      <c r="A1133" s="3" t="s">
        <v>152</v>
      </c>
      <c r="B1133" s="3" t="s">
        <v>79</v>
      </c>
      <c r="C1133" s="3"/>
      <c r="D1133" s="3" t="s">
        <v>117</v>
      </c>
      <c r="E1133" s="3">
        <v>1</v>
      </c>
      <c r="F1133" s="3">
        <v>1</v>
      </c>
      <c r="G1133" s="3" t="s">
        <v>9</v>
      </c>
      <c r="H1133" s="11">
        <v>45961</v>
      </c>
      <c r="I1133" s="3" t="s">
        <v>183</v>
      </c>
      <c r="J1133" s="3">
        <v>0</v>
      </c>
      <c r="K1133" s="3">
        <v>0</v>
      </c>
      <c r="L1133" s="3">
        <v>0</v>
      </c>
      <c r="M1133" s="3">
        <v>30</v>
      </c>
      <c r="N1133" s="3">
        <v>0</v>
      </c>
      <c r="O1133" s="3">
        <f t="shared" si="228"/>
        <v>30</v>
      </c>
      <c r="P1133" s="3">
        <v>2</v>
      </c>
      <c r="Q1133" s="3">
        <v>1</v>
      </c>
      <c r="R1133" s="3">
        <v>1</v>
      </c>
      <c r="S1133" s="3">
        <v>1</v>
      </c>
      <c r="T1133" s="3">
        <v>0</v>
      </c>
      <c r="U1133" s="3">
        <f t="shared" si="230"/>
        <v>5</v>
      </c>
      <c r="V1133" s="13">
        <f t="shared" si="222"/>
        <v>6</v>
      </c>
      <c r="W1133" s="13">
        <f t="shared" si="225"/>
        <v>6</v>
      </c>
      <c r="X1133" s="3">
        <f t="shared" si="223"/>
        <v>5</v>
      </c>
      <c r="Y1133" s="3">
        <f t="shared" si="226"/>
        <v>3.0000000000000001E-3</v>
      </c>
      <c r="Z1133" s="3"/>
      <c r="AA1133" s="3">
        <f t="shared" si="231"/>
        <v>2000</v>
      </c>
      <c r="AB1133" s="3">
        <v>100</v>
      </c>
      <c r="AC1133" s="3" t="s">
        <v>82</v>
      </c>
      <c r="AD1133" s="3" t="s">
        <v>83</v>
      </c>
      <c r="AE1133" s="3">
        <v>15</v>
      </c>
      <c r="AF1133" s="3" t="s">
        <v>151</v>
      </c>
      <c r="AG1133" s="3" t="s">
        <v>267</v>
      </c>
      <c r="AH1133" s="3"/>
    </row>
    <row r="1134" spans="1:34" ht="14.25" customHeight="1" x14ac:dyDescent="0.25">
      <c r="A1134" s="3" t="s">
        <v>152</v>
      </c>
      <c r="B1134" s="3" t="s">
        <v>79</v>
      </c>
      <c r="C1134" s="3"/>
      <c r="D1134" s="3" t="s">
        <v>117</v>
      </c>
      <c r="E1134" s="3">
        <v>1</v>
      </c>
      <c r="F1134" s="3">
        <v>1</v>
      </c>
      <c r="G1134" s="3" t="s">
        <v>12</v>
      </c>
      <c r="H1134" s="11">
        <v>45961</v>
      </c>
      <c r="I1134" s="3" t="s">
        <v>183</v>
      </c>
      <c r="J1134" s="3">
        <v>4</v>
      </c>
      <c r="K1134" s="3">
        <v>0</v>
      </c>
      <c r="L1134" s="3">
        <v>0</v>
      </c>
      <c r="M1134" s="3">
        <v>0</v>
      </c>
      <c r="N1134" s="3">
        <v>0</v>
      </c>
      <c r="O1134" s="3">
        <f t="shared" si="228"/>
        <v>4</v>
      </c>
      <c r="P1134" s="3">
        <v>2</v>
      </c>
      <c r="Q1134" s="3">
        <v>1</v>
      </c>
      <c r="R1134" s="3">
        <v>1</v>
      </c>
      <c r="S1134" s="3">
        <v>1</v>
      </c>
      <c r="T1134" s="3">
        <v>0</v>
      </c>
      <c r="U1134" s="3">
        <f t="shared" si="230"/>
        <v>5</v>
      </c>
      <c r="V1134" s="13">
        <f t="shared" si="222"/>
        <v>0.8</v>
      </c>
      <c r="W1134" s="13">
        <f t="shared" si="225"/>
        <v>0.8</v>
      </c>
      <c r="X1134" s="3">
        <f t="shared" si="223"/>
        <v>5</v>
      </c>
      <c r="Y1134" s="3">
        <f t="shared" si="226"/>
        <v>4.0000000000000002E-4</v>
      </c>
      <c r="Z1134" s="3"/>
      <c r="AA1134" s="3">
        <f t="shared" si="231"/>
        <v>2000</v>
      </c>
      <c r="AB1134" s="3">
        <v>100</v>
      </c>
      <c r="AC1134" s="3" t="s">
        <v>82</v>
      </c>
      <c r="AD1134" s="3" t="s">
        <v>83</v>
      </c>
      <c r="AE1134" s="3">
        <v>15</v>
      </c>
      <c r="AF1134" s="3" t="s">
        <v>151</v>
      </c>
      <c r="AG1134" s="3" t="s">
        <v>267</v>
      </c>
      <c r="AH1134" s="3"/>
    </row>
    <row r="1135" spans="1:34" ht="14.25" customHeight="1" x14ac:dyDescent="0.25">
      <c r="A1135" s="3" t="s">
        <v>152</v>
      </c>
      <c r="B1135" s="3" t="s">
        <v>79</v>
      </c>
      <c r="C1135" s="3"/>
      <c r="D1135" s="3" t="s">
        <v>117</v>
      </c>
      <c r="E1135" s="3">
        <v>1</v>
      </c>
      <c r="F1135" s="3">
        <v>1</v>
      </c>
      <c r="G1135" s="3" t="s">
        <v>16</v>
      </c>
      <c r="H1135" s="11">
        <v>45961</v>
      </c>
      <c r="I1135" s="3" t="s">
        <v>183</v>
      </c>
      <c r="J1135" s="3">
        <v>8</v>
      </c>
      <c r="K1135" s="3">
        <v>0</v>
      </c>
      <c r="L1135" s="3">
        <v>0</v>
      </c>
      <c r="M1135" s="3">
        <v>0</v>
      </c>
      <c r="N1135" s="3">
        <v>0</v>
      </c>
      <c r="O1135" s="3">
        <f t="shared" si="228"/>
        <v>8</v>
      </c>
      <c r="P1135" s="3">
        <v>2</v>
      </c>
      <c r="Q1135" s="3">
        <v>1</v>
      </c>
      <c r="R1135" s="3">
        <v>1</v>
      </c>
      <c r="S1135" s="3">
        <v>1</v>
      </c>
      <c r="T1135" s="3">
        <v>0</v>
      </c>
      <c r="U1135" s="3">
        <f t="shared" si="230"/>
        <v>5</v>
      </c>
      <c r="V1135" s="13">
        <f t="shared" si="222"/>
        <v>1.6</v>
      </c>
      <c r="W1135" s="13">
        <f t="shared" si="225"/>
        <v>1.6</v>
      </c>
      <c r="X1135" s="3">
        <f t="shared" si="223"/>
        <v>5</v>
      </c>
      <c r="Y1135" s="3">
        <f t="shared" si="226"/>
        <v>8.0000000000000004E-4</v>
      </c>
      <c r="Z1135" s="3"/>
      <c r="AA1135" s="3">
        <f t="shared" si="231"/>
        <v>2000</v>
      </c>
      <c r="AB1135" s="3">
        <v>100</v>
      </c>
      <c r="AC1135" s="3" t="s">
        <v>82</v>
      </c>
      <c r="AD1135" s="3" t="s">
        <v>83</v>
      </c>
      <c r="AE1135" s="3">
        <v>15</v>
      </c>
      <c r="AF1135" s="3" t="s">
        <v>151</v>
      </c>
      <c r="AG1135" s="3" t="s">
        <v>267</v>
      </c>
      <c r="AH1135" s="3"/>
    </row>
    <row r="1136" spans="1:34" ht="14.25" customHeight="1" x14ac:dyDescent="0.25">
      <c r="A1136" s="3" t="s">
        <v>152</v>
      </c>
      <c r="B1136" s="3" t="s">
        <v>79</v>
      </c>
      <c r="C1136" s="3"/>
      <c r="D1136" s="3" t="s">
        <v>117</v>
      </c>
      <c r="E1136" s="3">
        <v>1</v>
      </c>
      <c r="F1136" s="3">
        <v>1</v>
      </c>
      <c r="G1136" s="3" t="s">
        <v>13</v>
      </c>
      <c r="H1136" s="11">
        <v>45961</v>
      </c>
      <c r="I1136" s="3" t="s">
        <v>183</v>
      </c>
      <c r="J1136" s="3">
        <v>0</v>
      </c>
      <c r="K1136" s="3">
        <v>19</v>
      </c>
      <c r="L1136" s="3">
        <v>10</v>
      </c>
      <c r="M1136" s="3">
        <v>0</v>
      </c>
      <c r="N1136" s="3">
        <v>0</v>
      </c>
      <c r="O1136" s="3">
        <f t="shared" si="228"/>
        <v>29</v>
      </c>
      <c r="P1136" s="3">
        <v>2</v>
      </c>
      <c r="Q1136" s="3">
        <v>1</v>
      </c>
      <c r="R1136" s="3">
        <v>1</v>
      </c>
      <c r="S1136" s="3">
        <v>1</v>
      </c>
      <c r="T1136" s="3">
        <v>0</v>
      </c>
      <c r="U1136" s="3">
        <f t="shared" si="230"/>
        <v>5</v>
      </c>
      <c r="V1136" s="13">
        <f t="shared" si="222"/>
        <v>5.8</v>
      </c>
      <c r="W1136" s="13">
        <f t="shared" si="225"/>
        <v>5.8</v>
      </c>
      <c r="X1136" s="3">
        <f t="shared" si="223"/>
        <v>5</v>
      </c>
      <c r="Y1136" s="3">
        <f t="shared" si="226"/>
        <v>2.8999999999999998E-3</v>
      </c>
      <c r="Z1136" s="3"/>
      <c r="AA1136" s="3">
        <f t="shared" si="231"/>
        <v>2000</v>
      </c>
      <c r="AB1136" s="3">
        <v>100</v>
      </c>
      <c r="AC1136" s="3" t="s">
        <v>82</v>
      </c>
      <c r="AD1136" s="3" t="s">
        <v>83</v>
      </c>
      <c r="AE1136" s="3">
        <v>15</v>
      </c>
      <c r="AF1136" s="3" t="s">
        <v>151</v>
      </c>
      <c r="AG1136" s="3" t="s">
        <v>267</v>
      </c>
      <c r="AH1136" s="3"/>
    </row>
    <row r="1137" spans="1:34" ht="14.25" customHeight="1" x14ac:dyDescent="0.25">
      <c r="A1137" s="3" t="s">
        <v>152</v>
      </c>
      <c r="B1137" s="3" t="s">
        <v>79</v>
      </c>
      <c r="C1137" s="3"/>
      <c r="D1137" s="3" t="s">
        <v>117</v>
      </c>
      <c r="E1137" s="3">
        <v>1</v>
      </c>
      <c r="F1137" s="3">
        <v>1</v>
      </c>
      <c r="G1137" s="3" t="s">
        <v>22</v>
      </c>
      <c r="H1137" s="11">
        <v>45961</v>
      </c>
      <c r="I1137" s="3" t="s">
        <v>183</v>
      </c>
      <c r="J1137" s="3">
        <v>0</v>
      </c>
      <c r="K1137" s="3">
        <v>0</v>
      </c>
      <c r="L1137" s="3">
        <v>0</v>
      </c>
      <c r="M1137" s="3">
        <v>20</v>
      </c>
      <c r="N1137" s="3">
        <v>0</v>
      </c>
      <c r="O1137" s="3">
        <f t="shared" si="228"/>
        <v>20</v>
      </c>
      <c r="P1137" s="3">
        <v>2</v>
      </c>
      <c r="Q1137" s="3">
        <v>1</v>
      </c>
      <c r="R1137" s="3">
        <v>1</v>
      </c>
      <c r="S1137" s="3">
        <v>1</v>
      </c>
      <c r="T1137" s="3">
        <v>0</v>
      </c>
      <c r="U1137" s="3">
        <f t="shared" si="230"/>
        <v>5</v>
      </c>
      <c r="V1137" s="13">
        <f t="shared" si="222"/>
        <v>4</v>
      </c>
      <c r="W1137" s="13">
        <f t="shared" si="225"/>
        <v>4</v>
      </c>
      <c r="X1137" s="3">
        <f t="shared" si="223"/>
        <v>5</v>
      </c>
      <c r="Y1137" s="3">
        <f t="shared" si="226"/>
        <v>2E-3</v>
      </c>
      <c r="Z1137" s="3"/>
      <c r="AA1137" s="3">
        <f t="shared" si="231"/>
        <v>2000</v>
      </c>
      <c r="AB1137" s="3">
        <v>100</v>
      </c>
      <c r="AC1137" s="3" t="s">
        <v>82</v>
      </c>
      <c r="AD1137" s="3" t="s">
        <v>83</v>
      </c>
      <c r="AE1137" s="3">
        <v>15</v>
      </c>
      <c r="AF1137" s="3" t="s">
        <v>151</v>
      </c>
      <c r="AG1137" s="3" t="s">
        <v>267</v>
      </c>
      <c r="AH1137" s="3"/>
    </row>
    <row r="1138" spans="1:34" ht="14.25" customHeight="1" x14ac:dyDescent="0.25">
      <c r="A1138" s="3" t="s">
        <v>125</v>
      </c>
      <c r="B1138" s="3" t="s">
        <v>79</v>
      </c>
      <c r="C1138" s="3"/>
      <c r="D1138" s="3" t="s">
        <v>117</v>
      </c>
      <c r="E1138" s="3">
        <v>1</v>
      </c>
      <c r="F1138" s="3">
        <v>1</v>
      </c>
      <c r="G1138" s="3" t="s">
        <v>1</v>
      </c>
      <c r="H1138" s="11">
        <v>45961</v>
      </c>
      <c r="I1138" s="3" t="s">
        <v>183</v>
      </c>
      <c r="J1138" s="3">
        <f>10+6+4+5</f>
        <v>25</v>
      </c>
      <c r="K1138" s="3">
        <v>25</v>
      </c>
      <c r="L1138" s="3">
        <v>14</v>
      </c>
      <c r="M1138" s="3">
        <v>27</v>
      </c>
      <c r="N1138" s="3">
        <v>6</v>
      </c>
      <c r="O1138" s="3">
        <f t="shared" si="228"/>
        <v>97</v>
      </c>
      <c r="P1138" s="3">
        <v>7</v>
      </c>
      <c r="Q1138" s="3">
        <v>6</v>
      </c>
      <c r="R1138" s="3">
        <v>7</v>
      </c>
      <c r="S1138" s="3">
        <v>6</v>
      </c>
      <c r="T1138" s="3">
        <v>3</v>
      </c>
      <c r="U1138" s="3">
        <f t="shared" si="230"/>
        <v>29</v>
      </c>
      <c r="V1138" s="13">
        <f t="shared" si="222"/>
        <v>3.3448275862068964</v>
      </c>
      <c r="W1138" s="13">
        <f t="shared" si="225"/>
        <v>3.3448275862068964</v>
      </c>
      <c r="X1138" s="3">
        <f t="shared" si="223"/>
        <v>29</v>
      </c>
      <c r="Y1138" s="3">
        <f t="shared" si="226"/>
        <v>8.9195402298850573E-3</v>
      </c>
      <c r="Z1138" s="3"/>
      <c r="AA1138" s="3">
        <f>25*3*5</f>
        <v>375</v>
      </c>
      <c r="AB1138" s="3">
        <v>35</v>
      </c>
      <c r="AC1138" s="3" t="s">
        <v>82</v>
      </c>
      <c r="AD1138" s="3" t="s">
        <v>83</v>
      </c>
      <c r="AE1138" s="3">
        <v>20</v>
      </c>
      <c r="AF1138" s="3" t="s">
        <v>151</v>
      </c>
      <c r="AG1138" s="3" t="s">
        <v>266</v>
      </c>
      <c r="AH1138" s="3"/>
    </row>
    <row r="1139" spans="1:34" ht="14.25" customHeight="1" x14ac:dyDescent="0.25">
      <c r="A1139" s="3" t="s">
        <v>125</v>
      </c>
      <c r="B1139" s="3" t="s">
        <v>79</v>
      </c>
      <c r="C1139" s="3"/>
      <c r="D1139" s="3" t="s">
        <v>117</v>
      </c>
      <c r="E1139" s="3">
        <v>1</v>
      </c>
      <c r="F1139" s="3">
        <v>1</v>
      </c>
      <c r="G1139" s="3" t="s">
        <v>3</v>
      </c>
      <c r="H1139" s="11">
        <v>45961</v>
      </c>
      <c r="I1139" s="3" t="s">
        <v>183</v>
      </c>
      <c r="J1139" s="3">
        <f>15+10+5</f>
        <v>30</v>
      </c>
      <c r="K1139" s="3">
        <v>14</v>
      </c>
      <c r="L1139" s="3">
        <v>5</v>
      </c>
      <c r="M1139" s="3">
        <v>0</v>
      </c>
      <c r="N1139" s="3">
        <v>0</v>
      </c>
      <c r="O1139" s="3">
        <f t="shared" si="228"/>
        <v>49</v>
      </c>
      <c r="P1139" s="3">
        <v>7</v>
      </c>
      <c r="Q1139" s="3">
        <v>6</v>
      </c>
      <c r="R1139" s="3">
        <v>7</v>
      </c>
      <c r="S1139" s="3">
        <v>6</v>
      </c>
      <c r="T1139" s="3">
        <v>3</v>
      </c>
      <c r="U1139" s="3">
        <f t="shared" si="230"/>
        <v>29</v>
      </c>
      <c r="V1139" s="13">
        <f t="shared" si="222"/>
        <v>1.6896551724137931</v>
      </c>
      <c r="W1139" s="13">
        <f t="shared" si="225"/>
        <v>1.6896551724137931</v>
      </c>
      <c r="X1139" s="3">
        <f t="shared" si="223"/>
        <v>29</v>
      </c>
      <c r="Y1139" s="3">
        <f t="shared" si="226"/>
        <v>4.5057471264367821E-3</v>
      </c>
      <c r="Z1139" s="3"/>
      <c r="AA1139" s="3">
        <f t="shared" ref="AA1139:AA1144" si="232">25*3*5</f>
        <v>375</v>
      </c>
      <c r="AB1139" s="3">
        <v>35</v>
      </c>
      <c r="AC1139" s="3" t="s">
        <v>82</v>
      </c>
      <c r="AD1139" s="3" t="s">
        <v>83</v>
      </c>
      <c r="AE1139" s="3">
        <v>20</v>
      </c>
      <c r="AF1139" s="3" t="s">
        <v>151</v>
      </c>
      <c r="AG1139" s="3" t="s">
        <v>266</v>
      </c>
      <c r="AH1139" s="3"/>
    </row>
    <row r="1140" spans="1:34" ht="14.25" customHeight="1" x14ac:dyDescent="0.25">
      <c r="A1140" s="3" t="s">
        <v>125</v>
      </c>
      <c r="B1140" s="3" t="s">
        <v>79</v>
      </c>
      <c r="C1140" s="3"/>
      <c r="D1140" s="3" t="s">
        <v>117</v>
      </c>
      <c r="E1140" s="3">
        <v>1</v>
      </c>
      <c r="F1140" s="3">
        <v>1</v>
      </c>
      <c r="G1140" s="3" t="s">
        <v>5</v>
      </c>
      <c r="H1140" s="11">
        <v>45961</v>
      </c>
      <c r="I1140" s="3" t="s">
        <v>183</v>
      </c>
      <c r="J1140" s="3">
        <v>0</v>
      </c>
      <c r="K1140" s="3">
        <v>0</v>
      </c>
      <c r="L1140" s="3">
        <v>9</v>
      </c>
      <c r="M1140" s="3">
        <v>16</v>
      </c>
      <c r="N1140" s="3">
        <v>0</v>
      </c>
      <c r="O1140" s="3">
        <f t="shared" si="228"/>
        <v>25</v>
      </c>
      <c r="P1140" s="3">
        <v>7</v>
      </c>
      <c r="Q1140" s="3">
        <v>6</v>
      </c>
      <c r="R1140" s="3">
        <v>7</v>
      </c>
      <c r="S1140" s="3">
        <v>6</v>
      </c>
      <c r="T1140" s="3">
        <v>3</v>
      </c>
      <c r="U1140" s="3">
        <f t="shared" si="230"/>
        <v>29</v>
      </c>
      <c r="V1140" s="13">
        <f t="shared" si="222"/>
        <v>0.86206896551724133</v>
      </c>
      <c r="W1140" s="13">
        <f t="shared" si="225"/>
        <v>0.86206896551724133</v>
      </c>
      <c r="X1140" s="3">
        <f t="shared" si="223"/>
        <v>29</v>
      </c>
      <c r="Y1140" s="3">
        <f t="shared" si="226"/>
        <v>2.2988505747126436E-3</v>
      </c>
      <c r="Z1140" s="3"/>
      <c r="AA1140" s="3">
        <f t="shared" si="232"/>
        <v>375</v>
      </c>
      <c r="AB1140" s="3">
        <v>35</v>
      </c>
      <c r="AC1140" s="3" t="s">
        <v>82</v>
      </c>
      <c r="AD1140" s="3" t="s">
        <v>83</v>
      </c>
      <c r="AE1140" s="3">
        <v>20</v>
      </c>
      <c r="AF1140" s="3" t="s">
        <v>151</v>
      </c>
      <c r="AG1140" s="3" t="s">
        <v>266</v>
      </c>
      <c r="AH1140" s="3"/>
    </row>
    <row r="1141" spans="1:34" ht="14.25" customHeight="1" x14ac:dyDescent="0.25">
      <c r="A1141" s="3" t="s">
        <v>125</v>
      </c>
      <c r="B1141" s="3" t="s">
        <v>79</v>
      </c>
      <c r="C1141" s="3"/>
      <c r="D1141" s="3" t="s">
        <v>117</v>
      </c>
      <c r="E1141" s="3">
        <v>1</v>
      </c>
      <c r="F1141" s="3">
        <v>1</v>
      </c>
      <c r="G1141" s="3" t="s">
        <v>2</v>
      </c>
      <c r="H1141" s="11">
        <v>45961</v>
      </c>
      <c r="I1141" s="3" t="s">
        <v>183</v>
      </c>
      <c r="J1141" s="3">
        <f>8+7+5</f>
        <v>20</v>
      </c>
      <c r="K1141" s="3">
        <f>7+8+7</f>
        <v>22</v>
      </c>
      <c r="L1141" s="3">
        <f>8+7+3+9</f>
        <v>27</v>
      </c>
      <c r="M1141" s="3">
        <v>15</v>
      </c>
      <c r="N1141" s="3">
        <v>4</v>
      </c>
      <c r="O1141" s="3">
        <f t="shared" si="228"/>
        <v>88</v>
      </c>
      <c r="P1141" s="3">
        <v>7</v>
      </c>
      <c r="Q1141" s="3">
        <v>6</v>
      </c>
      <c r="R1141" s="3">
        <v>7</v>
      </c>
      <c r="S1141" s="3">
        <v>6</v>
      </c>
      <c r="T1141" s="3">
        <v>3</v>
      </c>
      <c r="U1141" s="3">
        <f t="shared" si="230"/>
        <v>29</v>
      </c>
      <c r="V1141" s="13">
        <f t="shared" si="222"/>
        <v>3.0344827586206895</v>
      </c>
      <c r="W1141" s="13">
        <f t="shared" si="225"/>
        <v>3.0344827586206895</v>
      </c>
      <c r="X1141" s="3">
        <f t="shared" si="223"/>
        <v>29</v>
      </c>
      <c r="Y1141" s="3">
        <f t="shared" si="226"/>
        <v>8.0919540229885054E-3</v>
      </c>
      <c r="Z1141" s="3"/>
      <c r="AA1141" s="3">
        <f t="shared" si="232"/>
        <v>375</v>
      </c>
      <c r="AB1141" s="3">
        <v>35</v>
      </c>
      <c r="AC1141" s="3" t="s">
        <v>82</v>
      </c>
      <c r="AD1141" s="3" t="s">
        <v>83</v>
      </c>
      <c r="AE1141" s="3">
        <v>20</v>
      </c>
      <c r="AF1141" s="3" t="s">
        <v>151</v>
      </c>
      <c r="AG1141" s="3" t="s">
        <v>266</v>
      </c>
      <c r="AH1141" s="3"/>
    </row>
    <row r="1142" spans="1:34" ht="14.25" customHeight="1" x14ac:dyDescent="0.25">
      <c r="A1142" s="3" t="s">
        <v>125</v>
      </c>
      <c r="B1142" s="3" t="s">
        <v>79</v>
      </c>
      <c r="C1142" s="3"/>
      <c r="D1142" s="3" t="s">
        <v>117</v>
      </c>
      <c r="E1142" s="3">
        <v>1</v>
      </c>
      <c r="F1142" s="3">
        <v>1</v>
      </c>
      <c r="G1142" s="3" t="s">
        <v>16</v>
      </c>
      <c r="H1142" s="11">
        <v>45961</v>
      </c>
      <c r="I1142" s="3" t="s">
        <v>183</v>
      </c>
      <c r="J1142" s="3">
        <f>4+6+8</f>
        <v>18</v>
      </c>
      <c r="K1142" s="3">
        <v>14</v>
      </c>
      <c r="L1142" s="3">
        <v>12</v>
      </c>
      <c r="M1142" s="3">
        <v>18</v>
      </c>
      <c r="N1142" s="3">
        <v>0</v>
      </c>
      <c r="O1142" s="3">
        <f t="shared" si="228"/>
        <v>62</v>
      </c>
      <c r="P1142" s="3">
        <v>7</v>
      </c>
      <c r="Q1142" s="3">
        <v>6</v>
      </c>
      <c r="R1142" s="3">
        <v>7</v>
      </c>
      <c r="S1142" s="3">
        <v>6</v>
      </c>
      <c r="T1142" s="3">
        <v>3</v>
      </c>
      <c r="U1142" s="3">
        <f t="shared" si="230"/>
        <v>29</v>
      </c>
      <c r="V1142" s="13">
        <f t="shared" si="222"/>
        <v>2.1379310344827585</v>
      </c>
      <c r="W1142" s="13">
        <f t="shared" si="225"/>
        <v>2.1379310344827585</v>
      </c>
      <c r="X1142" s="3">
        <f t="shared" si="223"/>
        <v>29</v>
      </c>
      <c r="Y1142" s="3">
        <f t="shared" si="226"/>
        <v>5.7011494252873557E-3</v>
      </c>
      <c r="Z1142" s="3"/>
      <c r="AA1142" s="3">
        <f t="shared" si="232"/>
        <v>375</v>
      </c>
      <c r="AB1142" s="3">
        <v>35</v>
      </c>
      <c r="AC1142" s="3" t="s">
        <v>82</v>
      </c>
      <c r="AD1142" s="3" t="s">
        <v>83</v>
      </c>
      <c r="AE1142" s="3">
        <v>20</v>
      </c>
      <c r="AF1142" s="3" t="s">
        <v>151</v>
      </c>
      <c r="AG1142" s="3" t="s">
        <v>266</v>
      </c>
      <c r="AH1142" s="3"/>
    </row>
    <row r="1143" spans="1:34" ht="14.25" customHeight="1" x14ac:dyDescent="0.25">
      <c r="A1143" s="3" t="s">
        <v>125</v>
      </c>
      <c r="B1143" s="3" t="s">
        <v>79</v>
      </c>
      <c r="C1143" s="3"/>
      <c r="D1143" s="3" t="s">
        <v>117</v>
      </c>
      <c r="E1143" s="3">
        <v>1</v>
      </c>
      <c r="F1143" s="3">
        <v>1</v>
      </c>
      <c r="G1143" s="3" t="s">
        <v>18</v>
      </c>
      <c r="H1143" s="11">
        <v>45961</v>
      </c>
      <c r="I1143" s="3" t="s">
        <v>183</v>
      </c>
      <c r="J1143" s="3">
        <v>13</v>
      </c>
      <c r="K1143" s="3">
        <v>15</v>
      </c>
      <c r="L1143" s="3">
        <v>18</v>
      </c>
      <c r="M1143" s="3">
        <v>7</v>
      </c>
      <c r="N1143" s="3">
        <v>0</v>
      </c>
      <c r="O1143" s="3">
        <f t="shared" si="228"/>
        <v>53</v>
      </c>
      <c r="P1143" s="3">
        <v>7</v>
      </c>
      <c r="Q1143" s="3">
        <v>6</v>
      </c>
      <c r="R1143" s="3">
        <v>7</v>
      </c>
      <c r="S1143" s="3">
        <v>6</v>
      </c>
      <c r="T1143" s="3">
        <v>3</v>
      </c>
      <c r="U1143" s="3">
        <f t="shared" si="230"/>
        <v>29</v>
      </c>
      <c r="V1143" s="13">
        <f t="shared" si="222"/>
        <v>1.8275862068965518</v>
      </c>
      <c r="W1143" s="13">
        <f t="shared" si="225"/>
        <v>1.8275862068965518</v>
      </c>
      <c r="X1143" s="3">
        <f t="shared" si="223"/>
        <v>29</v>
      </c>
      <c r="Y1143" s="3">
        <f t="shared" si="226"/>
        <v>4.8735632183908046E-3</v>
      </c>
      <c r="Z1143" s="3"/>
      <c r="AA1143" s="3">
        <f t="shared" si="232"/>
        <v>375</v>
      </c>
      <c r="AB1143" s="3">
        <v>35</v>
      </c>
      <c r="AC1143" s="3" t="s">
        <v>82</v>
      </c>
      <c r="AD1143" s="3" t="s">
        <v>83</v>
      </c>
      <c r="AE1143" s="3">
        <v>20</v>
      </c>
      <c r="AF1143" s="3" t="s">
        <v>151</v>
      </c>
      <c r="AG1143" s="3" t="s">
        <v>266</v>
      </c>
      <c r="AH1143" s="3"/>
    </row>
    <row r="1144" spans="1:34" ht="14.25" customHeight="1" x14ac:dyDescent="0.25">
      <c r="A1144" s="3" t="s">
        <v>125</v>
      </c>
      <c r="B1144" s="3" t="s">
        <v>79</v>
      </c>
      <c r="C1144" s="3"/>
      <c r="D1144" s="3" t="s">
        <v>117</v>
      </c>
      <c r="E1144" s="3">
        <v>1</v>
      </c>
      <c r="F1144" s="3">
        <v>1</v>
      </c>
      <c r="G1144" s="3" t="s">
        <v>25</v>
      </c>
      <c r="H1144" s="11">
        <v>45961</v>
      </c>
      <c r="I1144" s="3" t="s">
        <v>183</v>
      </c>
      <c r="J1144" s="3">
        <v>28</v>
      </c>
      <c r="K1144" s="3">
        <v>44</v>
      </c>
      <c r="L1144" s="3">
        <v>28</v>
      </c>
      <c r="M1144" s="3">
        <v>28</v>
      </c>
      <c r="N1144" s="3">
        <v>10</v>
      </c>
      <c r="O1144" s="3">
        <f t="shared" si="228"/>
        <v>138</v>
      </c>
      <c r="P1144" s="3">
        <v>7</v>
      </c>
      <c r="Q1144" s="3">
        <v>6</v>
      </c>
      <c r="R1144" s="3">
        <v>7</v>
      </c>
      <c r="S1144" s="3">
        <v>6</v>
      </c>
      <c r="T1144" s="3">
        <v>3</v>
      </c>
      <c r="U1144" s="3">
        <f t="shared" si="230"/>
        <v>29</v>
      </c>
      <c r="V1144" s="13">
        <f t="shared" si="222"/>
        <v>4.7586206896551726</v>
      </c>
      <c r="W1144" s="13">
        <f t="shared" si="225"/>
        <v>4.7586206896551726</v>
      </c>
      <c r="X1144" s="3">
        <f t="shared" si="223"/>
        <v>29</v>
      </c>
      <c r="Y1144" s="3">
        <f t="shared" si="226"/>
        <v>1.2689655172413794E-2</v>
      </c>
      <c r="Z1144" s="3"/>
      <c r="AA1144" s="3">
        <f t="shared" si="232"/>
        <v>375</v>
      </c>
      <c r="AB1144" s="3">
        <v>35</v>
      </c>
      <c r="AC1144" s="3" t="s">
        <v>82</v>
      </c>
      <c r="AD1144" s="3" t="s">
        <v>83</v>
      </c>
      <c r="AE1144" s="3">
        <v>20</v>
      </c>
      <c r="AF1144" s="3" t="s">
        <v>151</v>
      </c>
      <c r="AG1144" s="3" t="s">
        <v>266</v>
      </c>
      <c r="AH1144" s="3"/>
    </row>
    <row r="1145" spans="1:34" ht="14.25" customHeight="1" x14ac:dyDescent="0.25">
      <c r="A1145" s="3" t="s">
        <v>128</v>
      </c>
      <c r="B1145" s="3" t="s">
        <v>79</v>
      </c>
      <c r="C1145" s="3"/>
      <c r="D1145" s="3" t="s">
        <v>117</v>
      </c>
      <c r="E1145" s="3">
        <v>1</v>
      </c>
      <c r="F1145" s="3">
        <v>1</v>
      </c>
      <c r="G1145" s="3" t="s">
        <v>7</v>
      </c>
      <c r="H1145" s="11">
        <v>45961</v>
      </c>
      <c r="I1145" s="3" t="s">
        <v>183</v>
      </c>
      <c r="J1145" s="3">
        <v>0</v>
      </c>
      <c r="K1145" s="3">
        <v>10</v>
      </c>
      <c r="L1145" s="3">
        <v>2</v>
      </c>
      <c r="M1145" s="3">
        <v>0</v>
      </c>
      <c r="N1145" s="3">
        <v>0</v>
      </c>
      <c r="O1145" s="3">
        <f t="shared" si="228"/>
        <v>12</v>
      </c>
      <c r="P1145" s="3">
        <v>4</v>
      </c>
      <c r="Q1145" s="3">
        <v>3</v>
      </c>
      <c r="R1145" s="3">
        <v>3</v>
      </c>
      <c r="S1145" s="3">
        <v>5</v>
      </c>
      <c r="T1145" s="3">
        <v>0</v>
      </c>
      <c r="U1145" s="3">
        <f t="shared" si="230"/>
        <v>15</v>
      </c>
      <c r="V1145" s="13">
        <f t="shared" si="222"/>
        <v>0.8</v>
      </c>
      <c r="W1145" s="13">
        <f t="shared" si="225"/>
        <v>0.8</v>
      </c>
      <c r="X1145" s="3">
        <f t="shared" si="223"/>
        <v>15</v>
      </c>
      <c r="Y1145" s="3" t="e">
        <f t="shared" si="226"/>
        <v>#DIV/0!</v>
      </c>
      <c r="Z1145" s="3"/>
      <c r="AA1145" s="3"/>
      <c r="AB1145" s="3">
        <v>25</v>
      </c>
      <c r="AC1145" s="3" t="s">
        <v>82</v>
      </c>
      <c r="AD1145" s="3" t="s">
        <v>83</v>
      </c>
      <c r="AE1145" s="3">
        <v>15</v>
      </c>
      <c r="AF1145" s="3" t="s">
        <v>151</v>
      </c>
      <c r="AG1145" s="3" t="s">
        <v>244</v>
      </c>
      <c r="AH1145" s="3"/>
    </row>
    <row r="1146" spans="1:34" ht="14.25" customHeight="1" x14ac:dyDescent="0.25">
      <c r="A1146" s="3" t="s">
        <v>128</v>
      </c>
      <c r="B1146" s="3" t="s">
        <v>79</v>
      </c>
      <c r="C1146" s="3"/>
      <c r="D1146" s="3" t="s">
        <v>117</v>
      </c>
      <c r="E1146" s="3">
        <v>1</v>
      </c>
      <c r="F1146" s="3">
        <v>1</v>
      </c>
      <c r="G1146" s="3" t="s">
        <v>2</v>
      </c>
      <c r="H1146" s="11">
        <v>45961</v>
      </c>
      <c r="I1146" s="3" t="s">
        <v>183</v>
      </c>
      <c r="J1146" s="3">
        <v>20</v>
      </c>
      <c r="K1146" s="3">
        <v>0</v>
      </c>
      <c r="L1146" s="3">
        <v>0</v>
      </c>
      <c r="M1146" s="3">
        <f>5+8+11+11+16</f>
        <v>51</v>
      </c>
      <c r="N1146" s="3">
        <v>0</v>
      </c>
      <c r="O1146" s="3">
        <f t="shared" si="228"/>
        <v>71</v>
      </c>
      <c r="P1146" s="3">
        <v>4</v>
      </c>
      <c r="Q1146" s="3">
        <v>3</v>
      </c>
      <c r="R1146" s="3">
        <v>3</v>
      </c>
      <c r="S1146" s="3">
        <v>5</v>
      </c>
      <c r="T1146" s="3">
        <v>0</v>
      </c>
      <c r="U1146" s="3">
        <f t="shared" ref="U1146:U1148" si="233">SUM(P1146:T1146)</f>
        <v>15</v>
      </c>
      <c r="V1146" s="13">
        <f t="shared" si="222"/>
        <v>4.7333333333333334</v>
      </c>
      <c r="W1146" s="13">
        <f t="shared" si="225"/>
        <v>4.7333333333333334</v>
      </c>
      <c r="X1146" s="3">
        <f t="shared" si="223"/>
        <v>15</v>
      </c>
      <c r="Y1146" s="3" t="e">
        <f t="shared" si="226"/>
        <v>#DIV/0!</v>
      </c>
      <c r="Z1146" s="3"/>
      <c r="AA1146" s="3"/>
      <c r="AB1146" s="3">
        <v>25</v>
      </c>
      <c r="AC1146" s="3" t="s">
        <v>82</v>
      </c>
      <c r="AD1146" s="3" t="s">
        <v>83</v>
      </c>
      <c r="AE1146" s="3">
        <v>15</v>
      </c>
      <c r="AF1146" s="3" t="s">
        <v>151</v>
      </c>
      <c r="AG1146" s="3" t="s">
        <v>244</v>
      </c>
      <c r="AH1146" s="3"/>
    </row>
    <row r="1147" spans="1:34" ht="14.25" customHeight="1" x14ac:dyDescent="0.25">
      <c r="A1147" s="3" t="s">
        <v>128</v>
      </c>
      <c r="B1147" s="3" t="s">
        <v>79</v>
      </c>
      <c r="C1147" s="3"/>
      <c r="D1147" s="3" t="s">
        <v>117</v>
      </c>
      <c r="E1147" s="3">
        <v>1</v>
      </c>
      <c r="F1147" s="3">
        <v>1</v>
      </c>
      <c r="G1147" s="3" t="s">
        <v>25</v>
      </c>
      <c r="H1147" s="11">
        <v>45961</v>
      </c>
      <c r="I1147" s="3" t="s">
        <v>183</v>
      </c>
      <c r="J1147" s="3">
        <f>12+7+18</f>
        <v>37</v>
      </c>
      <c r="K1147" s="3">
        <v>19</v>
      </c>
      <c r="L1147" s="3">
        <f>12+9+14</f>
        <v>35</v>
      </c>
      <c r="M1147" s="3">
        <v>0</v>
      </c>
      <c r="N1147" s="3">
        <v>0</v>
      </c>
      <c r="O1147" s="3">
        <f t="shared" si="228"/>
        <v>91</v>
      </c>
      <c r="P1147" s="3">
        <v>4</v>
      </c>
      <c r="Q1147" s="3">
        <v>3</v>
      </c>
      <c r="R1147" s="3">
        <v>3</v>
      </c>
      <c r="S1147" s="3">
        <v>5</v>
      </c>
      <c r="T1147" s="3">
        <v>0</v>
      </c>
      <c r="U1147" s="3">
        <f t="shared" si="233"/>
        <v>15</v>
      </c>
      <c r="V1147" s="13">
        <f t="shared" si="222"/>
        <v>6.0666666666666664</v>
      </c>
      <c r="W1147" s="13">
        <f t="shared" si="225"/>
        <v>6.0666666666666664</v>
      </c>
      <c r="X1147" s="3">
        <f t="shared" si="223"/>
        <v>15</v>
      </c>
      <c r="Y1147" s="3" t="e">
        <f t="shared" si="226"/>
        <v>#DIV/0!</v>
      </c>
      <c r="Z1147" s="3"/>
      <c r="AA1147" s="3"/>
      <c r="AB1147" s="3">
        <v>25</v>
      </c>
      <c r="AC1147" s="3" t="s">
        <v>82</v>
      </c>
      <c r="AD1147" s="3" t="s">
        <v>83</v>
      </c>
      <c r="AE1147" s="3">
        <v>15</v>
      </c>
      <c r="AF1147" s="3" t="s">
        <v>151</v>
      </c>
      <c r="AG1147" s="3" t="s">
        <v>244</v>
      </c>
      <c r="AH1147" s="3"/>
    </row>
    <row r="1148" spans="1:34" ht="14.25" customHeight="1" x14ac:dyDescent="0.25">
      <c r="A1148" s="3" t="s">
        <v>165</v>
      </c>
      <c r="B1148" s="3" t="s">
        <v>79</v>
      </c>
      <c r="C1148" s="3"/>
      <c r="D1148" s="3" t="s">
        <v>117</v>
      </c>
      <c r="E1148" s="3">
        <v>1</v>
      </c>
      <c r="F1148" s="3">
        <v>1</v>
      </c>
      <c r="G1148" s="3" t="s">
        <v>2</v>
      </c>
      <c r="H1148" s="11">
        <v>45961</v>
      </c>
      <c r="I1148" s="3" t="s">
        <v>183</v>
      </c>
      <c r="J1148" s="3">
        <v>45</v>
      </c>
      <c r="K1148" s="3">
        <v>75</v>
      </c>
      <c r="L1148" s="3">
        <v>85</v>
      </c>
      <c r="M1148" s="3">
        <v>55</v>
      </c>
      <c r="N1148" s="3">
        <v>18</v>
      </c>
      <c r="O1148" s="3">
        <f t="shared" si="228"/>
        <v>278</v>
      </c>
      <c r="P1148" s="3">
        <v>5</v>
      </c>
      <c r="Q1148" s="3">
        <v>5</v>
      </c>
      <c r="R1148" s="3">
        <v>5</v>
      </c>
      <c r="S1148" s="3">
        <v>4</v>
      </c>
      <c r="T1148" s="3">
        <v>2</v>
      </c>
      <c r="U1148" s="3">
        <f t="shared" si="233"/>
        <v>21</v>
      </c>
      <c r="V1148" s="13">
        <f t="shared" si="222"/>
        <v>13.238095238095237</v>
      </c>
      <c r="W1148" s="13">
        <f t="shared" si="225"/>
        <v>13.238095238095237</v>
      </c>
      <c r="X1148" s="3">
        <f t="shared" si="223"/>
        <v>21</v>
      </c>
      <c r="Y1148" s="3" t="e">
        <f t="shared" si="226"/>
        <v>#DIV/0!</v>
      </c>
      <c r="Z1148" s="3"/>
      <c r="AA1148" s="3"/>
      <c r="AB1148" s="3">
        <v>40</v>
      </c>
      <c r="AC1148" s="3" t="s">
        <v>82</v>
      </c>
      <c r="AD1148" s="3" t="s">
        <v>83</v>
      </c>
      <c r="AE1148" s="3">
        <v>15</v>
      </c>
      <c r="AF1148" s="3" t="s">
        <v>151</v>
      </c>
      <c r="AG1148" s="3" t="s">
        <v>268</v>
      </c>
      <c r="AH1148" s="3"/>
    </row>
    <row r="1149" spans="1:34" ht="14.25" customHeight="1" x14ac:dyDescent="0.25">
      <c r="A1149" s="3" t="s">
        <v>165</v>
      </c>
      <c r="B1149" s="3" t="s">
        <v>79</v>
      </c>
      <c r="C1149" s="3"/>
      <c r="D1149" s="3" t="s">
        <v>117</v>
      </c>
      <c r="E1149" s="3">
        <v>1</v>
      </c>
      <c r="F1149" s="3">
        <v>1</v>
      </c>
      <c r="G1149" s="3" t="s">
        <v>14</v>
      </c>
      <c r="H1149" s="11">
        <v>45961</v>
      </c>
      <c r="I1149" s="3" t="s">
        <v>183</v>
      </c>
      <c r="J1149" s="3">
        <v>20</v>
      </c>
      <c r="K1149" s="3">
        <v>16</v>
      </c>
      <c r="L1149" s="3">
        <v>20</v>
      </c>
      <c r="M1149" s="3">
        <v>17</v>
      </c>
      <c r="N1149" s="3">
        <v>7</v>
      </c>
      <c r="O1149" s="3">
        <f t="shared" si="228"/>
        <v>80</v>
      </c>
      <c r="P1149" s="3">
        <v>5</v>
      </c>
      <c r="Q1149" s="3">
        <v>5</v>
      </c>
      <c r="R1149" s="3">
        <v>5</v>
      </c>
      <c r="S1149" s="3">
        <v>4</v>
      </c>
      <c r="T1149" s="3">
        <v>2</v>
      </c>
      <c r="U1149" s="3">
        <f t="shared" ref="U1149:U1150" si="234">SUM(P1149:T1149)</f>
        <v>21</v>
      </c>
      <c r="V1149" s="13">
        <f t="shared" si="222"/>
        <v>3.8095238095238093</v>
      </c>
      <c r="W1149" s="13">
        <f t="shared" si="225"/>
        <v>3.8095238095238093</v>
      </c>
      <c r="X1149" s="3">
        <f t="shared" si="223"/>
        <v>21</v>
      </c>
      <c r="Y1149" s="3" t="e">
        <f t="shared" si="226"/>
        <v>#DIV/0!</v>
      </c>
      <c r="Z1149" s="3"/>
      <c r="AA1149" s="3"/>
      <c r="AB1149" s="3">
        <v>40</v>
      </c>
      <c r="AC1149" s="3" t="s">
        <v>82</v>
      </c>
      <c r="AD1149" s="3" t="s">
        <v>83</v>
      </c>
      <c r="AE1149" s="3">
        <v>15</v>
      </c>
      <c r="AF1149" s="3" t="s">
        <v>151</v>
      </c>
      <c r="AG1149" s="3" t="s">
        <v>268</v>
      </c>
      <c r="AH1149" s="3"/>
    </row>
    <row r="1150" spans="1:34" ht="14.25" customHeight="1" x14ac:dyDescent="0.25">
      <c r="A1150" s="3" t="s">
        <v>165</v>
      </c>
      <c r="B1150" s="3" t="s">
        <v>79</v>
      </c>
      <c r="C1150" s="3"/>
      <c r="D1150" s="3" t="s">
        <v>117</v>
      </c>
      <c r="E1150" s="3">
        <v>1</v>
      </c>
      <c r="F1150" s="3">
        <v>1</v>
      </c>
      <c r="G1150" s="3" t="s">
        <v>15</v>
      </c>
      <c r="H1150" s="11">
        <v>45961</v>
      </c>
      <c r="I1150" s="3" t="s">
        <v>183</v>
      </c>
      <c r="J1150" s="3">
        <v>0</v>
      </c>
      <c r="K1150" s="3">
        <v>25</v>
      </c>
      <c r="L1150" s="3">
        <v>65</v>
      </c>
      <c r="M1150" s="3">
        <v>39</v>
      </c>
      <c r="N1150" s="3">
        <v>0</v>
      </c>
      <c r="O1150" s="3">
        <f t="shared" si="228"/>
        <v>129</v>
      </c>
      <c r="P1150" s="3">
        <v>5</v>
      </c>
      <c r="Q1150" s="3">
        <v>5</v>
      </c>
      <c r="R1150" s="3">
        <v>5</v>
      </c>
      <c r="S1150" s="3">
        <v>4</v>
      </c>
      <c r="T1150" s="3">
        <v>2</v>
      </c>
      <c r="U1150" s="3">
        <f t="shared" si="234"/>
        <v>21</v>
      </c>
      <c r="V1150" s="13">
        <f t="shared" si="222"/>
        <v>6.1428571428571432</v>
      </c>
      <c r="W1150" s="13">
        <f t="shared" si="225"/>
        <v>6.1428571428571432</v>
      </c>
      <c r="X1150" s="3">
        <f t="shared" si="223"/>
        <v>21</v>
      </c>
      <c r="Y1150" s="3" t="e">
        <f t="shared" si="226"/>
        <v>#DIV/0!</v>
      </c>
      <c r="Z1150" s="3"/>
      <c r="AA1150" s="3"/>
      <c r="AB1150" s="3">
        <v>40</v>
      </c>
      <c r="AC1150" s="3" t="s">
        <v>82</v>
      </c>
      <c r="AD1150" s="3" t="s">
        <v>83</v>
      </c>
      <c r="AE1150" s="3">
        <v>15</v>
      </c>
      <c r="AF1150" s="3" t="s">
        <v>151</v>
      </c>
      <c r="AG1150" s="3" t="s">
        <v>268</v>
      </c>
      <c r="AH1150" s="3"/>
    </row>
    <row r="1151" spans="1:34" ht="14.25" customHeight="1" x14ac:dyDescent="0.25">
      <c r="A1151" s="3" t="s">
        <v>114</v>
      </c>
      <c r="B1151" s="3" t="s">
        <v>79</v>
      </c>
      <c r="C1151" s="3"/>
      <c r="D1151" s="3" t="s">
        <v>117</v>
      </c>
      <c r="E1151" s="3">
        <v>1</v>
      </c>
      <c r="F1151" s="3">
        <v>1</v>
      </c>
      <c r="G1151" s="3" t="s">
        <v>1</v>
      </c>
      <c r="H1151" s="11">
        <v>45961</v>
      </c>
      <c r="I1151" s="3" t="s">
        <v>183</v>
      </c>
      <c r="J1151" s="3"/>
      <c r="K1151" s="3"/>
      <c r="L1151" s="3"/>
      <c r="M1151" s="3"/>
      <c r="N1151" s="3"/>
      <c r="O1151" s="3">
        <v>51</v>
      </c>
      <c r="P1151" s="3"/>
      <c r="Q1151" s="3"/>
      <c r="R1151" s="3"/>
      <c r="S1151" s="3"/>
      <c r="T1151" s="3"/>
      <c r="U1151" s="3">
        <v>6</v>
      </c>
      <c r="V1151" s="13">
        <f t="shared" ref="V1151:V1214" si="235">O1151/U1151/F1151</f>
        <v>8.5</v>
      </c>
      <c r="W1151" s="13">
        <f t="shared" si="225"/>
        <v>8.5</v>
      </c>
      <c r="X1151" s="3">
        <f t="shared" ref="X1151:X1214" si="236">F1151*U1151</f>
        <v>6</v>
      </c>
      <c r="Y1151" s="3" t="e">
        <f t="shared" si="226"/>
        <v>#DIV/0!</v>
      </c>
      <c r="Z1151" s="3"/>
      <c r="AA1151" s="3"/>
      <c r="AB1151" s="3">
        <v>115</v>
      </c>
      <c r="AC1151" s="3" t="s">
        <v>82</v>
      </c>
      <c r="AD1151" s="3" t="s">
        <v>83</v>
      </c>
      <c r="AE1151" s="3">
        <v>15</v>
      </c>
      <c r="AF1151" s="3" t="s">
        <v>151</v>
      </c>
      <c r="AG1151" s="3" t="s">
        <v>231</v>
      </c>
      <c r="AH1151" s="3"/>
    </row>
    <row r="1152" spans="1:34" ht="14.25" customHeight="1" x14ac:dyDescent="0.25">
      <c r="A1152" s="3" t="s">
        <v>114</v>
      </c>
      <c r="B1152" s="3" t="s">
        <v>79</v>
      </c>
      <c r="C1152" s="3"/>
      <c r="D1152" s="3" t="s">
        <v>117</v>
      </c>
      <c r="E1152" s="3">
        <v>1</v>
      </c>
      <c r="F1152" s="3">
        <v>1</v>
      </c>
      <c r="G1152" s="3" t="s">
        <v>2</v>
      </c>
      <c r="H1152" s="11">
        <v>45961</v>
      </c>
      <c r="I1152" s="3" t="s">
        <v>183</v>
      </c>
      <c r="J1152" s="3"/>
      <c r="K1152" s="3"/>
      <c r="L1152" s="3"/>
      <c r="M1152" s="3"/>
      <c r="N1152" s="3"/>
      <c r="O1152" s="3">
        <v>39</v>
      </c>
      <c r="P1152" s="3"/>
      <c r="Q1152" s="3"/>
      <c r="R1152" s="3"/>
      <c r="S1152" s="3"/>
      <c r="T1152" s="3"/>
      <c r="U1152" s="3">
        <v>6</v>
      </c>
      <c r="V1152" s="13">
        <f t="shared" si="235"/>
        <v>6.5</v>
      </c>
      <c r="W1152" s="13">
        <f t="shared" si="225"/>
        <v>6.5</v>
      </c>
      <c r="X1152" s="3">
        <f t="shared" si="236"/>
        <v>6</v>
      </c>
      <c r="Y1152" s="3" t="e">
        <f t="shared" si="226"/>
        <v>#DIV/0!</v>
      </c>
      <c r="Z1152" s="3"/>
      <c r="AA1152" s="3"/>
      <c r="AB1152" s="3">
        <v>115</v>
      </c>
      <c r="AC1152" s="3" t="s">
        <v>82</v>
      </c>
      <c r="AD1152" s="3" t="s">
        <v>83</v>
      </c>
      <c r="AE1152" s="3">
        <v>15</v>
      </c>
      <c r="AF1152" s="3" t="s">
        <v>151</v>
      </c>
      <c r="AG1152" s="3" t="s">
        <v>231</v>
      </c>
      <c r="AH1152" s="3"/>
    </row>
    <row r="1153" spans="1:34" ht="14.25" customHeight="1" x14ac:dyDescent="0.25">
      <c r="A1153" s="3" t="s">
        <v>114</v>
      </c>
      <c r="B1153" s="3" t="s">
        <v>79</v>
      </c>
      <c r="C1153" s="3"/>
      <c r="D1153" s="3" t="s">
        <v>117</v>
      </c>
      <c r="E1153" s="3">
        <v>1</v>
      </c>
      <c r="F1153" s="3">
        <v>1</v>
      </c>
      <c r="G1153" s="3" t="s">
        <v>9</v>
      </c>
      <c r="H1153" s="11">
        <v>45961</v>
      </c>
      <c r="I1153" s="3" t="s">
        <v>183</v>
      </c>
      <c r="J1153" s="3"/>
      <c r="K1153" s="3"/>
      <c r="L1153" s="3"/>
      <c r="M1153" s="3"/>
      <c r="N1153" s="3"/>
      <c r="O1153" s="3">
        <v>11</v>
      </c>
      <c r="P1153" s="3"/>
      <c r="Q1153" s="3"/>
      <c r="R1153" s="3"/>
      <c r="S1153" s="3"/>
      <c r="T1153" s="3"/>
      <c r="U1153" s="3">
        <v>6</v>
      </c>
      <c r="V1153" s="13">
        <f t="shared" si="235"/>
        <v>1.8333333333333333</v>
      </c>
      <c r="W1153" s="13">
        <f t="shared" si="225"/>
        <v>1.8333333333333333</v>
      </c>
      <c r="X1153" s="3">
        <f t="shared" si="236"/>
        <v>6</v>
      </c>
      <c r="Y1153" s="3" t="e">
        <f t="shared" si="226"/>
        <v>#DIV/0!</v>
      </c>
      <c r="Z1153" s="3"/>
      <c r="AA1153" s="3"/>
      <c r="AB1153" s="3">
        <v>115</v>
      </c>
      <c r="AC1153" s="3" t="s">
        <v>82</v>
      </c>
      <c r="AD1153" s="3" t="s">
        <v>83</v>
      </c>
      <c r="AE1153" s="3">
        <v>15</v>
      </c>
      <c r="AF1153" s="3" t="s">
        <v>151</v>
      </c>
      <c r="AG1153" s="3" t="s">
        <v>231</v>
      </c>
      <c r="AH1153" s="3"/>
    </row>
    <row r="1154" spans="1:34" ht="14.25" customHeight="1" x14ac:dyDescent="0.25">
      <c r="A1154" s="3" t="s">
        <v>114</v>
      </c>
      <c r="B1154" s="3" t="s">
        <v>79</v>
      </c>
      <c r="C1154" s="3"/>
      <c r="D1154" s="3" t="s">
        <v>117</v>
      </c>
      <c r="E1154" s="3">
        <v>1</v>
      </c>
      <c r="F1154" s="3">
        <v>1</v>
      </c>
      <c r="G1154" s="3" t="s">
        <v>14</v>
      </c>
      <c r="H1154" s="11">
        <v>45961</v>
      </c>
      <c r="I1154" s="3" t="s">
        <v>183</v>
      </c>
      <c r="J1154" s="3"/>
      <c r="K1154" s="3"/>
      <c r="L1154" s="3"/>
      <c r="M1154" s="3"/>
      <c r="N1154" s="3"/>
      <c r="O1154" s="3">
        <v>13</v>
      </c>
      <c r="P1154" s="3"/>
      <c r="Q1154" s="3"/>
      <c r="R1154" s="3"/>
      <c r="S1154" s="3"/>
      <c r="T1154" s="3"/>
      <c r="U1154" s="3">
        <v>6</v>
      </c>
      <c r="V1154" s="13">
        <f t="shared" si="235"/>
        <v>2.1666666666666665</v>
      </c>
      <c r="W1154" s="13">
        <f t="shared" si="225"/>
        <v>2.1666666666666665</v>
      </c>
      <c r="X1154" s="3">
        <f t="shared" si="236"/>
        <v>6</v>
      </c>
      <c r="Y1154" s="3" t="e">
        <f t="shared" si="226"/>
        <v>#DIV/0!</v>
      </c>
      <c r="Z1154" s="3"/>
      <c r="AA1154" s="3"/>
      <c r="AB1154" s="3">
        <v>115</v>
      </c>
      <c r="AC1154" s="3" t="s">
        <v>82</v>
      </c>
      <c r="AD1154" s="3" t="s">
        <v>83</v>
      </c>
      <c r="AE1154" s="3">
        <v>15</v>
      </c>
      <c r="AF1154" s="3" t="s">
        <v>151</v>
      </c>
      <c r="AG1154" s="3" t="s">
        <v>231</v>
      </c>
      <c r="AH1154" s="3"/>
    </row>
    <row r="1155" spans="1:34" ht="14.25" customHeight="1" x14ac:dyDescent="0.25">
      <c r="A1155" s="3" t="s">
        <v>114</v>
      </c>
      <c r="B1155" s="3" t="s">
        <v>79</v>
      </c>
      <c r="C1155" s="3"/>
      <c r="D1155" s="3" t="s">
        <v>117</v>
      </c>
      <c r="E1155" s="3">
        <v>1</v>
      </c>
      <c r="F1155" s="3">
        <v>1</v>
      </c>
      <c r="G1155" s="3" t="s">
        <v>22</v>
      </c>
      <c r="H1155" s="11">
        <v>45961</v>
      </c>
      <c r="I1155" s="3" t="s">
        <v>183</v>
      </c>
      <c r="J1155" s="3"/>
      <c r="K1155" s="3"/>
      <c r="L1155" s="3"/>
      <c r="M1155" s="3"/>
      <c r="N1155" s="3"/>
      <c r="O1155" s="3">
        <v>7</v>
      </c>
      <c r="P1155" s="3"/>
      <c r="Q1155" s="3"/>
      <c r="R1155" s="3"/>
      <c r="S1155" s="3"/>
      <c r="T1155" s="3"/>
      <c r="U1155" s="3">
        <v>6</v>
      </c>
      <c r="V1155" s="13">
        <f t="shared" si="235"/>
        <v>1.1666666666666667</v>
      </c>
      <c r="W1155" s="13">
        <f t="shared" ref="W1155:W1218" si="237">O1155/U1155/F1155</f>
        <v>1.1666666666666667</v>
      </c>
      <c r="X1155" s="3">
        <f t="shared" si="236"/>
        <v>6</v>
      </c>
      <c r="Y1155" s="3" t="e">
        <f t="shared" ref="Y1155:Y1218" si="238">O1155/U1155/AA1155</f>
        <v>#DIV/0!</v>
      </c>
      <c r="Z1155" s="3"/>
      <c r="AA1155" s="3"/>
      <c r="AB1155" s="3">
        <v>115</v>
      </c>
      <c r="AC1155" s="3" t="s">
        <v>82</v>
      </c>
      <c r="AD1155" s="3" t="s">
        <v>83</v>
      </c>
      <c r="AE1155" s="3">
        <v>15</v>
      </c>
      <c r="AF1155" s="3" t="s">
        <v>151</v>
      </c>
      <c r="AG1155" s="3" t="s">
        <v>231</v>
      </c>
      <c r="AH1155" s="3"/>
    </row>
    <row r="1156" spans="1:34" ht="14.25" customHeight="1" x14ac:dyDescent="0.25">
      <c r="A1156" s="3" t="s">
        <v>114</v>
      </c>
      <c r="B1156" s="3" t="s">
        <v>79</v>
      </c>
      <c r="C1156" s="3"/>
      <c r="D1156" s="3" t="s">
        <v>117</v>
      </c>
      <c r="E1156" s="3">
        <v>1</v>
      </c>
      <c r="F1156" s="3">
        <v>1</v>
      </c>
      <c r="G1156" s="24" t="s">
        <v>28</v>
      </c>
      <c r="H1156" s="11">
        <v>45961</v>
      </c>
      <c r="I1156" s="3" t="s">
        <v>183</v>
      </c>
      <c r="J1156" s="25"/>
      <c r="K1156" s="25"/>
      <c r="L1156" s="25"/>
      <c r="M1156" s="25"/>
      <c r="N1156" s="25"/>
      <c r="O1156" s="25">
        <v>6</v>
      </c>
      <c r="P1156" s="3"/>
      <c r="Q1156" s="3"/>
      <c r="R1156" s="3"/>
      <c r="S1156" s="3"/>
      <c r="T1156" s="3"/>
      <c r="U1156" s="3">
        <v>6</v>
      </c>
      <c r="V1156" s="13">
        <f t="shared" si="235"/>
        <v>1</v>
      </c>
      <c r="W1156" s="13">
        <f t="shared" si="237"/>
        <v>1</v>
      </c>
      <c r="X1156" s="3">
        <f t="shared" si="236"/>
        <v>6</v>
      </c>
      <c r="Y1156" s="3" t="e">
        <f t="shared" si="238"/>
        <v>#DIV/0!</v>
      </c>
      <c r="Z1156" s="3"/>
      <c r="AA1156" s="3"/>
      <c r="AB1156" s="3">
        <v>115</v>
      </c>
      <c r="AC1156" s="3" t="s">
        <v>82</v>
      </c>
      <c r="AD1156" s="3" t="s">
        <v>83</v>
      </c>
      <c r="AE1156" s="3">
        <v>15</v>
      </c>
      <c r="AF1156" s="3" t="s">
        <v>151</v>
      </c>
      <c r="AG1156" s="3" t="s">
        <v>231</v>
      </c>
      <c r="AH1156" s="3"/>
    </row>
    <row r="1157" spans="1:34" ht="14.25" customHeight="1" x14ac:dyDescent="0.25">
      <c r="A1157" s="3" t="s">
        <v>127</v>
      </c>
      <c r="B1157" s="3" t="s">
        <v>79</v>
      </c>
      <c r="C1157" s="3"/>
      <c r="D1157" s="3" t="s">
        <v>117</v>
      </c>
      <c r="E1157" s="3">
        <v>2</v>
      </c>
      <c r="F1157" s="3">
        <v>1</v>
      </c>
      <c r="G1157" s="3" t="s">
        <v>2</v>
      </c>
      <c r="H1157" s="11">
        <v>45961</v>
      </c>
      <c r="I1157" s="3" t="s">
        <v>183</v>
      </c>
      <c r="J1157" s="3">
        <f>10+9+8+16+30+11</f>
        <v>84</v>
      </c>
      <c r="K1157" s="3">
        <f>8+11+7+9+10+15</f>
        <v>60</v>
      </c>
      <c r="L1157" s="3">
        <f>14+20+9+6</f>
        <v>49</v>
      </c>
      <c r="M1157" s="3">
        <v>0</v>
      </c>
      <c r="N1157" s="3">
        <v>0</v>
      </c>
      <c r="O1157" s="3">
        <f t="shared" ref="O1157:O1199" si="239">SUM(J1157:N1157)</f>
        <v>193</v>
      </c>
      <c r="P1157" s="3">
        <v>7</v>
      </c>
      <c r="Q1157" s="3">
        <v>7</v>
      </c>
      <c r="R1157" s="3">
        <v>4</v>
      </c>
      <c r="S1157" s="3">
        <v>0</v>
      </c>
      <c r="T1157" s="3">
        <v>0</v>
      </c>
      <c r="U1157" s="3">
        <f t="shared" ref="U1157:U1162" si="240">SUM(P1157:T1157)</f>
        <v>18</v>
      </c>
      <c r="V1157" s="13">
        <f t="shared" si="235"/>
        <v>10.722222222222221</v>
      </c>
      <c r="W1157" s="13">
        <f t="shared" si="237"/>
        <v>10.722222222222221</v>
      </c>
      <c r="X1157" s="3">
        <f t="shared" si="236"/>
        <v>18</v>
      </c>
      <c r="Y1157" s="3" t="e">
        <f t="shared" si="238"/>
        <v>#DIV/0!</v>
      </c>
      <c r="Z1157" s="3"/>
      <c r="AA1157" s="3"/>
      <c r="AB1157" s="3">
        <v>125</v>
      </c>
      <c r="AC1157" s="3" t="s">
        <v>82</v>
      </c>
      <c r="AD1157" s="3" t="s">
        <v>83</v>
      </c>
      <c r="AE1157" s="3">
        <v>40</v>
      </c>
      <c r="AF1157" s="3" t="s">
        <v>151</v>
      </c>
      <c r="AG1157" s="3" t="s">
        <v>231</v>
      </c>
      <c r="AH1157" s="3"/>
    </row>
    <row r="1158" spans="1:34" ht="14.25" customHeight="1" x14ac:dyDescent="0.25">
      <c r="A1158" s="3" t="s">
        <v>127</v>
      </c>
      <c r="B1158" s="3" t="s">
        <v>79</v>
      </c>
      <c r="C1158" s="3"/>
      <c r="D1158" s="3" t="s">
        <v>117</v>
      </c>
      <c r="E1158" s="3">
        <v>2</v>
      </c>
      <c r="F1158" s="3">
        <v>1</v>
      </c>
      <c r="G1158" s="3" t="s">
        <v>25</v>
      </c>
      <c r="H1158" s="11">
        <v>45961</v>
      </c>
      <c r="I1158" s="3" t="s">
        <v>183</v>
      </c>
      <c r="J1158" s="3">
        <f>15+20+30</f>
        <v>65</v>
      </c>
      <c r="K1158" s="3">
        <v>16</v>
      </c>
      <c r="L1158" s="3">
        <v>35</v>
      </c>
      <c r="M1158" s="3">
        <v>0</v>
      </c>
      <c r="N1158" s="3">
        <v>0</v>
      </c>
      <c r="O1158" s="3">
        <f t="shared" si="239"/>
        <v>116</v>
      </c>
      <c r="P1158" s="3">
        <v>7</v>
      </c>
      <c r="Q1158" s="3">
        <v>7</v>
      </c>
      <c r="R1158" s="3">
        <v>4</v>
      </c>
      <c r="S1158" s="3">
        <v>0</v>
      </c>
      <c r="T1158" s="3">
        <v>0</v>
      </c>
      <c r="U1158" s="3">
        <f t="shared" si="240"/>
        <v>18</v>
      </c>
      <c r="V1158" s="13">
        <f t="shared" si="235"/>
        <v>6.4444444444444446</v>
      </c>
      <c r="W1158" s="13">
        <f t="shared" si="237"/>
        <v>6.4444444444444446</v>
      </c>
      <c r="X1158" s="3">
        <f t="shared" si="236"/>
        <v>18</v>
      </c>
      <c r="Y1158" s="3" t="e">
        <f t="shared" si="238"/>
        <v>#DIV/0!</v>
      </c>
      <c r="Z1158" s="3"/>
      <c r="AA1158" s="3"/>
      <c r="AB1158" s="3">
        <v>125</v>
      </c>
      <c r="AC1158" s="3" t="s">
        <v>82</v>
      </c>
      <c r="AD1158" s="3" t="s">
        <v>83</v>
      </c>
      <c r="AE1158" s="3">
        <v>40</v>
      </c>
      <c r="AF1158" s="3" t="s">
        <v>151</v>
      </c>
      <c r="AG1158" s="3" t="s">
        <v>231</v>
      </c>
      <c r="AH1158" s="3"/>
    </row>
    <row r="1159" spans="1:34" ht="14.25" customHeight="1" x14ac:dyDescent="0.25">
      <c r="A1159" s="3" t="s">
        <v>127</v>
      </c>
      <c r="B1159" s="3" t="s">
        <v>79</v>
      </c>
      <c r="C1159" s="3"/>
      <c r="D1159" s="3" t="s">
        <v>117</v>
      </c>
      <c r="E1159" s="3">
        <v>2</v>
      </c>
      <c r="F1159" s="3">
        <v>1</v>
      </c>
      <c r="G1159" s="3" t="s">
        <v>15</v>
      </c>
      <c r="H1159" s="11">
        <v>45961</v>
      </c>
      <c r="I1159" s="3" t="s">
        <v>183</v>
      </c>
      <c r="J1159" s="3">
        <v>20</v>
      </c>
      <c r="K1159" s="3">
        <v>0</v>
      </c>
      <c r="L1159" s="3">
        <v>0</v>
      </c>
      <c r="M1159" s="3">
        <v>0</v>
      </c>
      <c r="N1159" s="3">
        <v>0</v>
      </c>
      <c r="O1159" s="3">
        <f t="shared" si="239"/>
        <v>20</v>
      </c>
      <c r="P1159" s="3">
        <v>7</v>
      </c>
      <c r="Q1159" s="3">
        <v>7</v>
      </c>
      <c r="R1159" s="3">
        <v>4</v>
      </c>
      <c r="S1159" s="3">
        <v>0</v>
      </c>
      <c r="T1159" s="3">
        <v>0</v>
      </c>
      <c r="U1159" s="3">
        <f t="shared" si="240"/>
        <v>18</v>
      </c>
      <c r="V1159" s="13">
        <f t="shared" si="235"/>
        <v>1.1111111111111112</v>
      </c>
      <c r="W1159" s="13">
        <f t="shared" si="237"/>
        <v>1.1111111111111112</v>
      </c>
      <c r="X1159" s="3">
        <f t="shared" si="236"/>
        <v>18</v>
      </c>
      <c r="Y1159" s="3" t="e">
        <f t="shared" si="238"/>
        <v>#DIV/0!</v>
      </c>
      <c r="Z1159" s="3"/>
      <c r="AA1159" s="3"/>
      <c r="AB1159" s="3">
        <v>125</v>
      </c>
      <c r="AC1159" s="3" t="s">
        <v>82</v>
      </c>
      <c r="AD1159" s="3" t="s">
        <v>83</v>
      </c>
      <c r="AE1159" s="3">
        <v>40</v>
      </c>
      <c r="AF1159" s="3" t="s">
        <v>151</v>
      </c>
      <c r="AG1159" s="3" t="s">
        <v>231</v>
      </c>
      <c r="AH1159" s="3"/>
    </row>
    <row r="1160" spans="1:34" ht="14.25" customHeight="1" x14ac:dyDescent="0.25">
      <c r="A1160" s="3" t="s">
        <v>169</v>
      </c>
      <c r="B1160" s="3" t="s">
        <v>79</v>
      </c>
      <c r="C1160" s="3"/>
      <c r="D1160" s="3" t="s">
        <v>117</v>
      </c>
      <c r="E1160" s="3">
        <v>1</v>
      </c>
      <c r="F1160" s="3">
        <v>1</v>
      </c>
      <c r="G1160" s="3" t="s">
        <v>2</v>
      </c>
      <c r="H1160" s="11">
        <v>45961</v>
      </c>
      <c r="I1160" s="3" t="s">
        <v>183</v>
      </c>
      <c r="J1160" s="3">
        <f>8+15+18+10</f>
        <v>51</v>
      </c>
      <c r="K1160" s="3">
        <f>8+11+16</f>
        <v>35</v>
      </c>
      <c r="L1160" s="3">
        <v>19</v>
      </c>
      <c r="M1160" s="3">
        <v>0</v>
      </c>
      <c r="N1160" s="3">
        <v>0</v>
      </c>
      <c r="O1160" s="3">
        <f t="shared" si="239"/>
        <v>105</v>
      </c>
      <c r="P1160" s="3">
        <v>6</v>
      </c>
      <c r="Q1160" s="3">
        <v>3</v>
      </c>
      <c r="R1160" s="3">
        <v>1</v>
      </c>
      <c r="S1160" s="3">
        <v>0</v>
      </c>
      <c r="T1160" s="3">
        <v>0</v>
      </c>
      <c r="U1160" s="3">
        <f t="shared" si="240"/>
        <v>10</v>
      </c>
      <c r="V1160" s="13">
        <f t="shared" si="235"/>
        <v>10.5</v>
      </c>
      <c r="W1160" s="13">
        <f t="shared" si="237"/>
        <v>10.5</v>
      </c>
      <c r="X1160" s="3">
        <f t="shared" si="236"/>
        <v>10</v>
      </c>
      <c r="Y1160" s="3" t="e">
        <f t="shared" si="238"/>
        <v>#DIV/0!</v>
      </c>
      <c r="Z1160" s="3"/>
      <c r="AA1160" s="3"/>
      <c r="AB1160" s="3">
        <v>130</v>
      </c>
      <c r="AC1160" s="3" t="s">
        <v>82</v>
      </c>
      <c r="AD1160" s="3" t="s">
        <v>83</v>
      </c>
      <c r="AE1160" s="3">
        <v>40</v>
      </c>
      <c r="AF1160" s="3" t="s">
        <v>151</v>
      </c>
      <c r="AG1160" s="3" t="s">
        <v>269</v>
      </c>
      <c r="AH1160" s="3"/>
    </row>
    <row r="1161" spans="1:34" ht="14.25" customHeight="1" x14ac:dyDescent="0.25">
      <c r="A1161" s="3" t="s">
        <v>169</v>
      </c>
      <c r="B1161" s="3" t="s">
        <v>79</v>
      </c>
      <c r="C1161" s="3"/>
      <c r="D1161" s="3" t="s">
        <v>117</v>
      </c>
      <c r="E1161" s="3">
        <v>1</v>
      </c>
      <c r="F1161" s="3">
        <v>1</v>
      </c>
      <c r="G1161" s="3" t="s">
        <v>14</v>
      </c>
      <c r="H1161" s="11">
        <v>45961</v>
      </c>
      <c r="I1161" s="3" t="s">
        <v>183</v>
      </c>
      <c r="J1161" s="3">
        <v>35</v>
      </c>
      <c r="K1161" s="3">
        <v>16</v>
      </c>
      <c r="L1161" s="3">
        <v>8</v>
      </c>
      <c r="M1161" s="3">
        <v>0</v>
      </c>
      <c r="N1161" s="3">
        <v>0</v>
      </c>
      <c r="O1161" s="3">
        <f t="shared" si="239"/>
        <v>59</v>
      </c>
      <c r="P1161" s="3">
        <v>6</v>
      </c>
      <c r="Q1161" s="3">
        <v>3</v>
      </c>
      <c r="R1161" s="3">
        <v>1</v>
      </c>
      <c r="S1161" s="3">
        <v>0</v>
      </c>
      <c r="T1161" s="3">
        <v>0</v>
      </c>
      <c r="U1161" s="3">
        <f t="shared" si="240"/>
        <v>10</v>
      </c>
      <c r="V1161" s="13">
        <f t="shared" si="235"/>
        <v>5.9</v>
      </c>
      <c r="W1161" s="13">
        <f t="shared" si="237"/>
        <v>5.9</v>
      </c>
      <c r="X1161" s="3">
        <f t="shared" si="236"/>
        <v>10</v>
      </c>
      <c r="Y1161" s="3" t="e">
        <f t="shared" si="238"/>
        <v>#DIV/0!</v>
      </c>
      <c r="Z1161" s="3"/>
      <c r="AA1161" s="3"/>
      <c r="AB1161" s="3">
        <v>130</v>
      </c>
      <c r="AC1161" s="3" t="s">
        <v>82</v>
      </c>
      <c r="AD1161" s="3" t="s">
        <v>83</v>
      </c>
      <c r="AE1161" s="3">
        <v>40</v>
      </c>
      <c r="AF1161" s="3" t="s">
        <v>151</v>
      </c>
      <c r="AG1161" s="3" t="s">
        <v>269</v>
      </c>
      <c r="AH1161" s="3"/>
    </row>
    <row r="1162" spans="1:34" ht="14.25" customHeight="1" x14ac:dyDescent="0.25">
      <c r="A1162" s="3" t="s">
        <v>133</v>
      </c>
      <c r="B1162" s="3" t="s">
        <v>79</v>
      </c>
      <c r="C1162" s="3"/>
      <c r="D1162" s="3" t="s">
        <v>117</v>
      </c>
      <c r="E1162" s="3">
        <v>1</v>
      </c>
      <c r="F1162" s="3">
        <v>1</v>
      </c>
      <c r="G1162" s="3" t="s">
        <v>1</v>
      </c>
      <c r="H1162" s="11">
        <v>45961</v>
      </c>
      <c r="I1162" s="3" t="s">
        <v>183</v>
      </c>
      <c r="J1162" s="3">
        <f>-7+6+4+5+3</f>
        <v>11</v>
      </c>
      <c r="K1162" s="3">
        <f>10+10+5+8</f>
        <v>33</v>
      </c>
      <c r="L1162" s="3">
        <v>18</v>
      </c>
      <c r="M1162" s="3">
        <f>6+7+4+5</f>
        <v>22</v>
      </c>
      <c r="N1162" s="3">
        <v>14</v>
      </c>
      <c r="O1162" s="3">
        <f t="shared" si="239"/>
        <v>98</v>
      </c>
      <c r="P1162" s="3">
        <v>7</v>
      </c>
      <c r="Q1162" s="3">
        <v>7</v>
      </c>
      <c r="R1162" s="3">
        <v>7</v>
      </c>
      <c r="S1162" s="3">
        <v>7</v>
      </c>
      <c r="T1162" s="3">
        <v>3</v>
      </c>
      <c r="U1162" s="3">
        <f t="shared" si="240"/>
        <v>31</v>
      </c>
      <c r="V1162" s="13">
        <f t="shared" si="235"/>
        <v>3.161290322580645</v>
      </c>
      <c r="W1162" s="13">
        <f t="shared" si="237"/>
        <v>3.161290322580645</v>
      </c>
      <c r="X1162" s="3">
        <f t="shared" si="236"/>
        <v>31</v>
      </c>
      <c r="Y1162" s="3">
        <f t="shared" si="238"/>
        <v>8.4301075268817197E-3</v>
      </c>
      <c r="Z1162" s="3"/>
      <c r="AA1162" s="3">
        <f>25*3*5</f>
        <v>375</v>
      </c>
      <c r="AB1162" s="3">
        <v>30</v>
      </c>
      <c r="AC1162" s="3" t="s">
        <v>82</v>
      </c>
      <c r="AD1162" s="3" t="s">
        <v>83</v>
      </c>
      <c r="AE1162" s="3">
        <v>20</v>
      </c>
      <c r="AF1162" s="3" t="s">
        <v>151</v>
      </c>
      <c r="AG1162" s="3" t="s">
        <v>244</v>
      </c>
      <c r="AH1162" s="3"/>
    </row>
    <row r="1163" spans="1:34" ht="14.25" customHeight="1" x14ac:dyDescent="0.25">
      <c r="A1163" s="3" t="s">
        <v>133</v>
      </c>
      <c r="B1163" s="3" t="s">
        <v>79</v>
      </c>
      <c r="C1163" s="3"/>
      <c r="D1163" s="3" t="s">
        <v>117</v>
      </c>
      <c r="E1163" s="3">
        <v>1</v>
      </c>
      <c r="F1163" s="3">
        <v>1</v>
      </c>
      <c r="G1163" s="3" t="s">
        <v>3</v>
      </c>
      <c r="H1163" s="11">
        <v>45961</v>
      </c>
      <c r="I1163" s="3" t="s">
        <v>183</v>
      </c>
      <c r="J1163" s="3">
        <v>0</v>
      </c>
      <c r="K1163" s="3">
        <v>15</v>
      </c>
      <c r="L1163" s="3">
        <f>7+6+4+10+6</f>
        <v>33</v>
      </c>
      <c r="M1163" s="3">
        <f>7+8+7+6+5</f>
        <v>33</v>
      </c>
      <c r="N1163" s="3">
        <v>4</v>
      </c>
      <c r="O1163" s="3">
        <f t="shared" si="239"/>
        <v>85</v>
      </c>
      <c r="P1163" s="3">
        <v>7</v>
      </c>
      <c r="Q1163" s="3">
        <v>7</v>
      </c>
      <c r="R1163" s="3">
        <v>7</v>
      </c>
      <c r="S1163" s="3">
        <v>7</v>
      </c>
      <c r="T1163" s="3">
        <v>3</v>
      </c>
      <c r="U1163" s="3">
        <f t="shared" ref="U1163:U1167" si="241">SUM(P1163:T1163)</f>
        <v>31</v>
      </c>
      <c r="V1163" s="13">
        <f t="shared" si="235"/>
        <v>2.7419354838709675</v>
      </c>
      <c r="W1163" s="13">
        <f t="shared" si="237"/>
        <v>2.7419354838709675</v>
      </c>
      <c r="X1163" s="3">
        <f t="shared" si="236"/>
        <v>31</v>
      </c>
      <c r="Y1163" s="3">
        <f t="shared" si="238"/>
        <v>7.3118279569892464E-3</v>
      </c>
      <c r="Z1163" s="3"/>
      <c r="AA1163" s="3">
        <f t="shared" ref="AA1163:AA1167" si="242">25*3*5</f>
        <v>375</v>
      </c>
      <c r="AB1163" s="3">
        <v>30</v>
      </c>
      <c r="AC1163" s="3" t="s">
        <v>82</v>
      </c>
      <c r="AD1163" s="3" t="s">
        <v>83</v>
      </c>
      <c r="AE1163" s="3">
        <v>20</v>
      </c>
      <c r="AF1163" s="3" t="s">
        <v>151</v>
      </c>
      <c r="AG1163" s="3" t="s">
        <v>244</v>
      </c>
      <c r="AH1163" s="3"/>
    </row>
    <row r="1164" spans="1:34" ht="14.25" customHeight="1" x14ac:dyDescent="0.25">
      <c r="A1164" s="3" t="s">
        <v>133</v>
      </c>
      <c r="B1164" s="3" t="s">
        <v>79</v>
      </c>
      <c r="C1164" s="3"/>
      <c r="D1164" s="3" t="s">
        <v>117</v>
      </c>
      <c r="E1164" s="3">
        <v>1</v>
      </c>
      <c r="F1164" s="3">
        <v>1</v>
      </c>
      <c r="G1164" s="3" t="s">
        <v>5</v>
      </c>
      <c r="H1164" s="11">
        <v>45961</v>
      </c>
      <c r="I1164" s="3" t="s">
        <v>183</v>
      </c>
      <c r="J1164" s="3">
        <f>10+6+7+6+5</f>
        <v>34</v>
      </c>
      <c r="K1164" s="25">
        <v>4</v>
      </c>
      <c r="L1164" s="3">
        <v>0</v>
      </c>
      <c r="M1164" s="3">
        <v>0</v>
      </c>
      <c r="N1164" s="3">
        <v>0</v>
      </c>
      <c r="O1164" s="3">
        <f t="shared" si="239"/>
        <v>38</v>
      </c>
      <c r="P1164" s="3">
        <v>7</v>
      </c>
      <c r="Q1164" s="3">
        <v>7</v>
      </c>
      <c r="R1164" s="3">
        <v>7</v>
      </c>
      <c r="S1164" s="3">
        <v>7</v>
      </c>
      <c r="T1164" s="3">
        <v>3</v>
      </c>
      <c r="U1164" s="3">
        <f t="shared" si="241"/>
        <v>31</v>
      </c>
      <c r="V1164" s="13">
        <f t="shared" si="235"/>
        <v>1.2258064516129032</v>
      </c>
      <c r="W1164" s="13">
        <f t="shared" si="237"/>
        <v>1.2258064516129032</v>
      </c>
      <c r="X1164" s="3">
        <f t="shared" si="236"/>
        <v>31</v>
      </c>
      <c r="Y1164" s="3">
        <f t="shared" si="238"/>
        <v>3.2688172043010754E-3</v>
      </c>
      <c r="Z1164" s="3"/>
      <c r="AA1164" s="3">
        <f t="shared" si="242"/>
        <v>375</v>
      </c>
      <c r="AB1164" s="3">
        <v>30</v>
      </c>
      <c r="AC1164" s="3" t="s">
        <v>82</v>
      </c>
      <c r="AD1164" s="3" t="s">
        <v>83</v>
      </c>
      <c r="AE1164" s="3">
        <v>20</v>
      </c>
      <c r="AF1164" s="3" t="s">
        <v>151</v>
      </c>
      <c r="AG1164" s="3" t="s">
        <v>244</v>
      </c>
      <c r="AH1164" s="3"/>
    </row>
    <row r="1165" spans="1:34" ht="14.25" customHeight="1" x14ac:dyDescent="0.25">
      <c r="A1165" s="3" t="s">
        <v>133</v>
      </c>
      <c r="B1165" s="3" t="s">
        <v>79</v>
      </c>
      <c r="C1165" s="3"/>
      <c r="D1165" s="3" t="s">
        <v>117</v>
      </c>
      <c r="E1165" s="3">
        <v>1</v>
      </c>
      <c r="F1165" s="3">
        <v>1</v>
      </c>
      <c r="G1165" s="3" t="s">
        <v>2</v>
      </c>
      <c r="H1165" s="11">
        <v>45961</v>
      </c>
      <c r="I1165" s="3" t="s">
        <v>183</v>
      </c>
      <c r="J1165" s="3">
        <f>7+10+4+6</f>
        <v>27</v>
      </c>
      <c r="K1165" s="3">
        <f>8+10+10+10</f>
        <v>38</v>
      </c>
      <c r="L1165" s="3">
        <f>7+5+10+6+7</f>
        <v>35</v>
      </c>
      <c r="M1165" s="3">
        <f>10+6+5+4+7</f>
        <v>32</v>
      </c>
      <c r="N1165" s="3">
        <v>8</v>
      </c>
      <c r="O1165" s="3">
        <f t="shared" si="239"/>
        <v>140</v>
      </c>
      <c r="P1165" s="3">
        <v>7</v>
      </c>
      <c r="Q1165" s="3">
        <v>7</v>
      </c>
      <c r="R1165" s="3">
        <v>7</v>
      </c>
      <c r="S1165" s="3">
        <v>7</v>
      </c>
      <c r="T1165" s="3">
        <v>3</v>
      </c>
      <c r="U1165" s="3">
        <f t="shared" si="241"/>
        <v>31</v>
      </c>
      <c r="V1165" s="13">
        <f t="shared" si="235"/>
        <v>4.5161290322580649</v>
      </c>
      <c r="W1165" s="13">
        <f t="shared" si="237"/>
        <v>4.5161290322580649</v>
      </c>
      <c r="X1165" s="3">
        <f t="shared" si="236"/>
        <v>31</v>
      </c>
      <c r="Y1165" s="3">
        <f t="shared" si="238"/>
        <v>1.2043010752688174E-2</v>
      </c>
      <c r="Z1165" s="3"/>
      <c r="AA1165" s="3">
        <f t="shared" si="242"/>
        <v>375</v>
      </c>
      <c r="AB1165" s="3">
        <v>30</v>
      </c>
      <c r="AC1165" s="3" t="s">
        <v>82</v>
      </c>
      <c r="AD1165" s="3" t="s">
        <v>83</v>
      </c>
      <c r="AE1165" s="3">
        <v>20</v>
      </c>
      <c r="AF1165" s="3" t="s">
        <v>151</v>
      </c>
      <c r="AG1165" s="3" t="s">
        <v>244</v>
      </c>
      <c r="AH1165" s="3"/>
    </row>
    <row r="1166" spans="1:34" ht="14.25" customHeight="1" x14ac:dyDescent="0.25">
      <c r="A1166" s="3" t="s">
        <v>133</v>
      </c>
      <c r="B1166" s="3" t="s">
        <v>79</v>
      </c>
      <c r="C1166" s="3"/>
      <c r="D1166" s="3" t="s">
        <v>117</v>
      </c>
      <c r="E1166" s="3">
        <v>1</v>
      </c>
      <c r="F1166" s="3">
        <v>1</v>
      </c>
      <c r="G1166" s="3" t="s">
        <v>16</v>
      </c>
      <c r="H1166" s="11">
        <v>45961</v>
      </c>
      <c r="I1166" s="3" t="s">
        <v>183</v>
      </c>
      <c r="J1166" s="3">
        <f>4+6+7+6</f>
        <v>23</v>
      </c>
      <c r="K1166" s="3">
        <f>7+5+6+4</f>
        <v>22</v>
      </c>
      <c r="L1166" s="3">
        <f>10+5+4+4</f>
        <v>23</v>
      </c>
      <c r="M1166" s="3">
        <f>6+8+4+3</f>
        <v>21</v>
      </c>
      <c r="N1166" s="3">
        <v>14</v>
      </c>
      <c r="O1166" s="3">
        <f t="shared" si="239"/>
        <v>103</v>
      </c>
      <c r="P1166" s="3">
        <v>7</v>
      </c>
      <c r="Q1166" s="3">
        <v>7</v>
      </c>
      <c r="R1166" s="3">
        <v>7</v>
      </c>
      <c r="S1166" s="3">
        <v>7</v>
      </c>
      <c r="T1166" s="3">
        <v>3</v>
      </c>
      <c r="U1166" s="3">
        <f t="shared" si="241"/>
        <v>31</v>
      </c>
      <c r="V1166" s="13">
        <f t="shared" si="235"/>
        <v>3.3225806451612905</v>
      </c>
      <c r="W1166" s="13">
        <f t="shared" si="237"/>
        <v>3.3225806451612905</v>
      </c>
      <c r="X1166" s="3">
        <f t="shared" si="236"/>
        <v>31</v>
      </c>
      <c r="Y1166" s="3">
        <f t="shared" si="238"/>
        <v>8.860215053763441E-3</v>
      </c>
      <c r="Z1166" s="3"/>
      <c r="AA1166" s="3">
        <f t="shared" si="242"/>
        <v>375</v>
      </c>
      <c r="AB1166" s="3">
        <v>30</v>
      </c>
      <c r="AC1166" s="3" t="s">
        <v>82</v>
      </c>
      <c r="AD1166" s="3" t="s">
        <v>83</v>
      </c>
      <c r="AE1166" s="3">
        <v>20</v>
      </c>
      <c r="AF1166" s="3" t="s">
        <v>151</v>
      </c>
      <c r="AG1166" s="3" t="s">
        <v>244</v>
      </c>
      <c r="AH1166" s="3"/>
    </row>
    <row r="1167" spans="1:34" ht="14.25" customHeight="1" x14ac:dyDescent="0.25">
      <c r="A1167" s="3" t="s">
        <v>133</v>
      </c>
      <c r="B1167" s="3" t="s">
        <v>79</v>
      </c>
      <c r="C1167" s="3"/>
      <c r="D1167" s="3" t="s">
        <v>117</v>
      </c>
      <c r="E1167" s="3">
        <v>1</v>
      </c>
      <c r="F1167" s="3">
        <v>1</v>
      </c>
      <c r="G1167" s="3" t="s">
        <v>25</v>
      </c>
      <c r="H1167" s="11">
        <v>45961</v>
      </c>
      <c r="I1167" s="3" t="s">
        <v>183</v>
      </c>
      <c r="J1167" s="3">
        <f>10+7+8+10</f>
        <v>35</v>
      </c>
      <c r="K1167" s="3">
        <f>15+10+7</f>
        <v>32</v>
      </c>
      <c r="L1167" s="3">
        <f>6+5+8+10</f>
        <v>29</v>
      </c>
      <c r="M1167" s="3">
        <f>12+8+10</f>
        <v>30</v>
      </c>
      <c r="N1167" s="3">
        <v>15</v>
      </c>
      <c r="O1167" s="3">
        <f t="shared" si="239"/>
        <v>141</v>
      </c>
      <c r="P1167" s="3">
        <v>7</v>
      </c>
      <c r="Q1167" s="3">
        <v>7</v>
      </c>
      <c r="R1167" s="3">
        <v>7</v>
      </c>
      <c r="S1167" s="3">
        <v>7</v>
      </c>
      <c r="T1167" s="3">
        <v>3</v>
      </c>
      <c r="U1167" s="3">
        <f t="shared" si="241"/>
        <v>31</v>
      </c>
      <c r="V1167" s="13">
        <f t="shared" si="235"/>
        <v>4.5483870967741939</v>
      </c>
      <c r="W1167" s="13">
        <f t="shared" si="237"/>
        <v>4.5483870967741939</v>
      </c>
      <c r="X1167" s="3">
        <f t="shared" si="236"/>
        <v>31</v>
      </c>
      <c r="Y1167" s="3">
        <f t="shared" si="238"/>
        <v>1.2129032258064517E-2</v>
      </c>
      <c r="Z1167" s="3"/>
      <c r="AA1167" s="3">
        <f t="shared" si="242"/>
        <v>375</v>
      </c>
      <c r="AB1167" s="3">
        <v>30</v>
      </c>
      <c r="AC1167" s="3" t="s">
        <v>82</v>
      </c>
      <c r="AD1167" s="3" t="s">
        <v>83</v>
      </c>
      <c r="AE1167" s="3">
        <v>20</v>
      </c>
      <c r="AF1167" s="3" t="s">
        <v>151</v>
      </c>
      <c r="AG1167" s="3" t="s">
        <v>244</v>
      </c>
      <c r="AH1167" s="3"/>
    </row>
    <row r="1168" spans="1:34" ht="14.25" customHeight="1" x14ac:dyDescent="0.25">
      <c r="A1168" s="3" t="s">
        <v>116</v>
      </c>
      <c r="B1168" s="3" t="s">
        <v>79</v>
      </c>
      <c r="C1168" s="3"/>
      <c r="D1168" s="3" t="s">
        <v>117</v>
      </c>
      <c r="E1168" s="3">
        <v>1</v>
      </c>
      <c r="F1168" s="3">
        <v>1</v>
      </c>
      <c r="G1168" s="3" t="s">
        <v>1</v>
      </c>
      <c r="H1168" s="11">
        <v>45961</v>
      </c>
      <c r="I1168" s="3" t="s">
        <v>183</v>
      </c>
      <c r="J1168" s="3">
        <f>10+13+5</f>
        <v>28</v>
      </c>
      <c r="K1168" s="3">
        <v>23</v>
      </c>
      <c r="L1168" s="3">
        <f>10+13+8+7</f>
        <v>38</v>
      </c>
      <c r="M1168" s="3">
        <f>6+5+4+10</f>
        <v>25</v>
      </c>
      <c r="N1168" s="3">
        <v>13</v>
      </c>
      <c r="O1168" s="3">
        <f t="shared" si="239"/>
        <v>127</v>
      </c>
      <c r="P1168" s="3">
        <v>7</v>
      </c>
      <c r="Q1168" s="3">
        <v>7</v>
      </c>
      <c r="R1168" s="3">
        <v>7</v>
      </c>
      <c r="S1168" s="3">
        <v>7</v>
      </c>
      <c r="T1168" s="3">
        <v>3</v>
      </c>
      <c r="U1168" s="3">
        <f t="shared" ref="U1168" si="243">SUM(P1168:T1168)</f>
        <v>31</v>
      </c>
      <c r="V1168" s="13">
        <f t="shared" si="235"/>
        <v>4.096774193548387</v>
      </c>
      <c r="W1168" s="13">
        <f t="shared" si="237"/>
        <v>4.096774193548387</v>
      </c>
      <c r="X1168" s="3">
        <f t="shared" si="236"/>
        <v>31</v>
      </c>
      <c r="Y1168" s="3">
        <f t="shared" si="238"/>
        <v>1.3109677419354839E-2</v>
      </c>
      <c r="Z1168" s="3"/>
      <c r="AA1168" s="3">
        <f>25*2.5*5</f>
        <v>312.5</v>
      </c>
      <c r="AB1168" s="3">
        <v>30</v>
      </c>
      <c r="AC1168" s="3" t="s">
        <v>82</v>
      </c>
      <c r="AD1168" s="3" t="s">
        <v>83</v>
      </c>
      <c r="AE1168" s="3">
        <v>20</v>
      </c>
      <c r="AF1168" s="3" t="s">
        <v>151</v>
      </c>
      <c r="AG1168" s="3" t="s">
        <v>266</v>
      </c>
      <c r="AH1168" s="3"/>
    </row>
    <row r="1169" spans="1:34" ht="14.25" customHeight="1" x14ac:dyDescent="0.25">
      <c r="A1169" s="3" t="s">
        <v>116</v>
      </c>
      <c r="B1169" s="3" t="s">
        <v>79</v>
      </c>
      <c r="C1169" s="3"/>
      <c r="D1169" s="3" t="s">
        <v>117</v>
      </c>
      <c r="E1169" s="3">
        <v>1</v>
      </c>
      <c r="F1169" s="3">
        <v>1</v>
      </c>
      <c r="G1169" s="3" t="s">
        <v>3</v>
      </c>
      <c r="H1169" s="11">
        <v>45961</v>
      </c>
      <c r="I1169" s="3" t="s">
        <v>183</v>
      </c>
      <c r="J1169" s="3">
        <f>16+4+4+5+6+3</f>
        <v>38</v>
      </c>
      <c r="K1169" s="3">
        <f>7+6+10+7+6</f>
        <v>36</v>
      </c>
      <c r="L1169" s="3">
        <f>5+6+4+10</f>
        <v>25</v>
      </c>
      <c r="M1169" s="3">
        <v>28</v>
      </c>
      <c r="N1169" s="3">
        <v>7</v>
      </c>
      <c r="O1169" s="3">
        <f t="shared" si="239"/>
        <v>134</v>
      </c>
      <c r="P1169" s="3">
        <v>7</v>
      </c>
      <c r="Q1169" s="3">
        <v>7</v>
      </c>
      <c r="R1169" s="3">
        <v>7</v>
      </c>
      <c r="S1169" s="3">
        <v>7</v>
      </c>
      <c r="T1169" s="3">
        <v>3</v>
      </c>
      <c r="U1169" s="3">
        <f t="shared" ref="U1169:U1173" si="244">SUM(P1169:T1169)</f>
        <v>31</v>
      </c>
      <c r="V1169" s="13">
        <f t="shared" si="235"/>
        <v>4.32258064516129</v>
      </c>
      <c r="W1169" s="13">
        <f t="shared" si="237"/>
        <v>4.32258064516129</v>
      </c>
      <c r="X1169" s="3">
        <f t="shared" si="236"/>
        <v>31</v>
      </c>
      <c r="Y1169" s="3">
        <f t="shared" si="238"/>
        <v>1.3832258064516129E-2</v>
      </c>
      <c r="Z1169" s="3"/>
      <c r="AA1169" s="3">
        <f t="shared" ref="AA1169:AA1172" si="245">25*2.5*5</f>
        <v>312.5</v>
      </c>
      <c r="AB1169" s="3">
        <v>30</v>
      </c>
      <c r="AC1169" s="3" t="s">
        <v>82</v>
      </c>
      <c r="AD1169" s="3" t="s">
        <v>83</v>
      </c>
      <c r="AE1169" s="3">
        <v>20</v>
      </c>
      <c r="AF1169" s="3" t="s">
        <v>151</v>
      </c>
      <c r="AG1169" s="3" t="s">
        <v>266</v>
      </c>
      <c r="AH1169" s="3"/>
    </row>
    <row r="1170" spans="1:34" ht="14.25" customHeight="1" x14ac:dyDescent="0.25">
      <c r="A1170" s="3" t="s">
        <v>116</v>
      </c>
      <c r="B1170" s="3" t="s">
        <v>79</v>
      </c>
      <c r="C1170" s="3"/>
      <c r="D1170" s="3" t="s">
        <v>117</v>
      </c>
      <c r="E1170" s="3">
        <v>1</v>
      </c>
      <c r="F1170" s="3">
        <v>1</v>
      </c>
      <c r="G1170" s="3" t="s">
        <v>2</v>
      </c>
      <c r="H1170" s="11">
        <v>45961</v>
      </c>
      <c r="I1170" s="3" t="s">
        <v>183</v>
      </c>
      <c r="J1170" s="3">
        <f>10+7+6+5</f>
        <v>28</v>
      </c>
      <c r="K1170" s="3">
        <f>6+7+7+6</f>
        <v>26</v>
      </c>
      <c r="L1170" s="3">
        <f>5+4+6+7</f>
        <v>22</v>
      </c>
      <c r="M1170" s="3">
        <f>8+7+6+5+10</f>
        <v>36</v>
      </c>
      <c r="N1170" s="3">
        <v>25</v>
      </c>
      <c r="O1170" s="3">
        <f t="shared" si="239"/>
        <v>137</v>
      </c>
      <c r="P1170" s="3">
        <v>7</v>
      </c>
      <c r="Q1170" s="3">
        <v>7</v>
      </c>
      <c r="R1170" s="3">
        <v>7</v>
      </c>
      <c r="S1170" s="3">
        <v>7</v>
      </c>
      <c r="T1170" s="3">
        <v>3</v>
      </c>
      <c r="U1170" s="3">
        <f t="shared" si="244"/>
        <v>31</v>
      </c>
      <c r="V1170" s="13">
        <f t="shared" si="235"/>
        <v>4.419354838709677</v>
      </c>
      <c r="W1170" s="13">
        <f t="shared" si="237"/>
        <v>4.419354838709677</v>
      </c>
      <c r="X1170" s="3">
        <f t="shared" si="236"/>
        <v>31</v>
      </c>
      <c r="Y1170" s="3">
        <f t="shared" si="238"/>
        <v>1.4141935483870967E-2</v>
      </c>
      <c r="Z1170" s="3"/>
      <c r="AA1170" s="3">
        <f t="shared" si="245"/>
        <v>312.5</v>
      </c>
      <c r="AB1170" s="3">
        <v>30</v>
      </c>
      <c r="AC1170" s="3" t="s">
        <v>82</v>
      </c>
      <c r="AD1170" s="3" t="s">
        <v>83</v>
      </c>
      <c r="AE1170" s="3">
        <v>20</v>
      </c>
      <c r="AF1170" s="3" t="s">
        <v>151</v>
      </c>
      <c r="AG1170" s="3" t="s">
        <v>266</v>
      </c>
      <c r="AH1170" s="3"/>
    </row>
    <row r="1171" spans="1:34" ht="14.25" customHeight="1" x14ac:dyDescent="0.25">
      <c r="A1171" s="3" t="s">
        <v>116</v>
      </c>
      <c r="B1171" s="3" t="s">
        <v>79</v>
      </c>
      <c r="C1171" s="3"/>
      <c r="D1171" s="3" t="s">
        <v>117</v>
      </c>
      <c r="E1171" s="3">
        <v>1</v>
      </c>
      <c r="F1171" s="3">
        <v>1</v>
      </c>
      <c r="G1171" s="3" t="s">
        <v>16</v>
      </c>
      <c r="H1171" s="11">
        <v>45961</v>
      </c>
      <c r="I1171" s="3" t="s">
        <v>183</v>
      </c>
      <c r="J1171" s="3">
        <f>10+4+6+7+6</f>
        <v>33</v>
      </c>
      <c r="K1171" s="3">
        <v>15</v>
      </c>
      <c r="L1171" s="3">
        <v>12</v>
      </c>
      <c r="M1171" s="3">
        <f>4+5+6+7</f>
        <v>22</v>
      </c>
      <c r="N1171" s="3">
        <v>6</v>
      </c>
      <c r="O1171" s="3">
        <f t="shared" si="239"/>
        <v>88</v>
      </c>
      <c r="P1171" s="3">
        <v>7</v>
      </c>
      <c r="Q1171" s="3">
        <v>7</v>
      </c>
      <c r="R1171" s="3">
        <v>7</v>
      </c>
      <c r="S1171" s="3">
        <v>7</v>
      </c>
      <c r="T1171" s="3">
        <v>3</v>
      </c>
      <c r="U1171" s="3">
        <f t="shared" si="244"/>
        <v>31</v>
      </c>
      <c r="V1171" s="13">
        <f t="shared" si="235"/>
        <v>2.838709677419355</v>
      </c>
      <c r="W1171" s="13">
        <f t="shared" si="237"/>
        <v>2.838709677419355</v>
      </c>
      <c r="X1171" s="3">
        <f t="shared" si="236"/>
        <v>31</v>
      </c>
      <c r="Y1171" s="3">
        <f t="shared" si="238"/>
        <v>9.083870967741936E-3</v>
      </c>
      <c r="Z1171" s="3"/>
      <c r="AA1171" s="3">
        <f t="shared" si="245"/>
        <v>312.5</v>
      </c>
      <c r="AB1171" s="3">
        <v>30</v>
      </c>
      <c r="AC1171" s="3" t="s">
        <v>82</v>
      </c>
      <c r="AD1171" s="3" t="s">
        <v>83</v>
      </c>
      <c r="AE1171" s="3">
        <v>20</v>
      </c>
      <c r="AF1171" s="3" t="s">
        <v>151</v>
      </c>
      <c r="AG1171" s="3" t="s">
        <v>266</v>
      </c>
      <c r="AH1171" s="3"/>
    </row>
    <row r="1172" spans="1:34" ht="14.25" customHeight="1" x14ac:dyDescent="0.25">
      <c r="A1172" s="3" t="s">
        <v>116</v>
      </c>
      <c r="B1172" s="3" t="s">
        <v>79</v>
      </c>
      <c r="C1172" s="3"/>
      <c r="D1172" s="3" t="s">
        <v>117</v>
      </c>
      <c r="E1172" s="3">
        <v>1</v>
      </c>
      <c r="F1172" s="3">
        <v>1</v>
      </c>
      <c r="G1172" s="3" t="s">
        <v>25</v>
      </c>
      <c r="H1172" s="11">
        <v>45961</v>
      </c>
      <c r="I1172" s="3" t="s">
        <v>183</v>
      </c>
      <c r="J1172" s="3">
        <f>7+8+10+13</f>
        <v>38</v>
      </c>
      <c r="K1172" s="3">
        <v>13</v>
      </c>
      <c r="L1172" s="3">
        <v>18</v>
      </c>
      <c r="M1172" s="3">
        <v>27</v>
      </c>
      <c r="N1172" s="3">
        <v>0</v>
      </c>
      <c r="O1172" s="3">
        <f t="shared" si="239"/>
        <v>96</v>
      </c>
      <c r="P1172" s="3">
        <v>7</v>
      </c>
      <c r="Q1172" s="3">
        <v>7</v>
      </c>
      <c r="R1172" s="3">
        <v>7</v>
      </c>
      <c r="S1172" s="3">
        <v>7</v>
      </c>
      <c r="T1172" s="3">
        <v>3</v>
      </c>
      <c r="U1172" s="3">
        <f t="shared" si="244"/>
        <v>31</v>
      </c>
      <c r="V1172" s="13">
        <f t="shared" si="235"/>
        <v>3.096774193548387</v>
      </c>
      <c r="W1172" s="13">
        <f t="shared" si="237"/>
        <v>3.096774193548387</v>
      </c>
      <c r="X1172" s="3">
        <f t="shared" si="236"/>
        <v>31</v>
      </c>
      <c r="Y1172" s="3">
        <f t="shared" si="238"/>
        <v>9.9096774193548377E-3</v>
      </c>
      <c r="Z1172" s="3"/>
      <c r="AA1172" s="3">
        <f t="shared" si="245"/>
        <v>312.5</v>
      </c>
      <c r="AB1172" s="3">
        <v>30</v>
      </c>
      <c r="AC1172" s="3" t="s">
        <v>82</v>
      </c>
      <c r="AD1172" s="3" t="s">
        <v>83</v>
      </c>
      <c r="AE1172" s="3">
        <v>20</v>
      </c>
      <c r="AF1172" s="3" t="s">
        <v>151</v>
      </c>
      <c r="AG1172" s="3" t="s">
        <v>266</v>
      </c>
      <c r="AH1172" s="3"/>
    </row>
    <row r="1173" spans="1:34" ht="14.25" customHeight="1" x14ac:dyDescent="0.25">
      <c r="A1173" s="3" t="s">
        <v>129</v>
      </c>
      <c r="B1173" s="3" t="s">
        <v>79</v>
      </c>
      <c r="C1173" s="3"/>
      <c r="D1173" s="3" t="s">
        <v>117</v>
      </c>
      <c r="E1173" s="3">
        <v>2</v>
      </c>
      <c r="F1173" s="3">
        <v>1</v>
      </c>
      <c r="G1173" s="3" t="s">
        <v>1</v>
      </c>
      <c r="H1173" s="11">
        <v>45961</v>
      </c>
      <c r="I1173" s="3" t="s">
        <v>183</v>
      </c>
      <c r="J1173" s="3">
        <f>7+6+4+5+3</f>
        <v>25</v>
      </c>
      <c r="K1173" s="3">
        <f>10+10+5+8</f>
        <v>33</v>
      </c>
      <c r="L1173" s="3">
        <f>4+10+4</f>
        <v>18</v>
      </c>
      <c r="M1173" s="3">
        <f>6+7+4+5</f>
        <v>22</v>
      </c>
      <c r="N1173" s="3">
        <v>14</v>
      </c>
      <c r="O1173" s="3">
        <f t="shared" si="239"/>
        <v>112</v>
      </c>
      <c r="P1173" s="3">
        <v>7</v>
      </c>
      <c r="Q1173" s="3">
        <v>7</v>
      </c>
      <c r="R1173" s="3">
        <v>7</v>
      </c>
      <c r="S1173" s="3">
        <v>7</v>
      </c>
      <c r="T1173" s="3">
        <v>3</v>
      </c>
      <c r="U1173" s="3">
        <f t="shared" si="244"/>
        <v>31</v>
      </c>
      <c r="V1173" s="13">
        <f t="shared" si="235"/>
        <v>3.6129032258064515</v>
      </c>
      <c r="W1173" s="13">
        <f t="shared" si="237"/>
        <v>3.6129032258064515</v>
      </c>
      <c r="X1173" s="3">
        <f t="shared" si="236"/>
        <v>31</v>
      </c>
      <c r="Y1173" s="3">
        <f t="shared" si="238"/>
        <v>6.021505376344086E-3</v>
      </c>
      <c r="Z1173" s="3"/>
      <c r="AA1173" s="3">
        <f>25*3*8</f>
        <v>600</v>
      </c>
      <c r="AB1173" s="3">
        <v>30</v>
      </c>
      <c r="AC1173" s="3" t="s">
        <v>82</v>
      </c>
      <c r="AD1173" s="3" t="s">
        <v>83</v>
      </c>
      <c r="AE1173" s="3">
        <v>20</v>
      </c>
      <c r="AF1173" s="3" t="s">
        <v>151</v>
      </c>
      <c r="AG1173" s="3" t="s">
        <v>266</v>
      </c>
      <c r="AH1173" s="3"/>
    </row>
    <row r="1174" spans="1:34" ht="14.25" customHeight="1" x14ac:dyDescent="0.25">
      <c r="A1174" s="3" t="s">
        <v>129</v>
      </c>
      <c r="B1174" s="3" t="s">
        <v>79</v>
      </c>
      <c r="C1174" s="3"/>
      <c r="D1174" s="3" t="s">
        <v>117</v>
      </c>
      <c r="E1174" s="3">
        <v>2</v>
      </c>
      <c r="F1174" s="3">
        <v>1</v>
      </c>
      <c r="G1174" s="3" t="s">
        <v>3</v>
      </c>
      <c r="H1174" s="11">
        <v>45961</v>
      </c>
      <c r="I1174" s="3" t="s">
        <v>183</v>
      </c>
      <c r="J1174" s="3">
        <f>10+6+7+6+5</f>
        <v>34</v>
      </c>
      <c r="K1174" s="3">
        <f>4+4+6+5</f>
        <v>19</v>
      </c>
      <c r="L1174" s="3">
        <f>7+6+4+10+6</f>
        <v>33</v>
      </c>
      <c r="M1174" s="3">
        <f>7+8+7+6+5</f>
        <v>33</v>
      </c>
      <c r="N1174" s="3">
        <v>4</v>
      </c>
      <c r="O1174" s="3">
        <f t="shared" si="239"/>
        <v>123</v>
      </c>
      <c r="P1174" s="3">
        <v>7</v>
      </c>
      <c r="Q1174" s="3">
        <v>7</v>
      </c>
      <c r="R1174" s="3">
        <v>7</v>
      </c>
      <c r="S1174" s="3">
        <v>7</v>
      </c>
      <c r="T1174" s="3">
        <v>3</v>
      </c>
      <c r="U1174" s="3">
        <f t="shared" ref="U1174:U1178" si="246">SUM(P1174:T1174)</f>
        <v>31</v>
      </c>
      <c r="V1174" s="13">
        <f t="shared" si="235"/>
        <v>3.967741935483871</v>
      </c>
      <c r="W1174" s="13">
        <f t="shared" si="237"/>
        <v>3.967741935483871</v>
      </c>
      <c r="X1174" s="3">
        <f t="shared" si="236"/>
        <v>31</v>
      </c>
      <c r="Y1174" s="3">
        <f t="shared" si="238"/>
        <v>6.6129032258064515E-3</v>
      </c>
      <c r="Z1174" s="3"/>
      <c r="AA1174" s="3">
        <f t="shared" ref="AA1174:AA1177" si="247">25*3*8</f>
        <v>600</v>
      </c>
      <c r="AB1174" s="3">
        <v>30</v>
      </c>
      <c r="AC1174" s="3" t="s">
        <v>82</v>
      </c>
      <c r="AD1174" s="3" t="s">
        <v>83</v>
      </c>
      <c r="AE1174" s="3">
        <v>20</v>
      </c>
      <c r="AF1174" s="3" t="s">
        <v>151</v>
      </c>
      <c r="AG1174" s="3" t="s">
        <v>266</v>
      </c>
      <c r="AH1174" s="3"/>
    </row>
    <row r="1175" spans="1:34" ht="14.25" customHeight="1" x14ac:dyDescent="0.25">
      <c r="A1175" s="3" t="s">
        <v>129</v>
      </c>
      <c r="B1175" s="3" t="s">
        <v>79</v>
      </c>
      <c r="C1175" s="3"/>
      <c r="D1175" s="3" t="s">
        <v>117</v>
      </c>
      <c r="E1175" s="3">
        <v>2</v>
      </c>
      <c r="F1175" s="3">
        <v>1</v>
      </c>
      <c r="G1175" s="3" t="s">
        <v>2</v>
      </c>
      <c r="H1175" s="11">
        <v>45961</v>
      </c>
      <c r="I1175" s="3" t="s">
        <v>183</v>
      </c>
      <c r="J1175" s="3">
        <f>7+10+4+6</f>
        <v>27</v>
      </c>
      <c r="K1175" s="3">
        <f>8+10+10+10</f>
        <v>38</v>
      </c>
      <c r="L1175" s="3">
        <f>7+5+10+6+7</f>
        <v>35</v>
      </c>
      <c r="M1175" s="3">
        <f>10+6+5+4+7</f>
        <v>32</v>
      </c>
      <c r="N1175" s="3">
        <v>8</v>
      </c>
      <c r="O1175" s="3">
        <f t="shared" si="239"/>
        <v>140</v>
      </c>
      <c r="P1175" s="3">
        <v>7</v>
      </c>
      <c r="Q1175" s="3">
        <v>7</v>
      </c>
      <c r="R1175" s="3">
        <v>7</v>
      </c>
      <c r="S1175" s="3">
        <v>7</v>
      </c>
      <c r="T1175" s="3">
        <v>3</v>
      </c>
      <c r="U1175" s="3">
        <f t="shared" si="246"/>
        <v>31</v>
      </c>
      <c r="V1175" s="13">
        <f t="shared" si="235"/>
        <v>4.5161290322580649</v>
      </c>
      <c r="W1175" s="13">
        <f t="shared" si="237"/>
        <v>4.5161290322580649</v>
      </c>
      <c r="X1175" s="3">
        <f t="shared" si="236"/>
        <v>31</v>
      </c>
      <c r="Y1175" s="3">
        <f t="shared" si="238"/>
        <v>7.526881720430108E-3</v>
      </c>
      <c r="Z1175" s="3"/>
      <c r="AA1175" s="3">
        <f t="shared" si="247"/>
        <v>600</v>
      </c>
      <c r="AB1175" s="3">
        <v>30</v>
      </c>
      <c r="AC1175" s="3" t="s">
        <v>82</v>
      </c>
      <c r="AD1175" s="3" t="s">
        <v>83</v>
      </c>
      <c r="AE1175" s="3">
        <v>20</v>
      </c>
      <c r="AF1175" s="3" t="s">
        <v>151</v>
      </c>
      <c r="AG1175" s="3" t="s">
        <v>266</v>
      </c>
      <c r="AH1175" s="3"/>
    </row>
    <row r="1176" spans="1:34" ht="14.25" customHeight="1" x14ac:dyDescent="0.25">
      <c r="A1176" s="3" t="s">
        <v>129</v>
      </c>
      <c r="B1176" s="3" t="s">
        <v>79</v>
      </c>
      <c r="C1176" s="3"/>
      <c r="D1176" s="3" t="s">
        <v>117</v>
      </c>
      <c r="E1176" s="3">
        <v>2</v>
      </c>
      <c r="F1176" s="3">
        <v>1</v>
      </c>
      <c r="G1176" s="3" t="s">
        <v>16</v>
      </c>
      <c r="H1176" s="11">
        <v>45961</v>
      </c>
      <c r="I1176" s="3" t="s">
        <v>183</v>
      </c>
      <c r="J1176" s="3">
        <f>4+6+7+6</f>
        <v>23</v>
      </c>
      <c r="K1176" s="3">
        <f>7+4+6</f>
        <v>17</v>
      </c>
      <c r="L1176" s="3">
        <f>8+4+4</f>
        <v>16</v>
      </c>
      <c r="M1176" s="3">
        <f>6+8+4+3</f>
        <v>21</v>
      </c>
      <c r="N1176" s="3">
        <v>14</v>
      </c>
      <c r="O1176" s="3">
        <f t="shared" si="239"/>
        <v>91</v>
      </c>
      <c r="P1176" s="3">
        <v>7</v>
      </c>
      <c r="Q1176" s="3">
        <v>7</v>
      </c>
      <c r="R1176" s="3">
        <v>7</v>
      </c>
      <c r="S1176" s="3">
        <v>7</v>
      </c>
      <c r="T1176" s="3">
        <v>3</v>
      </c>
      <c r="U1176" s="3">
        <f t="shared" si="246"/>
        <v>31</v>
      </c>
      <c r="V1176" s="13">
        <f t="shared" si="235"/>
        <v>2.935483870967742</v>
      </c>
      <c r="W1176" s="13">
        <f t="shared" si="237"/>
        <v>2.935483870967742</v>
      </c>
      <c r="X1176" s="3">
        <f t="shared" si="236"/>
        <v>31</v>
      </c>
      <c r="Y1176" s="3">
        <f t="shared" si="238"/>
        <v>4.8924731182795698E-3</v>
      </c>
      <c r="Z1176" s="3"/>
      <c r="AA1176" s="3">
        <f t="shared" si="247"/>
        <v>600</v>
      </c>
      <c r="AB1176" s="3">
        <v>30</v>
      </c>
      <c r="AC1176" s="3" t="s">
        <v>82</v>
      </c>
      <c r="AD1176" s="3" t="s">
        <v>83</v>
      </c>
      <c r="AE1176" s="3">
        <v>20</v>
      </c>
      <c r="AF1176" s="3" t="s">
        <v>151</v>
      </c>
      <c r="AG1176" s="3" t="s">
        <v>266</v>
      </c>
      <c r="AH1176" s="3"/>
    </row>
    <row r="1177" spans="1:34" ht="14.25" customHeight="1" x14ac:dyDescent="0.25">
      <c r="A1177" s="3" t="s">
        <v>129</v>
      </c>
      <c r="B1177" s="3" t="s">
        <v>79</v>
      </c>
      <c r="C1177" s="3"/>
      <c r="D1177" s="3" t="s">
        <v>117</v>
      </c>
      <c r="E1177" s="3">
        <v>2</v>
      </c>
      <c r="F1177" s="3">
        <v>1</v>
      </c>
      <c r="G1177" s="3" t="s">
        <v>25</v>
      </c>
      <c r="H1177" s="11">
        <v>45961</v>
      </c>
      <c r="I1177" s="3" t="s">
        <v>183</v>
      </c>
      <c r="J1177" s="3">
        <f>10+7+8+10</f>
        <v>35</v>
      </c>
      <c r="K1177" s="3">
        <f>15+10+7</f>
        <v>32</v>
      </c>
      <c r="L1177" s="3">
        <f>6+5+8+10</f>
        <v>29</v>
      </c>
      <c r="M1177" s="3">
        <f>12+8+10</f>
        <v>30</v>
      </c>
      <c r="N1177" s="3">
        <v>15</v>
      </c>
      <c r="O1177" s="3">
        <f t="shared" si="239"/>
        <v>141</v>
      </c>
      <c r="P1177" s="3">
        <v>7</v>
      </c>
      <c r="Q1177" s="3">
        <v>7</v>
      </c>
      <c r="R1177" s="3">
        <v>7</v>
      </c>
      <c r="S1177" s="3">
        <v>7</v>
      </c>
      <c r="T1177" s="3">
        <v>3</v>
      </c>
      <c r="U1177" s="3">
        <f t="shared" si="246"/>
        <v>31</v>
      </c>
      <c r="V1177" s="13">
        <f t="shared" si="235"/>
        <v>4.5483870967741939</v>
      </c>
      <c r="W1177" s="13">
        <f t="shared" si="237"/>
        <v>4.5483870967741939</v>
      </c>
      <c r="X1177" s="3">
        <f t="shared" si="236"/>
        <v>31</v>
      </c>
      <c r="Y1177" s="3">
        <f t="shared" si="238"/>
        <v>7.5806451612903235E-3</v>
      </c>
      <c r="Z1177" s="3"/>
      <c r="AA1177" s="3">
        <f t="shared" si="247"/>
        <v>600</v>
      </c>
      <c r="AB1177" s="3">
        <v>30</v>
      </c>
      <c r="AC1177" s="3" t="s">
        <v>82</v>
      </c>
      <c r="AD1177" s="3" t="s">
        <v>83</v>
      </c>
      <c r="AE1177" s="3">
        <v>20</v>
      </c>
      <c r="AF1177" s="3" t="s">
        <v>151</v>
      </c>
      <c r="AG1177" s="3" t="s">
        <v>266</v>
      </c>
      <c r="AH1177" s="3"/>
    </row>
    <row r="1178" spans="1:34" ht="14.25" customHeight="1" x14ac:dyDescent="0.25">
      <c r="A1178" s="3" t="s">
        <v>124</v>
      </c>
      <c r="B1178" s="3" t="s">
        <v>79</v>
      </c>
      <c r="C1178" s="3"/>
      <c r="D1178" s="3" t="s">
        <v>117</v>
      </c>
      <c r="E1178" s="3">
        <v>1</v>
      </c>
      <c r="F1178" s="3">
        <v>1</v>
      </c>
      <c r="G1178" s="3" t="s">
        <v>2</v>
      </c>
      <c r="H1178" s="11">
        <v>45961</v>
      </c>
      <c r="I1178" s="3" t="s">
        <v>183</v>
      </c>
      <c r="J1178" s="3">
        <v>38</v>
      </c>
      <c r="K1178" s="3">
        <v>90</v>
      </c>
      <c r="L1178" s="3">
        <v>58</v>
      </c>
      <c r="M1178" s="3">
        <v>55</v>
      </c>
      <c r="N1178" s="3">
        <v>20</v>
      </c>
      <c r="O1178" s="3">
        <f t="shared" si="239"/>
        <v>261</v>
      </c>
      <c r="P1178" s="3">
        <v>5</v>
      </c>
      <c r="Q1178" s="3">
        <v>5</v>
      </c>
      <c r="R1178" s="3">
        <v>5</v>
      </c>
      <c r="S1178" s="3">
        <v>2</v>
      </c>
      <c r="T1178" s="3">
        <v>2</v>
      </c>
      <c r="U1178" s="3">
        <f t="shared" si="246"/>
        <v>19</v>
      </c>
      <c r="V1178" s="13">
        <f t="shared" si="235"/>
        <v>13.736842105263158</v>
      </c>
      <c r="W1178" s="13">
        <f t="shared" si="237"/>
        <v>13.736842105263158</v>
      </c>
      <c r="X1178" s="3">
        <f t="shared" si="236"/>
        <v>19</v>
      </c>
      <c r="Y1178" s="3" t="e">
        <f t="shared" si="238"/>
        <v>#DIV/0!</v>
      </c>
      <c r="Z1178" s="3"/>
      <c r="AA1178" s="3"/>
      <c r="AB1178" s="3">
        <v>40</v>
      </c>
      <c r="AC1178" s="3" t="s">
        <v>82</v>
      </c>
      <c r="AD1178" s="3" t="s">
        <v>83</v>
      </c>
      <c r="AE1178" s="3">
        <v>15</v>
      </c>
      <c r="AF1178" s="3" t="s">
        <v>151</v>
      </c>
      <c r="AG1178" s="3" t="s">
        <v>268</v>
      </c>
      <c r="AH1178" s="3"/>
    </row>
    <row r="1179" spans="1:34" ht="14.25" customHeight="1" x14ac:dyDescent="0.25">
      <c r="A1179" s="3" t="s">
        <v>124</v>
      </c>
      <c r="B1179" s="3" t="s">
        <v>79</v>
      </c>
      <c r="C1179" s="3"/>
      <c r="D1179" s="3" t="s">
        <v>117</v>
      </c>
      <c r="E1179" s="3">
        <v>1</v>
      </c>
      <c r="F1179" s="3">
        <v>1</v>
      </c>
      <c r="G1179" s="3" t="s">
        <v>14</v>
      </c>
      <c r="H1179" s="11">
        <v>45961</v>
      </c>
      <c r="I1179" s="3" t="s">
        <v>183</v>
      </c>
      <c r="J1179" s="3">
        <v>21</v>
      </c>
      <c r="K1179" s="3">
        <v>16</v>
      </c>
      <c r="L1179" s="3">
        <v>39</v>
      </c>
      <c r="M1179" s="3">
        <v>26</v>
      </c>
      <c r="N1179" s="3">
        <v>7</v>
      </c>
      <c r="O1179" s="3">
        <f t="shared" si="239"/>
        <v>109</v>
      </c>
      <c r="P1179" s="3">
        <v>5</v>
      </c>
      <c r="Q1179" s="3">
        <v>5</v>
      </c>
      <c r="R1179" s="3">
        <v>5</v>
      </c>
      <c r="S1179" s="3">
        <v>2</v>
      </c>
      <c r="T1179" s="3">
        <v>2</v>
      </c>
      <c r="U1179" s="3">
        <f t="shared" ref="U1179:U1180" si="248">SUM(P1179:T1179)</f>
        <v>19</v>
      </c>
      <c r="V1179" s="13">
        <f t="shared" si="235"/>
        <v>5.7368421052631575</v>
      </c>
      <c r="W1179" s="13">
        <f t="shared" si="237"/>
        <v>5.7368421052631575</v>
      </c>
      <c r="X1179" s="3">
        <f t="shared" si="236"/>
        <v>19</v>
      </c>
      <c r="Y1179" s="3" t="e">
        <f t="shared" si="238"/>
        <v>#DIV/0!</v>
      </c>
      <c r="Z1179" s="3"/>
      <c r="AA1179" s="3"/>
      <c r="AB1179" s="3">
        <v>40</v>
      </c>
      <c r="AC1179" s="3" t="s">
        <v>82</v>
      </c>
      <c r="AD1179" s="3" t="s">
        <v>83</v>
      </c>
      <c r="AE1179" s="3">
        <v>15</v>
      </c>
      <c r="AF1179" s="3" t="s">
        <v>151</v>
      </c>
      <c r="AG1179" s="3" t="s">
        <v>268</v>
      </c>
      <c r="AH1179" s="3"/>
    </row>
    <row r="1180" spans="1:34" ht="14.25" customHeight="1" x14ac:dyDescent="0.25">
      <c r="A1180" s="3" t="s">
        <v>119</v>
      </c>
      <c r="B1180" s="3" t="s">
        <v>79</v>
      </c>
      <c r="C1180" s="3"/>
      <c r="D1180" s="3" t="s">
        <v>117</v>
      </c>
      <c r="E1180" s="3">
        <v>2</v>
      </c>
      <c r="F1180" s="3">
        <v>1</v>
      </c>
      <c r="G1180" s="3" t="s">
        <v>1</v>
      </c>
      <c r="H1180" s="11">
        <v>45961</v>
      </c>
      <c r="I1180" s="3" t="s">
        <v>183</v>
      </c>
      <c r="J1180" s="3">
        <f>10+8+13</f>
        <v>31</v>
      </c>
      <c r="K1180" s="3">
        <v>29</v>
      </c>
      <c r="L1180" s="3">
        <v>13</v>
      </c>
      <c r="M1180" s="3">
        <v>12</v>
      </c>
      <c r="N1180" s="3">
        <v>12</v>
      </c>
      <c r="O1180" s="3">
        <f t="shared" si="239"/>
        <v>97</v>
      </c>
      <c r="P1180" s="3">
        <v>7</v>
      </c>
      <c r="Q1180" s="3">
        <v>5</v>
      </c>
      <c r="R1180" s="3">
        <v>5</v>
      </c>
      <c r="S1180" s="3">
        <v>7</v>
      </c>
      <c r="T1180" s="3">
        <v>1</v>
      </c>
      <c r="U1180" s="3">
        <f t="shared" si="248"/>
        <v>25</v>
      </c>
      <c r="V1180" s="13">
        <f t="shared" si="235"/>
        <v>3.88</v>
      </c>
      <c r="W1180" s="13">
        <f t="shared" si="237"/>
        <v>3.88</v>
      </c>
      <c r="X1180" s="3">
        <f t="shared" si="236"/>
        <v>25</v>
      </c>
      <c r="Y1180" s="3">
        <f t="shared" si="238"/>
        <v>5.6231884057971013E-4</v>
      </c>
      <c r="Z1180" s="3"/>
      <c r="AA1180" s="3">
        <f>70*2*40+10*2*5+50*3*8</f>
        <v>6900</v>
      </c>
      <c r="AB1180" s="3">
        <v>360</v>
      </c>
      <c r="AC1180" s="3" t="s">
        <v>82</v>
      </c>
      <c r="AD1180" s="3" t="s">
        <v>83</v>
      </c>
      <c r="AE1180" s="3">
        <v>15</v>
      </c>
      <c r="AF1180" s="3" t="s">
        <v>151</v>
      </c>
      <c r="AG1180" s="3" t="s">
        <v>270</v>
      </c>
      <c r="AH1180" s="3"/>
    </row>
    <row r="1181" spans="1:34" ht="14.25" customHeight="1" x14ac:dyDescent="0.25">
      <c r="A1181" s="3" t="s">
        <v>119</v>
      </c>
      <c r="B1181" s="3" t="s">
        <v>79</v>
      </c>
      <c r="C1181" s="3"/>
      <c r="D1181" s="3" t="s">
        <v>117</v>
      </c>
      <c r="E1181" s="3">
        <v>2</v>
      </c>
      <c r="F1181" s="3">
        <v>1</v>
      </c>
      <c r="G1181" s="3" t="s">
        <v>3</v>
      </c>
      <c r="H1181" s="11">
        <v>45961</v>
      </c>
      <c r="I1181" s="3" t="s">
        <v>183</v>
      </c>
      <c r="J1181" s="3">
        <f>8+9+15</f>
        <v>32</v>
      </c>
      <c r="K1181" s="3">
        <v>22</v>
      </c>
      <c r="L1181" s="3">
        <v>8</v>
      </c>
      <c r="M1181" s="3">
        <v>31</v>
      </c>
      <c r="N1181" s="3">
        <v>0</v>
      </c>
      <c r="O1181" s="3">
        <f t="shared" si="239"/>
        <v>93</v>
      </c>
      <c r="P1181" s="3">
        <v>7</v>
      </c>
      <c r="Q1181" s="3">
        <v>5</v>
      </c>
      <c r="R1181" s="3">
        <v>5</v>
      </c>
      <c r="S1181" s="3">
        <v>7</v>
      </c>
      <c r="T1181" s="3">
        <v>1</v>
      </c>
      <c r="U1181" s="3">
        <f t="shared" ref="U1181:U1195" si="249">SUM(P1181:T1181)</f>
        <v>25</v>
      </c>
      <c r="V1181" s="13">
        <f t="shared" si="235"/>
        <v>3.72</v>
      </c>
      <c r="W1181" s="13">
        <f t="shared" si="237"/>
        <v>3.72</v>
      </c>
      <c r="X1181" s="3">
        <f t="shared" si="236"/>
        <v>25</v>
      </c>
      <c r="Y1181" s="3">
        <f t="shared" si="238"/>
        <v>5.3913043478260876E-4</v>
      </c>
      <c r="Z1181" s="3"/>
      <c r="AA1181" s="3">
        <f t="shared" ref="AA1181:AA1194" si="250">70*2*40+10*2*5+50*3*8</f>
        <v>6900</v>
      </c>
      <c r="AB1181" s="3">
        <v>360</v>
      </c>
      <c r="AC1181" s="3" t="s">
        <v>82</v>
      </c>
      <c r="AD1181" s="3" t="s">
        <v>83</v>
      </c>
      <c r="AE1181" s="3">
        <v>15</v>
      </c>
      <c r="AF1181" s="3" t="s">
        <v>151</v>
      </c>
      <c r="AG1181" s="3" t="s">
        <v>270</v>
      </c>
      <c r="AH1181" s="3"/>
    </row>
    <row r="1182" spans="1:34" ht="14.25" customHeight="1" x14ac:dyDescent="0.25">
      <c r="A1182" s="3" t="s">
        <v>119</v>
      </c>
      <c r="B1182" s="3" t="s">
        <v>79</v>
      </c>
      <c r="C1182" s="3"/>
      <c r="D1182" s="3" t="s">
        <v>117</v>
      </c>
      <c r="E1182" s="3">
        <v>2</v>
      </c>
      <c r="F1182" s="3">
        <v>1</v>
      </c>
      <c r="G1182" s="3" t="s">
        <v>5</v>
      </c>
      <c r="H1182" s="11">
        <v>45961</v>
      </c>
      <c r="I1182" s="3" t="s">
        <v>183</v>
      </c>
      <c r="J1182" s="3">
        <v>16</v>
      </c>
      <c r="K1182" s="3">
        <v>17</v>
      </c>
      <c r="L1182" s="3">
        <v>5</v>
      </c>
      <c r="M1182" s="3">
        <v>6</v>
      </c>
      <c r="N1182" s="3">
        <v>0</v>
      </c>
      <c r="O1182" s="3">
        <f t="shared" si="239"/>
        <v>44</v>
      </c>
      <c r="P1182" s="3">
        <v>7</v>
      </c>
      <c r="Q1182" s="3">
        <v>5</v>
      </c>
      <c r="R1182" s="3">
        <v>5</v>
      </c>
      <c r="S1182" s="3">
        <v>7</v>
      </c>
      <c r="T1182" s="3">
        <v>1</v>
      </c>
      <c r="U1182" s="3">
        <f t="shared" si="249"/>
        <v>25</v>
      </c>
      <c r="V1182" s="13">
        <f t="shared" si="235"/>
        <v>1.76</v>
      </c>
      <c r="W1182" s="13">
        <f t="shared" si="237"/>
        <v>1.76</v>
      </c>
      <c r="X1182" s="3">
        <f t="shared" si="236"/>
        <v>25</v>
      </c>
      <c r="Y1182" s="3">
        <f t="shared" si="238"/>
        <v>2.5507246376811594E-4</v>
      </c>
      <c r="Z1182" s="3"/>
      <c r="AA1182" s="3">
        <f t="shared" si="250"/>
        <v>6900</v>
      </c>
      <c r="AB1182" s="3">
        <v>360</v>
      </c>
      <c r="AC1182" s="3" t="s">
        <v>82</v>
      </c>
      <c r="AD1182" s="3" t="s">
        <v>83</v>
      </c>
      <c r="AE1182" s="3">
        <v>15</v>
      </c>
      <c r="AF1182" s="3" t="s">
        <v>151</v>
      </c>
      <c r="AG1182" s="3" t="s">
        <v>270</v>
      </c>
      <c r="AH1182" s="3"/>
    </row>
    <row r="1183" spans="1:34" ht="14.25" customHeight="1" x14ac:dyDescent="0.25">
      <c r="A1183" s="3" t="s">
        <v>119</v>
      </c>
      <c r="B1183" s="3" t="s">
        <v>79</v>
      </c>
      <c r="C1183" s="3"/>
      <c r="D1183" s="3" t="s">
        <v>117</v>
      </c>
      <c r="E1183" s="3">
        <v>2</v>
      </c>
      <c r="F1183" s="3">
        <v>1</v>
      </c>
      <c r="G1183" s="3" t="s">
        <v>2</v>
      </c>
      <c r="H1183" s="11">
        <v>45961</v>
      </c>
      <c r="I1183" s="3" t="s">
        <v>183</v>
      </c>
      <c r="J1183" s="3">
        <f>6+7+12</f>
        <v>25</v>
      </c>
      <c r="K1183" s="3">
        <v>7</v>
      </c>
      <c r="L1183" s="3">
        <v>10</v>
      </c>
      <c r="M1183" s="3">
        <v>25</v>
      </c>
      <c r="N1183" s="3">
        <v>0</v>
      </c>
      <c r="O1183" s="3">
        <f t="shared" si="239"/>
        <v>67</v>
      </c>
      <c r="P1183" s="3">
        <v>7</v>
      </c>
      <c r="Q1183" s="3">
        <v>5</v>
      </c>
      <c r="R1183" s="3">
        <v>5</v>
      </c>
      <c r="S1183" s="3">
        <v>7</v>
      </c>
      <c r="T1183" s="3">
        <v>1</v>
      </c>
      <c r="U1183" s="3">
        <f t="shared" si="249"/>
        <v>25</v>
      </c>
      <c r="V1183" s="13">
        <f t="shared" si="235"/>
        <v>2.68</v>
      </c>
      <c r="W1183" s="13">
        <f t="shared" si="237"/>
        <v>2.68</v>
      </c>
      <c r="X1183" s="3">
        <f t="shared" si="236"/>
        <v>25</v>
      </c>
      <c r="Y1183" s="3">
        <f t="shared" si="238"/>
        <v>3.8840579710144928E-4</v>
      </c>
      <c r="Z1183" s="3"/>
      <c r="AA1183" s="3">
        <f t="shared" si="250"/>
        <v>6900</v>
      </c>
      <c r="AB1183" s="3">
        <v>360</v>
      </c>
      <c r="AC1183" s="3" t="s">
        <v>82</v>
      </c>
      <c r="AD1183" s="3" t="s">
        <v>83</v>
      </c>
      <c r="AE1183" s="3">
        <v>15</v>
      </c>
      <c r="AF1183" s="3" t="s">
        <v>151</v>
      </c>
      <c r="AG1183" s="3" t="s">
        <v>270</v>
      </c>
      <c r="AH1183" s="3"/>
    </row>
    <row r="1184" spans="1:34" ht="14.25" customHeight="1" x14ac:dyDescent="0.25">
      <c r="A1184" s="3" t="s">
        <v>119</v>
      </c>
      <c r="B1184" s="3" t="s">
        <v>79</v>
      </c>
      <c r="C1184" s="3"/>
      <c r="D1184" s="3" t="s">
        <v>117</v>
      </c>
      <c r="E1184" s="3">
        <v>2</v>
      </c>
      <c r="F1184" s="3">
        <v>1</v>
      </c>
      <c r="G1184" s="3" t="s">
        <v>10</v>
      </c>
      <c r="H1184" s="11">
        <v>45961</v>
      </c>
      <c r="I1184" s="3" t="s">
        <v>183</v>
      </c>
      <c r="J1184" s="3">
        <v>18</v>
      </c>
      <c r="K1184" s="3">
        <v>17</v>
      </c>
      <c r="L1184" s="3">
        <v>15</v>
      </c>
      <c r="M1184" s="3">
        <v>2</v>
      </c>
      <c r="N1184" s="3">
        <v>0</v>
      </c>
      <c r="O1184" s="3">
        <f t="shared" si="239"/>
        <v>52</v>
      </c>
      <c r="P1184" s="3">
        <v>7</v>
      </c>
      <c r="Q1184" s="3">
        <v>5</v>
      </c>
      <c r="R1184" s="3">
        <v>5</v>
      </c>
      <c r="S1184" s="3">
        <v>7</v>
      </c>
      <c r="T1184" s="3">
        <v>1</v>
      </c>
      <c r="U1184" s="3">
        <f t="shared" si="249"/>
        <v>25</v>
      </c>
      <c r="V1184" s="13">
        <f t="shared" si="235"/>
        <v>2.08</v>
      </c>
      <c r="W1184" s="13">
        <f t="shared" si="237"/>
        <v>2.08</v>
      </c>
      <c r="X1184" s="3">
        <f t="shared" si="236"/>
        <v>25</v>
      </c>
      <c r="Y1184" s="3">
        <f t="shared" si="238"/>
        <v>3.0144927536231885E-4</v>
      </c>
      <c r="Z1184" s="3"/>
      <c r="AA1184" s="3">
        <f t="shared" si="250"/>
        <v>6900</v>
      </c>
      <c r="AB1184" s="3">
        <v>360</v>
      </c>
      <c r="AC1184" s="3" t="s">
        <v>82</v>
      </c>
      <c r="AD1184" s="3" t="s">
        <v>83</v>
      </c>
      <c r="AE1184" s="3">
        <v>15</v>
      </c>
      <c r="AF1184" s="3" t="s">
        <v>151</v>
      </c>
      <c r="AG1184" s="3" t="s">
        <v>270</v>
      </c>
      <c r="AH1184" s="3"/>
    </row>
    <row r="1185" spans="1:34" ht="14.25" customHeight="1" x14ac:dyDescent="0.25">
      <c r="A1185" s="3" t="s">
        <v>119</v>
      </c>
      <c r="B1185" s="3" t="s">
        <v>79</v>
      </c>
      <c r="C1185" s="3"/>
      <c r="D1185" s="3" t="s">
        <v>117</v>
      </c>
      <c r="E1185" s="3">
        <v>2</v>
      </c>
      <c r="F1185" s="3">
        <v>1</v>
      </c>
      <c r="G1185" s="3" t="s">
        <v>9</v>
      </c>
      <c r="H1185" s="11">
        <v>45961</v>
      </c>
      <c r="I1185" s="3" t="s">
        <v>183</v>
      </c>
      <c r="J1185" s="3">
        <v>15</v>
      </c>
      <c r="K1185" s="3">
        <v>20</v>
      </c>
      <c r="L1185" s="3">
        <v>5</v>
      </c>
      <c r="M1185" s="3">
        <v>26</v>
      </c>
      <c r="N1185" s="3">
        <v>0</v>
      </c>
      <c r="O1185" s="3">
        <f t="shared" si="239"/>
        <v>66</v>
      </c>
      <c r="P1185" s="3">
        <v>7</v>
      </c>
      <c r="Q1185" s="3">
        <v>5</v>
      </c>
      <c r="R1185" s="3">
        <v>5</v>
      </c>
      <c r="S1185" s="3">
        <v>7</v>
      </c>
      <c r="T1185" s="3">
        <v>1</v>
      </c>
      <c r="U1185" s="3">
        <f t="shared" si="249"/>
        <v>25</v>
      </c>
      <c r="V1185" s="13">
        <f t="shared" si="235"/>
        <v>2.64</v>
      </c>
      <c r="W1185" s="13">
        <f t="shared" si="237"/>
        <v>2.64</v>
      </c>
      <c r="X1185" s="3">
        <f t="shared" si="236"/>
        <v>25</v>
      </c>
      <c r="Y1185" s="3">
        <f t="shared" si="238"/>
        <v>3.8260869565217393E-4</v>
      </c>
      <c r="Z1185" s="3"/>
      <c r="AA1185" s="3">
        <f t="shared" si="250"/>
        <v>6900</v>
      </c>
      <c r="AB1185" s="3">
        <v>360</v>
      </c>
      <c r="AC1185" s="3" t="s">
        <v>82</v>
      </c>
      <c r="AD1185" s="3" t="s">
        <v>83</v>
      </c>
      <c r="AE1185" s="3">
        <v>15</v>
      </c>
      <c r="AF1185" s="3" t="s">
        <v>151</v>
      </c>
      <c r="AG1185" s="3" t="s">
        <v>270</v>
      </c>
      <c r="AH1185" s="3"/>
    </row>
    <row r="1186" spans="1:34" ht="14.25" customHeight="1" x14ac:dyDescent="0.25">
      <c r="A1186" s="3" t="s">
        <v>119</v>
      </c>
      <c r="B1186" s="3" t="s">
        <v>79</v>
      </c>
      <c r="C1186" s="3"/>
      <c r="D1186" s="3" t="s">
        <v>117</v>
      </c>
      <c r="E1186" s="3">
        <v>2</v>
      </c>
      <c r="F1186" s="3">
        <v>1</v>
      </c>
      <c r="G1186" s="3" t="s">
        <v>12</v>
      </c>
      <c r="H1186" s="11">
        <v>45961</v>
      </c>
      <c r="I1186" s="3" t="s">
        <v>183</v>
      </c>
      <c r="J1186" s="3">
        <v>12</v>
      </c>
      <c r="K1186" s="3">
        <v>4</v>
      </c>
      <c r="L1186" s="3">
        <v>8</v>
      </c>
      <c r="M1186" s="3">
        <v>11</v>
      </c>
      <c r="N1186" s="3">
        <v>0</v>
      </c>
      <c r="O1186" s="3">
        <f t="shared" si="239"/>
        <v>35</v>
      </c>
      <c r="P1186" s="3">
        <v>7</v>
      </c>
      <c r="Q1186" s="3">
        <v>5</v>
      </c>
      <c r="R1186" s="3">
        <v>5</v>
      </c>
      <c r="S1186" s="3">
        <v>7</v>
      </c>
      <c r="T1186" s="3">
        <v>1</v>
      </c>
      <c r="U1186" s="3">
        <f t="shared" si="249"/>
        <v>25</v>
      </c>
      <c r="V1186" s="13">
        <f t="shared" si="235"/>
        <v>1.4</v>
      </c>
      <c r="W1186" s="13">
        <f t="shared" si="237"/>
        <v>1.4</v>
      </c>
      <c r="X1186" s="3">
        <f t="shared" si="236"/>
        <v>25</v>
      </c>
      <c r="Y1186" s="3">
        <f t="shared" si="238"/>
        <v>2.0289855072463768E-4</v>
      </c>
      <c r="Z1186" s="3"/>
      <c r="AA1186" s="3">
        <f t="shared" si="250"/>
        <v>6900</v>
      </c>
      <c r="AB1186" s="3">
        <v>360</v>
      </c>
      <c r="AC1186" s="3" t="s">
        <v>82</v>
      </c>
      <c r="AD1186" s="3" t="s">
        <v>83</v>
      </c>
      <c r="AE1186" s="3">
        <v>15</v>
      </c>
      <c r="AF1186" s="3" t="s">
        <v>151</v>
      </c>
      <c r="AG1186" s="3" t="s">
        <v>270</v>
      </c>
      <c r="AH1186" s="3"/>
    </row>
    <row r="1187" spans="1:34" ht="14.25" customHeight="1" x14ac:dyDescent="0.25">
      <c r="A1187" s="3" t="s">
        <v>119</v>
      </c>
      <c r="B1187" s="3" t="s">
        <v>79</v>
      </c>
      <c r="C1187" s="3"/>
      <c r="D1187" s="3" t="s">
        <v>117</v>
      </c>
      <c r="E1187" s="3">
        <v>2</v>
      </c>
      <c r="F1187" s="3">
        <v>1</v>
      </c>
      <c r="G1187" s="3" t="s">
        <v>14</v>
      </c>
      <c r="H1187" s="11">
        <v>45961</v>
      </c>
      <c r="I1187" s="3" t="s">
        <v>183</v>
      </c>
      <c r="J1187" s="3">
        <v>24</v>
      </c>
      <c r="K1187" s="3">
        <v>10</v>
      </c>
      <c r="L1187" s="3">
        <v>14</v>
      </c>
      <c r="M1187" s="3">
        <v>10</v>
      </c>
      <c r="N1187" s="3">
        <v>0</v>
      </c>
      <c r="O1187" s="3">
        <f t="shared" si="239"/>
        <v>58</v>
      </c>
      <c r="P1187" s="3">
        <v>7</v>
      </c>
      <c r="Q1187" s="3">
        <v>5</v>
      </c>
      <c r="R1187" s="3">
        <v>5</v>
      </c>
      <c r="S1187" s="3">
        <v>7</v>
      </c>
      <c r="T1187" s="3">
        <v>1</v>
      </c>
      <c r="U1187" s="3">
        <f t="shared" si="249"/>
        <v>25</v>
      </c>
      <c r="V1187" s="13">
        <f t="shared" si="235"/>
        <v>2.3199999999999998</v>
      </c>
      <c r="W1187" s="13">
        <f t="shared" si="237"/>
        <v>2.3199999999999998</v>
      </c>
      <c r="X1187" s="3">
        <f t="shared" si="236"/>
        <v>25</v>
      </c>
      <c r="Y1187" s="3">
        <f t="shared" si="238"/>
        <v>3.3623188405797097E-4</v>
      </c>
      <c r="Z1187" s="3"/>
      <c r="AA1187" s="3">
        <f t="shared" si="250"/>
        <v>6900</v>
      </c>
      <c r="AB1187" s="3">
        <v>360</v>
      </c>
      <c r="AC1187" s="3" t="s">
        <v>82</v>
      </c>
      <c r="AD1187" s="3" t="s">
        <v>83</v>
      </c>
      <c r="AE1187" s="3">
        <v>15</v>
      </c>
      <c r="AF1187" s="3" t="s">
        <v>151</v>
      </c>
      <c r="AG1187" s="3" t="s">
        <v>270</v>
      </c>
      <c r="AH1187" s="3"/>
    </row>
    <row r="1188" spans="1:34" ht="14.25" customHeight="1" x14ac:dyDescent="0.25">
      <c r="A1188" s="3" t="s">
        <v>119</v>
      </c>
      <c r="B1188" s="3" t="s">
        <v>79</v>
      </c>
      <c r="C1188" s="3"/>
      <c r="D1188" s="3" t="s">
        <v>117</v>
      </c>
      <c r="E1188" s="3">
        <v>2</v>
      </c>
      <c r="F1188" s="3">
        <v>1</v>
      </c>
      <c r="G1188" s="3" t="s">
        <v>18</v>
      </c>
      <c r="H1188" s="11">
        <v>45961</v>
      </c>
      <c r="I1188" s="3" t="s">
        <v>183</v>
      </c>
      <c r="J1188" s="3">
        <v>7</v>
      </c>
      <c r="K1188" s="3">
        <v>6</v>
      </c>
      <c r="L1188" s="3">
        <v>9</v>
      </c>
      <c r="M1188" s="3">
        <v>0</v>
      </c>
      <c r="N1188" s="3">
        <v>0</v>
      </c>
      <c r="O1188" s="3">
        <f t="shared" si="239"/>
        <v>22</v>
      </c>
      <c r="P1188" s="3">
        <v>7</v>
      </c>
      <c r="Q1188" s="3">
        <v>5</v>
      </c>
      <c r="R1188" s="3">
        <v>5</v>
      </c>
      <c r="S1188" s="3">
        <v>7</v>
      </c>
      <c r="T1188" s="3">
        <v>1</v>
      </c>
      <c r="U1188" s="3">
        <f t="shared" si="249"/>
        <v>25</v>
      </c>
      <c r="V1188" s="13">
        <f t="shared" si="235"/>
        <v>0.88</v>
      </c>
      <c r="W1188" s="13">
        <f t="shared" si="237"/>
        <v>0.88</v>
      </c>
      <c r="X1188" s="3">
        <f t="shared" si="236"/>
        <v>25</v>
      </c>
      <c r="Y1188" s="3">
        <f t="shared" si="238"/>
        <v>1.2753623188405797E-4</v>
      </c>
      <c r="Z1188" s="3"/>
      <c r="AA1188" s="3">
        <f t="shared" si="250"/>
        <v>6900</v>
      </c>
      <c r="AB1188" s="3">
        <v>360</v>
      </c>
      <c r="AC1188" s="3" t="s">
        <v>82</v>
      </c>
      <c r="AD1188" s="3" t="s">
        <v>83</v>
      </c>
      <c r="AE1188" s="3">
        <v>15</v>
      </c>
      <c r="AF1188" s="3" t="s">
        <v>151</v>
      </c>
      <c r="AG1188" s="3" t="s">
        <v>270</v>
      </c>
      <c r="AH1188" s="3"/>
    </row>
    <row r="1189" spans="1:34" ht="14.25" customHeight="1" x14ac:dyDescent="0.25">
      <c r="A1189" s="3" t="s">
        <v>119</v>
      </c>
      <c r="B1189" s="3" t="s">
        <v>79</v>
      </c>
      <c r="C1189" s="3"/>
      <c r="D1189" s="3" t="s">
        <v>117</v>
      </c>
      <c r="E1189" s="3">
        <v>2</v>
      </c>
      <c r="F1189" s="3">
        <v>1</v>
      </c>
      <c r="G1189" s="3" t="s">
        <v>19</v>
      </c>
      <c r="H1189" s="11">
        <v>45961</v>
      </c>
      <c r="I1189" s="3" t="s">
        <v>183</v>
      </c>
      <c r="J1189" s="3">
        <v>14</v>
      </c>
      <c r="K1189" s="3">
        <v>8</v>
      </c>
      <c r="L1189" s="3">
        <v>0</v>
      </c>
      <c r="M1189" s="3">
        <v>13</v>
      </c>
      <c r="N1189" s="3">
        <v>0</v>
      </c>
      <c r="O1189" s="3">
        <f t="shared" si="239"/>
        <v>35</v>
      </c>
      <c r="P1189" s="3">
        <v>7</v>
      </c>
      <c r="Q1189" s="3">
        <v>5</v>
      </c>
      <c r="R1189" s="3">
        <v>5</v>
      </c>
      <c r="S1189" s="3">
        <v>7</v>
      </c>
      <c r="T1189" s="3">
        <v>1</v>
      </c>
      <c r="U1189" s="3">
        <f t="shared" si="249"/>
        <v>25</v>
      </c>
      <c r="V1189" s="13">
        <f t="shared" si="235"/>
        <v>1.4</v>
      </c>
      <c r="W1189" s="13">
        <f t="shared" si="237"/>
        <v>1.4</v>
      </c>
      <c r="X1189" s="3">
        <f t="shared" si="236"/>
        <v>25</v>
      </c>
      <c r="Y1189" s="3">
        <f t="shared" si="238"/>
        <v>2.0289855072463768E-4</v>
      </c>
      <c r="Z1189" s="3"/>
      <c r="AA1189" s="3">
        <f t="shared" si="250"/>
        <v>6900</v>
      </c>
      <c r="AB1189" s="3">
        <v>360</v>
      </c>
      <c r="AC1189" s="3" t="s">
        <v>82</v>
      </c>
      <c r="AD1189" s="3" t="s">
        <v>83</v>
      </c>
      <c r="AE1189" s="3">
        <v>15</v>
      </c>
      <c r="AF1189" s="3" t="s">
        <v>151</v>
      </c>
      <c r="AG1189" s="3" t="s">
        <v>270</v>
      </c>
      <c r="AH1189" s="3"/>
    </row>
    <row r="1190" spans="1:34" ht="14.25" customHeight="1" x14ac:dyDescent="0.25">
      <c r="A1190" s="3" t="s">
        <v>119</v>
      </c>
      <c r="B1190" s="3" t="s">
        <v>79</v>
      </c>
      <c r="C1190" s="3"/>
      <c r="D1190" s="3" t="s">
        <v>117</v>
      </c>
      <c r="E1190" s="3">
        <v>2</v>
      </c>
      <c r="F1190" s="3">
        <v>1</v>
      </c>
      <c r="G1190" s="3" t="s">
        <v>24</v>
      </c>
      <c r="H1190" s="11">
        <v>45961</v>
      </c>
      <c r="I1190" s="3" t="s">
        <v>183</v>
      </c>
      <c r="J1190" s="3">
        <v>14</v>
      </c>
      <c r="K1190" s="3">
        <v>6</v>
      </c>
      <c r="L1190" s="3">
        <v>9</v>
      </c>
      <c r="M1190" s="3">
        <v>13</v>
      </c>
      <c r="N1190" s="3">
        <v>0</v>
      </c>
      <c r="O1190" s="3">
        <f t="shared" si="239"/>
        <v>42</v>
      </c>
      <c r="P1190" s="3">
        <v>7</v>
      </c>
      <c r="Q1190" s="3">
        <v>5</v>
      </c>
      <c r="R1190" s="3">
        <v>5</v>
      </c>
      <c r="S1190" s="3">
        <v>7</v>
      </c>
      <c r="T1190" s="3">
        <v>1</v>
      </c>
      <c r="U1190" s="3">
        <f t="shared" si="249"/>
        <v>25</v>
      </c>
      <c r="V1190" s="13">
        <f t="shared" si="235"/>
        <v>1.68</v>
      </c>
      <c r="W1190" s="13">
        <f t="shared" si="237"/>
        <v>1.68</v>
      </c>
      <c r="X1190" s="3">
        <f t="shared" si="236"/>
        <v>25</v>
      </c>
      <c r="Y1190" s="3">
        <f t="shared" si="238"/>
        <v>2.434782608695652E-4</v>
      </c>
      <c r="Z1190" s="3"/>
      <c r="AA1190" s="3">
        <f t="shared" si="250"/>
        <v>6900</v>
      </c>
      <c r="AB1190" s="3">
        <v>360</v>
      </c>
      <c r="AC1190" s="3" t="s">
        <v>82</v>
      </c>
      <c r="AD1190" s="3" t="s">
        <v>83</v>
      </c>
      <c r="AE1190" s="3">
        <v>15</v>
      </c>
      <c r="AF1190" s="3" t="s">
        <v>151</v>
      </c>
      <c r="AG1190" s="3" t="s">
        <v>270</v>
      </c>
      <c r="AH1190" s="3"/>
    </row>
    <row r="1191" spans="1:34" ht="14.25" customHeight="1" x14ac:dyDescent="0.25">
      <c r="A1191" s="3" t="s">
        <v>119</v>
      </c>
      <c r="B1191" s="3" t="s">
        <v>79</v>
      </c>
      <c r="C1191" s="3"/>
      <c r="D1191" s="3" t="s">
        <v>117</v>
      </c>
      <c r="E1191" s="3">
        <v>2</v>
      </c>
      <c r="F1191" s="3">
        <v>1</v>
      </c>
      <c r="G1191" s="3" t="s">
        <v>25</v>
      </c>
      <c r="H1191" s="11">
        <v>45961</v>
      </c>
      <c r="I1191" s="3" t="s">
        <v>183</v>
      </c>
      <c r="J1191" s="3">
        <v>27</v>
      </c>
      <c r="K1191" s="3">
        <v>0</v>
      </c>
      <c r="L1191" s="3">
        <v>0</v>
      </c>
      <c r="M1191" s="3">
        <v>0</v>
      </c>
      <c r="N1191" s="3">
        <v>0</v>
      </c>
      <c r="O1191" s="3">
        <f t="shared" si="239"/>
        <v>27</v>
      </c>
      <c r="P1191" s="3">
        <v>7</v>
      </c>
      <c r="Q1191" s="3">
        <v>5</v>
      </c>
      <c r="R1191" s="3">
        <v>5</v>
      </c>
      <c r="S1191" s="3">
        <v>7</v>
      </c>
      <c r="T1191" s="3">
        <v>1</v>
      </c>
      <c r="U1191" s="3">
        <f t="shared" si="249"/>
        <v>25</v>
      </c>
      <c r="V1191" s="13">
        <f t="shared" si="235"/>
        <v>1.08</v>
      </c>
      <c r="W1191" s="13">
        <f t="shared" si="237"/>
        <v>1.08</v>
      </c>
      <c r="X1191" s="3">
        <f t="shared" si="236"/>
        <v>25</v>
      </c>
      <c r="Y1191" s="3">
        <f t="shared" si="238"/>
        <v>1.565217391304348E-4</v>
      </c>
      <c r="Z1191" s="3"/>
      <c r="AA1191" s="3">
        <f t="shared" si="250"/>
        <v>6900</v>
      </c>
      <c r="AB1191" s="3">
        <v>360</v>
      </c>
      <c r="AC1191" s="3" t="s">
        <v>82</v>
      </c>
      <c r="AD1191" s="3" t="s">
        <v>83</v>
      </c>
      <c r="AE1191" s="3">
        <v>15</v>
      </c>
      <c r="AF1191" s="3" t="s">
        <v>151</v>
      </c>
      <c r="AG1191" s="3" t="s">
        <v>270</v>
      </c>
      <c r="AH1191" s="3"/>
    </row>
    <row r="1192" spans="1:34" ht="14.25" customHeight="1" x14ac:dyDescent="0.25">
      <c r="A1192" s="3" t="s">
        <v>119</v>
      </c>
      <c r="B1192" s="3" t="s">
        <v>79</v>
      </c>
      <c r="C1192" s="3"/>
      <c r="D1192" s="3" t="s">
        <v>117</v>
      </c>
      <c r="E1192" s="3">
        <v>2</v>
      </c>
      <c r="F1192" s="3">
        <v>1</v>
      </c>
      <c r="G1192" s="3" t="s">
        <v>22</v>
      </c>
      <c r="H1192" s="11">
        <v>45961</v>
      </c>
      <c r="I1192" s="3" t="s">
        <v>183</v>
      </c>
      <c r="J1192" s="3">
        <v>5</v>
      </c>
      <c r="K1192" s="3">
        <v>7</v>
      </c>
      <c r="L1192" s="3">
        <v>5</v>
      </c>
      <c r="M1192" s="3">
        <v>15</v>
      </c>
      <c r="N1192" s="3">
        <v>0</v>
      </c>
      <c r="O1192" s="3">
        <f t="shared" si="239"/>
        <v>32</v>
      </c>
      <c r="P1192" s="3">
        <v>7</v>
      </c>
      <c r="Q1192" s="3">
        <v>5</v>
      </c>
      <c r="R1192" s="3">
        <v>5</v>
      </c>
      <c r="S1192" s="3">
        <v>7</v>
      </c>
      <c r="T1192" s="3">
        <v>1</v>
      </c>
      <c r="U1192" s="3">
        <f t="shared" si="249"/>
        <v>25</v>
      </c>
      <c r="V1192" s="13">
        <f t="shared" si="235"/>
        <v>1.28</v>
      </c>
      <c r="W1192" s="13">
        <f t="shared" si="237"/>
        <v>1.28</v>
      </c>
      <c r="X1192" s="3">
        <f t="shared" si="236"/>
        <v>25</v>
      </c>
      <c r="Y1192" s="3">
        <f t="shared" si="238"/>
        <v>1.855072463768116E-4</v>
      </c>
      <c r="Z1192" s="3"/>
      <c r="AA1192" s="3">
        <f t="shared" si="250"/>
        <v>6900</v>
      </c>
      <c r="AB1192" s="3">
        <v>360</v>
      </c>
      <c r="AC1192" s="3" t="s">
        <v>82</v>
      </c>
      <c r="AD1192" s="3" t="s">
        <v>83</v>
      </c>
      <c r="AE1192" s="3">
        <v>15</v>
      </c>
      <c r="AF1192" s="3" t="s">
        <v>151</v>
      </c>
      <c r="AG1192" s="3" t="s">
        <v>270</v>
      </c>
      <c r="AH1192" s="3"/>
    </row>
    <row r="1193" spans="1:34" ht="14.25" customHeight="1" x14ac:dyDescent="0.25">
      <c r="A1193" s="3" t="s">
        <v>119</v>
      </c>
      <c r="B1193" s="3" t="s">
        <v>79</v>
      </c>
      <c r="C1193" s="3"/>
      <c r="D1193" s="3" t="s">
        <v>117</v>
      </c>
      <c r="E1193" s="3">
        <v>2</v>
      </c>
      <c r="F1193" s="3">
        <v>1</v>
      </c>
      <c r="G1193" s="3" t="s">
        <v>11</v>
      </c>
      <c r="H1193" s="11">
        <v>45961</v>
      </c>
      <c r="I1193" s="3" t="s">
        <v>183</v>
      </c>
      <c r="J1193" s="3">
        <v>13</v>
      </c>
      <c r="K1193" s="3">
        <v>8</v>
      </c>
      <c r="L1193" s="3">
        <v>5</v>
      </c>
      <c r="M1193" s="3">
        <v>15</v>
      </c>
      <c r="N1193" s="3">
        <v>0</v>
      </c>
      <c r="O1193" s="3">
        <f t="shared" si="239"/>
        <v>41</v>
      </c>
      <c r="P1193" s="3">
        <v>7</v>
      </c>
      <c r="Q1193" s="3">
        <v>5</v>
      </c>
      <c r="R1193" s="3">
        <v>5</v>
      </c>
      <c r="S1193" s="3">
        <v>7</v>
      </c>
      <c r="T1193" s="3">
        <v>1</v>
      </c>
      <c r="U1193" s="3">
        <f t="shared" si="249"/>
        <v>25</v>
      </c>
      <c r="V1193" s="13">
        <f t="shared" si="235"/>
        <v>1.64</v>
      </c>
      <c r="W1193" s="13">
        <f t="shared" si="237"/>
        <v>1.64</v>
      </c>
      <c r="X1193" s="3">
        <f t="shared" si="236"/>
        <v>25</v>
      </c>
      <c r="Y1193" s="3">
        <f t="shared" si="238"/>
        <v>2.3768115942028985E-4</v>
      </c>
      <c r="Z1193" s="3"/>
      <c r="AA1193" s="3">
        <f t="shared" si="250"/>
        <v>6900</v>
      </c>
      <c r="AB1193" s="3">
        <v>360</v>
      </c>
      <c r="AC1193" s="3" t="s">
        <v>82</v>
      </c>
      <c r="AD1193" s="3" t="s">
        <v>83</v>
      </c>
      <c r="AE1193" s="3">
        <v>15</v>
      </c>
      <c r="AF1193" s="3" t="s">
        <v>151</v>
      </c>
      <c r="AG1193" s="3" t="s">
        <v>270</v>
      </c>
      <c r="AH1193" s="3"/>
    </row>
    <row r="1194" spans="1:34" ht="14.25" customHeight="1" x14ac:dyDescent="0.25">
      <c r="A1194" s="3" t="s">
        <v>119</v>
      </c>
      <c r="B1194" s="3" t="s">
        <v>79</v>
      </c>
      <c r="C1194" s="3"/>
      <c r="D1194" s="3" t="s">
        <v>117</v>
      </c>
      <c r="E1194" s="3">
        <v>2</v>
      </c>
      <c r="F1194" s="3">
        <v>1</v>
      </c>
      <c r="G1194" s="3" t="s">
        <v>28</v>
      </c>
      <c r="H1194" s="11">
        <v>45961</v>
      </c>
      <c r="I1194" s="3" t="s">
        <v>183</v>
      </c>
      <c r="J1194" s="25">
        <v>0</v>
      </c>
      <c r="K1194" s="3">
        <v>0</v>
      </c>
      <c r="L1194" s="3">
        <v>0</v>
      </c>
      <c r="M1194" s="3">
        <v>15</v>
      </c>
      <c r="N1194" s="3">
        <v>0</v>
      </c>
      <c r="O1194" s="3">
        <f t="shared" si="239"/>
        <v>15</v>
      </c>
      <c r="P1194" s="3">
        <v>7</v>
      </c>
      <c r="Q1194" s="3">
        <v>5</v>
      </c>
      <c r="R1194" s="3">
        <v>5</v>
      </c>
      <c r="S1194" s="3">
        <v>7</v>
      </c>
      <c r="T1194" s="3">
        <v>1</v>
      </c>
      <c r="U1194" s="3">
        <f t="shared" si="249"/>
        <v>25</v>
      </c>
      <c r="V1194" s="13">
        <f t="shared" si="235"/>
        <v>0.6</v>
      </c>
      <c r="W1194" s="13">
        <f t="shared" si="237"/>
        <v>0.6</v>
      </c>
      <c r="X1194" s="3">
        <f t="shared" si="236"/>
        <v>25</v>
      </c>
      <c r="Y1194" s="3">
        <f t="shared" si="238"/>
        <v>8.6956521739130427E-5</v>
      </c>
      <c r="Z1194" s="3"/>
      <c r="AA1194" s="3">
        <f t="shared" si="250"/>
        <v>6900</v>
      </c>
      <c r="AB1194" s="3">
        <v>360</v>
      </c>
      <c r="AC1194" s="3" t="s">
        <v>82</v>
      </c>
      <c r="AD1194" s="3" t="s">
        <v>83</v>
      </c>
      <c r="AE1194" s="3">
        <v>15</v>
      </c>
      <c r="AF1194" s="3" t="s">
        <v>151</v>
      </c>
      <c r="AG1194" s="3" t="s">
        <v>270</v>
      </c>
      <c r="AH1194" s="3"/>
    </row>
    <row r="1195" spans="1:34" ht="14.25" customHeight="1" x14ac:dyDescent="0.25">
      <c r="A1195" s="3" t="s">
        <v>126</v>
      </c>
      <c r="B1195" s="3" t="s">
        <v>79</v>
      </c>
      <c r="C1195" s="3"/>
      <c r="D1195" s="3" t="s">
        <v>117</v>
      </c>
      <c r="E1195" s="3">
        <v>2</v>
      </c>
      <c r="F1195" s="3">
        <v>1</v>
      </c>
      <c r="G1195" s="3" t="s">
        <v>3</v>
      </c>
      <c r="H1195" s="11">
        <v>45961</v>
      </c>
      <c r="I1195" s="3" t="s">
        <v>183</v>
      </c>
      <c r="J1195" s="3">
        <v>26</v>
      </c>
      <c r="K1195" s="3">
        <f>7+5+4+2</f>
        <v>18</v>
      </c>
      <c r="L1195" s="3">
        <v>0</v>
      </c>
      <c r="M1195" s="3">
        <v>0</v>
      </c>
      <c r="N1195" s="3">
        <v>0</v>
      </c>
      <c r="O1195" s="3">
        <f t="shared" si="239"/>
        <v>44</v>
      </c>
      <c r="P1195" s="3">
        <v>3</v>
      </c>
      <c r="Q1195" s="3">
        <v>7</v>
      </c>
      <c r="R1195" s="3">
        <v>2</v>
      </c>
      <c r="S1195" s="3">
        <v>2</v>
      </c>
      <c r="T1195" s="3">
        <v>0</v>
      </c>
      <c r="U1195" s="3">
        <f t="shared" si="249"/>
        <v>14</v>
      </c>
      <c r="V1195" s="13">
        <f t="shared" si="235"/>
        <v>3.1428571428571428</v>
      </c>
      <c r="W1195" s="13">
        <f t="shared" si="237"/>
        <v>3.1428571428571428</v>
      </c>
      <c r="X1195" s="3">
        <f t="shared" si="236"/>
        <v>14</v>
      </c>
      <c r="Y1195" s="3">
        <f t="shared" si="238"/>
        <v>2.8571428571428571E-3</v>
      </c>
      <c r="Z1195" s="3"/>
      <c r="AA1195" s="3">
        <f>50*2.5*4+50*3*4</f>
        <v>1100</v>
      </c>
      <c r="AB1195" s="3"/>
      <c r="AC1195" s="3" t="s">
        <v>82</v>
      </c>
      <c r="AD1195" s="3" t="s">
        <v>83</v>
      </c>
      <c r="AE1195" s="3"/>
      <c r="AF1195" s="3" t="s">
        <v>151</v>
      </c>
      <c r="AG1195" s="3"/>
      <c r="AH1195" s="3"/>
    </row>
    <row r="1196" spans="1:34" ht="14.25" customHeight="1" x14ac:dyDescent="0.25">
      <c r="A1196" s="3" t="s">
        <v>126</v>
      </c>
      <c r="B1196" s="3" t="s">
        <v>79</v>
      </c>
      <c r="C1196" s="3"/>
      <c r="D1196" s="3" t="s">
        <v>117</v>
      </c>
      <c r="E1196" s="3">
        <v>2</v>
      </c>
      <c r="F1196" s="3">
        <v>1</v>
      </c>
      <c r="G1196" s="25" t="s">
        <v>6</v>
      </c>
      <c r="H1196" s="11">
        <v>45961</v>
      </c>
      <c r="I1196" s="3" t="s">
        <v>183</v>
      </c>
      <c r="J1196" s="3">
        <v>9</v>
      </c>
      <c r="K1196" s="3">
        <v>4</v>
      </c>
      <c r="L1196" s="3">
        <v>0</v>
      </c>
      <c r="M1196" s="3">
        <v>0</v>
      </c>
      <c r="N1196" s="3">
        <v>0</v>
      </c>
      <c r="O1196" s="3">
        <f t="shared" si="239"/>
        <v>13</v>
      </c>
      <c r="P1196" s="3">
        <v>3</v>
      </c>
      <c r="Q1196" s="3">
        <v>7</v>
      </c>
      <c r="R1196" s="3">
        <v>2</v>
      </c>
      <c r="S1196" s="3">
        <v>2</v>
      </c>
      <c r="T1196" s="3">
        <v>0</v>
      </c>
      <c r="U1196" s="3">
        <f t="shared" ref="U1196:U1199" si="251">SUM(P1196:T1196)</f>
        <v>14</v>
      </c>
      <c r="V1196" s="13">
        <f t="shared" si="235"/>
        <v>0.9285714285714286</v>
      </c>
      <c r="W1196" s="13">
        <f t="shared" si="237"/>
        <v>0.9285714285714286</v>
      </c>
      <c r="X1196" s="3">
        <f t="shared" si="236"/>
        <v>14</v>
      </c>
      <c r="Y1196" s="3">
        <f t="shared" si="238"/>
        <v>8.4415584415584416E-4</v>
      </c>
      <c r="Z1196" s="3"/>
      <c r="AA1196" s="3">
        <f t="shared" ref="AA1196:AA1199" si="252">50*2.5*4+50*3*4</f>
        <v>1100</v>
      </c>
      <c r="AB1196" s="3"/>
      <c r="AC1196" s="3" t="s">
        <v>82</v>
      </c>
      <c r="AD1196" s="3" t="s">
        <v>83</v>
      </c>
      <c r="AE1196" s="3"/>
      <c r="AF1196" s="3" t="s">
        <v>151</v>
      </c>
      <c r="AG1196" s="3"/>
      <c r="AH1196" s="3"/>
    </row>
    <row r="1197" spans="1:34" ht="14.25" customHeight="1" x14ac:dyDescent="0.25">
      <c r="A1197" s="3" t="s">
        <v>126</v>
      </c>
      <c r="B1197" s="3" t="s">
        <v>79</v>
      </c>
      <c r="C1197" s="3"/>
      <c r="D1197" s="3" t="s">
        <v>117</v>
      </c>
      <c r="E1197" s="3">
        <v>2</v>
      </c>
      <c r="F1197" s="3">
        <v>1</v>
      </c>
      <c r="G1197" s="3" t="s">
        <v>9</v>
      </c>
      <c r="H1197" s="11">
        <v>45961</v>
      </c>
      <c r="I1197" s="3" t="s">
        <v>183</v>
      </c>
      <c r="J1197" s="3">
        <v>0</v>
      </c>
      <c r="K1197" s="3">
        <f>3+2+5+3</f>
        <v>13</v>
      </c>
      <c r="L1197" s="3">
        <v>8</v>
      </c>
      <c r="M1197" s="3">
        <v>9</v>
      </c>
      <c r="N1197" s="3">
        <v>0</v>
      </c>
      <c r="O1197" s="3">
        <f t="shared" si="239"/>
        <v>30</v>
      </c>
      <c r="P1197" s="3">
        <v>3</v>
      </c>
      <c r="Q1197" s="3">
        <v>7</v>
      </c>
      <c r="R1197" s="3">
        <v>2</v>
      </c>
      <c r="S1197" s="3">
        <v>2</v>
      </c>
      <c r="T1197" s="3">
        <v>0</v>
      </c>
      <c r="U1197" s="3">
        <f t="shared" si="251"/>
        <v>14</v>
      </c>
      <c r="V1197" s="13">
        <f t="shared" si="235"/>
        <v>2.1428571428571428</v>
      </c>
      <c r="W1197" s="13">
        <f t="shared" si="237"/>
        <v>2.1428571428571428</v>
      </c>
      <c r="X1197" s="3">
        <f t="shared" si="236"/>
        <v>14</v>
      </c>
      <c r="Y1197" s="3">
        <f t="shared" si="238"/>
        <v>1.9480519480519481E-3</v>
      </c>
      <c r="Z1197" s="3"/>
      <c r="AA1197" s="3">
        <f t="shared" si="252"/>
        <v>1100</v>
      </c>
      <c r="AB1197" s="3"/>
      <c r="AC1197" s="3" t="s">
        <v>82</v>
      </c>
      <c r="AD1197" s="3" t="s">
        <v>83</v>
      </c>
      <c r="AE1197" s="3"/>
      <c r="AF1197" s="3" t="s">
        <v>151</v>
      </c>
      <c r="AG1197" s="3"/>
      <c r="AH1197" s="3"/>
    </row>
    <row r="1198" spans="1:34" ht="14.25" customHeight="1" x14ac:dyDescent="0.25">
      <c r="A1198" s="3" t="s">
        <v>126</v>
      </c>
      <c r="B1198" s="3" t="s">
        <v>79</v>
      </c>
      <c r="C1198" s="3"/>
      <c r="D1198" s="3" t="s">
        <v>117</v>
      </c>
      <c r="E1198" s="3">
        <v>2</v>
      </c>
      <c r="F1198" s="3">
        <v>1</v>
      </c>
      <c r="G1198" s="3" t="s">
        <v>16</v>
      </c>
      <c r="H1198" s="11">
        <v>45961</v>
      </c>
      <c r="I1198" s="3" t="s">
        <v>183</v>
      </c>
      <c r="J1198" s="3">
        <v>0</v>
      </c>
      <c r="K1198" s="3">
        <v>3</v>
      </c>
      <c r="L1198" s="3">
        <v>0</v>
      </c>
      <c r="M1198" s="3">
        <v>4</v>
      </c>
      <c r="N1198" s="3">
        <v>0</v>
      </c>
      <c r="O1198" s="3">
        <f t="shared" si="239"/>
        <v>7</v>
      </c>
      <c r="P1198" s="3">
        <v>3</v>
      </c>
      <c r="Q1198" s="3">
        <v>7</v>
      </c>
      <c r="R1198" s="3">
        <v>2</v>
      </c>
      <c r="S1198" s="3">
        <v>2</v>
      </c>
      <c r="T1198" s="3">
        <v>0</v>
      </c>
      <c r="U1198" s="3">
        <f t="shared" si="251"/>
        <v>14</v>
      </c>
      <c r="V1198" s="13">
        <f t="shared" si="235"/>
        <v>0.5</v>
      </c>
      <c r="W1198" s="13">
        <f t="shared" si="237"/>
        <v>0.5</v>
      </c>
      <c r="X1198" s="3">
        <f t="shared" si="236"/>
        <v>14</v>
      </c>
      <c r="Y1198" s="3">
        <f t="shared" si="238"/>
        <v>4.5454545454545455E-4</v>
      </c>
      <c r="Z1198" s="3"/>
      <c r="AA1198" s="3">
        <f t="shared" si="252"/>
        <v>1100</v>
      </c>
      <c r="AB1198" s="3"/>
      <c r="AC1198" s="3" t="s">
        <v>82</v>
      </c>
      <c r="AD1198" s="3" t="s">
        <v>83</v>
      </c>
      <c r="AE1198" s="3"/>
      <c r="AF1198" s="3" t="s">
        <v>151</v>
      </c>
      <c r="AG1198" s="3"/>
      <c r="AH1198" s="3"/>
    </row>
    <row r="1199" spans="1:34" ht="14.25" customHeight="1" x14ac:dyDescent="0.25">
      <c r="A1199" s="3" t="s">
        <v>126</v>
      </c>
      <c r="B1199" s="3" t="s">
        <v>79</v>
      </c>
      <c r="C1199" s="3"/>
      <c r="D1199" s="3" t="s">
        <v>117</v>
      </c>
      <c r="E1199" s="3">
        <v>2</v>
      </c>
      <c r="F1199" s="3">
        <v>1</v>
      </c>
      <c r="G1199" s="3" t="s">
        <v>25</v>
      </c>
      <c r="H1199" s="11">
        <v>45961</v>
      </c>
      <c r="I1199" s="3" t="s">
        <v>183</v>
      </c>
      <c r="J1199" s="3">
        <v>0</v>
      </c>
      <c r="K1199" s="3">
        <v>5</v>
      </c>
      <c r="L1199" s="3">
        <v>0</v>
      </c>
      <c r="M1199" s="3">
        <v>0</v>
      </c>
      <c r="N1199" s="3">
        <v>0</v>
      </c>
      <c r="O1199" s="3">
        <f t="shared" si="239"/>
        <v>5</v>
      </c>
      <c r="P1199" s="3">
        <v>3</v>
      </c>
      <c r="Q1199" s="3">
        <v>7</v>
      </c>
      <c r="R1199" s="3">
        <v>2</v>
      </c>
      <c r="S1199" s="3">
        <v>2</v>
      </c>
      <c r="T1199" s="3">
        <v>0</v>
      </c>
      <c r="U1199" s="3">
        <f t="shared" si="251"/>
        <v>14</v>
      </c>
      <c r="V1199" s="13">
        <f t="shared" si="235"/>
        <v>0.35714285714285715</v>
      </c>
      <c r="W1199" s="13">
        <f t="shared" si="237"/>
        <v>0.35714285714285715</v>
      </c>
      <c r="X1199" s="3">
        <f t="shared" si="236"/>
        <v>14</v>
      </c>
      <c r="Y1199" s="3">
        <f t="shared" si="238"/>
        <v>3.2467532467532468E-4</v>
      </c>
      <c r="Z1199" s="3"/>
      <c r="AA1199" s="3">
        <f t="shared" si="252"/>
        <v>1100</v>
      </c>
      <c r="AB1199" s="3"/>
      <c r="AC1199" s="3" t="s">
        <v>82</v>
      </c>
      <c r="AD1199" s="3" t="s">
        <v>83</v>
      </c>
      <c r="AE1199" s="3"/>
      <c r="AF1199" s="3" t="s">
        <v>151</v>
      </c>
      <c r="AG1199" s="3"/>
      <c r="AH1199" s="3"/>
    </row>
    <row r="1200" spans="1:34" ht="14.25" customHeight="1" x14ac:dyDescent="0.25">
      <c r="A1200" s="25" t="s">
        <v>96</v>
      </c>
      <c r="B1200" s="25" t="s">
        <v>79</v>
      </c>
      <c r="C1200" s="25"/>
      <c r="D1200" s="25" t="s">
        <v>80</v>
      </c>
      <c r="E1200" s="25">
        <v>1</v>
      </c>
      <c r="F1200" s="25">
        <v>1</v>
      </c>
      <c r="G1200" s="3" t="s">
        <v>3</v>
      </c>
      <c r="H1200" s="26">
        <v>45961</v>
      </c>
      <c r="I1200" s="25" t="s">
        <v>183</v>
      </c>
      <c r="J1200" s="25">
        <v>110</v>
      </c>
      <c r="K1200" s="25">
        <v>134</v>
      </c>
      <c r="L1200" s="25">
        <v>98</v>
      </c>
      <c r="M1200" s="25">
        <v>74</v>
      </c>
      <c r="N1200" s="25">
        <v>0</v>
      </c>
      <c r="O1200" s="25">
        <f t="shared" ref="O1200:O1251" si="253">SUM(J1200:N1200)</f>
        <v>416</v>
      </c>
      <c r="P1200" s="25">
        <v>5</v>
      </c>
      <c r="Q1200" s="25">
        <v>2</v>
      </c>
      <c r="R1200" s="25">
        <v>3</v>
      </c>
      <c r="S1200" s="25">
        <v>6</v>
      </c>
      <c r="T1200" s="25">
        <v>1</v>
      </c>
      <c r="U1200" s="25">
        <f t="shared" ref="U1200:U1205" si="254">SUM(P1200:T1200)</f>
        <v>17</v>
      </c>
      <c r="V1200" s="13">
        <f t="shared" si="235"/>
        <v>24.470588235294116</v>
      </c>
      <c r="W1200" s="13">
        <f t="shared" si="237"/>
        <v>24.470588235294116</v>
      </c>
      <c r="X1200" s="3">
        <f t="shared" si="236"/>
        <v>17</v>
      </c>
      <c r="Y1200" s="3" t="e">
        <f t="shared" si="238"/>
        <v>#DIV/0!</v>
      </c>
      <c r="Z1200" s="25"/>
      <c r="AA1200" s="25"/>
      <c r="AB1200" s="25">
        <v>60</v>
      </c>
      <c r="AC1200" s="25" t="s">
        <v>82</v>
      </c>
      <c r="AD1200" s="25" t="s">
        <v>83</v>
      </c>
      <c r="AE1200" s="25">
        <v>40</v>
      </c>
      <c r="AF1200" s="3" t="s">
        <v>143</v>
      </c>
      <c r="AG1200" s="28" t="s">
        <v>258</v>
      </c>
      <c r="AH1200" s="3"/>
    </row>
    <row r="1201" spans="1:34" ht="14.25" customHeight="1" x14ac:dyDescent="0.25">
      <c r="A1201" s="25" t="s">
        <v>96</v>
      </c>
      <c r="B1201" s="25" t="s">
        <v>79</v>
      </c>
      <c r="C1201" s="25"/>
      <c r="D1201" s="25" t="s">
        <v>80</v>
      </c>
      <c r="E1201" s="25">
        <v>1</v>
      </c>
      <c r="F1201" s="25">
        <v>1</v>
      </c>
      <c r="G1201" s="3" t="s">
        <v>2</v>
      </c>
      <c r="H1201" s="26">
        <v>45961</v>
      </c>
      <c r="I1201" s="25" t="s">
        <v>183</v>
      </c>
      <c r="J1201" s="25">
        <v>22.2</v>
      </c>
      <c r="K1201" s="25">
        <v>0</v>
      </c>
      <c r="L1201" s="25">
        <v>13</v>
      </c>
      <c r="M1201" s="25">
        <v>18.600000000000001</v>
      </c>
      <c r="N1201" s="25">
        <v>0</v>
      </c>
      <c r="O1201" s="25">
        <f t="shared" si="253"/>
        <v>53.800000000000004</v>
      </c>
      <c r="P1201" s="25">
        <v>5</v>
      </c>
      <c r="Q1201" s="25">
        <v>2</v>
      </c>
      <c r="R1201" s="25">
        <v>3</v>
      </c>
      <c r="S1201" s="25">
        <v>6</v>
      </c>
      <c r="T1201" s="25">
        <v>1</v>
      </c>
      <c r="U1201" s="25">
        <f t="shared" si="254"/>
        <v>17</v>
      </c>
      <c r="V1201" s="13">
        <f t="shared" si="235"/>
        <v>3.1647058823529415</v>
      </c>
      <c r="W1201" s="13">
        <f t="shared" si="237"/>
        <v>3.1647058823529415</v>
      </c>
      <c r="X1201" s="3">
        <f t="shared" si="236"/>
        <v>17</v>
      </c>
      <c r="Y1201" s="3" t="e">
        <f t="shared" si="238"/>
        <v>#DIV/0!</v>
      </c>
      <c r="Z1201" s="25"/>
      <c r="AA1201" s="25"/>
      <c r="AB1201" s="25">
        <v>60</v>
      </c>
      <c r="AC1201" s="25" t="s">
        <v>82</v>
      </c>
      <c r="AD1201" s="25" t="s">
        <v>83</v>
      </c>
      <c r="AE1201" s="25">
        <v>40</v>
      </c>
      <c r="AF1201" s="3" t="s">
        <v>143</v>
      </c>
      <c r="AG1201" s="28" t="s">
        <v>258</v>
      </c>
      <c r="AH1201" s="3"/>
    </row>
    <row r="1202" spans="1:34" ht="14.25" customHeight="1" x14ac:dyDescent="0.25">
      <c r="A1202" s="25" t="s">
        <v>96</v>
      </c>
      <c r="B1202" s="25" t="s">
        <v>79</v>
      </c>
      <c r="C1202" s="25"/>
      <c r="D1202" s="25" t="s">
        <v>80</v>
      </c>
      <c r="E1202" s="25">
        <v>1</v>
      </c>
      <c r="F1202" s="25">
        <v>1</v>
      </c>
      <c r="G1202" s="3" t="s">
        <v>18</v>
      </c>
      <c r="H1202" s="26">
        <v>45961</v>
      </c>
      <c r="I1202" s="25" t="s">
        <v>183</v>
      </c>
      <c r="J1202" s="25">
        <v>0</v>
      </c>
      <c r="K1202" s="25">
        <v>0</v>
      </c>
      <c r="L1202" s="25">
        <v>0</v>
      </c>
      <c r="M1202" s="25">
        <v>7</v>
      </c>
      <c r="N1202" s="25">
        <v>0</v>
      </c>
      <c r="O1202" s="25">
        <f t="shared" si="253"/>
        <v>7</v>
      </c>
      <c r="P1202" s="25">
        <v>5</v>
      </c>
      <c r="Q1202" s="25">
        <v>2</v>
      </c>
      <c r="R1202" s="25">
        <v>3</v>
      </c>
      <c r="S1202" s="25">
        <v>6</v>
      </c>
      <c r="T1202" s="25">
        <v>1</v>
      </c>
      <c r="U1202" s="25">
        <f t="shared" si="254"/>
        <v>17</v>
      </c>
      <c r="V1202" s="13">
        <f t="shared" si="235"/>
        <v>0.41176470588235292</v>
      </c>
      <c r="W1202" s="13">
        <f t="shared" si="237"/>
        <v>0.41176470588235292</v>
      </c>
      <c r="X1202" s="3">
        <f t="shared" si="236"/>
        <v>17</v>
      </c>
      <c r="Y1202" s="3" t="e">
        <f t="shared" si="238"/>
        <v>#DIV/0!</v>
      </c>
      <c r="Z1202" s="25"/>
      <c r="AA1202" s="25"/>
      <c r="AB1202" s="25">
        <v>60</v>
      </c>
      <c r="AC1202" s="25" t="s">
        <v>82</v>
      </c>
      <c r="AD1202" s="25" t="s">
        <v>83</v>
      </c>
      <c r="AE1202" s="25">
        <v>40</v>
      </c>
      <c r="AF1202" s="3" t="s">
        <v>143</v>
      </c>
      <c r="AG1202" s="28" t="s">
        <v>258</v>
      </c>
      <c r="AH1202" s="3"/>
    </row>
    <row r="1203" spans="1:34" ht="14.25" customHeight="1" x14ac:dyDescent="0.25">
      <c r="A1203" s="25" t="s">
        <v>96</v>
      </c>
      <c r="B1203" s="25" t="s">
        <v>79</v>
      </c>
      <c r="C1203" s="25"/>
      <c r="D1203" s="25" t="s">
        <v>80</v>
      </c>
      <c r="E1203" s="25">
        <v>1</v>
      </c>
      <c r="F1203" s="25">
        <v>1</v>
      </c>
      <c r="G1203" s="3" t="s">
        <v>25</v>
      </c>
      <c r="H1203" s="26">
        <v>45961</v>
      </c>
      <c r="I1203" s="25" t="s">
        <v>183</v>
      </c>
      <c r="J1203" s="25">
        <v>8.6</v>
      </c>
      <c r="K1203" s="25">
        <v>0</v>
      </c>
      <c r="L1203" s="25">
        <v>11</v>
      </c>
      <c r="M1203" s="25">
        <v>16</v>
      </c>
      <c r="N1203" s="25">
        <v>0</v>
      </c>
      <c r="O1203" s="25">
        <f t="shared" si="253"/>
        <v>35.6</v>
      </c>
      <c r="P1203" s="25">
        <v>5</v>
      </c>
      <c r="Q1203" s="25">
        <v>2</v>
      </c>
      <c r="R1203" s="25">
        <v>3</v>
      </c>
      <c r="S1203" s="25">
        <v>6</v>
      </c>
      <c r="T1203" s="25">
        <v>1</v>
      </c>
      <c r="U1203" s="25">
        <f t="shared" si="254"/>
        <v>17</v>
      </c>
      <c r="V1203" s="13">
        <f t="shared" si="235"/>
        <v>2.0941176470588236</v>
      </c>
      <c r="W1203" s="13">
        <f t="shared" si="237"/>
        <v>2.0941176470588236</v>
      </c>
      <c r="X1203" s="3">
        <f t="shared" si="236"/>
        <v>17</v>
      </c>
      <c r="Y1203" s="3" t="e">
        <f t="shared" si="238"/>
        <v>#DIV/0!</v>
      </c>
      <c r="Z1203" s="25"/>
      <c r="AA1203" s="25"/>
      <c r="AB1203" s="25">
        <v>60</v>
      </c>
      <c r="AC1203" s="25" t="s">
        <v>82</v>
      </c>
      <c r="AD1203" s="25" t="s">
        <v>83</v>
      </c>
      <c r="AE1203" s="25">
        <v>40</v>
      </c>
      <c r="AF1203" s="3" t="s">
        <v>143</v>
      </c>
      <c r="AG1203" s="28" t="s">
        <v>258</v>
      </c>
      <c r="AH1203" s="3"/>
    </row>
    <row r="1204" spans="1:34" ht="14.25" customHeight="1" x14ac:dyDescent="0.25">
      <c r="A1204" s="25" t="s">
        <v>96</v>
      </c>
      <c r="B1204" s="25" t="s">
        <v>79</v>
      </c>
      <c r="C1204" s="25"/>
      <c r="D1204" s="25" t="s">
        <v>80</v>
      </c>
      <c r="E1204" s="25">
        <v>1</v>
      </c>
      <c r="F1204" s="25">
        <v>1</v>
      </c>
      <c r="G1204" s="3" t="s">
        <v>22</v>
      </c>
      <c r="H1204" s="26">
        <v>45961</v>
      </c>
      <c r="I1204" s="25" t="s">
        <v>183</v>
      </c>
      <c r="J1204" s="25">
        <v>0</v>
      </c>
      <c r="K1204" s="25">
        <v>0</v>
      </c>
      <c r="L1204" s="25">
        <v>0</v>
      </c>
      <c r="M1204" s="25">
        <v>0</v>
      </c>
      <c r="N1204" s="25">
        <v>4.8</v>
      </c>
      <c r="O1204" s="25">
        <f t="shared" si="253"/>
        <v>4.8</v>
      </c>
      <c r="P1204" s="25">
        <v>5</v>
      </c>
      <c r="Q1204" s="25">
        <v>2</v>
      </c>
      <c r="R1204" s="25">
        <v>3</v>
      </c>
      <c r="S1204" s="25">
        <v>6</v>
      </c>
      <c r="T1204" s="25">
        <v>1</v>
      </c>
      <c r="U1204" s="25">
        <f t="shared" si="254"/>
        <v>17</v>
      </c>
      <c r="V1204" s="13">
        <f t="shared" si="235"/>
        <v>0.28235294117647058</v>
      </c>
      <c r="W1204" s="13">
        <f t="shared" si="237"/>
        <v>0.28235294117647058</v>
      </c>
      <c r="X1204" s="3">
        <f t="shared" si="236"/>
        <v>17</v>
      </c>
      <c r="Y1204" s="3" t="e">
        <f t="shared" si="238"/>
        <v>#DIV/0!</v>
      </c>
      <c r="Z1204" s="25"/>
      <c r="AA1204" s="25"/>
      <c r="AB1204" s="25">
        <v>60</v>
      </c>
      <c r="AC1204" s="25" t="s">
        <v>82</v>
      </c>
      <c r="AD1204" s="25" t="s">
        <v>83</v>
      </c>
      <c r="AE1204" s="25">
        <v>40</v>
      </c>
      <c r="AF1204" s="3" t="s">
        <v>143</v>
      </c>
      <c r="AG1204" s="28" t="s">
        <v>258</v>
      </c>
      <c r="AH1204" s="3"/>
    </row>
    <row r="1205" spans="1:34" ht="14.25" customHeight="1" x14ac:dyDescent="0.25">
      <c r="A1205" s="25" t="s">
        <v>145</v>
      </c>
      <c r="B1205" s="25" t="s">
        <v>79</v>
      </c>
      <c r="C1205" s="25"/>
      <c r="D1205" s="25" t="s">
        <v>186</v>
      </c>
      <c r="E1205" s="25">
        <v>1</v>
      </c>
      <c r="F1205" s="25">
        <v>1</v>
      </c>
      <c r="G1205" s="3" t="s">
        <v>3</v>
      </c>
      <c r="H1205" s="26">
        <v>45961</v>
      </c>
      <c r="I1205" s="25" t="s">
        <v>183</v>
      </c>
      <c r="J1205" s="25">
        <v>15.8</v>
      </c>
      <c r="K1205" s="25">
        <v>10.7</v>
      </c>
      <c r="L1205" s="25">
        <v>13.1</v>
      </c>
      <c r="M1205" s="25">
        <v>8.6999999999999993</v>
      </c>
      <c r="N1205" s="25">
        <v>0</v>
      </c>
      <c r="O1205" s="25">
        <f t="shared" si="253"/>
        <v>48.3</v>
      </c>
      <c r="P1205" s="25">
        <v>6</v>
      </c>
      <c r="Q1205" s="25">
        <v>5</v>
      </c>
      <c r="R1205" s="25">
        <v>4</v>
      </c>
      <c r="S1205" s="25">
        <v>5</v>
      </c>
      <c r="T1205" s="25">
        <v>1</v>
      </c>
      <c r="U1205" s="25">
        <f t="shared" si="254"/>
        <v>21</v>
      </c>
      <c r="V1205" s="27">
        <f t="shared" si="235"/>
        <v>2.2999999999999998</v>
      </c>
      <c r="W1205" s="13">
        <f t="shared" si="237"/>
        <v>2.2999999999999998</v>
      </c>
      <c r="X1205" s="25">
        <f t="shared" si="236"/>
        <v>21</v>
      </c>
      <c r="Y1205" s="3">
        <f t="shared" si="238"/>
        <v>6.8452380952380943E-3</v>
      </c>
      <c r="Z1205" s="25"/>
      <c r="AA1205" s="25">
        <f>10*2.4*14</f>
        <v>336</v>
      </c>
      <c r="AB1205" s="25"/>
      <c r="AC1205" s="25" t="s">
        <v>82</v>
      </c>
      <c r="AD1205" s="25" t="s">
        <v>83</v>
      </c>
      <c r="AE1205" s="25">
        <v>15</v>
      </c>
      <c r="AF1205" s="3" t="s">
        <v>143</v>
      </c>
      <c r="AG1205" s="25" t="s">
        <v>303</v>
      </c>
      <c r="AH1205" s="3"/>
    </row>
    <row r="1206" spans="1:34" ht="14.25" customHeight="1" x14ac:dyDescent="0.25">
      <c r="A1206" s="25" t="s">
        <v>145</v>
      </c>
      <c r="B1206" s="25" t="s">
        <v>79</v>
      </c>
      <c r="C1206" s="25"/>
      <c r="D1206" s="25" t="s">
        <v>186</v>
      </c>
      <c r="E1206" s="25">
        <v>1</v>
      </c>
      <c r="F1206" s="25">
        <v>1</v>
      </c>
      <c r="G1206" s="3" t="s">
        <v>10</v>
      </c>
      <c r="H1206" s="26">
        <v>45961</v>
      </c>
      <c r="I1206" s="25" t="s">
        <v>183</v>
      </c>
      <c r="J1206" s="25">
        <v>3</v>
      </c>
      <c r="K1206" s="25">
        <v>0</v>
      </c>
      <c r="L1206" s="25">
        <v>1.8</v>
      </c>
      <c r="M1206" s="25">
        <v>1.2</v>
      </c>
      <c r="N1206" s="25">
        <v>0</v>
      </c>
      <c r="O1206" s="25">
        <f t="shared" si="253"/>
        <v>6</v>
      </c>
      <c r="P1206" s="25">
        <v>6</v>
      </c>
      <c r="Q1206" s="25">
        <v>5</v>
      </c>
      <c r="R1206" s="25">
        <v>4</v>
      </c>
      <c r="S1206" s="25">
        <v>5</v>
      </c>
      <c r="T1206" s="25">
        <v>1</v>
      </c>
      <c r="U1206" s="25">
        <f t="shared" ref="U1206:U1211" si="255">SUM(P1206:T1206)</f>
        <v>21</v>
      </c>
      <c r="V1206" s="27">
        <f t="shared" si="235"/>
        <v>0.2857142857142857</v>
      </c>
      <c r="W1206" s="13">
        <f t="shared" si="237"/>
        <v>0.2857142857142857</v>
      </c>
      <c r="X1206" s="25">
        <f t="shared" si="236"/>
        <v>21</v>
      </c>
      <c r="Y1206" s="3">
        <f t="shared" si="238"/>
        <v>8.5034013605442174E-4</v>
      </c>
      <c r="Z1206" s="25"/>
      <c r="AA1206" s="25">
        <f t="shared" ref="AA1206:AA1210" si="256">10*2.4*14</f>
        <v>336</v>
      </c>
      <c r="AB1206" s="25"/>
      <c r="AC1206" s="25" t="s">
        <v>82</v>
      </c>
      <c r="AD1206" s="25" t="s">
        <v>83</v>
      </c>
      <c r="AE1206" s="25">
        <v>15</v>
      </c>
      <c r="AF1206" s="3" t="s">
        <v>143</v>
      </c>
      <c r="AG1206" s="25" t="s">
        <v>303</v>
      </c>
      <c r="AH1206" s="3"/>
    </row>
    <row r="1207" spans="1:34" ht="14.25" customHeight="1" x14ac:dyDescent="0.25">
      <c r="A1207" s="25" t="s">
        <v>145</v>
      </c>
      <c r="B1207" s="25" t="s">
        <v>79</v>
      </c>
      <c r="C1207" s="25"/>
      <c r="D1207" s="25" t="s">
        <v>186</v>
      </c>
      <c r="E1207" s="25">
        <v>1</v>
      </c>
      <c r="F1207" s="25">
        <v>1</v>
      </c>
      <c r="G1207" s="3" t="s">
        <v>9</v>
      </c>
      <c r="H1207" s="26">
        <v>45961</v>
      </c>
      <c r="I1207" s="25" t="s">
        <v>183</v>
      </c>
      <c r="J1207" s="25">
        <v>0</v>
      </c>
      <c r="K1207" s="25">
        <v>1.8</v>
      </c>
      <c r="L1207" s="25">
        <v>1.6</v>
      </c>
      <c r="M1207" s="25">
        <v>3</v>
      </c>
      <c r="N1207" s="25">
        <v>0</v>
      </c>
      <c r="O1207" s="25">
        <f t="shared" si="253"/>
        <v>6.4</v>
      </c>
      <c r="P1207" s="25">
        <v>6</v>
      </c>
      <c r="Q1207" s="25">
        <v>5</v>
      </c>
      <c r="R1207" s="25">
        <v>4</v>
      </c>
      <c r="S1207" s="25">
        <v>5</v>
      </c>
      <c r="T1207" s="25">
        <v>1</v>
      </c>
      <c r="U1207" s="25">
        <f t="shared" si="255"/>
        <v>21</v>
      </c>
      <c r="V1207" s="27">
        <f t="shared" si="235"/>
        <v>0.30476190476190479</v>
      </c>
      <c r="W1207" s="13">
        <f t="shared" si="237"/>
        <v>0.30476190476190479</v>
      </c>
      <c r="X1207" s="25">
        <f t="shared" si="236"/>
        <v>21</v>
      </c>
      <c r="Y1207" s="3">
        <f t="shared" si="238"/>
        <v>9.0702947845804993E-4</v>
      </c>
      <c r="Z1207" s="25"/>
      <c r="AA1207" s="25">
        <f t="shared" si="256"/>
        <v>336</v>
      </c>
      <c r="AB1207" s="25"/>
      <c r="AC1207" s="25" t="s">
        <v>82</v>
      </c>
      <c r="AD1207" s="25" t="s">
        <v>83</v>
      </c>
      <c r="AE1207" s="25">
        <v>15</v>
      </c>
      <c r="AF1207" s="3" t="s">
        <v>143</v>
      </c>
      <c r="AG1207" s="25" t="s">
        <v>303</v>
      </c>
      <c r="AH1207" s="3"/>
    </row>
    <row r="1208" spans="1:34" ht="14.25" customHeight="1" x14ac:dyDescent="0.25">
      <c r="A1208" s="25" t="s">
        <v>145</v>
      </c>
      <c r="B1208" s="25" t="s">
        <v>79</v>
      </c>
      <c r="C1208" s="25"/>
      <c r="D1208" s="25" t="s">
        <v>186</v>
      </c>
      <c r="E1208" s="25">
        <v>1</v>
      </c>
      <c r="F1208" s="25">
        <v>1</v>
      </c>
      <c r="G1208" s="3" t="s">
        <v>12</v>
      </c>
      <c r="H1208" s="26">
        <v>45961</v>
      </c>
      <c r="I1208" s="25" t="s">
        <v>183</v>
      </c>
      <c r="J1208" s="25">
        <v>0</v>
      </c>
      <c r="K1208" s="25">
        <v>4</v>
      </c>
      <c r="L1208" s="25">
        <v>1.1000000000000001</v>
      </c>
      <c r="M1208" s="25">
        <v>0.8</v>
      </c>
      <c r="N1208" s="25">
        <v>0</v>
      </c>
      <c r="O1208" s="25">
        <f t="shared" si="253"/>
        <v>5.8999999999999995</v>
      </c>
      <c r="P1208" s="25">
        <v>6</v>
      </c>
      <c r="Q1208" s="25">
        <v>5</v>
      </c>
      <c r="R1208" s="25">
        <v>4</v>
      </c>
      <c r="S1208" s="25">
        <v>5</v>
      </c>
      <c r="T1208" s="25">
        <v>1</v>
      </c>
      <c r="U1208" s="25">
        <f t="shared" si="255"/>
        <v>21</v>
      </c>
      <c r="V1208" s="27">
        <f t="shared" si="235"/>
        <v>0.28095238095238095</v>
      </c>
      <c r="W1208" s="13">
        <f t="shared" si="237"/>
        <v>0.28095238095238095</v>
      </c>
      <c r="X1208" s="25">
        <f t="shared" si="236"/>
        <v>21</v>
      </c>
      <c r="Y1208" s="3">
        <f t="shared" si="238"/>
        <v>8.3616780045351474E-4</v>
      </c>
      <c r="Z1208" s="25"/>
      <c r="AA1208" s="25">
        <f t="shared" si="256"/>
        <v>336</v>
      </c>
      <c r="AB1208" s="25"/>
      <c r="AC1208" s="25" t="s">
        <v>82</v>
      </c>
      <c r="AD1208" s="25" t="s">
        <v>83</v>
      </c>
      <c r="AE1208" s="25">
        <v>15</v>
      </c>
      <c r="AF1208" s="3" t="s">
        <v>143</v>
      </c>
      <c r="AG1208" s="25" t="s">
        <v>303</v>
      </c>
      <c r="AH1208" s="3"/>
    </row>
    <row r="1209" spans="1:34" ht="14.25" customHeight="1" x14ac:dyDescent="0.25">
      <c r="A1209" s="25" t="s">
        <v>145</v>
      </c>
      <c r="B1209" s="25" t="s">
        <v>79</v>
      </c>
      <c r="C1209" s="25"/>
      <c r="D1209" s="25" t="s">
        <v>186</v>
      </c>
      <c r="E1209" s="25">
        <v>1</v>
      </c>
      <c r="F1209" s="25">
        <v>1</v>
      </c>
      <c r="G1209" s="3" t="s">
        <v>14</v>
      </c>
      <c r="H1209" s="26">
        <v>45961</v>
      </c>
      <c r="I1209" s="25" t="s">
        <v>183</v>
      </c>
      <c r="J1209" s="25">
        <v>2</v>
      </c>
      <c r="K1209" s="25">
        <v>0</v>
      </c>
      <c r="L1209" s="25">
        <v>3</v>
      </c>
      <c r="M1209" s="25">
        <v>0</v>
      </c>
      <c r="N1209" s="25">
        <v>0</v>
      </c>
      <c r="O1209" s="25">
        <f t="shared" si="253"/>
        <v>5</v>
      </c>
      <c r="P1209" s="25">
        <v>6</v>
      </c>
      <c r="Q1209" s="25">
        <v>5</v>
      </c>
      <c r="R1209" s="25">
        <v>4</v>
      </c>
      <c r="S1209" s="25">
        <v>5</v>
      </c>
      <c r="T1209" s="25">
        <v>1</v>
      </c>
      <c r="U1209" s="25">
        <f t="shared" si="255"/>
        <v>21</v>
      </c>
      <c r="V1209" s="27">
        <f t="shared" si="235"/>
        <v>0.23809523809523808</v>
      </c>
      <c r="W1209" s="13">
        <f t="shared" si="237"/>
        <v>0.23809523809523808</v>
      </c>
      <c r="X1209" s="25">
        <f t="shared" si="236"/>
        <v>21</v>
      </c>
      <c r="Y1209" s="3">
        <f t="shared" si="238"/>
        <v>7.0861678004535147E-4</v>
      </c>
      <c r="Z1209" s="25"/>
      <c r="AA1209" s="25">
        <f t="shared" si="256"/>
        <v>336</v>
      </c>
      <c r="AB1209" s="25"/>
      <c r="AC1209" s="25" t="s">
        <v>82</v>
      </c>
      <c r="AD1209" s="25" t="s">
        <v>83</v>
      </c>
      <c r="AE1209" s="25">
        <v>15</v>
      </c>
      <c r="AF1209" s="3" t="s">
        <v>143</v>
      </c>
      <c r="AG1209" s="25" t="s">
        <v>303</v>
      </c>
      <c r="AH1209" s="3"/>
    </row>
    <row r="1210" spans="1:34" ht="14.25" customHeight="1" x14ac:dyDescent="0.25">
      <c r="A1210" s="25" t="s">
        <v>145</v>
      </c>
      <c r="B1210" s="25" t="s">
        <v>79</v>
      </c>
      <c r="C1210" s="25"/>
      <c r="D1210" s="25" t="s">
        <v>186</v>
      </c>
      <c r="E1210" s="25">
        <v>1</v>
      </c>
      <c r="F1210" s="25">
        <v>1</v>
      </c>
      <c r="G1210" s="3" t="s">
        <v>24</v>
      </c>
      <c r="H1210" s="26">
        <v>45961</v>
      </c>
      <c r="I1210" s="25" t="s">
        <v>183</v>
      </c>
      <c r="J1210" s="25">
        <v>1.2</v>
      </c>
      <c r="K1210" s="25">
        <v>0</v>
      </c>
      <c r="L1210" s="25">
        <v>0</v>
      </c>
      <c r="M1210" s="25">
        <v>0</v>
      </c>
      <c r="N1210" s="25">
        <v>1</v>
      </c>
      <c r="O1210" s="25">
        <f t="shared" si="253"/>
        <v>2.2000000000000002</v>
      </c>
      <c r="P1210" s="25">
        <v>6</v>
      </c>
      <c r="Q1210" s="25">
        <v>5</v>
      </c>
      <c r="R1210" s="25">
        <v>4</v>
      </c>
      <c r="S1210" s="25">
        <v>5</v>
      </c>
      <c r="T1210" s="25">
        <v>1</v>
      </c>
      <c r="U1210" s="25">
        <f t="shared" si="255"/>
        <v>21</v>
      </c>
      <c r="V1210" s="27">
        <f t="shared" si="235"/>
        <v>0.10476190476190476</v>
      </c>
      <c r="W1210" s="13">
        <f t="shared" si="237"/>
        <v>0.10476190476190476</v>
      </c>
      <c r="X1210" s="25">
        <f t="shared" si="236"/>
        <v>21</v>
      </c>
      <c r="Y1210" s="3">
        <f t="shared" si="238"/>
        <v>3.1179138321995464E-4</v>
      </c>
      <c r="Z1210" s="25"/>
      <c r="AA1210" s="25">
        <f t="shared" si="256"/>
        <v>336</v>
      </c>
      <c r="AB1210" s="25"/>
      <c r="AC1210" s="25" t="s">
        <v>82</v>
      </c>
      <c r="AD1210" s="25" t="s">
        <v>83</v>
      </c>
      <c r="AE1210" s="25">
        <v>15</v>
      </c>
      <c r="AF1210" s="3" t="s">
        <v>143</v>
      </c>
      <c r="AG1210" s="25" t="s">
        <v>303</v>
      </c>
      <c r="AH1210" s="3"/>
    </row>
    <row r="1211" spans="1:34" ht="14.25" customHeight="1" x14ac:dyDescent="0.25">
      <c r="A1211" s="25" t="s">
        <v>90</v>
      </c>
      <c r="B1211" s="25" t="s">
        <v>79</v>
      </c>
      <c r="C1211" s="25"/>
      <c r="D1211" s="25" t="s">
        <v>80</v>
      </c>
      <c r="E1211" s="25">
        <v>2</v>
      </c>
      <c r="F1211" s="25">
        <v>1</v>
      </c>
      <c r="G1211" s="3" t="s">
        <v>2</v>
      </c>
      <c r="H1211" s="26">
        <v>45961</v>
      </c>
      <c r="I1211" s="25" t="s">
        <v>183</v>
      </c>
      <c r="J1211" s="25">
        <f>6.8+3.9</f>
        <v>10.7</v>
      </c>
      <c r="K1211" s="25">
        <v>0</v>
      </c>
      <c r="L1211" s="25">
        <v>14.2</v>
      </c>
      <c r="M1211" s="25">
        <f>16+14.6+19+4+5.8</f>
        <v>59.4</v>
      </c>
      <c r="N1211" s="25">
        <v>39</v>
      </c>
      <c r="O1211" s="25">
        <f t="shared" si="253"/>
        <v>123.3</v>
      </c>
      <c r="P1211" s="25">
        <v>3</v>
      </c>
      <c r="Q1211" s="25">
        <v>0</v>
      </c>
      <c r="R1211" s="25">
        <v>6</v>
      </c>
      <c r="S1211" s="25">
        <v>5</v>
      </c>
      <c r="T1211" s="25">
        <v>3</v>
      </c>
      <c r="U1211" s="25">
        <f t="shared" si="255"/>
        <v>17</v>
      </c>
      <c r="V1211" s="27">
        <f t="shared" si="235"/>
        <v>7.2529411764705882</v>
      </c>
      <c r="W1211" s="13">
        <f t="shared" si="237"/>
        <v>7.2529411764705882</v>
      </c>
      <c r="X1211" s="25">
        <f t="shared" si="236"/>
        <v>17</v>
      </c>
      <c r="Y1211" s="3" t="e">
        <f t="shared" si="238"/>
        <v>#DIV/0!</v>
      </c>
      <c r="Z1211" s="25"/>
      <c r="AA1211" s="25"/>
      <c r="AB1211" s="25">
        <v>60</v>
      </c>
      <c r="AC1211" s="25" t="s">
        <v>82</v>
      </c>
      <c r="AD1211" s="25" t="s">
        <v>83</v>
      </c>
      <c r="AE1211" s="25">
        <v>15</v>
      </c>
      <c r="AF1211" s="3" t="s">
        <v>143</v>
      </c>
      <c r="AG1211" s="28" t="s">
        <v>255</v>
      </c>
      <c r="AH1211" s="3"/>
    </row>
    <row r="1212" spans="1:34" ht="14.25" customHeight="1" x14ac:dyDescent="0.25">
      <c r="A1212" s="25" t="s">
        <v>90</v>
      </c>
      <c r="B1212" s="25" t="s">
        <v>79</v>
      </c>
      <c r="C1212" s="25"/>
      <c r="D1212" s="25" t="s">
        <v>80</v>
      </c>
      <c r="E1212" s="25">
        <v>2</v>
      </c>
      <c r="F1212" s="25">
        <v>1</v>
      </c>
      <c r="G1212" s="3" t="s">
        <v>25</v>
      </c>
      <c r="H1212" s="26">
        <v>45961</v>
      </c>
      <c r="I1212" s="25" t="s">
        <v>183</v>
      </c>
      <c r="J1212" s="25">
        <v>9.6</v>
      </c>
      <c r="K1212" s="25">
        <v>0</v>
      </c>
      <c r="L1212" s="25">
        <f>12+32+36+18+14</f>
        <v>112</v>
      </c>
      <c r="M1212" s="25">
        <f>48+16+11+18+12</f>
        <v>105</v>
      </c>
      <c r="N1212" s="25">
        <v>28.6</v>
      </c>
      <c r="O1212" s="25">
        <f t="shared" si="253"/>
        <v>255.2</v>
      </c>
      <c r="P1212" s="25">
        <v>3</v>
      </c>
      <c r="Q1212" s="25">
        <v>0</v>
      </c>
      <c r="R1212" s="25">
        <v>6</v>
      </c>
      <c r="S1212" s="25">
        <v>5</v>
      </c>
      <c r="T1212" s="25">
        <v>3</v>
      </c>
      <c r="U1212" s="25">
        <f t="shared" ref="U1212:U1214" si="257">SUM(P1212:T1212)</f>
        <v>17</v>
      </c>
      <c r="V1212" s="27">
        <f t="shared" si="235"/>
        <v>15.011764705882353</v>
      </c>
      <c r="W1212" s="13">
        <f t="shared" si="237"/>
        <v>15.011764705882353</v>
      </c>
      <c r="X1212" s="25">
        <f t="shared" si="236"/>
        <v>17</v>
      </c>
      <c r="Y1212" s="3" t="e">
        <f t="shared" si="238"/>
        <v>#DIV/0!</v>
      </c>
      <c r="Z1212" s="25"/>
      <c r="AA1212" s="25"/>
      <c r="AB1212" s="25">
        <v>60</v>
      </c>
      <c r="AC1212" s="25" t="s">
        <v>82</v>
      </c>
      <c r="AD1212" s="25" t="s">
        <v>83</v>
      </c>
      <c r="AE1212" s="25">
        <v>15</v>
      </c>
      <c r="AF1212" s="3" t="s">
        <v>143</v>
      </c>
      <c r="AG1212" s="28" t="s">
        <v>255</v>
      </c>
      <c r="AH1212" s="3"/>
    </row>
    <row r="1213" spans="1:34" ht="14.25" customHeight="1" x14ac:dyDescent="0.25">
      <c r="A1213" s="25" t="s">
        <v>90</v>
      </c>
      <c r="B1213" s="25" t="s">
        <v>79</v>
      </c>
      <c r="C1213" s="25"/>
      <c r="D1213" s="25" t="s">
        <v>80</v>
      </c>
      <c r="E1213" s="25">
        <v>2</v>
      </c>
      <c r="F1213" s="25">
        <v>1</v>
      </c>
      <c r="G1213" s="3" t="s">
        <v>15</v>
      </c>
      <c r="H1213" s="26">
        <v>45961</v>
      </c>
      <c r="I1213" s="25" t="s">
        <v>183</v>
      </c>
      <c r="J1213" s="25">
        <v>0</v>
      </c>
      <c r="K1213" s="25">
        <v>0</v>
      </c>
      <c r="L1213" s="25">
        <v>14</v>
      </c>
      <c r="M1213" s="25">
        <v>0</v>
      </c>
      <c r="N1213" s="25">
        <v>0</v>
      </c>
      <c r="O1213" s="25">
        <f t="shared" si="253"/>
        <v>14</v>
      </c>
      <c r="P1213" s="25">
        <v>3</v>
      </c>
      <c r="Q1213" s="25">
        <v>0</v>
      </c>
      <c r="R1213" s="25">
        <v>6</v>
      </c>
      <c r="S1213" s="25">
        <v>5</v>
      </c>
      <c r="T1213" s="25">
        <v>3</v>
      </c>
      <c r="U1213" s="25">
        <f t="shared" si="257"/>
        <v>17</v>
      </c>
      <c r="V1213" s="27">
        <f t="shared" si="235"/>
        <v>0.82352941176470584</v>
      </c>
      <c r="W1213" s="13">
        <f t="shared" si="237"/>
        <v>0.82352941176470584</v>
      </c>
      <c r="X1213" s="25">
        <f t="shared" si="236"/>
        <v>17</v>
      </c>
      <c r="Y1213" s="3" t="e">
        <f t="shared" si="238"/>
        <v>#DIV/0!</v>
      </c>
      <c r="Z1213" s="25"/>
      <c r="AA1213" s="25"/>
      <c r="AB1213" s="25">
        <v>60</v>
      </c>
      <c r="AC1213" s="25" t="s">
        <v>82</v>
      </c>
      <c r="AD1213" s="25" t="s">
        <v>83</v>
      </c>
      <c r="AE1213" s="25">
        <v>15</v>
      </c>
      <c r="AF1213" s="3" t="s">
        <v>143</v>
      </c>
      <c r="AG1213" s="28" t="s">
        <v>255</v>
      </c>
      <c r="AH1213" s="3"/>
    </row>
    <row r="1214" spans="1:34" ht="14.25" customHeight="1" x14ac:dyDescent="0.25">
      <c r="A1214" s="25" t="s">
        <v>160</v>
      </c>
      <c r="B1214" s="25" t="s">
        <v>79</v>
      </c>
      <c r="C1214" s="25"/>
      <c r="D1214" s="25" t="s">
        <v>117</v>
      </c>
      <c r="E1214" s="25">
        <v>2</v>
      </c>
      <c r="F1214" s="25">
        <v>1</v>
      </c>
      <c r="G1214" s="3" t="s">
        <v>1</v>
      </c>
      <c r="H1214" s="26">
        <v>45961</v>
      </c>
      <c r="I1214" s="25" t="s">
        <v>183</v>
      </c>
      <c r="J1214" s="25">
        <v>13.9</v>
      </c>
      <c r="K1214" s="25">
        <v>23</v>
      </c>
      <c r="L1214" s="25">
        <v>6</v>
      </c>
      <c r="M1214" s="25">
        <v>22.3</v>
      </c>
      <c r="N1214" s="25">
        <v>6.8</v>
      </c>
      <c r="O1214" s="25">
        <f t="shared" si="253"/>
        <v>72</v>
      </c>
      <c r="P1214" s="25">
        <v>5</v>
      </c>
      <c r="Q1214" s="25">
        <v>4</v>
      </c>
      <c r="R1214" s="25">
        <v>4</v>
      </c>
      <c r="S1214" s="25">
        <v>7</v>
      </c>
      <c r="T1214" s="25">
        <v>3</v>
      </c>
      <c r="U1214" s="25">
        <f t="shared" si="257"/>
        <v>23</v>
      </c>
      <c r="V1214" s="27">
        <f t="shared" si="235"/>
        <v>3.1304347826086958</v>
      </c>
      <c r="W1214" s="13">
        <f t="shared" si="237"/>
        <v>3.1304347826086958</v>
      </c>
      <c r="X1214" s="25">
        <f t="shared" si="236"/>
        <v>23</v>
      </c>
      <c r="Y1214" s="3">
        <f t="shared" si="238"/>
        <v>6.688963210702341E-3</v>
      </c>
      <c r="Z1214" s="25"/>
      <c r="AA1214" s="25">
        <f>60*2.6*3</f>
        <v>468</v>
      </c>
      <c r="AB1214" s="25">
        <v>111</v>
      </c>
      <c r="AC1214" s="25" t="s">
        <v>82</v>
      </c>
      <c r="AD1214" s="25" t="s">
        <v>83</v>
      </c>
      <c r="AE1214" s="25">
        <v>15</v>
      </c>
      <c r="AF1214" s="3" t="s">
        <v>143</v>
      </c>
      <c r="AG1214" s="28" t="s">
        <v>342</v>
      </c>
      <c r="AH1214" s="3"/>
    </row>
    <row r="1215" spans="1:34" ht="14.25" customHeight="1" x14ac:dyDescent="0.25">
      <c r="A1215" s="25" t="s">
        <v>160</v>
      </c>
      <c r="B1215" s="25" t="s">
        <v>79</v>
      </c>
      <c r="C1215" s="25"/>
      <c r="D1215" s="25" t="s">
        <v>117</v>
      </c>
      <c r="E1215" s="25">
        <v>2</v>
      </c>
      <c r="F1215" s="25">
        <v>1</v>
      </c>
      <c r="G1215" s="3" t="s">
        <v>3</v>
      </c>
      <c r="H1215" s="26">
        <v>45961</v>
      </c>
      <c r="I1215" s="25" t="s">
        <v>183</v>
      </c>
      <c r="J1215" s="25">
        <v>28.8</v>
      </c>
      <c r="K1215" s="25">
        <v>14</v>
      </c>
      <c r="L1215" s="25">
        <v>28.2</v>
      </c>
      <c r="M1215" s="25">
        <v>31.3</v>
      </c>
      <c r="N1215" s="25">
        <v>33</v>
      </c>
      <c r="O1215" s="25">
        <f t="shared" si="253"/>
        <v>135.30000000000001</v>
      </c>
      <c r="P1215" s="25">
        <v>5</v>
      </c>
      <c r="Q1215" s="25">
        <v>4</v>
      </c>
      <c r="R1215" s="25">
        <v>4</v>
      </c>
      <c r="S1215" s="25">
        <v>7</v>
      </c>
      <c r="T1215" s="25">
        <v>3</v>
      </c>
      <c r="U1215" s="25">
        <f t="shared" ref="U1215:U1221" si="258">SUM(P1215:T1215)</f>
        <v>23</v>
      </c>
      <c r="V1215" s="27">
        <f t="shared" ref="V1215:V1251" si="259">O1215/U1215/F1215</f>
        <v>5.8826086956521744</v>
      </c>
      <c r="W1215" s="13">
        <f t="shared" si="237"/>
        <v>5.8826086956521744</v>
      </c>
      <c r="X1215" s="25">
        <f t="shared" ref="X1215:X1251" si="260">F1215*U1215</f>
        <v>23</v>
      </c>
      <c r="Y1215" s="3">
        <f t="shared" si="238"/>
        <v>1.2569676700111485E-2</v>
      </c>
      <c r="Z1215" s="25"/>
      <c r="AA1215" s="25">
        <f t="shared" ref="AA1215:AA1218" si="261">60*2.6*3</f>
        <v>468</v>
      </c>
      <c r="AB1215" s="25">
        <v>111</v>
      </c>
      <c r="AC1215" s="25" t="s">
        <v>82</v>
      </c>
      <c r="AD1215" s="25" t="s">
        <v>83</v>
      </c>
      <c r="AE1215" s="25">
        <v>15</v>
      </c>
      <c r="AF1215" s="3" t="s">
        <v>143</v>
      </c>
      <c r="AG1215" s="28" t="s">
        <v>342</v>
      </c>
      <c r="AH1215" s="3"/>
    </row>
    <row r="1216" spans="1:34" ht="14.25" customHeight="1" x14ac:dyDescent="0.25">
      <c r="A1216" s="25" t="s">
        <v>160</v>
      </c>
      <c r="B1216" s="25" t="s">
        <v>79</v>
      </c>
      <c r="C1216" s="25"/>
      <c r="D1216" s="25" t="s">
        <v>117</v>
      </c>
      <c r="E1216" s="25">
        <v>2</v>
      </c>
      <c r="F1216" s="25">
        <v>1</v>
      </c>
      <c r="G1216" s="3" t="s">
        <v>2</v>
      </c>
      <c r="H1216" s="26">
        <v>45961</v>
      </c>
      <c r="I1216" s="25" t="s">
        <v>183</v>
      </c>
      <c r="J1216" s="25">
        <v>0</v>
      </c>
      <c r="K1216" s="25">
        <v>16.600000000000001</v>
      </c>
      <c r="L1216" s="25">
        <v>21.5</v>
      </c>
      <c r="M1216" s="25">
        <v>25.3</v>
      </c>
      <c r="N1216" s="25">
        <v>7</v>
      </c>
      <c r="O1216" s="25">
        <f t="shared" si="253"/>
        <v>70.400000000000006</v>
      </c>
      <c r="P1216" s="25">
        <v>5</v>
      </c>
      <c r="Q1216" s="25">
        <v>4</v>
      </c>
      <c r="R1216" s="25">
        <v>4</v>
      </c>
      <c r="S1216" s="25">
        <v>7</v>
      </c>
      <c r="T1216" s="25">
        <v>3</v>
      </c>
      <c r="U1216" s="25">
        <f t="shared" si="258"/>
        <v>23</v>
      </c>
      <c r="V1216" s="27">
        <f t="shared" si="259"/>
        <v>3.0608695652173914</v>
      </c>
      <c r="W1216" s="13">
        <f t="shared" si="237"/>
        <v>3.0608695652173914</v>
      </c>
      <c r="X1216" s="25">
        <f t="shared" si="260"/>
        <v>23</v>
      </c>
      <c r="Y1216" s="3">
        <f t="shared" si="238"/>
        <v>6.5403195837978444E-3</v>
      </c>
      <c r="Z1216" s="25"/>
      <c r="AA1216" s="25">
        <f t="shared" si="261"/>
        <v>468</v>
      </c>
      <c r="AB1216" s="25">
        <v>111</v>
      </c>
      <c r="AC1216" s="25" t="s">
        <v>82</v>
      </c>
      <c r="AD1216" s="25" t="s">
        <v>83</v>
      </c>
      <c r="AE1216" s="25">
        <v>15</v>
      </c>
      <c r="AF1216" s="3" t="s">
        <v>143</v>
      </c>
      <c r="AG1216" s="28" t="s">
        <v>342</v>
      </c>
      <c r="AH1216" s="3"/>
    </row>
    <row r="1217" spans="1:34" ht="14.25" customHeight="1" x14ac:dyDescent="0.25">
      <c r="A1217" s="25" t="s">
        <v>160</v>
      </c>
      <c r="B1217" s="25" t="s">
        <v>79</v>
      </c>
      <c r="C1217" s="25"/>
      <c r="D1217" s="25" t="s">
        <v>117</v>
      </c>
      <c r="E1217" s="25">
        <v>2</v>
      </c>
      <c r="F1217" s="25">
        <v>1</v>
      </c>
      <c r="G1217" s="3" t="s">
        <v>14</v>
      </c>
      <c r="H1217" s="26">
        <v>45961</v>
      </c>
      <c r="I1217" s="25" t="s">
        <v>183</v>
      </c>
      <c r="J1217" s="25">
        <v>6</v>
      </c>
      <c r="K1217" s="25">
        <v>0</v>
      </c>
      <c r="L1217" s="25">
        <v>0</v>
      </c>
      <c r="M1217" s="25">
        <v>7.2</v>
      </c>
      <c r="N1217" s="25">
        <v>2.8</v>
      </c>
      <c r="O1217" s="25">
        <f t="shared" si="253"/>
        <v>16</v>
      </c>
      <c r="P1217" s="25">
        <v>5</v>
      </c>
      <c r="Q1217" s="25">
        <v>4</v>
      </c>
      <c r="R1217" s="25">
        <v>4</v>
      </c>
      <c r="S1217" s="25">
        <v>7</v>
      </c>
      <c r="T1217" s="25">
        <v>3</v>
      </c>
      <c r="U1217" s="25">
        <f t="shared" si="258"/>
        <v>23</v>
      </c>
      <c r="V1217" s="27">
        <f t="shared" si="259"/>
        <v>0.69565217391304346</v>
      </c>
      <c r="W1217" s="13">
        <f t="shared" si="237"/>
        <v>0.69565217391304346</v>
      </c>
      <c r="X1217" s="25">
        <f t="shared" si="260"/>
        <v>23</v>
      </c>
      <c r="Y1217" s="3">
        <f t="shared" si="238"/>
        <v>1.4864362690449647E-3</v>
      </c>
      <c r="Z1217" s="25"/>
      <c r="AA1217" s="25">
        <f t="shared" si="261"/>
        <v>468</v>
      </c>
      <c r="AB1217" s="25">
        <v>111</v>
      </c>
      <c r="AC1217" s="25" t="s">
        <v>82</v>
      </c>
      <c r="AD1217" s="25" t="s">
        <v>83</v>
      </c>
      <c r="AE1217" s="25">
        <v>15</v>
      </c>
      <c r="AF1217" s="3" t="s">
        <v>143</v>
      </c>
      <c r="AG1217" s="28" t="s">
        <v>342</v>
      </c>
      <c r="AH1217" s="3"/>
    </row>
    <row r="1218" spans="1:34" ht="14.25" customHeight="1" x14ac:dyDescent="0.25">
      <c r="A1218" s="25" t="s">
        <v>160</v>
      </c>
      <c r="B1218" s="25" t="s">
        <v>79</v>
      </c>
      <c r="C1218" s="25"/>
      <c r="D1218" s="25" t="s">
        <v>117</v>
      </c>
      <c r="E1218" s="25">
        <v>2</v>
      </c>
      <c r="F1218" s="25">
        <v>1</v>
      </c>
      <c r="G1218" s="3" t="s">
        <v>16</v>
      </c>
      <c r="H1218" s="26">
        <v>45961</v>
      </c>
      <c r="I1218" s="25" t="s">
        <v>183</v>
      </c>
      <c r="J1218" s="25">
        <v>0</v>
      </c>
      <c r="K1218" s="25">
        <v>0</v>
      </c>
      <c r="L1218" s="25">
        <v>0</v>
      </c>
      <c r="M1218" s="25">
        <v>3.8</v>
      </c>
      <c r="N1218" s="25">
        <v>0</v>
      </c>
      <c r="O1218" s="25">
        <f t="shared" si="253"/>
        <v>3.8</v>
      </c>
      <c r="P1218" s="25">
        <v>5</v>
      </c>
      <c r="Q1218" s="25">
        <v>4</v>
      </c>
      <c r="R1218" s="25">
        <v>4</v>
      </c>
      <c r="S1218" s="25">
        <v>7</v>
      </c>
      <c r="T1218" s="25">
        <v>3</v>
      </c>
      <c r="U1218" s="25">
        <f t="shared" si="258"/>
        <v>23</v>
      </c>
      <c r="V1218" s="27">
        <f t="shared" si="259"/>
        <v>0.16521739130434782</v>
      </c>
      <c r="W1218" s="13">
        <f t="shared" si="237"/>
        <v>0.16521739130434782</v>
      </c>
      <c r="X1218" s="25">
        <f t="shared" si="260"/>
        <v>23</v>
      </c>
      <c r="Y1218" s="3">
        <f t="shared" si="238"/>
        <v>3.5302861389817911E-4</v>
      </c>
      <c r="Z1218" s="25"/>
      <c r="AA1218" s="25">
        <f t="shared" si="261"/>
        <v>468</v>
      </c>
      <c r="AB1218" s="25">
        <v>111</v>
      </c>
      <c r="AC1218" s="25" t="s">
        <v>82</v>
      </c>
      <c r="AD1218" s="25" t="s">
        <v>83</v>
      </c>
      <c r="AE1218" s="25">
        <v>15</v>
      </c>
      <c r="AF1218" s="3" t="s">
        <v>143</v>
      </c>
      <c r="AG1218" s="28" t="s">
        <v>342</v>
      </c>
      <c r="AH1218" s="3"/>
    </row>
    <row r="1219" spans="1:34" ht="14.25" customHeight="1" x14ac:dyDescent="0.25">
      <c r="A1219" s="25" t="s">
        <v>93</v>
      </c>
      <c r="B1219" s="25" t="s">
        <v>79</v>
      </c>
      <c r="C1219" s="25"/>
      <c r="D1219" s="25" t="s">
        <v>80</v>
      </c>
      <c r="E1219" s="25">
        <v>1</v>
      </c>
      <c r="F1219" s="25">
        <v>1</v>
      </c>
      <c r="G1219" s="25" t="s">
        <v>2</v>
      </c>
      <c r="H1219" s="26">
        <v>45961</v>
      </c>
      <c r="I1219" s="25" t="s">
        <v>183</v>
      </c>
      <c r="J1219" s="25">
        <v>65</v>
      </c>
      <c r="K1219" s="25">
        <v>44</v>
      </c>
      <c r="L1219" s="25">
        <v>40.5</v>
      </c>
      <c r="M1219" s="25">
        <v>73.099999999999994</v>
      </c>
      <c r="N1219" s="25">
        <v>37.1</v>
      </c>
      <c r="O1219" s="25">
        <f t="shared" si="253"/>
        <v>259.7</v>
      </c>
      <c r="P1219" s="25">
        <v>4</v>
      </c>
      <c r="Q1219" s="25">
        <v>4</v>
      </c>
      <c r="R1219" s="25">
        <v>4</v>
      </c>
      <c r="S1219" s="25">
        <v>7</v>
      </c>
      <c r="T1219" s="25">
        <v>3</v>
      </c>
      <c r="U1219" s="25">
        <f t="shared" si="258"/>
        <v>22</v>
      </c>
      <c r="V1219" s="27">
        <f t="shared" si="259"/>
        <v>11.804545454545455</v>
      </c>
      <c r="W1219" s="13">
        <f t="shared" ref="W1219:W1282" si="262">O1219/U1219/F1219</f>
        <v>11.804545454545455</v>
      </c>
      <c r="X1219" s="25">
        <f t="shared" si="260"/>
        <v>22</v>
      </c>
      <c r="Y1219" s="3" t="e">
        <f t="shared" ref="Y1219:Y1282" si="263">O1219/U1219/AA1219</f>
        <v>#DIV/0!</v>
      </c>
      <c r="Z1219" s="25"/>
      <c r="AA1219" s="25"/>
      <c r="AB1219" s="25">
        <v>90</v>
      </c>
      <c r="AC1219" s="25" t="s">
        <v>82</v>
      </c>
      <c r="AD1219" s="25" t="s">
        <v>83</v>
      </c>
      <c r="AE1219" s="25">
        <v>50</v>
      </c>
      <c r="AF1219" s="3" t="s">
        <v>143</v>
      </c>
      <c r="AG1219" s="28" t="s">
        <v>271</v>
      </c>
      <c r="AH1219" s="3"/>
    </row>
    <row r="1220" spans="1:34" ht="14.25" customHeight="1" x14ac:dyDescent="0.25">
      <c r="A1220" s="25" t="s">
        <v>93</v>
      </c>
      <c r="B1220" s="25" t="s">
        <v>79</v>
      </c>
      <c r="C1220" s="25"/>
      <c r="D1220" s="25" t="s">
        <v>80</v>
      </c>
      <c r="E1220" s="25">
        <v>1</v>
      </c>
      <c r="F1220" s="25">
        <v>1</v>
      </c>
      <c r="G1220" s="25" t="s">
        <v>25</v>
      </c>
      <c r="H1220" s="26">
        <v>45961</v>
      </c>
      <c r="I1220" s="25" t="s">
        <v>183</v>
      </c>
      <c r="J1220" s="25">
        <v>20</v>
      </c>
      <c r="K1220" s="25">
        <v>53</v>
      </c>
      <c r="L1220" s="25">
        <v>34</v>
      </c>
      <c r="M1220" s="25">
        <v>76</v>
      </c>
      <c r="N1220" s="25">
        <v>17.5</v>
      </c>
      <c r="O1220" s="25">
        <f t="shared" si="253"/>
        <v>200.5</v>
      </c>
      <c r="P1220" s="25">
        <v>4</v>
      </c>
      <c r="Q1220" s="25">
        <v>4</v>
      </c>
      <c r="R1220" s="25">
        <v>4</v>
      </c>
      <c r="S1220" s="25">
        <v>7</v>
      </c>
      <c r="T1220" s="25">
        <v>3</v>
      </c>
      <c r="U1220" s="25">
        <f t="shared" si="258"/>
        <v>22</v>
      </c>
      <c r="V1220" s="27">
        <f t="shared" si="259"/>
        <v>9.1136363636363633</v>
      </c>
      <c r="W1220" s="13">
        <f t="shared" si="262"/>
        <v>9.1136363636363633</v>
      </c>
      <c r="X1220" s="25">
        <f t="shared" si="260"/>
        <v>22</v>
      </c>
      <c r="Y1220" s="3" t="e">
        <f t="shared" si="263"/>
        <v>#DIV/0!</v>
      </c>
      <c r="Z1220" s="25"/>
      <c r="AA1220" s="25"/>
      <c r="AB1220" s="25">
        <v>90</v>
      </c>
      <c r="AC1220" s="25" t="s">
        <v>82</v>
      </c>
      <c r="AD1220" s="25" t="s">
        <v>83</v>
      </c>
      <c r="AE1220" s="25">
        <v>50</v>
      </c>
      <c r="AF1220" s="3" t="s">
        <v>143</v>
      </c>
      <c r="AG1220" s="28" t="s">
        <v>271</v>
      </c>
      <c r="AH1220" s="3"/>
    </row>
    <row r="1221" spans="1:34" ht="14.25" customHeight="1" x14ac:dyDescent="0.25">
      <c r="A1221" s="25" t="s">
        <v>148</v>
      </c>
      <c r="B1221" s="25" t="s">
        <v>79</v>
      </c>
      <c r="C1221" s="25"/>
      <c r="D1221" s="25" t="s">
        <v>186</v>
      </c>
      <c r="E1221" s="25">
        <v>2</v>
      </c>
      <c r="F1221" s="25">
        <v>1</v>
      </c>
      <c r="G1221" s="3" t="s">
        <v>3</v>
      </c>
      <c r="H1221" s="26">
        <v>45961</v>
      </c>
      <c r="I1221" s="25" t="s">
        <v>183</v>
      </c>
      <c r="J1221" s="25">
        <v>3</v>
      </c>
      <c r="K1221" s="25">
        <v>0</v>
      </c>
      <c r="L1221" s="25">
        <v>5</v>
      </c>
      <c r="M1221" s="25">
        <v>6</v>
      </c>
      <c r="N1221" s="25">
        <v>0</v>
      </c>
      <c r="O1221" s="25">
        <f t="shared" si="253"/>
        <v>14</v>
      </c>
      <c r="P1221" s="25">
        <v>2</v>
      </c>
      <c r="Q1221" s="25">
        <v>3</v>
      </c>
      <c r="R1221" s="25">
        <v>3</v>
      </c>
      <c r="S1221" s="25">
        <v>5</v>
      </c>
      <c r="T1221" s="25">
        <v>1</v>
      </c>
      <c r="U1221" s="25">
        <f t="shared" si="258"/>
        <v>14</v>
      </c>
      <c r="V1221" s="27">
        <f t="shared" si="259"/>
        <v>1</v>
      </c>
      <c r="W1221" s="13">
        <f t="shared" si="262"/>
        <v>1</v>
      </c>
      <c r="X1221" s="25">
        <f t="shared" si="260"/>
        <v>14</v>
      </c>
      <c r="Y1221" s="3">
        <f t="shared" si="263"/>
        <v>1.8181818181818182E-3</v>
      </c>
      <c r="Z1221" s="25"/>
      <c r="AA1221" s="25">
        <f>15*2.2*10+50*2.2*2</f>
        <v>550</v>
      </c>
      <c r="AB1221" s="25"/>
      <c r="AC1221" s="25" t="s">
        <v>82</v>
      </c>
      <c r="AD1221" s="25" t="s">
        <v>83</v>
      </c>
      <c r="AE1221" s="25">
        <v>15</v>
      </c>
      <c r="AF1221" s="3" t="s">
        <v>143</v>
      </c>
      <c r="AG1221" s="28" t="s">
        <v>303</v>
      </c>
      <c r="AH1221" s="3"/>
    </row>
    <row r="1222" spans="1:34" ht="14.25" customHeight="1" x14ac:dyDescent="0.25">
      <c r="A1222" s="25" t="s">
        <v>148</v>
      </c>
      <c r="B1222" s="25" t="s">
        <v>79</v>
      </c>
      <c r="C1222" s="25"/>
      <c r="D1222" s="25" t="s">
        <v>186</v>
      </c>
      <c r="E1222" s="25">
        <v>2</v>
      </c>
      <c r="F1222" s="25">
        <v>1</v>
      </c>
      <c r="G1222" s="3" t="s">
        <v>2</v>
      </c>
      <c r="H1222" s="26">
        <v>45961</v>
      </c>
      <c r="I1222" s="25" t="s">
        <v>183</v>
      </c>
      <c r="J1222" s="25">
        <v>2.7</v>
      </c>
      <c r="K1222" s="25">
        <v>0</v>
      </c>
      <c r="L1222" s="25">
        <v>9.8000000000000007</v>
      </c>
      <c r="M1222" s="25">
        <v>10.199999999999999</v>
      </c>
      <c r="N1222" s="25">
        <v>2.6</v>
      </c>
      <c r="O1222" s="25">
        <f t="shared" si="253"/>
        <v>25.3</v>
      </c>
      <c r="P1222" s="25">
        <v>2</v>
      </c>
      <c r="Q1222" s="25">
        <v>3</v>
      </c>
      <c r="R1222" s="25">
        <v>3</v>
      </c>
      <c r="S1222" s="25">
        <v>5</v>
      </c>
      <c r="T1222" s="25">
        <v>1</v>
      </c>
      <c r="U1222" s="25">
        <f t="shared" ref="U1222:U1251" si="264">SUM(P1222:T1222)</f>
        <v>14</v>
      </c>
      <c r="V1222" s="27">
        <f t="shared" si="259"/>
        <v>1.8071428571428572</v>
      </c>
      <c r="W1222" s="13">
        <f t="shared" si="262"/>
        <v>1.8071428571428572</v>
      </c>
      <c r="X1222" s="25">
        <f t="shared" si="260"/>
        <v>14</v>
      </c>
      <c r="Y1222" s="3">
        <f t="shared" si="263"/>
        <v>3.2857142857142859E-3</v>
      </c>
      <c r="Z1222" s="25"/>
      <c r="AA1222" s="25">
        <f t="shared" ref="AA1222:AA1226" si="265">15*2.2*10+50*2.2*2</f>
        <v>550</v>
      </c>
      <c r="AB1222" s="25"/>
      <c r="AC1222" s="25" t="s">
        <v>82</v>
      </c>
      <c r="AD1222" s="25" t="s">
        <v>83</v>
      </c>
      <c r="AE1222" s="25">
        <v>15</v>
      </c>
      <c r="AF1222" s="3" t="s">
        <v>143</v>
      </c>
      <c r="AG1222" s="28" t="s">
        <v>303</v>
      </c>
      <c r="AH1222" s="3"/>
    </row>
    <row r="1223" spans="1:34" ht="14.25" customHeight="1" x14ac:dyDescent="0.25">
      <c r="A1223" s="25" t="s">
        <v>148</v>
      </c>
      <c r="B1223" s="25" t="s">
        <v>79</v>
      </c>
      <c r="C1223" s="25"/>
      <c r="D1223" s="25" t="s">
        <v>186</v>
      </c>
      <c r="E1223" s="25">
        <v>2</v>
      </c>
      <c r="F1223" s="25">
        <v>1</v>
      </c>
      <c r="G1223" s="3" t="s">
        <v>9</v>
      </c>
      <c r="H1223" s="26">
        <v>45961</v>
      </c>
      <c r="I1223" s="25" t="s">
        <v>183</v>
      </c>
      <c r="J1223" s="25">
        <v>0</v>
      </c>
      <c r="K1223" s="25">
        <v>5.8</v>
      </c>
      <c r="L1223" s="25">
        <v>0</v>
      </c>
      <c r="M1223" s="25">
        <v>4.8</v>
      </c>
      <c r="N1223" s="25">
        <v>0</v>
      </c>
      <c r="O1223" s="25">
        <f t="shared" si="253"/>
        <v>10.6</v>
      </c>
      <c r="P1223" s="25">
        <v>2</v>
      </c>
      <c r="Q1223" s="25">
        <v>3</v>
      </c>
      <c r="R1223" s="25">
        <v>3</v>
      </c>
      <c r="S1223" s="25">
        <v>5</v>
      </c>
      <c r="T1223" s="25">
        <v>1</v>
      </c>
      <c r="U1223" s="25">
        <f t="shared" si="264"/>
        <v>14</v>
      </c>
      <c r="V1223" s="27">
        <f t="shared" si="259"/>
        <v>0.75714285714285712</v>
      </c>
      <c r="W1223" s="13">
        <f t="shared" si="262"/>
        <v>0.75714285714285712</v>
      </c>
      <c r="X1223" s="25">
        <f t="shared" si="260"/>
        <v>14</v>
      </c>
      <c r="Y1223" s="3">
        <f t="shared" si="263"/>
        <v>1.3766233766233766E-3</v>
      </c>
      <c r="Z1223" s="25"/>
      <c r="AA1223" s="25">
        <f t="shared" si="265"/>
        <v>550</v>
      </c>
      <c r="AB1223" s="25"/>
      <c r="AC1223" s="25" t="s">
        <v>82</v>
      </c>
      <c r="AD1223" s="25" t="s">
        <v>83</v>
      </c>
      <c r="AE1223" s="25">
        <v>15</v>
      </c>
      <c r="AF1223" s="23"/>
      <c r="AG1223" s="28" t="s">
        <v>303</v>
      </c>
      <c r="AH1223" s="3"/>
    </row>
    <row r="1224" spans="1:34" ht="14.25" customHeight="1" x14ac:dyDescent="0.25">
      <c r="A1224" s="25" t="s">
        <v>148</v>
      </c>
      <c r="B1224" s="25" t="s">
        <v>79</v>
      </c>
      <c r="C1224" s="25"/>
      <c r="D1224" s="25" t="s">
        <v>186</v>
      </c>
      <c r="E1224" s="25">
        <v>2</v>
      </c>
      <c r="F1224" s="25">
        <v>1</v>
      </c>
      <c r="G1224" s="3" t="s">
        <v>14</v>
      </c>
      <c r="H1224" s="26">
        <v>45961</v>
      </c>
      <c r="I1224" s="25" t="s">
        <v>183</v>
      </c>
      <c r="J1224" s="25">
        <v>4.5</v>
      </c>
      <c r="K1224" s="25">
        <v>2.6</v>
      </c>
      <c r="L1224" s="25">
        <v>6</v>
      </c>
      <c r="M1224" s="25">
        <v>9</v>
      </c>
      <c r="N1224" s="25">
        <v>0</v>
      </c>
      <c r="O1224" s="25">
        <f t="shared" si="253"/>
        <v>22.1</v>
      </c>
      <c r="P1224" s="25">
        <v>2</v>
      </c>
      <c r="Q1224" s="25">
        <v>3</v>
      </c>
      <c r="R1224" s="25">
        <v>3</v>
      </c>
      <c r="S1224" s="25">
        <v>5</v>
      </c>
      <c r="T1224" s="25">
        <v>1</v>
      </c>
      <c r="U1224" s="25">
        <f t="shared" si="264"/>
        <v>14</v>
      </c>
      <c r="V1224" s="27">
        <f t="shared" si="259"/>
        <v>1.5785714285714287</v>
      </c>
      <c r="W1224" s="13">
        <f t="shared" si="262"/>
        <v>1.5785714285714287</v>
      </c>
      <c r="X1224" s="25">
        <f t="shared" si="260"/>
        <v>14</v>
      </c>
      <c r="Y1224" s="3">
        <f t="shared" si="263"/>
        <v>2.8701298701298704E-3</v>
      </c>
      <c r="Z1224" s="25"/>
      <c r="AA1224" s="25">
        <f t="shared" si="265"/>
        <v>550</v>
      </c>
      <c r="AB1224" s="25"/>
      <c r="AC1224" s="25" t="s">
        <v>82</v>
      </c>
      <c r="AD1224" s="25" t="s">
        <v>83</v>
      </c>
      <c r="AE1224" s="25">
        <v>15</v>
      </c>
      <c r="AF1224" s="3" t="s">
        <v>143</v>
      </c>
      <c r="AG1224" s="28" t="s">
        <v>303</v>
      </c>
      <c r="AH1224" s="3"/>
    </row>
    <row r="1225" spans="1:34" ht="14.25" customHeight="1" x14ac:dyDescent="0.25">
      <c r="A1225" s="25" t="s">
        <v>148</v>
      </c>
      <c r="B1225" s="25" t="s">
        <v>79</v>
      </c>
      <c r="C1225" s="25"/>
      <c r="D1225" s="25" t="s">
        <v>186</v>
      </c>
      <c r="E1225" s="25">
        <v>2</v>
      </c>
      <c r="F1225" s="25">
        <v>1</v>
      </c>
      <c r="G1225" s="3" t="s">
        <v>22</v>
      </c>
      <c r="H1225" s="26">
        <v>45961</v>
      </c>
      <c r="I1225" s="25" t="s">
        <v>183</v>
      </c>
      <c r="J1225" s="25">
        <v>0</v>
      </c>
      <c r="K1225" s="25">
        <v>5</v>
      </c>
      <c r="L1225" s="25">
        <v>0</v>
      </c>
      <c r="M1225" s="25">
        <v>0</v>
      </c>
      <c r="N1225" s="25">
        <v>0</v>
      </c>
      <c r="O1225" s="25">
        <f t="shared" si="253"/>
        <v>5</v>
      </c>
      <c r="P1225" s="25">
        <v>2</v>
      </c>
      <c r="Q1225" s="25">
        <v>3</v>
      </c>
      <c r="R1225" s="25">
        <v>3</v>
      </c>
      <c r="S1225" s="25">
        <v>5</v>
      </c>
      <c r="T1225" s="25">
        <v>1</v>
      </c>
      <c r="U1225" s="25">
        <f t="shared" si="264"/>
        <v>14</v>
      </c>
      <c r="V1225" s="27">
        <f t="shared" si="259"/>
        <v>0.35714285714285715</v>
      </c>
      <c r="W1225" s="13">
        <f t="shared" si="262"/>
        <v>0.35714285714285715</v>
      </c>
      <c r="X1225" s="25">
        <f t="shared" si="260"/>
        <v>14</v>
      </c>
      <c r="Y1225" s="3">
        <f t="shared" si="263"/>
        <v>6.4935064935064935E-4</v>
      </c>
      <c r="Z1225" s="25"/>
      <c r="AA1225" s="25">
        <f t="shared" si="265"/>
        <v>550</v>
      </c>
      <c r="AB1225" s="25"/>
      <c r="AC1225" s="25" t="s">
        <v>82</v>
      </c>
      <c r="AD1225" s="25" t="s">
        <v>83</v>
      </c>
      <c r="AE1225" s="25">
        <v>15</v>
      </c>
      <c r="AF1225" s="3" t="s">
        <v>143</v>
      </c>
      <c r="AG1225" s="28" t="s">
        <v>303</v>
      </c>
      <c r="AH1225" s="3"/>
    </row>
    <row r="1226" spans="1:34" ht="14.25" customHeight="1" x14ac:dyDescent="0.25">
      <c r="A1226" s="25" t="s">
        <v>148</v>
      </c>
      <c r="B1226" s="25" t="s">
        <v>79</v>
      </c>
      <c r="C1226" s="25"/>
      <c r="D1226" s="25" t="s">
        <v>186</v>
      </c>
      <c r="E1226" s="25">
        <v>2</v>
      </c>
      <c r="F1226" s="25">
        <v>1</v>
      </c>
      <c r="G1226" s="3" t="s">
        <v>20</v>
      </c>
      <c r="H1226" s="26">
        <v>45961</v>
      </c>
      <c r="I1226" s="25" t="s">
        <v>183</v>
      </c>
      <c r="J1226" s="25">
        <v>0</v>
      </c>
      <c r="K1226" s="25">
        <v>0</v>
      </c>
      <c r="L1226" s="25">
        <v>15</v>
      </c>
      <c r="M1226" s="25">
        <v>0</v>
      </c>
      <c r="N1226" s="25">
        <v>0</v>
      </c>
      <c r="O1226" s="25">
        <f t="shared" si="253"/>
        <v>15</v>
      </c>
      <c r="P1226" s="25">
        <v>2</v>
      </c>
      <c r="Q1226" s="25">
        <v>3</v>
      </c>
      <c r="R1226" s="25">
        <v>3</v>
      </c>
      <c r="S1226" s="25">
        <v>5</v>
      </c>
      <c r="T1226" s="25">
        <v>1</v>
      </c>
      <c r="U1226" s="25">
        <f t="shared" si="264"/>
        <v>14</v>
      </c>
      <c r="V1226" s="27">
        <f t="shared" si="259"/>
        <v>1.0714285714285714</v>
      </c>
      <c r="W1226" s="13">
        <f t="shared" si="262"/>
        <v>1.0714285714285714</v>
      </c>
      <c r="X1226" s="25">
        <f t="shared" si="260"/>
        <v>14</v>
      </c>
      <c r="Y1226" s="3">
        <f t="shared" si="263"/>
        <v>1.9480519480519481E-3</v>
      </c>
      <c r="Z1226" s="25"/>
      <c r="AA1226" s="25">
        <f t="shared" si="265"/>
        <v>550</v>
      </c>
      <c r="AB1226" s="25"/>
      <c r="AC1226" s="25" t="s">
        <v>82</v>
      </c>
      <c r="AD1226" s="25" t="s">
        <v>83</v>
      </c>
      <c r="AE1226" s="25">
        <v>15</v>
      </c>
      <c r="AF1226" s="3" t="s">
        <v>143</v>
      </c>
      <c r="AG1226" s="28" t="s">
        <v>303</v>
      </c>
      <c r="AH1226" s="3"/>
    </row>
    <row r="1227" spans="1:34" ht="14.25" customHeight="1" x14ac:dyDescent="0.25">
      <c r="A1227" s="25" t="s">
        <v>146</v>
      </c>
      <c r="B1227" s="25" t="s">
        <v>79</v>
      </c>
      <c r="C1227" s="25"/>
      <c r="D1227" s="25" t="s">
        <v>80</v>
      </c>
      <c r="E1227" s="25">
        <v>1</v>
      </c>
      <c r="F1227" s="25">
        <v>1</v>
      </c>
      <c r="G1227" s="3" t="s">
        <v>1</v>
      </c>
      <c r="H1227" s="26">
        <v>45961</v>
      </c>
      <c r="I1227" s="25" t="s">
        <v>183</v>
      </c>
      <c r="J1227" s="25">
        <v>25.2</v>
      </c>
      <c r="K1227" s="25">
        <v>25</v>
      </c>
      <c r="L1227" s="25">
        <v>21.5</v>
      </c>
      <c r="M1227" s="25">
        <v>39.4</v>
      </c>
      <c r="N1227" s="25">
        <v>14.5</v>
      </c>
      <c r="O1227" s="25">
        <f t="shared" si="253"/>
        <v>125.6</v>
      </c>
      <c r="P1227" s="25">
        <v>5</v>
      </c>
      <c r="Q1227" s="25">
        <v>6</v>
      </c>
      <c r="R1227" s="25">
        <v>4</v>
      </c>
      <c r="S1227" s="25">
        <v>6</v>
      </c>
      <c r="T1227" s="25">
        <v>2</v>
      </c>
      <c r="U1227" s="25">
        <f t="shared" si="264"/>
        <v>23</v>
      </c>
      <c r="V1227" s="27">
        <f t="shared" si="259"/>
        <v>5.4608695652173909</v>
      </c>
      <c r="W1227" s="13">
        <f t="shared" si="262"/>
        <v>5.4608695652173909</v>
      </c>
      <c r="X1227" s="25">
        <f t="shared" si="260"/>
        <v>23</v>
      </c>
      <c r="Y1227" s="3">
        <f t="shared" si="263"/>
        <v>7.2617946345975943E-3</v>
      </c>
      <c r="Z1227" s="25"/>
      <c r="AA1227" s="25">
        <f>40*2.8*3+40*2.6*4</f>
        <v>752</v>
      </c>
      <c r="AB1227" s="25">
        <v>100</v>
      </c>
      <c r="AC1227" s="25" t="s">
        <v>82</v>
      </c>
      <c r="AD1227" s="25" t="s">
        <v>83</v>
      </c>
      <c r="AE1227" s="25">
        <v>30</v>
      </c>
      <c r="AF1227" s="3" t="s">
        <v>143</v>
      </c>
      <c r="AG1227" s="28" t="s">
        <v>343</v>
      </c>
      <c r="AH1227" s="3"/>
    </row>
    <row r="1228" spans="1:34" ht="14.25" customHeight="1" x14ac:dyDescent="0.25">
      <c r="A1228" s="25" t="s">
        <v>146</v>
      </c>
      <c r="B1228" s="25" t="s">
        <v>79</v>
      </c>
      <c r="C1228" s="25"/>
      <c r="D1228" s="25" t="s">
        <v>80</v>
      </c>
      <c r="E1228" s="25">
        <v>1</v>
      </c>
      <c r="F1228" s="25">
        <v>1</v>
      </c>
      <c r="G1228" s="3" t="s">
        <v>3</v>
      </c>
      <c r="H1228" s="26">
        <v>45961</v>
      </c>
      <c r="I1228" s="25" t="s">
        <v>183</v>
      </c>
      <c r="J1228" s="25">
        <v>5.8</v>
      </c>
      <c r="K1228" s="25">
        <v>16.100000000000001</v>
      </c>
      <c r="L1228" s="25">
        <v>8.9</v>
      </c>
      <c r="M1228" s="25">
        <v>14.8</v>
      </c>
      <c r="N1228" s="25">
        <v>0</v>
      </c>
      <c r="O1228" s="25">
        <f t="shared" si="253"/>
        <v>45.600000000000009</v>
      </c>
      <c r="P1228" s="25">
        <v>5</v>
      </c>
      <c r="Q1228" s="25">
        <v>6</v>
      </c>
      <c r="R1228" s="25">
        <v>4</v>
      </c>
      <c r="S1228" s="25">
        <v>6</v>
      </c>
      <c r="T1228" s="25">
        <v>2</v>
      </c>
      <c r="U1228" s="25">
        <f t="shared" si="264"/>
        <v>23</v>
      </c>
      <c r="V1228" s="27">
        <f t="shared" si="259"/>
        <v>1.9826086956521742</v>
      </c>
      <c r="W1228" s="13">
        <f t="shared" si="262"/>
        <v>1.9826086956521742</v>
      </c>
      <c r="X1228" s="25">
        <f t="shared" si="260"/>
        <v>23</v>
      </c>
      <c r="Y1228" s="3">
        <f t="shared" si="263"/>
        <v>2.6364477335800189E-3</v>
      </c>
      <c r="Z1228" s="25"/>
      <c r="AA1228" s="25">
        <f t="shared" ref="AA1228:AA1232" si="266">40*2.8*3+40*2.6*4</f>
        <v>752</v>
      </c>
      <c r="AB1228" s="25">
        <v>100</v>
      </c>
      <c r="AC1228" s="25" t="s">
        <v>82</v>
      </c>
      <c r="AD1228" s="25" t="s">
        <v>83</v>
      </c>
      <c r="AE1228" s="25">
        <v>30</v>
      </c>
      <c r="AF1228" s="3" t="s">
        <v>143</v>
      </c>
      <c r="AG1228" s="28" t="s">
        <v>343</v>
      </c>
      <c r="AH1228" s="3"/>
    </row>
    <row r="1229" spans="1:34" ht="14.25" customHeight="1" x14ac:dyDescent="0.25">
      <c r="A1229" s="25" t="s">
        <v>146</v>
      </c>
      <c r="B1229" s="25" t="s">
        <v>79</v>
      </c>
      <c r="C1229" s="25"/>
      <c r="D1229" s="25" t="s">
        <v>80</v>
      </c>
      <c r="E1229" s="25">
        <v>1</v>
      </c>
      <c r="F1229" s="25">
        <v>1</v>
      </c>
      <c r="G1229" s="3" t="s">
        <v>2</v>
      </c>
      <c r="H1229" s="26">
        <v>45961</v>
      </c>
      <c r="I1229" s="25" t="s">
        <v>183</v>
      </c>
      <c r="J1229" s="25">
        <v>0</v>
      </c>
      <c r="K1229" s="25">
        <v>7.5</v>
      </c>
      <c r="L1229" s="25">
        <v>1.8</v>
      </c>
      <c r="M1229" s="25">
        <v>9.3000000000000007</v>
      </c>
      <c r="N1229" s="25">
        <v>9.8000000000000007</v>
      </c>
      <c r="O1229" s="25">
        <f t="shared" si="253"/>
        <v>28.400000000000002</v>
      </c>
      <c r="P1229" s="25">
        <v>5</v>
      </c>
      <c r="Q1229" s="25">
        <v>6</v>
      </c>
      <c r="R1229" s="25">
        <v>4</v>
      </c>
      <c r="S1229" s="25">
        <v>6</v>
      </c>
      <c r="T1229" s="25">
        <v>2</v>
      </c>
      <c r="U1229" s="25">
        <f t="shared" si="264"/>
        <v>23</v>
      </c>
      <c r="V1229" s="27">
        <f t="shared" si="259"/>
        <v>1.2347826086956524</v>
      </c>
      <c r="W1229" s="13">
        <f t="shared" si="262"/>
        <v>1.2347826086956524</v>
      </c>
      <c r="X1229" s="25">
        <f t="shared" si="260"/>
        <v>23</v>
      </c>
      <c r="Y1229" s="3">
        <f t="shared" si="263"/>
        <v>1.6419981498612399E-3</v>
      </c>
      <c r="Z1229" s="25"/>
      <c r="AA1229" s="25">
        <f t="shared" si="266"/>
        <v>752</v>
      </c>
      <c r="AB1229" s="25">
        <v>100</v>
      </c>
      <c r="AC1229" s="25" t="s">
        <v>82</v>
      </c>
      <c r="AD1229" s="25" t="s">
        <v>83</v>
      </c>
      <c r="AE1229" s="25">
        <v>30</v>
      </c>
      <c r="AF1229" s="3" t="s">
        <v>143</v>
      </c>
      <c r="AG1229" s="28" t="s">
        <v>343</v>
      </c>
      <c r="AH1229" s="3"/>
    </row>
    <row r="1230" spans="1:34" ht="14.25" customHeight="1" x14ac:dyDescent="0.25">
      <c r="A1230" s="25" t="s">
        <v>146</v>
      </c>
      <c r="B1230" s="25" t="s">
        <v>79</v>
      </c>
      <c r="C1230" s="25"/>
      <c r="D1230" s="25" t="s">
        <v>80</v>
      </c>
      <c r="E1230" s="25">
        <v>1</v>
      </c>
      <c r="F1230" s="25">
        <v>1</v>
      </c>
      <c r="G1230" s="3" t="s">
        <v>9</v>
      </c>
      <c r="H1230" s="26">
        <v>45961</v>
      </c>
      <c r="I1230" s="25" t="s">
        <v>183</v>
      </c>
      <c r="J1230" s="25">
        <v>12.3</v>
      </c>
      <c r="K1230" s="25">
        <v>0</v>
      </c>
      <c r="L1230" s="25">
        <v>9.1</v>
      </c>
      <c r="M1230" s="25">
        <v>13.9</v>
      </c>
      <c r="N1230" s="25">
        <v>0</v>
      </c>
      <c r="O1230" s="25">
        <f t="shared" si="253"/>
        <v>35.299999999999997</v>
      </c>
      <c r="P1230" s="25">
        <v>5</v>
      </c>
      <c r="Q1230" s="25">
        <v>6</v>
      </c>
      <c r="R1230" s="25">
        <v>4</v>
      </c>
      <c r="S1230" s="25">
        <v>6</v>
      </c>
      <c r="T1230" s="25">
        <v>2</v>
      </c>
      <c r="U1230" s="25">
        <f t="shared" si="264"/>
        <v>23</v>
      </c>
      <c r="V1230" s="27">
        <f t="shared" si="259"/>
        <v>1.534782608695652</v>
      </c>
      <c r="W1230" s="13">
        <f t="shared" si="262"/>
        <v>1.534782608695652</v>
      </c>
      <c r="X1230" s="25">
        <f t="shared" si="260"/>
        <v>23</v>
      </c>
      <c r="Y1230" s="3">
        <f t="shared" si="263"/>
        <v>2.0409343200740054E-3</v>
      </c>
      <c r="Z1230" s="25"/>
      <c r="AA1230" s="25">
        <f t="shared" si="266"/>
        <v>752</v>
      </c>
      <c r="AB1230" s="25">
        <v>100</v>
      </c>
      <c r="AC1230" s="25" t="s">
        <v>82</v>
      </c>
      <c r="AD1230" s="25" t="s">
        <v>83</v>
      </c>
      <c r="AE1230" s="25">
        <v>30</v>
      </c>
      <c r="AF1230" s="3" t="s">
        <v>143</v>
      </c>
      <c r="AG1230" s="28" t="s">
        <v>343</v>
      </c>
      <c r="AH1230" s="3"/>
    </row>
    <row r="1231" spans="1:34" ht="14.25" customHeight="1" x14ac:dyDescent="0.25">
      <c r="A1231" s="25" t="s">
        <v>146</v>
      </c>
      <c r="B1231" s="25" t="s">
        <v>79</v>
      </c>
      <c r="C1231" s="25"/>
      <c r="D1231" s="25" t="s">
        <v>80</v>
      </c>
      <c r="E1231" s="25">
        <v>1</v>
      </c>
      <c r="F1231" s="25">
        <v>1</v>
      </c>
      <c r="G1231" s="3" t="s">
        <v>12</v>
      </c>
      <c r="H1231" s="26">
        <v>45961</v>
      </c>
      <c r="I1231" s="25" t="s">
        <v>183</v>
      </c>
      <c r="J1231" s="25">
        <v>0</v>
      </c>
      <c r="K1231" s="25">
        <v>0</v>
      </c>
      <c r="L1231" s="25">
        <v>0</v>
      </c>
      <c r="M1231" s="25">
        <v>1.2</v>
      </c>
      <c r="N1231" s="25">
        <v>0</v>
      </c>
      <c r="O1231" s="25">
        <f t="shared" si="253"/>
        <v>1.2</v>
      </c>
      <c r="P1231" s="25">
        <v>5</v>
      </c>
      <c r="Q1231" s="25">
        <v>6</v>
      </c>
      <c r="R1231" s="25">
        <v>4</v>
      </c>
      <c r="S1231" s="25">
        <v>6</v>
      </c>
      <c r="T1231" s="25">
        <v>2</v>
      </c>
      <c r="U1231" s="25">
        <f t="shared" si="264"/>
        <v>23</v>
      </c>
      <c r="V1231" s="27">
        <f t="shared" si="259"/>
        <v>5.2173913043478258E-2</v>
      </c>
      <c r="W1231" s="13">
        <f t="shared" si="262"/>
        <v>5.2173913043478258E-2</v>
      </c>
      <c r="X1231" s="25">
        <f t="shared" si="260"/>
        <v>23</v>
      </c>
      <c r="Y1231" s="3">
        <f t="shared" si="263"/>
        <v>6.9380203515263645E-5</v>
      </c>
      <c r="Z1231" s="25"/>
      <c r="AA1231" s="25">
        <f t="shared" si="266"/>
        <v>752</v>
      </c>
      <c r="AB1231" s="25">
        <v>100</v>
      </c>
      <c r="AC1231" s="25" t="s">
        <v>82</v>
      </c>
      <c r="AD1231" s="25" t="s">
        <v>83</v>
      </c>
      <c r="AE1231" s="25">
        <v>30</v>
      </c>
      <c r="AF1231" s="3" t="s">
        <v>143</v>
      </c>
      <c r="AG1231" s="28" t="s">
        <v>343</v>
      </c>
      <c r="AH1231" s="3"/>
    </row>
    <row r="1232" spans="1:34" ht="14.25" customHeight="1" x14ac:dyDescent="0.25">
      <c r="A1232" s="25" t="s">
        <v>146</v>
      </c>
      <c r="B1232" s="25" t="s">
        <v>79</v>
      </c>
      <c r="C1232" s="25"/>
      <c r="D1232" s="25" t="s">
        <v>80</v>
      </c>
      <c r="E1232" s="25">
        <v>1</v>
      </c>
      <c r="F1232" s="25">
        <v>1</v>
      </c>
      <c r="G1232" s="3" t="s">
        <v>15</v>
      </c>
      <c r="H1232" s="26">
        <v>45961</v>
      </c>
      <c r="I1232" s="25" t="s">
        <v>183</v>
      </c>
      <c r="J1232" s="25">
        <v>0</v>
      </c>
      <c r="K1232" s="25">
        <v>0</v>
      </c>
      <c r="L1232" s="25">
        <v>12</v>
      </c>
      <c r="M1232" s="25">
        <v>0</v>
      </c>
      <c r="N1232" s="25">
        <v>0</v>
      </c>
      <c r="O1232" s="25">
        <f t="shared" si="253"/>
        <v>12</v>
      </c>
      <c r="P1232" s="25">
        <v>5</v>
      </c>
      <c r="Q1232" s="25">
        <v>6</v>
      </c>
      <c r="R1232" s="25">
        <v>4</v>
      </c>
      <c r="S1232" s="25">
        <v>6</v>
      </c>
      <c r="T1232" s="25">
        <v>2</v>
      </c>
      <c r="U1232" s="25">
        <f t="shared" si="264"/>
        <v>23</v>
      </c>
      <c r="V1232" s="27">
        <f t="shared" si="259"/>
        <v>0.52173913043478259</v>
      </c>
      <c r="W1232" s="13">
        <f t="shared" si="262"/>
        <v>0.52173913043478259</v>
      </c>
      <c r="X1232" s="25">
        <f t="shared" si="260"/>
        <v>23</v>
      </c>
      <c r="Y1232" s="3">
        <f t="shared" si="263"/>
        <v>6.9380203515263643E-4</v>
      </c>
      <c r="Z1232" s="25"/>
      <c r="AA1232" s="25">
        <f t="shared" si="266"/>
        <v>752</v>
      </c>
      <c r="AB1232" s="25">
        <v>100</v>
      </c>
      <c r="AC1232" s="25" t="s">
        <v>82</v>
      </c>
      <c r="AD1232" s="25" t="s">
        <v>83</v>
      </c>
      <c r="AE1232" s="25">
        <v>30</v>
      </c>
      <c r="AF1232" s="3" t="s">
        <v>143</v>
      </c>
      <c r="AG1232" s="28" t="s">
        <v>343</v>
      </c>
      <c r="AH1232" s="3"/>
    </row>
    <row r="1233" spans="1:34" ht="14.25" customHeight="1" x14ac:dyDescent="0.25">
      <c r="A1233" s="25" t="s">
        <v>97</v>
      </c>
      <c r="B1233" s="25" t="s">
        <v>79</v>
      </c>
      <c r="C1233" s="25"/>
      <c r="D1233" s="25" t="s">
        <v>98</v>
      </c>
      <c r="E1233" s="25">
        <v>1</v>
      </c>
      <c r="F1233" s="25">
        <v>1</v>
      </c>
      <c r="G1233" s="3" t="s">
        <v>14</v>
      </c>
      <c r="H1233" s="26">
        <v>45961</v>
      </c>
      <c r="I1233" s="25" t="s">
        <v>183</v>
      </c>
      <c r="J1233" s="25">
        <v>5.4</v>
      </c>
      <c r="K1233" s="25">
        <v>6</v>
      </c>
      <c r="L1233" s="25">
        <v>2.5</v>
      </c>
      <c r="M1233" s="25">
        <v>5.8</v>
      </c>
      <c r="N1233" s="25">
        <v>4.2</v>
      </c>
      <c r="O1233" s="25">
        <f t="shared" si="253"/>
        <v>23.9</v>
      </c>
      <c r="P1233" s="25">
        <v>3</v>
      </c>
      <c r="Q1233" s="25">
        <v>5</v>
      </c>
      <c r="R1233" s="25">
        <v>3</v>
      </c>
      <c r="S1233" s="25">
        <v>5</v>
      </c>
      <c r="T1233" s="25">
        <v>1</v>
      </c>
      <c r="U1233" s="25">
        <f t="shared" si="264"/>
        <v>17</v>
      </c>
      <c r="V1233" s="27">
        <f t="shared" si="259"/>
        <v>1.4058823529411764</v>
      </c>
      <c r="W1233" s="13">
        <f t="shared" si="262"/>
        <v>1.4058823529411764</v>
      </c>
      <c r="X1233" s="25">
        <f t="shared" si="260"/>
        <v>17</v>
      </c>
      <c r="Y1233" s="3" t="e">
        <f t="shared" si="263"/>
        <v>#DIV/0!</v>
      </c>
      <c r="Z1233" s="25"/>
      <c r="AA1233" s="25"/>
      <c r="AB1233" s="25"/>
      <c r="AC1233" s="25" t="s">
        <v>82</v>
      </c>
      <c r="AD1233" s="25" t="s">
        <v>83</v>
      </c>
      <c r="AE1233" s="25">
        <v>15</v>
      </c>
      <c r="AF1233" s="3" t="s">
        <v>143</v>
      </c>
      <c r="AG1233" s="25" t="s">
        <v>173</v>
      </c>
      <c r="AH1233" s="3"/>
    </row>
    <row r="1234" spans="1:34" ht="14.25" customHeight="1" x14ac:dyDescent="0.25">
      <c r="A1234" s="25" t="s">
        <v>97</v>
      </c>
      <c r="B1234" s="25" t="s">
        <v>79</v>
      </c>
      <c r="C1234" s="25"/>
      <c r="D1234" s="25" t="s">
        <v>98</v>
      </c>
      <c r="E1234" s="25">
        <v>1</v>
      </c>
      <c r="F1234" s="25">
        <v>1</v>
      </c>
      <c r="G1234" s="3" t="s">
        <v>16</v>
      </c>
      <c r="H1234" s="26">
        <v>45961</v>
      </c>
      <c r="I1234" s="25" t="s">
        <v>183</v>
      </c>
      <c r="J1234" s="25">
        <v>2.8</v>
      </c>
      <c r="K1234" s="25">
        <v>6.5</v>
      </c>
      <c r="L1234" s="25">
        <v>2.6</v>
      </c>
      <c r="M1234" s="25">
        <v>1.9</v>
      </c>
      <c r="N1234" s="25">
        <v>0</v>
      </c>
      <c r="O1234" s="25">
        <f t="shared" si="253"/>
        <v>13.8</v>
      </c>
      <c r="P1234" s="25">
        <v>3</v>
      </c>
      <c r="Q1234" s="25">
        <v>5</v>
      </c>
      <c r="R1234" s="25">
        <v>3</v>
      </c>
      <c r="S1234" s="25">
        <v>5</v>
      </c>
      <c r="T1234" s="25">
        <v>1</v>
      </c>
      <c r="U1234" s="25">
        <f t="shared" si="264"/>
        <v>17</v>
      </c>
      <c r="V1234" s="27">
        <f t="shared" si="259"/>
        <v>0.81176470588235294</v>
      </c>
      <c r="W1234" s="13">
        <f t="shared" si="262"/>
        <v>0.81176470588235294</v>
      </c>
      <c r="X1234" s="25">
        <f t="shared" si="260"/>
        <v>17</v>
      </c>
      <c r="Y1234" s="3" t="e">
        <f t="shared" si="263"/>
        <v>#DIV/0!</v>
      </c>
      <c r="Z1234" s="25"/>
      <c r="AA1234" s="25"/>
      <c r="AB1234" s="25"/>
      <c r="AC1234" s="25" t="s">
        <v>82</v>
      </c>
      <c r="AD1234" s="25" t="s">
        <v>83</v>
      </c>
      <c r="AE1234" s="25">
        <v>15</v>
      </c>
      <c r="AF1234" s="3" t="s">
        <v>143</v>
      </c>
      <c r="AG1234" s="25" t="s">
        <v>173</v>
      </c>
      <c r="AH1234" s="3"/>
    </row>
    <row r="1235" spans="1:34" ht="14.25" customHeight="1" x14ac:dyDescent="0.25">
      <c r="A1235" s="25" t="s">
        <v>97</v>
      </c>
      <c r="B1235" s="25" t="s">
        <v>79</v>
      </c>
      <c r="C1235" s="25"/>
      <c r="D1235" s="25" t="s">
        <v>98</v>
      </c>
      <c r="E1235" s="25">
        <v>1</v>
      </c>
      <c r="F1235" s="25">
        <v>1</v>
      </c>
      <c r="G1235" s="3" t="s">
        <v>18</v>
      </c>
      <c r="H1235" s="26">
        <v>45961</v>
      </c>
      <c r="I1235" s="25" t="s">
        <v>183</v>
      </c>
      <c r="J1235" s="25">
        <v>11.5</v>
      </c>
      <c r="K1235" s="25">
        <v>20.3</v>
      </c>
      <c r="L1235" s="25">
        <v>0</v>
      </c>
      <c r="M1235" s="25">
        <v>11.7</v>
      </c>
      <c r="N1235" s="25">
        <v>3.7</v>
      </c>
      <c r="O1235" s="25">
        <f t="shared" si="253"/>
        <v>47.2</v>
      </c>
      <c r="P1235" s="25">
        <v>3</v>
      </c>
      <c r="Q1235" s="25">
        <v>5</v>
      </c>
      <c r="R1235" s="25">
        <v>3</v>
      </c>
      <c r="S1235" s="25">
        <v>5</v>
      </c>
      <c r="T1235" s="25">
        <v>1</v>
      </c>
      <c r="U1235" s="25">
        <f t="shared" si="264"/>
        <v>17</v>
      </c>
      <c r="V1235" s="27">
        <f t="shared" si="259"/>
        <v>2.7764705882352945</v>
      </c>
      <c r="W1235" s="13">
        <f t="shared" si="262"/>
        <v>2.7764705882352945</v>
      </c>
      <c r="X1235" s="25">
        <f t="shared" si="260"/>
        <v>17</v>
      </c>
      <c r="Y1235" s="3" t="e">
        <f t="shared" si="263"/>
        <v>#DIV/0!</v>
      </c>
      <c r="Z1235" s="25"/>
      <c r="AA1235" s="25"/>
      <c r="AB1235" s="25"/>
      <c r="AC1235" s="25" t="s">
        <v>82</v>
      </c>
      <c r="AD1235" s="25" t="s">
        <v>83</v>
      </c>
      <c r="AE1235" s="25">
        <v>15</v>
      </c>
      <c r="AF1235" s="3" t="s">
        <v>143</v>
      </c>
      <c r="AG1235" s="25" t="s">
        <v>173</v>
      </c>
      <c r="AH1235" s="3"/>
    </row>
    <row r="1236" spans="1:34" ht="14.25" customHeight="1" x14ac:dyDescent="0.25">
      <c r="A1236" s="25" t="s">
        <v>97</v>
      </c>
      <c r="B1236" s="25" t="s">
        <v>79</v>
      </c>
      <c r="C1236" s="25"/>
      <c r="D1236" s="25" t="s">
        <v>98</v>
      </c>
      <c r="E1236" s="25">
        <v>1</v>
      </c>
      <c r="F1236" s="25">
        <v>1</v>
      </c>
      <c r="G1236" s="3" t="s">
        <v>22</v>
      </c>
      <c r="H1236" s="26">
        <v>45961</v>
      </c>
      <c r="I1236" s="25" t="s">
        <v>183</v>
      </c>
      <c r="J1236" s="25">
        <v>0</v>
      </c>
      <c r="K1236" s="25">
        <v>0</v>
      </c>
      <c r="L1236" s="25">
        <v>4.3</v>
      </c>
      <c r="M1236" s="25">
        <v>3.6</v>
      </c>
      <c r="N1236" s="25">
        <v>0</v>
      </c>
      <c r="O1236" s="25">
        <f t="shared" si="253"/>
        <v>7.9</v>
      </c>
      <c r="P1236" s="25">
        <v>3</v>
      </c>
      <c r="Q1236" s="25">
        <v>5</v>
      </c>
      <c r="R1236" s="25">
        <v>3</v>
      </c>
      <c r="S1236" s="25">
        <v>5</v>
      </c>
      <c r="T1236" s="25">
        <v>1</v>
      </c>
      <c r="U1236" s="25">
        <f t="shared" si="264"/>
        <v>17</v>
      </c>
      <c r="V1236" s="27">
        <f t="shared" si="259"/>
        <v>0.46470588235294119</v>
      </c>
      <c r="W1236" s="13">
        <f t="shared" si="262"/>
        <v>0.46470588235294119</v>
      </c>
      <c r="X1236" s="25">
        <f t="shared" si="260"/>
        <v>17</v>
      </c>
      <c r="Y1236" s="3" t="e">
        <f t="shared" si="263"/>
        <v>#DIV/0!</v>
      </c>
      <c r="Z1236" s="25"/>
      <c r="AA1236" s="25"/>
      <c r="AB1236" s="25"/>
      <c r="AC1236" s="25" t="s">
        <v>82</v>
      </c>
      <c r="AD1236" s="25" t="s">
        <v>83</v>
      </c>
      <c r="AE1236" s="25">
        <v>15</v>
      </c>
      <c r="AF1236" s="3" t="s">
        <v>143</v>
      </c>
      <c r="AG1236" s="25" t="s">
        <v>173</v>
      </c>
      <c r="AH1236" s="3"/>
    </row>
    <row r="1237" spans="1:34" ht="14.25" customHeight="1" x14ac:dyDescent="0.25">
      <c r="A1237" s="25" t="s">
        <v>86</v>
      </c>
      <c r="B1237" s="25" t="s">
        <v>79</v>
      </c>
      <c r="C1237" s="25"/>
      <c r="D1237" s="25" t="s">
        <v>80</v>
      </c>
      <c r="E1237" s="25">
        <v>1</v>
      </c>
      <c r="F1237" s="25">
        <v>1</v>
      </c>
      <c r="G1237" s="3" t="s">
        <v>1</v>
      </c>
      <c r="H1237" s="26">
        <v>45961</v>
      </c>
      <c r="I1237" s="25" t="s">
        <v>183</v>
      </c>
      <c r="J1237" s="25">
        <v>66</v>
      </c>
      <c r="K1237" s="25">
        <v>63</v>
      </c>
      <c r="L1237" s="25">
        <v>59</v>
      </c>
      <c r="M1237" s="25">
        <v>27.4</v>
      </c>
      <c r="N1237" s="25">
        <v>48</v>
      </c>
      <c r="O1237" s="25">
        <f t="shared" si="253"/>
        <v>263.39999999999998</v>
      </c>
      <c r="P1237" s="25">
        <v>4</v>
      </c>
      <c r="Q1237" s="25">
        <v>3</v>
      </c>
      <c r="R1237" s="25">
        <v>4</v>
      </c>
      <c r="S1237" s="25">
        <v>4</v>
      </c>
      <c r="T1237" s="25">
        <v>3</v>
      </c>
      <c r="U1237" s="25">
        <f t="shared" si="264"/>
        <v>18</v>
      </c>
      <c r="V1237" s="27">
        <f t="shared" si="259"/>
        <v>14.633333333333333</v>
      </c>
      <c r="W1237" s="13">
        <f t="shared" si="262"/>
        <v>14.633333333333333</v>
      </c>
      <c r="X1237" s="25">
        <f t="shared" si="260"/>
        <v>18</v>
      </c>
      <c r="Y1237" s="3" t="e">
        <f t="shared" si="263"/>
        <v>#DIV/0!</v>
      </c>
      <c r="Z1237" s="25"/>
      <c r="AA1237" s="25"/>
      <c r="AB1237" s="25">
        <v>170</v>
      </c>
      <c r="AC1237" s="25" t="s">
        <v>82</v>
      </c>
      <c r="AD1237" s="25" t="s">
        <v>83</v>
      </c>
      <c r="AE1237" s="25">
        <v>20</v>
      </c>
      <c r="AF1237" s="3" t="s">
        <v>143</v>
      </c>
      <c r="AG1237" s="28" t="s">
        <v>272</v>
      </c>
      <c r="AH1237" s="3"/>
    </row>
    <row r="1238" spans="1:34" ht="14.25" customHeight="1" x14ac:dyDescent="0.25">
      <c r="A1238" s="25" t="s">
        <v>86</v>
      </c>
      <c r="B1238" s="25" t="s">
        <v>79</v>
      </c>
      <c r="C1238" s="25"/>
      <c r="D1238" s="25" t="s">
        <v>80</v>
      </c>
      <c r="E1238" s="25">
        <v>1</v>
      </c>
      <c r="F1238" s="25">
        <v>1</v>
      </c>
      <c r="G1238" s="3" t="s">
        <v>2</v>
      </c>
      <c r="H1238" s="26">
        <v>45961</v>
      </c>
      <c r="I1238" s="25" t="s">
        <v>183</v>
      </c>
      <c r="J1238" s="25">
        <v>0</v>
      </c>
      <c r="K1238" s="25">
        <v>0</v>
      </c>
      <c r="L1238" s="25">
        <v>0</v>
      </c>
      <c r="M1238" s="25">
        <v>36</v>
      </c>
      <c r="N1238" s="25">
        <v>19.3</v>
      </c>
      <c r="O1238" s="25">
        <f t="shared" si="253"/>
        <v>55.3</v>
      </c>
      <c r="P1238" s="25">
        <v>4</v>
      </c>
      <c r="Q1238" s="25">
        <v>3</v>
      </c>
      <c r="R1238" s="25">
        <v>4</v>
      </c>
      <c r="S1238" s="25">
        <v>4</v>
      </c>
      <c r="T1238" s="25">
        <v>3</v>
      </c>
      <c r="U1238" s="25">
        <f t="shared" si="264"/>
        <v>18</v>
      </c>
      <c r="V1238" s="27">
        <f t="shared" si="259"/>
        <v>3.072222222222222</v>
      </c>
      <c r="W1238" s="13">
        <f t="shared" si="262"/>
        <v>3.072222222222222</v>
      </c>
      <c r="X1238" s="25">
        <f t="shared" si="260"/>
        <v>18</v>
      </c>
      <c r="Y1238" s="3" t="e">
        <f t="shared" si="263"/>
        <v>#DIV/0!</v>
      </c>
      <c r="Z1238" s="25"/>
      <c r="AA1238" s="25"/>
      <c r="AB1238" s="25">
        <v>170</v>
      </c>
      <c r="AC1238" s="25" t="s">
        <v>82</v>
      </c>
      <c r="AD1238" s="25" t="s">
        <v>83</v>
      </c>
      <c r="AE1238" s="25">
        <v>20</v>
      </c>
      <c r="AF1238" s="3" t="s">
        <v>143</v>
      </c>
      <c r="AG1238" s="28" t="s">
        <v>272</v>
      </c>
      <c r="AH1238" s="3"/>
    </row>
    <row r="1239" spans="1:34" ht="14.25" customHeight="1" x14ac:dyDescent="0.25">
      <c r="A1239" s="25" t="s">
        <v>86</v>
      </c>
      <c r="B1239" s="25" t="s">
        <v>79</v>
      </c>
      <c r="C1239" s="25"/>
      <c r="D1239" s="25" t="s">
        <v>80</v>
      </c>
      <c r="E1239" s="25">
        <v>1</v>
      </c>
      <c r="F1239" s="25">
        <v>1</v>
      </c>
      <c r="G1239" s="3" t="s">
        <v>14</v>
      </c>
      <c r="H1239" s="26">
        <v>45961</v>
      </c>
      <c r="I1239" s="25" t="s">
        <v>183</v>
      </c>
      <c r="J1239" s="25">
        <v>3</v>
      </c>
      <c r="K1239" s="25">
        <v>0</v>
      </c>
      <c r="L1239" s="25">
        <v>0</v>
      </c>
      <c r="M1239" s="25">
        <v>0</v>
      </c>
      <c r="N1239" s="25">
        <v>0</v>
      </c>
      <c r="O1239" s="25">
        <f t="shared" si="253"/>
        <v>3</v>
      </c>
      <c r="P1239" s="25">
        <v>4</v>
      </c>
      <c r="Q1239" s="25">
        <v>3</v>
      </c>
      <c r="R1239" s="25">
        <v>4</v>
      </c>
      <c r="S1239" s="25">
        <v>4</v>
      </c>
      <c r="T1239" s="25">
        <v>3</v>
      </c>
      <c r="U1239" s="25">
        <f t="shared" si="264"/>
        <v>18</v>
      </c>
      <c r="V1239" s="27">
        <f t="shared" si="259"/>
        <v>0.16666666666666666</v>
      </c>
      <c r="W1239" s="13">
        <f t="shared" si="262"/>
        <v>0.16666666666666666</v>
      </c>
      <c r="X1239" s="25">
        <f t="shared" si="260"/>
        <v>18</v>
      </c>
      <c r="Y1239" s="3" t="e">
        <f t="shared" si="263"/>
        <v>#DIV/0!</v>
      </c>
      <c r="Z1239" s="25"/>
      <c r="AA1239" s="25"/>
      <c r="AB1239" s="25">
        <v>170</v>
      </c>
      <c r="AC1239" s="25" t="s">
        <v>82</v>
      </c>
      <c r="AD1239" s="25" t="s">
        <v>83</v>
      </c>
      <c r="AE1239" s="25">
        <v>20</v>
      </c>
      <c r="AF1239" s="3" t="s">
        <v>143</v>
      </c>
      <c r="AG1239" s="28" t="s">
        <v>272</v>
      </c>
      <c r="AH1239" s="3"/>
    </row>
    <row r="1240" spans="1:34" ht="14.25" customHeight="1" x14ac:dyDescent="0.25">
      <c r="A1240" s="25" t="s">
        <v>86</v>
      </c>
      <c r="B1240" s="25" t="s">
        <v>79</v>
      </c>
      <c r="C1240" s="25"/>
      <c r="D1240" s="25" t="s">
        <v>80</v>
      </c>
      <c r="E1240" s="25">
        <v>1</v>
      </c>
      <c r="F1240" s="25">
        <v>1</v>
      </c>
      <c r="G1240" s="3" t="s">
        <v>25</v>
      </c>
      <c r="H1240" s="26">
        <v>45961</v>
      </c>
      <c r="I1240" s="25" t="s">
        <v>183</v>
      </c>
      <c r="J1240" s="25">
        <v>0</v>
      </c>
      <c r="K1240" s="25">
        <v>8.6</v>
      </c>
      <c r="L1240" s="25">
        <v>12</v>
      </c>
      <c r="M1240" s="25">
        <v>9.6</v>
      </c>
      <c r="N1240" s="25">
        <v>29</v>
      </c>
      <c r="O1240" s="25">
        <f t="shared" si="253"/>
        <v>59.2</v>
      </c>
      <c r="P1240" s="25">
        <v>4</v>
      </c>
      <c r="Q1240" s="25">
        <v>3</v>
      </c>
      <c r="R1240" s="25">
        <v>4</v>
      </c>
      <c r="S1240" s="25">
        <v>4</v>
      </c>
      <c r="T1240" s="25">
        <v>3</v>
      </c>
      <c r="U1240" s="25">
        <f t="shared" si="264"/>
        <v>18</v>
      </c>
      <c r="V1240" s="27">
        <f t="shared" si="259"/>
        <v>3.2888888888888892</v>
      </c>
      <c r="W1240" s="13">
        <f t="shared" si="262"/>
        <v>3.2888888888888892</v>
      </c>
      <c r="X1240" s="25">
        <f t="shared" si="260"/>
        <v>18</v>
      </c>
      <c r="Y1240" s="3" t="e">
        <f t="shared" si="263"/>
        <v>#DIV/0!</v>
      </c>
      <c r="Z1240" s="25"/>
      <c r="AA1240" s="25"/>
      <c r="AB1240" s="25">
        <v>170</v>
      </c>
      <c r="AC1240" s="25" t="s">
        <v>82</v>
      </c>
      <c r="AD1240" s="25" t="s">
        <v>83</v>
      </c>
      <c r="AE1240" s="25">
        <v>20</v>
      </c>
      <c r="AF1240" s="3" t="s">
        <v>143</v>
      </c>
      <c r="AG1240" s="28" t="s">
        <v>272</v>
      </c>
      <c r="AH1240" s="3"/>
    </row>
    <row r="1241" spans="1:34" ht="14.25" customHeight="1" x14ac:dyDescent="0.25">
      <c r="A1241" s="25" t="s">
        <v>86</v>
      </c>
      <c r="B1241" s="25" t="s">
        <v>79</v>
      </c>
      <c r="C1241" s="25"/>
      <c r="D1241" s="25" t="s">
        <v>80</v>
      </c>
      <c r="E1241" s="25">
        <v>1</v>
      </c>
      <c r="F1241" s="25">
        <v>1</v>
      </c>
      <c r="G1241" s="3" t="s">
        <v>15</v>
      </c>
      <c r="H1241" s="26">
        <v>45961</v>
      </c>
      <c r="I1241" s="25" t="s">
        <v>183</v>
      </c>
      <c r="J1241" s="25">
        <v>38</v>
      </c>
      <c r="K1241" s="25">
        <v>0</v>
      </c>
      <c r="L1241" s="25">
        <v>117</v>
      </c>
      <c r="M1241" s="25">
        <v>18</v>
      </c>
      <c r="N1241" s="25">
        <v>16</v>
      </c>
      <c r="O1241" s="25">
        <f t="shared" si="253"/>
        <v>189</v>
      </c>
      <c r="P1241" s="25">
        <v>4</v>
      </c>
      <c r="Q1241" s="25">
        <v>3</v>
      </c>
      <c r="R1241" s="25">
        <v>4</v>
      </c>
      <c r="S1241" s="25">
        <v>4</v>
      </c>
      <c r="T1241" s="25">
        <v>3</v>
      </c>
      <c r="U1241" s="25">
        <f t="shared" si="264"/>
        <v>18</v>
      </c>
      <c r="V1241" s="27">
        <f t="shared" si="259"/>
        <v>10.5</v>
      </c>
      <c r="W1241" s="13">
        <f t="shared" si="262"/>
        <v>10.5</v>
      </c>
      <c r="X1241" s="25">
        <f t="shared" si="260"/>
        <v>18</v>
      </c>
      <c r="Y1241" s="3" t="e">
        <f t="shared" si="263"/>
        <v>#DIV/0!</v>
      </c>
      <c r="Z1241" s="25"/>
      <c r="AA1241" s="25"/>
      <c r="AB1241" s="25">
        <v>170</v>
      </c>
      <c r="AC1241" s="25" t="s">
        <v>82</v>
      </c>
      <c r="AD1241" s="25" t="s">
        <v>83</v>
      </c>
      <c r="AE1241" s="25">
        <v>20</v>
      </c>
      <c r="AF1241" s="3" t="s">
        <v>143</v>
      </c>
      <c r="AG1241" s="28" t="s">
        <v>272</v>
      </c>
      <c r="AH1241" s="3"/>
    </row>
    <row r="1242" spans="1:34" ht="14.25" customHeight="1" x14ac:dyDescent="0.25">
      <c r="A1242" s="25" t="s">
        <v>174</v>
      </c>
      <c r="B1242" s="25" t="s">
        <v>79</v>
      </c>
      <c r="C1242" s="25"/>
      <c r="D1242" s="25" t="s">
        <v>98</v>
      </c>
      <c r="E1242" s="25">
        <v>1</v>
      </c>
      <c r="F1242" s="25">
        <v>1</v>
      </c>
      <c r="G1242" s="25" t="s">
        <v>1</v>
      </c>
      <c r="H1242" s="26">
        <v>45961</v>
      </c>
      <c r="I1242" s="25" t="s">
        <v>183</v>
      </c>
      <c r="J1242" s="25">
        <v>9.8000000000000007</v>
      </c>
      <c r="K1242" s="25">
        <v>19.7</v>
      </c>
      <c r="L1242" s="25">
        <v>5.7</v>
      </c>
      <c r="M1242" s="25">
        <v>21.7</v>
      </c>
      <c r="N1242" s="25">
        <v>6.5</v>
      </c>
      <c r="O1242" s="25">
        <f t="shared" si="253"/>
        <v>63.400000000000006</v>
      </c>
      <c r="P1242" s="25">
        <v>5</v>
      </c>
      <c r="Q1242" s="25">
        <v>4</v>
      </c>
      <c r="R1242" s="25">
        <v>3</v>
      </c>
      <c r="S1242" s="25">
        <v>5</v>
      </c>
      <c r="T1242" s="25">
        <v>1</v>
      </c>
      <c r="U1242" s="25">
        <f t="shared" si="264"/>
        <v>18</v>
      </c>
      <c r="V1242" s="27">
        <f t="shared" si="259"/>
        <v>3.5222222222222226</v>
      </c>
      <c r="W1242" s="13">
        <f t="shared" si="262"/>
        <v>3.5222222222222226</v>
      </c>
      <c r="X1242" s="25">
        <f t="shared" si="260"/>
        <v>18</v>
      </c>
      <c r="Y1242" s="3">
        <f t="shared" si="263"/>
        <v>1.0673400673400675E-2</v>
      </c>
      <c r="Z1242" s="25"/>
      <c r="AA1242" s="25">
        <f>10*2.2*15</f>
        <v>330</v>
      </c>
      <c r="AB1242" s="25">
        <v>50</v>
      </c>
      <c r="AC1242" s="25" t="s">
        <v>82</v>
      </c>
      <c r="AD1242" s="25" t="s">
        <v>83</v>
      </c>
      <c r="AE1242" s="25">
        <v>15</v>
      </c>
      <c r="AF1242" s="3" t="s">
        <v>143</v>
      </c>
      <c r="AG1242" s="28" t="s">
        <v>315</v>
      </c>
      <c r="AH1242" s="3"/>
    </row>
    <row r="1243" spans="1:34" ht="14.25" customHeight="1" x14ac:dyDescent="0.25">
      <c r="A1243" s="25" t="s">
        <v>174</v>
      </c>
      <c r="B1243" s="25" t="s">
        <v>79</v>
      </c>
      <c r="C1243" s="25"/>
      <c r="D1243" s="25" t="s">
        <v>98</v>
      </c>
      <c r="E1243" s="25">
        <v>1</v>
      </c>
      <c r="F1243" s="25">
        <v>1</v>
      </c>
      <c r="G1243" s="25" t="s">
        <v>3</v>
      </c>
      <c r="H1243" s="26">
        <v>45961</v>
      </c>
      <c r="I1243" s="25" t="s">
        <v>183</v>
      </c>
      <c r="J1243" s="25">
        <v>21.6</v>
      </c>
      <c r="K1243" s="25">
        <v>11</v>
      </c>
      <c r="L1243" s="25">
        <v>30.2</v>
      </c>
      <c r="M1243" s="25">
        <v>39.9</v>
      </c>
      <c r="N1243" s="25">
        <v>2.8</v>
      </c>
      <c r="O1243" s="25">
        <f t="shared" si="253"/>
        <v>105.49999999999999</v>
      </c>
      <c r="P1243" s="25">
        <v>5</v>
      </c>
      <c r="Q1243" s="25">
        <v>4</v>
      </c>
      <c r="R1243" s="25">
        <v>3</v>
      </c>
      <c r="S1243" s="25">
        <v>5</v>
      </c>
      <c r="T1243" s="25">
        <v>1</v>
      </c>
      <c r="U1243" s="25">
        <f t="shared" si="264"/>
        <v>18</v>
      </c>
      <c r="V1243" s="27">
        <f t="shared" si="259"/>
        <v>5.8611111111111107</v>
      </c>
      <c r="W1243" s="13">
        <f t="shared" si="262"/>
        <v>5.8611111111111107</v>
      </c>
      <c r="X1243" s="25">
        <f t="shared" si="260"/>
        <v>18</v>
      </c>
      <c r="Y1243" s="3">
        <f t="shared" si="263"/>
        <v>1.7760942760942759E-2</v>
      </c>
      <c r="Z1243" s="25"/>
      <c r="AA1243" s="25">
        <f t="shared" ref="AA1243:AA1244" si="267">10*2.2*15</f>
        <v>330</v>
      </c>
      <c r="AB1243" s="25">
        <v>50</v>
      </c>
      <c r="AC1243" s="25" t="s">
        <v>82</v>
      </c>
      <c r="AD1243" s="25" t="s">
        <v>83</v>
      </c>
      <c r="AE1243" s="25">
        <v>15</v>
      </c>
      <c r="AF1243" s="3" t="s">
        <v>143</v>
      </c>
      <c r="AG1243" s="28" t="s">
        <v>315</v>
      </c>
      <c r="AH1243" s="3"/>
    </row>
    <row r="1244" spans="1:34" ht="14.25" customHeight="1" x14ac:dyDescent="0.25">
      <c r="A1244" s="25" t="s">
        <v>174</v>
      </c>
      <c r="B1244" s="25" t="s">
        <v>79</v>
      </c>
      <c r="C1244" s="25"/>
      <c r="D1244" s="25" t="s">
        <v>98</v>
      </c>
      <c r="E1244" s="25">
        <v>1</v>
      </c>
      <c r="F1244" s="25">
        <v>1</v>
      </c>
      <c r="G1244" s="25" t="s">
        <v>12</v>
      </c>
      <c r="H1244" s="26">
        <v>45961</v>
      </c>
      <c r="I1244" s="25" t="s">
        <v>183</v>
      </c>
      <c r="J1244" s="25">
        <v>1.8</v>
      </c>
      <c r="K1244" s="25">
        <v>0</v>
      </c>
      <c r="L1244" s="25">
        <v>0</v>
      </c>
      <c r="M1244" s="25">
        <v>0</v>
      </c>
      <c r="N1244" s="25">
        <v>0</v>
      </c>
      <c r="O1244" s="25">
        <f t="shared" si="253"/>
        <v>1.8</v>
      </c>
      <c r="P1244" s="25">
        <v>5</v>
      </c>
      <c r="Q1244" s="25">
        <v>4</v>
      </c>
      <c r="R1244" s="25">
        <v>3</v>
      </c>
      <c r="S1244" s="25">
        <v>5</v>
      </c>
      <c r="T1244" s="25">
        <v>1</v>
      </c>
      <c r="U1244" s="25">
        <f t="shared" si="264"/>
        <v>18</v>
      </c>
      <c r="V1244" s="27">
        <f t="shared" si="259"/>
        <v>0.1</v>
      </c>
      <c r="W1244" s="13">
        <f t="shared" si="262"/>
        <v>0.1</v>
      </c>
      <c r="X1244" s="25">
        <f t="shared" si="260"/>
        <v>18</v>
      </c>
      <c r="Y1244" s="3">
        <f t="shared" si="263"/>
        <v>3.0303030303030303E-4</v>
      </c>
      <c r="Z1244" s="25"/>
      <c r="AA1244" s="25">
        <f t="shared" si="267"/>
        <v>330</v>
      </c>
      <c r="AB1244" s="25">
        <v>50</v>
      </c>
      <c r="AC1244" s="25" t="s">
        <v>82</v>
      </c>
      <c r="AD1244" s="25" t="s">
        <v>83</v>
      </c>
      <c r="AE1244" s="25">
        <v>15</v>
      </c>
      <c r="AF1244" s="3" t="s">
        <v>143</v>
      </c>
      <c r="AG1244" s="28" t="s">
        <v>315</v>
      </c>
      <c r="AH1244" s="3"/>
    </row>
    <row r="1245" spans="1:34" ht="14.25" customHeight="1" x14ac:dyDescent="0.25">
      <c r="A1245" s="25" t="s">
        <v>89</v>
      </c>
      <c r="B1245" s="25" t="s">
        <v>79</v>
      </c>
      <c r="C1245" s="25"/>
      <c r="D1245" s="25" t="s">
        <v>80</v>
      </c>
      <c r="E1245" s="25">
        <v>2</v>
      </c>
      <c r="F1245" s="25">
        <v>1</v>
      </c>
      <c r="G1245" s="3" t="s">
        <v>1</v>
      </c>
      <c r="H1245" s="26">
        <v>45961</v>
      </c>
      <c r="I1245" s="25" t="s">
        <v>183</v>
      </c>
      <c r="J1245" s="25">
        <v>15</v>
      </c>
      <c r="K1245" s="25">
        <v>0</v>
      </c>
      <c r="L1245" s="25">
        <v>13</v>
      </c>
      <c r="M1245" s="25">
        <v>29.6</v>
      </c>
      <c r="N1245" s="25">
        <v>4.8</v>
      </c>
      <c r="O1245" s="25">
        <f t="shared" si="253"/>
        <v>62.4</v>
      </c>
      <c r="P1245" s="25">
        <v>3</v>
      </c>
      <c r="Q1245" s="25">
        <v>3</v>
      </c>
      <c r="R1245" s="25">
        <v>5</v>
      </c>
      <c r="S1245" s="25">
        <v>7</v>
      </c>
      <c r="T1245" s="25">
        <v>3</v>
      </c>
      <c r="U1245" s="25">
        <f t="shared" si="264"/>
        <v>21</v>
      </c>
      <c r="V1245" s="27">
        <f t="shared" si="259"/>
        <v>2.9714285714285715</v>
      </c>
      <c r="W1245" s="13">
        <f t="shared" si="262"/>
        <v>2.9714285714285715</v>
      </c>
      <c r="X1245" s="25">
        <f t="shared" si="260"/>
        <v>21</v>
      </c>
      <c r="Y1245" s="3">
        <f t="shared" si="263"/>
        <v>4.7619047619047623E-3</v>
      </c>
      <c r="Z1245" s="25"/>
      <c r="AA1245" s="25">
        <f>60*2.6*4</f>
        <v>624</v>
      </c>
      <c r="AB1245" s="25">
        <v>145</v>
      </c>
      <c r="AC1245" s="25" t="s">
        <v>82</v>
      </c>
      <c r="AD1245" s="25" t="s">
        <v>83</v>
      </c>
      <c r="AE1245" s="25">
        <v>40</v>
      </c>
      <c r="AF1245" s="3" t="s">
        <v>143</v>
      </c>
      <c r="AG1245" s="28" t="s">
        <v>344</v>
      </c>
      <c r="AH1245" s="3"/>
    </row>
    <row r="1246" spans="1:34" ht="14.25" customHeight="1" x14ac:dyDescent="0.25">
      <c r="A1246" s="25" t="s">
        <v>89</v>
      </c>
      <c r="B1246" s="25" t="s">
        <v>79</v>
      </c>
      <c r="C1246" s="25"/>
      <c r="D1246" s="25" t="s">
        <v>80</v>
      </c>
      <c r="E1246" s="25">
        <v>2</v>
      </c>
      <c r="F1246" s="25">
        <v>1</v>
      </c>
      <c r="G1246" s="3" t="s">
        <v>3</v>
      </c>
      <c r="H1246" s="26">
        <v>45961</v>
      </c>
      <c r="I1246" s="25" t="s">
        <v>183</v>
      </c>
      <c r="J1246" s="25">
        <v>0</v>
      </c>
      <c r="K1246" s="25">
        <v>20</v>
      </c>
      <c r="L1246" s="25">
        <v>12</v>
      </c>
      <c r="M1246" s="25">
        <v>9</v>
      </c>
      <c r="N1246" s="25">
        <v>0</v>
      </c>
      <c r="O1246" s="25">
        <f t="shared" si="253"/>
        <v>41</v>
      </c>
      <c r="P1246" s="25">
        <v>3</v>
      </c>
      <c r="Q1246" s="25">
        <v>3</v>
      </c>
      <c r="R1246" s="25">
        <v>5</v>
      </c>
      <c r="S1246" s="25">
        <v>7</v>
      </c>
      <c r="T1246" s="25">
        <v>3</v>
      </c>
      <c r="U1246" s="25">
        <f t="shared" si="264"/>
        <v>21</v>
      </c>
      <c r="V1246" s="27">
        <f t="shared" si="259"/>
        <v>1.9523809523809523</v>
      </c>
      <c r="W1246" s="13">
        <f t="shared" si="262"/>
        <v>1.9523809523809523</v>
      </c>
      <c r="X1246" s="25">
        <f t="shared" si="260"/>
        <v>21</v>
      </c>
      <c r="Y1246" s="3">
        <f t="shared" si="263"/>
        <v>3.1288156288156285E-3</v>
      </c>
      <c r="Z1246" s="25"/>
      <c r="AA1246" s="25">
        <f t="shared" ref="AA1246:AA1248" si="268">60*2.6*4</f>
        <v>624</v>
      </c>
      <c r="AB1246" s="25">
        <v>145</v>
      </c>
      <c r="AC1246" s="25" t="s">
        <v>82</v>
      </c>
      <c r="AD1246" s="25" t="s">
        <v>83</v>
      </c>
      <c r="AE1246" s="25">
        <v>40</v>
      </c>
      <c r="AF1246" s="3" t="s">
        <v>143</v>
      </c>
      <c r="AG1246" s="28" t="s">
        <v>344</v>
      </c>
      <c r="AH1246" s="3"/>
    </row>
    <row r="1247" spans="1:34" ht="14.25" customHeight="1" x14ac:dyDescent="0.25">
      <c r="A1247" s="25" t="s">
        <v>89</v>
      </c>
      <c r="B1247" s="25" t="s">
        <v>79</v>
      </c>
      <c r="C1247" s="25"/>
      <c r="D1247" s="25" t="s">
        <v>80</v>
      </c>
      <c r="E1247" s="25">
        <v>2</v>
      </c>
      <c r="F1247" s="25">
        <v>1</v>
      </c>
      <c r="G1247" s="3" t="s">
        <v>2</v>
      </c>
      <c r="H1247" s="26">
        <v>45961</v>
      </c>
      <c r="I1247" s="25" t="s">
        <v>183</v>
      </c>
      <c r="J1247" s="25">
        <v>7</v>
      </c>
      <c r="K1247" s="25">
        <v>5</v>
      </c>
      <c r="L1247" s="25">
        <v>4.5</v>
      </c>
      <c r="M1247" s="25">
        <v>18</v>
      </c>
      <c r="N1247" s="25">
        <v>3.8</v>
      </c>
      <c r="O1247" s="25">
        <f t="shared" si="253"/>
        <v>38.299999999999997</v>
      </c>
      <c r="P1247" s="25">
        <v>3</v>
      </c>
      <c r="Q1247" s="25">
        <v>3</v>
      </c>
      <c r="R1247" s="25">
        <v>5</v>
      </c>
      <c r="S1247" s="25">
        <v>7</v>
      </c>
      <c r="T1247" s="25">
        <v>3</v>
      </c>
      <c r="U1247" s="25">
        <f t="shared" si="264"/>
        <v>21</v>
      </c>
      <c r="V1247" s="27">
        <f t="shared" si="259"/>
        <v>1.8238095238095238</v>
      </c>
      <c r="W1247" s="13">
        <f t="shared" si="262"/>
        <v>1.8238095238095238</v>
      </c>
      <c r="X1247" s="25">
        <f t="shared" si="260"/>
        <v>21</v>
      </c>
      <c r="Y1247" s="3">
        <f t="shared" si="263"/>
        <v>2.9227716727716728E-3</v>
      </c>
      <c r="Z1247" s="25"/>
      <c r="AA1247" s="25">
        <f t="shared" si="268"/>
        <v>624</v>
      </c>
      <c r="AB1247" s="25">
        <v>145</v>
      </c>
      <c r="AC1247" s="25" t="s">
        <v>82</v>
      </c>
      <c r="AD1247" s="25" t="s">
        <v>83</v>
      </c>
      <c r="AE1247" s="25">
        <v>40</v>
      </c>
      <c r="AF1247" s="3" t="s">
        <v>143</v>
      </c>
      <c r="AG1247" s="28" t="s">
        <v>344</v>
      </c>
      <c r="AH1247" s="3"/>
    </row>
    <row r="1248" spans="1:34" ht="14.25" customHeight="1" x14ac:dyDescent="0.25">
      <c r="A1248" s="25" t="s">
        <v>89</v>
      </c>
      <c r="B1248" s="25" t="s">
        <v>79</v>
      </c>
      <c r="C1248" s="25"/>
      <c r="D1248" s="25" t="s">
        <v>80</v>
      </c>
      <c r="E1248" s="25">
        <v>2</v>
      </c>
      <c r="F1248" s="25">
        <v>1</v>
      </c>
      <c r="G1248" s="3" t="s">
        <v>25</v>
      </c>
      <c r="H1248" s="26">
        <v>45961</v>
      </c>
      <c r="I1248" s="25" t="s">
        <v>183</v>
      </c>
      <c r="J1248" s="25">
        <v>9</v>
      </c>
      <c r="K1248" s="25">
        <v>0</v>
      </c>
      <c r="L1248" s="25">
        <v>11</v>
      </c>
      <c r="M1248" s="25">
        <v>20.8</v>
      </c>
      <c r="N1248" s="25">
        <v>14</v>
      </c>
      <c r="O1248" s="25">
        <f t="shared" si="253"/>
        <v>54.8</v>
      </c>
      <c r="P1248" s="25">
        <v>3</v>
      </c>
      <c r="Q1248" s="25">
        <v>3</v>
      </c>
      <c r="R1248" s="25">
        <v>5</v>
      </c>
      <c r="S1248" s="25">
        <v>7</v>
      </c>
      <c r="T1248" s="25">
        <v>3</v>
      </c>
      <c r="U1248" s="25">
        <f t="shared" si="264"/>
        <v>21</v>
      </c>
      <c r="V1248" s="27">
        <f t="shared" si="259"/>
        <v>2.6095238095238096</v>
      </c>
      <c r="W1248" s="13">
        <f t="shared" si="262"/>
        <v>2.6095238095238096</v>
      </c>
      <c r="X1248" s="25">
        <f t="shared" si="260"/>
        <v>21</v>
      </c>
      <c r="Y1248" s="3">
        <f t="shared" si="263"/>
        <v>4.1819291819291818E-3</v>
      </c>
      <c r="Z1248" s="25"/>
      <c r="AA1248" s="25">
        <f t="shared" si="268"/>
        <v>624</v>
      </c>
      <c r="AB1248" s="25">
        <v>145</v>
      </c>
      <c r="AC1248" s="25" t="s">
        <v>82</v>
      </c>
      <c r="AD1248" s="25" t="s">
        <v>83</v>
      </c>
      <c r="AE1248" s="25">
        <v>40</v>
      </c>
      <c r="AF1248" s="3" t="s">
        <v>143</v>
      </c>
      <c r="AG1248" s="28" t="s">
        <v>344</v>
      </c>
      <c r="AH1248" s="3"/>
    </row>
    <row r="1249" spans="1:34" ht="14.25" customHeight="1" x14ac:dyDescent="0.25">
      <c r="A1249" s="25" t="s">
        <v>85</v>
      </c>
      <c r="B1249" s="25" t="s">
        <v>79</v>
      </c>
      <c r="C1249" s="25"/>
      <c r="D1249" s="25" t="s">
        <v>80</v>
      </c>
      <c r="E1249" s="25">
        <v>1</v>
      </c>
      <c r="F1249" s="25">
        <v>1</v>
      </c>
      <c r="G1249" s="25" t="s">
        <v>2</v>
      </c>
      <c r="H1249" s="26">
        <v>45961</v>
      </c>
      <c r="I1249" s="25" t="s">
        <v>183</v>
      </c>
      <c r="J1249" s="25">
        <v>31</v>
      </c>
      <c r="K1249" s="25">
        <v>25.7</v>
      </c>
      <c r="L1249" s="25">
        <v>52.3</v>
      </c>
      <c r="M1249" s="25">
        <v>31</v>
      </c>
      <c r="N1249" s="25">
        <v>12</v>
      </c>
      <c r="O1249" s="25">
        <f t="shared" si="253"/>
        <v>152</v>
      </c>
      <c r="P1249" s="25">
        <v>6</v>
      </c>
      <c r="Q1249" s="25">
        <v>5</v>
      </c>
      <c r="R1249" s="25">
        <v>5</v>
      </c>
      <c r="S1249" s="25">
        <v>6</v>
      </c>
      <c r="T1249" s="25">
        <v>2</v>
      </c>
      <c r="U1249" s="25">
        <f t="shared" si="264"/>
        <v>24</v>
      </c>
      <c r="V1249" s="27">
        <f t="shared" si="259"/>
        <v>6.333333333333333</v>
      </c>
      <c r="W1249" s="13">
        <f t="shared" si="262"/>
        <v>6.333333333333333</v>
      </c>
      <c r="X1249" s="25">
        <f t="shared" si="260"/>
        <v>24</v>
      </c>
      <c r="Y1249" s="3" t="e">
        <f t="shared" si="263"/>
        <v>#DIV/0!</v>
      </c>
      <c r="Z1249" s="25"/>
      <c r="AA1249" s="25"/>
      <c r="AB1249" s="25">
        <v>45</v>
      </c>
      <c r="AC1249" s="25" t="s">
        <v>82</v>
      </c>
      <c r="AD1249" s="25" t="s">
        <v>83</v>
      </c>
      <c r="AE1249" s="25">
        <v>20</v>
      </c>
      <c r="AF1249" s="3" t="s">
        <v>143</v>
      </c>
      <c r="AG1249" s="28" t="s">
        <v>258</v>
      </c>
      <c r="AH1249" s="3"/>
    </row>
    <row r="1250" spans="1:34" ht="14.25" customHeight="1" x14ac:dyDescent="0.25">
      <c r="A1250" s="25" t="s">
        <v>85</v>
      </c>
      <c r="B1250" s="25" t="s">
        <v>79</v>
      </c>
      <c r="C1250" s="25"/>
      <c r="D1250" s="25" t="s">
        <v>80</v>
      </c>
      <c r="E1250" s="25">
        <v>1</v>
      </c>
      <c r="F1250" s="25">
        <v>1</v>
      </c>
      <c r="G1250" s="25" t="s">
        <v>14</v>
      </c>
      <c r="H1250" s="26">
        <v>45961</v>
      </c>
      <c r="I1250" s="25" t="s">
        <v>183</v>
      </c>
      <c r="J1250" s="25">
        <v>12.7</v>
      </c>
      <c r="K1250" s="25">
        <v>8.6</v>
      </c>
      <c r="L1250" s="25">
        <v>3.8</v>
      </c>
      <c r="M1250" s="25">
        <v>5.4</v>
      </c>
      <c r="N1250" s="25">
        <v>6.3</v>
      </c>
      <c r="O1250" s="25">
        <f t="shared" si="253"/>
        <v>36.799999999999997</v>
      </c>
      <c r="P1250" s="25">
        <v>6</v>
      </c>
      <c r="Q1250" s="25">
        <v>5</v>
      </c>
      <c r="R1250" s="25">
        <v>5</v>
      </c>
      <c r="S1250" s="25">
        <v>6</v>
      </c>
      <c r="T1250" s="25">
        <v>2</v>
      </c>
      <c r="U1250" s="25">
        <f t="shared" si="264"/>
        <v>24</v>
      </c>
      <c r="V1250" s="27">
        <f t="shared" si="259"/>
        <v>1.5333333333333332</v>
      </c>
      <c r="W1250" s="13">
        <f t="shared" si="262"/>
        <v>1.5333333333333332</v>
      </c>
      <c r="X1250" s="25">
        <f t="shared" si="260"/>
        <v>24</v>
      </c>
      <c r="Y1250" s="3" t="e">
        <f t="shared" si="263"/>
        <v>#DIV/0!</v>
      </c>
      <c r="Z1250" s="25"/>
      <c r="AA1250" s="25"/>
      <c r="AB1250" s="25">
        <v>45</v>
      </c>
      <c r="AC1250" s="25" t="s">
        <v>82</v>
      </c>
      <c r="AD1250" s="25" t="s">
        <v>83</v>
      </c>
      <c r="AE1250" s="25">
        <v>20</v>
      </c>
      <c r="AF1250" s="3" t="s">
        <v>143</v>
      </c>
      <c r="AG1250" s="28" t="s">
        <v>258</v>
      </c>
      <c r="AH1250" s="3"/>
    </row>
    <row r="1251" spans="1:34" ht="14.25" customHeight="1" x14ac:dyDescent="0.25">
      <c r="A1251" s="25" t="s">
        <v>85</v>
      </c>
      <c r="B1251" s="25" t="s">
        <v>79</v>
      </c>
      <c r="C1251" s="25"/>
      <c r="D1251" s="25" t="s">
        <v>80</v>
      </c>
      <c r="E1251" s="25">
        <v>1</v>
      </c>
      <c r="F1251" s="25">
        <v>1</v>
      </c>
      <c r="G1251" s="25" t="s">
        <v>25</v>
      </c>
      <c r="H1251" s="26">
        <v>45961</v>
      </c>
      <c r="I1251" s="25" t="s">
        <v>183</v>
      </c>
      <c r="J1251" s="25">
        <v>0</v>
      </c>
      <c r="K1251" s="25">
        <v>8.6</v>
      </c>
      <c r="L1251" s="25">
        <v>7</v>
      </c>
      <c r="M1251" s="25">
        <v>11</v>
      </c>
      <c r="N1251" s="25">
        <v>0</v>
      </c>
      <c r="O1251" s="25">
        <f t="shared" si="253"/>
        <v>26.6</v>
      </c>
      <c r="P1251" s="25">
        <v>6</v>
      </c>
      <c r="Q1251" s="25">
        <v>5</v>
      </c>
      <c r="R1251" s="25">
        <v>5</v>
      </c>
      <c r="S1251" s="25">
        <v>6</v>
      </c>
      <c r="T1251" s="25">
        <v>2</v>
      </c>
      <c r="U1251" s="25">
        <f t="shared" si="264"/>
        <v>24</v>
      </c>
      <c r="V1251" s="27">
        <f t="shared" si="259"/>
        <v>1.1083333333333334</v>
      </c>
      <c r="W1251" s="13">
        <f t="shared" si="262"/>
        <v>1.1083333333333334</v>
      </c>
      <c r="X1251" s="25">
        <f t="shared" si="260"/>
        <v>24</v>
      </c>
      <c r="Y1251" s="3" t="e">
        <f t="shared" si="263"/>
        <v>#DIV/0!</v>
      </c>
      <c r="Z1251" s="25"/>
      <c r="AA1251" s="25"/>
      <c r="AB1251" s="25">
        <v>45</v>
      </c>
      <c r="AC1251" s="25" t="s">
        <v>82</v>
      </c>
      <c r="AD1251" s="25" t="s">
        <v>83</v>
      </c>
      <c r="AE1251" s="25">
        <v>20</v>
      </c>
      <c r="AF1251" s="3" t="s">
        <v>143</v>
      </c>
      <c r="AG1251" s="28" t="s">
        <v>258</v>
      </c>
      <c r="AH1251" s="3"/>
    </row>
    <row r="1252" spans="1:34" ht="14.25" customHeight="1" x14ac:dyDescent="0.25">
      <c r="A1252" s="3" t="s">
        <v>106</v>
      </c>
      <c r="B1252" s="3" t="s">
        <v>171</v>
      </c>
      <c r="C1252" s="3"/>
      <c r="D1252" s="3" t="s">
        <v>187</v>
      </c>
      <c r="E1252" s="3">
        <v>2</v>
      </c>
      <c r="F1252" s="3">
        <v>1</v>
      </c>
      <c r="G1252" s="3" t="s">
        <v>2</v>
      </c>
      <c r="H1252" s="11">
        <v>45961</v>
      </c>
      <c r="I1252" s="3" t="s">
        <v>188</v>
      </c>
      <c r="J1252" s="3">
        <v>0</v>
      </c>
      <c r="K1252" s="3">
        <v>6</v>
      </c>
      <c r="L1252" s="3">
        <v>10</v>
      </c>
      <c r="M1252" s="3">
        <f>15+10+9+12</f>
        <v>46</v>
      </c>
      <c r="N1252" s="3">
        <f>11+18</f>
        <v>29</v>
      </c>
      <c r="O1252" s="3">
        <f>SUM(J1252:N1252)</f>
        <v>91</v>
      </c>
      <c r="P1252" s="3">
        <v>6</v>
      </c>
      <c r="Q1252" s="3">
        <v>4</v>
      </c>
      <c r="R1252" s="3">
        <v>6</v>
      </c>
      <c r="S1252" s="3">
        <v>7</v>
      </c>
      <c r="T1252" s="3">
        <v>2</v>
      </c>
      <c r="U1252" s="3">
        <f>SUM(P1252:T1252)</f>
        <v>25</v>
      </c>
      <c r="V1252" s="13">
        <f>O1252/U1252/F1252</f>
        <v>3.64</v>
      </c>
      <c r="W1252" s="13">
        <f t="shared" si="262"/>
        <v>3.64</v>
      </c>
      <c r="X1252" s="3">
        <f>F1252*U1252</f>
        <v>25</v>
      </c>
      <c r="Y1252" s="3" t="e">
        <f t="shared" si="263"/>
        <v>#DIV/0!</v>
      </c>
      <c r="Z1252" s="3"/>
      <c r="AA1252" s="3"/>
      <c r="AB1252" s="3"/>
      <c r="AC1252" s="3" t="s">
        <v>82</v>
      </c>
      <c r="AD1252" s="3" t="s">
        <v>83</v>
      </c>
      <c r="AE1252" s="3">
        <v>40</v>
      </c>
      <c r="AF1252" s="3" t="s">
        <v>102</v>
      </c>
      <c r="AG1252" s="3" t="s">
        <v>189</v>
      </c>
      <c r="AH1252" s="3"/>
    </row>
    <row r="1253" spans="1:34" ht="14.25" customHeight="1" x14ac:dyDescent="0.25">
      <c r="A1253" s="3" t="s">
        <v>106</v>
      </c>
      <c r="B1253" s="3" t="s">
        <v>171</v>
      </c>
      <c r="C1253" s="3"/>
      <c r="D1253" s="3" t="s">
        <v>187</v>
      </c>
      <c r="E1253" s="3">
        <v>2</v>
      </c>
      <c r="F1253" s="3">
        <v>1</v>
      </c>
      <c r="G1253" s="3" t="s">
        <v>14</v>
      </c>
      <c r="H1253" s="11">
        <v>45961</v>
      </c>
      <c r="I1253" s="3" t="s">
        <v>188</v>
      </c>
      <c r="J1253" s="3">
        <f>7+9+4+10+7</f>
        <v>37</v>
      </c>
      <c r="K1253" s="3">
        <f>12+9+7</f>
        <v>28</v>
      </c>
      <c r="L1253" s="3">
        <f>9+11+18</f>
        <v>38</v>
      </c>
      <c r="M1253" s="3">
        <f>11+13+9</f>
        <v>33</v>
      </c>
      <c r="N1253" s="3">
        <v>0</v>
      </c>
      <c r="O1253" s="3">
        <f t="shared" ref="O1253:O1315" si="269">SUM(J1253:N1253)</f>
        <v>136</v>
      </c>
      <c r="P1253" s="3">
        <v>6</v>
      </c>
      <c r="Q1253" s="3">
        <v>4</v>
      </c>
      <c r="R1253" s="3">
        <v>6</v>
      </c>
      <c r="S1253" s="3">
        <v>7</v>
      </c>
      <c r="T1253" s="3">
        <v>2</v>
      </c>
      <c r="U1253" s="3">
        <f t="shared" ref="U1253:U1259" si="270">SUM(P1253:T1253)</f>
        <v>25</v>
      </c>
      <c r="V1253" s="13">
        <f t="shared" ref="V1253:V1315" si="271">O1253/U1253/F1253</f>
        <v>5.44</v>
      </c>
      <c r="W1253" s="13">
        <f t="shared" si="262"/>
        <v>5.44</v>
      </c>
      <c r="X1253" s="3">
        <f t="shared" ref="X1253:X1315" si="272">F1253*U1253</f>
        <v>25</v>
      </c>
      <c r="Y1253" s="3" t="e">
        <f t="shared" si="263"/>
        <v>#DIV/0!</v>
      </c>
      <c r="Z1253" s="3"/>
      <c r="AA1253" s="3"/>
      <c r="AB1253" s="3"/>
      <c r="AC1253" s="3" t="s">
        <v>82</v>
      </c>
      <c r="AD1253" s="3" t="s">
        <v>83</v>
      </c>
      <c r="AE1253" s="3">
        <v>40</v>
      </c>
      <c r="AF1253" s="3" t="s">
        <v>102</v>
      </c>
      <c r="AG1253" s="3" t="s">
        <v>189</v>
      </c>
      <c r="AH1253" s="3"/>
    </row>
    <row r="1254" spans="1:34" ht="14.25" customHeight="1" x14ac:dyDescent="0.25">
      <c r="A1254" s="3" t="s">
        <v>106</v>
      </c>
      <c r="B1254" s="3" t="s">
        <v>171</v>
      </c>
      <c r="C1254" s="3"/>
      <c r="D1254" s="3" t="s">
        <v>187</v>
      </c>
      <c r="E1254" s="3">
        <v>2</v>
      </c>
      <c r="F1254" s="3">
        <v>1</v>
      </c>
      <c r="G1254" s="3" t="s">
        <v>16</v>
      </c>
      <c r="H1254" s="11">
        <v>45961</v>
      </c>
      <c r="I1254" s="3" t="s">
        <v>188</v>
      </c>
      <c r="J1254" s="3">
        <f>8+5+9</f>
        <v>22</v>
      </c>
      <c r="K1254" s="3">
        <v>7</v>
      </c>
      <c r="L1254" s="3">
        <v>6</v>
      </c>
      <c r="M1254" s="3">
        <v>10</v>
      </c>
      <c r="N1254" s="3">
        <v>0</v>
      </c>
      <c r="O1254" s="3">
        <f t="shared" si="269"/>
        <v>45</v>
      </c>
      <c r="P1254" s="3">
        <v>6</v>
      </c>
      <c r="Q1254" s="3">
        <v>4</v>
      </c>
      <c r="R1254" s="3">
        <v>6</v>
      </c>
      <c r="S1254" s="3">
        <v>7</v>
      </c>
      <c r="T1254" s="3">
        <v>2</v>
      </c>
      <c r="U1254" s="3">
        <f t="shared" si="270"/>
        <v>25</v>
      </c>
      <c r="V1254" s="13">
        <f t="shared" si="271"/>
        <v>1.8</v>
      </c>
      <c r="W1254" s="13">
        <f t="shared" si="262"/>
        <v>1.8</v>
      </c>
      <c r="X1254" s="3">
        <f t="shared" si="272"/>
        <v>25</v>
      </c>
      <c r="Y1254" s="3" t="e">
        <f t="shared" si="263"/>
        <v>#DIV/0!</v>
      </c>
      <c r="Z1254" s="3"/>
      <c r="AA1254" s="3"/>
      <c r="AB1254" s="3"/>
      <c r="AC1254" s="3" t="s">
        <v>82</v>
      </c>
      <c r="AD1254" s="3" t="s">
        <v>83</v>
      </c>
      <c r="AE1254" s="3">
        <v>40</v>
      </c>
      <c r="AF1254" s="3" t="s">
        <v>102</v>
      </c>
      <c r="AG1254" s="3" t="s">
        <v>189</v>
      </c>
      <c r="AH1254" s="3"/>
    </row>
    <row r="1255" spans="1:34" ht="14.25" customHeight="1" x14ac:dyDescent="0.25">
      <c r="A1255" s="3" t="s">
        <v>106</v>
      </c>
      <c r="B1255" s="3" t="s">
        <v>171</v>
      </c>
      <c r="C1255" s="3"/>
      <c r="D1255" s="3" t="s">
        <v>187</v>
      </c>
      <c r="E1255" s="3">
        <v>2</v>
      </c>
      <c r="F1255" s="3">
        <v>1</v>
      </c>
      <c r="G1255" s="3" t="s">
        <v>18</v>
      </c>
      <c r="H1255" s="11">
        <v>45961</v>
      </c>
      <c r="I1255" s="3" t="s">
        <v>188</v>
      </c>
      <c r="J1255" s="3">
        <f>5+4+7</f>
        <v>16</v>
      </c>
      <c r="K1255" s="3">
        <v>0</v>
      </c>
      <c r="L1255" s="3">
        <v>8</v>
      </c>
      <c r="M1255" s="3">
        <v>0</v>
      </c>
      <c r="N1255" s="3">
        <v>0</v>
      </c>
      <c r="O1255" s="3">
        <f t="shared" si="269"/>
        <v>24</v>
      </c>
      <c r="P1255" s="3">
        <v>6</v>
      </c>
      <c r="Q1255" s="3">
        <v>4</v>
      </c>
      <c r="R1255" s="3">
        <v>6</v>
      </c>
      <c r="S1255" s="3">
        <v>7</v>
      </c>
      <c r="T1255" s="3">
        <v>2</v>
      </c>
      <c r="U1255" s="3">
        <f t="shared" si="270"/>
        <v>25</v>
      </c>
      <c r="V1255" s="13">
        <f t="shared" si="271"/>
        <v>0.96</v>
      </c>
      <c r="W1255" s="13">
        <f t="shared" si="262"/>
        <v>0.96</v>
      </c>
      <c r="X1255" s="3">
        <f t="shared" si="272"/>
        <v>25</v>
      </c>
      <c r="Y1255" s="3" t="e">
        <f t="shared" si="263"/>
        <v>#DIV/0!</v>
      </c>
      <c r="Z1255" s="3"/>
      <c r="AA1255" s="3"/>
      <c r="AB1255" s="3"/>
      <c r="AC1255" s="3" t="s">
        <v>82</v>
      </c>
      <c r="AD1255" s="3" t="s">
        <v>83</v>
      </c>
      <c r="AE1255" s="3">
        <v>40</v>
      </c>
      <c r="AF1255" s="3" t="s">
        <v>102</v>
      </c>
      <c r="AG1255" s="3" t="s">
        <v>189</v>
      </c>
      <c r="AH1255" s="3"/>
    </row>
    <row r="1256" spans="1:34" ht="14.25" customHeight="1" x14ac:dyDescent="0.25">
      <c r="A1256" s="3" t="s">
        <v>106</v>
      </c>
      <c r="B1256" s="3" t="s">
        <v>171</v>
      </c>
      <c r="C1256" s="3"/>
      <c r="D1256" s="3" t="s">
        <v>187</v>
      </c>
      <c r="E1256" s="3">
        <v>2</v>
      </c>
      <c r="F1256" s="3">
        <v>1</v>
      </c>
      <c r="G1256" s="3" t="s">
        <v>25</v>
      </c>
      <c r="H1256" s="11">
        <v>45961</v>
      </c>
      <c r="I1256" s="3" t="s">
        <v>188</v>
      </c>
      <c r="J1256" s="3">
        <v>0</v>
      </c>
      <c r="K1256" s="3">
        <v>0</v>
      </c>
      <c r="L1256" s="3">
        <v>15</v>
      </c>
      <c r="M1256" s="3">
        <v>0</v>
      </c>
      <c r="N1256" s="3">
        <v>0</v>
      </c>
      <c r="O1256" s="3">
        <f t="shared" si="269"/>
        <v>15</v>
      </c>
      <c r="P1256" s="3">
        <v>6</v>
      </c>
      <c r="Q1256" s="3">
        <v>4</v>
      </c>
      <c r="R1256" s="3">
        <v>6</v>
      </c>
      <c r="S1256" s="3">
        <v>7</v>
      </c>
      <c r="T1256" s="3">
        <v>2</v>
      </c>
      <c r="U1256" s="3">
        <f t="shared" si="270"/>
        <v>25</v>
      </c>
      <c r="V1256" s="13">
        <f t="shared" si="271"/>
        <v>0.6</v>
      </c>
      <c r="W1256" s="13">
        <f t="shared" si="262"/>
        <v>0.6</v>
      </c>
      <c r="X1256" s="3">
        <f t="shared" si="272"/>
        <v>25</v>
      </c>
      <c r="Y1256" s="3" t="e">
        <f t="shared" si="263"/>
        <v>#DIV/0!</v>
      </c>
      <c r="Z1256" s="3"/>
      <c r="AA1256" s="3"/>
      <c r="AB1256" s="3"/>
      <c r="AC1256" s="3" t="s">
        <v>82</v>
      </c>
      <c r="AD1256" s="3" t="s">
        <v>83</v>
      </c>
      <c r="AE1256" s="3">
        <v>40</v>
      </c>
      <c r="AF1256" s="3" t="s">
        <v>102</v>
      </c>
      <c r="AG1256" s="3" t="s">
        <v>189</v>
      </c>
      <c r="AH1256" s="3"/>
    </row>
    <row r="1257" spans="1:34" ht="14.25" customHeight="1" x14ac:dyDescent="0.25">
      <c r="A1257" s="3" t="s">
        <v>190</v>
      </c>
      <c r="B1257" s="3" t="s">
        <v>171</v>
      </c>
      <c r="C1257" s="3"/>
      <c r="D1257" s="3" t="s">
        <v>187</v>
      </c>
      <c r="E1257" s="3">
        <v>2</v>
      </c>
      <c r="F1257" s="3">
        <v>1</v>
      </c>
      <c r="G1257" s="3" t="s">
        <v>1</v>
      </c>
      <c r="H1257" s="11">
        <v>45961</v>
      </c>
      <c r="I1257" s="3" t="s">
        <v>183</v>
      </c>
      <c r="J1257" s="3">
        <f>25+30+15</f>
        <v>70</v>
      </c>
      <c r="K1257" s="3">
        <f>12+14</f>
        <v>26</v>
      </c>
      <c r="L1257" s="3">
        <f>30+50+90</f>
        <v>170</v>
      </c>
      <c r="M1257" s="3">
        <f>40+35+25</f>
        <v>100</v>
      </c>
      <c r="N1257" s="3">
        <v>11</v>
      </c>
      <c r="O1257" s="3">
        <f t="shared" si="269"/>
        <v>377</v>
      </c>
      <c r="P1257" s="3">
        <v>5</v>
      </c>
      <c r="Q1257" s="3">
        <v>5</v>
      </c>
      <c r="R1257" s="3">
        <v>5</v>
      </c>
      <c r="S1257" s="3">
        <v>5</v>
      </c>
      <c r="T1257" s="3">
        <v>2</v>
      </c>
      <c r="U1257" s="3">
        <f t="shared" si="270"/>
        <v>22</v>
      </c>
      <c r="V1257" s="13">
        <f t="shared" si="271"/>
        <v>17.136363636363637</v>
      </c>
      <c r="W1257" s="13">
        <f t="shared" si="262"/>
        <v>17.136363636363637</v>
      </c>
      <c r="X1257" s="3">
        <f t="shared" si="272"/>
        <v>22</v>
      </c>
      <c r="Y1257" s="3">
        <f t="shared" si="263"/>
        <v>4.7601010101010102E-2</v>
      </c>
      <c r="Z1257" s="3"/>
      <c r="AA1257" s="3">
        <f>15*2*12</f>
        <v>360</v>
      </c>
      <c r="AB1257" s="3"/>
      <c r="AC1257" s="3" t="s">
        <v>82</v>
      </c>
      <c r="AD1257" s="3" t="s">
        <v>83</v>
      </c>
      <c r="AE1257" s="3">
        <v>15</v>
      </c>
      <c r="AF1257" s="3" t="s">
        <v>102</v>
      </c>
      <c r="AG1257" s="3"/>
      <c r="AH1257" s="3"/>
    </row>
    <row r="1258" spans="1:34" ht="14.25" customHeight="1" x14ac:dyDescent="0.25">
      <c r="A1258" s="3" t="s">
        <v>190</v>
      </c>
      <c r="B1258" s="3" t="s">
        <v>171</v>
      </c>
      <c r="C1258" s="3"/>
      <c r="D1258" s="3" t="s">
        <v>187</v>
      </c>
      <c r="E1258" s="3">
        <v>2</v>
      </c>
      <c r="F1258" s="3">
        <v>1</v>
      </c>
      <c r="G1258" s="3" t="s">
        <v>3</v>
      </c>
      <c r="H1258" s="11">
        <v>45961</v>
      </c>
      <c r="I1258" s="3" t="s">
        <v>183</v>
      </c>
      <c r="J1258" s="3">
        <f>20+55</f>
        <v>75</v>
      </c>
      <c r="K1258" s="3">
        <f>25+75+28</f>
        <v>128</v>
      </c>
      <c r="L1258" s="3">
        <f>15+45+60</f>
        <v>120</v>
      </c>
      <c r="M1258" s="3">
        <f>70+85</f>
        <v>155</v>
      </c>
      <c r="N1258" s="3">
        <v>35</v>
      </c>
      <c r="O1258" s="3">
        <f t="shared" si="269"/>
        <v>513</v>
      </c>
      <c r="P1258" s="3">
        <v>5</v>
      </c>
      <c r="Q1258" s="3">
        <v>5</v>
      </c>
      <c r="R1258" s="3">
        <v>5</v>
      </c>
      <c r="S1258" s="3">
        <v>5</v>
      </c>
      <c r="T1258" s="3">
        <v>2</v>
      </c>
      <c r="U1258" s="3">
        <f t="shared" si="270"/>
        <v>22</v>
      </c>
      <c r="V1258" s="13">
        <f t="shared" si="271"/>
        <v>23.318181818181817</v>
      </c>
      <c r="W1258" s="13">
        <f t="shared" si="262"/>
        <v>23.318181818181817</v>
      </c>
      <c r="X1258" s="3">
        <f t="shared" si="272"/>
        <v>22</v>
      </c>
      <c r="Y1258" s="3">
        <f t="shared" si="263"/>
        <v>6.4772727272727273E-2</v>
      </c>
      <c r="Z1258" s="3"/>
      <c r="AA1258" s="3">
        <f>15*2*12</f>
        <v>360</v>
      </c>
      <c r="AB1258" s="3"/>
      <c r="AC1258" s="3" t="s">
        <v>82</v>
      </c>
      <c r="AD1258" s="3" t="s">
        <v>83</v>
      </c>
      <c r="AE1258" s="3">
        <v>15</v>
      </c>
      <c r="AF1258" s="3" t="s">
        <v>102</v>
      </c>
      <c r="AG1258" s="3"/>
      <c r="AH1258" s="3"/>
    </row>
    <row r="1259" spans="1:34" ht="14.25" customHeight="1" x14ac:dyDescent="0.25">
      <c r="A1259" s="3" t="s">
        <v>154</v>
      </c>
      <c r="B1259" s="3" t="s">
        <v>171</v>
      </c>
      <c r="C1259" s="3"/>
      <c r="D1259" s="3" t="s">
        <v>187</v>
      </c>
      <c r="E1259" s="3">
        <v>1</v>
      </c>
      <c r="F1259" s="3">
        <v>1</v>
      </c>
      <c r="G1259" s="3" t="s">
        <v>2</v>
      </c>
      <c r="H1259" s="11">
        <v>45961</v>
      </c>
      <c r="I1259" s="3" t="s">
        <v>183</v>
      </c>
      <c r="J1259" s="3">
        <f>7+1+2+4+4+2</f>
        <v>20</v>
      </c>
      <c r="K1259" s="3">
        <f>12+14+10+11</f>
        <v>47</v>
      </c>
      <c r="L1259" s="3">
        <f>20+22+21+17</f>
        <v>80</v>
      </c>
      <c r="M1259" s="3">
        <f>12+9+13+8+30+27+3</f>
        <v>102</v>
      </c>
      <c r="N1259" s="3">
        <v>0</v>
      </c>
      <c r="O1259" s="3">
        <f t="shared" si="269"/>
        <v>249</v>
      </c>
      <c r="P1259" s="3">
        <v>6</v>
      </c>
      <c r="Q1259" s="3">
        <v>4</v>
      </c>
      <c r="R1259" s="3">
        <v>5</v>
      </c>
      <c r="S1259" s="3">
        <v>7</v>
      </c>
      <c r="T1259" s="3">
        <v>1</v>
      </c>
      <c r="U1259" s="3">
        <f t="shared" si="270"/>
        <v>23</v>
      </c>
      <c r="V1259" s="13">
        <f t="shared" si="271"/>
        <v>10.826086956521738</v>
      </c>
      <c r="W1259" s="13">
        <f t="shared" si="262"/>
        <v>10.826086956521738</v>
      </c>
      <c r="X1259" s="3">
        <f t="shared" si="272"/>
        <v>23</v>
      </c>
      <c r="Y1259" s="3" t="e">
        <f t="shared" si="263"/>
        <v>#DIV/0!</v>
      </c>
      <c r="Z1259" s="3"/>
      <c r="AA1259" s="3"/>
      <c r="AB1259" s="3">
        <v>90</v>
      </c>
      <c r="AC1259" s="3" t="s">
        <v>82</v>
      </c>
      <c r="AD1259" s="3" t="s">
        <v>83</v>
      </c>
      <c r="AE1259" s="3">
        <v>50</v>
      </c>
      <c r="AF1259" s="3" t="s">
        <v>102</v>
      </c>
      <c r="AG1259" s="3" t="s">
        <v>273</v>
      </c>
      <c r="AH1259" s="3"/>
    </row>
    <row r="1260" spans="1:34" ht="14.25" customHeight="1" x14ac:dyDescent="0.25">
      <c r="A1260" s="3" t="s">
        <v>154</v>
      </c>
      <c r="B1260" s="3" t="s">
        <v>171</v>
      </c>
      <c r="C1260" s="3"/>
      <c r="D1260" s="3" t="s">
        <v>187</v>
      </c>
      <c r="E1260" s="3">
        <v>1</v>
      </c>
      <c r="F1260" s="3">
        <v>1</v>
      </c>
      <c r="G1260" s="3" t="s">
        <v>18</v>
      </c>
      <c r="H1260" s="11">
        <v>45961</v>
      </c>
      <c r="I1260" s="3" t="s">
        <v>183</v>
      </c>
      <c r="J1260" s="3">
        <v>25</v>
      </c>
      <c r="K1260" s="3">
        <v>2</v>
      </c>
      <c r="L1260" s="3">
        <v>7</v>
      </c>
      <c r="M1260" s="3">
        <v>9</v>
      </c>
      <c r="N1260" s="3">
        <v>10</v>
      </c>
      <c r="O1260" s="3">
        <f t="shared" si="269"/>
        <v>53</v>
      </c>
      <c r="P1260" s="3">
        <v>6</v>
      </c>
      <c r="Q1260" s="3">
        <v>4</v>
      </c>
      <c r="R1260" s="3">
        <v>5</v>
      </c>
      <c r="S1260" s="3">
        <v>7</v>
      </c>
      <c r="T1260" s="3">
        <v>1</v>
      </c>
      <c r="U1260" s="3">
        <f t="shared" ref="U1260:U1261" si="273">SUM(P1260:T1260)</f>
        <v>23</v>
      </c>
      <c r="V1260" s="13">
        <f t="shared" si="271"/>
        <v>2.3043478260869565</v>
      </c>
      <c r="W1260" s="13">
        <f t="shared" si="262"/>
        <v>2.3043478260869565</v>
      </c>
      <c r="X1260" s="3">
        <f t="shared" si="272"/>
        <v>23</v>
      </c>
      <c r="Y1260" s="3" t="e">
        <f t="shared" si="263"/>
        <v>#DIV/0!</v>
      </c>
      <c r="Z1260" s="3"/>
      <c r="AA1260" s="3"/>
      <c r="AB1260" s="3">
        <v>90</v>
      </c>
      <c r="AC1260" s="3" t="s">
        <v>82</v>
      </c>
      <c r="AD1260" s="3" t="s">
        <v>83</v>
      </c>
      <c r="AE1260" s="3">
        <v>50</v>
      </c>
      <c r="AF1260" s="3" t="s">
        <v>102</v>
      </c>
      <c r="AG1260" s="3" t="s">
        <v>273</v>
      </c>
      <c r="AH1260" s="3"/>
    </row>
    <row r="1261" spans="1:34" ht="14.25" customHeight="1" x14ac:dyDescent="0.25">
      <c r="A1261" s="3" t="s">
        <v>154</v>
      </c>
      <c r="B1261" s="3" t="s">
        <v>171</v>
      </c>
      <c r="C1261" s="3"/>
      <c r="D1261" s="3" t="s">
        <v>187</v>
      </c>
      <c r="E1261" s="3">
        <v>1</v>
      </c>
      <c r="F1261" s="3">
        <v>1</v>
      </c>
      <c r="G1261" s="3" t="s">
        <v>25</v>
      </c>
      <c r="H1261" s="11">
        <v>45961</v>
      </c>
      <c r="I1261" s="3" t="s">
        <v>183</v>
      </c>
      <c r="J1261" s="3">
        <v>42</v>
      </c>
      <c r="K1261" s="3">
        <f>10+9+27</f>
        <v>46</v>
      </c>
      <c r="L1261" s="3">
        <f>40+32+7</f>
        <v>79</v>
      </c>
      <c r="M1261" s="3">
        <f>19+15</f>
        <v>34</v>
      </c>
      <c r="N1261" s="3">
        <v>0</v>
      </c>
      <c r="O1261" s="3">
        <f t="shared" si="269"/>
        <v>201</v>
      </c>
      <c r="P1261" s="3">
        <v>6</v>
      </c>
      <c r="Q1261" s="3">
        <v>4</v>
      </c>
      <c r="R1261" s="3">
        <v>5</v>
      </c>
      <c r="S1261" s="3">
        <v>7</v>
      </c>
      <c r="T1261" s="3">
        <v>1</v>
      </c>
      <c r="U1261" s="3">
        <f t="shared" si="273"/>
        <v>23</v>
      </c>
      <c r="V1261" s="13">
        <f t="shared" si="271"/>
        <v>8.7391304347826093</v>
      </c>
      <c r="W1261" s="13">
        <f t="shared" si="262"/>
        <v>8.7391304347826093</v>
      </c>
      <c r="X1261" s="3">
        <f t="shared" si="272"/>
        <v>23</v>
      </c>
      <c r="Y1261" s="3" t="e">
        <f t="shared" si="263"/>
        <v>#DIV/0!</v>
      </c>
      <c r="Z1261" s="3"/>
      <c r="AA1261" s="3"/>
      <c r="AB1261" s="3">
        <v>90</v>
      </c>
      <c r="AC1261" s="3" t="s">
        <v>82</v>
      </c>
      <c r="AD1261" s="3" t="s">
        <v>83</v>
      </c>
      <c r="AE1261" s="3">
        <v>50</v>
      </c>
      <c r="AF1261" s="3" t="s">
        <v>102</v>
      </c>
      <c r="AG1261" s="3" t="s">
        <v>273</v>
      </c>
      <c r="AH1261" s="3"/>
    </row>
    <row r="1262" spans="1:34" ht="14.25" customHeight="1" x14ac:dyDescent="0.25">
      <c r="A1262" s="3" t="s">
        <v>110</v>
      </c>
      <c r="B1262" s="3" t="s">
        <v>171</v>
      </c>
      <c r="C1262" s="3"/>
      <c r="D1262" s="3" t="s">
        <v>187</v>
      </c>
      <c r="E1262" s="3">
        <v>2</v>
      </c>
      <c r="F1262" s="3">
        <v>1</v>
      </c>
      <c r="G1262" s="3" t="s">
        <v>3</v>
      </c>
      <c r="H1262" s="11">
        <v>45961</v>
      </c>
      <c r="I1262" s="3" t="s">
        <v>183</v>
      </c>
      <c r="J1262" s="3">
        <f>30+40+180</f>
        <v>250</v>
      </c>
      <c r="K1262" s="3">
        <v>100</v>
      </c>
      <c r="L1262" s="3">
        <f>160+70</f>
        <v>230</v>
      </c>
      <c r="M1262" s="3">
        <f>90+250</f>
        <v>340</v>
      </c>
      <c r="N1262" s="3">
        <v>0</v>
      </c>
      <c r="O1262" s="3">
        <f t="shared" si="269"/>
        <v>920</v>
      </c>
      <c r="P1262" s="3">
        <v>5</v>
      </c>
      <c r="Q1262" s="3">
        <v>4</v>
      </c>
      <c r="R1262" s="3">
        <v>4</v>
      </c>
      <c r="S1262" s="3">
        <v>4</v>
      </c>
      <c r="T1262" s="3">
        <v>1</v>
      </c>
      <c r="U1262" s="3">
        <v>25</v>
      </c>
      <c r="V1262" s="13">
        <f t="shared" si="271"/>
        <v>36.799999999999997</v>
      </c>
      <c r="W1262" s="13">
        <f t="shared" si="262"/>
        <v>36.799999999999997</v>
      </c>
      <c r="X1262" s="3">
        <f t="shared" si="272"/>
        <v>25</v>
      </c>
      <c r="Y1262" s="3">
        <f t="shared" si="263"/>
        <v>5.1111111111111107E-2</v>
      </c>
      <c r="Z1262" s="3"/>
      <c r="AA1262" s="3">
        <f>60*3*4</f>
        <v>720</v>
      </c>
      <c r="AB1262" s="3">
        <v>30</v>
      </c>
      <c r="AC1262" s="3" t="s">
        <v>82</v>
      </c>
      <c r="AD1262" s="3" t="s">
        <v>83</v>
      </c>
      <c r="AE1262" s="3">
        <v>15</v>
      </c>
      <c r="AF1262" s="3" t="s">
        <v>102</v>
      </c>
      <c r="AG1262" s="3" t="s">
        <v>274</v>
      </c>
      <c r="AH1262" s="3"/>
    </row>
    <row r="1263" spans="1:34" ht="14.25" customHeight="1" x14ac:dyDescent="0.25">
      <c r="A1263" s="3" t="s">
        <v>110</v>
      </c>
      <c r="B1263" s="3" t="s">
        <v>171</v>
      </c>
      <c r="C1263" s="3"/>
      <c r="D1263" s="3" t="s">
        <v>187</v>
      </c>
      <c r="E1263" s="3">
        <v>2</v>
      </c>
      <c r="F1263" s="3">
        <v>1</v>
      </c>
      <c r="G1263" s="3" t="s">
        <v>2</v>
      </c>
      <c r="H1263" s="11">
        <v>45961</v>
      </c>
      <c r="I1263" s="3" t="s">
        <v>183</v>
      </c>
      <c r="J1263" s="3">
        <v>41</v>
      </c>
      <c r="K1263" s="3">
        <v>25</v>
      </c>
      <c r="L1263" s="3">
        <f>15+46</f>
        <v>61</v>
      </c>
      <c r="M1263" s="3">
        <v>56</v>
      </c>
      <c r="N1263" s="3">
        <v>78</v>
      </c>
      <c r="O1263" s="3">
        <f t="shared" si="269"/>
        <v>261</v>
      </c>
      <c r="P1263" s="3">
        <v>5</v>
      </c>
      <c r="Q1263" s="3">
        <v>4</v>
      </c>
      <c r="R1263" s="3">
        <v>4</v>
      </c>
      <c r="S1263" s="3">
        <v>4</v>
      </c>
      <c r="T1263" s="3">
        <v>1</v>
      </c>
      <c r="U1263" s="3">
        <v>25</v>
      </c>
      <c r="V1263" s="13">
        <f t="shared" si="271"/>
        <v>10.44</v>
      </c>
      <c r="W1263" s="13">
        <f t="shared" si="262"/>
        <v>10.44</v>
      </c>
      <c r="X1263" s="3">
        <f t="shared" si="272"/>
        <v>25</v>
      </c>
      <c r="Y1263" s="3">
        <f t="shared" si="263"/>
        <v>1.4499999999999999E-2</v>
      </c>
      <c r="Z1263" s="3"/>
      <c r="AA1263" s="3">
        <f t="shared" ref="AA1263:AA1264" si="274">60*3*4</f>
        <v>720</v>
      </c>
      <c r="AB1263" s="3">
        <v>30</v>
      </c>
      <c r="AC1263" s="3" t="s">
        <v>82</v>
      </c>
      <c r="AD1263" s="3" t="s">
        <v>83</v>
      </c>
      <c r="AE1263" s="3">
        <v>15</v>
      </c>
      <c r="AF1263" s="3" t="s">
        <v>102</v>
      </c>
      <c r="AG1263" s="3" t="s">
        <v>274</v>
      </c>
      <c r="AH1263" s="3"/>
    </row>
    <row r="1264" spans="1:34" ht="14.25" customHeight="1" x14ac:dyDescent="0.25">
      <c r="A1264" s="3" t="s">
        <v>110</v>
      </c>
      <c r="B1264" s="3" t="s">
        <v>171</v>
      </c>
      <c r="C1264" s="3"/>
      <c r="D1264" s="3" t="s">
        <v>187</v>
      </c>
      <c r="E1264" s="3">
        <v>2</v>
      </c>
      <c r="F1264" s="3">
        <v>1</v>
      </c>
      <c r="G1264" s="3" t="s">
        <v>25</v>
      </c>
      <c r="H1264" s="11">
        <v>45961</v>
      </c>
      <c r="I1264" s="3" t="s">
        <v>183</v>
      </c>
      <c r="J1264" s="3">
        <v>110</v>
      </c>
      <c r="K1264" s="3">
        <f>25+58+65</f>
        <v>148</v>
      </c>
      <c r="L1264" s="3">
        <f>105+48</f>
        <v>153</v>
      </c>
      <c r="M1264" s="3">
        <v>37</v>
      </c>
      <c r="N1264" s="3">
        <v>31</v>
      </c>
      <c r="O1264" s="3">
        <f t="shared" si="269"/>
        <v>479</v>
      </c>
      <c r="P1264" s="3">
        <v>5</v>
      </c>
      <c r="Q1264" s="3">
        <v>4</v>
      </c>
      <c r="R1264" s="3">
        <v>4</v>
      </c>
      <c r="S1264" s="3">
        <v>4</v>
      </c>
      <c r="T1264" s="3">
        <v>1</v>
      </c>
      <c r="U1264" s="3">
        <v>25</v>
      </c>
      <c r="V1264" s="13">
        <f t="shared" si="271"/>
        <v>19.16</v>
      </c>
      <c r="W1264" s="13">
        <f t="shared" si="262"/>
        <v>19.16</v>
      </c>
      <c r="X1264" s="3">
        <f t="shared" si="272"/>
        <v>25</v>
      </c>
      <c r="Y1264" s="3">
        <f t="shared" si="263"/>
        <v>2.661111111111111E-2</v>
      </c>
      <c r="Z1264" s="3"/>
      <c r="AA1264" s="3">
        <f t="shared" si="274"/>
        <v>720</v>
      </c>
      <c r="AB1264" s="3">
        <v>30</v>
      </c>
      <c r="AC1264" s="3" t="s">
        <v>82</v>
      </c>
      <c r="AD1264" s="3" t="s">
        <v>83</v>
      </c>
      <c r="AE1264" s="3">
        <v>15</v>
      </c>
      <c r="AF1264" s="3" t="s">
        <v>102</v>
      </c>
      <c r="AG1264" s="3" t="s">
        <v>274</v>
      </c>
      <c r="AH1264" s="3"/>
    </row>
    <row r="1265" spans="1:34" ht="14.25" customHeight="1" x14ac:dyDescent="0.25">
      <c r="A1265" s="3" t="s">
        <v>178</v>
      </c>
      <c r="B1265" s="3" t="s">
        <v>171</v>
      </c>
      <c r="C1265" s="3"/>
      <c r="D1265" s="3" t="s">
        <v>187</v>
      </c>
      <c r="E1265" s="3">
        <v>1</v>
      </c>
      <c r="F1265" s="3">
        <v>1</v>
      </c>
      <c r="G1265" s="3" t="s">
        <v>3</v>
      </c>
      <c r="H1265" s="11">
        <v>45961</v>
      </c>
      <c r="I1265" s="3" t="s">
        <v>183</v>
      </c>
      <c r="J1265" s="3">
        <v>115</v>
      </c>
      <c r="K1265" s="3">
        <v>70</v>
      </c>
      <c r="L1265" s="3">
        <f>40+68+46</f>
        <v>154</v>
      </c>
      <c r="M1265" s="3">
        <f>35+10</f>
        <v>45</v>
      </c>
      <c r="N1265" s="3">
        <v>115</v>
      </c>
      <c r="O1265" s="3">
        <f t="shared" si="269"/>
        <v>499</v>
      </c>
      <c r="P1265" s="3">
        <v>3</v>
      </c>
      <c r="Q1265" s="3">
        <v>4</v>
      </c>
      <c r="R1265" s="3">
        <v>5</v>
      </c>
      <c r="S1265" s="3">
        <v>4</v>
      </c>
      <c r="T1265" s="3">
        <v>1</v>
      </c>
      <c r="U1265" s="3">
        <v>21</v>
      </c>
      <c r="V1265" s="13">
        <f t="shared" si="271"/>
        <v>23.761904761904763</v>
      </c>
      <c r="W1265" s="13">
        <f t="shared" si="262"/>
        <v>23.761904761904763</v>
      </c>
      <c r="X1265" s="3">
        <f t="shared" si="272"/>
        <v>21</v>
      </c>
      <c r="Y1265" s="3">
        <f t="shared" si="263"/>
        <v>1.3578231292517007E-2</v>
      </c>
      <c r="Z1265" s="3"/>
      <c r="AA1265" s="3">
        <f>70*5*5</f>
        <v>1750</v>
      </c>
      <c r="AB1265" s="3">
        <v>60</v>
      </c>
      <c r="AC1265" s="3" t="s">
        <v>82</v>
      </c>
      <c r="AD1265" s="3" t="s">
        <v>83</v>
      </c>
      <c r="AE1265" s="3">
        <v>15</v>
      </c>
      <c r="AF1265" s="3" t="s">
        <v>102</v>
      </c>
      <c r="AG1265" s="3" t="s">
        <v>274</v>
      </c>
      <c r="AH1265" s="3"/>
    </row>
    <row r="1266" spans="1:34" ht="14.25" customHeight="1" x14ac:dyDescent="0.25">
      <c r="A1266" s="3" t="s">
        <v>178</v>
      </c>
      <c r="B1266" s="3" t="s">
        <v>171</v>
      </c>
      <c r="C1266" s="3"/>
      <c r="D1266" s="3" t="s">
        <v>187</v>
      </c>
      <c r="E1266" s="3">
        <v>1</v>
      </c>
      <c r="F1266" s="3">
        <v>1</v>
      </c>
      <c r="G1266" s="3" t="s">
        <v>2</v>
      </c>
      <c r="H1266" s="11">
        <v>45961</v>
      </c>
      <c r="I1266" s="3" t="s">
        <v>183</v>
      </c>
      <c r="J1266" s="3">
        <f>25+32</f>
        <v>57</v>
      </c>
      <c r="K1266" s="3">
        <f>40+28+55</f>
        <v>123</v>
      </c>
      <c r="L1266" s="3">
        <f>75+16+24</f>
        <v>115</v>
      </c>
      <c r="M1266" s="3">
        <f>45+98+18</f>
        <v>161</v>
      </c>
      <c r="N1266" s="3">
        <v>0</v>
      </c>
      <c r="O1266" s="3">
        <f t="shared" si="269"/>
        <v>456</v>
      </c>
      <c r="P1266" s="3">
        <v>3</v>
      </c>
      <c r="Q1266" s="3">
        <v>4</v>
      </c>
      <c r="R1266" s="3">
        <v>5</v>
      </c>
      <c r="S1266" s="3">
        <v>4</v>
      </c>
      <c r="T1266" s="3">
        <v>1</v>
      </c>
      <c r="U1266" s="3">
        <v>21</v>
      </c>
      <c r="V1266" s="13">
        <f t="shared" si="271"/>
        <v>21.714285714285715</v>
      </c>
      <c r="W1266" s="13">
        <f t="shared" si="262"/>
        <v>21.714285714285715</v>
      </c>
      <c r="X1266" s="3">
        <f t="shared" si="272"/>
        <v>21</v>
      </c>
      <c r="Y1266" s="3">
        <f t="shared" si="263"/>
        <v>1.2408163265306122E-2</v>
      </c>
      <c r="Z1266" s="3"/>
      <c r="AA1266" s="3">
        <f t="shared" ref="AA1266:AA1267" si="275">70*5*5</f>
        <v>1750</v>
      </c>
      <c r="AB1266" s="3">
        <v>60</v>
      </c>
      <c r="AC1266" s="3" t="s">
        <v>82</v>
      </c>
      <c r="AD1266" s="3" t="s">
        <v>83</v>
      </c>
      <c r="AE1266" s="3">
        <v>15</v>
      </c>
      <c r="AF1266" s="3" t="s">
        <v>102</v>
      </c>
      <c r="AG1266" s="3" t="s">
        <v>274</v>
      </c>
      <c r="AH1266" s="3"/>
    </row>
    <row r="1267" spans="1:34" ht="14.25" customHeight="1" x14ac:dyDescent="0.25">
      <c r="A1267" s="3" t="s">
        <v>178</v>
      </c>
      <c r="B1267" s="3" t="s">
        <v>171</v>
      </c>
      <c r="C1267" s="3"/>
      <c r="D1267" s="3" t="s">
        <v>187</v>
      </c>
      <c r="E1267" s="3">
        <v>1</v>
      </c>
      <c r="F1267" s="3">
        <v>1</v>
      </c>
      <c r="G1267" s="3" t="s">
        <v>25</v>
      </c>
      <c r="H1267" s="11">
        <v>45961</v>
      </c>
      <c r="I1267" s="3" t="s">
        <v>183</v>
      </c>
      <c r="J1267" s="3">
        <v>0</v>
      </c>
      <c r="K1267" s="3">
        <v>0</v>
      </c>
      <c r="L1267" s="3">
        <v>0</v>
      </c>
      <c r="M1267" s="3">
        <v>76</v>
      </c>
      <c r="N1267" s="3">
        <v>120</v>
      </c>
      <c r="O1267" s="3">
        <f t="shared" si="269"/>
        <v>196</v>
      </c>
      <c r="P1267" s="3">
        <v>3</v>
      </c>
      <c r="Q1267" s="3">
        <v>4</v>
      </c>
      <c r="R1267" s="3">
        <v>5</v>
      </c>
      <c r="S1267" s="3">
        <v>4</v>
      </c>
      <c r="T1267" s="3">
        <v>1</v>
      </c>
      <c r="U1267" s="3">
        <v>21</v>
      </c>
      <c r="V1267" s="13">
        <f t="shared" si="271"/>
        <v>9.3333333333333339</v>
      </c>
      <c r="W1267" s="13">
        <f t="shared" si="262"/>
        <v>9.3333333333333339</v>
      </c>
      <c r="X1267" s="3">
        <f t="shared" si="272"/>
        <v>21</v>
      </c>
      <c r="Y1267" s="3">
        <f t="shared" si="263"/>
        <v>5.333333333333334E-3</v>
      </c>
      <c r="Z1267" s="3"/>
      <c r="AA1267" s="3">
        <f t="shared" si="275"/>
        <v>1750</v>
      </c>
      <c r="AB1267" s="3">
        <v>60</v>
      </c>
      <c r="AC1267" s="3" t="s">
        <v>82</v>
      </c>
      <c r="AD1267" s="3" t="s">
        <v>83</v>
      </c>
      <c r="AE1267" s="3">
        <v>15</v>
      </c>
      <c r="AF1267" s="3" t="s">
        <v>102</v>
      </c>
      <c r="AG1267" s="3" t="s">
        <v>274</v>
      </c>
      <c r="AH1267" s="3"/>
    </row>
    <row r="1268" spans="1:34" ht="14.25" customHeight="1" x14ac:dyDescent="0.25">
      <c r="A1268" s="3" t="s">
        <v>156</v>
      </c>
      <c r="B1268" s="3" t="s">
        <v>171</v>
      </c>
      <c r="C1268" s="3"/>
      <c r="D1268" s="3" t="s">
        <v>187</v>
      </c>
      <c r="E1268" s="3">
        <v>1</v>
      </c>
      <c r="F1268" s="3">
        <v>1</v>
      </c>
      <c r="G1268" s="3" t="s">
        <v>1</v>
      </c>
      <c r="H1268" s="11">
        <v>45961</v>
      </c>
      <c r="I1268" s="3" t="s">
        <v>183</v>
      </c>
      <c r="J1268" s="3">
        <f>100+60+30</f>
        <v>190</v>
      </c>
      <c r="K1268" s="3">
        <f>45+16</f>
        <v>61</v>
      </c>
      <c r="L1268" s="3">
        <f>70+28+120</f>
        <v>218</v>
      </c>
      <c r="M1268" s="3">
        <f>95+88</f>
        <v>183</v>
      </c>
      <c r="N1268" s="3">
        <v>165</v>
      </c>
      <c r="O1268" s="3">
        <f t="shared" si="269"/>
        <v>817</v>
      </c>
      <c r="P1268" s="3">
        <v>5</v>
      </c>
      <c r="Q1268" s="3">
        <v>2</v>
      </c>
      <c r="R1268" s="3">
        <v>3</v>
      </c>
      <c r="S1268" s="3">
        <v>4</v>
      </c>
      <c r="T1268" s="3">
        <v>1</v>
      </c>
      <c r="U1268" s="3">
        <v>16</v>
      </c>
      <c r="V1268" s="13">
        <f t="shared" si="271"/>
        <v>51.0625</v>
      </c>
      <c r="W1268" s="13">
        <f t="shared" si="262"/>
        <v>51.0625</v>
      </c>
      <c r="X1268" s="3">
        <f t="shared" si="272"/>
        <v>16</v>
      </c>
      <c r="Y1268" s="3">
        <f t="shared" si="263"/>
        <v>2.2395833333333334E-2</v>
      </c>
      <c r="Z1268" s="3"/>
      <c r="AA1268" s="3">
        <f>60*3*6+60*5*4</f>
        <v>2280</v>
      </c>
      <c r="AB1268" s="3"/>
      <c r="AC1268" s="3" t="s">
        <v>82</v>
      </c>
      <c r="AD1268" s="3" t="s">
        <v>83</v>
      </c>
      <c r="AE1268" s="3">
        <v>15</v>
      </c>
      <c r="AF1268" s="3" t="s">
        <v>102</v>
      </c>
      <c r="AG1268" s="3"/>
      <c r="AH1268" s="3"/>
    </row>
    <row r="1269" spans="1:34" ht="14.25" customHeight="1" x14ac:dyDescent="0.25">
      <c r="A1269" s="3" t="s">
        <v>156</v>
      </c>
      <c r="B1269" s="3" t="s">
        <v>171</v>
      </c>
      <c r="C1269" s="3"/>
      <c r="D1269" s="3" t="s">
        <v>187</v>
      </c>
      <c r="E1269" s="3">
        <v>1</v>
      </c>
      <c r="F1269" s="3">
        <v>1</v>
      </c>
      <c r="G1269" s="3" t="s">
        <v>3</v>
      </c>
      <c r="H1269" s="11">
        <v>45961</v>
      </c>
      <c r="I1269" s="3" t="s">
        <v>183</v>
      </c>
      <c r="J1269" s="3">
        <f>105+56</f>
        <v>161</v>
      </c>
      <c r="K1269" s="3">
        <v>0</v>
      </c>
      <c r="L1269" s="3">
        <v>0</v>
      </c>
      <c r="M1269" s="3">
        <f>35+75</f>
        <v>110</v>
      </c>
      <c r="N1269" s="3">
        <v>0</v>
      </c>
      <c r="O1269" s="3">
        <f t="shared" si="269"/>
        <v>271</v>
      </c>
      <c r="P1269" s="3">
        <v>5</v>
      </c>
      <c r="Q1269" s="3">
        <v>2</v>
      </c>
      <c r="R1269" s="3">
        <v>3</v>
      </c>
      <c r="S1269" s="3">
        <v>4</v>
      </c>
      <c r="T1269" s="3">
        <v>1</v>
      </c>
      <c r="U1269" s="3">
        <v>16</v>
      </c>
      <c r="V1269" s="13">
        <f t="shared" si="271"/>
        <v>16.9375</v>
      </c>
      <c r="W1269" s="13">
        <f t="shared" si="262"/>
        <v>16.9375</v>
      </c>
      <c r="X1269" s="3">
        <f t="shared" si="272"/>
        <v>16</v>
      </c>
      <c r="Y1269" s="3">
        <f t="shared" si="263"/>
        <v>7.4287280701754383E-3</v>
      </c>
      <c r="Z1269" s="3"/>
      <c r="AA1269" s="3">
        <f>60*3*6+60*5*4</f>
        <v>2280</v>
      </c>
      <c r="AB1269" s="3"/>
      <c r="AC1269" s="3" t="s">
        <v>82</v>
      </c>
      <c r="AD1269" s="3" t="s">
        <v>83</v>
      </c>
      <c r="AE1269" s="3">
        <v>15</v>
      </c>
      <c r="AF1269" s="3" t="s">
        <v>102</v>
      </c>
      <c r="AG1269" s="3"/>
      <c r="AH1269" s="3"/>
    </row>
    <row r="1270" spans="1:34" ht="14.25" customHeight="1" x14ac:dyDescent="0.25">
      <c r="A1270" s="3" t="s">
        <v>191</v>
      </c>
      <c r="B1270" s="3" t="s">
        <v>171</v>
      </c>
      <c r="C1270" s="3"/>
      <c r="D1270" s="3" t="s">
        <v>187</v>
      </c>
      <c r="E1270" s="3">
        <v>1</v>
      </c>
      <c r="F1270" s="3">
        <v>1</v>
      </c>
      <c r="G1270" s="3" t="s">
        <v>1</v>
      </c>
      <c r="H1270" s="11">
        <v>45961</v>
      </c>
      <c r="I1270" s="3" t="s">
        <v>183</v>
      </c>
      <c r="J1270" s="3">
        <f>40+20+15</f>
        <v>75</v>
      </c>
      <c r="K1270" s="3">
        <f>65+90</f>
        <v>155</v>
      </c>
      <c r="L1270" s="3">
        <v>70</v>
      </c>
      <c r="M1270" s="3">
        <f>40+35</f>
        <v>75</v>
      </c>
      <c r="N1270" s="3">
        <v>95</v>
      </c>
      <c r="O1270" s="3">
        <f t="shared" si="269"/>
        <v>470</v>
      </c>
      <c r="P1270" s="3">
        <v>5</v>
      </c>
      <c r="Q1270" s="3">
        <v>5</v>
      </c>
      <c r="R1270" s="3">
        <v>4</v>
      </c>
      <c r="S1270" s="3">
        <v>5</v>
      </c>
      <c r="T1270" s="3">
        <v>2</v>
      </c>
      <c r="U1270" s="3">
        <f t="shared" ref="U1270:U1272" si="276">SUM(P1270:T1270)</f>
        <v>21</v>
      </c>
      <c r="V1270" s="13">
        <f t="shared" si="271"/>
        <v>22.38095238095238</v>
      </c>
      <c r="W1270" s="13">
        <f t="shared" si="262"/>
        <v>22.38095238095238</v>
      </c>
      <c r="X1270" s="3">
        <f t="shared" si="272"/>
        <v>21</v>
      </c>
      <c r="Y1270" s="3">
        <f t="shared" si="263"/>
        <v>8.8813303099017377E-3</v>
      </c>
      <c r="Z1270" s="3"/>
      <c r="AA1270" s="3">
        <f>60*6*4+60*3*6</f>
        <v>2520</v>
      </c>
      <c r="AB1270" s="3"/>
      <c r="AC1270" s="3" t="s">
        <v>82</v>
      </c>
      <c r="AD1270" s="3" t="s">
        <v>83</v>
      </c>
      <c r="AE1270" s="3">
        <v>40</v>
      </c>
      <c r="AF1270" s="3" t="s">
        <v>102</v>
      </c>
      <c r="AG1270" s="3"/>
      <c r="AH1270" s="3"/>
    </row>
    <row r="1271" spans="1:34" ht="14.25" customHeight="1" x14ac:dyDescent="0.25">
      <c r="A1271" s="3" t="s">
        <v>191</v>
      </c>
      <c r="B1271" s="3" t="s">
        <v>171</v>
      </c>
      <c r="C1271" s="3"/>
      <c r="D1271" s="3" t="s">
        <v>187</v>
      </c>
      <c r="E1271" s="3">
        <v>1</v>
      </c>
      <c r="F1271" s="3">
        <v>1</v>
      </c>
      <c r="G1271" s="3" t="s">
        <v>3</v>
      </c>
      <c r="H1271" s="11">
        <v>45961</v>
      </c>
      <c r="I1271" s="3" t="s">
        <v>183</v>
      </c>
      <c r="J1271" s="3">
        <f>150+65</f>
        <v>215</v>
      </c>
      <c r="K1271" s="3">
        <f>120+100</f>
        <v>220</v>
      </c>
      <c r="L1271" s="3">
        <f>250+95</f>
        <v>345</v>
      </c>
      <c r="M1271" s="3">
        <v>80</v>
      </c>
      <c r="N1271" s="3">
        <v>320</v>
      </c>
      <c r="O1271" s="3">
        <f t="shared" si="269"/>
        <v>1180</v>
      </c>
      <c r="P1271" s="3">
        <v>5</v>
      </c>
      <c r="Q1271" s="3">
        <v>5</v>
      </c>
      <c r="R1271" s="3">
        <v>4</v>
      </c>
      <c r="S1271" s="3">
        <v>5</v>
      </c>
      <c r="T1271" s="3">
        <v>2</v>
      </c>
      <c r="U1271" s="3">
        <f t="shared" si="276"/>
        <v>21</v>
      </c>
      <c r="V1271" s="13">
        <f t="shared" si="271"/>
        <v>56.19047619047619</v>
      </c>
      <c r="W1271" s="13">
        <f t="shared" si="262"/>
        <v>56.19047619047619</v>
      </c>
      <c r="X1271" s="3">
        <f t="shared" si="272"/>
        <v>21</v>
      </c>
      <c r="Y1271" s="3">
        <f t="shared" si="263"/>
        <v>2.2297808012093728E-2</v>
      </c>
      <c r="Z1271" s="3"/>
      <c r="AA1271" s="3">
        <f t="shared" ref="AA1271:AA1272" si="277">60*6*4+60*3*6</f>
        <v>2520</v>
      </c>
      <c r="AB1271" s="3"/>
      <c r="AC1271" s="3" t="s">
        <v>82</v>
      </c>
      <c r="AD1271" s="3" t="s">
        <v>83</v>
      </c>
      <c r="AE1271" s="3">
        <v>40</v>
      </c>
      <c r="AF1271" s="3" t="s">
        <v>102</v>
      </c>
      <c r="AG1271" s="3"/>
      <c r="AH1271" s="3"/>
    </row>
    <row r="1272" spans="1:34" ht="14.25" customHeight="1" x14ac:dyDescent="0.25">
      <c r="A1272" s="3" t="s">
        <v>191</v>
      </c>
      <c r="B1272" s="3" t="s">
        <v>171</v>
      </c>
      <c r="C1272" s="3"/>
      <c r="D1272" s="3" t="s">
        <v>187</v>
      </c>
      <c r="E1272" s="3">
        <v>1</v>
      </c>
      <c r="F1272" s="3">
        <v>1</v>
      </c>
      <c r="G1272" s="3" t="s">
        <v>9</v>
      </c>
      <c r="H1272" s="11">
        <v>45961</v>
      </c>
      <c r="I1272" s="3" t="s">
        <v>183</v>
      </c>
      <c r="J1272" s="3">
        <v>70</v>
      </c>
      <c r="K1272" s="3">
        <f>45+22</f>
        <v>67</v>
      </c>
      <c r="L1272" s="3">
        <v>35</v>
      </c>
      <c r="M1272" s="3">
        <f>45+110</f>
        <v>155</v>
      </c>
      <c r="N1272" s="3">
        <v>0</v>
      </c>
      <c r="O1272" s="3">
        <f t="shared" si="269"/>
        <v>327</v>
      </c>
      <c r="P1272" s="3">
        <v>5</v>
      </c>
      <c r="Q1272" s="3">
        <v>5</v>
      </c>
      <c r="R1272" s="3">
        <v>4</v>
      </c>
      <c r="S1272" s="3">
        <v>5</v>
      </c>
      <c r="T1272" s="3">
        <v>2</v>
      </c>
      <c r="U1272" s="3">
        <f t="shared" si="276"/>
        <v>21</v>
      </c>
      <c r="V1272" s="13">
        <f t="shared" si="271"/>
        <v>15.571428571428571</v>
      </c>
      <c r="W1272" s="13">
        <f t="shared" si="262"/>
        <v>15.571428571428571</v>
      </c>
      <c r="X1272" s="3">
        <f t="shared" si="272"/>
        <v>21</v>
      </c>
      <c r="Y1272" s="3">
        <f t="shared" si="263"/>
        <v>6.1791383219954648E-3</v>
      </c>
      <c r="Z1272" s="3"/>
      <c r="AA1272" s="3">
        <f t="shared" si="277"/>
        <v>2520</v>
      </c>
      <c r="AB1272" s="3"/>
      <c r="AC1272" s="3" t="s">
        <v>82</v>
      </c>
      <c r="AD1272" s="3" t="s">
        <v>83</v>
      </c>
      <c r="AE1272" s="3">
        <v>40</v>
      </c>
      <c r="AF1272" s="3" t="s">
        <v>102</v>
      </c>
      <c r="AG1272" s="3"/>
      <c r="AH1272" s="3"/>
    </row>
    <row r="1273" spans="1:34" ht="14.25" customHeight="1" x14ac:dyDescent="0.25">
      <c r="A1273" s="3" t="s">
        <v>100</v>
      </c>
      <c r="B1273" s="3" t="s">
        <v>171</v>
      </c>
      <c r="C1273" s="3"/>
      <c r="D1273" s="3" t="s">
        <v>187</v>
      </c>
      <c r="E1273" s="3">
        <v>1</v>
      </c>
      <c r="F1273" s="3">
        <v>1</v>
      </c>
      <c r="G1273" s="3" t="s">
        <v>1</v>
      </c>
      <c r="H1273" s="11">
        <v>45961</v>
      </c>
      <c r="I1273" s="3" t="s">
        <v>183</v>
      </c>
      <c r="J1273" s="3">
        <f>50+30</f>
        <v>80</v>
      </c>
      <c r="K1273" s="3">
        <f>15+20</f>
        <v>35</v>
      </c>
      <c r="L1273" s="3">
        <f>60+40</f>
        <v>100</v>
      </c>
      <c r="M1273" s="3">
        <v>45</v>
      </c>
      <c r="N1273" s="3">
        <v>90</v>
      </c>
      <c r="O1273" s="3">
        <f t="shared" si="269"/>
        <v>350</v>
      </c>
      <c r="P1273" s="3">
        <v>5</v>
      </c>
      <c r="Q1273" s="3">
        <v>4</v>
      </c>
      <c r="R1273" s="3">
        <v>4</v>
      </c>
      <c r="S1273" s="3">
        <v>4</v>
      </c>
      <c r="T1273" s="3">
        <v>3</v>
      </c>
      <c r="U1273" s="3">
        <v>22</v>
      </c>
      <c r="V1273" s="13">
        <f t="shared" si="271"/>
        <v>15.909090909090908</v>
      </c>
      <c r="W1273" s="13">
        <f t="shared" si="262"/>
        <v>15.909090909090908</v>
      </c>
      <c r="X1273" s="3">
        <f t="shared" si="272"/>
        <v>22</v>
      </c>
      <c r="Y1273" s="3">
        <f t="shared" si="263"/>
        <v>5.1990493166963756E-3</v>
      </c>
      <c r="Z1273" s="3"/>
      <c r="AA1273" s="3">
        <f>60*6*5+60*3*7</f>
        <v>3060</v>
      </c>
      <c r="AB1273" s="3">
        <v>60</v>
      </c>
      <c r="AC1273" s="3" t="s">
        <v>82</v>
      </c>
      <c r="AD1273" s="3" t="s">
        <v>83</v>
      </c>
      <c r="AE1273" s="3">
        <v>50</v>
      </c>
      <c r="AF1273" s="3" t="s">
        <v>102</v>
      </c>
      <c r="AG1273" s="3" t="s">
        <v>274</v>
      </c>
      <c r="AH1273" s="3"/>
    </row>
    <row r="1274" spans="1:34" ht="14.25" customHeight="1" x14ac:dyDescent="0.25">
      <c r="A1274" s="3" t="s">
        <v>100</v>
      </c>
      <c r="B1274" s="3" t="s">
        <v>171</v>
      </c>
      <c r="C1274" s="3"/>
      <c r="D1274" s="3" t="s">
        <v>187</v>
      </c>
      <c r="E1274" s="3">
        <v>1</v>
      </c>
      <c r="F1274" s="3">
        <v>1</v>
      </c>
      <c r="G1274" s="3" t="s">
        <v>3</v>
      </c>
      <c r="H1274" s="11">
        <v>45961</v>
      </c>
      <c r="I1274" s="3" t="s">
        <v>183</v>
      </c>
      <c r="J1274" s="3">
        <f>110+90+55</f>
        <v>255</v>
      </c>
      <c r="K1274" s="3">
        <f>160+80</f>
        <v>240</v>
      </c>
      <c r="L1274" s="3">
        <v>85</v>
      </c>
      <c r="M1274" s="3">
        <f>60+75</f>
        <v>135</v>
      </c>
      <c r="N1274" s="3">
        <v>150</v>
      </c>
      <c r="O1274" s="3">
        <f t="shared" si="269"/>
        <v>865</v>
      </c>
      <c r="P1274" s="3">
        <v>5</v>
      </c>
      <c r="Q1274" s="3">
        <v>4</v>
      </c>
      <c r="R1274" s="3">
        <v>4</v>
      </c>
      <c r="S1274" s="3">
        <v>4</v>
      </c>
      <c r="T1274" s="3">
        <v>3</v>
      </c>
      <c r="U1274" s="3">
        <v>22</v>
      </c>
      <c r="V1274" s="13">
        <f t="shared" si="271"/>
        <v>39.31818181818182</v>
      </c>
      <c r="W1274" s="13">
        <f t="shared" si="262"/>
        <v>39.31818181818182</v>
      </c>
      <c r="X1274" s="3">
        <f t="shared" si="272"/>
        <v>22</v>
      </c>
      <c r="Y1274" s="3">
        <f t="shared" si="263"/>
        <v>1.2849079025549614E-2</v>
      </c>
      <c r="Z1274" s="3"/>
      <c r="AA1274" s="3">
        <f t="shared" ref="AA1274:AA1275" si="278">60*6*5+60*3*7</f>
        <v>3060</v>
      </c>
      <c r="AB1274" s="3">
        <v>60</v>
      </c>
      <c r="AC1274" s="3" t="s">
        <v>82</v>
      </c>
      <c r="AD1274" s="3" t="s">
        <v>83</v>
      </c>
      <c r="AE1274" s="3">
        <v>50</v>
      </c>
      <c r="AF1274" s="3" t="s">
        <v>102</v>
      </c>
      <c r="AG1274" s="3" t="s">
        <v>274</v>
      </c>
      <c r="AH1274" s="3"/>
    </row>
    <row r="1275" spans="1:34" ht="14.25" customHeight="1" x14ac:dyDescent="0.25">
      <c r="A1275" s="3" t="s">
        <v>100</v>
      </c>
      <c r="B1275" s="3" t="s">
        <v>171</v>
      </c>
      <c r="C1275" s="3"/>
      <c r="D1275" s="3" t="s">
        <v>187</v>
      </c>
      <c r="E1275" s="3">
        <v>1</v>
      </c>
      <c r="F1275" s="3">
        <v>1</v>
      </c>
      <c r="G1275" s="3" t="s">
        <v>25</v>
      </c>
      <c r="H1275" s="11">
        <v>45961</v>
      </c>
      <c r="I1275" s="3" t="s">
        <v>183</v>
      </c>
      <c r="J1275" s="3">
        <f>12+25</f>
        <v>37</v>
      </c>
      <c r="K1275" s="3">
        <f>15+30</f>
        <v>45</v>
      </c>
      <c r="L1275" s="3">
        <f>22+17</f>
        <v>39</v>
      </c>
      <c r="M1275" s="3">
        <v>45</v>
      </c>
      <c r="N1275" s="3">
        <v>30</v>
      </c>
      <c r="O1275" s="3">
        <f t="shared" si="269"/>
        <v>196</v>
      </c>
      <c r="P1275" s="3">
        <v>5</v>
      </c>
      <c r="Q1275" s="3">
        <v>4</v>
      </c>
      <c r="R1275" s="3">
        <v>4</v>
      </c>
      <c r="S1275" s="3">
        <v>4</v>
      </c>
      <c r="T1275" s="3">
        <v>3</v>
      </c>
      <c r="U1275" s="3">
        <v>22</v>
      </c>
      <c r="V1275" s="13">
        <f t="shared" si="271"/>
        <v>8.9090909090909083</v>
      </c>
      <c r="W1275" s="13">
        <f t="shared" si="262"/>
        <v>8.9090909090909083</v>
      </c>
      <c r="X1275" s="3">
        <f t="shared" si="272"/>
        <v>22</v>
      </c>
      <c r="Y1275" s="3">
        <f t="shared" si="263"/>
        <v>2.9114676173499702E-3</v>
      </c>
      <c r="Z1275" s="3"/>
      <c r="AA1275" s="3">
        <f t="shared" si="278"/>
        <v>3060</v>
      </c>
      <c r="AB1275" s="3">
        <v>60</v>
      </c>
      <c r="AC1275" s="3" t="s">
        <v>82</v>
      </c>
      <c r="AD1275" s="3" t="s">
        <v>83</v>
      </c>
      <c r="AE1275" s="3">
        <v>50</v>
      </c>
      <c r="AF1275" s="3" t="s">
        <v>102</v>
      </c>
      <c r="AG1275" s="3" t="s">
        <v>274</v>
      </c>
      <c r="AH1275" s="3"/>
    </row>
    <row r="1276" spans="1:34" ht="14.25" customHeight="1" x14ac:dyDescent="0.25">
      <c r="A1276" s="3" t="s">
        <v>108</v>
      </c>
      <c r="B1276" s="3" t="s">
        <v>171</v>
      </c>
      <c r="C1276" s="3"/>
      <c r="D1276" s="3" t="s">
        <v>187</v>
      </c>
      <c r="E1276" s="3">
        <v>2</v>
      </c>
      <c r="F1276" s="3">
        <v>1</v>
      </c>
      <c r="G1276" s="3" t="s">
        <v>1</v>
      </c>
      <c r="H1276" s="11">
        <v>45961</v>
      </c>
      <c r="I1276" s="3" t="s">
        <v>183</v>
      </c>
      <c r="J1276" s="3">
        <f>15+20+6+30</f>
        <v>71</v>
      </c>
      <c r="K1276" s="3">
        <f>19+21</f>
        <v>40</v>
      </c>
      <c r="L1276" s="3">
        <v>25</v>
      </c>
      <c r="M1276" s="3">
        <f>25+30</f>
        <v>55</v>
      </c>
      <c r="N1276" s="3">
        <v>0</v>
      </c>
      <c r="O1276" s="3">
        <f t="shared" si="269"/>
        <v>191</v>
      </c>
      <c r="P1276" s="3">
        <v>6</v>
      </c>
      <c r="Q1276" s="3">
        <v>4</v>
      </c>
      <c r="R1276" s="3">
        <v>5</v>
      </c>
      <c r="S1276" s="3">
        <v>5</v>
      </c>
      <c r="T1276" s="3">
        <v>2</v>
      </c>
      <c r="U1276" s="3">
        <f t="shared" ref="U1276" si="279">SUM(P1276:T1276)</f>
        <v>22</v>
      </c>
      <c r="V1276" s="13">
        <f t="shared" si="271"/>
        <v>8.6818181818181817</v>
      </c>
      <c r="W1276" s="13">
        <f t="shared" si="262"/>
        <v>8.6818181818181817</v>
      </c>
      <c r="X1276" s="3">
        <f t="shared" si="272"/>
        <v>22</v>
      </c>
      <c r="Y1276" s="3">
        <f t="shared" si="263"/>
        <v>6.0290404040404038E-3</v>
      </c>
      <c r="Z1276" s="3"/>
      <c r="AA1276" s="3">
        <f>60*3*8</f>
        <v>1440</v>
      </c>
      <c r="AB1276" s="3">
        <v>70</v>
      </c>
      <c r="AC1276" s="3" t="s">
        <v>82</v>
      </c>
      <c r="AD1276" s="3" t="s">
        <v>83</v>
      </c>
      <c r="AE1276" s="3">
        <v>30</v>
      </c>
      <c r="AF1276" s="3" t="s">
        <v>102</v>
      </c>
      <c r="AG1276" s="3" t="s">
        <v>274</v>
      </c>
      <c r="AH1276" s="3"/>
    </row>
    <row r="1277" spans="1:34" ht="14.25" customHeight="1" x14ac:dyDescent="0.25">
      <c r="A1277" s="3" t="s">
        <v>108</v>
      </c>
      <c r="B1277" s="3" t="s">
        <v>171</v>
      </c>
      <c r="C1277" s="3"/>
      <c r="D1277" s="3" t="s">
        <v>187</v>
      </c>
      <c r="E1277" s="3">
        <v>2</v>
      </c>
      <c r="F1277" s="3">
        <v>1</v>
      </c>
      <c r="G1277" s="3" t="s">
        <v>3</v>
      </c>
      <c r="H1277" s="11">
        <v>45961</v>
      </c>
      <c r="I1277" s="3" t="s">
        <v>183</v>
      </c>
      <c r="J1277" s="3">
        <v>20</v>
      </c>
      <c r="K1277" s="3">
        <f>15+60+20</f>
        <v>95</v>
      </c>
      <c r="L1277" s="3">
        <v>35</v>
      </c>
      <c r="M1277" s="3">
        <f>50+70</f>
        <v>120</v>
      </c>
      <c r="N1277" s="3">
        <v>45</v>
      </c>
      <c r="O1277" s="3">
        <f t="shared" si="269"/>
        <v>315</v>
      </c>
      <c r="P1277" s="3">
        <v>6</v>
      </c>
      <c r="Q1277" s="3">
        <v>4</v>
      </c>
      <c r="R1277" s="3">
        <v>5</v>
      </c>
      <c r="S1277" s="3">
        <v>5</v>
      </c>
      <c r="T1277" s="3">
        <v>2</v>
      </c>
      <c r="U1277" s="3">
        <f t="shared" ref="U1277:U1278" si="280">SUM(P1277:T1277)</f>
        <v>22</v>
      </c>
      <c r="V1277" s="13">
        <f t="shared" si="271"/>
        <v>14.318181818181818</v>
      </c>
      <c r="W1277" s="13">
        <f t="shared" si="262"/>
        <v>14.318181818181818</v>
      </c>
      <c r="X1277" s="3">
        <f t="shared" si="272"/>
        <v>22</v>
      </c>
      <c r="Y1277" s="3">
        <f t="shared" si="263"/>
        <v>9.943181818181818E-3</v>
      </c>
      <c r="Z1277" s="3"/>
      <c r="AA1277" s="3">
        <f t="shared" ref="AA1277:AA1278" si="281">60*3*8</f>
        <v>1440</v>
      </c>
      <c r="AB1277" s="3">
        <v>70</v>
      </c>
      <c r="AC1277" s="3" t="s">
        <v>82</v>
      </c>
      <c r="AD1277" s="3" t="s">
        <v>83</v>
      </c>
      <c r="AE1277" s="3">
        <v>30</v>
      </c>
      <c r="AF1277" s="3" t="s">
        <v>102</v>
      </c>
      <c r="AG1277" s="3" t="s">
        <v>274</v>
      </c>
      <c r="AH1277" s="3"/>
    </row>
    <row r="1278" spans="1:34" ht="14.25" customHeight="1" x14ac:dyDescent="0.25">
      <c r="A1278" s="3" t="s">
        <v>108</v>
      </c>
      <c r="B1278" s="3" t="s">
        <v>171</v>
      </c>
      <c r="C1278" s="3"/>
      <c r="D1278" s="3" t="s">
        <v>187</v>
      </c>
      <c r="E1278" s="3">
        <v>2</v>
      </c>
      <c r="F1278" s="3">
        <v>1</v>
      </c>
      <c r="G1278" s="3" t="s">
        <v>2</v>
      </c>
      <c r="H1278" s="11">
        <v>45961</v>
      </c>
      <c r="I1278" s="3" t="s">
        <v>183</v>
      </c>
      <c r="J1278" s="3">
        <f>100+40+30</f>
        <v>170</v>
      </c>
      <c r="K1278" s="3">
        <v>17</v>
      </c>
      <c r="L1278" s="3">
        <f>40+15+25</f>
        <v>80</v>
      </c>
      <c r="M1278" s="3">
        <f>60+55</f>
        <v>115</v>
      </c>
      <c r="N1278" s="3">
        <v>30</v>
      </c>
      <c r="O1278" s="3">
        <f t="shared" si="269"/>
        <v>412</v>
      </c>
      <c r="P1278" s="3">
        <v>6</v>
      </c>
      <c r="Q1278" s="3">
        <v>4</v>
      </c>
      <c r="R1278" s="3">
        <v>5</v>
      </c>
      <c r="S1278" s="3">
        <v>5</v>
      </c>
      <c r="T1278" s="3">
        <v>2</v>
      </c>
      <c r="U1278" s="3">
        <f t="shared" si="280"/>
        <v>22</v>
      </c>
      <c r="V1278" s="13">
        <f t="shared" si="271"/>
        <v>18.727272727272727</v>
      </c>
      <c r="W1278" s="13">
        <f t="shared" si="262"/>
        <v>18.727272727272727</v>
      </c>
      <c r="X1278" s="3">
        <f t="shared" si="272"/>
        <v>22</v>
      </c>
      <c r="Y1278" s="3">
        <f t="shared" si="263"/>
        <v>1.3005050505050504E-2</v>
      </c>
      <c r="Z1278" s="3"/>
      <c r="AA1278" s="3">
        <f t="shared" si="281"/>
        <v>1440</v>
      </c>
      <c r="AB1278" s="3">
        <v>70</v>
      </c>
      <c r="AC1278" s="3" t="s">
        <v>82</v>
      </c>
      <c r="AD1278" s="3" t="s">
        <v>83</v>
      </c>
      <c r="AE1278" s="3">
        <v>30</v>
      </c>
      <c r="AF1278" s="3" t="s">
        <v>102</v>
      </c>
      <c r="AG1278" s="3" t="s">
        <v>274</v>
      </c>
      <c r="AH1278" s="3"/>
    </row>
    <row r="1279" spans="1:34" ht="14.25" customHeight="1" x14ac:dyDescent="0.25">
      <c r="A1279" s="3" t="s">
        <v>109</v>
      </c>
      <c r="B1279" s="3" t="s">
        <v>171</v>
      </c>
      <c r="C1279" s="3"/>
      <c r="D1279" s="3" t="s">
        <v>187</v>
      </c>
      <c r="E1279" s="3">
        <v>2</v>
      </c>
      <c r="F1279" s="3">
        <v>1</v>
      </c>
      <c r="G1279" s="3" t="s">
        <v>2</v>
      </c>
      <c r="H1279" s="11">
        <v>45961</v>
      </c>
      <c r="I1279" s="3" t="s">
        <v>183</v>
      </c>
      <c r="J1279" s="3">
        <v>12</v>
      </c>
      <c r="K1279" s="3">
        <f>9+11</f>
        <v>20</v>
      </c>
      <c r="L1279" s="3">
        <v>15</v>
      </c>
      <c r="M1279" s="3">
        <v>17</v>
      </c>
      <c r="N1279" s="3">
        <v>0</v>
      </c>
      <c r="O1279" s="3">
        <f t="shared" si="269"/>
        <v>64</v>
      </c>
      <c r="P1279" s="3">
        <v>3</v>
      </c>
      <c r="Q1279" s="3">
        <v>4</v>
      </c>
      <c r="R1279" s="3">
        <v>4</v>
      </c>
      <c r="S1279" s="3">
        <v>4</v>
      </c>
      <c r="T1279" s="3">
        <v>0</v>
      </c>
      <c r="U1279" s="3">
        <v>25</v>
      </c>
      <c r="V1279" s="13">
        <f t="shared" si="271"/>
        <v>2.56</v>
      </c>
      <c r="W1279" s="13">
        <f t="shared" si="262"/>
        <v>2.56</v>
      </c>
      <c r="X1279" s="3">
        <f t="shared" si="272"/>
        <v>25</v>
      </c>
      <c r="Y1279" s="3" t="e">
        <f t="shared" si="263"/>
        <v>#DIV/0!</v>
      </c>
      <c r="Z1279" s="3"/>
      <c r="AA1279" s="3"/>
      <c r="AB1279" s="3">
        <f>9*15</f>
        <v>135</v>
      </c>
      <c r="AC1279" s="3" t="s">
        <v>82</v>
      </c>
      <c r="AD1279" s="3" t="s">
        <v>83</v>
      </c>
      <c r="AE1279" s="3">
        <v>40</v>
      </c>
      <c r="AF1279" s="3" t="s">
        <v>102</v>
      </c>
      <c r="AG1279" s="3" t="s">
        <v>275</v>
      </c>
      <c r="AH1279" s="3"/>
    </row>
    <row r="1280" spans="1:34" ht="14.25" customHeight="1" x14ac:dyDescent="0.25">
      <c r="A1280" s="3" t="s">
        <v>109</v>
      </c>
      <c r="B1280" s="3" t="s">
        <v>171</v>
      </c>
      <c r="C1280" s="3"/>
      <c r="D1280" s="3" t="s">
        <v>187</v>
      </c>
      <c r="E1280" s="3">
        <v>2</v>
      </c>
      <c r="F1280" s="3">
        <v>1</v>
      </c>
      <c r="G1280" s="3" t="s">
        <v>9</v>
      </c>
      <c r="H1280" s="11">
        <v>45961</v>
      </c>
      <c r="I1280" s="3" t="s">
        <v>183</v>
      </c>
      <c r="J1280" s="3">
        <f>50+30</f>
        <v>80</v>
      </c>
      <c r="K1280" s="3">
        <v>15</v>
      </c>
      <c r="L1280" s="3">
        <v>48</v>
      </c>
      <c r="M1280" s="3">
        <f>32+18</f>
        <v>50</v>
      </c>
      <c r="N1280" s="3">
        <v>0</v>
      </c>
      <c r="O1280" s="3">
        <f t="shared" si="269"/>
        <v>193</v>
      </c>
      <c r="P1280" s="3">
        <v>3</v>
      </c>
      <c r="Q1280" s="3">
        <v>4</v>
      </c>
      <c r="R1280" s="3">
        <v>4</v>
      </c>
      <c r="S1280" s="3">
        <v>4</v>
      </c>
      <c r="T1280" s="3">
        <v>0</v>
      </c>
      <c r="U1280" s="3">
        <v>25</v>
      </c>
      <c r="V1280" s="13">
        <f t="shared" si="271"/>
        <v>7.72</v>
      </c>
      <c r="W1280" s="13">
        <f t="shared" si="262"/>
        <v>7.72</v>
      </c>
      <c r="X1280" s="3">
        <f t="shared" si="272"/>
        <v>25</v>
      </c>
      <c r="Y1280" s="3" t="e">
        <f t="shared" si="263"/>
        <v>#DIV/0!</v>
      </c>
      <c r="Z1280" s="3"/>
      <c r="AA1280" s="3"/>
      <c r="AB1280" s="3">
        <f t="shared" ref="AB1280:AB1281" si="282">9*15</f>
        <v>135</v>
      </c>
      <c r="AC1280" s="3" t="s">
        <v>82</v>
      </c>
      <c r="AD1280" s="3" t="s">
        <v>83</v>
      </c>
      <c r="AE1280" s="3">
        <v>40</v>
      </c>
      <c r="AF1280" s="3" t="s">
        <v>102</v>
      </c>
      <c r="AG1280" s="3" t="s">
        <v>275</v>
      </c>
      <c r="AH1280" s="3"/>
    </row>
    <row r="1281" spans="1:34" ht="14.25" customHeight="1" x14ac:dyDescent="0.25">
      <c r="A1281" s="3" t="s">
        <v>109</v>
      </c>
      <c r="B1281" s="3" t="s">
        <v>171</v>
      </c>
      <c r="C1281" s="3"/>
      <c r="D1281" s="3" t="s">
        <v>187</v>
      </c>
      <c r="E1281" s="3">
        <v>2</v>
      </c>
      <c r="F1281" s="3">
        <v>1</v>
      </c>
      <c r="G1281" s="3" t="s">
        <v>25</v>
      </c>
      <c r="H1281" s="11">
        <v>45961</v>
      </c>
      <c r="I1281" s="3" t="s">
        <v>183</v>
      </c>
      <c r="J1281" s="3">
        <v>0</v>
      </c>
      <c r="K1281" s="3">
        <f>16+12</f>
        <v>28</v>
      </c>
      <c r="L1281" s="3">
        <f>14+10</f>
        <v>24</v>
      </c>
      <c r="M1281" s="3">
        <v>12</v>
      </c>
      <c r="N1281" s="3">
        <v>0</v>
      </c>
      <c r="O1281" s="3">
        <f t="shared" si="269"/>
        <v>64</v>
      </c>
      <c r="P1281" s="3">
        <v>3</v>
      </c>
      <c r="Q1281" s="3">
        <v>4</v>
      </c>
      <c r="R1281" s="3">
        <v>4</v>
      </c>
      <c r="S1281" s="3">
        <v>4</v>
      </c>
      <c r="T1281" s="3">
        <v>0</v>
      </c>
      <c r="U1281" s="3">
        <v>25</v>
      </c>
      <c r="V1281" s="13">
        <f t="shared" si="271"/>
        <v>2.56</v>
      </c>
      <c r="W1281" s="13">
        <f t="shared" si="262"/>
        <v>2.56</v>
      </c>
      <c r="X1281" s="3">
        <f t="shared" si="272"/>
        <v>25</v>
      </c>
      <c r="Y1281" s="3" t="e">
        <f t="shared" si="263"/>
        <v>#DIV/0!</v>
      </c>
      <c r="Z1281" s="3"/>
      <c r="AA1281" s="3"/>
      <c r="AB1281" s="3">
        <f t="shared" si="282"/>
        <v>135</v>
      </c>
      <c r="AC1281" s="3" t="s">
        <v>82</v>
      </c>
      <c r="AD1281" s="3" t="s">
        <v>83</v>
      </c>
      <c r="AE1281" s="3">
        <v>40</v>
      </c>
      <c r="AF1281" s="3" t="s">
        <v>102</v>
      </c>
      <c r="AG1281" s="3" t="s">
        <v>275</v>
      </c>
      <c r="AH1281" s="3"/>
    </row>
    <row r="1282" spans="1:34" ht="14.25" customHeight="1" x14ac:dyDescent="0.25">
      <c r="A1282" s="3" t="s">
        <v>111</v>
      </c>
      <c r="B1282" s="3" t="s">
        <v>171</v>
      </c>
      <c r="C1282" s="3"/>
      <c r="D1282" s="3" t="s">
        <v>187</v>
      </c>
      <c r="E1282" s="3">
        <v>2</v>
      </c>
      <c r="F1282" s="3">
        <v>1</v>
      </c>
      <c r="G1282" s="3" t="s">
        <v>2</v>
      </c>
      <c r="H1282" s="11">
        <v>45961</v>
      </c>
      <c r="I1282" s="3" t="s">
        <v>183</v>
      </c>
      <c r="J1282" s="3">
        <v>0</v>
      </c>
      <c r="K1282" s="3">
        <v>12</v>
      </c>
      <c r="L1282" s="3">
        <v>9</v>
      </c>
      <c r="M1282" s="3">
        <v>7</v>
      </c>
      <c r="N1282" s="3">
        <v>17</v>
      </c>
      <c r="O1282" s="3">
        <f t="shared" si="269"/>
        <v>45</v>
      </c>
      <c r="P1282" s="3">
        <v>1</v>
      </c>
      <c r="Q1282" s="3">
        <v>3</v>
      </c>
      <c r="R1282" s="3">
        <v>3</v>
      </c>
      <c r="S1282" s="3">
        <v>2</v>
      </c>
      <c r="T1282" s="3">
        <v>1</v>
      </c>
      <c r="U1282" s="3">
        <v>27</v>
      </c>
      <c r="V1282" s="13">
        <f t="shared" si="271"/>
        <v>1.6666666666666667</v>
      </c>
      <c r="W1282" s="13">
        <f t="shared" si="262"/>
        <v>1.6666666666666667</v>
      </c>
      <c r="X1282" s="3">
        <f t="shared" si="272"/>
        <v>27</v>
      </c>
      <c r="Y1282" s="3" t="e">
        <f t="shared" si="263"/>
        <v>#DIV/0!</v>
      </c>
      <c r="Z1282" s="3"/>
      <c r="AA1282" s="3"/>
      <c r="AB1282" s="3">
        <f>13*6</f>
        <v>78</v>
      </c>
      <c r="AC1282" s="3" t="s">
        <v>82</v>
      </c>
      <c r="AD1282" s="3" t="s">
        <v>83</v>
      </c>
      <c r="AE1282" s="3">
        <v>50</v>
      </c>
      <c r="AF1282" s="3" t="s">
        <v>102</v>
      </c>
      <c r="AG1282" s="3" t="s">
        <v>276</v>
      </c>
      <c r="AH1282" s="3"/>
    </row>
    <row r="1283" spans="1:34" ht="14.25" customHeight="1" x14ac:dyDescent="0.25">
      <c r="A1283" s="3" t="s">
        <v>111</v>
      </c>
      <c r="B1283" s="3" t="s">
        <v>171</v>
      </c>
      <c r="C1283" s="3"/>
      <c r="D1283" s="3" t="s">
        <v>187</v>
      </c>
      <c r="E1283" s="3">
        <v>2</v>
      </c>
      <c r="F1283" s="3">
        <v>1</v>
      </c>
      <c r="G1283" s="3" t="s">
        <v>9</v>
      </c>
      <c r="H1283" s="11">
        <v>45961</v>
      </c>
      <c r="I1283" s="3" t="s">
        <v>183</v>
      </c>
      <c r="J1283" s="3">
        <v>50</v>
      </c>
      <c r="K1283" s="3">
        <f>30+40</f>
        <v>70</v>
      </c>
      <c r="L1283" s="3">
        <v>19</v>
      </c>
      <c r="M1283" s="3">
        <v>56</v>
      </c>
      <c r="N1283" s="3">
        <v>0</v>
      </c>
      <c r="O1283" s="3">
        <f t="shared" si="269"/>
        <v>195</v>
      </c>
      <c r="P1283" s="3">
        <v>1</v>
      </c>
      <c r="Q1283" s="3">
        <v>3</v>
      </c>
      <c r="R1283" s="3">
        <v>3</v>
      </c>
      <c r="S1283" s="3">
        <v>2</v>
      </c>
      <c r="T1283" s="3">
        <v>1</v>
      </c>
      <c r="U1283" s="3">
        <v>27</v>
      </c>
      <c r="V1283" s="13">
        <f t="shared" si="271"/>
        <v>7.2222222222222223</v>
      </c>
      <c r="W1283" s="13">
        <f t="shared" ref="W1283:W1315" si="283">O1283/U1283/F1283</f>
        <v>7.2222222222222223</v>
      </c>
      <c r="X1283" s="3">
        <f t="shared" si="272"/>
        <v>27</v>
      </c>
      <c r="Y1283" s="3" t="e">
        <f t="shared" ref="Y1283:Y1315" si="284">O1283/U1283/AA1283</f>
        <v>#DIV/0!</v>
      </c>
      <c r="Z1283" s="3"/>
      <c r="AA1283" s="3"/>
      <c r="AB1283" s="3">
        <f t="shared" ref="AB1283:AB1284" si="285">13*6</f>
        <v>78</v>
      </c>
      <c r="AC1283" s="3" t="s">
        <v>82</v>
      </c>
      <c r="AD1283" s="3" t="s">
        <v>83</v>
      </c>
      <c r="AE1283" s="3">
        <v>50</v>
      </c>
      <c r="AF1283" s="3" t="s">
        <v>102</v>
      </c>
      <c r="AG1283" s="3" t="s">
        <v>276</v>
      </c>
      <c r="AH1283" s="3"/>
    </row>
    <row r="1284" spans="1:34" ht="14.25" customHeight="1" x14ac:dyDescent="0.25">
      <c r="A1284" s="3" t="s">
        <v>111</v>
      </c>
      <c r="B1284" s="3" t="s">
        <v>171</v>
      </c>
      <c r="C1284" s="3"/>
      <c r="D1284" s="3" t="s">
        <v>187</v>
      </c>
      <c r="E1284" s="3">
        <v>2</v>
      </c>
      <c r="F1284" s="3">
        <v>1</v>
      </c>
      <c r="G1284" s="3" t="s">
        <v>15</v>
      </c>
      <c r="H1284" s="11">
        <v>45961</v>
      </c>
      <c r="I1284" s="3" t="s">
        <v>183</v>
      </c>
      <c r="J1284" s="3">
        <v>15</v>
      </c>
      <c r="K1284" s="3">
        <v>0</v>
      </c>
      <c r="L1284" s="3">
        <v>32</v>
      </c>
      <c r="M1284" s="3">
        <v>0</v>
      </c>
      <c r="N1284" s="3">
        <v>0</v>
      </c>
      <c r="O1284" s="3">
        <f t="shared" si="269"/>
        <v>47</v>
      </c>
      <c r="P1284" s="3">
        <v>1</v>
      </c>
      <c r="Q1284" s="3">
        <v>3</v>
      </c>
      <c r="R1284" s="3">
        <v>3</v>
      </c>
      <c r="S1284" s="3">
        <v>2</v>
      </c>
      <c r="T1284" s="3">
        <v>1</v>
      </c>
      <c r="U1284" s="3">
        <v>27</v>
      </c>
      <c r="V1284" s="13">
        <f t="shared" si="271"/>
        <v>1.7407407407407407</v>
      </c>
      <c r="W1284" s="13">
        <f t="shared" si="283"/>
        <v>1.7407407407407407</v>
      </c>
      <c r="X1284" s="3">
        <f t="shared" si="272"/>
        <v>27</v>
      </c>
      <c r="Y1284" s="3" t="e">
        <f t="shared" si="284"/>
        <v>#DIV/0!</v>
      </c>
      <c r="Z1284" s="3"/>
      <c r="AA1284" s="3"/>
      <c r="AB1284" s="3">
        <f t="shared" si="285"/>
        <v>78</v>
      </c>
      <c r="AC1284" s="3" t="s">
        <v>82</v>
      </c>
      <c r="AD1284" s="3" t="s">
        <v>83</v>
      </c>
      <c r="AE1284" s="3">
        <v>50</v>
      </c>
      <c r="AF1284" s="3" t="s">
        <v>102</v>
      </c>
      <c r="AG1284" s="3" t="s">
        <v>276</v>
      </c>
      <c r="AH1284" s="3"/>
    </row>
    <row r="1285" spans="1:34" ht="14.25" customHeight="1" x14ac:dyDescent="0.25">
      <c r="A1285" s="3" t="s">
        <v>192</v>
      </c>
      <c r="B1285" s="3" t="s">
        <v>171</v>
      </c>
      <c r="C1285" s="3"/>
      <c r="D1285" s="3" t="s">
        <v>187</v>
      </c>
      <c r="E1285" s="3">
        <v>1</v>
      </c>
      <c r="F1285" s="3">
        <v>1</v>
      </c>
      <c r="G1285" s="3" t="s">
        <v>1</v>
      </c>
      <c r="H1285" s="11">
        <v>45961</v>
      </c>
      <c r="I1285" s="3" t="s">
        <v>183</v>
      </c>
      <c r="J1285" s="3">
        <f>20+35</f>
        <v>55</v>
      </c>
      <c r="K1285" s="3">
        <v>10</v>
      </c>
      <c r="L1285" s="3">
        <v>16</v>
      </c>
      <c r="M1285" s="3">
        <v>30</v>
      </c>
      <c r="N1285" s="3">
        <v>15</v>
      </c>
      <c r="O1285" s="3">
        <f t="shared" si="269"/>
        <v>126</v>
      </c>
      <c r="P1285" s="3">
        <v>6</v>
      </c>
      <c r="Q1285" s="3">
        <v>4</v>
      </c>
      <c r="R1285" s="3">
        <v>7</v>
      </c>
      <c r="S1285" s="3">
        <v>5</v>
      </c>
      <c r="T1285" s="3">
        <v>3</v>
      </c>
      <c r="U1285" s="3">
        <f t="shared" ref="U1285:U1289" si="286">SUM(P1285:T1285)</f>
        <v>25</v>
      </c>
      <c r="V1285" s="13">
        <f t="shared" si="271"/>
        <v>5.04</v>
      </c>
      <c r="W1285" s="13">
        <f t="shared" si="283"/>
        <v>5.04</v>
      </c>
      <c r="X1285" s="3">
        <f t="shared" si="272"/>
        <v>25</v>
      </c>
      <c r="Y1285" s="3">
        <f t="shared" si="284"/>
        <v>1.6799999999999999E-2</v>
      </c>
      <c r="Z1285" s="3"/>
      <c r="AA1285" s="3">
        <f>10*2*15</f>
        <v>300</v>
      </c>
      <c r="AB1285" s="3"/>
      <c r="AC1285" s="3" t="s">
        <v>82</v>
      </c>
      <c r="AD1285" s="3" t="s">
        <v>83</v>
      </c>
      <c r="AE1285" s="3">
        <v>40</v>
      </c>
      <c r="AF1285" s="3" t="s">
        <v>102</v>
      </c>
      <c r="AG1285" s="3"/>
      <c r="AH1285" s="3"/>
    </row>
    <row r="1286" spans="1:34" ht="14.25" customHeight="1" x14ac:dyDescent="0.25">
      <c r="A1286" s="3" t="s">
        <v>192</v>
      </c>
      <c r="B1286" s="3" t="s">
        <v>171</v>
      </c>
      <c r="C1286" s="3"/>
      <c r="D1286" s="3" t="s">
        <v>187</v>
      </c>
      <c r="E1286" s="3">
        <v>1</v>
      </c>
      <c r="F1286" s="3">
        <v>1</v>
      </c>
      <c r="G1286" s="3" t="s">
        <v>3</v>
      </c>
      <c r="H1286" s="11">
        <v>45961</v>
      </c>
      <c r="I1286" s="3" t="s">
        <v>183</v>
      </c>
      <c r="J1286" s="3">
        <v>70</v>
      </c>
      <c r="K1286" s="3">
        <f>21+15</f>
        <v>36</v>
      </c>
      <c r="L1286" s="3">
        <f>7+25</f>
        <v>32</v>
      </c>
      <c r="M1286" s="3">
        <f>25+45</f>
        <v>70</v>
      </c>
      <c r="N1286" s="3">
        <v>12</v>
      </c>
      <c r="O1286" s="3">
        <f t="shared" si="269"/>
        <v>220</v>
      </c>
      <c r="P1286" s="3">
        <v>6</v>
      </c>
      <c r="Q1286" s="3">
        <v>4</v>
      </c>
      <c r="R1286" s="3">
        <v>7</v>
      </c>
      <c r="S1286" s="3">
        <v>5</v>
      </c>
      <c r="T1286" s="3">
        <v>3</v>
      </c>
      <c r="U1286" s="3">
        <f t="shared" si="286"/>
        <v>25</v>
      </c>
      <c r="V1286" s="13">
        <f t="shared" si="271"/>
        <v>8.8000000000000007</v>
      </c>
      <c r="W1286" s="13">
        <f t="shared" si="283"/>
        <v>8.8000000000000007</v>
      </c>
      <c r="X1286" s="3">
        <f t="shared" si="272"/>
        <v>25</v>
      </c>
      <c r="Y1286" s="3">
        <f t="shared" si="284"/>
        <v>2.9333333333333336E-2</v>
      </c>
      <c r="Z1286" s="3"/>
      <c r="AA1286" s="3">
        <f t="shared" ref="AA1286:AA1288" si="287">10*2*15</f>
        <v>300</v>
      </c>
      <c r="AB1286" s="3"/>
      <c r="AC1286" s="3" t="s">
        <v>82</v>
      </c>
      <c r="AD1286" s="3" t="s">
        <v>83</v>
      </c>
      <c r="AE1286" s="3">
        <v>40</v>
      </c>
      <c r="AF1286" s="3" t="s">
        <v>102</v>
      </c>
      <c r="AG1286" s="3"/>
      <c r="AH1286" s="3"/>
    </row>
    <row r="1287" spans="1:34" ht="14.25" customHeight="1" x14ac:dyDescent="0.25">
      <c r="A1287" s="3" t="s">
        <v>192</v>
      </c>
      <c r="B1287" s="3" t="s">
        <v>171</v>
      </c>
      <c r="C1287" s="3"/>
      <c r="D1287" s="3" t="s">
        <v>187</v>
      </c>
      <c r="E1287" s="3">
        <v>1</v>
      </c>
      <c r="F1287" s="3">
        <v>1</v>
      </c>
      <c r="G1287" s="3" t="s">
        <v>10</v>
      </c>
      <c r="H1287" s="11">
        <v>45961</v>
      </c>
      <c r="I1287" s="3" t="s">
        <v>183</v>
      </c>
      <c r="J1287" s="3">
        <v>40</v>
      </c>
      <c r="K1287" s="3">
        <v>11</v>
      </c>
      <c r="L1287" s="3">
        <f>20+16+8</f>
        <v>44</v>
      </c>
      <c r="M1287" s="3">
        <f>10+5+25</f>
        <v>40</v>
      </c>
      <c r="N1287" s="3">
        <v>28</v>
      </c>
      <c r="O1287" s="3">
        <f t="shared" si="269"/>
        <v>163</v>
      </c>
      <c r="P1287" s="3">
        <v>6</v>
      </c>
      <c r="Q1287" s="3">
        <v>4</v>
      </c>
      <c r="R1287" s="3">
        <v>7</v>
      </c>
      <c r="S1287" s="3">
        <v>5</v>
      </c>
      <c r="T1287" s="3">
        <v>3</v>
      </c>
      <c r="U1287" s="3">
        <f t="shared" si="286"/>
        <v>25</v>
      </c>
      <c r="V1287" s="13">
        <f t="shared" si="271"/>
        <v>6.52</v>
      </c>
      <c r="W1287" s="13">
        <f t="shared" si="283"/>
        <v>6.52</v>
      </c>
      <c r="X1287" s="3">
        <f t="shared" si="272"/>
        <v>25</v>
      </c>
      <c r="Y1287" s="3">
        <f t="shared" si="284"/>
        <v>2.173333333333333E-2</v>
      </c>
      <c r="Z1287" s="3"/>
      <c r="AA1287" s="3">
        <f t="shared" si="287"/>
        <v>300</v>
      </c>
      <c r="AB1287" s="3"/>
      <c r="AC1287" s="3" t="s">
        <v>82</v>
      </c>
      <c r="AD1287" s="3" t="s">
        <v>83</v>
      </c>
      <c r="AE1287" s="3">
        <v>40</v>
      </c>
      <c r="AF1287" s="3" t="s">
        <v>102</v>
      </c>
      <c r="AG1287" s="3"/>
      <c r="AH1287" s="3"/>
    </row>
    <row r="1288" spans="1:34" ht="14.25" customHeight="1" x14ac:dyDescent="0.25">
      <c r="A1288" s="3" t="s">
        <v>192</v>
      </c>
      <c r="B1288" s="3" t="s">
        <v>171</v>
      </c>
      <c r="C1288" s="3"/>
      <c r="D1288" s="3" t="s">
        <v>187</v>
      </c>
      <c r="E1288" s="3">
        <v>1</v>
      </c>
      <c r="F1288" s="3">
        <v>1</v>
      </c>
      <c r="G1288" s="3" t="s">
        <v>14</v>
      </c>
      <c r="H1288" s="11">
        <v>45961</v>
      </c>
      <c r="I1288" s="3" t="s">
        <v>183</v>
      </c>
      <c r="J1288" s="3">
        <v>18</v>
      </c>
      <c r="K1288" s="3">
        <f>12+17</f>
        <v>29</v>
      </c>
      <c r="L1288" s="3">
        <f>10+5+25+9</f>
        <v>49</v>
      </c>
      <c r="M1288" s="3">
        <f>17+14</f>
        <v>31</v>
      </c>
      <c r="N1288" s="3">
        <v>0</v>
      </c>
      <c r="O1288" s="3">
        <f t="shared" si="269"/>
        <v>127</v>
      </c>
      <c r="P1288" s="3">
        <v>6</v>
      </c>
      <c r="Q1288" s="3">
        <v>4</v>
      </c>
      <c r="R1288" s="3">
        <v>7</v>
      </c>
      <c r="S1288" s="3">
        <v>5</v>
      </c>
      <c r="T1288" s="3">
        <v>3</v>
      </c>
      <c r="U1288" s="3">
        <f t="shared" si="286"/>
        <v>25</v>
      </c>
      <c r="V1288" s="13">
        <f t="shared" si="271"/>
        <v>5.08</v>
      </c>
      <c r="W1288" s="13">
        <f t="shared" si="283"/>
        <v>5.08</v>
      </c>
      <c r="X1288" s="3">
        <f t="shared" si="272"/>
        <v>25</v>
      </c>
      <c r="Y1288" s="3">
        <f t="shared" si="284"/>
        <v>1.6933333333333335E-2</v>
      </c>
      <c r="Z1288" s="3"/>
      <c r="AA1288" s="3">
        <f t="shared" si="287"/>
        <v>300</v>
      </c>
      <c r="AB1288" s="3"/>
      <c r="AC1288" s="3" t="s">
        <v>82</v>
      </c>
      <c r="AD1288" s="3" t="s">
        <v>83</v>
      </c>
      <c r="AE1288" s="3">
        <v>40</v>
      </c>
      <c r="AF1288" s="3" t="s">
        <v>102</v>
      </c>
      <c r="AG1288" s="3"/>
      <c r="AH1288" s="3"/>
    </row>
    <row r="1289" spans="1:34" ht="14.25" customHeight="1" x14ac:dyDescent="0.25">
      <c r="A1289" s="3" t="s">
        <v>137</v>
      </c>
      <c r="B1289" s="3" t="s">
        <v>171</v>
      </c>
      <c r="C1289" s="3"/>
      <c r="D1289" s="3" t="s">
        <v>187</v>
      </c>
      <c r="E1289" s="3">
        <v>2</v>
      </c>
      <c r="F1289" s="3">
        <v>1</v>
      </c>
      <c r="G1289" s="3" t="s">
        <v>2</v>
      </c>
      <c r="H1289" s="11">
        <v>45961</v>
      </c>
      <c r="I1289" s="3" t="s">
        <v>183</v>
      </c>
      <c r="J1289" s="3">
        <v>10</v>
      </c>
      <c r="K1289" s="3">
        <f>16+14+7.5+15</f>
        <v>52.5</v>
      </c>
      <c r="L1289" s="3">
        <v>0</v>
      </c>
      <c r="M1289" s="3">
        <v>0</v>
      </c>
      <c r="N1289" s="3">
        <v>0</v>
      </c>
      <c r="O1289" s="3">
        <f t="shared" si="269"/>
        <v>62.5</v>
      </c>
      <c r="P1289" s="3">
        <v>1</v>
      </c>
      <c r="Q1289" s="3">
        <v>4</v>
      </c>
      <c r="R1289" s="3">
        <v>0</v>
      </c>
      <c r="S1289" s="3">
        <v>0</v>
      </c>
      <c r="T1289" s="3">
        <v>0</v>
      </c>
      <c r="U1289" s="3">
        <f t="shared" si="286"/>
        <v>5</v>
      </c>
      <c r="V1289" s="13">
        <f t="shared" si="271"/>
        <v>12.5</v>
      </c>
      <c r="W1289" s="13">
        <f t="shared" si="283"/>
        <v>12.5</v>
      </c>
      <c r="X1289" s="3">
        <f t="shared" si="272"/>
        <v>5</v>
      </c>
      <c r="Y1289" s="3" t="e">
        <f t="shared" si="284"/>
        <v>#DIV/0!</v>
      </c>
      <c r="Z1289" s="3"/>
      <c r="AA1289" s="3"/>
      <c r="AB1289" s="3">
        <v>30</v>
      </c>
      <c r="AC1289" s="3" t="s">
        <v>82</v>
      </c>
      <c r="AD1289" s="3" t="s">
        <v>83</v>
      </c>
      <c r="AE1289" s="3">
        <v>40</v>
      </c>
      <c r="AF1289" s="3" t="s">
        <v>102</v>
      </c>
      <c r="AG1289" s="3" t="s">
        <v>277</v>
      </c>
      <c r="AH1289" s="3"/>
    </row>
    <row r="1290" spans="1:34" ht="14.25" customHeight="1" x14ac:dyDescent="0.25">
      <c r="A1290" s="3" t="s">
        <v>137</v>
      </c>
      <c r="B1290" s="3" t="s">
        <v>171</v>
      </c>
      <c r="C1290" s="3"/>
      <c r="D1290" s="3" t="s">
        <v>187</v>
      </c>
      <c r="E1290" s="3">
        <v>2</v>
      </c>
      <c r="F1290" s="3">
        <v>1</v>
      </c>
      <c r="G1290" s="3" t="s">
        <v>14</v>
      </c>
      <c r="H1290" s="11">
        <v>45961</v>
      </c>
      <c r="I1290" s="3" t="s">
        <v>183</v>
      </c>
      <c r="J1290" s="3">
        <v>12</v>
      </c>
      <c r="K1290" s="3">
        <f>5+7.5+10+8.1</f>
        <v>30.6</v>
      </c>
      <c r="L1290" s="3">
        <v>0</v>
      </c>
      <c r="M1290" s="3">
        <v>0</v>
      </c>
      <c r="N1290" s="3">
        <v>0</v>
      </c>
      <c r="O1290" s="3">
        <f t="shared" si="269"/>
        <v>42.6</v>
      </c>
      <c r="P1290" s="3">
        <v>1</v>
      </c>
      <c r="Q1290" s="3">
        <v>4</v>
      </c>
      <c r="R1290" s="3">
        <v>0</v>
      </c>
      <c r="S1290" s="3">
        <v>0</v>
      </c>
      <c r="T1290" s="3">
        <v>0</v>
      </c>
      <c r="U1290" s="3">
        <f t="shared" ref="U1290:U1293" si="288">SUM(P1290:T1290)</f>
        <v>5</v>
      </c>
      <c r="V1290" s="13">
        <f t="shared" si="271"/>
        <v>8.52</v>
      </c>
      <c r="W1290" s="13">
        <f t="shared" si="283"/>
        <v>8.52</v>
      </c>
      <c r="X1290" s="3">
        <f t="shared" si="272"/>
        <v>5</v>
      </c>
      <c r="Y1290" s="3" t="e">
        <f t="shared" si="284"/>
        <v>#DIV/0!</v>
      </c>
      <c r="Z1290" s="3"/>
      <c r="AA1290" s="3"/>
      <c r="AB1290" s="3">
        <v>30</v>
      </c>
      <c r="AC1290" s="3" t="s">
        <v>82</v>
      </c>
      <c r="AD1290" s="3" t="s">
        <v>83</v>
      </c>
      <c r="AE1290" s="3">
        <v>40</v>
      </c>
      <c r="AF1290" s="3" t="s">
        <v>102</v>
      </c>
      <c r="AG1290" s="3" t="s">
        <v>277</v>
      </c>
      <c r="AH1290" s="3"/>
    </row>
    <row r="1291" spans="1:34" ht="14.25" customHeight="1" x14ac:dyDescent="0.25">
      <c r="A1291" s="3" t="s">
        <v>137</v>
      </c>
      <c r="B1291" s="3" t="s">
        <v>171</v>
      </c>
      <c r="C1291" s="3"/>
      <c r="D1291" s="3" t="s">
        <v>187</v>
      </c>
      <c r="E1291" s="3">
        <v>2</v>
      </c>
      <c r="F1291" s="3">
        <v>1</v>
      </c>
      <c r="G1291" s="3" t="s">
        <v>16</v>
      </c>
      <c r="H1291" s="11">
        <v>45961</v>
      </c>
      <c r="I1291" s="3" t="s">
        <v>183</v>
      </c>
      <c r="J1291" s="3">
        <v>0</v>
      </c>
      <c r="K1291" s="3">
        <f>9.3+4.2+12</f>
        <v>25.5</v>
      </c>
      <c r="L1291" s="3">
        <v>0</v>
      </c>
      <c r="M1291" s="3">
        <v>0</v>
      </c>
      <c r="N1291" s="3">
        <v>0</v>
      </c>
      <c r="O1291" s="3">
        <f t="shared" si="269"/>
        <v>25.5</v>
      </c>
      <c r="P1291" s="3">
        <v>1</v>
      </c>
      <c r="Q1291" s="3">
        <v>4</v>
      </c>
      <c r="R1291" s="3">
        <v>0</v>
      </c>
      <c r="S1291" s="3">
        <v>0</v>
      </c>
      <c r="T1291" s="3">
        <v>0</v>
      </c>
      <c r="U1291" s="3">
        <f t="shared" si="288"/>
        <v>5</v>
      </c>
      <c r="V1291" s="13">
        <f t="shared" si="271"/>
        <v>5.0999999999999996</v>
      </c>
      <c r="W1291" s="13">
        <f t="shared" si="283"/>
        <v>5.0999999999999996</v>
      </c>
      <c r="X1291" s="3">
        <f t="shared" si="272"/>
        <v>5</v>
      </c>
      <c r="Y1291" s="3" t="e">
        <f t="shared" si="284"/>
        <v>#DIV/0!</v>
      </c>
      <c r="Z1291" s="3"/>
      <c r="AA1291" s="3"/>
      <c r="AB1291" s="3">
        <v>30</v>
      </c>
      <c r="AC1291" s="3" t="s">
        <v>82</v>
      </c>
      <c r="AD1291" s="3" t="s">
        <v>83</v>
      </c>
      <c r="AE1291" s="3">
        <v>40</v>
      </c>
      <c r="AF1291" s="3" t="s">
        <v>102</v>
      </c>
      <c r="AG1291" s="3" t="s">
        <v>277</v>
      </c>
      <c r="AH1291" s="3"/>
    </row>
    <row r="1292" spans="1:34" ht="14.25" customHeight="1" x14ac:dyDescent="0.25">
      <c r="A1292" s="3" t="s">
        <v>137</v>
      </c>
      <c r="B1292" s="3" t="s">
        <v>171</v>
      </c>
      <c r="C1292" s="3"/>
      <c r="D1292" s="3" t="s">
        <v>187</v>
      </c>
      <c r="E1292" s="3">
        <v>2</v>
      </c>
      <c r="F1292" s="3">
        <v>1</v>
      </c>
      <c r="G1292" s="3" t="s">
        <v>18</v>
      </c>
      <c r="H1292" s="11">
        <v>45961</v>
      </c>
      <c r="I1292" s="3" t="s">
        <v>183</v>
      </c>
      <c r="J1292" s="3">
        <v>6</v>
      </c>
      <c r="K1292" s="3">
        <f>12.1+12</f>
        <v>24.1</v>
      </c>
      <c r="L1292" s="3">
        <v>0</v>
      </c>
      <c r="M1292" s="3">
        <v>0</v>
      </c>
      <c r="N1292" s="3">
        <v>0</v>
      </c>
      <c r="O1292" s="3">
        <f t="shared" si="269"/>
        <v>30.1</v>
      </c>
      <c r="P1292" s="3">
        <v>1</v>
      </c>
      <c r="Q1292" s="3">
        <v>4</v>
      </c>
      <c r="R1292" s="3">
        <v>0</v>
      </c>
      <c r="S1292" s="3">
        <v>0</v>
      </c>
      <c r="T1292" s="3">
        <v>0</v>
      </c>
      <c r="U1292" s="3">
        <f t="shared" si="288"/>
        <v>5</v>
      </c>
      <c r="V1292" s="13">
        <f t="shared" si="271"/>
        <v>6.0200000000000005</v>
      </c>
      <c r="W1292" s="13">
        <f t="shared" si="283"/>
        <v>6.0200000000000005</v>
      </c>
      <c r="X1292" s="3">
        <f t="shared" si="272"/>
        <v>5</v>
      </c>
      <c r="Y1292" s="3" t="e">
        <f t="shared" si="284"/>
        <v>#DIV/0!</v>
      </c>
      <c r="Z1292" s="3"/>
      <c r="AA1292" s="3"/>
      <c r="AB1292" s="3">
        <v>30</v>
      </c>
      <c r="AC1292" s="3" t="s">
        <v>82</v>
      </c>
      <c r="AD1292" s="3" t="s">
        <v>83</v>
      </c>
      <c r="AE1292" s="3">
        <v>40</v>
      </c>
      <c r="AF1292" s="3" t="s">
        <v>102</v>
      </c>
      <c r="AG1292" s="3" t="s">
        <v>277</v>
      </c>
      <c r="AH1292" s="3"/>
    </row>
    <row r="1293" spans="1:34" ht="14.25" customHeight="1" x14ac:dyDescent="0.25">
      <c r="A1293" s="3" t="s">
        <v>137</v>
      </c>
      <c r="B1293" s="3" t="s">
        <v>171</v>
      </c>
      <c r="C1293" s="3"/>
      <c r="D1293" s="3" t="s">
        <v>187</v>
      </c>
      <c r="E1293" s="3">
        <v>2</v>
      </c>
      <c r="F1293" s="3">
        <v>1</v>
      </c>
      <c r="G1293" s="3" t="s">
        <v>25</v>
      </c>
      <c r="H1293" s="11">
        <v>45961</v>
      </c>
      <c r="I1293" s="3" t="s">
        <v>183</v>
      </c>
      <c r="J1293" s="3">
        <v>17</v>
      </c>
      <c r="K1293" s="3">
        <f>9.4+7.1+21</f>
        <v>37.5</v>
      </c>
      <c r="L1293" s="3">
        <v>0</v>
      </c>
      <c r="M1293" s="3">
        <v>0</v>
      </c>
      <c r="N1293" s="3">
        <v>0</v>
      </c>
      <c r="O1293" s="3">
        <f t="shared" si="269"/>
        <v>54.5</v>
      </c>
      <c r="P1293" s="3">
        <v>1</v>
      </c>
      <c r="Q1293" s="3">
        <v>4</v>
      </c>
      <c r="R1293" s="3">
        <v>0</v>
      </c>
      <c r="S1293" s="3">
        <v>0</v>
      </c>
      <c r="T1293" s="3">
        <v>0</v>
      </c>
      <c r="U1293" s="3">
        <f t="shared" si="288"/>
        <v>5</v>
      </c>
      <c r="V1293" s="13">
        <f t="shared" si="271"/>
        <v>10.9</v>
      </c>
      <c r="W1293" s="13">
        <f t="shared" si="283"/>
        <v>10.9</v>
      </c>
      <c r="X1293" s="3">
        <f t="shared" si="272"/>
        <v>5</v>
      </c>
      <c r="Y1293" s="3" t="e">
        <f t="shared" si="284"/>
        <v>#DIV/0!</v>
      </c>
      <c r="Z1293" s="3"/>
      <c r="AA1293" s="3"/>
      <c r="AB1293" s="3">
        <v>30</v>
      </c>
      <c r="AC1293" s="3" t="s">
        <v>82</v>
      </c>
      <c r="AD1293" s="3" t="s">
        <v>83</v>
      </c>
      <c r="AE1293" s="3">
        <v>40</v>
      </c>
      <c r="AF1293" s="3" t="s">
        <v>102</v>
      </c>
      <c r="AG1293" s="3" t="s">
        <v>277</v>
      </c>
      <c r="AH1293" s="3"/>
    </row>
    <row r="1294" spans="1:34" ht="14.25" customHeight="1" x14ac:dyDescent="0.25">
      <c r="A1294" s="3" t="s">
        <v>104</v>
      </c>
      <c r="B1294" s="3" t="s">
        <v>171</v>
      </c>
      <c r="C1294" s="3"/>
      <c r="D1294" s="3" t="s">
        <v>187</v>
      </c>
      <c r="E1294" s="3">
        <v>2</v>
      </c>
      <c r="F1294" s="3">
        <v>1</v>
      </c>
      <c r="G1294" s="3" t="s">
        <v>1</v>
      </c>
      <c r="H1294" s="11">
        <v>45961</v>
      </c>
      <c r="I1294" s="3" t="s">
        <v>183</v>
      </c>
      <c r="J1294" s="3">
        <f>50+60+40+30+20+10+14</f>
        <v>224</v>
      </c>
      <c r="K1294" s="3">
        <f>15+17+19+10+15+20</f>
        <v>96</v>
      </c>
      <c r="L1294" s="3">
        <v>40</v>
      </c>
      <c r="M1294" s="3">
        <f>30+20</f>
        <v>50</v>
      </c>
      <c r="N1294" s="3">
        <v>0</v>
      </c>
      <c r="O1294" s="3">
        <f t="shared" si="269"/>
        <v>410</v>
      </c>
      <c r="P1294" s="3">
        <v>7</v>
      </c>
      <c r="Q1294" s="3">
        <v>6</v>
      </c>
      <c r="R1294" s="3">
        <v>1</v>
      </c>
      <c r="S1294" s="3">
        <v>2</v>
      </c>
      <c r="T1294" s="3">
        <v>0</v>
      </c>
      <c r="U1294" s="3">
        <v>28</v>
      </c>
      <c r="V1294" s="13">
        <f t="shared" si="271"/>
        <v>14.642857142857142</v>
      </c>
      <c r="W1294" s="13">
        <f t="shared" si="283"/>
        <v>14.642857142857142</v>
      </c>
      <c r="X1294" s="3">
        <f t="shared" si="272"/>
        <v>28</v>
      </c>
      <c r="Y1294" s="3">
        <f t="shared" si="284"/>
        <v>1.8677113702623906E-3</v>
      </c>
      <c r="Z1294" s="3"/>
      <c r="AA1294" s="3">
        <f>50*7*5+70*7*5+60*7*6+40*7*4</f>
        <v>7840</v>
      </c>
      <c r="AB1294" s="3">
        <f>6*5+5*4+8*3+7*6</f>
        <v>116</v>
      </c>
      <c r="AC1294" s="3" t="s">
        <v>82</v>
      </c>
      <c r="AD1294" s="3" t="s">
        <v>83</v>
      </c>
      <c r="AE1294" s="3"/>
      <c r="AF1294" s="3" t="s">
        <v>102</v>
      </c>
      <c r="AG1294" s="3" t="s">
        <v>278</v>
      </c>
      <c r="AH1294" s="3"/>
    </row>
    <row r="1295" spans="1:34" ht="14.25" customHeight="1" x14ac:dyDescent="0.25">
      <c r="A1295" s="3" t="s">
        <v>104</v>
      </c>
      <c r="B1295" s="3" t="s">
        <v>171</v>
      </c>
      <c r="C1295" s="3"/>
      <c r="D1295" s="3" t="s">
        <v>187</v>
      </c>
      <c r="E1295" s="3">
        <v>2</v>
      </c>
      <c r="F1295" s="3">
        <v>1</v>
      </c>
      <c r="G1295" s="3" t="s">
        <v>3</v>
      </c>
      <c r="H1295" s="11">
        <v>45961</v>
      </c>
      <c r="I1295" s="3" t="s">
        <v>183</v>
      </c>
      <c r="J1295" s="3">
        <f>100+50+40+80+75</f>
        <v>345</v>
      </c>
      <c r="K1295" s="3">
        <f>90+80+70</f>
        <v>240</v>
      </c>
      <c r="L1295" s="3">
        <v>100</v>
      </c>
      <c r="M1295" s="3">
        <v>290</v>
      </c>
      <c r="N1295" s="3">
        <v>0</v>
      </c>
      <c r="O1295" s="3">
        <f t="shared" si="269"/>
        <v>975</v>
      </c>
      <c r="P1295" s="3">
        <v>7</v>
      </c>
      <c r="Q1295" s="3">
        <v>6</v>
      </c>
      <c r="R1295" s="3">
        <v>1</v>
      </c>
      <c r="S1295" s="3">
        <v>2</v>
      </c>
      <c r="T1295" s="3">
        <v>0</v>
      </c>
      <c r="U1295" s="3">
        <v>28</v>
      </c>
      <c r="V1295" s="13">
        <f t="shared" si="271"/>
        <v>34.821428571428569</v>
      </c>
      <c r="W1295" s="13">
        <f t="shared" si="283"/>
        <v>34.821428571428569</v>
      </c>
      <c r="X1295" s="3">
        <f t="shared" si="272"/>
        <v>28</v>
      </c>
      <c r="Y1295" s="3">
        <f t="shared" si="284"/>
        <v>4.441508746355685E-3</v>
      </c>
      <c r="Z1295" s="3"/>
      <c r="AA1295" s="3">
        <f t="shared" ref="AA1295:AA1300" si="289">50*7*5+70*7*5+60*7*6+40*7*4</f>
        <v>7840</v>
      </c>
      <c r="AB1295" s="3">
        <f t="shared" ref="AB1295:AB1300" si="290">6*5+5*4+8*3+7*6</f>
        <v>116</v>
      </c>
      <c r="AC1295" s="3" t="s">
        <v>82</v>
      </c>
      <c r="AD1295" s="3" t="s">
        <v>83</v>
      </c>
      <c r="AE1295" s="3"/>
      <c r="AF1295" s="3" t="s">
        <v>102</v>
      </c>
      <c r="AG1295" s="3" t="s">
        <v>278</v>
      </c>
      <c r="AH1295" s="3"/>
    </row>
    <row r="1296" spans="1:34" ht="14.25" customHeight="1" x14ac:dyDescent="0.25">
      <c r="A1296" s="3" t="s">
        <v>104</v>
      </c>
      <c r="B1296" s="3" t="s">
        <v>171</v>
      </c>
      <c r="C1296" s="3"/>
      <c r="D1296" s="3" t="s">
        <v>187</v>
      </c>
      <c r="E1296" s="3">
        <v>2</v>
      </c>
      <c r="F1296" s="3">
        <v>1</v>
      </c>
      <c r="G1296" s="3" t="s">
        <v>2</v>
      </c>
      <c r="H1296" s="11">
        <v>45961</v>
      </c>
      <c r="I1296" s="3" t="s">
        <v>183</v>
      </c>
      <c r="J1296" s="3">
        <v>40</v>
      </c>
      <c r="K1296" s="3">
        <f>40+30</f>
        <v>70</v>
      </c>
      <c r="L1296" s="3">
        <v>100</v>
      </c>
      <c r="M1296" s="3">
        <v>60</v>
      </c>
      <c r="N1296" s="3">
        <v>0</v>
      </c>
      <c r="O1296" s="3">
        <f t="shared" si="269"/>
        <v>270</v>
      </c>
      <c r="P1296" s="3">
        <v>7</v>
      </c>
      <c r="Q1296" s="3">
        <v>6</v>
      </c>
      <c r="R1296" s="3">
        <v>1</v>
      </c>
      <c r="S1296" s="3">
        <v>2</v>
      </c>
      <c r="T1296" s="3">
        <v>0</v>
      </c>
      <c r="U1296" s="3">
        <v>28</v>
      </c>
      <c r="V1296" s="13">
        <f t="shared" si="271"/>
        <v>9.6428571428571423</v>
      </c>
      <c r="W1296" s="13">
        <f t="shared" si="283"/>
        <v>9.6428571428571423</v>
      </c>
      <c r="X1296" s="3">
        <f t="shared" si="272"/>
        <v>28</v>
      </c>
      <c r="Y1296" s="3">
        <f t="shared" si="284"/>
        <v>1.2299562682215742E-3</v>
      </c>
      <c r="Z1296" s="3"/>
      <c r="AA1296" s="3">
        <f t="shared" si="289"/>
        <v>7840</v>
      </c>
      <c r="AB1296" s="3">
        <f t="shared" si="290"/>
        <v>116</v>
      </c>
      <c r="AC1296" s="3" t="s">
        <v>82</v>
      </c>
      <c r="AD1296" s="3" t="s">
        <v>83</v>
      </c>
      <c r="AE1296" s="3"/>
      <c r="AF1296" s="3" t="s">
        <v>102</v>
      </c>
      <c r="AG1296" s="3" t="s">
        <v>278</v>
      </c>
      <c r="AH1296" s="3"/>
    </row>
    <row r="1297" spans="1:34" ht="14.25" customHeight="1" x14ac:dyDescent="0.25">
      <c r="A1297" s="3" t="s">
        <v>104</v>
      </c>
      <c r="B1297" s="3" t="s">
        <v>171</v>
      </c>
      <c r="C1297" s="3"/>
      <c r="D1297" s="3" t="s">
        <v>187</v>
      </c>
      <c r="E1297" s="3">
        <v>2</v>
      </c>
      <c r="F1297" s="3">
        <v>1</v>
      </c>
      <c r="G1297" s="3" t="s">
        <v>9</v>
      </c>
      <c r="H1297" s="11">
        <v>45961</v>
      </c>
      <c r="I1297" s="3" t="s">
        <v>183</v>
      </c>
      <c r="J1297" s="3">
        <v>100</v>
      </c>
      <c r="K1297" s="3">
        <f>90+70</f>
        <v>160</v>
      </c>
      <c r="L1297" s="3">
        <v>100</v>
      </c>
      <c r="M1297" s="3">
        <v>80</v>
      </c>
      <c r="N1297" s="3">
        <v>0</v>
      </c>
      <c r="O1297" s="3">
        <f t="shared" si="269"/>
        <v>440</v>
      </c>
      <c r="P1297" s="3">
        <v>7</v>
      </c>
      <c r="Q1297" s="3">
        <v>6</v>
      </c>
      <c r="R1297" s="3">
        <v>1</v>
      </c>
      <c r="S1297" s="3">
        <v>2</v>
      </c>
      <c r="T1297" s="3">
        <v>0</v>
      </c>
      <c r="U1297" s="3">
        <v>28</v>
      </c>
      <c r="V1297" s="13">
        <f t="shared" si="271"/>
        <v>15.714285714285714</v>
      </c>
      <c r="W1297" s="13">
        <f t="shared" si="283"/>
        <v>15.714285714285714</v>
      </c>
      <c r="X1297" s="3">
        <f t="shared" si="272"/>
        <v>28</v>
      </c>
      <c r="Y1297" s="3">
        <f t="shared" si="284"/>
        <v>2.0043731778425656E-3</v>
      </c>
      <c r="Z1297" s="3"/>
      <c r="AA1297" s="3">
        <f t="shared" si="289"/>
        <v>7840</v>
      </c>
      <c r="AB1297" s="3">
        <f t="shared" si="290"/>
        <v>116</v>
      </c>
      <c r="AC1297" s="3" t="s">
        <v>82</v>
      </c>
      <c r="AD1297" s="3" t="s">
        <v>83</v>
      </c>
      <c r="AE1297" s="3"/>
      <c r="AF1297" s="3" t="s">
        <v>102</v>
      </c>
      <c r="AG1297" s="3" t="s">
        <v>278</v>
      </c>
      <c r="AH1297" s="3"/>
    </row>
    <row r="1298" spans="1:34" ht="14.25" customHeight="1" x14ac:dyDescent="0.25">
      <c r="A1298" s="3" t="s">
        <v>104</v>
      </c>
      <c r="B1298" s="3" t="s">
        <v>171</v>
      </c>
      <c r="C1298" s="3"/>
      <c r="D1298" s="3" t="s">
        <v>187</v>
      </c>
      <c r="E1298" s="3">
        <v>2</v>
      </c>
      <c r="F1298" s="3">
        <v>1</v>
      </c>
      <c r="G1298" s="3" t="s">
        <v>14</v>
      </c>
      <c r="H1298" s="11">
        <v>45961</v>
      </c>
      <c r="I1298" s="3" t="s">
        <v>183</v>
      </c>
      <c r="J1298" s="3">
        <v>20</v>
      </c>
      <c r="K1298" s="25">
        <v>0</v>
      </c>
      <c r="L1298" s="3">
        <v>0</v>
      </c>
      <c r="M1298" s="3">
        <v>0</v>
      </c>
      <c r="N1298" s="3">
        <v>0</v>
      </c>
      <c r="O1298" s="3">
        <f t="shared" si="269"/>
        <v>20</v>
      </c>
      <c r="P1298" s="3">
        <v>7</v>
      </c>
      <c r="Q1298" s="3">
        <v>6</v>
      </c>
      <c r="R1298" s="3">
        <v>1</v>
      </c>
      <c r="S1298" s="3">
        <v>2</v>
      </c>
      <c r="T1298" s="3">
        <v>0</v>
      </c>
      <c r="U1298" s="3">
        <v>28</v>
      </c>
      <c r="V1298" s="13">
        <f t="shared" si="271"/>
        <v>0.7142857142857143</v>
      </c>
      <c r="W1298" s="13">
        <f t="shared" si="283"/>
        <v>0.7142857142857143</v>
      </c>
      <c r="X1298" s="3">
        <f t="shared" si="272"/>
        <v>28</v>
      </c>
      <c r="Y1298" s="3">
        <f t="shared" si="284"/>
        <v>9.1107871720116617E-5</v>
      </c>
      <c r="Z1298" s="3"/>
      <c r="AA1298" s="3">
        <f t="shared" si="289"/>
        <v>7840</v>
      </c>
      <c r="AB1298" s="3">
        <f t="shared" si="290"/>
        <v>116</v>
      </c>
      <c r="AC1298" s="3" t="s">
        <v>82</v>
      </c>
      <c r="AD1298" s="3" t="s">
        <v>83</v>
      </c>
      <c r="AE1298" s="3"/>
      <c r="AF1298" s="3" t="s">
        <v>102</v>
      </c>
      <c r="AG1298" s="3" t="s">
        <v>278</v>
      </c>
      <c r="AH1298" s="3"/>
    </row>
    <row r="1299" spans="1:34" ht="14.25" customHeight="1" x14ac:dyDescent="0.25">
      <c r="A1299" s="3" t="s">
        <v>104</v>
      </c>
      <c r="B1299" s="3" t="s">
        <v>171</v>
      </c>
      <c r="C1299" s="3"/>
      <c r="D1299" s="3" t="s">
        <v>187</v>
      </c>
      <c r="E1299" s="3">
        <v>2</v>
      </c>
      <c r="F1299" s="3">
        <v>1</v>
      </c>
      <c r="G1299" s="3" t="s">
        <v>18</v>
      </c>
      <c r="H1299" s="11">
        <v>45961</v>
      </c>
      <c r="I1299" s="3" t="s">
        <v>183</v>
      </c>
      <c r="J1299" s="3">
        <v>30</v>
      </c>
      <c r="K1299" s="3">
        <f>20+40</f>
        <v>60</v>
      </c>
      <c r="L1299" s="3">
        <v>50</v>
      </c>
      <c r="M1299" s="3">
        <v>30</v>
      </c>
      <c r="N1299" s="3">
        <v>0</v>
      </c>
      <c r="O1299" s="3">
        <f t="shared" si="269"/>
        <v>170</v>
      </c>
      <c r="P1299" s="3">
        <v>7</v>
      </c>
      <c r="Q1299" s="3">
        <v>6</v>
      </c>
      <c r="R1299" s="3">
        <v>1</v>
      </c>
      <c r="S1299" s="3">
        <v>2</v>
      </c>
      <c r="T1299" s="3">
        <v>0</v>
      </c>
      <c r="U1299" s="3">
        <v>28</v>
      </c>
      <c r="V1299" s="13">
        <f t="shared" si="271"/>
        <v>6.0714285714285712</v>
      </c>
      <c r="W1299" s="13">
        <f t="shared" si="283"/>
        <v>6.0714285714285712</v>
      </c>
      <c r="X1299" s="3">
        <f t="shared" si="272"/>
        <v>28</v>
      </c>
      <c r="Y1299" s="3">
        <f t="shared" si="284"/>
        <v>7.7441690962099126E-4</v>
      </c>
      <c r="Z1299" s="3"/>
      <c r="AA1299" s="3">
        <f t="shared" si="289"/>
        <v>7840</v>
      </c>
      <c r="AB1299" s="3">
        <f t="shared" si="290"/>
        <v>116</v>
      </c>
      <c r="AC1299" s="3" t="s">
        <v>82</v>
      </c>
      <c r="AD1299" s="3" t="s">
        <v>83</v>
      </c>
      <c r="AE1299" s="3"/>
      <c r="AF1299" s="3" t="s">
        <v>102</v>
      </c>
      <c r="AG1299" s="3" t="s">
        <v>278</v>
      </c>
      <c r="AH1299" s="3"/>
    </row>
    <row r="1300" spans="1:34" ht="14.25" customHeight="1" x14ac:dyDescent="0.25">
      <c r="A1300" s="3" t="s">
        <v>104</v>
      </c>
      <c r="B1300" s="3" t="s">
        <v>171</v>
      </c>
      <c r="C1300" s="3"/>
      <c r="D1300" s="3" t="s">
        <v>187</v>
      </c>
      <c r="E1300" s="3">
        <v>2</v>
      </c>
      <c r="F1300" s="3">
        <v>1</v>
      </c>
      <c r="G1300" s="3" t="s">
        <v>25</v>
      </c>
      <c r="H1300" s="11">
        <v>45961</v>
      </c>
      <c r="I1300" s="3" t="s">
        <v>183</v>
      </c>
      <c r="J1300" s="3">
        <f>100+40+30+10+15</f>
        <v>195</v>
      </c>
      <c r="K1300" s="3">
        <f>80+90+100</f>
        <v>270</v>
      </c>
      <c r="L1300" s="3">
        <v>60</v>
      </c>
      <c r="M1300" s="3">
        <v>80</v>
      </c>
      <c r="N1300" s="3">
        <v>0</v>
      </c>
      <c r="O1300" s="3">
        <f t="shared" si="269"/>
        <v>605</v>
      </c>
      <c r="P1300" s="3">
        <v>7</v>
      </c>
      <c r="Q1300" s="3">
        <v>6</v>
      </c>
      <c r="R1300" s="3">
        <v>1</v>
      </c>
      <c r="S1300" s="3">
        <v>2</v>
      </c>
      <c r="T1300" s="3">
        <v>0</v>
      </c>
      <c r="U1300" s="3">
        <v>28</v>
      </c>
      <c r="V1300" s="13">
        <f t="shared" si="271"/>
        <v>21.607142857142858</v>
      </c>
      <c r="W1300" s="13">
        <f t="shared" si="283"/>
        <v>21.607142857142858</v>
      </c>
      <c r="X1300" s="3">
        <f t="shared" si="272"/>
        <v>28</v>
      </c>
      <c r="Y1300" s="3">
        <f t="shared" si="284"/>
        <v>2.7560131195335279E-3</v>
      </c>
      <c r="Z1300" s="3"/>
      <c r="AA1300" s="3">
        <f t="shared" si="289"/>
        <v>7840</v>
      </c>
      <c r="AB1300" s="3">
        <f t="shared" si="290"/>
        <v>116</v>
      </c>
      <c r="AC1300" s="3" t="s">
        <v>82</v>
      </c>
      <c r="AD1300" s="3" t="s">
        <v>83</v>
      </c>
      <c r="AE1300" s="3"/>
      <c r="AF1300" s="3" t="s">
        <v>102</v>
      </c>
      <c r="AG1300" s="3" t="s">
        <v>278</v>
      </c>
      <c r="AH1300" s="3"/>
    </row>
    <row r="1301" spans="1:34" ht="14.25" customHeight="1" x14ac:dyDescent="0.25">
      <c r="A1301" s="3" t="s">
        <v>157</v>
      </c>
      <c r="B1301" s="3" t="s">
        <v>171</v>
      </c>
      <c r="C1301" s="3"/>
      <c r="D1301" s="3" t="s">
        <v>187</v>
      </c>
      <c r="E1301" s="3">
        <v>2</v>
      </c>
      <c r="F1301" s="3">
        <v>1</v>
      </c>
      <c r="G1301" s="3" t="s">
        <v>1</v>
      </c>
      <c r="H1301" s="11">
        <v>45961</v>
      </c>
      <c r="I1301" s="3" t="s">
        <v>183</v>
      </c>
      <c r="J1301" s="3">
        <v>12</v>
      </c>
      <c r="K1301" s="3">
        <v>3</v>
      </c>
      <c r="L1301" s="3">
        <v>4</v>
      </c>
      <c r="M1301" s="3">
        <v>16</v>
      </c>
      <c r="N1301" s="3">
        <v>12</v>
      </c>
      <c r="O1301" s="3">
        <f t="shared" si="269"/>
        <v>47</v>
      </c>
      <c r="P1301" s="3">
        <v>6</v>
      </c>
      <c r="Q1301" s="3">
        <v>4</v>
      </c>
      <c r="R1301" s="3">
        <v>5</v>
      </c>
      <c r="S1301" s="3">
        <v>5</v>
      </c>
      <c r="T1301" s="3">
        <v>3</v>
      </c>
      <c r="U1301" s="3">
        <f t="shared" ref="U1301" si="291">SUM(P1301:T1301)</f>
        <v>23</v>
      </c>
      <c r="V1301" s="13">
        <f t="shared" si="271"/>
        <v>2.0434782608695654</v>
      </c>
      <c r="W1301" s="13">
        <f t="shared" si="283"/>
        <v>2.0434782608695654</v>
      </c>
      <c r="X1301" s="3">
        <f t="shared" si="272"/>
        <v>23</v>
      </c>
      <c r="Y1301" s="3">
        <f t="shared" si="284"/>
        <v>1.4492753623188408E-3</v>
      </c>
      <c r="Z1301" s="3"/>
      <c r="AA1301" s="3">
        <f>100*3*2+90*3*3</f>
        <v>1410</v>
      </c>
      <c r="AB1301" s="3">
        <v>40</v>
      </c>
      <c r="AC1301" s="3" t="s">
        <v>82</v>
      </c>
      <c r="AD1301" s="3" t="s">
        <v>83</v>
      </c>
      <c r="AE1301" s="3"/>
      <c r="AF1301" s="3" t="s">
        <v>102</v>
      </c>
      <c r="AG1301" s="3" t="s">
        <v>279</v>
      </c>
      <c r="AH1301" s="3"/>
    </row>
    <row r="1302" spans="1:34" ht="14.25" customHeight="1" x14ac:dyDescent="0.25">
      <c r="A1302" s="3" t="s">
        <v>157</v>
      </c>
      <c r="B1302" s="3" t="s">
        <v>171</v>
      </c>
      <c r="C1302" s="3"/>
      <c r="D1302" s="3" t="s">
        <v>187</v>
      </c>
      <c r="E1302" s="3">
        <v>2</v>
      </c>
      <c r="F1302" s="3">
        <v>1</v>
      </c>
      <c r="G1302" s="3" t="s">
        <v>3</v>
      </c>
      <c r="H1302" s="11">
        <v>45961</v>
      </c>
      <c r="I1302" s="3" t="s">
        <v>183</v>
      </c>
      <c r="J1302" s="3">
        <v>12</v>
      </c>
      <c r="K1302" s="3">
        <v>2</v>
      </c>
      <c r="L1302" s="3">
        <f>3+10+11</f>
        <v>24</v>
      </c>
      <c r="M1302" s="3">
        <f>23+12</f>
        <v>35</v>
      </c>
      <c r="N1302" s="3">
        <v>6</v>
      </c>
      <c r="O1302" s="3">
        <f t="shared" si="269"/>
        <v>79</v>
      </c>
      <c r="P1302" s="3">
        <v>6</v>
      </c>
      <c r="Q1302" s="3">
        <v>4</v>
      </c>
      <c r="R1302" s="3">
        <v>5</v>
      </c>
      <c r="S1302" s="3">
        <v>5</v>
      </c>
      <c r="T1302" s="3">
        <v>3</v>
      </c>
      <c r="U1302" s="3">
        <f t="shared" ref="U1302:U1315" si="292">SUM(P1302:T1302)</f>
        <v>23</v>
      </c>
      <c r="V1302" s="13">
        <f t="shared" si="271"/>
        <v>3.4347826086956523</v>
      </c>
      <c r="W1302" s="13">
        <f t="shared" si="283"/>
        <v>3.4347826086956523</v>
      </c>
      <c r="X1302" s="3">
        <f t="shared" si="272"/>
        <v>23</v>
      </c>
      <c r="Y1302" s="3">
        <f t="shared" si="284"/>
        <v>2.4360160345359236E-3</v>
      </c>
      <c r="Z1302" s="3"/>
      <c r="AA1302" s="3">
        <f t="shared" ref="AA1302:AA1307" si="293">100*3*2+90*3*3</f>
        <v>1410</v>
      </c>
      <c r="AB1302" s="3">
        <v>40</v>
      </c>
      <c r="AC1302" s="3" t="s">
        <v>82</v>
      </c>
      <c r="AD1302" s="3" t="s">
        <v>83</v>
      </c>
      <c r="AE1302" s="3"/>
      <c r="AF1302" s="3" t="s">
        <v>102</v>
      </c>
      <c r="AG1302" s="3" t="s">
        <v>279</v>
      </c>
      <c r="AH1302" s="3"/>
    </row>
    <row r="1303" spans="1:34" ht="14.25" customHeight="1" x14ac:dyDescent="0.25">
      <c r="A1303" s="3" t="s">
        <v>157</v>
      </c>
      <c r="B1303" s="3" t="s">
        <v>171</v>
      </c>
      <c r="C1303" s="3"/>
      <c r="D1303" s="3" t="s">
        <v>187</v>
      </c>
      <c r="E1303" s="3">
        <v>2</v>
      </c>
      <c r="F1303" s="3">
        <v>1</v>
      </c>
      <c r="G1303" s="3" t="s">
        <v>10</v>
      </c>
      <c r="H1303" s="11">
        <v>45961</v>
      </c>
      <c r="I1303" s="3" t="s">
        <v>183</v>
      </c>
      <c r="J1303" s="3">
        <v>19</v>
      </c>
      <c r="K1303" s="3">
        <f>8+12+13</f>
        <v>33</v>
      </c>
      <c r="L1303" s="3">
        <v>12</v>
      </c>
      <c r="M1303" s="3">
        <v>0</v>
      </c>
      <c r="N1303" s="3">
        <v>0</v>
      </c>
      <c r="O1303" s="3">
        <f t="shared" si="269"/>
        <v>64</v>
      </c>
      <c r="P1303" s="3">
        <v>6</v>
      </c>
      <c r="Q1303" s="3">
        <v>4</v>
      </c>
      <c r="R1303" s="3">
        <v>5</v>
      </c>
      <c r="S1303" s="3">
        <v>5</v>
      </c>
      <c r="T1303" s="3">
        <v>3</v>
      </c>
      <c r="U1303" s="3">
        <f t="shared" si="292"/>
        <v>23</v>
      </c>
      <c r="V1303" s="13">
        <f t="shared" si="271"/>
        <v>2.7826086956521738</v>
      </c>
      <c r="W1303" s="13">
        <f t="shared" si="283"/>
        <v>2.7826086956521738</v>
      </c>
      <c r="X1303" s="3">
        <f t="shared" si="272"/>
        <v>23</v>
      </c>
      <c r="Y1303" s="3">
        <f t="shared" si="284"/>
        <v>1.9734813444341657E-3</v>
      </c>
      <c r="Z1303" s="3"/>
      <c r="AA1303" s="3">
        <f t="shared" si="293"/>
        <v>1410</v>
      </c>
      <c r="AB1303" s="3">
        <v>40</v>
      </c>
      <c r="AC1303" s="3" t="s">
        <v>82</v>
      </c>
      <c r="AD1303" s="3" t="s">
        <v>83</v>
      </c>
      <c r="AE1303" s="3"/>
      <c r="AF1303" s="3" t="s">
        <v>102</v>
      </c>
      <c r="AG1303" s="3" t="s">
        <v>279</v>
      </c>
      <c r="AH1303" s="3"/>
    </row>
    <row r="1304" spans="1:34" ht="14.25" customHeight="1" x14ac:dyDescent="0.25">
      <c r="A1304" s="3" t="s">
        <v>157</v>
      </c>
      <c r="B1304" s="3" t="s">
        <v>171</v>
      </c>
      <c r="C1304" s="3"/>
      <c r="D1304" s="3" t="s">
        <v>187</v>
      </c>
      <c r="E1304" s="3">
        <v>2</v>
      </c>
      <c r="F1304" s="3">
        <v>1</v>
      </c>
      <c r="G1304" s="3" t="s">
        <v>12</v>
      </c>
      <c r="H1304" s="11">
        <v>45961</v>
      </c>
      <c r="I1304" s="3" t="s">
        <v>183</v>
      </c>
      <c r="J1304" s="3">
        <v>3</v>
      </c>
      <c r="K1304" s="3">
        <v>13</v>
      </c>
      <c r="L1304" s="3">
        <v>8</v>
      </c>
      <c r="M1304" s="3">
        <v>14</v>
      </c>
      <c r="N1304" s="3">
        <v>0</v>
      </c>
      <c r="O1304" s="3">
        <f t="shared" si="269"/>
        <v>38</v>
      </c>
      <c r="P1304" s="3">
        <v>6</v>
      </c>
      <c r="Q1304" s="3">
        <v>4</v>
      </c>
      <c r="R1304" s="3">
        <v>5</v>
      </c>
      <c r="S1304" s="3">
        <v>5</v>
      </c>
      <c r="T1304" s="3">
        <v>3</v>
      </c>
      <c r="U1304" s="3">
        <f t="shared" si="292"/>
        <v>23</v>
      </c>
      <c r="V1304" s="13">
        <f t="shared" si="271"/>
        <v>1.6521739130434783</v>
      </c>
      <c r="W1304" s="13">
        <f t="shared" si="283"/>
        <v>1.6521739130434783</v>
      </c>
      <c r="X1304" s="3">
        <f t="shared" si="272"/>
        <v>23</v>
      </c>
      <c r="Y1304" s="3">
        <f t="shared" si="284"/>
        <v>1.1717545482577861E-3</v>
      </c>
      <c r="Z1304" s="3"/>
      <c r="AA1304" s="3">
        <f t="shared" si="293"/>
        <v>1410</v>
      </c>
      <c r="AB1304" s="3">
        <v>40</v>
      </c>
      <c r="AC1304" s="3" t="s">
        <v>82</v>
      </c>
      <c r="AD1304" s="3" t="s">
        <v>83</v>
      </c>
      <c r="AE1304" s="3"/>
      <c r="AF1304" s="3" t="s">
        <v>102</v>
      </c>
      <c r="AG1304" s="3" t="s">
        <v>279</v>
      </c>
      <c r="AH1304" s="3"/>
    </row>
    <row r="1305" spans="1:34" ht="14.25" customHeight="1" x14ac:dyDescent="0.25">
      <c r="A1305" s="3" t="s">
        <v>157</v>
      </c>
      <c r="B1305" s="3" t="s">
        <v>171</v>
      </c>
      <c r="C1305" s="3"/>
      <c r="D1305" s="3" t="s">
        <v>187</v>
      </c>
      <c r="E1305" s="3">
        <v>2</v>
      </c>
      <c r="F1305" s="3">
        <v>1</v>
      </c>
      <c r="G1305" s="3" t="s">
        <v>14</v>
      </c>
      <c r="H1305" s="11">
        <v>45961</v>
      </c>
      <c r="I1305" s="3" t="s">
        <v>183</v>
      </c>
      <c r="J1305" s="3">
        <v>16</v>
      </c>
      <c r="K1305" s="3">
        <v>0</v>
      </c>
      <c r="L1305" s="3">
        <f>12+5</f>
        <v>17</v>
      </c>
      <c r="M1305" s="3">
        <v>16</v>
      </c>
      <c r="N1305" s="3">
        <v>5</v>
      </c>
      <c r="O1305" s="3">
        <f t="shared" si="269"/>
        <v>54</v>
      </c>
      <c r="P1305" s="3">
        <v>6</v>
      </c>
      <c r="Q1305" s="3">
        <v>4</v>
      </c>
      <c r="R1305" s="3">
        <v>5</v>
      </c>
      <c r="S1305" s="3">
        <v>5</v>
      </c>
      <c r="T1305" s="3">
        <v>3</v>
      </c>
      <c r="U1305" s="3">
        <f t="shared" si="292"/>
        <v>23</v>
      </c>
      <c r="V1305" s="13">
        <f t="shared" si="271"/>
        <v>2.347826086956522</v>
      </c>
      <c r="W1305" s="13">
        <f t="shared" si="283"/>
        <v>2.347826086956522</v>
      </c>
      <c r="X1305" s="3">
        <f t="shared" si="272"/>
        <v>23</v>
      </c>
      <c r="Y1305" s="3">
        <f t="shared" si="284"/>
        <v>1.6651248843663276E-3</v>
      </c>
      <c r="Z1305" s="3"/>
      <c r="AA1305" s="3">
        <f t="shared" si="293"/>
        <v>1410</v>
      </c>
      <c r="AB1305" s="3">
        <v>40</v>
      </c>
      <c r="AC1305" s="3" t="s">
        <v>82</v>
      </c>
      <c r="AD1305" s="3" t="s">
        <v>83</v>
      </c>
      <c r="AE1305" s="3"/>
      <c r="AF1305" s="3" t="s">
        <v>102</v>
      </c>
      <c r="AG1305" s="3" t="s">
        <v>279</v>
      </c>
      <c r="AH1305" s="3"/>
    </row>
    <row r="1306" spans="1:34" ht="14.25" customHeight="1" x14ac:dyDescent="0.25">
      <c r="A1306" s="3" t="s">
        <v>157</v>
      </c>
      <c r="B1306" s="3" t="s">
        <v>171</v>
      </c>
      <c r="C1306" s="3"/>
      <c r="D1306" s="3" t="s">
        <v>187</v>
      </c>
      <c r="E1306" s="3">
        <v>2</v>
      </c>
      <c r="F1306" s="3">
        <v>1</v>
      </c>
      <c r="G1306" s="3" t="s">
        <v>25</v>
      </c>
      <c r="H1306" s="11">
        <v>45961</v>
      </c>
      <c r="I1306" s="3" t="s">
        <v>183</v>
      </c>
      <c r="J1306" s="3">
        <v>0</v>
      </c>
      <c r="K1306" s="3">
        <v>0</v>
      </c>
      <c r="L1306" s="3">
        <v>10</v>
      </c>
      <c r="M1306" s="3">
        <v>0</v>
      </c>
      <c r="N1306" s="3">
        <v>0</v>
      </c>
      <c r="O1306" s="3">
        <f t="shared" si="269"/>
        <v>10</v>
      </c>
      <c r="P1306" s="3">
        <v>6</v>
      </c>
      <c r="Q1306" s="3">
        <v>4</v>
      </c>
      <c r="R1306" s="3">
        <v>5</v>
      </c>
      <c r="S1306" s="3">
        <v>5</v>
      </c>
      <c r="T1306" s="3">
        <v>3</v>
      </c>
      <c r="U1306" s="3">
        <f t="shared" si="292"/>
        <v>23</v>
      </c>
      <c r="V1306" s="13">
        <f t="shared" si="271"/>
        <v>0.43478260869565216</v>
      </c>
      <c r="W1306" s="13">
        <f t="shared" si="283"/>
        <v>0.43478260869565216</v>
      </c>
      <c r="X1306" s="3">
        <f t="shared" si="272"/>
        <v>23</v>
      </c>
      <c r="Y1306" s="3">
        <f t="shared" si="284"/>
        <v>3.083564600678384E-4</v>
      </c>
      <c r="Z1306" s="3"/>
      <c r="AA1306" s="3">
        <f t="shared" si="293"/>
        <v>1410</v>
      </c>
      <c r="AB1306" s="3">
        <v>40</v>
      </c>
      <c r="AC1306" s="3" t="s">
        <v>82</v>
      </c>
      <c r="AD1306" s="3" t="s">
        <v>83</v>
      </c>
      <c r="AE1306" s="3"/>
      <c r="AF1306" s="3" t="s">
        <v>102</v>
      </c>
      <c r="AG1306" s="3" t="s">
        <v>279</v>
      </c>
      <c r="AH1306" s="3"/>
    </row>
    <row r="1307" spans="1:34" ht="14.25" customHeight="1" x14ac:dyDescent="0.25">
      <c r="A1307" s="3" t="s">
        <v>157</v>
      </c>
      <c r="B1307" s="3" t="s">
        <v>171</v>
      </c>
      <c r="C1307" s="3"/>
      <c r="D1307" s="3" t="s">
        <v>187</v>
      </c>
      <c r="E1307" s="3">
        <v>2</v>
      </c>
      <c r="F1307" s="3">
        <v>1</v>
      </c>
      <c r="G1307" s="3" t="s">
        <v>22</v>
      </c>
      <c r="H1307" s="11">
        <v>45961</v>
      </c>
      <c r="I1307" s="3" t="s">
        <v>183</v>
      </c>
      <c r="J1307" s="3">
        <v>6</v>
      </c>
      <c r="K1307" s="3">
        <v>11</v>
      </c>
      <c r="L1307" s="3">
        <v>0</v>
      </c>
      <c r="M1307" s="3">
        <v>0</v>
      </c>
      <c r="N1307" s="3">
        <v>10</v>
      </c>
      <c r="O1307" s="3">
        <f t="shared" si="269"/>
        <v>27</v>
      </c>
      <c r="P1307" s="3">
        <v>6</v>
      </c>
      <c r="Q1307" s="3">
        <v>4</v>
      </c>
      <c r="R1307" s="3">
        <v>5</v>
      </c>
      <c r="S1307" s="3">
        <v>5</v>
      </c>
      <c r="T1307" s="3">
        <v>3</v>
      </c>
      <c r="U1307" s="3">
        <f t="shared" si="292"/>
        <v>23</v>
      </c>
      <c r="V1307" s="13">
        <f t="shared" si="271"/>
        <v>1.173913043478261</v>
      </c>
      <c r="W1307" s="13">
        <f t="shared" si="283"/>
        <v>1.173913043478261</v>
      </c>
      <c r="X1307" s="3">
        <f t="shared" si="272"/>
        <v>23</v>
      </c>
      <c r="Y1307" s="3">
        <f t="shared" si="284"/>
        <v>8.325624421831638E-4</v>
      </c>
      <c r="Z1307" s="3"/>
      <c r="AA1307" s="3">
        <f t="shared" si="293"/>
        <v>1410</v>
      </c>
      <c r="AB1307" s="3">
        <v>40</v>
      </c>
      <c r="AC1307" s="3" t="s">
        <v>82</v>
      </c>
      <c r="AD1307" s="3" t="s">
        <v>83</v>
      </c>
      <c r="AE1307" s="3"/>
      <c r="AF1307" s="3" t="s">
        <v>102</v>
      </c>
      <c r="AG1307" s="3" t="s">
        <v>279</v>
      </c>
      <c r="AH1307" s="3"/>
    </row>
    <row r="1308" spans="1:34" ht="14.25" customHeight="1" x14ac:dyDescent="0.25">
      <c r="A1308" s="3" t="s">
        <v>158</v>
      </c>
      <c r="B1308" s="3" t="s">
        <v>171</v>
      </c>
      <c r="C1308" s="3"/>
      <c r="D1308" s="3" t="s">
        <v>80</v>
      </c>
      <c r="E1308" s="3">
        <v>1</v>
      </c>
      <c r="F1308" s="3">
        <v>1</v>
      </c>
      <c r="G1308" s="3" t="s">
        <v>1</v>
      </c>
      <c r="H1308" s="11">
        <v>45961</v>
      </c>
      <c r="I1308" s="3" t="s">
        <v>183</v>
      </c>
      <c r="J1308" s="3">
        <v>20</v>
      </c>
      <c r="K1308" s="3">
        <v>27</v>
      </c>
      <c r="L1308" s="3">
        <v>0</v>
      </c>
      <c r="M1308" s="3">
        <v>0</v>
      </c>
      <c r="N1308" s="3">
        <v>14</v>
      </c>
      <c r="O1308" s="3">
        <f t="shared" si="269"/>
        <v>61</v>
      </c>
      <c r="P1308" s="3">
        <v>5</v>
      </c>
      <c r="Q1308" s="3">
        <v>3</v>
      </c>
      <c r="R1308" s="3">
        <v>2</v>
      </c>
      <c r="S1308" s="3">
        <v>3</v>
      </c>
      <c r="T1308" s="3">
        <v>1</v>
      </c>
      <c r="U1308" s="3">
        <f t="shared" si="292"/>
        <v>14</v>
      </c>
      <c r="V1308" s="13">
        <f t="shared" si="271"/>
        <v>4.3571428571428568</v>
      </c>
      <c r="W1308" s="13">
        <f t="shared" si="283"/>
        <v>4.3571428571428568</v>
      </c>
      <c r="X1308" s="3">
        <f t="shared" si="272"/>
        <v>14</v>
      </c>
      <c r="Y1308" s="3">
        <f t="shared" si="284"/>
        <v>5.187074829931972E-3</v>
      </c>
      <c r="Z1308" s="3"/>
      <c r="AA1308" s="3">
        <f>60*2*4+30*3*4</f>
        <v>840</v>
      </c>
      <c r="AB1308" s="3">
        <v>160</v>
      </c>
      <c r="AC1308" s="3" t="s">
        <v>82</v>
      </c>
      <c r="AD1308" s="3" t="s">
        <v>83</v>
      </c>
      <c r="AE1308" s="3">
        <v>15</v>
      </c>
      <c r="AF1308" s="3" t="s">
        <v>102</v>
      </c>
      <c r="AG1308" s="3" t="s">
        <v>280</v>
      </c>
      <c r="AH1308" s="3"/>
    </row>
    <row r="1309" spans="1:34" ht="14.25" customHeight="1" x14ac:dyDescent="0.25">
      <c r="A1309" s="3" t="s">
        <v>158</v>
      </c>
      <c r="B1309" s="3" t="s">
        <v>171</v>
      </c>
      <c r="C1309" s="3"/>
      <c r="D1309" s="3" t="s">
        <v>80</v>
      </c>
      <c r="E1309" s="3">
        <v>1</v>
      </c>
      <c r="F1309" s="3">
        <v>1</v>
      </c>
      <c r="G1309" s="3" t="s">
        <v>3</v>
      </c>
      <c r="H1309" s="11">
        <v>45961</v>
      </c>
      <c r="I1309" s="3" t="s">
        <v>183</v>
      </c>
      <c r="J1309" s="3">
        <v>35</v>
      </c>
      <c r="K1309" s="3">
        <v>20</v>
      </c>
      <c r="L1309" s="3">
        <v>0</v>
      </c>
      <c r="M1309" s="3">
        <v>0</v>
      </c>
      <c r="N1309" s="3">
        <v>0</v>
      </c>
      <c r="O1309" s="3">
        <f t="shared" si="269"/>
        <v>55</v>
      </c>
      <c r="P1309" s="3">
        <v>5</v>
      </c>
      <c r="Q1309" s="3">
        <v>3</v>
      </c>
      <c r="R1309" s="3">
        <v>2</v>
      </c>
      <c r="S1309" s="3">
        <v>3</v>
      </c>
      <c r="T1309" s="3">
        <v>1</v>
      </c>
      <c r="U1309" s="3">
        <f t="shared" si="292"/>
        <v>14</v>
      </c>
      <c r="V1309" s="13">
        <f t="shared" si="271"/>
        <v>3.9285714285714284</v>
      </c>
      <c r="W1309" s="13">
        <f t="shared" si="283"/>
        <v>3.9285714285714284</v>
      </c>
      <c r="X1309" s="3">
        <f t="shared" si="272"/>
        <v>14</v>
      </c>
      <c r="Y1309" s="3">
        <f t="shared" si="284"/>
        <v>4.6768707482993197E-3</v>
      </c>
      <c r="Z1309" s="3"/>
      <c r="AA1309" s="3">
        <f t="shared" ref="AA1309:AA1315" si="294">60*2*4+30*3*4</f>
        <v>840</v>
      </c>
      <c r="AB1309" s="3">
        <v>160</v>
      </c>
      <c r="AC1309" s="3" t="s">
        <v>82</v>
      </c>
      <c r="AD1309" s="3" t="s">
        <v>83</v>
      </c>
      <c r="AE1309" s="3">
        <v>15</v>
      </c>
      <c r="AF1309" s="3" t="s">
        <v>102</v>
      </c>
      <c r="AG1309" s="3" t="s">
        <v>280</v>
      </c>
      <c r="AH1309" s="3"/>
    </row>
    <row r="1310" spans="1:34" ht="14.25" customHeight="1" x14ac:dyDescent="0.25">
      <c r="A1310" s="3" t="s">
        <v>158</v>
      </c>
      <c r="B1310" s="3" t="s">
        <v>171</v>
      </c>
      <c r="C1310" s="3"/>
      <c r="D1310" s="3" t="s">
        <v>80</v>
      </c>
      <c r="E1310" s="3">
        <v>1</v>
      </c>
      <c r="F1310" s="3">
        <v>1</v>
      </c>
      <c r="G1310" s="3" t="s">
        <v>2</v>
      </c>
      <c r="H1310" s="11">
        <v>45961</v>
      </c>
      <c r="I1310" s="3" t="s">
        <v>183</v>
      </c>
      <c r="J1310" s="3">
        <v>0</v>
      </c>
      <c r="K1310" s="3">
        <v>0</v>
      </c>
      <c r="L1310" s="3">
        <v>0</v>
      </c>
      <c r="M1310" s="3">
        <v>40</v>
      </c>
      <c r="N1310" s="3">
        <v>0</v>
      </c>
      <c r="O1310" s="3">
        <f t="shared" si="269"/>
        <v>40</v>
      </c>
      <c r="P1310" s="3">
        <v>5</v>
      </c>
      <c r="Q1310" s="3">
        <v>3</v>
      </c>
      <c r="R1310" s="3">
        <v>2</v>
      </c>
      <c r="S1310" s="3">
        <v>3</v>
      </c>
      <c r="T1310" s="3">
        <v>1</v>
      </c>
      <c r="U1310" s="3">
        <f t="shared" si="292"/>
        <v>14</v>
      </c>
      <c r="V1310" s="13">
        <f t="shared" si="271"/>
        <v>2.8571428571428572</v>
      </c>
      <c r="W1310" s="13">
        <f t="shared" si="283"/>
        <v>2.8571428571428572</v>
      </c>
      <c r="X1310" s="3">
        <f t="shared" si="272"/>
        <v>14</v>
      </c>
      <c r="Y1310" s="3">
        <f t="shared" si="284"/>
        <v>3.4013605442176869E-3</v>
      </c>
      <c r="Z1310" s="3"/>
      <c r="AA1310" s="3">
        <f t="shared" si="294"/>
        <v>840</v>
      </c>
      <c r="AB1310" s="3">
        <v>160</v>
      </c>
      <c r="AC1310" s="3" t="s">
        <v>82</v>
      </c>
      <c r="AD1310" s="3" t="s">
        <v>83</v>
      </c>
      <c r="AE1310" s="3">
        <v>15</v>
      </c>
      <c r="AF1310" s="3" t="s">
        <v>102</v>
      </c>
      <c r="AG1310" s="3" t="s">
        <v>280</v>
      </c>
      <c r="AH1310" s="3"/>
    </row>
    <row r="1311" spans="1:34" ht="14.25" customHeight="1" x14ac:dyDescent="0.25">
      <c r="A1311" s="3" t="s">
        <v>158</v>
      </c>
      <c r="B1311" s="3" t="s">
        <v>171</v>
      </c>
      <c r="C1311" s="3"/>
      <c r="D1311" s="3" t="s">
        <v>80</v>
      </c>
      <c r="E1311" s="3">
        <v>1</v>
      </c>
      <c r="F1311" s="3">
        <v>1</v>
      </c>
      <c r="G1311" s="3" t="s">
        <v>12</v>
      </c>
      <c r="H1311" s="11">
        <v>45961</v>
      </c>
      <c r="I1311" s="3" t="s">
        <v>183</v>
      </c>
      <c r="J1311" s="3">
        <v>0</v>
      </c>
      <c r="K1311" s="3">
        <v>0</v>
      </c>
      <c r="L1311" s="3">
        <v>8</v>
      </c>
      <c r="M1311" s="3">
        <v>0</v>
      </c>
      <c r="N1311" s="3">
        <v>0</v>
      </c>
      <c r="O1311" s="3">
        <f t="shared" si="269"/>
        <v>8</v>
      </c>
      <c r="P1311" s="3">
        <v>5</v>
      </c>
      <c r="Q1311" s="3">
        <v>3</v>
      </c>
      <c r="R1311" s="3">
        <v>2</v>
      </c>
      <c r="S1311" s="3">
        <v>3</v>
      </c>
      <c r="T1311" s="3">
        <v>1</v>
      </c>
      <c r="U1311" s="3">
        <f t="shared" si="292"/>
        <v>14</v>
      </c>
      <c r="V1311" s="13">
        <f t="shared" si="271"/>
        <v>0.5714285714285714</v>
      </c>
      <c r="W1311" s="13">
        <f t="shared" si="283"/>
        <v>0.5714285714285714</v>
      </c>
      <c r="X1311" s="3">
        <f t="shared" si="272"/>
        <v>14</v>
      </c>
      <c r="Y1311" s="3">
        <f t="shared" si="284"/>
        <v>6.8027210884353737E-4</v>
      </c>
      <c r="Z1311" s="3"/>
      <c r="AA1311" s="3">
        <f t="shared" si="294"/>
        <v>840</v>
      </c>
      <c r="AB1311" s="3">
        <v>160</v>
      </c>
      <c r="AC1311" s="3" t="s">
        <v>82</v>
      </c>
      <c r="AD1311" s="3" t="s">
        <v>83</v>
      </c>
      <c r="AE1311" s="3">
        <v>15</v>
      </c>
      <c r="AF1311" s="3" t="s">
        <v>102</v>
      </c>
      <c r="AG1311" s="3" t="s">
        <v>280</v>
      </c>
      <c r="AH1311" s="3"/>
    </row>
    <row r="1312" spans="1:34" ht="14.25" customHeight="1" x14ac:dyDescent="0.25">
      <c r="A1312" s="3" t="s">
        <v>158</v>
      </c>
      <c r="B1312" s="3" t="s">
        <v>171</v>
      </c>
      <c r="C1312" s="3"/>
      <c r="D1312" s="3" t="s">
        <v>80</v>
      </c>
      <c r="E1312" s="3">
        <v>1</v>
      </c>
      <c r="F1312" s="3">
        <v>1</v>
      </c>
      <c r="G1312" s="3" t="s">
        <v>16</v>
      </c>
      <c r="H1312" s="11">
        <v>45961</v>
      </c>
      <c r="I1312" s="3" t="s">
        <v>183</v>
      </c>
      <c r="J1312" s="3">
        <v>20</v>
      </c>
      <c r="K1312" s="3">
        <v>12</v>
      </c>
      <c r="L1312" s="3">
        <v>0</v>
      </c>
      <c r="M1312" s="3">
        <v>13</v>
      </c>
      <c r="N1312" s="3">
        <v>0</v>
      </c>
      <c r="O1312" s="3">
        <f t="shared" si="269"/>
        <v>45</v>
      </c>
      <c r="P1312" s="3">
        <v>5</v>
      </c>
      <c r="Q1312" s="3">
        <v>3</v>
      </c>
      <c r="R1312" s="3">
        <v>2</v>
      </c>
      <c r="S1312" s="3">
        <v>3</v>
      </c>
      <c r="T1312" s="3">
        <v>1</v>
      </c>
      <c r="U1312" s="3">
        <f t="shared" si="292"/>
        <v>14</v>
      </c>
      <c r="V1312" s="13">
        <f t="shared" si="271"/>
        <v>3.2142857142857144</v>
      </c>
      <c r="W1312" s="13">
        <f t="shared" si="283"/>
        <v>3.2142857142857144</v>
      </c>
      <c r="X1312" s="3">
        <f t="shared" si="272"/>
        <v>14</v>
      </c>
      <c r="Y1312" s="3">
        <f t="shared" si="284"/>
        <v>3.8265306122448983E-3</v>
      </c>
      <c r="Z1312" s="3"/>
      <c r="AA1312" s="3">
        <f t="shared" si="294"/>
        <v>840</v>
      </c>
      <c r="AB1312" s="3">
        <v>160</v>
      </c>
      <c r="AC1312" s="3" t="s">
        <v>82</v>
      </c>
      <c r="AD1312" s="3" t="s">
        <v>83</v>
      </c>
      <c r="AE1312" s="3">
        <v>15</v>
      </c>
      <c r="AF1312" s="3" t="s">
        <v>102</v>
      </c>
      <c r="AG1312" s="3" t="s">
        <v>280</v>
      </c>
      <c r="AH1312" s="3"/>
    </row>
    <row r="1313" spans="1:34" ht="14.25" customHeight="1" x14ac:dyDescent="0.25">
      <c r="A1313" s="3" t="s">
        <v>158</v>
      </c>
      <c r="B1313" s="3" t="s">
        <v>171</v>
      </c>
      <c r="C1313" s="3"/>
      <c r="D1313" s="3" t="s">
        <v>80</v>
      </c>
      <c r="E1313" s="3">
        <v>1</v>
      </c>
      <c r="F1313" s="3">
        <v>1</v>
      </c>
      <c r="G1313" s="3" t="s">
        <v>18</v>
      </c>
      <c r="H1313" s="11">
        <v>45961</v>
      </c>
      <c r="I1313" s="3" t="s">
        <v>183</v>
      </c>
      <c r="J1313" s="3">
        <v>10</v>
      </c>
      <c r="K1313" s="3">
        <v>0</v>
      </c>
      <c r="L1313" s="3">
        <v>0</v>
      </c>
      <c r="M1313" s="3">
        <f>30+15</f>
        <v>45</v>
      </c>
      <c r="N1313" s="3">
        <v>0</v>
      </c>
      <c r="O1313" s="3">
        <f t="shared" si="269"/>
        <v>55</v>
      </c>
      <c r="P1313" s="3">
        <v>5</v>
      </c>
      <c r="Q1313" s="3">
        <v>3</v>
      </c>
      <c r="R1313" s="3">
        <v>2</v>
      </c>
      <c r="S1313" s="3">
        <v>3</v>
      </c>
      <c r="T1313" s="3">
        <v>1</v>
      </c>
      <c r="U1313" s="3">
        <f t="shared" si="292"/>
        <v>14</v>
      </c>
      <c r="V1313" s="13">
        <f t="shared" si="271"/>
        <v>3.9285714285714284</v>
      </c>
      <c r="W1313" s="13">
        <f t="shared" si="283"/>
        <v>3.9285714285714284</v>
      </c>
      <c r="X1313" s="3">
        <f t="shared" si="272"/>
        <v>14</v>
      </c>
      <c r="Y1313" s="3">
        <f t="shared" si="284"/>
        <v>4.6768707482993197E-3</v>
      </c>
      <c r="Z1313" s="3"/>
      <c r="AA1313" s="3">
        <f t="shared" si="294"/>
        <v>840</v>
      </c>
      <c r="AB1313" s="3">
        <v>160</v>
      </c>
      <c r="AC1313" s="3" t="s">
        <v>82</v>
      </c>
      <c r="AD1313" s="3" t="s">
        <v>83</v>
      </c>
      <c r="AE1313" s="3">
        <v>15</v>
      </c>
      <c r="AF1313" s="3" t="s">
        <v>102</v>
      </c>
      <c r="AG1313" s="3" t="s">
        <v>280</v>
      </c>
      <c r="AH1313" s="3"/>
    </row>
    <row r="1314" spans="1:34" ht="14.25" customHeight="1" x14ac:dyDescent="0.25">
      <c r="A1314" s="3" t="s">
        <v>158</v>
      </c>
      <c r="B1314" s="3" t="s">
        <v>171</v>
      </c>
      <c r="C1314" s="3"/>
      <c r="D1314" s="3" t="s">
        <v>80</v>
      </c>
      <c r="E1314" s="3">
        <v>1</v>
      </c>
      <c r="F1314" s="3">
        <v>1</v>
      </c>
      <c r="G1314" s="3" t="s">
        <v>25</v>
      </c>
      <c r="H1314" s="11">
        <v>45961</v>
      </c>
      <c r="I1314" s="3" t="s">
        <v>183</v>
      </c>
      <c r="J1314" s="3">
        <v>0</v>
      </c>
      <c r="K1314" s="3">
        <v>0</v>
      </c>
      <c r="L1314" s="3">
        <v>30</v>
      </c>
      <c r="M1314" s="3">
        <v>0</v>
      </c>
      <c r="N1314" s="3">
        <v>0</v>
      </c>
      <c r="O1314" s="3">
        <f t="shared" si="269"/>
        <v>30</v>
      </c>
      <c r="P1314" s="3">
        <v>5</v>
      </c>
      <c r="Q1314" s="3">
        <v>3</v>
      </c>
      <c r="R1314" s="3">
        <v>2</v>
      </c>
      <c r="S1314" s="3">
        <v>3</v>
      </c>
      <c r="T1314" s="3">
        <v>1</v>
      </c>
      <c r="U1314" s="3">
        <f t="shared" si="292"/>
        <v>14</v>
      </c>
      <c r="V1314" s="13">
        <f t="shared" si="271"/>
        <v>2.1428571428571428</v>
      </c>
      <c r="W1314" s="13">
        <f t="shared" si="283"/>
        <v>2.1428571428571428</v>
      </c>
      <c r="X1314" s="3">
        <f t="shared" si="272"/>
        <v>14</v>
      </c>
      <c r="Y1314" s="3">
        <f t="shared" si="284"/>
        <v>2.5510204081632651E-3</v>
      </c>
      <c r="Z1314" s="3"/>
      <c r="AA1314" s="3">
        <f t="shared" si="294"/>
        <v>840</v>
      </c>
      <c r="AB1314" s="3">
        <v>160</v>
      </c>
      <c r="AC1314" s="3" t="s">
        <v>82</v>
      </c>
      <c r="AD1314" s="3" t="s">
        <v>83</v>
      </c>
      <c r="AE1314" s="3">
        <v>15</v>
      </c>
      <c r="AF1314" s="3" t="s">
        <v>102</v>
      </c>
      <c r="AG1314" s="3" t="s">
        <v>280</v>
      </c>
      <c r="AH1314" s="3"/>
    </row>
    <row r="1315" spans="1:34" ht="14.25" customHeight="1" x14ac:dyDescent="0.25">
      <c r="A1315" s="3" t="s">
        <v>158</v>
      </c>
      <c r="B1315" s="3" t="s">
        <v>171</v>
      </c>
      <c r="C1315" s="3"/>
      <c r="D1315" s="3" t="s">
        <v>80</v>
      </c>
      <c r="E1315" s="3">
        <v>1</v>
      </c>
      <c r="F1315" s="3">
        <v>1</v>
      </c>
      <c r="G1315" s="3" t="s">
        <v>22</v>
      </c>
      <c r="H1315" s="11">
        <v>45961</v>
      </c>
      <c r="I1315" s="3" t="s">
        <v>183</v>
      </c>
      <c r="J1315" s="3">
        <v>12</v>
      </c>
      <c r="K1315" s="3">
        <v>0</v>
      </c>
      <c r="L1315" s="3">
        <v>0</v>
      </c>
      <c r="M1315" s="3">
        <v>30</v>
      </c>
      <c r="N1315" s="3">
        <v>0</v>
      </c>
      <c r="O1315" s="3">
        <f t="shared" si="269"/>
        <v>42</v>
      </c>
      <c r="P1315" s="3">
        <v>5</v>
      </c>
      <c r="Q1315" s="3">
        <v>3</v>
      </c>
      <c r="R1315" s="3">
        <v>2</v>
      </c>
      <c r="S1315" s="3">
        <v>3</v>
      </c>
      <c r="T1315" s="3">
        <v>1</v>
      </c>
      <c r="U1315" s="3">
        <f t="shared" si="292"/>
        <v>14</v>
      </c>
      <c r="V1315" s="13">
        <f t="shared" si="271"/>
        <v>3</v>
      </c>
      <c r="W1315" s="13">
        <f t="shared" si="283"/>
        <v>3</v>
      </c>
      <c r="X1315" s="3">
        <f t="shared" si="272"/>
        <v>14</v>
      </c>
      <c r="Y1315" s="3">
        <f t="shared" si="284"/>
        <v>3.5714285714285713E-3</v>
      </c>
      <c r="Z1315" s="3"/>
      <c r="AA1315" s="3">
        <f t="shared" si="294"/>
        <v>840</v>
      </c>
      <c r="AB1315" s="3">
        <v>160</v>
      </c>
      <c r="AC1315" s="3" t="s">
        <v>82</v>
      </c>
      <c r="AD1315" s="3" t="s">
        <v>83</v>
      </c>
      <c r="AE1315" s="3">
        <v>15</v>
      </c>
      <c r="AF1315" s="3" t="s">
        <v>102</v>
      </c>
      <c r="AG1315" s="3" t="s">
        <v>280</v>
      </c>
      <c r="AH1315" s="3"/>
    </row>
    <row r="1316" spans="1:34" ht="14.25" customHeight="1" x14ac:dyDescent="0.25">
      <c r="A1316" s="3"/>
      <c r="B1316" s="3"/>
      <c r="C1316" s="3"/>
      <c r="D1316" s="3"/>
      <c r="E1316" s="3"/>
      <c r="F1316" s="3"/>
      <c r="G1316" s="14"/>
      <c r="H1316" s="11"/>
      <c r="I1316" s="12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14"/>
      <c r="Z1316" s="3"/>
      <c r="AA1316" s="3"/>
      <c r="AB1316" s="3"/>
      <c r="AC1316" s="3"/>
      <c r="AD1316" s="3"/>
      <c r="AE1316" s="3"/>
      <c r="AF1316" s="3"/>
      <c r="AG1316" s="3"/>
      <c r="AH1316" s="3"/>
    </row>
    <row r="1317" spans="1:34" ht="14.25" customHeight="1" x14ac:dyDescent="0.25">
      <c r="A1317" s="3"/>
      <c r="B1317" s="3"/>
      <c r="C1317" s="3"/>
      <c r="D1317" s="3"/>
      <c r="E1317" s="3"/>
      <c r="F1317" s="3"/>
      <c r="G1317" s="14"/>
      <c r="H1317" s="11"/>
      <c r="I1317" s="12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14"/>
      <c r="Z1317" s="3"/>
      <c r="AA1317" s="3"/>
      <c r="AB1317" s="3"/>
      <c r="AC1317" s="3"/>
      <c r="AD1317" s="3"/>
      <c r="AE1317" s="3"/>
      <c r="AF1317" s="3"/>
      <c r="AG1317" s="3"/>
      <c r="AH1317" s="3"/>
    </row>
    <row r="1318" spans="1:34" ht="14.25" customHeight="1" x14ac:dyDescent="0.25">
      <c r="A1318" s="3"/>
      <c r="B1318" s="3"/>
      <c r="C1318" s="3"/>
      <c r="D1318" s="3"/>
      <c r="E1318" s="3"/>
      <c r="F1318" s="3"/>
      <c r="G1318" s="14"/>
      <c r="H1318" s="11"/>
      <c r="I1318" s="12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14"/>
      <c r="Z1318" s="3"/>
      <c r="AA1318" s="3"/>
      <c r="AB1318" s="3"/>
      <c r="AC1318" s="3"/>
      <c r="AD1318" s="3"/>
      <c r="AE1318" s="3"/>
      <c r="AF1318" s="3"/>
      <c r="AG1318" s="3"/>
      <c r="AH1318" s="3"/>
    </row>
    <row r="1319" spans="1:34" ht="14.25" customHeight="1" x14ac:dyDescent="0.25">
      <c r="A1319" s="3"/>
      <c r="B1319" s="3"/>
      <c r="C1319" s="3"/>
      <c r="D1319" s="3"/>
      <c r="E1319" s="3"/>
      <c r="F1319" s="3"/>
      <c r="G1319" s="14"/>
      <c r="H1319" s="11"/>
      <c r="I1319" s="12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14"/>
      <c r="Z1319" s="3"/>
      <c r="AA1319" s="3"/>
      <c r="AB1319" s="3"/>
      <c r="AC1319" s="3"/>
      <c r="AD1319" s="3"/>
      <c r="AE1319" s="3"/>
      <c r="AF1319" s="3"/>
      <c r="AG1319" s="3"/>
      <c r="AH1319" s="3"/>
    </row>
    <row r="1320" spans="1:34" ht="14.25" customHeight="1" x14ac:dyDescent="0.25">
      <c r="A1320" s="3"/>
      <c r="B1320" s="3"/>
      <c r="C1320" s="3"/>
      <c r="D1320" s="3"/>
      <c r="E1320" s="3"/>
      <c r="F1320" s="3"/>
      <c r="G1320" s="14"/>
      <c r="H1320" s="11"/>
      <c r="I1320" s="12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14"/>
      <c r="Z1320" s="3"/>
      <c r="AA1320" s="3"/>
      <c r="AB1320" s="3"/>
      <c r="AC1320" s="3"/>
      <c r="AD1320" s="3"/>
      <c r="AE1320" s="3"/>
      <c r="AF1320" s="3"/>
      <c r="AG1320" s="3"/>
      <c r="AH1320" s="3"/>
    </row>
    <row r="1321" spans="1:34" ht="14.25" customHeight="1" x14ac:dyDescent="0.25">
      <c r="A1321" s="3"/>
      <c r="B1321" s="3"/>
      <c r="C1321" s="3"/>
      <c r="D1321" s="3"/>
      <c r="E1321" s="3"/>
      <c r="F1321" s="3"/>
      <c r="G1321" s="3"/>
      <c r="H1321" s="11"/>
      <c r="I1321" s="12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14"/>
      <c r="Z1321" s="3"/>
      <c r="AA1321" s="3"/>
      <c r="AB1321" s="3"/>
      <c r="AC1321" s="3"/>
      <c r="AD1321" s="3"/>
      <c r="AE1321" s="3"/>
      <c r="AF1321" s="3"/>
      <c r="AG1321" s="3"/>
      <c r="AH1321" s="3"/>
    </row>
    <row r="1322" spans="1:34" ht="14.25" customHeight="1" x14ac:dyDescent="0.25">
      <c r="A1322" s="3"/>
      <c r="B1322" s="3"/>
      <c r="C1322" s="3"/>
      <c r="D1322" s="3"/>
      <c r="E1322" s="3"/>
      <c r="F1322" s="3"/>
      <c r="G1322" s="14"/>
      <c r="H1322" s="11"/>
      <c r="I1322" s="12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14"/>
      <c r="Z1322" s="3"/>
      <c r="AA1322" s="3"/>
      <c r="AB1322" s="3"/>
      <c r="AC1322" s="3"/>
      <c r="AD1322" s="3"/>
      <c r="AE1322" s="3"/>
      <c r="AF1322" s="3"/>
      <c r="AG1322" s="3"/>
      <c r="AH1322" s="3"/>
    </row>
    <row r="1323" spans="1:34" ht="14.25" customHeight="1" x14ac:dyDescent="0.25">
      <c r="A1323" s="3"/>
      <c r="B1323" s="3"/>
      <c r="C1323" s="3"/>
      <c r="D1323" s="3"/>
      <c r="E1323" s="3"/>
      <c r="F1323" s="3"/>
      <c r="G1323" s="3"/>
      <c r="H1323" s="11"/>
      <c r="I1323" s="12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14"/>
      <c r="Z1323" s="3"/>
      <c r="AA1323" s="3"/>
      <c r="AB1323" s="3"/>
      <c r="AC1323" s="3"/>
      <c r="AD1323" s="3"/>
      <c r="AE1323" s="3"/>
      <c r="AF1323" s="3"/>
      <c r="AG1323" s="3"/>
      <c r="AH1323" s="3"/>
    </row>
    <row r="1324" spans="1:34" ht="14.25" customHeight="1" x14ac:dyDescent="0.25">
      <c r="A1324" s="3"/>
      <c r="B1324" s="3"/>
      <c r="C1324" s="3"/>
      <c r="D1324" s="3"/>
      <c r="E1324" s="3"/>
      <c r="F1324" s="3"/>
      <c r="G1324" s="3"/>
      <c r="H1324" s="11"/>
      <c r="I1324" s="12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14"/>
      <c r="Z1324" s="3"/>
      <c r="AA1324" s="3"/>
      <c r="AB1324" s="3"/>
      <c r="AC1324" s="3"/>
      <c r="AD1324" s="3"/>
      <c r="AE1324" s="3"/>
      <c r="AF1324" s="3"/>
      <c r="AG1324" s="3"/>
      <c r="AH1324" s="3"/>
    </row>
    <row r="1325" spans="1:34" ht="14.25" customHeight="1" x14ac:dyDescent="0.25">
      <c r="A1325" s="3"/>
      <c r="B1325" s="3"/>
      <c r="C1325" s="3"/>
      <c r="D1325" s="3"/>
      <c r="E1325" s="3"/>
      <c r="F1325" s="3"/>
      <c r="G1325" s="3"/>
      <c r="H1325" s="11"/>
      <c r="I1325" s="12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14"/>
      <c r="Z1325" s="3"/>
      <c r="AA1325" s="3"/>
      <c r="AB1325" s="3"/>
      <c r="AC1325" s="3"/>
      <c r="AD1325" s="3"/>
      <c r="AE1325" s="3"/>
      <c r="AF1325" s="3"/>
      <c r="AG1325" s="3"/>
      <c r="AH1325" s="3"/>
    </row>
    <row r="1326" spans="1:34" ht="14.25" customHeight="1" x14ac:dyDescent="0.25">
      <c r="A1326" s="3"/>
      <c r="B1326" s="3"/>
      <c r="C1326" s="3"/>
      <c r="D1326" s="3"/>
      <c r="E1326" s="3"/>
      <c r="F1326" s="3"/>
      <c r="G1326" s="3"/>
      <c r="H1326" s="11"/>
      <c r="I1326" s="12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14"/>
      <c r="Z1326" s="3"/>
      <c r="AA1326" s="3"/>
      <c r="AB1326" s="3"/>
      <c r="AC1326" s="3"/>
      <c r="AD1326" s="3"/>
      <c r="AE1326" s="3"/>
      <c r="AF1326" s="3"/>
      <c r="AG1326" s="3"/>
      <c r="AH1326" s="3"/>
    </row>
    <row r="1327" spans="1:34" ht="14.25" customHeight="1" x14ac:dyDescent="0.25">
      <c r="A1327" s="3"/>
      <c r="B1327" s="3"/>
      <c r="C1327" s="3"/>
      <c r="D1327" s="3"/>
      <c r="E1327" s="3"/>
      <c r="F1327" s="3"/>
      <c r="G1327" s="3"/>
      <c r="H1327" s="11"/>
      <c r="I1327" s="12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14"/>
      <c r="Z1327" s="3"/>
      <c r="AA1327" s="3"/>
      <c r="AB1327" s="3"/>
      <c r="AC1327" s="3"/>
      <c r="AD1327" s="3"/>
      <c r="AE1327" s="3"/>
      <c r="AF1327" s="3"/>
      <c r="AG1327" s="3"/>
      <c r="AH1327" s="3"/>
    </row>
    <row r="1328" spans="1:34" ht="14.25" customHeight="1" x14ac:dyDescent="0.25">
      <c r="A1328" s="3"/>
      <c r="B1328" s="3"/>
      <c r="C1328" s="3"/>
      <c r="D1328" s="3"/>
      <c r="E1328" s="3"/>
      <c r="F1328" s="3"/>
      <c r="G1328" s="14"/>
      <c r="H1328" s="11"/>
      <c r="I1328" s="12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14"/>
      <c r="Z1328" s="3"/>
      <c r="AA1328" s="3"/>
      <c r="AB1328" s="3"/>
      <c r="AC1328" s="3"/>
      <c r="AD1328" s="3"/>
      <c r="AE1328" s="3"/>
      <c r="AF1328" s="3"/>
      <c r="AG1328" s="3"/>
      <c r="AH1328" s="3"/>
    </row>
    <row r="1329" spans="1:34" ht="14.25" customHeight="1" x14ac:dyDescent="0.25">
      <c r="A1329" s="3"/>
      <c r="B1329" s="3"/>
      <c r="C1329" s="3"/>
      <c r="D1329" s="3"/>
      <c r="E1329" s="3"/>
      <c r="F1329" s="3"/>
      <c r="G1329" s="14"/>
      <c r="H1329" s="11"/>
      <c r="I1329" s="12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14"/>
      <c r="Z1329" s="3"/>
      <c r="AA1329" s="3"/>
      <c r="AB1329" s="3"/>
      <c r="AC1329" s="3"/>
      <c r="AD1329" s="3"/>
      <c r="AE1329" s="3"/>
      <c r="AF1329" s="3"/>
      <c r="AG1329" s="3"/>
      <c r="AH1329" s="3"/>
    </row>
    <row r="1330" spans="1:34" ht="14.25" customHeight="1" x14ac:dyDescent="0.25">
      <c r="A1330" s="3"/>
      <c r="B1330" s="3"/>
      <c r="C1330" s="3"/>
      <c r="D1330" s="3"/>
      <c r="E1330" s="3"/>
      <c r="F1330" s="3"/>
      <c r="G1330" s="14"/>
      <c r="H1330" s="11"/>
      <c r="I1330" s="12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14"/>
      <c r="Z1330" s="3"/>
      <c r="AA1330" s="3"/>
      <c r="AB1330" s="3"/>
      <c r="AC1330" s="3"/>
      <c r="AD1330" s="3"/>
      <c r="AE1330" s="3"/>
      <c r="AF1330" s="3"/>
      <c r="AG1330" s="3"/>
      <c r="AH1330" s="3"/>
    </row>
    <row r="1331" spans="1:34" ht="14.25" customHeight="1" x14ac:dyDescent="0.25">
      <c r="A1331" s="3"/>
      <c r="B1331" s="3"/>
      <c r="C1331" s="3"/>
      <c r="D1331" s="3"/>
      <c r="E1331" s="3"/>
      <c r="F1331" s="3"/>
      <c r="G1331" s="14"/>
      <c r="H1331" s="11"/>
      <c r="I1331" s="12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14"/>
      <c r="Z1331" s="3"/>
      <c r="AA1331" s="3"/>
      <c r="AB1331" s="3"/>
      <c r="AC1331" s="3"/>
      <c r="AD1331" s="3"/>
      <c r="AE1331" s="3"/>
      <c r="AF1331" s="3"/>
      <c r="AG1331" s="3"/>
      <c r="AH1331" s="3"/>
    </row>
    <row r="1332" spans="1:34" ht="14.25" customHeight="1" x14ac:dyDescent="0.25">
      <c r="A1332" s="3"/>
      <c r="B1332" s="3"/>
      <c r="C1332" s="3"/>
      <c r="D1332" s="3"/>
      <c r="E1332" s="3"/>
      <c r="F1332" s="3"/>
      <c r="G1332" s="14"/>
      <c r="H1332" s="11"/>
      <c r="I1332" s="12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14"/>
      <c r="Z1332" s="3"/>
      <c r="AA1332" s="3"/>
      <c r="AB1332" s="3"/>
      <c r="AC1332" s="3"/>
      <c r="AD1332" s="3"/>
      <c r="AE1332" s="3"/>
      <c r="AF1332" s="3"/>
      <c r="AG1332" s="3"/>
      <c r="AH1332" s="3"/>
    </row>
    <row r="1333" spans="1:34" ht="14.25" customHeight="1" x14ac:dyDescent="0.25">
      <c r="A1333" s="3"/>
      <c r="B1333" s="3"/>
      <c r="C1333" s="3"/>
      <c r="D1333" s="3"/>
      <c r="E1333" s="3"/>
      <c r="F1333" s="3"/>
      <c r="G1333" s="3"/>
      <c r="H1333" s="11"/>
      <c r="I1333" s="12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14"/>
      <c r="Z1333" s="3"/>
      <c r="AA1333" s="3"/>
      <c r="AB1333" s="3"/>
      <c r="AC1333" s="3"/>
      <c r="AD1333" s="3"/>
      <c r="AE1333" s="3"/>
      <c r="AF1333" s="3"/>
      <c r="AG1333" s="3"/>
      <c r="AH1333" s="3"/>
    </row>
    <row r="1334" spans="1:34" ht="14.25" customHeight="1" x14ac:dyDescent="0.25">
      <c r="A1334" s="3"/>
      <c r="B1334" s="3"/>
      <c r="C1334" s="3"/>
      <c r="D1334" s="3"/>
      <c r="E1334" s="3"/>
      <c r="F1334" s="3"/>
      <c r="G1334" s="3"/>
      <c r="H1334" s="11"/>
      <c r="I1334" s="12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14"/>
      <c r="Z1334" s="3"/>
      <c r="AA1334" s="3"/>
      <c r="AB1334" s="3"/>
      <c r="AC1334" s="3"/>
      <c r="AD1334" s="3"/>
      <c r="AE1334" s="3"/>
      <c r="AF1334" s="3"/>
      <c r="AG1334" s="3"/>
      <c r="AH1334" s="3"/>
    </row>
    <row r="1335" spans="1:34" ht="14.25" customHeight="1" x14ac:dyDescent="0.25">
      <c r="A1335" s="3"/>
      <c r="B1335" s="3"/>
      <c r="C1335" s="3"/>
      <c r="D1335" s="3"/>
      <c r="E1335" s="3"/>
      <c r="F1335" s="3"/>
      <c r="G1335" s="3"/>
      <c r="H1335" s="11"/>
      <c r="I1335" s="12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14"/>
      <c r="Z1335" s="3"/>
      <c r="AA1335" s="3"/>
      <c r="AB1335" s="3"/>
      <c r="AC1335" s="3"/>
      <c r="AD1335" s="3"/>
      <c r="AE1335" s="3"/>
      <c r="AF1335" s="3"/>
      <c r="AG1335" s="3"/>
      <c r="AH1335" s="3"/>
    </row>
    <row r="1336" spans="1:34" ht="14.25" customHeight="1" x14ac:dyDescent="0.25">
      <c r="A1336" s="3"/>
      <c r="B1336" s="3"/>
      <c r="C1336" s="3"/>
      <c r="D1336" s="3"/>
      <c r="E1336" s="3"/>
      <c r="F1336" s="3"/>
      <c r="G1336" s="3"/>
      <c r="H1336" s="11"/>
      <c r="I1336" s="12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14"/>
      <c r="Z1336" s="3"/>
      <c r="AA1336" s="3"/>
      <c r="AB1336" s="3"/>
      <c r="AC1336" s="3"/>
      <c r="AD1336" s="3"/>
      <c r="AE1336" s="3"/>
      <c r="AF1336" s="3"/>
      <c r="AG1336" s="3"/>
      <c r="AH1336" s="3"/>
    </row>
    <row r="1337" spans="1:34" ht="14.25" customHeight="1" x14ac:dyDescent="0.25">
      <c r="A1337" s="3"/>
      <c r="B1337" s="3"/>
      <c r="C1337" s="3"/>
      <c r="D1337" s="3"/>
      <c r="E1337" s="3"/>
      <c r="F1337" s="3"/>
      <c r="G1337" s="14"/>
      <c r="H1337" s="11"/>
      <c r="I1337" s="12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14"/>
      <c r="Z1337" s="3"/>
      <c r="AA1337" s="3"/>
      <c r="AB1337" s="3"/>
      <c r="AC1337" s="3"/>
      <c r="AD1337" s="3"/>
      <c r="AE1337" s="3"/>
      <c r="AF1337" s="3"/>
      <c r="AG1337" s="3"/>
      <c r="AH1337" s="3"/>
    </row>
    <row r="1338" spans="1:34" ht="14.25" customHeight="1" x14ac:dyDescent="0.25">
      <c r="A1338" s="3"/>
      <c r="B1338" s="3"/>
      <c r="C1338" s="3"/>
      <c r="D1338" s="3"/>
      <c r="E1338" s="3"/>
      <c r="F1338" s="3"/>
      <c r="G1338" s="14"/>
      <c r="H1338" s="11"/>
      <c r="I1338" s="12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14"/>
      <c r="Z1338" s="3"/>
      <c r="AA1338" s="3"/>
      <c r="AB1338" s="3"/>
      <c r="AC1338" s="3"/>
      <c r="AD1338" s="3"/>
      <c r="AE1338" s="3"/>
      <c r="AF1338" s="3"/>
      <c r="AG1338" s="3"/>
      <c r="AH1338" s="3"/>
    </row>
    <row r="1339" spans="1:34" ht="14.25" customHeight="1" x14ac:dyDescent="0.25">
      <c r="A1339" s="3"/>
      <c r="B1339" s="3"/>
      <c r="C1339" s="3"/>
      <c r="D1339" s="3"/>
      <c r="E1339" s="3"/>
      <c r="F1339" s="3"/>
      <c r="G1339" s="14"/>
      <c r="H1339" s="11"/>
      <c r="I1339" s="12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14"/>
      <c r="Z1339" s="3"/>
      <c r="AA1339" s="3"/>
      <c r="AB1339" s="3"/>
      <c r="AC1339" s="3"/>
      <c r="AD1339" s="3"/>
      <c r="AE1339" s="3"/>
      <c r="AF1339" s="3"/>
      <c r="AG1339" s="3"/>
      <c r="AH1339" s="3"/>
    </row>
    <row r="1340" spans="1:34" ht="14.25" customHeight="1" x14ac:dyDescent="0.25">
      <c r="A1340" s="3"/>
      <c r="B1340" s="3"/>
      <c r="C1340" s="3"/>
      <c r="D1340" s="3"/>
      <c r="E1340" s="3"/>
      <c r="F1340" s="3"/>
      <c r="G1340" s="14"/>
      <c r="H1340" s="11"/>
      <c r="I1340" s="12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14"/>
      <c r="Z1340" s="3"/>
      <c r="AA1340" s="3"/>
      <c r="AB1340" s="3"/>
      <c r="AC1340" s="3"/>
      <c r="AD1340" s="3"/>
      <c r="AE1340" s="3"/>
      <c r="AF1340" s="3"/>
      <c r="AG1340" s="3"/>
      <c r="AH1340" s="3"/>
    </row>
    <row r="1341" spans="1:34" ht="14.25" customHeight="1" x14ac:dyDescent="0.25">
      <c r="A1341" s="3"/>
      <c r="B1341" s="3"/>
      <c r="C1341" s="3"/>
      <c r="D1341" s="3"/>
      <c r="E1341" s="3"/>
      <c r="F1341" s="3"/>
      <c r="G1341" s="14"/>
      <c r="H1341" s="11"/>
      <c r="I1341" s="12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14"/>
      <c r="Z1341" s="3"/>
      <c r="AA1341" s="3"/>
      <c r="AB1341" s="3"/>
      <c r="AC1341" s="3"/>
      <c r="AD1341" s="3"/>
      <c r="AE1341" s="3"/>
      <c r="AF1341" s="3"/>
      <c r="AG1341" s="3"/>
      <c r="AH1341" s="3"/>
    </row>
    <row r="1342" spans="1:34" ht="14.25" customHeight="1" x14ac:dyDescent="0.25">
      <c r="A1342" s="3"/>
      <c r="B1342" s="3"/>
      <c r="C1342" s="3"/>
      <c r="D1342" s="3"/>
      <c r="E1342" s="3"/>
      <c r="F1342" s="3"/>
      <c r="G1342" s="14"/>
      <c r="H1342" s="11"/>
      <c r="I1342" s="12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14"/>
      <c r="Z1342" s="3"/>
      <c r="AA1342" s="3"/>
      <c r="AB1342" s="3"/>
      <c r="AC1342" s="3"/>
      <c r="AD1342" s="3"/>
      <c r="AE1342" s="3"/>
      <c r="AF1342" s="3"/>
      <c r="AG1342" s="3"/>
      <c r="AH1342" s="3"/>
    </row>
    <row r="1343" spans="1:34" ht="14.25" customHeight="1" x14ac:dyDescent="0.25">
      <c r="A1343" s="3"/>
      <c r="B1343" s="3"/>
      <c r="C1343" s="3"/>
      <c r="D1343" s="3"/>
      <c r="E1343" s="3"/>
      <c r="F1343" s="3"/>
      <c r="G1343" s="14"/>
      <c r="H1343" s="11"/>
      <c r="I1343" s="12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14"/>
      <c r="Z1343" s="3"/>
      <c r="AA1343" s="3"/>
      <c r="AB1343" s="3"/>
      <c r="AC1343" s="3"/>
      <c r="AD1343" s="3"/>
      <c r="AE1343" s="3"/>
      <c r="AF1343" s="3"/>
      <c r="AG1343" s="3"/>
      <c r="AH1343" s="3"/>
    </row>
    <row r="1344" spans="1:34" ht="14.25" customHeight="1" x14ac:dyDescent="0.25">
      <c r="A1344" s="3"/>
      <c r="B1344" s="3"/>
      <c r="C1344" s="3"/>
      <c r="D1344" s="3"/>
      <c r="E1344" s="3"/>
      <c r="F1344" s="3"/>
      <c r="G1344" s="3"/>
      <c r="H1344" s="11"/>
      <c r="I1344" s="12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14"/>
      <c r="Z1344" s="3"/>
      <c r="AA1344" s="3"/>
      <c r="AB1344" s="3"/>
      <c r="AC1344" s="3"/>
      <c r="AD1344" s="3"/>
      <c r="AE1344" s="3"/>
      <c r="AF1344" s="3"/>
      <c r="AG1344" s="3"/>
      <c r="AH1344" s="3"/>
    </row>
    <row r="1345" spans="1:34" ht="14.25" customHeight="1" x14ac:dyDescent="0.25">
      <c r="A1345" s="3"/>
      <c r="B1345" s="3"/>
      <c r="C1345" s="3"/>
      <c r="D1345" s="3"/>
      <c r="E1345" s="3"/>
      <c r="F1345" s="3"/>
      <c r="G1345" s="3"/>
      <c r="H1345" s="11"/>
      <c r="I1345" s="12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14"/>
      <c r="Z1345" s="3"/>
      <c r="AA1345" s="3"/>
      <c r="AB1345" s="3"/>
      <c r="AC1345" s="3"/>
      <c r="AD1345" s="3"/>
      <c r="AE1345" s="3"/>
      <c r="AF1345" s="3"/>
      <c r="AG1345" s="3"/>
      <c r="AH1345" s="3"/>
    </row>
    <row r="1346" spans="1:34" ht="14.25" customHeight="1" x14ac:dyDescent="0.25">
      <c r="A1346" s="3"/>
      <c r="B1346" s="3"/>
      <c r="C1346" s="3"/>
      <c r="D1346" s="3"/>
      <c r="E1346" s="3"/>
      <c r="F1346" s="3"/>
      <c r="G1346" s="3"/>
      <c r="H1346" s="11"/>
      <c r="I1346" s="12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14"/>
      <c r="Z1346" s="3"/>
      <c r="AA1346" s="3"/>
      <c r="AB1346" s="3"/>
      <c r="AC1346" s="3"/>
      <c r="AD1346" s="3"/>
      <c r="AE1346" s="3"/>
      <c r="AF1346" s="3"/>
      <c r="AG1346" s="3"/>
      <c r="AH1346" s="3"/>
    </row>
    <row r="1347" spans="1:34" ht="14.25" customHeight="1" x14ac:dyDescent="0.25">
      <c r="A1347" s="3"/>
      <c r="B1347" s="3"/>
      <c r="C1347" s="3"/>
      <c r="D1347" s="3"/>
      <c r="E1347" s="3"/>
      <c r="F1347" s="3"/>
      <c r="G1347" s="3"/>
      <c r="H1347" s="11"/>
      <c r="I1347" s="12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14"/>
      <c r="Z1347" s="3"/>
      <c r="AA1347" s="3"/>
      <c r="AB1347" s="3"/>
      <c r="AC1347" s="3"/>
      <c r="AD1347" s="3"/>
      <c r="AE1347" s="3"/>
      <c r="AF1347" s="3"/>
      <c r="AG1347" s="3"/>
      <c r="AH1347" s="3"/>
    </row>
    <row r="1348" spans="1:34" ht="14.25" customHeight="1" x14ac:dyDescent="0.25">
      <c r="A1348" s="3"/>
      <c r="B1348" s="3"/>
      <c r="C1348" s="3"/>
      <c r="D1348" s="3"/>
      <c r="E1348" s="3"/>
      <c r="F1348" s="3"/>
      <c r="G1348" s="3"/>
      <c r="H1348" s="11"/>
      <c r="I1348" s="12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14"/>
      <c r="Z1348" s="3"/>
      <c r="AA1348" s="3"/>
      <c r="AB1348" s="3"/>
      <c r="AC1348" s="3"/>
      <c r="AD1348" s="3"/>
      <c r="AE1348" s="3"/>
      <c r="AF1348" s="3"/>
      <c r="AG1348" s="3"/>
      <c r="AH1348" s="3"/>
    </row>
    <row r="1349" spans="1:34" ht="14.25" customHeight="1" x14ac:dyDescent="0.25">
      <c r="A1349" s="3"/>
      <c r="B1349" s="3"/>
      <c r="C1349" s="3"/>
      <c r="D1349" s="3"/>
      <c r="E1349" s="3"/>
      <c r="F1349" s="3"/>
      <c r="G1349" s="3"/>
      <c r="H1349" s="11"/>
      <c r="I1349" s="12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14"/>
      <c r="Z1349" s="3"/>
      <c r="AA1349" s="3"/>
      <c r="AB1349" s="3"/>
      <c r="AC1349" s="3"/>
      <c r="AD1349" s="3"/>
      <c r="AE1349" s="3"/>
      <c r="AF1349" s="3"/>
      <c r="AG1349" s="3"/>
      <c r="AH1349" s="3"/>
    </row>
    <row r="1350" spans="1:34" ht="14.25" customHeight="1" x14ac:dyDescent="0.25">
      <c r="A1350" s="3"/>
      <c r="B1350" s="3"/>
      <c r="C1350" s="3"/>
      <c r="D1350" s="3"/>
      <c r="E1350" s="3"/>
      <c r="F1350" s="3"/>
      <c r="G1350" s="3"/>
      <c r="H1350" s="11"/>
      <c r="I1350" s="12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14"/>
      <c r="Z1350" s="3"/>
      <c r="AA1350" s="3"/>
      <c r="AB1350" s="3"/>
      <c r="AC1350" s="3"/>
      <c r="AD1350" s="3"/>
      <c r="AE1350" s="3"/>
      <c r="AF1350" s="3"/>
      <c r="AG1350" s="3"/>
      <c r="AH1350" s="3"/>
    </row>
    <row r="1351" spans="1:34" ht="14.25" customHeight="1" x14ac:dyDescent="0.25">
      <c r="A1351" s="3"/>
      <c r="B1351" s="3"/>
      <c r="C1351" s="3"/>
      <c r="D1351" s="3"/>
      <c r="E1351" s="3"/>
      <c r="F1351" s="3"/>
      <c r="G1351" s="3"/>
      <c r="H1351" s="11"/>
      <c r="I1351" s="12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14"/>
      <c r="Z1351" s="3"/>
      <c r="AA1351" s="3"/>
      <c r="AB1351" s="3"/>
      <c r="AC1351" s="3"/>
      <c r="AD1351" s="3"/>
      <c r="AE1351" s="3"/>
      <c r="AF1351" s="3"/>
      <c r="AG1351" s="3"/>
      <c r="AH1351" s="3"/>
    </row>
    <row r="1352" spans="1:34" ht="14.25" customHeight="1" x14ac:dyDescent="0.25">
      <c r="A1352" s="3"/>
      <c r="B1352" s="3"/>
      <c r="C1352" s="3"/>
      <c r="D1352" s="3"/>
      <c r="E1352" s="3"/>
      <c r="F1352" s="3"/>
      <c r="G1352" s="3"/>
      <c r="H1352" s="11"/>
      <c r="I1352" s="12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14"/>
      <c r="Z1352" s="3"/>
      <c r="AA1352" s="3"/>
      <c r="AB1352" s="3"/>
      <c r="AC1352" s="3"/>
      <c r="AD1352" s="3"/>
      <c r="AE1352" s="3"/>
      <c r="AF1352" s="3"/>
      <c r="AG1352" s="3"/>
      <c r="AH1352" s="3"/>
    </row>
    <row r="1353" spans="1:34" ht="14.25" customHeight="1" x14ac:dyDescent="0.25">
      <c r="A1353" s="3"/>
      <c r="B1353" s="3"/>
      <c r="C1353" s="3"/>
      <c r="D1353" s="3"/>
      <c r="E1353" s="3"/>
      <c r="F1353" s="3"/>
      <c r="G1353" s="3"/>
      <c r="H1353" s="11"/>
      <c r="I1353" s="12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14"/>
      <c r="Z1353" s="3"/>
      <c r="AA1353" s="3"/>
      <c r="AB1353" s="3"/>
      <c r="AC1353" s="3"/>
      <c r="AD1353" s="3"/>
      <c r="AE1353" s="3"/>
      <c r="AF1353" s="3"/>
      <c r="AG1353" s="3"/>
      <c r="AH1353" s="3"/>
    </row>
    <row r="1354" spans="1:34" ht="14.25" customHeight="1" x14ac:dyDescent="0.25">
      <c r="A1354" s="3"/>
      <c r="B1354" s="3"/>
      <c r="C1354" s="3"/>
      <c r="D1354" s="3"/>
      <c r="E1354" s="3"/>
      <c r="F1354" s="3"/>
      <c r="G1354" s="3"/>
      <c r="H1354" s="11"/>
      <c r="I1354" s="12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14"/>
      <c r="Z1354" s="3"/>
      <c r="AA1354" s="3"/>
      <c r="AB1354" s="3"/>
      <c r="AC1354" s="3"/>
      <c r="AD1354" s="3"/>
      <c r="AE1354" s="3"/>
      <c r="AF1354" s="3"/>
      <c r="AG1354" s="3"/>
      <c r="AH1354" s="3"/>
    </row>
    <row r="1355" spans="1:34" ht="14.25" customHeight="1" x14ac:dyDescent="0.25">
      <c r="A1355" s="3"/>
      <c r="B1355" s="3"/>
      <c r="C1355" s="3"/>
      <c r="D1355" s="3"/>
      <c r="E1355" s="3"/>
      <c r="F1355" s="3"/>
      <c r="G1355" s="3"/>
      <c r="H1355" s="11"/>
      <c r="I1355" s="12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14"/>
      <c r="Z1355" s="3"/>
      <c r="AA1355" s="3"/>
      <c r="AB1355" s="3"/>
      <c r="AC1355" s="3"/>
      <c r="AD1355" s="3"/>
      <c r="AE1355" s="3"/>
      <c r="AF1355" s="3"/>
      <c r="AG1355" s="3"/>
      <c r="AH1355" s="3"/>
    </row>
    <row r="1356" spans="1:34" ht="14.25" customHeight="1" x14ac:dyDescent="0.25">
      <c r="A1356" s="3"/>
      <c r="B1356" s="3"/>
      <c r="C1356" s="3"/>
      <c r="D1356" s="3"/>
      <c r="E1356" s="3"/>
      <c r="F1356" s="3"/>
      <c r="G1356" s="3"/>
      <c r="H1356" s="11"/>
      <c r="I1356" s="12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14"/>
      <c r="Z1356" s="3"/>
      <c r="AA1356" s="3"/>
      <c r="AB1356" s="3"/>
      <c r="AC1356" s="3"/>
      <c r="AD1356" s="3"/>
      <c r="AE1356" s="3"/>
      <c r="AF1356" s="3"/>
      <c r="AG1356" s="3"/>
      <c r="AH1356" s="3"/>
    </row>
    <row r="1357" spans="1:34" ht="14.25" customHeight="1" x14ac:dyDescent="0.25">
      <c r="A1357" s="3"/>
      <c r="B1357" s="3"/>
      <c r="C1357" s="3"/>
      <c r="D1357" s="3"/>
      <c r="E1357" s="3"/>
      <c r="F1357" s="3"/>
      <c r="G1357" s="3"/>
      <c r="H1357" s="11"/>
      <c r="I1357" s="12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14"/>
      <c r="Z1357" s="3"/>
      <c r="AA1357" s="3"/>
      <c r="AB1357" s="3"/>
      <c r="AC1357" s="3"/>
      <c r="AD1357" s="3"/>
      <c r="AE1357" s="3"/>
      <c r="AF1357" s="3"/>
      <c r="AG1357" s="3"/>
      <c r="AH1357" s="3"/>
    </row>
    <row r="1358" spans="1:34" ht="14.25" customHeight="1" x14ac:dyDescent="0.25">
      <c r="A1358" s="3"/>
      <c r="B1358" s="3"/>
      <c r="C1358" s="3"/>
      <c r="D1358" s="3"/>
      <c r="E1358" s="3"/>
      <c r="F1358" s="3"/>
      <c r="G1358" s="3"/>
      <c r="H1358" s="11"/>
      <c r="I1358" s="12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14"/>
      <c r="Z1358" s="3"/>
      <c r="AA1358" s="3"/>
      <c r="AB1358" s="3"/>
      <c r="AC1358" s="3"/>
      <c r="AD1358" s="3"/>
      <c r="AE1358" s="3"/>
      <c r="AF1358" s="3"/>
      <c r="AG1358" s="3"/>
      <c r="AH1358" s="3"/>
    </row>
    <row r="1359" spans="1:34" ht="14.25" customHeight="1" x14ac:dyDescent="0.25">
      <c r="A1359" s="3"/>
      <c r="B1359" s="3"/>
      <c r="C1359" s="3"/>
      <c r="D1359" s="3"/>
      <c r="E1359" s="3"/>
      <c r="F1359" s="3"/>
      <c r="G1359" s="3"/>
      <c r="H1359" s="11"/>
      <c r="I1359" s="12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14"/>
      <c r="Z1359" s="3"/>
      <c r="AA1359" s="3"/>
      <c r="AB1359" s="3"/>
      <c r="AC1359" s="3"/>
      <c r="AD1359" s="3"/>
      <c r="AE1359" s="3"/>
      <c r="AF1359" s="3"/>
      <c r="AG1359" s="3"/>
      <c r="AH1359" s="3"/>
    </row>
    <row r="1360" spans="1:34" ht="14.25" customHeight="1" x14ac:dyDescent="0.25">
      <c r="A1360" s="3"/>
      <c r="B1360" s="3"/>
      <c r="C1360" s="3"/>
      <c r="D1360" s="3"/>
      <c r="E1360" s="3"/>
      <c r="F1360" s="3"/>
      <c r="G1360" s="3"/>
      <c r="H1360" s="11"/>
      <c r="I1360" s="12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14"/>
      <c r="Z1360" s="3"/>
      <c r="AA1360" s="3"/>
      <c r="AB1360" s="3"/>
      <c r="AC1360" s="3"/>
      <c r="AD1360" s="3"/>
      <c r="AE1360" s="3"/>
      <c r="AF1360" s="3"/>
      <c r="AG1360" s="3"/>
      <c r="AH1360" s="3"/>
    </row>
    <row r="1361" spans="1:34" ht="14.25" customHeight="1" x14ac:dyDescent="0.25">
      <c r="A1361" s="3"/>
      <c r="B1361" s="3"/>
      <c r="C1361" s="3"/>
      <c r="D1361" s="3"/>
      <c r="E1361" s="3"/>
      <c r="F1361" s="3"/>
      <c r="G1361" s="3"/>
      <c r="H1361" s="11"/>
      <c r="I1361" s="12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14"/>
      <c r="Z1361" s="3"/>
      <c r="AA1361" s="3"/>
      <c r="AB1361" s="3"/>
      <c r="AC1361" s="3"/>
      <c r="AD1361" s="3"/>
      <c r="AE1361" s="3"/>
      <c r="AF1361" s="3"/>
      <c r="AG1361" s="3"/>
      <c r="AH1361" s="3"/>
    </row>
    <row r="1362" spans="1:34" ht="14.25" customHeight="1" x14ac:dyDescent="0.25">
      <c r="A1362" s="3"/>
      <c r="B1362" s="3"/>
      <c r="C1362" s="3"/>
      <c r="D1362" s="3"/>
      <c r="E1362" s="3"/>
      <c r="F1362" s="3"/>
      <c r="G1362" s="3"/>
      <c r="H1362" s="11"/>
      <c r="I1362" s="12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14"/>
      <c r="Z1362" s="3"/>
      <c r="AA1362" s="3"/>
      <c r="AB1362" s="3"/>
      <c r="AC1362" s="3"/>
      <c r="AD1362" s="3"/>
      <c r="AE1362" s="3"/>
      <c r="AF1362" s="3"/>
      <c r="AG1362" s="3"/>
      <c r="AH1362" s="3"/>
    </row>
    <row r="1363" spans="1:34" ht="14.25" customHeight="1" x14ac:dyDescent="0.25">
      <c r="A1363" s="3"/>
      <c r="B1363" s="3"/>
      <c r="C1363" s="3"/>
      <c r="D1363" s="3"/>
      <c r="E1363" s="3"/>
      <c r="F1363" s="3"/>
      <c r="G1363" s="3"/>
      <c r="H1363" s="11"/>
      <c r="I1363" s="12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14"/>
      <c r="Z1363" s="3"/>
      <c r="AA1363" s="3"/>
      <c r="AB1363" s="3"/>
      <c r="AC1363" s="3"/>
      <c r="AD1363" s="3"/>
      <c r="AE1363" s="3"/>
      <c r="AF1363" s="3"/>
      <c r="AG1363" s="3"/>
      <c r="AH1363" s="3"/>
    </row>
    <row r="1364" spans="1:34" ht="14.25" customHeight="1" x14ac:dyDescent="0.25">
      <c r="A1364" s="3"/>
      <c r="B1364" s="3"/>
      <c r="C1364" s="3"/>
      <c r="D1364" s="3"/>
      <c r="E1364" s="3"/>
      <c r="F1364" s="3"/>
      <c r="G1364" s="3"/>
      <c r="H1364" s="11"/>
      <c r="I1364" s="12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14"/>
      <c r="Z1364" s="3"/>
      <c r="AA1364" s="3"/>
      <c r="AB1364" s="3"/>
      <c r="AC1364" s="3"/>
      <c r="AD1364" s="3"/>
      <c r="AE1364" s="3"/>
      <c r="AF1364" s="3"/>
      <c r="AG1364" s="3"/>
      <c r="AH1364" s="3"/>
    </row>
    <row r="1365" spans="1:34" ht="14.25" customHeight="1" x14ac:dyDescent="0.25">
      <c r="A1365" s="3"/>
      <c r="B1365" s="3"/>
      <c r="C1365" s="3"/>
      <c r="D1365" s="3"/>
      <c r="E1365" s="3"/>
      <c r="F1365" s="3"/>
      <c r="G1365" s="3"/>
      <c r="H1365" s="11"/>
      <c r="I1365" s="12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14"/>
      <c r="Z1365" s="3"/>
      <c r="AA1365" s="3"/>
      <c r="AB1365" s="3"/>
      <c r="AC1365" s="3"/>
      <c r="AD1365" s="3"/>
      <c r="AE1365" s="3"/>
      <c r="AF1365" s="3"/>
      <c r="AG1365" s="3"/>
      <c r="AH1365" s="3"/>
    </row>
    <row r="1366" spans="1:34" ht="14.25" customHeight="1" x14ac:dyDescent="0.25">
      <c r="A1366" s="3"/>
      <c r="B1366" s="3"/>
      <c r="C1366" s="3"/>
      <c r="D1366" s="3"/>
      <c r="E1366" s="3"/>
      <c r="F1366" s="3"/>
      <c r="G1366" s="3"/>
      <c r="H1366" s="11"/>
      <c r="I1366" s="12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14"/>
      <c r="Z1366" s="3"/>
      <c r="AA1366" s="3"/>
      <c r="AB1366" s="3"/>
      <c r="AC1366" s="3"/>
      <c r="AD1366" s="3"/>
      <c r="AE1366" s="3"/>
      <c r="AF1366" s="3"/>
      <c r="AG1366" s="3"/>
      <c r="AH1366" s="3"/>
    </row>
    <row r="1367" spans="1:34" ht="14.25" customHeight="1" x14ac:dyDescent="0.25">
      <c r="A1367" s="3"/>
      <c r="B1367" s="3"/>
      <c r="C1367" s="3"/>
      <c r="D1367" s="3"/>
      <c r="E1367" s="3"/>
      <c r="F1367" s="3"/>
      <c r="G1367" s="14"/>
      <c r="H1367" s="11"/>
      <c r="I1367" s="12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14"/>
      <c r="Z1367" s="3"/>
      <c r="AA1367" s="3"/>
      <c r="AB1367" s="3"/>
      <c r="AC1367" s="3"/>
      <c r="AD1367" s="3"/>
      <c r="AE1367" s="3"/>
      <c r="AF1367" s="3"/>
      <c r="AG1367" s="3"/>
      <c r="AH1367" s="3"/>
    </row>
    <row r="1368" spans="1:34" ht="14.25" customHeight="1" x14ac:dyDescent="0.25">
      <c r="A1368" s="3"/>
      <c r="B1368" s="3"/>
      <c r="C1368" s="3"/>
      <c r="D1368" s="3"/>
      <c r="E1368" s="3"/>
      <c r="F1368" s="3"/>
      <c r="G1368" s="14"/>
      <c r="H1368" s="11"/>
      <c r="I1368" s="12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14"/>
      <c r="Z1368" s="3"/>
      <c r="AA1368" s="3"/>
      <c r="AB1368" s="3"/>
      <c r="AC1368" s="3"/>
      <c r="AD1368" s="3"/>
      <c r="AE1368" s="3"/>
      <c r="AF1368" s="3"/>
      <c r="AG1368" s="3"/>
      <c r="AH1368" s="3"/>
    </row>
    <row r="1369" spans="1:34" ht="14.25" customHeight="1" x14ac:dyDescent="0.25">
      <c r="A1369" s="3"/>
      <c r="B1369" s="3"/>
      <c r="C1369" s="3"/>
      <c r="D1369" s="3"/>
      <c r="E1369" s="3"/>
      <c r="F1369" s="3"/>
      <c r="G1369" s="3"/>
      <c r="H1369" s="11"/>
      <c r="I1369" s="12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14"/>
      <c r="Z1369" s="3"/>
      <c r="AA1369" s="3"/>
      <c r="AB1369" s="3"/>
      <c r="AC1369" s="3"/>
      <c r="AD1369" s="3"/>
      <c r="AE1369" s="3"/>
      <c r="AF1369" s="3"/>
      <c r="AG1369" s="3"/>
      <c r="AH1369" s="3"/>
    </row>
    <row r="1370" spans="1:34" ht="14.25" customHeight="1" x14ac:dyDescent="0.25">
      <c r="A1370" s="3"/>
      <c r="B1370" s="3"/>
      <c r="C1370" s="3"/>
      <c r="D1370" s="3"/>
      <c r="E1370" s="3"/>
      <c r="F1370" s="3"/>
      <c r="G1370" s="3"/>
      <c r="H1370" s="11"/>
      <c r="I1370" s="12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14"/>
      <c r="Z1370" s="3"/>
      <c r="AA1370" s="3"/>
      <c r="AB1370" s="3"/>
      <c r="AC1370" s="3"/>
      <c r="AD1370" s="3"/>
      <c r="AE1370" s="3"/>
      <c r="AF1370" s="3"/>
      <c r="AG1370" s="3"/>
      <c r="AH1370" s="3"/>
    </row>
    <row r="1371" spans="1:34" ht="14.25" customHeight="1" x14ac:dyDescent="0.25">
      <c r="A1371" s="3"/>
      <c r="B1371" s="3"/>
      <c r="C1371" s="3"/>
      <c r="D1371" s="3"/>
      <c r="E1371" s="3"/>
      <c r="F1371" s="3"/>
      <c r="G1371" s="3"/>
      <c r="H1371" s="11"/>
      <c r="I1371" s="12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14"/>
      <c r="Z1371" s="3"/>
      <c r="AA1371" s="3"/>
      <c r="AB1371" s="3"/>
      <c r="AC1371" s="3"/>
      <c r="AD1371" s="3"/>
      <c r="AE1371" s="3"/>
      <c r="AF1371" s="3"/>
      <c r="AG1371" s="3"/>
      <c r="AH1371" s="3"/>
    </row>
    <row r="1372" spans="1:34" ht="14.25" customHeight="1" x14ac:dyDescent="0.25">
      <c r="A1372" s="3"/>
      <c r="B1372" s="3"/>
      <c r="C1372" s="3"/>
      <c r="D1372" s="3"/>
      <c r="E1372" s="3"/>
      <c r="F1372" s="3"/>
      <c r="G1372" s="3"/>
      <c r="H1372" s="11"/>
      <c r="I1372" s="12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14"/>
      <c r="Z1372" s="3"/>
      <c r="AA1372" s="3"/>
      <c r="AB1372" s="3"/>
      <c r="AC1372" s="3"/>
      <c r="AD1372" s="3"/>
      <c r="AE1372" s="3"/>
      <c r="AF1372" s="3"/>
      <c r="AG1372" s="3"/>
      <c r="AH1372" s="3"/>
    </row>
    <row r="1373" spans="1:34" ht="14.25" customHeight="1" x14ac:dyDescent="0.25">
      <c r="A1373" s="3"/>
      <c r="B1373" s="3"/>
      <c r="C1373" s="3"/>
      <c r="D1373" s="3"/>
      <c r="E1373" s="3"/>
      <c r="F1373" s="3"/>
      <c r="G1373" s="3"/>
      <c r="H1373" s="11"/>
      <c r="I1373" s="12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14"/>
      <c r="Z1373" s="3"/>
      <c r="AA1373" s="3"/>
      <c r="AB1373" s="3"/>
      <c r="AC1373" s="3"/>
      <c r="AD1373" s="3"/>
      <c r="AE1373" s="3"/>
      <c r="AF1373" s="3"/>
      <c r="AG1373" s="3"/>
      <c r="AH1373" s="3"/>
    </row>
    <row r="1374" spans="1:34" ht="14.25" customHeight="1" x14ac:dyDescent="0.25">
      <c r="A1374" s="3"/>
      <c r="B1374" s="3"/>
      <c r="C1374" s="3"/>
      <c r="D1374" s="3"/>
      <c r="E1374" s="3"/>
      <c r="F1374" s="3"/>
      <c r="G1374" s="3"/>
      <c r="H1374" s="11"/>
      <c r="I1374" s="12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14"/>
      <c r="Z1374" s="3"/>
      <c r="AA1374" s="3"/>
      <c r="AB1374" s="3"/>
      <c r="AC1374" s="3"/>
      <c r="AD1374" s="3"/>
      <c r="AE1374" s="3"/>
      <c r="AF1374" s="3"/>
      <c r="AG1374" s="3"/>
      <c r="AH1374" s="3"/>
    </row>
    <row r="1375" spans="1:34" ht="14.25" customHeight="1" x14ac:dyDescent="0.25">
      <c r="A1375" s="3"/>
      <c r="B1375" s="3"/>
      <c r="C1375" s="3"/>
      <c r="D1375" s="3"/>
      <c r="E1375" s="3"/>
      <c r="F1375" s="3"/>
      <c r="G1375" s="3"/>
      <c r="H1375" s="11"/>
      <c r="I1375" s="12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14"/>
      <c r="Z1375" s="3"/>
      <c r="AA1375" s="3"/>
      <c r="AB1375" s="3"/>
      <c r="AC1375" s="3"/>
      <c r="AD1375" s="3"/>
      <c r="AE1375" s="3"/>
      <c r="AF1375" s="3"/>
      <c r="AG1375" s="3"/>
      <c r="AH1375" s="3"/>
    </row>
    <row r="1376" spans="1:34" ht="14.25" customHeight="1" x14ac:dyDescent="0.25">
      <c r="A1376" s="3"/>
      <c r="B1376" s="3"/>
      <c r="C1376" s="3"/>
      <c r="D1376" s="3"/>
      <c r="E1376" s="3"/>
      <c r="F1376" s="3"/>
      <c r="G1376" s="3"/>
      <c r="H1376" s="11"/>
      <c r="I1376" s="12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14"/>
      <c r="Z1376" s="3"/>
      <c r="AA1376" s="3"/>
      <c r="AB1376" s="3"/>
      <c r="AC1376" s="3"/>
      <c r="AD1376" s="3"/>
      <c r="AE1376" s="3"/>
      <c r="AF1376" s="3"/>
      <c r="AG1376" s="3"/>
      <c r="AH1376" s="3"/>
    </row>
    <row r="1377" spans="1:34" ht="14.25" customHeight="1" x14ac:dyDescent="0.25">
      <c r="A1377" s="3"/>
      <c r="B1377" s="3"/>
      <c r="C1377" s="3"/>
      <c r="D1377" s="3"/>
      <c r="E1377" s="3"/>
      <c r="F1377" s="3"/>
      <c r="G1377" s="3"/>
      <c r="H1377" s="11"/>
      <c r="I1377" s="12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14"/>
      <c r="Z1377" s="3"/>
      <c r="AA1377" s="3"/>
      <c r="AB1377" s="3"/>
      <c r="AC1377" s="3"/>
      <c r="AD1377" s="3"/>
      <c r="AE1377" s="3"/>
      <c r="AF1377" s="3"/>
      <c r="AG1377" s="3"/>
      <c r="AH1377" s="3"/>
    </row>
    <row r="1378" spans="1:34" ht="14.25" customHeight="1" x14ac:dyDescent="0.25">
      <c r="A1378" s="3"/>
      <c r="B1378" s="3"/>
      <c r="C1378" s="3"/>
      <c r="D1378" s="3"/>
      <c r="E1378" s="3"/>
      <c r="F1378" s="3"/>
      <c r="G1378" s="3"/>
      <c r="H1378" s="11"/>
      <c r="I1378" s="12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14"/>
      <c r="Z1378" s="3"/>
      <c r="AA1378" s="3"/>
      <c r="AB1378" s="3"/>
      <c r="AC1378" s="3"/>
      <c r="AD1378" s="3"/>
      <c r="AE1378" s="3"/>
      <c r="AF1378" s="3"/>
      <c r="AG1378" s="3"/>
      <c r="AH1378" s="3"/>
    </row>
    <row r="1379" spans="1:34" ht="14.25" customHeight="1" x14ac:dyDescent="0.25">
      <c r="A1379" s="3"/>
      <c r="B1379" s="3"/>
      <c r="C1379" s="3"/>
      <c r="D1379" s="3"/>
      <c r="E1379" s="3"/>
      <c r="F1379" s="3"/>
      <c r="G1379" s="3"/>
      <c r="H1379" s="11"/>
      <c r="I1379" s="12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14"/>
      <c r="Z1379" s="3"/>
      <c r="AA1379" s="3"/>
      <c r="AB1379" s="3"/>
      <c r="AC1379" s="3"/>
      <c r="AD1379" s="3"/>
      <c r="AE1379" s="3"/>
      <c r="AF1379" s="3"/>
      <c r="AG1379" s="3"/>
      <c r="AH1379" s="3"/>
    </row>
    <row r="1380" spans="1:34" ht="14.25" customHeight="1" x14ac:dyDescent="0.25">
      <c r="A1380" s="3"/>
      <c r="B1380" s="3"/>
      <c r="C1380" s="3"/>
      <c r="D1380" s="3"/>
      <c r="E1380" s="3"/>
      <c r="F1380" s="3"/>
      <c r="G1380" s="3"/>
      <c r="H1380" s="11"/>
      <c r="I1380" s="12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14"/>
      <c r="Z1380" s="3"/>
      <c r="AA1380" s="3"/>
      <c r="AB1380" s="3"/>
      <c r="AC1380" s="3"/>
      <c r="AD1380" s="3"/>
      <c r="AE1380" s="3"/>
      <c r="AF1380" s="3"/>
      <c r="AG1380" s="3"/>
      <c r="AH1380" s="3"/>
    </row>
    <row r="1381" spans="1:34" ht="14.25" customHeight="1" x14ac:dyDescent="0.25">
      <c r="A1381" s="3"/>
      <c r="B1381" s="3"/>
      <c r="C1381" s="3"/>
      <c r="D1381" s="3"/>
      <c r="E1381" s="3"/>
      <c r="F1381" s="3"/>
      <c r="G1381" s="3"/>
      <c r="H1381" s="11"/>
      <c r="I1381" s="12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14"/>
      <c r="Z1381" s="3"/>
      <c r="AA1381" s="3"/>
      <c r="AB1381" s="3"/>
      <c r="AC1381" s="3"/>
      <c r="AD1381" s="3"/>
      <c r="AE1381" s="3"/>
      <c r="AF1381" s="3"/>
      <c r="AG1381" s="3"/>
      <c r="AH1381" s="3"/>
    </row>
    <row r="1382" spans="1:34" ht="14.25" customHeight="1" x14ac:dyDescent="0.25">
      <c r="A1382" s="3"/>
      <c r="B1382" s="3"/>
      <c r="C1382" s="3"/>
      <c r="D1382" s="3"/>
      <c r="E1382" s="3"/>
      <c r="F1382" s="3"/>
      <c r="G1382" s="3"/>
      <c r="H1382" s="11"/>
      <c r="I1382" s="12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14"/>
      <c r="Z1382" s="3"/>
      <c r="AA1382" s="3"/>
      <c r="AB1382" s="3"/>
      <c r="AC1382" s="3"/>
      <c r="AD1382" s="3"/>
      <c r="AE1382" s="3"/>
      <c r="AF1382" s="3"/>
      <c r="AG1382" s="3"/>
      <c r="AH1382" s="3"/>
    </row>
    <row r="1383" spans="1:34" ht="14.25" customHeight="1" x14ac:dyDescent="0.25">
      <c r="A1383" s="3"/>
      <c r="B1383" s="3"/>
      <c r="C1383" s="3"/>
      <c r="D1383" s="3"/>
      <c r="E1383" s="3"/>
      <c r="F1383" s="3"/>
      <c r="G1383" s="3"/>
      <c r="H1383" s="11"/>
      <c r="I1383" s="12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14"/>
      <c r="Z1383" s="3"/>
      <c r="AA1383" s="3"/>
      <c r="AB1383" s="3"/>
      <c r="AC1383" s="3"/>
      <c r="AD1383" s="3"/>
      <c r="AE1383" s="3"/>
      <c r="AF1383" s="3"/>
      <c r="AG1383" s="3"/>
      <c r="AH1383" s="3"/>
    </row>
    <row r="1384" spans="1:34" ht="14.25" customHeight="1" x14ac:dyDescent="0.25">
      <c r="A1384" s="3"/>
      <c r="B1384" s="3"/>
      <c r="C1384" s="3"/>
      <c r="D1384" s="3"/>
      <c r="E1384" s="3"/>
      <c r="F1384" s="3"/>
      <c r="G1384" s="3"/>
      <c r="H1384" s="11"/>
      <c r="I1384" s="12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14"/>
      <c r="Z1384" s="3"/>
      <c r="AA1384" s="3"/>
      <c r="AB1384" s="3"/>
      <c r="AC1384" s="3"/>
      <c r="AD1384" s="3"/>
      <c r="AE1384" s="3"/>
      <c r="AF1384" s="3"/>
      <c r="AG1384" s="3"/>
      <c r="AH1384" s="3"/>
    </row>
    <row r="1385" spans="1:34" ht="14.25" customHeight="1" x14ac:dyDescent="0.25">
      <c r="A1385" s="3"/>
      <c r="B1385" s="3"/>
      <c r="C1385" s="3"/>
      <c r="D1385" s="3"/>
      <c r="E1385" s="3"/>
      <c r="F1385" s="3"/>
      <c r="G1385" s="14"/>
      <c r="H1385" s="11"/>
      <c r="I1385" s="12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14"/>
      <c r="Z1385" s="3"/>
      <c r="AA1385" s="3"/>
      <c r="AB1385" s="3"/>
      <c r="AC1385" s="3"/>
      <c r="AD1385" s="3"/>
      <c r="AE1385" s="3"/>
      <c r="AF1385" s="3"/>
      <c r="AG1385" s="3"/>
      <c r="AH1385" s="3"/>
    </row>
    <row r="1386" spans="1:34" ht="14.25" customHeight="1" x14ac:dyDescent="0.25">
      <c r="A1386" s="3"/>
      <c r="B1386" s="3"/>
      <c r="C1386" s="3"/>
      <c r="D1386" s="3"/>
      <c r="E1386" s="3"/>
      <c r="F1386" s="3"/>
      <c r="G1386" s="14"/>
      <c r="H1386" s="11"/>
      <c r="I1386" s="12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14"/>
      <c r="Z1386" s="3"/>
      <c r="AA1386" s="3"/>
      <c r="AB1386" s="3"/>
      <c r="AC1386" s="3"/>
      <c r="AD1386" s="3"/>
      <c r="AE1386" s="3"/>
      <c r="AF1386" s="3"/>
      <c r="AG1386" s="3"/>
      <c r="AH1386" s="3"/>
    </row>
    <row r="1387" spans="1:34" ht="14.25" customHeight="1" x14ac:dyDescent="0.25">
      <c r="A1387" s="3"/>
      <c r="B1387" s="3"/>
      <c r="C1387" s="3"/>
      <c r="D1387" s="3"/>
      <c r="E1387" s="3"/>
      <c r="F1387" s="3"/>
      <c r="G1387" s="14"/>
      <c r="H1387" s="11"/>
      <c r="I1387" s="12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14"/>
      <c r="Z1387" s="3"/>
      <c r="AA1387" s="3"/>
      <c r="AB1387" s="3"/>
      <c r="AC1387" s="3"/>
      <c r="AD1387" s="3"/>
      <c r="AE1387" s="3"/>
      <c r="AF1387" s="3"/>
      <c r="AG1387" s="3"/>
      <c r="AH1387" s="3"/>
    </row>
    <row r="1388" spans="1:34" ht="14.25" customHeight="1" x14ac:dyDescent="0.25">
      <c r="A1388" s="3"/>
      <c r="B1388" s="3"/>
      <c r="C1388" s="3"/>
      <c r="D1388" s="3"/>
      <c r="E1388" s="3"/>
      <c r="F1388" s="3"/>
      <c r="G1388" s="14"/>
      <c r="H1388" s="11"/>
      <c r="I1388" s="12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14"/>
      <c r="Z1388" s="3"/>
      <c r="AA1388" s="3"/>
      <c r="AB1388" s="3"/>
      <c r="AC1388" s="3"/>
      <c r="AD1388" s="3"/>
      <c r="AE1388" s="3"/>
      <c r="AF1388" s="3"/>
      <c r="AG1388" s="3"/>
      <c r="AH1388" s="3"/>
    </row>
    <row r="1389" spans="1:34" ht="14.25" customHeight="1" x14ac:dyDescent="0.25">
      <c r="A1389" s="3"/>
      <c r="B1389" s="3"/>
      <c r="C1389" s="3"/>
      <c r="D1389" s="3"/>
      <c r="E1389" s="3"/>
      <c r="F1389" s="3"/>
      <c r="G1389" s="3"/>
      <c r="H1389" s="11"/>
      <c r="I1389" s="12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14"/>
      <c r="Z1389" s="3"/>
      <c r="AA1389" s="3"/>
      <c r="AB1389" s="3"/>
      <c r="AC1389" s="3"/>
      <c r="AD1389" s="3"/>
      <c r="AE1389" s="3"/>
      <c r="AF1389" s="3"/>
      <c r="AG1389" s="3"/>
      <c r="AH1389" s="3"/>
    </row>
    <row r="1390" spans="1:34" ht="14.25" customHeight="1" x14ac:dyDescent="0.25">
      <c r="A1390" s="3"/>
      <c r="B1390" s="3"/>
      <c r="C1390" s="3"/>
      <c r="D1390" s="3"/>
      <c r="E1390" s="3"/>
      <c r="F1390" s="3"/>
      <c r="G1390" s="3"/>
      <c r="H1390" s="11"/>
      <c r="I1390" s="12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14"/>
      <c r="Z1390" s="3"/>
      <c r="AA1390" s="3"/>
      <c r="AB1390" s="3"/>
      <c r="AC1390" s="3"/>
      <c r="AD1390" s="3"/>
      <c r="AE1390" s="3"/>
      <c r="AF1390" s="3"/>
      <c r="AG1390" s="3"/>
      <c r="AH1390" s="3"/>
    </row>
    <row r="1391" spans="1:34" ht="14.25" customHeight="1" x14ac:dyDescent="0.25">
      <c r="A1391" s="3"/>
      <c r="B1391" s="3"/>
      <c r="C1391" s="3"/>
      <c r="D1391" s="3"/>
      <c r="E1391" s="3"/>
      <c r="F1391" s="3"/>
      <c r="G1391" s="3"/>
      <c r="H1391" s="11"/>
      <c r="I1391" s="12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14"/>
      <c r="Z1391" s="3"/>
      <c r="AA1391" s="3"/>
      <c r="AB1391" s="3"/>
      <c r="AC1391" s="3"/>
      <c r="AD1391" s="3"/>
      <c r="AE1391" s="3"/>
      <c r="AF1391" s="3"/>
      <c r="AG1391" s="3"/>
      <c r="AH1391" s="3"/>
    </row>
    <row r="1392" spans="1:34" ht="14.25" customHeight="1" x14ac:dyDescent="0.25">
      <c r="A1392" s="3"/>
      <c r="B1392" s="3"/>
      <c r="C1392" s="3"/>
      <c r="D1392" s="3"/>
      <c r="E1392" s="3"/>
      <c r="F1392" s="3"/>
      <c r="G1392" s="3"/>
      <c r="H1392" s="11"/>
      <c r="I1392" s="12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14"/>
      <c r="Z1392" s="3"/>
      <c r="AA1392" s="3"/>
      <c r="AB1392" s="3"/>
      <c r="AC1392" s="3"/>
      <c r="AD1392" s="3"/>
      <c r="AE1392" s="3"/>
      <c r="AF1392" s="3"/>
      <c r="AG1392" s="3"/>
      <c r="AH1392" s="3"/>
    </row>
    <row r="1393" spans="1:34" ht="14.25" customHeight="1" x14ac:dyDescent="0.25">
      <c r="A1393" s="3"/>
      <c r="B1393" s="3"/>
      <c r="C1393" s="3"/>
      <c r="D1393" s="3"/>
      <c r="E1393" s="3"/>
      <c r="F1393" s="3"/>
      <c r="G1393" s="3"/>
      <c r="H1393" s="11"/>
      <c r="I1393" s="12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14"/>
      <c r="Z1393" s="3"/>
      <c r="AA1393" s="3"/>
      <c r="AB1393" s="3"/>
      <c r="AC1393" s="3"/>
      <c r="AD1393" s="3"/>
      <c r="AE1393" s="3"/>
      <c r="AF1393" s="3"/>
      <c r="AG1393" s="3"/>
      <c r="AH1393" s="3"/>
    </row>
    <row r="1394" spans="1:34" ht="14.25" customHeight="1" x14ac:dyDescent="0.25">
      <c r="A1394" s="3"/>
      <c r="B1394" s="3"/>
      <c r="C1394" s="3"/>
      <c r="D1394" s="3"/>
      <c r="E1394" s="3"/>
      <c r="F1394" s="3"/>
      <c r="G1394" s="3"/>
      <c r="H1394" s="11"/>
      <c r="I1394" s="12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14"/>
      <c r="Z1394" s="3"/>
      <c r="AA1394" s="3"/>
      <c r="AB1394" s="3"/>
      <c r="AC1394" s="3"/>
      <c r="AD1394" s="3"/>
      <c r="AE1394" s="3"/>
      <c r="AF1394" s="3"/>
      <c r="AG1394" s="3"/>
      <c r="AH1394" s="3"/>
    </row>
    <row r="1395" spans="1:34" ht="14.25" customHeight="1" x14ac:dyDescent="0.25">
      <c r="A1395" s="3"/>
      <c r="B1395" s="3"/>
      <c r="C1395" s="3"/>
      <c r="D1395" s="3"/>
      <c r="E1395" s="3"/>
      <c r="F1395" s="3"/>
      <c r="G1395" s="14"/>
      <c r="H1395" s="11"/>
      <c r="I1395" s="12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14"/>
      <c r="Z1395" s="3"/>
      <c r="AA1395" s="3"/>
      <c r="AB1395" s="3"/>
      <c r="AC1395" s="3"/>
      <c r="AD1395" s="3"/>
      <c r="AE1395" s="3"/>
      <c r="AF1395" s="3"/>
      <c r="AG1395" s="3"/>
      <c r="AH1395" s="3"/>
    </row>
    <row r="1396" spans="1:34" ht="14.25" customHeight="1" x14ac:dyDescent="0.25">
      <c r="A1396" s="3"/>
      <c r="B1396" s="3"/>
      <c r="C1396" s="3"/>
      <c r="D1396" s="3"/>
      <c r="E1396" s="3"/>
      <c r="F1396" s="3"/>
      <c r="G1396" s="3"/>
      <c r="H1396" s="11"/>
      <c r="I1396" s="12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14"/>
      <c r="Z1396" s="3"/>
      <c r="AA1396" s="3"/>
      <c r="AB1396" s="3"/>
      <c r="AC1396" s="3"/>
      <c r="AD1396" s="3"/>
      <c r="AE1396" s="3"/>
      <c r="AF1396" s="3"/>
      <c r="AG1396" s="3"/>
      <c r="AH1396" s="3"/>
    </row>
    <row r="1397" spans="1:34" ht="14.25" customHeight="1" x14ac:dyDescent="0.25">
      <c r="A1397" s="3"/>
      <c r="B1397" s="3"/>
      <c r="C1397" s="3"/>
      <c r="D1397" s="3"/>
      <c r="E1397" s="3"/>
      <c r="F1397" s="3"/>
      <c r="G1397" s="14"/>
      <c r="H1397" s="11"/>
      <c r="I1397" s="12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14"/>
      <c r="Z1397" s="3"/>
      <c r="AA1397" s="3"/>
      <c r="AB1397" s="3"/>
      <c r="AC1397" s="3"/>
      <c r="AD1397" s="3"/>
      <c r="AE1397" s="3"/>
      <c r="AF1397" s="3"/>
      <c r="AG1397" s="3"/>
      <c r="AH1397" s="3"/>
    </row>
    <row r="1398" spans="1:34" ht="14.25" customHeight="1" x14ac:dyDescent="0.25">
      <c r="A1398" s="3"/>
      <c r="B1398" s="3"/>
      <c r="C1398" s="3"/>
      <c r="D1398" s="3"/>
      <c r="E1398" s="3"/>
      <c r="F1398" s="3"/>
      <c r="G1398" s="14"/>
      <c r="H1398" s="11"/>
      <c r="I1398" s="12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14"/>
      <c r="Z1398" s="3"/>
      <c r="AA1398" s="3"/>
      <c r="AB1398" s="3"/>
      <c r="AC1398" s="3"/>
      <c r="AD1398" s="3"/>
      <c r="AE1398" s="3"/>
      <c r="AF1398" s="3"/>
      <c r="AG1398" s="3"/>
      <c r="AH1398" s="3"/>
    </row>
    <row r="1399" spans="1:34" ht="14.25" customHeight="1" x14ac:dyDescent="0.25">
      <c r="A1399" s="3"/>
      <c r="B1399" s="3"/>
      <c r="C1399" s="3"/>
      <c r="D1399" s="3"/>
      <c r="E1399" s="3"/>
      <c r="F1399" s="3"/>
      <c r="G1399" s="14"/>
      <c r="H1399" s="11"/>
      <c r="I1399" s="12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14"/>
      <c r="Z1399" s="3"/>
      <c r="AA1399" s="3"/>
      <c r="AB1399" s="3"/>
      <c r="AC1399" s="3"/>
      <c r="AD1399" s="3"/>
      <c r="AE1399" s="3"/>
      <c r="AF1399" s="3"/>
      <c r="AG1399" s="3"/>
      <c r="AH1399" s="3"/>
    </row>
    <row r="1400" spans="1:34" ht="14.25" customHeight="1" x14ac:dyDescent="0.25">
      <c r="A1400" s="3"/>
      <c r="B1400" s="3"/>
      <c r="C1400" s="3"/>
      <c r="D1400" s="3"/>
      <c r="E1400" s="3"/>
      <c r="F1400" s="3"/>
      <c r="G1400" s="14"/>
      <c r="H1400" s="11"/>
      <c r="I1400" s="12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14"/>
      <c r="Z1400" s="3"/>
      <c r="AA1400" s="3"/>
      <c r="AB1400" s="3"/>
      <c r="AC1400" s="3"/>
      <c r="AD1400" s="3"/>
      <c r="AE1400" s="3"/>
      <c r="AF1400" s="3"/>
      <c r="AG1400" s="3"/>
      <c r="AH1400" s="3"/>
    </row>
    <row r="1401" spans="1:34" ht="14.25" customHeight="1" x14ac:dyDescent="0.25">
      <c r="A1401" s="3"/>
      <c r="B1401" s="3"/>
      <c r="C1401" s="3"/>
      <c r="D1401" s="3"/>
      <c r="E1401" s="3"/>
      <c r="F1401" s="3"/>
      <c r="G1401" s="14"/>
      <c r="H1401" s="11"/>
      <c r="I1401" s="12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14"/>
      <c r="Z1401" s="3"/>
      <c r="AA1401" s="3"/>
      <c r="AB1401" s="3"/>
      <c r="AC1401" s="3"/>
      <c r="AD1401" s="3"/>
      <c r="AE1401" s="3"/>
      <c r="AF1401" s="3"/>
      <c r="AG1401" s="3"/>
      <c r="AH1401" s="3"/>
    </row>
    <row r="1402" spans="1:34" ht="14.25" customHeight="1" x14ac:dyDescent="0.25">
      <c r="A1402" s="3"/>
      <c r="B1402" s="3"/>
      <c r="C1402" s="3"/>
      <c r="D1402" s="3"/>
      <c r="E1402" s="3"/>
      <c r="F1402" s="3"/>
      <c r="G1402" s="14"/>
      <c r="H1402" s="11"/>
      <c r="I1402" s="12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14"/>
      <c r="Z1402" s="3"/>
      <c r="AA1402" s="3"/>
      <c r="AB1402" s="3"/>
      <c r="AC1402" s="3"/>
      <c r="AD1402" s="3"/>
      <c r="AE1402" s="3"/>
      <c r="AF1402" s="3"/>
      <c r="AG1402" s="3"/>
      <c r="AH1402" s="3"/>
    </row>
    <row r="1403" spans="1:34" ht="14.25" customHeight="1" x14ac:dyDescent="0.25">
      <c r="A1403" s="3"/>
      <c r="B1403" s="3"/>
      <c r="C1403" s="3"/>
      <c r="D1403" s="3"/>
      <c r="E1403" s="3"/>
      <c r="F1403" s="3"/>
      <c r="G1403" s="14"/>
      <c r="H1403" s="11"/>
      <c r="I1403" s="12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14"/>
      <c r="Z1403" s="3"/>
      <c r="AA1403" s="3"/>
      <c r="AB1403" s="3"/>
      <c r="AC1403" s="3"/>
      <c r="AD1403" s="3"/>
      <c r="AE1403" s="3"/>
      <c r="AF1403" s="3"/>
      <c r="AG1403" s="3"/>
      <c r="AH1403" s="3"/>
    </row>
    <row r="1404" spans="1:34" ht="14.25" customHeight="1" x14ac:dyDescent="0.25">
      <c r="A1404" s="3"/>
      <c r="B1404" s="3"/>
      <c r="C1404" s="3"/>
      <c r="D1404" s="3"/>
      <c r="E1404" s="3"/>
      <c r="F1404" s="3"/>
      <c r="G1404" s="3"/>
      <c r="H1404" s="11"/>
      <c r="I1404" s="12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14"/>
      <c r="Z1404" s="3"/>
      <c r="AA1404" s="3"/>
      <c r="AB1404" s="3"/>
      <c r="AC1404" s="3"/>
      <c r="AD1404" s="3"/>
      <c r="AE1404" s="3"/>
      <c r="AF1404" s="3"/>
      <c r="AG1404" s="3"/>
      <c r="AH1404" s="3"/>
    </row>
    <row r="1405" spans="1:34" ht="14.25" customHeight="1" x14ac:dyDescent="0.25">
      <c r="A1405" s="3"/>
      <c r="B1405" s="3"/>
      <c r="C1405" s="3"/>
      <c r="D1405" s="3"/>
      <c r="E1405" s="3"/>
      <c r="F1405" s="3"/>
      <c r="G1405" s="14"/>
      <c r="H1405" s="11"/>
      <c r="I1405" s="12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14"/>
      <c r="Z1405" s="3"/>
      <c r="AA1405" s="3"/>
      <c r="AB1405" s="3"/>
      <c r="AC1405" s="3"/>
      <c r="AD1405" s="3"/>
      <c r="AE1405" s="3"/>
      <c r="AF1405" s="3"/>
      <c r="AG1405" s="3"/>
      <c r="AH1405" s="3"/>
    </row>
    <row r="1406" spans="1:34" ht="14.25" customHeight="1" x14ac:dyDescent="0.25">
      <c r="A1406" s="3"/>
      <c r="B1406" s="3"/>
      <c r="C1406" s="3"/>
      <c r="D1406" s="3"/>
      <c r="E1406" s="3"/>
      <c r="F1406" s="3"/>
      <c r="G1406" s="3"/>
      <c r="H1406" s="11"/>
      <c r="I1406" s="12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14"/>
      <c r="Z1406" s="3"/>
      <c r="AA1406" s="3"/>
      <c r="AB1406" s="3"/>
      <c r="AC1406" s="3"/>
      <c r="AD1406" s="3"/>
      <c r="AE1406" s="3"/>
      <c r="AF1406" s="3"/>
      <c r="AG1406" s="3"/>
      <c r="AH1406" s="3"/>
    </row>
    <row r="1407" spans="1:34" ht="14.25" customHeight="1" x14ac:dyDescent="0.25">
      <c r="A1407" s="3"/>
      <c r="B1407" s="3"/>
      <c r="C1407" s="3"/>
      <c r="D1407" s="3"/>
      <c r="E1407" s="3"/>
      <c r="F1407" s="3"/>
      <c r="G1407" s="3"/>
      <c r="H1407" s="11"/>
      <c r="I1407" s="12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14"/>
      <c r="Z1407" s="3"/>
      <c r="AA1407" s="3"/>
      <c r="AB1407" s="3"/>
      <c r="AC1407" s="3"/>
      <c r="AD1407" s="3"/>
      <c r="AE1407" s="3"/>
      <c r="AF1407" s="3"/>
      <c r="AG1407" s="3"/>
      <c r="AH1407" s="3"/>
    </row>
    <row r="1408" spans="1:34" ht="14.25" customHeight="1" x14ac:dyDescent="0.25">
      <c r="A1408" s="3"/>
      <c r="B1408" s="3"/>
      <c r="C1408" s="3"/>
      <c r="D1408" s="3"/>
      <c r="E1408" s="3"/>
      <c r="F1408" s="3"/>
      <c r="G1408" s="3"/>
      <c r="H1408" s="11"/>
      <c r="I1408" s="12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14"/>
      <c r="Z1408" s="3"/>
      <c r="AA1408" s="3"/>
      <c r="AB1408" s="3"/>
      <c r="AC1408" s="3"/>
      <c r="AD1408" s="3"/>
      <c r="AE1408" s="3"/>
      <c r="AF1408" s="3"/>
      <c r="AG1408" s="3"/>
      <c r="AH1408" s="3"/>
    </row>
    <row r="1409" spans="1:34" ht="14.25" customHeight="1" x14ac:dyDescent="0.25">
      <c r="A1409" s="3"/>
      <c r="B1409" s="3"/>
      <c r="C1409" s="3"/>
      <c r="D1409" s="3"/>
      <c r="E1409" s="3"/>
      <c r="F1409" s="3"/>
      <c r="G1409" s="3"/>
      <c r="H1409" s="11"/>
      <c r="I1409" s="12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14"/>
      <c r="Z1409" s="3"/>
      <c r="AA1409" s="3"/>
      <c r="AB1409" s="3"/>
      <c r="AC1409" s="3"/>
      <c r="AD1409" s="3"/>
      <c r="AE1409" s="3"/>
      <c r="AF1409" s="3"/>
      <c r="AG1409" s="3"/>
      <c r="AH1409" s="3"/>
    </row>
    <row r="1410" spans="1:34" ht="14.25" customHeight="1" x14ac:dyDescent="0.25">
      <c r="A1410" s="3"/>
      <c r="B1410" s="3"/>
      <c r="C1410" s="3"/>
      <c r="D1410" s="3"/>
      <c r="E1410" s="3"/>
      <c r="F1410" s="3"/>
      <c r="G1410" s="3"/>
      <c r="H1410" s="11"/>
      <c r="I1410" s="12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14"/>
      <c r="Z1410" s="3"/>
      <c r="AA1410" s="3"/>
      <c r="AB1410" s="3"/>
      <c r="AC1410" s="3"/>
      <c r="AD1410" s="3"/>
      <c r="AE1410" s="3"/>
      <c r="AF1410" s="3"/>
      <c r="AG1410" s="3"/>
      <c r="AH1410" s="3"/>
    </row>
    <row r="1411" spans="1:34" ht="14.25" customHeight="1" x14ac:dyDescent="0.25">
      <c r="A1411" s="3"/>
      <c r="B1411" s="3"/>
      <c r="C1411" s="3"/>
      <c r="D1411" s="3"/>
      <c r="E1411" s="3"/>
      <c r="F1411" s="3"/>
      <c r="G1411" s="3"/>
      <c r="H1411" s="11"/>
      <c r="I1411" s="12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14"/>
      <c r="Z1411" s="3"/>
      <c r="AA1411" s="3"/>
      <c r="AB1411" s="3"/>
      <c r="AC1411" s="3"/>
      <c r="AD1411" s="3"/>
      <c r="AE1411" s="3"/>
      <c r="AF1411" s="3"/>
      <c r="AG1411" s="3"/>
      <c r="AH1411" s="3"/>
    </row>
    <row r="1412" spans="1:34" ht="14.25" customHeight="1" x14ac:dyDescent="0.25">
      <c r="A1412" s="3"/>
      <c r="B1412" s="3"/>
      <c r="C1412" s="3"/>
      <c r="D1412" s="3"/>
      <c r="E1412" s="3"/>
      <c r="F1412" s="3"/>
      <c r="G1412" s="3"/>
      <c r="H1412" s="11"/>
      <c r="I1412" s="12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14"/>
      <c r="Z1412" s="3"/>
      <c r="AA1412" s="3"/>
      <c r="AB1412" s="3"/>
      <c r="AC1412" s="3"/>
      <c r="AD1412" s="3"/>
      <c r="AE1412" s="3"/>
      <c r="AF1412" s="3"/>
      <c r="AG1412" s="3"/>
      <c r="AH1412" s="3"/>
    </row>
    <row r="1413" spans="1:34" ht="14.25" customHeight="1" x14ac:dyDescent="0.25">
      <c r="A1413" s="3"/>
      <c r="B1413" s="3"/>
      <c r="C1413" s="3"/>
      <c r="D1413" s="3"/>
      <c r="E1413" s="3"/>
      <c r="F1413" s="3"/>
      <c r="G1413" s="3"/>
      <c r="H1413" s="11"/>
      <c r="I1413" s="12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14"/>
      <c r="Z1413" s="3"/>
      <c r="AA1413" s="3"/>
      <c r="AB1413" s="3"/>
      <c r="AC1413" s="3"/>
      <c r="AD1413" s="3"/>
      <c r="AE1413" s="3"/>
      <c r="AF1413" s="3"/>
      <c r="AG1413" s="3"/>
      <c r="AH1413" s="3"/>
    </row>
    <row r="1414" spans="1:34" ht="14.25" customHeight="1" x14ac:dyDescent="0.25">
      <c r="A1414" s="3"/>
      <c r="B1414" s="3"/>
      <c r="C1414" s="3"/>
      <c r="D1414" s="3"/>
      <c r="E1414" s="3"/>
      <c r="F1414" s="3"/>
      <c r="G1414" s="3"/>
      <c r="H1414" s="11"/>
      <c r="I1414" s="12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14"/>
      <c r="Z1414" s="3"/>
      <c r="AA1414" s="3"/>
      <c r="AB1414" s="3"/>
      <c r="AC1414" s="3"/>
      <c r="AD1414" s="3"/>
      <c r="AE1414" s="3"/>
      <c r="AF1414" s="3"/>
      <c r="AG1414" s="3"/>
      <c r="AH1414" s="3"/>
    </row>
    <row r="1415" spans="1:34" ht="14.25" customHeight="1" x14ac:dyDescent="0.25">
      <c r="A1415" s="3"/>
      <c r="B1415" s="3"/>
      <c r="C1415" s="3"/>
      <c r="D1415" s="3"/>
      <c r="E1415" s="3"/>
      <c r="F1415" s="3"/>
      <c r="G1415" s="3"/>
      <c r="H1415" s="11"/>
      <c r="I1415" s="12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14"/>
      <c r="Z1415" s="3"/>
      <c r="AA1415" s="3"/>
      <c r="AB1415" s="3"/>
      <c r="AC1415" s="3"/>
      <c r="AD1415" s="3"/>
      <c r="AE1415" s="3"/>
      <c r="AF1415" s="3"/>
      <c r="AG1415" s="3"/>
      <c r="AH1415" s="3"/>
    </row>
    <row r="1416" spans="1:34" ht="14.25" customHeight="1" x14ac:dyDescent="0.25">
      <c r="A1416" s="3"/>
      <c r="B1416" s="3"/>
      <c r="C1416" s="3"/>
      <c r="D1416" s="3"/>
      <c r="E1416" s="3"/>
      <c r="F1416" s="3"/>
      <c r="G1416" s="3"/>
      <c r="H1416" s="11"/>
      <c r="I1416" s="12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14"/>
      <c r="Z1416" s="3"/>
      <c r="AA1416" s="3"/>
      <c r="AB1416" s="3"/>
      <c r="AC1416" s="3"/>
      <c r="AD1416" s="3"/>
      <c r="AE1416" s="3"/>
      <c r="AF1416" s="3"/>
      <c r="AG1416" s="3"/>
      <c r="AH1416" s="3"/>
    </row>
    <row r="1417" spans="1:34" ht="14.25" customHeight="1" x14ac:dyDescent="0.25">
      <c r="A1417" s="3"/>
      <c r="B1417" s="3"/>
      <c r="C1417" s="3"/>
      <c r="D1417" s="3"/>
      <c r="E1417" s="3"/>
      <c r="F1417" s="3"/>
      <c r="G1417" s="3"/>
      <c r="H1417" s="11"/>
      <c r="I1417" s="12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14"/>
      <c r="Z1417" s="3"/>
      <c r="AA1417" s="3"/>
      <c r="AB1417" s="3"/>
      <c r="AC1417" s="3"/>
      <c r="AD1417" s="3"/>
      <c r="AE1417" s="3"/>
      <c r="AF1417" s="3"/>
      <c r="AG1417" s="3"/>
      <c r="AH1417" s="3"/>
    </row>
    <row r="1418" spans="1:34" ht="14.25" customHeight="1" x14ac:dyDescent="0.25">
      <c r="A1418" s="3"/>
      <c r="B1418" s="3"/>
      <c r="C1418" s="3"/>
      <c r="D1418" s="3"/>
      <c r="E1418" s="3"/>
      <c r="F1418" s="3"/>
      <c r="G1418" s="3"/>
      <c r="H1418" s="11"/>
      <c r="I1418" s="12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14"/>
      <c r="Z1418" s="3"/>
      <c r="AA1418" s="3"/>
      <c r="AB1418" s="3"/>
      <c r="AC1418" s="3"/>
      <c r="AD1418" s="3"/>
      <c r="AE1418" s="3"/>
      <c r="AF1418" s="3"/>
      <c r="AG1418" s="3"/>
      <c r="AH1418" s="3"/>
    </row>
    <row r="1419" spans="1:34" ht="14.25" customHeight="1" x14ac:dyDescent="0.25">
      <c r="A1419" s="3"/>
      <c r="B1419" s="3"/>
      <c r="C1419" s="3"/>
      <c r="D1419" s="3"/>
      <c r="E1419" s="3"/>
      <c r="F1419" s="3"/>
      <c r="G1419" s="3"/>
      <c r="H1419" s="11"/>
      <c r="I1419" s="12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14"/>
      <c r="Z1419" s="3"/>
      <c r="AA1419" s="3"/>
      <c r="AB1419" s="3"/>
      <c r="AC1419" s="3"/>
      <c r="AD1419" s="3"/>
      <c r="AE1419" s="3"/>
      <c r="AF1419" s="3"/>
      <c r="AG1419" s="3"/>
      <c r="AH1419" s="3"/>
    </row>
    <row r="1420" spans="1:34" ht="14.25" customHeight="1" x14ac:dyDescent="0.25">
      <c r="A1420" s="3"/>
      <c r="B1420" s="3"/>
      <c r="C1420" s="3"/>
      <c r="D1420" s="3"/>
      <c r="E1420" s="3"/>
      <c r="F1420" s="3"/>
      <c r="G1420" s="3"/>
      <c r="H1420" s="11"/>
      <c r="I1420" s="12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14"/>
      <c r="Z1420" s="3"/>
      <c r="AA1420" s="3"/>
      <c r="AB1420" s="3"/>
      <c r="AC1420" s="3"/>
      <c r="AD1420" s="3"/>
      <c r="AE1420" s="3"/>
      <c r="AF1420" s="3"/>
      <c r="AG1420" s="3"/>
      <c r="AH1420" s="3"/>
    </row>
    <row r="1421" spans="1:34" ht="14.25" customHeight="1" x14ac:dyDescent="0.25">
      <c r="A1421" s="3"/>
      <c r="B1421" s="3"/>
      <c r="C1421" s="3"/>
      <c r="D1421" s="3"/>
      <c r="E1421" s="3"/>
      <c r="F1421" s="3"/>
      <c r="G1421" s="3"/>
      <c r="H1421" s="11"/>
      <c r="I1421" s="12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14"/>
      <c r="Z1421" s="3"/>
      <c r="AA1421" s="3"/>
      <c r="AB1421" s="3"/>
      <c r="AC1421" s="3"/>
      <c r="AD1421" s="3"/>
      <c r="AE1421" s="3"/>
      <c r="AF1421" s="3"/>
      <c r="AG1421" s="3"/>
      <c r="AH1421" s="3"/>
    </row>
    <row r="1422" spans="1:34" ht="14.25" customHeight="1" x14ac:dyDescent="0.25">
      <c r="A1422" s="3"/>
      <c r="B1422" s="3"/>
      <c r="C1422" s="3"/>
      <c r="D1422" s="3"/>
      <c r="E1422" s="3"/>
      <c r="F1422" s="3"/>
      <c r="G1422" s="3"/>
      <c r="H1422" s="11"/>
      <c r="I1422" s="12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14"/>
      <c r="Z1422" s="3"/>
      <c r="AA1422" s="3"/>
      <c r="AB1422" s="3"/>
      <c r="AC1422" s="3"/>
      <c r="AD1422" s="3"/>
      <c r="AE1422" s="3"/>
      <c r="AF1422" s="3"/>
      <c r="AG1422" s="3"/>
      <c r="AH1422" s="3"/>
    </row>
    <row r="1423" spans="1:34" ht="14.25" customHeight="1" x14ac:dyDescent="0.25">
      <c r="A1423" s="3"/>
      <c r="B1423" s="3"/>
      <c r="C1423" s="3"/>
      <c r="D1423" s="3"/>
      <c r="E1423" s="3"/>
      <c r="F1423" s="3"/>
      <c r="G1423" s="3"/>
      <c r="H1423" s="11"/>
      <c r="I1423" s="12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14"/>
      <c r="Z1423" s="3"/>
      <c r="AA1423" s="3"/>
      <c r="AB1423" s="3"/>
      <c r="AC1423" s="3"/>
      <c r="AD1423" s="3"/>
      <c r="AE1423" s="3"/>
      <c r="AF1423" s="3"/>
      <c r="AG1423" s="3"/>
      <c r="AH1423" s="3"/>
    </row>
    <row r="1424" spans="1:34" ht="14.25" customHeight="1" x14ac:dyDescent="0.25">
      <c r="A1424" s="3"/>
      <c r="B1424" s="3"/>
      <c r="C1424" s="3"/>
      <c r="D1424" s="3"/>
      <c r="E1424" s="3"/>
      <c r="F1424" s="3"/>
      <c r="G1424" s="3"/>
      <c r="H1424" s="11"/>
      <c r="I1424" s="12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14"/>
      <c r="Z1424" s="3"/>
      <c r="AA1424" s="3"/>
      <c r="AB1424" s="3"/>
      <c r="AC1424" s="3"/>
      <c r="AD1424" s="3"/>
      <c r="AE1424" s="3"/>
      <c r="AF1424" s="3"/>
      <c r="AG1424" s="3"/>
      <c r="AH1424" s="3"/>
    </row>
    <row r="1425" spans="1:34" ht="14.25" customHeight="1" x14ac:dyDescent="0.25">
      <c r="A1425" s="3"/>
      <c r="B1425" s="3"/>
      <c r="C1425" s="3"/>
      <c r="D1425" s="3"/>
      <c r="E1425" s="3"/>
      <c r="F1425" s="3"/>
      <c r="G1425" s="3"/>
      <c r="H1425" s="11"/>
      <c r="I1425" s="12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14"/>
      <c r="Z1425" s="3"/>
      <c r="AA1425" s="3"/>
      <c r="AB1425" s="3"/>
      <c r="AC1425" s="3"/>
      <c r="AD1425" s="3"/>
      <c r="AE1425" s="3"/>
      <c r="AF1425" s="3"/>
      <c r="AG1425" s="3"/>
      <c r="AH1425" s="3"/>
    </row>
    <row r="1426" spans="1:34" ht="14.25" customHeight="1" x14ac:dyDescent="0.25">
      <c r="A1426" s="3"/>
      <c r="B1426" s="3"/>
      <c r="C1426" s="3"/>
      <c r="D1426" s="3"/>
      <c r="E1426" s="3"/>
      <c r="F1426" s="3"/>
      <c r="G1426" s="3"/>
      <c r="H1426" s="11"/>
      <c r="I1426" s="12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14"/>
      <c r="Z1426" s="3"/>
      <c r="AA1426" s="3"/>
      <c r="AB1426" s="3"/>
      <c r="AC1426" s="3"/>
      <c r="AD1426" s="3"/>
      <c r="AE1426" s="3"/>
      <c r="AF1426" s="3"/>
      <c r="AG1426" s="3"/>
      <c r="AH1426" s="3"/>
    </row>
    <row r="1427" spans="1:34" ht="14.25" customHeight="1" x14ac:dyDescent="0.25">
      <c r="A1427" s="3"/>
      <c r="B1427" s="3"/>
      <c r="C1427" s="3"/>
      <c r="D1427" s="3"/>
      <c r="E1427" s="3"/>
      <c r="F1427" s="3"/>
      <c r="G1427" s="3"/>
      <c r="H1427" s="11"/>
      <c r="I1427" s="12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14"/>
      <c r="Z1427" s="3"/>
      <c r="AA1427" s="3"/>
      <c r="AB1427" s="3"/>
      <c r="AC1427" s="3"/>
      <c r="AD1427" s="3"/>
      <c r="AE1427" s="3"/>
      <c r="AF1427" s="3"/>
      <c r="AG1427" s="3"/>
      <c r="AH1427" s="3"/>
    </row>
    <row r="1428" spans="1:34" ht="14.25" customHeight="1" x14ac:dyDescent="0.25">
      <c r="A1428" s="3"/>
      <c r="B1428" s="3"/>
      <c r="C1428" s="3"/>
      <c r="D1428" s="3"/>
      <c r="E1428" s="3"/>
      <c r="F1428" s="3"/>
      <c r="G1428" s="3"/>
      <c r="H1428" s="11"/>
      <c r="I1428" s="12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14"/>
      <c r="Z1428" s="3"/>
      <c r="AA1428" s="3"/>
      <c r="AB1428" s="3"/>
      <c r="AC1428" s="3"/>
      <c r="AD1428" s="3"/>
      <c r="AE1428" s="3"/>
      <c r="AF1428" s="3"/>
      <c r="AG1428" s="3"/>
      <c r="AH1428" s="3"/>
    </row>
    <row r="1429" spans="1:34" ht="14.25" customHeight="1" x14ac:dyDescent="0.25">
      <c r="A1429" s="3"/>
      <c r="B1429" s="3"/>
      <c r="C1429" s="3"/>
      <c r="D1429" s="3"/>
      <c r="E1429" s="3"/>
      <c r="F1429" s="3"/>
      <c r="G1429" s="14"/>
      <c r="H1429" s="11"/>
      <c r="I1429" s="12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14"/>
      <c r="Z1429" s="3"/>
      <c r="AA1429" s="3"/>
      <c r="AB1429" s="3"/>
      <c r="AC1429" s="3"/>
      <c r="AD1429" s="3"/>
      <c r="AE1429" s="3"/>
      <c r="AF1429" s="3"/>
      <c r="AG1429" s="3"/>
      <c r="AH1429" s="3"/>
    </row>
    <row r="1430" spans="1:34" ht="14.25" customHeight="1" x14ac:dyDescent="0.25">
      <c r="A1430" s="3"/>
      <c r="B1430" s="3"/>
      <c r="C1430" s="3"/>
      <c r="D1430" s="3"/>
      <c r="E1430" s="3"/>
      <c r="F1430" s="3"/>
      <c r="G1430" s="14"/>
      <c r="H1430" s="11"/>
      <c r="I1430" s="12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14"/>
      <c r="Z1430" s="3"/>
      <c r="AA1430" s="3"/>
      <c r="AB1430" s="3"/>
      <c r="AC1430" s="3"/>
      <c r="AD1430" s="3"/>
      <c r="AE1430" s="3"/>
      <c r="AF1430" s="3"/>
      <c r="AG1430" s="3"/>
      <c r="AH1430" s="3"/>
    </row>
    <row r="1431" spans="1:34" ht="14.25" customHeight="1" x14ac:dyDescent="0.25">
      <c r="A1431" s="3"/>
      <c r="B1431" s="3"/>
      <c r="C1431" s="3"/>
      <c r="D1431" s="3"/>
      <c r="E1431" s="3"/>
      <c r="F1431" s="3"/>
      <c r="G1431" s="3"/>
      <c r="H1431" s="11"/>
      <c r="I1431" s="12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14"/>
      <c r="Z1431" s="3"/>
      <c r="AA1431" s="3"/>
      <c r="AB1431" s="3"/>
      <c r="AC1431" s="3"/>
      <c r="AD1431" s="3"/>
      <c r="AE1431" s="3"/>
      <c r="AF1431" s="3"/>
      <c r="AG1431" s="3"/>
      <c r="AH1431" s="3"/>
    </row>
    <row r="1432" spans="1:34" ht="14.25" customHeight="1" x14ac:dyDescent="0.25">
      <c r="A1432" s="3"/>
      <c r="B1432" s="3"/>
      <c r="C1432" s="3"/>
      <c r="D1432" s="3"/>
      <c r="E1432" s="3"/>
      <c r="F1432" s="3"/>
      <c r="G1432" s="3"/>
      <c r="H1432" s="11"/>
      <c r="I1432" s="12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14"/>
      <c r="Z1432" s="3"/>
      <c r="AA1432" s="3"/>
      <c r="AB1432" s="3"/>
      <c r="AC1432" s="3"/>
      <c r="AD1432" s="3"/>
      <c r="AE1432" s="3"/>
      <c r="AF1432" s="3"/>
      <c r="AG1432" s="3"/>
      <c r="AH1432" s="3"/>
    </row>
    <row r="1433" spans="1:34" ht="14.25" customHeight="1" x14ac:dyDescent="0.25">
      <c r="A1433" s="3"/>
      <c r="B1433" s="3"/>
      <c r="C1433" s="3"/>
      <c r="D1433" s="3"/>
      <c r="E1433" s="3"/>
      <c r="F1433" s="3"/>
      <c r="G1433" s="3"/>
      <c r="H1433" s="11"/>
      <c r="I1433" s="12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14"/>
      <c r="Z1433" s="3"/>
      <c r="AA1433" s="3"/>
      <c r="AB1433" s="3"/>
      <c r="AC1433" s="3"/>
      <c r="AD1433" s="3"/>
      <c r="AE1433" s="3"/>
      <c r="AF1433" s="3"/>
      <c r="AG1433" s="3"/>
      <c r="AH1433" s="3"/>
    </row>
    <row r="1434" spans="1:34" ht="14.25" customHeight="1" x14ac:dyDescent="0.25">
      <c r="A1434" s="3"/>
      <c r="B1434" s="3"/>
      <c r="C1434" s="3"/>
      <c r="D1434" s="3"/>
      <c r="E1434" s="3"/>
      <c r="F1434" s="3"/>
      <c r="G1434" s="3"/>
      <c r="H1434" s="11"/>
      <c r="I1434" s="12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14"/>
      <c r="Z1434" s="3"/>
      <c r="AA1434" s="3"/>
      <c r="AB1434" s="3"/>
      <c r="AC1434" s="3"/>
      <c r="AD1434" s="3"/>
      <c r="AE1434" s="3"/>
      <c r="AF1434" s="3"/>
      <c r="AG1434" s="3"/>
      <c r="AH1434" s="3"/>
    </row>
    <row r="1435" spans="1:34" ht="14.25" customHeight="1" x14ac:dyDescent="0.25">
      <c r="A1435" s="3"/>
      <c r="B1435" s="3"/>
      <c r="C1435" s="3"/>
      <c r="D1435" s="3"/>
      <c r="E1435" s="3"/>
      <c r="F1435" s="3"/>
      <c r="G1435" s="14"/>
      <c r="H1435" s="11"/>
      <c r="I1435" s="12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14"/>
      <c r="Z1435" s="3"/>
      <c r="AA1435" s="3"/>
      <c r="AB1435" s="3"/>
      <c r="AC1435" s="3"/>
      <c r="AD1435" s="3"/>
      <c r="AE1435" s="3"/>
      <c r="AF1435" s="3"/>
      <c r="AG1435" s="3"/>
      <c r="AH1435" s="3"/>
    </row>
    <row r="1436" spans="1:34" ht="14.25" customHeight="1" x14ac:dyDescent="0.25">
      <c r="A1436" s="3"/>
      <c r="B1436" s="3"/>
      <c r="C1436" s="3"/>
      <c r="D1436" s="3"/>
      <c r="E1436" s="3"/>
      <c r="F1436" s="3"/>
      <c r="G1436" s="14"/>
      <c r="H1436" s="11"/>
      <c r="I1436" s="12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14"/>
      <c r="Z1436" s="3"/>
      <c r="AA1436" s="3"/>
      <c r="AB1436" s="3"/>
      <c r="AC1436" s="3"/>
      <c r="AD1436" s="3"/>
      <c r="AE1436" s="3"/>
      <c r="AF1436" s="3"/>
      <c r="AG1436" s="3"/>
      <c r="AH1436" s="3"/>
    </row>
    <row r="1437" spans="1:34" ht="14.25" customHeight="1" x14ac:dyDescent="0.25">
      <c r="A1437" s="3"/>
      <c r="B1437" s="3"/>
      <c r="C1437" s="3"/>
      <c r="D1437" s="3"/>
      <c r="E1437" s="3"/>
      <c r="F1437" s="3"/>
      <c r="G1437" s="14"/>
      <c r="H1437" s="11"/>
      <c r="I1437" s="12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14"/>
      <c r="Z1437" s="3"/>
      <c r="AA1437" s="3"/>
      <c r="AB1437" s="3"/>
      <c r="AC1437" s="3"/>
      <c r="AD1437" s="3"/>
      <c r="AE1437" s="3"/>
      <c r="AF1437" s="3"/>
      <c r="AG1437" s="3"/>
      <c r="AH1437" s="3"/>
    </row>
    <row r="1438" spans="1:34" ht="14.25" customHeight="1" x14ac:dyDescent="0.25">
      <c r="A1438" s="3"/>
      <c r="B1438" s="3"/>
      <c r="C1438" s="3"/>
      <c r="D1438" s="3"/>
      <c r="E1438" s="3"/>
      <c r="F1438" s="3"/>
      <c r="G1438" s="3"/>
      <c r="H1438" s="11"/>
      <c r="I1438" s="12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14"/>
      <c r="Z1438" s="3"/>
      <c r="AA1438" s="3"/>
      <c r="AB1438" s="3"/>
      <c r="AC1438" s="3"/>
      <c r="AD1438" s="3"/>
      <c r="AE1438" s="3"/>
      <c r="AF1438" s="3"/>
      <c r="AG1438" s="3"/>
      <c r="AH1438" s="3"/>
    </row>
    <row r="1439" spans="1:34" ht="14.25" customHeight="1" x14ac:dyDescent="0.25">
      <c r="A1439" s="3"/>
      <c r="B1439" s="3"/>
      <c r="C1439" s="3"/>
      <c r="D1439" s="3"/>
      <c r="E1439" s="3"/>
      <c r="F1439" s="3"/>
      <c r="G1439" s="14"/>
      <c r="H1439" s="11"/>
      <c r="I1439" s="12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14"/>
      <c r="Z1439" s="3"/>
      <c r="AA1439" s="3"/>
      <c r="AB1439" s="3"/>
      <c r="AC1439" s="3"/>
      <c r="AD1439" s="3"/>
      <c r="AE1439" s="3"/>
      <c r="AF1439" s="3"/>
      <c r="AG1439" s="3"/>
      <c r="AH1439" s="3"/>
    </row>
    <row r="1440" spans="1:34" ht="14.25" customHeight="1" x14ac:dyDescent="0.25">
      <c r="A1440" s="3"/>
      <c r="B1440" s="3"/>
      <c r="C1440" s="3"/>
      <c r="D1440" s="3"/>
      <c r="E1440" s="3"/>
      <c r="F1440" s="3"/>
      <c r="G1440" s="14"/>
      <c r="H1440" s="11"/>
      <c r="I1440" s="12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14"/>
      <c r="Z1440" s="3"/>
      <c r="AA1440" s="3"/>
      <c r="AB1440" s="3"/>
      <c r="AC1440" s="3"/>
      <c r="AD1440" s="3"/>
      <c r="AE1440" s="3"/>
      <c r="AF1440" s="3"/>
      <c r="AG1440" s="3"/>
      <c r="AH1440" s="3"/>
    </row>
    <row r="1441" spans="1:34" ht="14.25" customHeight="1" x14ac:dyDescent="0.25">
      <c r="A1441" s="3"/>
      <c r="B1441" s="3"/>
      <c r="C1441" s="3"/>
      <c r="D1441" s="3"/>
      <c r="E1441" s="3"/>
      <c r="F1441" s="3"/>
      <c r="G1441" s="14"/>
      <c r="H1441" s="11"/>
      <c r="I1441" s="12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14"/>
      <c r="Z1441" s="3"/>
      <c r="AA1441" s="3"/>
      <c r="AB1441" s="3"/>
      <c r="AC1441" s="3"/>
      <c r="AD1441" s="3"/>
      <c r="AE1441" s="3"/>
      <c r="AF1441" s="3"/>
      <c r="AG1441" s="3"/>
      <c r="AH1441" s="3"/>
    </row>
    <row r="1442" spans="1:34" ht="14.25" customHeight="1" x14ac:dyDescent="0.25">
      <c r="A1442" s="3"/>
      <c r="B1442" s="3"/>
      <c r="C1442" s="3"/>
      <c r="D1442" s="3"/>
      <c r="E1442" s="3"/>
      <c r="F1442" s="3"/>
      <c r="G1442" s="14"/>
      <c r="H1442" s="11"/>
      <c r="I1442" s="12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14"/>
      <c r="Z1442" s="3"/>
      <c r="AA1442" s="3"/>
      <c r="AB1442" s="3"/>
      <c r="AC1442" s="3"/>
      <c r="AD1442" s="3"/>
      <c r="AE1442" s="3"/>
      <c r="AF1442" s="3"/>
      <c r="AG1442" s="3"/>
      <c r="AH1442" s="3"/>
    </row>
    <row r="1443" spans="1:34" ht="14.25" customHeight="1" x14ac:dyDescent="0.25">
      <c r="A1443" s="3"/>
      <c r="B1443" s="3"/>
      <c r="C1443" s="3"/>
      <c r="D1443" s="3"/>
      <c r="E1443" s="3"/>
      <c r="F1443" s="3"/>
      <c r="G1443" s="14"/>
      <c r="H1443" s="11"/>
      <c r="I1443" s="12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14"/>
      <c r="Z1443" s="3"/>
      <c r="AA1443" s="3"/>
      <c r="AB1443" s="3"/>
      <c r="AC1443" s="3"/>
      <c r="AD1443" s="3"/>
      <c r="AE1443" s="3"/>
      <c r="AF1443" s="3"/>
      <c r="AG1443" s="3"/>
      <c r="AH1443" s="3"/>
    </row>
    <row r="1444" spans="1:34" ht="14.25" customHeight="1" x14ac:dyDescent="0.25">
      <c r="A1444" s="3"/>
      <c r="B1444" s="3"/>
      <c r="C1444" s="3"/>
      <c r="D1444" s="3"/>
      <c r="E1444" s="3"/>
      <c r="F1444" s="3"/>
      <c r="G1444" s="14"/>
      <c r="H1444" s="11"/>
      <c r="I1444" s="12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14"/>
      <c r="Z1444" s="3"/>
      <c r="AA1444" s="3"/>
      <c r="AB1444" s="3"/>
      <c r="AC1444" s="3"/>
      <c r="AD1444" s="3"/>
      <c r="AE1444" s="3"/>
      <c r="AF1444" s="3"/>
      <c r="AG1444" s="3"/>
      <c r="AH1444" s="3"/>
    </row>
    <row r="1445" spans="1:34" ht="14.25" customHeight="1" x14ac:dyDescent="0.25">
      <c r="A1445" s="3"/>
      <c r="B1445" s="3"/>
      <c r="C1445" s="3"/>
      <c r="D1445" s="3"/>
      <c r="E1445" s="3"/>
      <c r="F1445" s="3"/>
      <c r="G1445" s="14"/>
      <c r="H1445" s="11"/>
      <c r="I1445" s="12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14"/>
      <c r="Z1445" s="3"/>
      <c r="AA1445" s="3"/>
      <c r="AB1445" s="3"/>
      <c r="AC1445" s="3"/>
      <c r="AD1445" s="3"/>
      <c r="AE1445" s="3"/>
      <c r="AF1445" s="3"/>
      <c r="AG1445" s="3"/>
      <c r="AH1445" s="3"/>
    </row>
    <row r="1446" spans="1:34" ht="14.25" customHeight="1" x14ac:dyDescent="0.25">
      <c r="A1446" s="3"/>
      <c r="B1446" s="3"/>
      <c r="C1446" s="3"/>
      <c r="D1446" s="3"/>
      <c r="E1446" s="3"/>
      <c r="F1446" s="3"/>
      <c r="G1446" s="14"/>
      <c r="H1446" s="11"/>
      <c r="I1446" s="12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14"/>
      <c r="Z1446" s="3"/>
      <c r="AA1446" s="3"/>
      <c r="AB1446" s="3"/>
      <c r="AC1446" s="3"/>
      <c r="AD1446" s="3"/>
      <c r="AE1446" s="3"/>
      <c r="AF1446" s="3"/>
      <c r="AG1446" s="3"/>
      <c r="AH1446" s="3"/>
    </row>
    <row r="1447" spans="1:34" ht="14.25" customHeight="1" x14ac:dyDescent="0.25">
      <c r="A1447" s="3"/>
      <c r="B1447" s="3"/>
      <c r="C1447" s="3"/>
      <c r="D1447" s="3"/>
      <c r="E1447" s="3"/>
      <c r="F1447" s="3"/>
      <c r="G1447" s="14"/>
      <c r="H1447" s="11"/>
      <c r="I1447" s="12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14"/>
      <c r="Z1447" s="3"/>
      <c r="AA1447" s="3"/>
      <c r="AB1447" s="3"/>
      <c r="AC1447" s="3"/>
      <c r="AD1447" s="3"/>
      <c r="AE1447" s="3"/>
      <c r="AF1447" s="3"/>
      <c r="AG1447" s="3"/>
      <c r="AH1447" s="3"/>
    </row>
    <row r="1448" spans="1:34" ht="14.25" customHeight="1" x14ac:dyDescent="0.25">
      <c r="A1448" s="3"/>
      <c r="B1448" s="3"/>
      <c r="C1448" s="3"/>
      <c r="D1448" s="3"/>
      <c r="E1448" s="3"/>
      <c r="F1448" s="3"/>
      <c r="G1448" s="14"/>
      <c r="H1448" s="11"/>
      <c r="I1448" s="12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14"/>
      <c r="Z1448" s="3"/>
      <c r="AA1448" s="3"/>
      <c r="AB1448" s="3"/>
      <c r="AC1448" s="3"/>
      <c r="AD1448" s="3"/>
      <c r="AE1448" s="3"/>
      <c r="AF1448" s="3"/>
      <c r="AG1448" s="3"/>
      <c r="AH1448" s="3"/>
    </row>
    <row r="1449" spans="1:34" ht="14.25" customHeight="1" x14ac:dyDescent="0.25">
      <c r="A1449" s="3"/>
      <c r="B1449" s="3"/>
      <c r="C1449" s="3"/>
      <c r="D1449" s="3"/>
      <c r="E1449" s="3"/>
      <c r="F1449" s="3"/>
      <c r="G1449" s="14"/>
      <c r="H1449" s="11"/>
      <c r="I1449" s="12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14"/>
      <c r="Z1449" s="3"/>
      <c r="AA1449" s="3"/>
      <c r="AB1449" s="3"/>
      <c r="AC1449" s="3"/>
      <c r="AD1449" s="3"/>
      <c r="AE1449" s="3"/>
      <c r="AF1449" s="3"/>
      <c r="AG1449" s="3"/>
      <c r="AH1449" s="3"/>
    </row>
    <row r="1450" spans="1:34" ht="14.25" customHeight="1" x14ac:dyDescent="0.25">
      <c r="A1450" s="3"/>
      <c r="B1450" s="3"/>
      <c r="C1450" s="3"/>
      <c r="D1450" s="3"/>
      <c r="E1450" s="3"/>
      <c r="F1450" s="3"/>
      <c r="G1450" s="3"/>
      <c r="H1450" s="11"/>
      <c r="I1450" s="12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14"/>
      <c r="Z1450" s="3"/>
      <c r="AA1450" s="3"/>
      <c r="AB1450" s="3"/>
      <c r="AC1450" s="3"/>
      <c r="AD1450" s="3"/>
      <c r="AE1450" s="3"/>
      <c r="AF1450" s="3"/>
      <c r="AG1450" s="3"/>
      <c r="AH1450" s="3"/>
    </row>
    <row r="1451" spans="1:34" ht="14.25" customHeight="1" x14ac:dyDescent="0.25">
      <c r="A1451" s="3"/>
      <c r="B1451" s="3"/>
      <c r="C1451" s="3"/>
      <c r="D1451" s="3"/>
      <c r="E1451" s="3"/>
      <c r="F1451" s="3"/>
      <c r="G1451" s="3"/>
      <c r="H1451" s="11"/>
      <c r="I1451" s="12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14"/>
      <c r="Z1451" s="3"/>
      <c r="AA1451" s="3"/>
      <c r="AB1451" s="3"/>
      <c r="AC1451" s="3"/>
      <c r="AD1451" s="3"/>
      <c r="AE1451" s="3"/>
      <c r="AF1451" s="3"/>
      <c r="AG1451" s="3"/>
      <c r="AH1451" s="3"/>
    </row>
    <row r="1452" spans="1:34" ht="14.25" customHeight="1" x14ac:dyDescent="0.25">
      <c r="A1452" s="3"/>
      <c r="B1452" s="3"/>
      <c r="C1452" s="3"/>
      <c r="D1452" s="3"/>
      <c r="E1452" s="3"/>
      <c r="F1452" s="3"/>
      <c r="G1452" s="3"/>
      <c r="H1452" s="11"/>
      <c r="I1452" s="12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14"/>
      <c r="Z1452" s="3"/>
      <c r="AA1452" s="3"/>
      <c r="AB1452" s="3"/>
      <c r="AC1452" s="3"/>
      <c r="AD1452" s="3"/>
      <c r="AE1452" s="3"/>
      <c r="AF1452" s="3"/>
      <c r="AG1452" s="3"/>
      <c r="AH1452" s="3"/>
    </row>
    <row r="1453" spans="1:34" ht="14.25" customHeight="1" x14ac:dyDescent="0.25">
      <c r="A1453" s="3"/>
      <c r="B1453" s="3"/>
      <c r="C1453" s="3"/>
      <c r="D1453" s="3"/>
      <c r="E1453" s="3"/>
      <c r="F1453" s="3"/>
      <c r="G1453" s="3"/>
      <c r="H1453" s="11"/>
      <c r="I1453" s="12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14"/>
      <c r="Z1453" s="3"/>
      <c r="AA1453" s="3"/>
      <c r="AB1453" s="3"/>
      <c r="AC1453" s="3"/>
      <c r="AD1453" s="3"/>
      <c r="AE1453" s="3"/>
      <c r="AF1453" s="3"/>
      <c r="AG1453" s="3"/>
      <c r="AH1453" s="3"/>
    </row>
    <row r="1454" spans="1:34" ht="14.25" customHeight="1" x14ac:dyDescent="0.25">
      <c r="A1454" s="3"/>
      <c r="B1454" s="3"/>
      <c r="C1454" s="3"/>
      <c r="D1454" s="3"/>
      <c r="E1454" s="3"/>
      <c r="F1454" s="3"/>
      <c r="G1454" s="3"/>
      <c r="H1454" s="11"/>
      <c r="I1454" s="12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14"/>
      <c r="Z1454" s="3"/>
      <c r="AA1454" s="3"/>
      <c r="AB1454" s="3"/>
      <c r="AC1454" s="3"/>
      <c r="AD1454" s="3"/>
      <c r="AE1454" s="3"/>
      <c r="AF1454" s="3"/>
      <c r="AG1454" s="3"/>
      <c r="AH1454" s="3"/>
    </row>
    <row r="1455" spans="1:34" ht="14.25" customHeight="1" x14ac:dyDescent="0.25">
      <c r="A1455" s="3"/>
      <c r="B1455" s="3"/>
      <c r="C1455" s="3"/>
      <c r="D1455" s="3"/>
      <c r="E1455" s="3"/>
      <c r="F1455" s="3"/>
      <c r="G1455" s="3"/>
      <c r="H1455" s="11"/>
      <c r="I1455" s="12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14"/>
      <c r="Z1455" s="3"/>
      <c r="AA1455" s="3"/>
      <c r="AB1455" s="3"/>
      <c r="AC1455" s="3"/>
      <c r="AD1455" s="3"/>
      <c r="AE1455" s="3"/>
      <c r="AF1455" s="3"/>
      <c r="AG1455" s="3"/>
      <c r="AH1455" s="3"/>
    </row>
    <row r="1456" spans="1:34" ht="14.25" customHeight="1" x14ac:dyDescent="0.25">
      <c r="A1456" s="3"/>
      <c r="B1456" s="3"/>
      <c r="C1456" s="3"/>
      <c r="D1456" s="3"/>
      <c r="E1456" s="3"/>
      <c r="F1456" s="3"/>
      <c r="G1456" s="3"/>
      <c r="H1456" s="11"/>
      <c r="I1456" s="12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14"/>
      <c r="Z1456" s="3"/>
      <c r="AA1456" s="3"/>
      <c r="AB1456" s="3"/>
      <c r="AC1456" s="3"/>
      <c r="AD1456" s="3"/>
      <c r="AE1456" s="3"/>
      <c r="AF1456" s="3"/>
      <c r="AG1456" s="3"/>
      <c r="AH1456" s="3"/>
    </row>
    <row r="1457" spans="1:34" ht="14.25" customHeight="1" x14ac:dyDescent="0.25">
      <c r="A1457" s="3"/>
      <c r="B1457" s="3"/>
      <c r="C1457" s="3"/>
      <c r="D1457" s="3"/>
      <c r="E1457" s="3"/>
      <c r="F1457" s="3"/>
      <c r="G1457" s="3"/>
      <c r="H1457" s="11"/>
      <c r="I1457" s="12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14"/>
      <c r="Z1457" s="3"/>
      <c r="AA1457" s="3"/>
      <c r="AB1457" s="3"/>
      <c r="AC1457" s="3"/>
      <c r="AD1457" s="3"/>
      <c r="AE1457" s="3"/>
      <c r="AF1457" s="3"/>
      <c r="AG1457" s="3"/>
      <c r="AH1457" s="3"/>
    </row>
    <row r="1458" spans="1:34" ht="14.25" customHeight="1" x14ac:dyDescent="0.25">
      <c r="A1458" s="3"/>
      <c r="B1458" s="3"/>
      <c r="C1458" s="3"/>
      <c r="D1458" s="3"/>
      <c r="E1458" s="3"/>
      <c r="F1458" s="3"/>
      <c r="G1458" s="3"/>
      <c r="H1458" s="11"/>
      <c r="I1458" s="12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14"/>
      <c r="Z1458" s="3"/>
      <c r="AA1458" s="3"/>
      <c r="AB1458" s="3"/>
      <c r="AC1458" s="3"/>
      <c r="AD1458" s="3"/>
      <c r="AE1458" s="3"/>
      <c r="AF1458" s="3"/>
      <c r="AG1458" s="3"/>
      <c r="AH1458" s="3"/>
    </row>
    <row r="1459" spans="1:34" ht="14.25" customHeight="1" x14ac:dyDescent="0.25">
      <c r="A1459" s="3"/>
      <c r="B1459" s="3"/>
      <c r="C1459" s="3"/>
      <c r="D1459" s="3"/>
      <c r="E1459" s="3"/>
      <c r="F1459" s="3"/>
      <c r="G1459" s="3"/>
      <c r="H1459" s="11"/>
      <c r="I1459" s="12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14"/>
      <c r="Z1459" s="3"/>
      <c r="AA1459" s="3"/>
      <c r="AB1459" s="3"/>
      <c r="AC1459" s="3"/>
      <c r="AD1459" s="3"/>
      <c r="AE1459" s="3"/>
      <c r="AF1459" s="3"/>
      <c r="AG1459" s="3"/>
      <c r="AH1459" s="3"/>
    </row>
    <row r="1460" spans="1:34" ht="14.25" customHeight="1" x14ac:dyDescent="0.25">
      <c r="A1460" s="3"/>
      <c r="B1460" s="3"/>
      <c r="C1460" s="3"/>
      <c r="D1460" s="3"/>
      <c r="E1460" s="3"/>
      <c r="F1460" s="3"/>
      <c r="G1460" s="3"/>
      <c r="H1460" s="11"/>
      <c r="I1460" s="12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14"/>
      <c r="Z1460" s="3"/>
      <c r="AA1460" s="3"/>
      <c r="AB1460" s="3"/>
      <c r="AC1460" s="3"/>
      <c r="AD1460" s="3"/>
      <c r="AE1460" s="3"/>
      <c r="AF1460" s="3"/>
      <c r="AG1460" s="3"/>
      <c r="AH1460" s="3"/>
    </row>
    <row r="1461" spans="1:34" ht="14.25" customHeight="1" x14ac:dyDescent="0.25">
      <c r="A1461" s="3"/>
      <c r="B1461" s="3"/>
      <c r="C1461" s="3"/>
      <c r="D1461" s="3"/>
      <c r="E1461" s="3"/>
      <c r="F1461" s="3"/>
      <c r="G1461" s="3"/>
      <c r="H1461" s="11"/>
      <c r="I1461" s="12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14"/>
      <c r="Z1461" s="3"/>
      <c r="AA1461" s="3"/>
      <c r="AB1461" s="3"/>
      <c r="AC1461" s="3"/>
      <c r="AD1461" s="3"/>
      <c r="AE1461" s="3"/>
      <c r="AF1461" s="3"/>
      <c r="AG1461" s="3"/>
      <c r="AH1461" s="3"/>
    </row>
    <row r="1462" spans="1:34" ht="14.25" customHeight="1" x14ac:dyDescent="0.25">
      <c r="A1462" s="3"/>
      <c r="B1462" s="3"/>
      <c r="C1462" s="3"/>
      <c r="D1462" s="3"/>
      <c r="E1462" s="3"/>
      <c r="F1462" s="3"/>
      <c r="G1462" s="3"/>
      <c r="H1462" s="11"/>
      <c r="I1462" s="12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14"/>
      <c r="Z1462" s="3"/>
      <c r="AA1462" s="3"/>
      <c r="AB1462" s="3"/>
      <c r="AC1462" s="3"/>
      <c r="AD1462" s="3"/>
      <c r="AE1462" s="3"/>
      <c r="AF1462" s="3"/>
      <c r="AG1462" s="3"/>
      <c r="AH1462" s="3"/>
    </row>
    <row r="1463" spans="1:34" ht="14.25" customHeight="1" x14ac:dyDescent="0.25">
      <c r="A1463" s="3"/>
      <c r="B1463" s="3"/>
      <c r="C1463" s="3"/>
      <c r="D1463" s="3"/>
      <c r="E1463" s="3"/>
      <c r="F1463" s="3"/>
      <c r="G1463" s="3"/>
      <c r="H1463" s="11"/>
      <c r="I1463" s="12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14"/>
      <c r="Z1463" s="3"/>
      <c r="AA1463" s="3"/>
      <c r="AB1463" s="3"/>
      <c r="AC1463" s="3"/>
      <c r="AD1463" s="3"/>
      <c r="AE1463" s="3"/>
      <c r="AF1463" s="3"/>
      <c r="AG1463" s="3"/>
      <c r="AH1463" s="3"/>
    </row>
    <row r="1464" spans="1:34" ht="14.25" customHeight="1" x14ac:dyDescent="0.25">
      <c r="A1464" s="3"/>
      <c r="B1464" s="3"/>
      <c r="C1464" s="3"/>
      <c r="D1464" s="3"/>
      <c r="E1464" s="3"/>
      <c r="F1464" s="3"/>
      <c r="G1464" s="3"/>
      <c r="H1464" s="11"/>
      <c r="I1464" s="12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14"/>
      <c r="Z1464" s="3"/>
      <c r="AA1464" s="3"/>
      <c r="AB1464" s="3"/>
      <c r="AC1464" s="3"/>
      <c r="AD1464" s="3"/>
      <c r="AE1464" s="3"/>
      <c r="AF1464" s="3"/>
      <c r="AG1464" s="3"/>
      <c r="AH1464" s="3"/>
    </row>
    <row r="1465" spans="1:34" ht="14.25" customHeight="1" x14ac:dyDescent="0.25">
      <c r="A1465" s="3"/>
      <c r="B1465" s="3"/>
      <c r="C1465" s="3"/>
      <c r="D1465" s="3"/>
      <c r="E1465" s="3"/>
      <c r="F1465" s="3"/>
      <c r="G1465" s="3"/>
      <c r="H1465" s="11"/>
      <c r="I1465" s="12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14"/>
      <c r="Z1465" s="3"/>
      <c r="AA1465" s="3"/>
      <c r="AB1465" s="3"/>
      <c r="AC1465" s="3"/>
      <c r="AD1465" s="3"/>
      <c r="AE1465" s="3"/>
      <c r="AF1465" s="3"/>
      <c r="AG1465" s="3"/>
      <c r="AH1465" s="3"/>
    </row>
    <row r="1466" spans="1:34" ht="14.25" customHeight="1" x14ac:dyDescent="0.25">
      <c r="A1466" s="3"/>
      <c r="B1466" s="3"/>
      <c r="C1466" s="3"/>
      <c r="D1466" s="3"/>
      <c r="E1466" s="3"/>
      <c r="F1466" s="3"/>
      <c r="G1466" s="3"/>
      <c r="H1466" s="11"/>
      <c r="I1466" s="12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14"/>
      <c r="Z1466" s="3"/>
      <c r="AA1466" s="3"/>
      <c r="AB1466" s="3"/>
      <c r="AC1466" s="3"/>
      <c r="AD1466" s="3"/>
      <c r="AE1466" s="3"/>
      <c r="AF1466" s="3"/>
      <c r="AG1466" s="3"/>
      <c r="AH1466" s="3"/>
    </row>
    <row r="1467" spans="1:34" ht="14.25" customHeight="1" x14ac:dyDescent="0.25">
      <c r="A1467" s="3"/>
      <c r="B1467" s="3"/>
      <c r="C1467" s="3"/>
      <c r="D1467" s="3"/>
      <c r="E1467" s="3"/>
      <c r="F1467" s="3"/>
      <c r="G1467" s="3"/>
      <c r="H1467" s="11"/>
      <c r="I1467" s="12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14"/>
      <c r="Z1467" s="3"/>
      <c r="AA1467" s="3"/>
      <c r="AB1467" s="3"/>
      <c r="AC1467" s="3"/>
      <c r="AD1467" s="3"/>
      <c r="AE1467" s="3"/>
      <c r="AF1467" s="3"/>
      <c r="AG1467" s="3"/>
      <c r="AH1467" s="3"/>
    </row>
    <row r="1468" spans="1:34" ht="14.25" customHeight="1" x14ac:dyDescent="0.25">
      <c r="A1468" s="3"/>
      <c r="B1468" s="3"/>
      <c r="C1468" s="3"/>
      <c r="D1468" s="3"/>
      <c r="E1468" s="3"/>
      <c r="F1468" s="3"/>
      <c r="G1468" s="3"/>
      <c r="H1468" s="11"/>
      <c r="I1468" s="12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14"/>
      <c r="Z1468" s="3"/>
      <c r="AA1468" s="3"/>
      <c r="AB1468" s="3"/>
      <c r="AC1468" s="3"/>
      <c r="AD1468" s="3"/>
      <c r="AE1468" s="3"/>
      <c r="AF1468" s="3"/>
      <c r="AG1468" s="3"/>
      <c r="AH1468" s="3"/>
    </row>
    <row r="1469" spans="1:34" ht="14.25" customHeight="1" x14ac:dyDescent="0.25">
      <c r="A1469" s="3"/>
      <c r="B1469" s="3"/>
      <c r="C1469" s="3"/>
      <c r="D1469" s="3"/>
      <c r="E1469" s="3"/>
      <c r="F1469" s="3"/>
      <c r="G1469" s="3"/>
      <c r="H1469" s="11"/>
      <c r="I1469" s="12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14"/>
      <c r="Z1469" s="3"/>
      <c r="AA1469" s="3"/>
      <c r="AB1469" s="3"/>
      <c r="AC1469" s="3"/>
      <c r="AD1469" s="3"/>
      <c r="AE1469" s="3"/>
      <c r="AF1469" s="3"/>
      <c r="AG1469" s="3"/>
      <c r="AH1469" s="3"/>
    </row>
    <row r="1470" spans="1:34" ht="14.25" customHeight="1" x14ac:dyDescent="0.25">
      <c r="A1470" s="3"/>
      <c r="B1470" s="3"/>
      <c r="C1470" s="3"/>
      <c r="D1470" s="3"/>
      <c r="E1470" s="3"/>
      <c r="F1470" s="3"/>
      <c r="G1470" s="3"/>
      <c r="H1470" s="11"/>
      <c r="I1470" s="12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14"/>
      <c r="Z1470" s="3"/>
      <c r="AA1470" s="3"/>
      <c r="AB1470" s="3"/>
      <c r="AC1470" s="3"/>
      <c r="AD1470" s="3"/>
      <c r="AE1470" s="3"/>
      <c r="AF1470" s="3"/>
      <c r="AG1470" s="3"/>
      <c r="AH1470" s="3"/>
    </row>
    <row r="1471" spans="1:34" ht="14.25" customHeight="1" x14ac:dyDescent="0.25">
      <c r="A1471" s="3"/>
      <c r="B1471" s="3"/>
      <c r="C1471" s="3"/>
      <c r="D1471" s="3"/>
      <c r="E1471" s="3"/>
      <c r="F1471" s="3"/>
      <c r="G1471" s="3"/>
      <c r="H1471" s="11"/>
      <c r="I1471" s="12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14"/>
      <c r="Z1471" s="3"/>
      <c r="AA1471" s="3"/>
      <c r="AB1471" s="3"/>
      <c r="AC1471" s="3"/>
      <c r="AD1471" s="3"/>
      <c r="AE1471" s="3"/>
      <c r="AF1471" s="3"/>
      <c r="AG1471" s="3"/>
      <c r="AH1471" s="3"/>
    </row>
    <row r="1472" spans="1:34" ht="14.25" customHeight="1" x14ac:dyDescent="0.25">
      <c r="A1472" s="3"/>
      <c r="B1472" s="3"/>
      <c r="C1472" s="3"/>
      <c r="D1472" s="3"/>
      <c r="E1472" s="3"/>
      <c r="F1472" s="3"/>
      <c r="G1472" s="3"/>
      <c r="H1472" s="11"/>
      <c r="I1472" s="12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14"/>
      <c r="Z1472" s="3"/>
      <c r="AA1472" s="3"/>
      <c r="AB1472" s="3"/>
      <c r="AC1472" s="3"/>
      <c r="AD1472" s="3"/>
      <c r="AE1472" s="3"/>
      <c r="AF1472" s="3"/>
      <c r="AG1472" s="3"/>
      <c r="AH1472" s="3"/>
    </row>
    <row r="1473" spans="1:34" ht="14.25" customHeight="1" x14ac:dyDescent="0.25">
      <c r="A1473" s="3"/>
      <c r="B1473" s="3"/>
      <c r="C1473" s="3"/>
      <c r="D1473" s="3"/>
      <c r="E1473" s="3"/>
      <c r="F1473" s="3"/>
      <c r="G1473" s="3"/>
      <c r="H1473" s="11"/>
      <c r="I1473" s="12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14"/>
      <c r="Z1473" s="3"/>
      <c r="AA1473" s="3"/>
      <c r="AB1473" s="3"/>
      <c r="AC1473" s="3"/>
      <c r="AD1473" s="3"/>
      <c r="AE1473" s="3"/>
      <c r="AF1473" s="3"/>
      <c r="AG1473" s="3"/>
      <c r="AH1473" s="3"/>
    </row>
    <row r="1474" spans="1:34" ht="14.25" customHeight="1" x14ac:dyDescent="0.25">
      <c r="A1474" s="3"/>
      <c r="B1474" s="3"/>
      <c r="C1474" s="3"/>
      <c r="D1474" s="3"/>
      <c r="E1474" s="3"/>
      <c r="F1474" s="3"/>
      <c r="G1474" s="3"/>
      <c r="H1474" s="11"/>
      <c r="I1474" s="12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14"/>
      <c r="Z1474" s="3"/>
      <c r="AA1474" s="3"/>
      <c r="AB1474" s="3"/>
      <c r="AC1474" s="3"/>
      <c r="AD1474" s="3"/>
      <c r="AE1474" s="3"/>
      <c r="AF1474" s="3"/>
      <c r="AG1474" s="3"/>
      <c r="AH1474" s="3"/>
    </row>
    <row r="1475" spans="1:34" ht="14.25" customHeight="1" x14ac:dyDescent="0.25">
      <c r="A1475" s="3"/>
      <c r="B1475" s="3"/>
      <c r="C1475" s="3"/>
      <c r="D1475" s="3"/>
      <c r="E1475" s="3"/>
      <c r="F1475" s="3"/>
      <c r="G1475" s="3"/>
      <c r="H1475" s="11"/>
      <c r="I1475" s="12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14"/>
      <c r="Z1475" s="3"/>
      <c r="AA1475" s="3"/>
      <c r="AB1475" s="3"/>
      <c r="AC1475" s="3"/>
      <c r="AD1475" s="3"/>
      <c r="AE1475" s="3"/>
      <c r="AF1475" s="3"/>
      <c r="AG1475" s="3"/>
      <c r="AH1475" s="3"/>
    </row>
    <row r="1476" spans="1:34" ht="14.25" customHeight="1" x14ac:dyDescent="0.25">
      <c r="A1476" s="3"/>
      <c r="B1476" s="3"/>
      <c r="C1476" s="3"/>
      <c r="D1476" s="3"/>
      <c r="E1476" s="3"/>
      <c r="F1476" s="3"/>
      <c r="G1476" s="3"/>
      <c r="H1476" s="11"/>
      <c r="I1476" s="12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14"/>
      <c r="Z1476" s="3"/>
      <c r="AA1476" s="3"/>
      <c r="AB1476" s="3"/>
      <c r="AC1476" s="3"/>
      <c r="AD1476" s="3"/>
      <c r="AE1476" s="3"/>
      <c r="AF1476" s="3"/>
      <c r="AG1476" s="3"/>
      <c r="AH1476" s="3"/>
    </row>
    <row r="1477" spans="1:34" ht="14.25" customHeight="1" x14ac:dyDescent="0.25">
      <c r="A1477" s="3"/>
      <c r="B1477" s="3"/>
      <c r="C1477" s="3"/>
      <c r="D1477" s="3"/>
      <c r="E1477" s="3"/>
      <c r="F1477" s="3"/>
      <c r="G1477" s="14"/>
      <c r="H1477" s="11"/>
      <c r="I1477" s="12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14"/>
      <c r="Z1477" s="3"/>
      <c r="AA1477" s="3"/>
      <c r="AB1477" s="3"/>
      <c r="AC1477" s="3"/>
      <c r="AD1477" s="3"/>
      <c r="AE1477" s="3"/>
      <c r="AF1477" s="3"/>
      <c r="AG1477" s="3"/>
      <c r="AH1477" s="3"/>
    </row>
    <row r="1478" spans="1:34" ht="14.25" customHeight="1" x14ac:dyDescent="0.25">
      <c r="A1478" s="3"/>
      <c r="B1478" s="3"/>
      <c r="C1478" s="3"/>
      <c r="D1478" s="3"/>
      <c r="E1478" s="3"/>
      <c r="F1478" s="3"/>
      <c r="G1478" s="14"/>
      <c r="H1478" s="11"/>
      <c r="I1478" s="12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14"/>
      <c r="Z1478" s="3"/>
      <c r="AA1478" s="3"/>
      <c r="AB1478" s="3"/>
      <c r="AC1478" s="3"/>
      <c r="AD1478" s="3"/>
      <c r="AE1478" s="3"/>
      <c r="AF1478" s="3"/>
      <c r="AG1478" s="3"/>
      <c r="AH1478" s="3"/>
    </row>
    <row r="1479" spans="1:34" ht="14.25" customHeight="1" x14ac:dyDescent="0.25">
      <c r="A1479" s="3"/>
      <c r="B1479" s="3"/>
      <c r="C1479" s="3"/>
      <c r="D1479" s="3"/>
      <c r="E1479" s="3"/>
      <c r="F1479" s="3"/>
      <c r="G1479" s="14"/>
      <c r="H1479" s="11"/>
      <c r="I1479" s="12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14"/>
      <c r="Z1479" s="3"/>
      <c r="AA1479" s="3"/>
      <c r="AB1479" s="3"/>
      <c r="AC1479" s="3"/>
      <c r="AD1479" s="3"/>
      <c r="AE1479" s="3"/>
      <c r="AF1479" s="3"/>
      <c r="AG1479" s="3"/>
      <c r="AH1479" s="3"/>
    </row>
    <row r="1480" spans="1:34" ht="14.25" customHeight="1" x14ac:dyDescent="0.25">
      <c r="A1480" s="3"/>
      <c r="B1480" s="3"/>
      <c r="C1480" s="3"/>
      <c r="D1480" s="3"/>
      <c r="E1480" s="3"/>
      <c r="F1480" s="3"/>
      <c r="G1480" s="14"/>
      <c r="H1480" s="11"/>
      <c r="I1480" s="12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14"/>
      <c r="Z1480" s="3"/>
      <c r="AA1480" s="3"/>
      <c r="AB1480" s="3"/>
      <c r="AC1480" s="3"/>
      <c r="AD1480" s="3"/>
      <c r="AE1480" s="3"/>
      <c r="AF1480" s="3"/>
      <c r="AG1480" s="3"/>
      <c r="AH1480" s="3"/>
    </row>
    <row r="1481" spans="1:34" ht="14.25" customHeight="1" x14ac:dyDescent="0.25">
      <c r="A1481" s="3"/>
      <c r="B1481" s="3"/>
      <c r="C1481" s="3"/>
      <c r="D1481" s="3"/>
      <c r="E1481" s="3"/>
      <c r="F1481" s="3"/>
      <c r="G1481" s="14"/>
      <c r="H1481" s="11"/>
      <c r="I1481" s="12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14"/>
      <c r="Z1481" s="3"/>
      <c r="AA1481" s="3"/>
      <c r="AB1481" s="3"/>
      <c r="AC1481" s="3"/>
      <c r="AD1481" s="3"/>
      <c r="AE1481" s="3"/>
      <c r="AF1481" s="3"/>
      <c r="AG1481" s="3"/>
      <c r="AH1481" s="3"/>
    </row>
    <row r="1482" spans="1:34" ht="14.25" customHeight="1" x14ac:dyDescent="0.25">
      <c r="A1482" s="3"/>
      <c r="B1482" s="3"/>
      <c r="C1482" s="3"/>
      <c r="D1482" s="3"/>
      <c r="E1482" s="3"/>
      <c r="F1482" s="3"/>
      <c r="G1482" s="14"/>
      <c r="H1482" s="11"/>
      <c r="I1482" s="12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14"/>
      <c r="Z1482" s="3"/>
      <c r="AA1482" s="3"/>
      <c r="AB1482" s="3"/>
      <c r="AC1482" s="3"/>
      <c r="AD1482" s="3"/>
      <c r="AE1482" s="3"/>
      <c r="AF1482" s="3"/>
      <c r="AG1482" s="3"/>
      <c r="AH1482" s="3"/>
    </row>
    <row r="1483" spans="1:34" ht="14.25" customHeight="1" x14ac:dyDescent="0.25">
      <c r="A1483" s="3"/>
      <c r="B1483" s="3"/>
      <c r="C1483" s="3"/>
      <c r="D1483" s="3"/>
      <c r="E1483" s="3"/>
      <c r="F1483" s="3"/>
      <c r="G1483" s="14"/>
      <c r="H1483" s="11"/>
      <c r="I1483" s="12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14"/>
      <c r="Z1483" s="3"/>
      <c r="AA1483" s="3"/>
      <c r="AB1483" s="3"/>
      <c r="AC1483" s="3"/>
      <c r="AD1483" s="3"/>
      <c r="AE1483" s="3"/>
      <c r="AF1483" s="3"/>
      <c r="AG1483" s="3"/>
      <c r="AH1483" s="3"/>
    </row>
    <row r="1484" spans="1:34" ht="14.25" customHeight="1" x14ac:dyDescent="0.25">
      <c r="A1484" s="3"/>
      <c r="B1484" s="3"/>
      <c r="C1484" s="3"/>
      <c r="D1484" s="3"/>
      <c r="E1484" s="3"/>
      <c r="F1484" s="3"/>
      <c r="G1484" s="14"/>
      <c r="H1484" s="11"/>
      <c r="I1484" s="12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14"/>
      <c r="Z1484" s="3"/>
      <c r="AA1484" s="3"/>
      <c r="AB1484" s="3"/>
      <c r="AC1484" s="3"/>
      <c r="AD1484" s="3"/>
      <c r="AE1484" s="3"/>
      <c r="AF1484" s="3"/>
      <c r="AG1484" s="3"/>
      <c r="AH1484" s="3"/>
    </row>
    <row r="1485" spans="1:34" ht="14.25" customHeight="1" x14ac:dyDescent="0.25">
      <c r="A1485" s="3"/>
      <c r="B1485" s="3"/>
      <c r="C1485" s="3"/>
      <c r="D1485" s="3"/>
      <c r="E1485" s="3"/>
      <c r="F1485" s="3"/>
      <c r="G1485" s="14"/>
      <c r="H1485" s="11"/>
      <c r="I1485" s="12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14"/>
      <c r="Z1485" s="3"/>
      <c r="AA1485" s="3"/>
      <c r="AB1485" s="3"/>
      <c r="AC1485" s="3"/>
      <c r="AD1485" s="3"/>
      <c r="AE1485" s="3"/>
      <c r="AF1485" s="3"/>
      <c r="AG1485" s="3"/>
      <c r="AH1485" s="3"/>
    </row>
    <row r="1486" spans="1:34" ht="14.25" customHeight="1" x14ac:dyDescent="0.25">
      <c r="A1486" s="3"/>
      <c r="B1486" s="3"/>
      <c r="C1486" s="3"/>
      <c r="D1486" s="3"/>
      <c r="E1486" s="3"/>
      <c r="F1486" s="3"/>
      <c r="G1486" s="3"/>
      <c r="H1486" s="11"/>
      <c r="I1486" s="12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14"/>
      <c r="Z1486" s="3"/>
      <c r="AA1486" s="3"/>
      <c r="AB1486" s="3"/>
      <c r="AC1486" s="3"/>
      <c r="AD1486" s="3"/>
      <c r="AE1486" s="3"/>
      <c r="AF1486" s="3"/>
      <c r="AG1486" s="3"/>
      <c r="AH1486" s="3"/>
    </row>
    <row r="1487" spans="1:34" ht="14.25" customHeight="1" x14ac:dyDescent="0.25">
      <c r="A1487" s="3"/>
      <c r="B1487" s="3"/>
      <c r="C1487" s="3"/>
      <c r="D1487" s="3"/>
      <c r="E1487" s="3"/>
      <c r="F1487" s="3"/>
      <c r="G1487" s="3"/>
      <c r="H1487" s="11"/>
      <c r="I1487" s="12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14"/>
      <c r="Z1487" s="3"/>
      <c r="AA1487" s="3"/>
      <c r="AB1487" s="3"/>
      <c r="AC1487" s="3"/>
      <c r="AD1487" s="3"/>
      <c r="AE1487" s="3"/>
      <c r="AF1487" s="3"/>
      <c r="AG1487" s="3"/>
      <c r="AH1487" s="3"/>
    </row>
    <row r="1488" spans="1:34" ht="14.25" customHeight="1" x14ac:dyDescent="0.25">
      <c r="A1488" s="3"/>
      <c r="B1488" s="3"/>
      <c r="C1488" s="3"/>
      <c r="D1488" s="3"/>
      <c r="E1488" s="3"/>
      <c r="F1488" s="3"/>
      <c r="G1488" s="14"/>
      <c r="H1488" s="11"/>
      <c r="I1488" s="12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14"/>
      <c r="Z1488" s="3"/>
      <c r="AA1488" s="3"/>
      <c r="AB1488" s="3"/>
      <c r="AC1488" s="3"/>
      <c r="AD1488" s="3"/>
      <c r="AE1488" s="3"/>
      <c r="AF1488" s="3"/>
      <c r="AG1488" s="3"/>
      <c r="AH1488" s="3"/>
    </row>
    <row r="1489" spans="1:34" ht="14.25" customHeight="1" x14ac:dyDescent="0.25">
      <c r="A1489" s="3"/>
      <c r="B1489" s="3"/>
      <c r="C1489" s="3"/>
      <c r="D1489" s="3"/>
      <c r="E1489" s="3"/>
      <c r="F1489" s="3"/>
      <c r="G1489" s="14"/>
      <c r="H1489" s="11"/>
      <c r="I1489" s="12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14"/>
      <c r="Z1489" s="3"/>
      <c r="AA1489" s="3"/>
      <c r="AB1489" s="3"/>
      <c r="AC1489" s="3"/>
      <c r="AD1489" s="3"/>
      <c r="AE1489" s="3"/>
      <c r="AF1489" s="3"/>
      <c r="AG1489" s="3"/>
      <c r="AH1489" s="3"/>
    </row>
    <row r="1490" spans="1:34" ht="14.25" customHeight="1" x14ac:dyDescent="0.25">
      <c r="A1490" s="3"/>
      <c r="B1490" s="3"/>
      <c r="C1490" s="3"/>
      <c r="D1490" s="3"/>
      <c r="E1490" s="3"/>
      <c r="F1490" s="3"/>
      <c r="G1490" s="14"/>
      <c r="H1490" s="11"/>
      <c r="I1490" s="12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14"/>
      <c r="Z1490" s="3"/>
      <c r="AA1490" s="3"/>
      <c r="AB1490" s="3"/>
      <c r="AC1490" s="3"/>
      <c r="AD1490" s="3"/>
      <c r="AE1490" s="3"/>
      <c r="AF1490" s="3"/>
      <c r="AG1490" s="3"/>
      <c r="AH1490" s="3"/>
    </row>
    <row r="1491" spans="1:34" ht="14.25" customHeight="1" x14ac:dyDescent="0.25">
      <c r="A1491" s="3"/>
      <c r="B1491" s="3"/>
      <c r="C1491" s="3"/>
      <c r="D1491" s="3"/>
      <c r="E1491" s="3"/>
      <c r="F1491" s="3"/>
      <c r="G1491" s="14"/>
      <c r="H1491" s="11"/>
      <c r="I1491" s="12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14"/>
      <c r="Z1491" s="3"/>
      <c r="AA1491" s="3"/>
      <c r="AB1491" s="3"/>
      <c r="AC1491" s="3"/>
      <c r="AD1491" s="3"/>
      <c r="AE1491" s="3"/>
      <c r="AF1491" s="3"/>
      <c r="AG1491" s="3"/>
      <c r="AH1491" s="3"/>
    </row>
    <row r="1492" spans="1:34" ht="14.25" customHeight="1" x14ac:dyDescent="0.25">
      <c r="A1492" s="3"/>
      <c r="B1492" s="3"/>
      <c r="C1492" s="3"/>
      <c r="D1492" s="3"/>
      <c r="E1492" s="3"/>
      <c r="F1492" s="3"/>
      <c r="G1492" s="14"/>
      <c r="H1492" s="11"/>
      <c r="I1492" s="12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14"/>
      <c r="Z1492" s="3"/>
      <c r="AA1492" s="3"/>
      <c r="AB1492" s="3"/>
      <c r="AC1492" s="3"/>
      <c r="AD1492" s="3"/>
      <c r="AE1492" s="3"/>
      <c r="AF1492" s="3"/>
      <c r="AG1492" s="3"/>
      <c r="AH1492" s="3"/>
    </row>
    <row r="1493" spans="1:34" ht="14.25" customHeight="1" x14ac:dyDescent="0.25">
      <c r="A1493" s="3"/>
      <c r="B1493" s="3"/>
      <c r="C1493" s="3"/>
      <c r="D1493" s="3"/>
      <c r="E1493" s="3"/>
      <c r="F1493" s="3"/>
      <c r="G1493" s="14"/>
      <c r="H1493" s="11"/>
      <c r="I1493" s="12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14"/>
      <c r="Z1493" s="3"/>
      <c r="AA1493" s="3"/>
      <c r="AB1493" s="3"/>
      <c r="AC1493" s="3"/>
      <c r="AD1493" s="3"/>
      <c r="AE1493" s="3"/>
      <c r="AF1493" s="3"/>
      <c r="AG1493" s="3"/>
      <c r="AH1493" s="3"/>
    </row>
    <row r="1494" spans="1:34" ht="14.25" customHeight="1" x14ac:dyDescent="0.25">
      <c r="A1494" s="3"/>
      <c r="B1494" s="3"/>
      <c r="C1494" s="3"/>
      <c r="D1494" s="3"/>
      <c r="E1494" s="3"/>
      <c r="F1494" s="3"/>
      <c r="G1494" s="3"/>
      <c r="H1494" s="11"/>
      <c r="I1494" s="12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14"/>
      <c r="Z1494" s="3"/>
      <c r="AA1494" s="3"/>
      <c r="AB1494" s="3"/>
      <c r="AC1494" s="3"/>
      <c r="AD1494" s="3"/>
      <c r="AE1494" s="3"/>
      <c r="AF1494" s="3"/>
      <c r="AG1494" s="3"/>
      <c r="AH1494" s="3"/>
    </row>
    <row r="1495" spans="1:34" ht="14.25" customHeight="1" x14ac:dyDescent="0.25">
      <c r="A1495" s="3"/>
      <c r="B1495" s="3"/>
      <c r="C1495" s="3"/>
      <c r="D1495" s="3"/>
      <c r="E1495" s="3"/>
      <c r="F1495" s="3"/>
      <c r="G1495" s="3"/>
      <c r="H1495" s="11"/>
      <c r="I1495" s="12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14"/>
      <c r="Z1495" s="3"/>
      <c r="AA1495" s="3"/>
      <c r="AB1495" s="3"/>
      <c r="AC1495" s="3"/>
      <c r="AD1495" s="3"/>
      <c r="AE1495" s="3"/>
      <c r="AF1495" s="3"/>
      <c r="AG1495" s="3"/>
      <c r="AH1495" s="3"/>
    </row>
    <row r="1496" spans="1:34" ht="14.25" customHeight="1" x14ac:dyDescent="0.25">
      <c r="A1496" s="3"/>
      <c r="B1496" s="3"/>
      <c r="C1496" s="3"/>
      <c r="D1496" s="3"/>
      <c r="E1496" s="3"/>
      <c r="F1496" s="3"/>
      <c r="G1496" s="3"/>
      <c r="H1496" s="11"/>
      <c r="I1496" s="12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14"/>
      <c r="Z1496" s="3"/>
      <c r="AA1496" s="3"/>
      <c r="AB1496" s="3"/>
      <c r="AC1496" s="3"/>
      <c r="AD1496" s="3"/>
      <c r="AE1496" s="3"/>
      <c r="AF1496" s="3"/>
      <c r="AG1496" s="3"/>
      <c r="AH1496" s="3"/>
    </row>
    <row r="1497" spans="1:34" ht="14.25" customHeight="1" x14ac:dyDescent="0.25">
      <c r="A1497" s="3"/>
      <c r="B1497" s="3"/>
      <c r="C1497" s="3"/>
      <c r="D1497" s="3"/>
      <c r="E1497" s="3"/>
      <c r="F1497" s="3"/>
      <c r="G1497" s="3"/>
      <c r="H1497" s="11"/>
      <c r="I1497" s="12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14"/>
      <c r="Z1497" s="3"/>
      <c r="AA1497" s="3"/>
      <c r="AB1497" s="3"/>
      <c r="AC1497" s="3"/>
      <c r="AD1497" s="3"/>
      <c r="AE1497" s="3"/>
      <c r="AF1497" s="3"/>
      <c r="AG1497" s="3"/>
      <c r="AH1497" s="3"/>
    </row>
    <row r="1498" spans="1:34" ht="14.25" customHeight="1" x14ac:dyDescent="0.25">
      <c r="A1498" s="3"/>
      <c r="B1498" s="3"/>
      <c r="C1498" s="3"/>
      <c r="D1498" s="3"/>
      <c r="E1498" s="3"/>
      <c r="F1498" s="3"/>
      <c r="G1498" s="3"/>
      <c r="H1498" s="11"/>
      <c r="I1498" s="12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14"/>
      <c r="Z1498" s="3"/>
      <c r="AA1498" s="3"/>
      <c r="AB1498" s="3"/>
      <c r="AC1498" s="3"/>
      <c r="AD1498" s="3"/>
      <c r="AE1498" s="3"/>
      <c r="AF1498" s="3"/>
      <c r="AG1498" s="3"/>
      <c r="AH1498" s="3"/>
    </row>
    <row r="1499" spans="1:34" ht="14.25" customHeight="1" x14ac:dyDescent="0.25">
      <c r="A1499" s="3"/>
      <c r="B1499" s="3"/>
      <c r="C1499" s="3"/>
      <c r="D1499" s="3"/>
      <c r="E1499" s="3"/>
      <c r="F1499" s="3"/>
      <c r="G1499" s="3"/>
      <c r="H1499" s="11"/>
      <c r="I1499" s="12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14"/>
      <c r="Z1499" s="3"/>
      <c r="AA1499" s="3"/>
      <c r="AB1499" s="3"/>
      <c r="AC1499" s="3"/>
      <c r="AD1499" s="3"/>
      <c r="AE1499" s="3"/>
      <c r="AF1499" s="3"/>
      <c r="AG1499" s="3"/>
      <c r="AH1499" s="3"/>
    </row>
    <row r="1500" spans="1:34" ht="14.25" customHeight="1" x14ac:dyDescent="0.25">
      <c r="A1500" s="3"/>
      <c r="B1500" s="3"/>
      <c r="C1500" s="3"/>
      <c r="D1500" s="3"/>
      <c r="E1500" s="3"/>
      <c r="F1500" s="3"/>
      <c r="G1500" s="3"/>
      <c r="H1500" s="11"/>
      <c r="I1500" s="12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14"/>
      <c r="Z1500" s="3"/>
      <c r="AA1500" s="3"/>
      <c r="AB1500" s="3"/>
      <c r="AC1500" s="3"/>
      <c r="AD1500" s="3"/>
      <c r="AE1500" s="3"/>
      <c r="AF1500" s="3"/>
      <c r="AG1500" s="3"/>
      <c r="AH1500" s="3"/>
    </row>
    <row r="1501" spans="1:34" ht="14.25" customHeight="1" x14ac:dyDescent="0.25">
      <c r="A1501" s="3"/>
      <c r="B1501" s="3"/>
      <c r="C1501" s="3"/>
      <c r="D1501" s="3"/>
      <c r="E1501" s="3"/>
      <c r="F1501" s="3"/>
      <c r="G1501" s="3"/>
      <c r="H1501" s="11"/>
      <c r="I1501" s="12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14"/>
      <c r="Z1501" s="3"/>
      <c r="AA1501" s="3"/>
      <c r="AB1501" s="3"/>
      <c r="AC1501" s="3"/>
      <c r="AD1501" s="3"/>
      <c r="AE1501" s="3"/>
      <c r="AF1501" s="3"/>
      <c r="AG1501" s="3"/>
      <c r="AH1501" s="3"/>
    </row>
    <row r="1502" spans="1:34" ht="14.25" customHeight="1" x14ac:dyDescent="0.25">
      <c r="A1502" s="3"/>
      <c r="B1502" s="3"/>
      <c r="C1502" s="3"/>
      <c r="D1502" s="3"/>
      <c r="E1502" s="3"/>
      <c r="F1502" s="3"/>
      <c r="G1502" s="14"/>
      <c r="H1502" s="11"/>
      <c r="I1502" s="12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14"/>
      <c r="Z1502" s="3"/>
      <c r="AA1502" s="3"/>
      <c r="AB1502" s="3"/>
      <c r="AC1502" s="3"/>
      <c r="AD1502" s="3"/>
      <c r="AE1502" s="3"/>
      <c r="AF1502" s="3"/>
      <c r="AG1502" s="3"/>
      <c r="AH1502" s="3"/>
    </row>
    <row r="1503" spans="1:34" ht="14.25" customHeight="1" x14ac:dyDescent="0.25">
      <c r="A1503" s="3"/>
      <c r="B1503" s="3"/>
      <c r="C1503" s="3"/>
      <c r="D1503" s="3"/>
      <c r="E1503" s="3"/>
      <c r="F1503" s="3"/>
      <c r="G1503" s="14"/>
      <c r="H1503" s="11"/>
      <c r="I1503" s="12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14"/>
      <c r="Z1503" s="3"/>
      <c r="AA1503" s="3"/>
      <c r="AB1503" s="3"/>
      <c r="AC1503" s="3"/>
      <c r="AD1503" s="3"/>
      <c r="AE1503" s="3"/>
      <c r="AF1503" s="3"/>
      <c r="AG1503" s="3"/>
      <c r="AH1503" s="3"/>
    </row>
    <row r="1504" spans="1:34" ht="14.25" customHeight="1" x14ac:dyDescent="0.25">
      <c r="A1504" s="3"/>
      <c r="B1504" s="3"/>
      <c r="C1504" s="3"/>
      <c r="D1504" s="3"/>
      <c r="E1504" s="3"/>
      <c r="F1504" s="3"/>
      <c r="G1504" s="14"/>
      <c r="H1504" s="11"/>
      <c r="I1504" s="12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14"/>
      <c r="Z1504" s="3"/>
      <c r="AA1504" s="3"/>
      <c r="AB1504" s="3"/>
      <c r="AC1504" s="3"/>
      <c r="AD1504" s="3"/>
      <c r="AE1504" s="3"/>
      <c r="AF1504" s="3"/>
      <c r="AG1504" s="3"/>
      <c r="AH1504" s="3"/>
    </row>
    <row r="1505" spans="1:34" ht="14.25" customHeight="1" x14ac:dyDescent="0.25">
      <c r="A1505" s="3"/>
      <c r="B1505" s="3"/>
      <c r="C1505" s="3"/>
      <c r="D1505" s="3"/>
      <c r="E1505" s="3"/>
      <c r="F1505" s="3"/>
      <c r="G1505" s="3"/>
      <c r="H1505" s="11"/>
      <c r="I1505" s="12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14"/>
      <c r="Z1505" s="3"/>
      <c r="AA1505" s="3"/>
      <c r="AB1505" s="3"/>
      <c r="AC1505" s="3"/>
      <c r="AD1505" s="3"/>
      <c r="AE1505" s="3"/>
      <c r="AF1505" s="3"/>
      <c r="AG1505" s="3"/>
      <c r="AH1505" s="3"/>
    </row>
    <row r="1506" spans="1:34" ht="14.25" customHeight="1" x14ac:dyDescent="0.25">
      <c r="A1506" s="3"/>
      <c r="B1506" s="3"/>
      <c r="C1506" s="3"/>
      <c r="D1506" s="3"/>
      <c r="E1506" s="3"/>
      <c r="F1506" s="3"/>
      <c r="G1506" s="3"/>
      <c r="H1506" s="11"/>
      <c r="I1506" s="12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14"/>
      <c r="Z1506" s="3"/>
      <c r="AA1506" s="3"/>
      <c r="AB1506" s="3"/>
      <c r="AC1506" s="3"/>
      <c r="AD1506" s="3"/>
      <c r="AE1506" s="3"/>
      <c r="AF1506" s="3"/>
      <c r="AG1506" s="3"/>
      <c r="AH1506" s="3"/>
    </row>
    <row r="1507" spans="1:34" ht="14.25" customHeight="1" x14ac:dyDescent="0.25">
      <c r="A1507" s="3"/>
      <c r="B1507" s="3"/>
      <c r="C1507" s="3"/>
      <c r="D1507" s="3"/>
      <c r="E1507" s="3"/>
      <c r="F1507" s="3"/>
      <c r="G1507" s="3"/>
      <c r="H1507" s="11"/>
      <c r="I1507" s="12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14"/>
      <c r="Z1507" s="3"/>
      <c r="AA1507" s="3"/>
      <c r="AB1507" s="3"/>
      <c r="AC1507" s="3"/>
      <c r="AD1507" s="3"/>
      <c r="AE1507" s="3"/>
      <c r="AF1507" s="3"/>
      <c r="AG1507" s="3"/>
      <c r="AH1507" s="3"/>
    </row>
    <row r="1508" spans="1:34" ht="14.25" customHeight="1" x14ac:dyDescent="0.25">
      <c r="A1508" s="3"/>
      <c r="B1508" s="3"/>
      <c r="C1508" s="3"/>
      <c r="D1508" s="3"/>
      <c r="E1508" s="3"/>
      <c r="F1508" s="3"/>
      <c r="G1508" s="3"/>
      <c r="H1508" s="11"/>
      <c r="I1508" s="12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14"/>
      <c r="Z1508" s="3"/>
      <c r="AA1508" s="3"/>
      <c r="AB1508" s="3"/>
      <c r="AC1508" s="3"/>
      <c r="AD1508" s="3"/>
      <c r="AE1508" s="3"/>
      <c r="AF1508" s="3"/>
      <c r="AG1508" s="3"/>
      <c r="AH1508" s="3"/>
    </row>
    <row r="1509" spans="1:34" ht="14.25" customHeight="1" x14ac:dyDescent="0.25">
      <c r="A1509" s="3"/>
      <c r="B1509" s="3"/>
      <c r="C1509" s="3"/>
      <c r="D1509" s="3"/>
      <c r="E1509" s="3"/>
      <c r="F1509" s="3"/>
      <c r="G1509" s="3"/>
      <c r="H1509" s="11"/>
      <c r="I1509" s="12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14"/>
      <c r="Z1509" s="3"/>
      <c r="AA1509" s="3"/>
      <c r="AB1509" s="3"/>
      <c r="AC1509" s="3"/>
      <c r="AD1509" s="3"/>
      <c r="AE1509" s="3"/>
      <c r="AF1509" s="3"/>
      <c r="AG1509" s="3"/>
      <c r="AH1509" s="3"/>
    </row>
    <row r="1510" spans="1:34" ht="14.25" customHeight="1" x14ac:dyDescent="0.25">
      <c r="A1510" s="3"/>
      <c r="B1510" s="3"/>
      <c r="C1510" s="3"/>
      <c r="D1510" s="3"/>
      <c r="E1510" s="3"/>
      <c r="F1510" s="3"/>
      <c r="G1510" s="3"/>
      <c r="H1510" s="11"/>
      <c r="I1510" s="12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14"/>
      <c r="Z1510" s="3"/>
      <c r="AA1510" s="3"/>
      <c r="AB1510" s="3"/>
      <c r="AC1510" s="3"/>
      <c r="AD1510" s="3"/>
      <c r="AE1510" s="3"/>
      <c r="AF1510" s="3"/>
      <c r="AG1510" s="3"/>
      <c r="AH1510" s="3"/>
    </row>
    <row r="1511" spans="1:34" ht="14.25" customHeight="1" x14ac:dyDescent="0.25">
      <c r="A1511" s="3"/>
      <c r="B1511" s="3"/>
      <c r="C1511" s="3"/>
      <c r="D1511" s="3"/>
      <c r="E1511" s="3"/>
      <c r="F1511" s="3"/>
      <c r="G1511" s="3"/>
      <c r="H1511" s="11"/>
      <c r="I1511" s="12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14"/>
      <c r="Z1511" s="3"/>
      <c r="AA1511" s="3"/>
      <c r="AB1511" s="3"/>
      <c r="AC1511" s="3"/>
      <c r="AD1511" s="3"/>
      <c r="AE1511" s="3"/>
      <c r="AF1511" s="3"/>
      <c r="AG1511" s="3"/>
      <c r="AH1511" s="3"/>
    </row>
    <row r="1512" spans="1:34" ht="14.25" customHeight="1" x14ac:dyDescent="0.25">
      <c r="A1512" s="3"/>
      <c r="B1512" s="3"/>
      <c r="C1512" s="3"/>
      <c r="D1512" s="3"/>
      <c r="E1512" s="3"/>
      <c r="F1512" s="3"/>
      <c r="G1512" s="3"/>
      <c r="H1512" s="11"/>
      <c r="I1512" s="12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14"/>
      <c r="Z1512" s="3"/>
      <c r="AA1512" s="3"/>
      <c r="AB1512" s="3"/>
      <c r="AC1512" s="3"/>
      <c r="AD1512" s="3"/>
      <c r="AE1512" s="3"/>
      <c r="AF1512" s="3"/>
      <c r="AG1512" s="3"/>
      <c r="AH1512" s="3"/>
    </row>
    <row r="1513" spans="1:34" ht="14.25" customHeight="1" x14ac:dyDescent="0.25">
      <c r="A1513" s="3"/>
      <c r="B1513" s="3"/>
      <c r="C1513" s="3"/>
      <c r="D1513" s="3"/>
      <c r="E1513" s="3"/>
      <c r="F1513" s="3"/>
      <c r="G1513" s="3"/>
      <c r="H1513" s="11"/>
      <c r="I1513" s="12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14"/>
      <c r="Z1513" s="3"/>
      <c r="AA1513" s="3"/>
      <c r="AB1513" s="3"/>
      <c r="AC1513" s="3"/>
      <c r="AD1513" s="3"/>
      <c r="AE1513" s="3"/>
      <c r="AF1513" s="3"/>
      <c r="AG1513" s="3"/>
      <c r="AH1513" s="3"/>
    </row>
    <row r="1514" spans="1:34" ht="14.25" customHeight="1" x14ac:dyDescent="0.25">
      <c r="A1514" s="3"/>
      <c r="B1514" s="3"/>
      <c r="C1514" s="3"/>
      <c r="D1514" s="3"/>
      <c r="E1514" s="3"/>
      <c r="F1514" s="3"/>
      <c r="G1514" s="3"/>
      <c r="H1514" s="11"/>
      <c r="I1514" s="12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14"/>
      <c r="Z1514" s="3"/>
      <c r="AA1514" s="3"/>
      <c r="AB1514" s="3"/>
      <c r="AC1514" s="3"/>
      <c r="AD1514" s="3"/>
      <c r="AE1514" s="3"/>
      <c r="AF1514" s="3"/>
      <c r="AG1514" s="3"/>
      <c r="AH1514" s="3"/>
    </row>
    <row r="1515" spans="1:34" ht="14.25" customHeight="1" x14ac:dyDescent="0.25">
      <c r="A1515" s="3"/>
      <c r="B1515" s="3"/>
      <c r="C1515" s="3"/>
      <c r="D1515" s="3"/>
      <c r="E1515" s="3"/>
      <c r="F1515" s="3"/>
      <c r="G1515" s="3"/>
      <c r="H1515" s="11"/>
      <c r="I1515" s="12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14"/>
      <c r="Z1515" s="3"/>
      <c r="AA1515" s="3"/>
      <c r="AB1515" s="3"/>
      <c r="AC1515" s="3"/>
      <c r="AD1515" s="3"/>
      <c r="AE1515" s="3"/>
      <c r="AF1515" s="3"/>
      <c r="AG1515" s="3"/>
      <c r="AH1515" s="3"/>
    </row>
    <row r="1516" spans="1:34" ht="14.25" customHeight="1" x14ac:dyDescent="0.25">
      <c r="A1516" s="3"/>
      <c r="B1516" s="3"/>
      <c r="C1516" s="3"/>
      <c r="D1516" s="3"/>
      <c r="E1516" s="3"/>
      <c r="F1516" s="3"/>
      <c r="G1516" s="3"/>
      <c r="H1516" s="11"/>
      <c r="I1516" s="12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14"/>
      <c r="Z1516" s="3"/>
      <c r="AA1516" s="3"/>
      <c r="AB1516" s="3"/>
      <c r="AC1516" s="3"/>
      <c r="AD1516" s="3"/>
      <c r="AE1516" s="3"/>
      <c r="AF1516" s="3"/>
      <c r="AG1516" s="3"/>
      <c r="AH1516" s="3"/>
    </row>
    <row r="1517" spans="1:34" ht="14.25" customHeight="1" x14ac:dyDescent="0.25">
      <c r="A1517" s="3"/>
      <c r="B1517" s="3"/>
      <c r="C1517" s="3"/>
      <c r="D1517" s="3"/>
      <c r="E1517" s="3"/>
      <c r="F1517" s="3"/>
      <c r="G1517" s="3"/>
      <c r="H1517" s="11"/>
      <c r="I1517" s="12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14"/>
      <c r="Z1517" s="3"/>
      <c r="AA1517" s="3"/>
      <c r="AB1517" s="3"/>
      <c r="AC1517" s="3"/>
      <c r="AD1517" s="3"/>
      <c r="AE1517" s="3"/>
      <c r="AF1517" s="3"/>
      <c r="AG1517" s="3"/>
      <c r="AH1517" s="3"/>
    </row>
    <row r="1518" spans="1:34" ht="14.25" customHeight="1" x14ac:dyDescent="0.25">
      <c r="A1518" s="3"/>
      <c r="B1518" s="3"/>
      <c r="C1518" s="3"/>
      <c r="D1518" s="3"/>
      <c r="E1518" s="3"/>
      <c r="F1518" s="3"/>
      <c r="G1518" s="3"/>
      <c r="H1518" s="11"/>
      <c r="I1518" s="12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14"/>
      <c r="Z1518" s="3"/>
      <c r="AA1518" s="3"/>
      <c r="AB1518" s="3"/>
      <c r="AC1518" s="3"/>
      <c r="AD1518" s="3"/>
      <c r="AE1518" s="3"/>
      <c r="AF1518" s="3"/>
      <c r="AG1518" s="3"/>
      <c r="AH1518" s="3"/>
    </row>
    <row r="1519" spans="1:34" ht="14.25" customHeight="1" x14ac:dyDescent="0.25">
      <c r="A1519" s="3"/>
      <c r="B1519" s="3"/>
      <c r="C1519" s="3"/>
      <c r="D1519" s="3"/>
      <c r="E1519" s="3"/>
      <c r="F1519" s="3"/>
      <c r="G1519" s="3"/>
      <c r="H1519" s="11"/>
      <c r="I1519" s="12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14"/>
      <c r="Z1519" s="3"/>
      <c r="AA1519" s="3"/>
      <c r="AB1519" s="3"/>
      <c r="AC1519" s="3"/>
      <c r="AD1519" s="3"/>
      <c r="AE1519" s="3"/>
      <c r="AF1519" s="3"/>
      <c r="AG1519" s="3"/>
      <c r="AH1519" s="3"/>
    </row>
    <row r="1520" spans="1:34" ht="14.25" customHeight="1" x14ac:dyDescent="0.25">
      <c r="A1520" s="3"/>
      <c r="B1520" s="3"/>
      <c r="C1520" s="3"/>
      <c r="D1520" s="3"/>
      <c r="E1520" s="3"/>
      <c r="F1520" s="3"/>
      <c r="G1520" s="3"/>
      <c r="H1520" s="11"/>
      <c r="I1520" s="12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14"/>
      <c r="Z1520" s="3"/>
      <c r="AA1520" s="3"/>
      <c r="AB1520" s="3"/>
      <c r="AC1520" s="3"/>
      <c r="AD1520" s="3"/>
      <c r="AE1520" s="3"/>
      <c r="AF1520" s="3"/>
      <c r="AG1520" s="3"/>
      <c r="AH1520" s="3"/>
    </row>
    <row r="1521" spans="1:34" ht="14.25" customHeight="1" x14ac:dyDescent="0.25">
      <c r="A1521" s="3"/>
      <c r="B1521" s="3"/>
      <c r="C1521" s="3"/>
      <c r="D1521" s="3"/>
      <c r="E1521" s="3"/>
      <c r="F1521" s="3"/>
      <c r="G1521" s="3"/>
      <c r="H1521" s="11"/>
      <c r="I1521" s="12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14"/>
      <c r="Z1521" s="3"/>
      <c r="AA1521" s="3"/>
      <c r="AB1521" s="3"/>
      <c r="AC1521" s="3"/>
      <c r="AD1521" s="3"/>
      <c r="AE1521" s="3"/>
      <c r="AF1521" s="3"/>
      <c r="AG1521" s="3"/>
      <c r="AH1521" s="3"/>
    </row>
    <row r="1522" spans="1:34" ht="14.25" customHeight="1" x14ac:dyDescent="0.25">
      <c r="A1522" s="3"/>
      <c r="B1522" s="3"/>
      <c r="C1522" s="3"/>
      <c r="D1522" s="3"/>
      <c r="E1522" s="3"/>
      <c r="F1522" s="3"/>
      <c r="G1522" s="3"/>
      <c r="H1522" s="11"/>
      <c r="I1522" s="12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14"/>
      <c r="Z1522" s="3"/>
      <c r="AA1522" s="3"/>
      <c r="AB1522" s="3"/>
      <c r="AC1522" s="3"/>
      <c r="AD1522" s="3"/>
      <c r="AE1522" s="3"/>
      <c r="AF1522" s="3"/>
      <c r="AG1522" s="3"/>
      <c r="AH1522" s="3"/>
    </row>
    <row r="1523" spans="1:34" ht="14.25" customHeight="1" x14ac:dyDescent="0.25">
      <c r="A1523" s="3"/>
      <c r="B1523" s="3"/>
      <c r="C1523" s="3"/>
      <c r="D1523" s="3"/>
      <c r="E1523" s="3"/>
      <c r="F1523" s="3"/>
      <c r="G1523" s="3"/>
      <c r="H1523" s="11"/>
      <c r="I1523" s="12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14"/>
      <c r="Z1523" s="3"/>
      <c r="AA1523" s="3"/>
      <c r="AB1523" s="3"/>
      <c r="AC1523" s="3"/>
      <c r="AD1523" s="3"/>
      <c r="AE1523" s="3"/>
      <c r="AF1523" s="3"/>
      <c r="AG1523" s="3"/>
      <c r="AH1523" s="3"/>
    </row>
    <row r="1524" spans="1:34" ht="14.25" customHeight="1" x14ac:dyDescent="0.25">
      <c r="A1524" s="3"/>
      <c r="B1524" s="3"/>
      <c r="C1524" s="3"/>
      <c r="D1524" s="3"/>
      <c r="E1524" s="3"/>
      <c r="F1524" s="3"/>
      <c r="G1524" s="3"/>
      <c r="H1524" s="11"/>
      <c r="I1524" s="12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14"/>
      <c r="Z1524" s="3"/>
      <c r="AA1524" s="3"/>
      <c r="AB1524" s="3"/>
      <c r="AC1524" s="3"/>
      <c r="AD1524" s="3"/>
      <c r="AE1524" s="3"/>
      <c r="AF1524" s="3"/>
      <c r="AG1524" s="3"/>
      <c r="AH1524" s="3"/>
    </row>
    <row r="1525" spans="1:34" ht="14.25" customHeight="1" x14ac:dyDescent="0.25">
      <c r="A1525" s="3"/>
      <c r="B1525" s="3"/>
      <c r="C1525" s="3"/>
      <c r="D1525" s="3"/>
      <c r="E1525" s="3"/>
      <c r="F1525" s="3"/>
      <c r="G1525" s="3"/>
      <c r="H1525" s="11"/>
      <c r="I1525" s="12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14"/>
      <c r="Z1525" s="3"/>
      <c r="AA1525" s="3"/>
      <c r="AB1525" s="3"/>
      <c r="AC1525" s="3"/>
      <c r="AD1525" s="3"/>
      <c r="AE1525" s="3"/>
      <c r="AF1525" s="3"/>
      <c r="AG1525" s="3"/>
      <c r="AH1525" s="3"/>
    </row>
    <row r="1526" spans="1:34" ht="14.25" customHeight="1" x14ac:dyDescent="0.25">
      <c r="A1526" s="3"/>
      <c r="B1526" s="3"/>
      <c r="C1526" s="3"/>
      <c r="D1526" s="3"/>
      <c r="E1526" s="3"/>
      <c r="F1526" s="3"/>
      <c r="G1526" s="3"/>
      <c r="H1526" s="11"/>
      <c r="I1526" s="12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14"/>
      <c r="Z1526" s="3"/>
      <c r="AA1526" s="3"/>
      <c r="AB1526" s="3"/>
      <c r="AC1526" s="3"/>
      <c r="AD1526" s="3"/>
      <c r="AE1526" s="3"/>
      <c r="AF1526" s="3"/>
      <c r="AG1526" s="3"/>
      <c r="AH1526" s="3"/>
    </row>
    <row r="1527" spans="1:34" ht="14.25" customHeight="1" x14ac:dyDescent="0.25">
      <c r="A1527" s="3"/>
      <c r="B1527" s="3"/>
      <c r="C1527" s="3"/>
      <c r="D1527" s="3"/>
      <c r="E1527" s="3"/>
      <c r="F1527" s="3"/>
      <c r="G1527" s="3"/>
      <c r="H1527" s="11"/>
      <c r="I1527" s="12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14"/>
      <c r="Z1527" s="3"/>
      <c r="AA1527" s="3"/>
      <c r="AB1527" s="3"/>
      <c r="AC1527" s="3"/>
      <c r="AD1527" s="3"/>
      <c r="AE1527" s="3"/>
      <c r="AF1527" s="3"/>
      <c r="AG1527" s="3"/>
      <c r="AH1527" s="3"/>
    </row>
    <row r="1528" spans="1:34" ht="14.25" customHeight="1" x14ac:dyDescent="0.25">
      <c r="A1528" s="3"/>
      <c r="B1528" s="3"/>
      <c r="C1528" s="3"/>
      <c r="D1528" s="3"/>
      <c r="E1528" s="3"/>
      <c r="F1528" s="3"/>
      <c r="G1528" s="3"/>
      <c r="H1528" s="11"/>
      <c r="I1528" s="12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14"/>
      <c r="Z1528" s="3"/>
      <c r="AA1528" s="3"/>
      <c r="AB1528" s="3"/>
      <c r="AC1528" s="3"/>
      <c r="AD1528" s="3"/>
      <c r="AE1528" s="3"/>
      <c r="AF1528" s="3"/>
      <c r="AG1528" s="3"/>
      <c r="AH1528" s="3"/>
    </row>
    <row r="1529" spans="1:34" ht="14.25" customHeight="1" x14ac:dyDescent="0.25">
      <c r="A1529" s="3"/>
      <c r="B1529" s="3"/>
      <c r="C1529" s="3"/>
      <c r="D1529" s="3"/>
      <c r="E1529" s="3"/>
      <c r="F1529" s="3"/>
      <c r="G1529" s="3"/>
      <c r="H1529" s="11"/>
      <c r="I1529" s="12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14"/>
      <c r="Z1529" s="3"/>
      <c r="AA1529" s="3"/>
      <c r="AB1529" s="3"/>
      <c r="AC1529" s="3"/>
      <c r="AD1529" s="3"/>
      <c r="AE1529" s="3"/>
      <c r="AF1529" s="3"/>
      <c r="AG1529" s="3"/>
      <c r="AH1529" s="3"/>
    </row>
    <row r="1530" spans="1:34" ht="14.25" customHeight="1" x14ac:dyDescent="0.25">
      <c r="A1530" s="3"/>
      <c r="B1530" s="3"/>
      <c r="C1530" s="3"/>
      <c r="D1530" s="3"/>
      <c r="E1530" s="3"/>
      <c r="F1530" s="3"/>
      <c r="G1530" s="3"/>
      <c r="H1530" s="11"/>
      <c r="I1530" s="12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14"/>
      <c r="Z1530" s="3"/>
      <c r="AA1530" s="3"/>
      <c r="AB1530" s="3"/>
      <c r="AC1530" s="3"/>
      <c r="AD1530" s="3"/>
      <c r="AE1530" s="3"/>
      <c r="AF1530" s="3"/>
      <c r="AG1530" s="3"/>
      <c r="AH1530" s="3"/>
    </row>
    <row r="1531" spans="1:34" ht="14.25" customHeight="1" x14ac:dyDescent="0.25">
      <c r="A1531" s="3"/>
      <c r="B1531" s="3"/>
      <c r="C1531" s="3"/>
      <c r="D1531" s="3"/>
      <c r="E1531" s="3"/>
      <c r="F1531" s="3"/>
      <c r="G1531" s="3"/>
      <c r="H1531" s="11"/>
      <c r="I1531" s="12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14"/>
      <c r="Z1531" s="3"/>
      <c r="AA1531" s="3"/>
      <c r="AB1531" s="3"/>
      <c r="AC1531" s="3"/>
      <c r="AD1531" s="3"/>
      <c r="AE1531" s="3"/>
      <c r="AF1531" s="3"/>
      <c r="AG1531" s="3"/>
      <c r="AH1531" s="3"/>
    </row>
    <row r="1532" spans="1:34" ht="14.25" customHeight="1" x14ac:dyDescent="0.25">
      <c r="A1532" s="3"/>
      <c r="B1532" s="3"/>
      <c r="C1532" s="3"/>
      <c r="D1532" s="3"/>
      <c r="E1532" s="3"/>
      <c r="F1532" s="3"/>
      <c r="G1532" s="3"/>
      <c r="H1532" s="11"/>
      <c r="I1532" s="12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14"/>
      <c r="Z1532" s="3"/>
      <c r="AA1532" s="3"/>
      <c r="AB1532" s="3"/>
      <c r="AC1532" s="3"/>
      <c r="AD1532" s="3"/>
      <c r="AE1532" s="3"/>
      <c r="AF1532" s="3"/>
      <c r="AG1532" s="3"/>
      <c r="AH1532" s="3"/>
    </row>
    <row r="1533" spans="1:34" ht="14.25" customHeight="1" x14ac:dyDescent="0.25">
      <c r="A1533" s="3"/>
      <c r="B1533" s="3"/>
      <c r="C1533" s="3"/>
      <c r="D1533" s="3"/>
      <c r="E1533" s="3"/>
      <c r="F1533" s="3"/>
      <c r="G1533" s="3"/>
      <c r="H1533" s="11"/>
      <c r="I1533" s="12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14"/>
      <c r="Z1533" s="3"/>
      <c r="AA1533" s="3"/>
      <c r="AB1533" s="3"/>
      <c r="AC1533" s="3"/>
      <c r="AD1533" s="3"/>
      <c r="AE1533" s="3"/>
      <c r="AF1533" s="3"/>
      <c r="AG1533" s="3"/>
      <c r="AH1533" s="3"/>
    </row>
    <row r="1534" spans="1:34" ht="14.25" customHeight="1" x14ac:dyDescent="0.25">
      <c r="A1534" s="3"/>
      <c r="B1534" s="3"/>
      <c r="C1534" s="3"/>
      <c r="D1534" s="3"/>
      <c r="E1534" s="3"/>
      <c r="F1534" s="3"/>
      <c r="G1534" s="3"/>
      <c r="H1534" s="11"/>
      <c r="I1534" s="12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14"/>
      <c r="Z1534" s="3"/>
      <c r="AA1534" s="3"/>
      <c r="AB1534" s="3"/>
      <c r="AC1534" s="3"/>
      <c r="AD1534" s="3"/>
      <c r="AE1534" s="3"/>
      <c r="AF1534" s="3"/>
      <c r="AG1534" s="3"/>
      <c r="AH1534" s="3"/>
    </row>
    <row r="1535" spans="1:34" ht="14.25" customHeight="1" x14ac:dyDescent="0.25">
      <c r="A1535" s="3"/>
      <c r="B1535" s="3"/>
      <c r="C1535" s="3"/>
      <c r="D1535" s="3"/>
      <c r="E1535" s="3"/>
      <c r="F1535" s="3"/>
      <c r="G1535" s="3"/>
      <c r="H1535" s="11"/>
      <c r="I1535" s="12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14"/>
      <c r="Z1535" s="3"/>
      <c r="AA1535" s="3"/>
      <c r="AB1535" s="3"/>
      <c r="AC1535" s="3"/>
      <c r="AD1535" s="3"/>
      <c r="AE1535" s="3"/>
      <c r="AF1535" s="3"/>
      <c r="AG1535" s="3"/>
      <c r="AH1535" s="3"/>
    </row>
    <row r="1536" spans="1:34" ht="14.25" customHeight="1" x14ac:dyDescent="0.25">
      <c r="A1536" s="3"/>
      <c r="B1536" s="3"/>
      <c r="C1536" s="3"/>
      <c r="D1536" s="3"/>
      <c r="E1536" s="3"/>
      <c r="F1536" s="3"/>
      <c r="G1536" s="3"/>
      <c r="H1536" s="11"/>
      <c r="I1536" s="12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14"/>
      <c r="Z1536" s="3"/>
      <c r="AA1536" s="3"/>
      <c r="AB1536" s="3"/>
      <c r="AC1536" s="3"/>
      <c r="AD1536" s="3"/>
      <c r="AE1536" s="3"/>
      <c r="AF1536" s="3"/>
      <c r="AG1536" s="3"/>
      <c r="AH1536" s="3"/>
    </row>
    <row r="1537" spans="1:34" ht="14.25" customHeight="1" x14ac:dyDescent="0.25">
      <c r="A1537" s="3"/>
      <c r="B1537" s="3"/>
      <c r="C1537" s="3"/>
      <c r="D1537" s="3"/>
      <c r="E1537" s="3"/>
      <c r="F1537" s="3"/>
      <c r="G1537" s="3"/>
      <c r="H1537" s="11"/>
      <c r="I1537" s="12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14"/>
      <c r="Z1537" s="3"/>
      <c r="AA1537" s="3"/>
      <c r="AB1537" s="3"/>
      <c r="AC1537" s="3"/>
      <c r="AD1537" s="3"/>
      <c r="AE1537" s="3"/>
      <c r="AF1537" s="3"/>
      <c r="AG1537" s="3"/>
      <c r="AH1537" s="3"/>
    </row>
    <row r="1538" spans="1:34" ht="14.25" customHeight="1" x14ac:dyDescent="0.25">
      <c r="A1538" s="3"/>
      <c r="B1538" s="3"/>
      <c r="C1538" s="3"/>
      <c r="D1538" s="3"/>
      <c r="E1538" s="3"/>
      <c r="F1538" s="3"/>
      <c r="G1538" s="3"/>
      <c r="H1538" s="11"/>
      <c r="I1538" s="12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14"/>
      <c r="Z1538" s="3"/>
      <c r="AA1538" s="3"/>
      <c r="AB1538" s="3"/>
      <c r="AC1538" s="3"/>
      <c r="AD1538" s="3"/>
      <c r="AE1538" s="3"/>
      <c r="AF1538" s="3"/>
      <c r="AG1538" s="3"/>
      <c r="AH1538" s="3"/>
    </row>
    <row r="1539" spans="1:34" ht="14.25" customHeight="1" x14ac:dyDescent="0.25">
      <c r="A1539" s="3"/>
      <c r="B1539" s="3"/>
      <c r="C1539" s="3"/>
      <c r="D1539" s="3"/>
      <c r="E1539" s="3"/>
      <c r="F1539" s="3"/>
      <c r="G1539" s="3"/>
      <c r="H1539" s="11"/>
      <c r="I1539" s="12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14"/>
      <c r="Z1539" s="3"/>
      <c r="AA1539" s="3"/>
      <c r="AB1539" s="3"/>
      <c r="AC1539" s="3"/>
      <c r="AD1539" s="3"/>
      <c r="AE1539" s="3"/>
      <c r="AF1539" s="3"/>
      <c r="AG1539" s="3"/>
      <c r="AH1539" s="3"/>
    </row>
    <row r="1540" spans="1:34" ht="14.25" customHeight="1" x14ac:dyDescent="0.25">
      <c r="A1540" s="3"/>
      <c r="B1540" s="3"/>
      <c r="C1540" s="3"/>
      <c r="D1540" s="3"/>
      <c r="E1540" s="3"/>
      <c r="F1540" s="3"/>
      <c r="G1540" s="3"/>
      <c r="H1540" s="11"/>
      <c r="I1540" s="12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14"/>
      <c r="Z1540" s="3"/>
      <c r="AA1540" s="3"/>
      <c r="AB1540" s="3"/>
      <c r="AC1540" s="3"/>
      <c r="AD1540" s="3"/>
      <c r="AE1540" s="3"/>
      <c r="AF1540" s="3"/>
      <c r="AG1540" s="3"/>
      <c r="AH1540" s="3"/>
    </row>
    <row r="1541" spans="1:34" ht="14.25" customHeight="1" x14ac:dyDescent="0.25">
      <c r="A1541" s="3"/>
      <c r="B1541" s="3"/>
      <c r="C1541" s="3"/>
      <c r="D1541" s="3"/>
      <c r="E1541" s="3"/>
      <c r="F1541" s="3"/>
      <c r="G1541" s="3"/>
      <c r="H1541" s="11"/>
      <c r="I1541" s="12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14"/>
      <c r="Z1541" s="3"/>
      <c r="AA1541" s="3"/>
      <c r="AB1541" s="3"/>
      <c r="AC1541" s="3"/>
      <c r="AD1541" s="3"/>
      <c r="AE1541" s="3"/>
      <c r="AF1541" s="3"/>
      <c r="AG1541" s="3"/>
      <c r="AH1541" s="3"/>
    </row>
    <row r="1542" spans="1:34" ht="14.25" customHeight="1" x14ac:dyDescent="0.25">
      <c r="A1542" s="3"/>
      <c r="B1542" s="3"/>
      <c r="C1542" s="3"/>
      <c r="D1542" s="3"/>
      <c r="E1542" s="3"/>
      <c r="F1542" s="3"/>
      <c r="G1542" s="3"/>
      <c r="H1542" s="11"/>
      <c r="I1542" s="12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14"/>
      <c r="Z1542" s="3"/>
      <c r="AA1542" s="3"/>
      <c r="AB1542" s="3"/>
      <c r="AC1542" s="3"/>
      <c r="AD1542" s="3"/>
      <c r="AE1542" s="3"/>
      <c r="AF1542" s="3"/>
      <c r="AG1542" s="3"/>
      <c r="AH1542" s="3"/>
    </row>
    <row r="1543" spans="1:34" ht="14.25" customHeight="1" x14ac:dyDescent="0.25">
      <c r="A1543" s="3"/>
      <c r="B1543" s="3"/>
      <c r="C1543" s="3"/>
      <c r="D1543" s="3"/>
      <c r="E1543" s="3"/>
      <c r="F1543" s="3"/>
      <c r="G1543" s="3"/>
      <c r="H1543" s="11"/>
      <c r="I1543" s="12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14"/>
      <c r="Z1543" s="3"/>
      <c r="AA1543" s="3"/>
      <c r="AB1543" s="3"/>
      <c r="AC1543" s="3"/>
      <c r="AD1543" s="3"/>
      <c r="AE1543" s="3"/>
      <c r="AF1543" s="3"/>
      <c r="AG1543" s="3"/>
      <c r="AH1543" s="3"/>
    </row>
    <row r="1544" spans="1:34" ht="14.25" customHeight="1" x14ac:dyDescent="0.25">
      <c r="A1544" s="3"/>
      <c r="B1544" s="3"/>
      <c r="C1544" s="3"/>
      <c r="D1544" s="3"/>
      <c r="E1544" s="3"/>
      <c r="F1544" s="3"/>
      <c r="G1544" s="3"/>
      <c r="H1544" s="11"/>
      <c r="I1544" s="12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14"/>
      <c r="Z1544" s="3"/>
      <c r="AA1544" s="3"/>
      <c r="AB1544" s="3"/>
      <c r="AC1544" s="3"/>
      <c r="AD1544" s="3"/>
      <c r="AE1544" s="3"/>
      <c r="AF1544" s="3"/>
      <c r="AG1544" s="3"/>
      <c r="AH1544" s="3"/>
    </row>
    <row r="1545" spans="1:34" ht="14.25" customHeight="1" x14ac:dyDescent="0.25">
      <c r="A1545" s="3"/>
      <c r="B1545" s="3"/>
      <c r="C1545" s="3"/>
      <c r="D1545" s="3"/>
      <c r="E1545" s="3"/>
      <c r="F1545" s="3"/>
      <c r="G1545" s="3"/>
      <c r="H1545" s="11"/>
      <c r="I1545" s="12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14"/>
      <c r="Z1545" s="3"/>
      <c r="AA1545" s="3"/>
      <c r="AB1545" s="3"/>
      <c r="AC1545" s="3"/>
      <c r="AD1545" s="3"/>
      <c r="AE1545" s="3"/>
      <c r="AF1545" s="3"/>
      <c r="AG1545" s="3"/>
      <c r="AH1545" s="3"/>
    </row>
    <row r="1546" spans="1:34" ht="14.25" customHeight="1" x14ac:dyDescent="0.25">
      <c r="A1546" s="3"/>
      <c r="B1546" s="3"/>
      <c r="C1546" s="3"/>
      <c r="D1546" s="3"/>
      <c r="E1546" s="3"/>
      <c r="F1546" s="3"/>
      <c r="G1546" s="3"/>
      <c r="H1546" s="11"/>
      <c r="I1546" s="12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14"/>
      <c r="Z1546" s="3"/>
      <c r="AA1546" s="3"/>
      <c r="AB1546" s="3"/>
      <c r="AC1546" s="3"/>
      <c r="AD1546" s="3"/>
      <c r="AE1546" s="3"/>
      <c r="AF1546" s="3"/>
      <c r="AG1546" s="3"/>
      <c r="AH1546" s="3"/>
    </row>
    <row r="1547" spans="1:34" ht="14.25" customHeight="1" x14ac:dyDescent="0.25">
      <c r="A1547" s="3"/>
      <c r="B1547" s="3"/>
      <c r="C1547" s="3"/>
      <c r="D1547" s="3"/>
      <c r="E1547" s="3"/>
      <c r="F1547" s="3"/>
      <c r="G1547" s="14"/>
      <c r="H1547" s="11"/>
      <c r="I1547" s="12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14"/>
      <c r="Z1547" s="3"/>
      <c r="AA1547" s="3"/>
      <c r="AB1547" s="3"/>
      <c r="AC1547" s="3"/>
      <c r="AD1547" s="3"/>
      <c r="AE1547" s="3"/>
      <c r="AF1547" s="3"/>
      <c r="AG1547" s="3"/>
      <c r="AH1547" s="3"/>
    </row>
    <row r="1548" spans="1:34" ht="14.25" customHeight="1" x14ac:dyDescent="0.25">
      <c r="A1548" s="3"/>
      <c r="B1548" s="3"/>
      <c r="C1548" s="3"/>
      <c r="D1548" s="3"/>
      <c r="E1548" s="3"/>
      <c r="F1548" s="3"/>
      <c r="G1548" s="14"/>
      <c r="H1548" s="11"/>
      <c r="I1548" s="12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14"/>
      <c r="Z1548" s="3"/>
      <c r="AA1548" s="3"/>
      <c r="AB1548" s="3"/>
      <c r="AC1548" s="3"/>
      <c r="AD1548" s="3"/>
      <c r="AE1548" s="3"/>
      <c r="AF1548" s="3"/>
      <c r="AG1548" s="3"/>
      <c r="AH1548" s="3"/>
    </row>
    <row r="1549" spans="1:34" ht="14.25" customHeight="1" x14ac:dyDescent="0.25">
      <c r="A1549" s="3"/>
      <c r="B1549" s="3"/>
      <c r="C1549" s="3"/>
      <c r="D1549" s="3"/>
      <c r="E1549" s="3"/>
      <c r="F1549" s="3"/>
      <c r="G1549" s="14"/>
      <c r="H1549" s="11"/>
      <c r="I1549" s="12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14"/>
      <c r="Z1549" s="3"/>
      <c r="AA1549" s="3"/>
      <c r="AB1549" s="3"/>
      <c r="AC1549" s="3"/>
      <c r="AD1549" s="3"/>
      <c r="AE1549" s="3"/>
      <c r="AF1549" s="3"/>
      <c r="AG1549" s="3"/>
      <c r="AH1549" s="3"/>
    </row>
    <row r="1550" spans="1:34" ht="14.25" customHeight="1" x14ac:dyDescent="0.25">
      <c r="A1550" s="3"/>
      <c r="B1550" s="3"/>
      <c r="C1550" s="3"/>
      <c r="D1550" s="3"/>
      <c r="E1550" s="3"/>
      <c r="F1550" s="3"/>
      <c r="G1550" s="14"/>
      <c r="H1550" s="11"/>
      <c r="I1550" s="12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14"/>
      <c r="Z1550" s="3"/>
      <c r="AA1550" s="3"/>
      <c r="AB1550" s="3"/>
      <c r="AC1550" s="3"/>
      <c r="AD1550" s="3"/>
      <c r="AE1550" s="3"/>
      <c r="AF1550" s="3"/>
      <c r="AG1550" s="3"/>
      <c r="AH1550" s="3"/>
    </row>
    <row r="1551" spans="1:34" ht="14.25" customHeight="1" x14ac:dyDescent="0.25">
      <c r="A1551" s="3"/>
      <c r="B1551" s="3"/>
      <c r="C1551" s="3"/>
      <c r="D1551" s="3"/>
      <c r="E1551" s="3"/>
      <c r="F1551" s="3"/>
      <c r="G1551" s="14"/>
      <c r="H1551" s="11"/>
      <c r="I1551" s="12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14"/>
      <c r="Z1551" s="3"/>
      <c r="AA1551" s="3"/>
      <c r="AB1551" s="3"/>
      <c r="AC1551" s="3"/>
      <c r="AD1551" s="3"/>
      <c r="AE1551" s="3"/>
      <c r="AF1551" s="3"/>
      <c r="AG1551" s="3"/>
      <c r="AH1551" s="3"/>
    </row>
    <row r="1552" spans="1:34" ht="14.25" customHeight="1" x14ac:dyDescent="0.25">
      <c r="A1552" s="3"/>
      <c r="B1552" s="3"/>
      <c r="C1552" s="3"/>
      <c r="D1552" s="3"/>
      <c r="E1552" s="3"/>
      <c r="F1552" s="3"/>
      <c r="G1552" s="3"/>
      <c r="H1552" s="11"/>
      <c r="I1552" s="12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14"/>
      <c r="Z1552" s="3"/>
      <c r="AA1552" s="3"/>
      <c r="AB1552" s="3"/>
      <c r="AC1552" s="3"/>
      <c r="AD1552" s="3"/>
      <c r="AE1552" s="3"/>
      <c r="AF1552" s="3"/>
      <c r="AG1552" s="3"/>
      <c r="AH1552" s="3"/>
    </row>
    <row r="1553" spans="1:34" ht="14.25" customHeight="1" x14ac:dyDescent="0.25">
      <c r="A1553" s="3"/>
      <c r="B1553" s="3"/>
      <c r="C1553" s="3"/>
      <c r="D1553" s="3"/>
      <c r="E1553" s="3"/>
      <c r="F1553" s="3"/>
      <c r="G1553" s="3"/>
      <c r="H1553" s="11"/>
      <c r="I1553" s="12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14"/>
      <c r="Z1553" s="3"/>
      <c r="AA1553" s="3"/>
      <c r="AB1553" s="3"/>
      <c r="AC1553" s="3"/>
      <c r="AD1553" s="3"/>
      <c r="AE1553" s="3"/>
      <c r="AF1553" s="3"/>
      <c r="AG1553" s="3"/>
      <c r="AH1553" s="3"/>
    </row>
    <row r="1554" spans="1:34" ht="14.25" customHeight="1" x14ac:dyDescent="0.25">
      <c r="A1554" s="3"/>
      <c r="B1554" s="3"/>
      <c r="C1554" s="3"/>
      <c r="D1554" s="3"/>
      <c r="E1554" s="3"/>
      <c r="F1554" s="3"/>
      <c r="G1554" s="3"/>
      <c r="H1554" s="11"/>
      <c r="I1554" s="12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14"/>
      <c r="Z1554" s="3"/>
      <c r="AA1554" s="3"/>
      <c r="AB1554" s="3"/>
      <c r="AC1554" s="3"/>
      <c r="AD1554" s="3"/>
      <c r="AE1554" s="3"/>
      <c r="AF1554" s="3"/>
      <c r="AG1554" s="3"/>
      <c r="AH1554" s="3"/>
    </row>
    <row r="1555" spans="1:34" ht="14.25" customHeight="1" x14ac:dyDescent="0.25">
      <c r="A1555" s="3"/>
      <c r="B1555" s="3"/>
      <c r="C1555" s="3"/>
      <c r="D1555" s="3"/>
      <c r="E1555" s="3"/>
      <c r="F1555" s="3"/>
      <c r="G1555" s="14"/>
      <c r="H1555" s="11"/>
      <c r="I1555" s="12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14"/>
      <c r="Z1555" s="3"/>
      <c r="AA1555" s="3"/>
      <c r="AB1555" s="3"/>
      <c r="AC1555" s="3"/>
      <c r="AD1555" s="3"/>
      <c r="AE1555" s="3"/>
      <c r="AF1555" s="3"/>
      <c r="AG1555" s="3"/>
      <c r="AH1555" s="3"/>
    </row>
    <row r="1556" spans="1:34" ht="14.25" customHeight="1" x14ac:dyDescent="0.25">
      <c r="A1556" s="3"/>
      <c r="B1556" s="3"/>
      <c r="C1556" s="3"/>
      <c r="D1556" s="3"/>
      <c r="E1556" s="3"/>
      <c r="F1556" s="3"/>
      <c r="G1556" s="14"/>
      <c r="H1556" s="11"/>
      <c r="I1556" s="12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14"/>
      <c r="Z1556" s="3"/>
      <c r="AA1556" s="3"/>
      <c r="AB1556" s="3"/>
      <c r="AC1556" s="3"/>
      <c r="AD1556" s="3"/>
      <c r="AE1556" s="3"/>
      <c r="AF1556" s="3"/>
      <c r="AG1556" s="3"/>
      <c r="AH1556" s="3"/>
    </row>
    <row r="1557" spans="1:34" ht="14.25" customHeight="1" x14ac:dyDescent="0.25">
      <c r="A1557" s="3"/>
      <c r="B1557" s="3"/>
      <c r="C1557" s="3"/>
      <c r="D1557" s="3"/>
      <c r="E1557" s="3"/>
      <c r="F1557" s="3"/>
      <c r="G1557" s="3"/>
      <c r="H1557" s="11"/>
      <c r="I1557" s="12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14"/>
      <c r="Z1557" s="3"/>
      <c r="AA1557" s="3"/>
      <c r="AB1557" s="3"/>
      <c r="AC1557" s="3"/>
      <c r="AD1557" s="3"/>
      <c r="AE1557" s="3"/>
      <c r="AF1557" s="3"/>
      <c r="AG1557" s="3"/>
      <c r="AH1557" s="3"/>
    </row>
    <row r="1558" spans="1:34" ht="14.25" customHeight="1" x14ac:dyDescent="0.25">
      <c r="A1558" s="3"/>
      <c r="B1558" s="3"/>
      <c r="C1558" s="3"/>
      <c r="D1558" s="3"/>
      <c r="E1558" s="3"/>
      <c r="F1558" s="3"/>
      <c r="G1558" s="3"/>
      <c r="H1558" s="11"/>
      <c r="I1558" s="12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14"/>
      <c r="Z1558" s="3"/>
      <c r="AA1558" s="3"/>
      <c r="AB1558" s="3"/>
      <c r="AC1558" s="3"/>
      <c r="AD1558" s="3"/>
      <c r="AE1558" s="3"/>
      <c r="AF1558" s="3"/>
      <c r="AG1558" s="3"/>
      <c r="AH1558" s="3"/>
    </row>
    <row r="1559" spans="1:34" ht="14.25" customHeight="1" x14ac:dyDescent="0.25">
      <c r="A1559" s="3"/>
      <c r="B1559" s="3"/>
      <c r="C1559" s="3"/>
      <c r="D1559" s="3"/>
      <c r="E1559" s="3"/>
      <c r="F1559" s="3"/>
      <c r="G1559" s="3"/>
      <c r="H1559" s="11"/>
      <c r="I1559" s="12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14"/>
      <c r="Z1559" s="3"/>
      <c r="AA1559" s="3"/>
      <c r="AB1559" s="3"/>
      <c r="AC1559" s="3"/>
      <c r="AD1559" s="3"/>
      <c r="AE1559" s="3"/>
      <c r="AF1559" s="3"/>
      <c r="AG1559" s="3"/>
      <c r="AH1559" s="3"/>
    </row>
    <row r="1560" spans="1:34" ht="14.25" customHeight="1" x14ac:dyDescent="0.25">
      <c r="A1560" s="3"/>
      <c r="B1560" s="3"/>
      <c r="C1560" s="3"/>
      <c r="D1560" s="3"/>
      <c r="E1560" s="3"/>
      <c r="F1560" s="3"/>
      <c r="G1560" s="3"/>
      <c r="H1560" s="11"/>
      <c r="I1560" s="12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14"/>
      <c r="Z1560" s="3"/>
      <c r="AA1560" s="3"/>
      <c r="AB1560" s="3"/>
      <c r="AC1560" s="3"/>
      <c r="AD1560" s="3"/>
      <c r="AE1560" s="3"/>
      <c r="AF1560" s="3"/>
      <c r="AG1560" s="3"/>
      <c r="AH1560" s="3"/>
    </row>
    <row r="1561" spans="1:34" ht="14.25" customHeight="1" x14ac:dyDescent="0.25">
      <c r="A1561" s="3"/>
      <c r="B1561" s="3"/>
      <c r="C1561" s="3"/>
      <c r="D1561" s="3"/>
      <c r="E1561" s="3"/>
      <c r="F1561" s="3"/>
      <c r="G1561" s="14"/>
      <c r="H1561" s="11"/>
      <c r="I1561" s="12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14"/>
      <c r="Z1561" s="3"/>
      <c r="AA1561" s="3"/>
      <c r="AB1561" s="3"/>
      <c r="AC1561" s="3"/>
      <c r="AD1561" s="3"/>
      <c r="AE1561" s="3"/>
      <c r="AF1561" s="3"/>
      <c r="AG1561" s="3"/>
      <c r="AH1561" s="3"/>
    </row>
    <row r="1562" spans="1:34" ht="14.25" customHeight="1" x14ac:dyDescent="0.25">
      <c r="A1562" s="3"/>
      <c r="B1562" s="3"/>
      <c r="C1562" s="3"/>
      <c r="D1562" s="3"/>
      <c r="E1562" s="3"/>
      <c r="F1562" s="3"/>
      <c r="G1562" s="14"/>
      <c r="H1562" s="11"/>
      <c r="I1562" s="12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14"/>
      <c r="Z1562" s="3"/>
      <c r="AA1562" s="3"/>
      <c r="AB1562" s="3"/>
      <c r="AC1562" s="3"/>
      <c r="AD1562" s="3"/>
      <c r="AE1562" s="3"/>
      <c r="AF1562" s="3"/>
      <c r="AG1562" s="3"/>
      <c r="AH1562" s="3"/>
    </row>
    <row r="1563" spans="1:34" ht="14.25" customHeight="1" x14ac:dyDescent="0.25">
      <c r="A1563" s="3"/>
      <c r="B1563" s="3"/>
      <c r="C1563" s="3"/>
      <c r="D1563" s="3"/>
      <c r="E1563" s="3"/>
      <c r="F1563" s="3"/>
      <c r="G1563" s="3"/>
      <c r="H1563" s="11"/>
      <c r="I1563" s="12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14"/>
      <c r="Z1563" s="3"/>
      <c r="AA1563" s="3"/>
      <c r="AB1563" s="3"/>
      <c r="AC1563" s="3"/>
      <c r="AD1563" s="3"/>
      <c r="AE1563" s="3"/>
      <c r="AF1563" s="3"/>
      <c r="AG1563" s="3"/>
      <c r="AH1563" s="3"/>
    </row>
    <row r="1564" spans="1:34" ht="14.25" customHeight="1" x14ac:dyDescent="0.25">
      <c r="A1564" s="3"/>
      <c r="B1564" s="3"/>
      <c r="C1564" s="3"/>
      <c r="D1564" s="3"/>
      <c r="E1564" s="3"/>
      <c r="F1564" s="3"/>
      <c r="G1564" s="3"/>
      <c r="H1564" s="11"/>
      <c r="I1564" s="12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14"/>
      <c r="Z1564" s="3"/>
      <c r="AA1564" s="3"/>
      <c r="AB1564" s="3"/>
      <c r="AC1564" s="3"/>
      <c r="AD1564" s="3"/>
      <c r="AE1564" s="3"/>
      <c r="AF1564" s="3"/>
      <c r="AG1564" s="3"/>
      <c r="AH1564" s="3"/>
    </row>
    <row r="1565" spans="1:34" ht="14.25" customHeight="1" x14ac:dyDescent="0.25">
      <c r="A1565" s="3"/>
      <c r="B1565" s="3"/>
      <c r="C1565" s="3"/>
      <c r="D1565" s="3"/>
      <c r="E1565" s="3"/>
      <c r="F1565" s="3"/>
      <c r="G1565" s="3"/>
      <c r="H1565" s="11"/>
      <c r="I1565" s="12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14"/>
      <c r="Z1565" s="3"/>
      <c r="AA1565" s="3"/>
      <c r="AB1565" s="3"/>
      <c r="AC1565" s="3"/>
      <c r="AD1565" s="3"/>
      <c r="AE1565" s="3"/>
      <c r="AF1565" s="3"/>
      <c r="AG1565" s="3"/>
      <c r="AH1565" s="3"/>
    </row>
    <row r="1566" spans="1:34" ht="14.25" customHeight="1" x14ac:dyDescent="0.25">
      <c r="A1566" s="3"/>
      <c r="B1566" s="3"/>
      <c r="C1566" s="3"/>
      <c r="D1566" s="3"/>
      <c r="E1566" s="3"/>
      <c r="F1566" s="3"/>
      <c r="G1566" s="14"/>
      <c r="H1566" s="11"/>
      <c r="I1566" s="12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14"/>
      <c r="Z1566" s="3"/>
      <c r="AA1566" s="3"/>
      <c r="AB1566" s="3"/>
      <c r="AC1566" s="3"/>
      <c r="AD1566" s="3"/>
      <c r="AE1566" s="3"/>
      <c r="AF1566" s="3"/>
      <c r="AG1566" s="3"/>
      <c r="AH1566" s="3"/>
    </row>
    <row r="1567" spans="1:34" ht="14.25" customHeight="1" x14ac:dyDescent="0.25">
      <c r="A1567" s="3"/>
      <c r="B1567" s="3"/>
      <c r="C1567" s="3"/>
      <c r="D1567" s="3"/>
      <c r="E1567" s="3"/>
      <c r="F1567" s="3"/>
      <c r="G1567" s="14"/>
      <c r="H1567" s="11"/>
      <c r="I1567" s="12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14"/>
      <c r="Z1567" s="3"/>
      <c r="AA1567" s="3"/>
      <c r="AB1567" s="3"/>
      <c r="AC1567" s="3"/>
      <c r="AD1567" s="3"/>
      <c r="AE1567" s="3"/>
      <c r="AF1567" s="3"/>
      <c r="AG1567" s="3"/>
      <c r="AH1567" s="3"/>
    </row>
    <row r="1568" spans="1:34" ht="14.25" customHeight="1" x14ac:dyDescent="0.25">
      <c r="A1568" s="3"/>
      <c r="B1568" s="3"/>
      <c r="C1568" s="3"/>
      <c r="D1568" s="3"/>
      <c r="E1568" s="3"/>
      <c r="F1568" s="3"/>
      <c r="G1568" s="3"/>
      <c r="H1568" s="11"/>
      <c r="I1568" s="12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14"/>
      <c r="X1568" s="3"/>
      <c r="Y1568" s="14"/>
      <c r="Z1568" s="3"/>
      <c r="AA1568" s="3"/>
      <c r="AB1568" s="3"/>
      <c r="AC1568" s="3"/>
      <c r="AD1568" s="3"/>
      <c r="AE1568" s="3"/>
      <c r="AF1568" s="3"/>
      <c r="AG1568" s="3"/>
      <c r="AH1568" s="3"/>
    </row>
    <row r="1569" spans="1:34" ht="14.25" customHeight="1" x14ac:dyDescent="0.25">
      <c r="A1569" s="3"/>
      <c r="B1569" s="3"/>
      <c r="C1569" s="3"/>
      <c r="D1569" s="3"/>
      <c r="E1569" s="3"/>
      <c r="F1569" s="3"/>
      <c r="G1569" s="3"/>
      <c r="H1569" s="11"/>
      <c r="I1569" s="12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</row>
    <row r="1570" spans="1:34" ht="14.25" customHeight="1" x14ac:dyDescent="0.25">
      <c r="A1570" s="3"/>
      <c r="B1570" s="3"/>
      <c r="C1570" s="3"/>
      <c r="D1570" s="3"/>
      <c r="E1570" s="3"/>
      <c r="F1570" s="3"/>
      <c r="G1570" s="3"/>
      <c r="H1570" s="11"/>
      <c r="I1570" s="12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</row>
    <row r="1571" spans="1:34" ht="14.25" customHeight="1" x14ac:dyDescent="0.25">
      <c r="A1571" s="3"/>
      <c r="B1571" s="3"/>
      <c r="C1571" s="3"/>
      <c r="D1571" s="3"/>
      <c r="E1571" s="3"/>
      <c r="F1571" s="3"/>
      <c r="G1571" s="3"/>
      <c r="H1571" s="11"/>
      <c r="I1571" s="12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</row>
    <row r="1572" spans="1:34" ht="14.25" customHeight="1" x14ac:dyDescent="0.25">
      <c r="A1572" s="3"/>
      <c r="B1572" s="3"/>
      <c r="C1572" s="3"/>
      <c r="D1572" s="3"/>
      <c r="E1572" s="3"/>
      <c r="F1572" s="3"/>
      <c r="G1572" s="3"/>
      <c r="H1572" s="11"/>
      <c r="I1572" s="12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</row>
    <row r="1573" spans="1:34" ht="14.25" customHeight="1" x14ac:dyDescent="0.25">
      <c r="A1573" s="3"/>
      <c r="B1573" s="3"/>
      <c r="C1573" s="3"/>
      <c r="D1573" s="3"/>
      <c r="E1573" s="3"/>
      <c r="F1573" s="3"/>
      <c r="G1573" s="3"/>
      <c r="H1573" s="11"/>
      <c r="I1573" s="12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</row>
    <row r="1574" spans="1:34" ht="14.25" customHeight="1" x14ac:dyDescent="0.25">
      <c r="A1574" s="3"/>
      <c r="B1574" s="3"/>
      <c r="C1574" s="3"/>
      <c r="D1574" s="3"/>
      <c r="E1574" s="3"/>
      <c r="F1574" s="3"/>
      <c r="G1574" s="3"/>
      <c r="H1574" s="11"/>
      <c r="I1574" s="12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</row>
    <row r="1575" spans="1:34" ht="14.25" customHeight="1" x14ac:dyDescent="0.25">
      <c r="A1575" s="3"/>
      <c r="B1575" s="3"/>
      <c r="C1575" s="3"/>
      <c r="D1575" s="3"/>
      <c r="E1575" s="3"/>
      <c r="F1575" s="3"/>
      <c r="G1575" s="3"/>
      <c r="H1575" s="11"/>
      <c r="I1575" s="12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</row>
    <row r="1576" spans="1:34" ht="14.25" customHeight="1" x14ac:dyDescent="0.25">
      <c r="A1576" s="3"/>
      <c r="B1576" s="3"/>
      <c r="C1576" s="3"/>
      <c r="D1576" s="3"/>
      <c r="E1576" s="3"/>
      <c r="F1576" s="3"/>
      <c r="G1576" s="3"/>
      <c r="H1576" s="11"/>
      <c r="I1576" s="12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</row>
    <row r="1577" spans="1:34" ht="14.25" customHeight="1" x14ac:dyDescent="0.25">
      <c r="A1577" s="3"/>
      <c r="B1577" s="3"/>
      <c r="C1577" s="3"/>
      <c r="D1577" s="3"/>
      <c r="E1577" s="3"/>
      <c r="F1577" s="3"/>
      <c r="G1577" s="3"/>
      <c r="H1577" s="11"/>
      <c r="I1577" s="12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</row>
    <row r="1578" spans="1:34" ht="14.25" customHeight="1" x14ac:dyDescent="0.25">
      <c r="A1578" s="3"/>
      <c r="B1578" s="3"/>
      <c r="C1578" s="3"/>
      <c r="D1578" s="3"/>
      <c r="E1578" s="3"/>
      <c r="F1578" s="3"/>
      <c r="G1578" s="3"/>
      <c r="H1578" s="11"/>
      <c r="I1578" s="12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</row>
    <row r="1579" spans="1:34" ht="14.25" customHeight="1" x14ac:dyDescent="0.25">
      <c r="A1579" s="3"/>
      <c r="B1579" s="3"/>
      <c r="C1579" s="3"/>
      <c r="D1579" s="3"/>
      <c r="E1579" s="3"/>
      <c r="F1579" s="3"/>
      <c r="G1579" s="3"/>
      <c r="H1579" s="11"/>
      <c r="I1579" s="12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</row>
    <row r="1580" spans="1:34" ht="14.25" customHeight="1" x14ac:dyDescent="0.25">
      <c r="A1580" s="3"/>
      <c r="B1580" s="3"/>
      <c r="C1580" s="3"/>
      <c r="D1580" s="3"/>
      <c r="E1580" s="3"/>
      <c r="F1580" s="3"/>
      <c r="G1580" s="3"/>
      <c r="H1580" s="11"/>
      <c r="I1580" s="12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</row>
    <row r="1581" spans="1:34" ht="14.25" customHeight="1" x14ac:dyDescent="0.25">
      <c r="A1581" s="3"/>
      <c r="B1581" s="3"/>
      <c r="C1581" s="3"/>
      <c r="D1581" s="3"/>
      <c r="E1581" s="3"/>
      <c r="F1581" s="3"/>
      <c r="G1581" s="3"/>
      <c r="H1581" s="11"/>
      <c r="I1581" s="12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</row>
    <row r="1582" spans="1:34" ht="14.25" customHeight="1" x14ac:dyDescent="0.25">
      <c r="A1582" s="3"/>
      <c r="B1582" s="3"/>
      <c r="C1582" s="3"/>
      <c r="D1582" s="3"/>
      <c r="E1582" s="3"/>
      <c r="F1582" s="3"/>
      <c r="G1582" s="3"/>
      <c r="H1582" s="11"/>
      <c r="I1582" s="12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</row>
    <row r="1583" spans="1:34" ht="14.25" customHeight="1" x14ac:dyDescent="0.25">
      <c r="A1583" s="3"/>
      <c r="B1583" s="3"/>
      <c r="C1583" s="3"/>
      <c r="D1583" s="3"/>
      <c r="E1583" s="3"/>
      <c r="F1583" s="3"/>
      <c r="G1583" s="3"/>
      <c r="H1583" s="11"/>
      <c r="I1583" s="12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</row>
    <row r="1584" spans="1:34" ht="14.25" customHeight="1" x14ac:dyDescent="0.25">
      <c r="A1584" s="3"/>
      <c r="B1584" s="3"/>
      <c r="C1584" s="3"/>
      <c r="D1584" s="3"/>
      <c r="E1584" s="3"/>
      <c r="F1584" s="3"/>
      <c r="G1584" s="3"/>
      <c r="H1584" s="11"/>
      <c r="I1584" s="12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</row>
    <row r="1585" spans="1:34" ht="14.25" customHeight="1" x14ac:dyDescent="0.25">
      <c r="A1585" s="3"/>
      <c r="B1585" s="3"/>
      <c r="C1585" s="3"/>
      <c r="D1585" s="3"/>
      <c r="E1585" s="3"/>
      <c r="F1585" s="3"/>
      <c r="G1585" s="3"/>
      <c r="H1585" s="11"/>
      <c r="I1585" s="12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</row>
    <row r="1586" spans="1:34" ht="14.25" customHeight="1" x14ac:dyDescent="0.25">
      <c r="A1586" s="3"/>
      <c r="B1586" s="3"/>
      <c r="C1586" s="3"/>
      <c r="D1586" s="3"/>
      <c r="E1586" s="3"/>
      <c r="F1586" s="3"/>
      <c r="G1586" s="3"/>
      <c r="H1586" s="11"/>
      <c r="I1586" s="12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</row>
    <row r="1587" spans="1:34" ht="14.25" customHeight="1" x14ac:dyDescent="0.25">
      <c r="A1587" s="3"/>
      <c r="B1587" s="3"/>
      <c r="C1587" s="3"/>
      <c r="D1587" s="3"/>
      <c r="E1587" s="3"/>
      <c r="F1587" s="3"/>
      <c r="G1587" s="3"/>
      <c r="H1587" s="11"/>
      <c r="I1587" s="12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</row>
    <row r="1588" spans="1:34" ht="14.25" customHeight="1" x14ac:dyDescent="0.25">
      <c r="A1588" s="3"/>
      <c r="B1588" s="3"/>
      <c r="C1588" s="3"/>
      <c r="D1588" s="3"/>
      <c r="E1588" s="3"/>
      <c r="F1588" s="3"/>
      <c r="G1588" s="3"/>
      <c r="H1588" s="11"/>
      <c r="I1588" s="12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</row>
    <row r="1589" spans="1:34" ht="14.25" customHeight="1" x14ac:dyDescent="0.25">
      <c r="A1589" s="3"/>
      <c r="B1589" s="3"/>
      <c r="C1589" s="3"/>
      <c r="D1589" s="3"/>
      <c r="E1589" s="3"/>
      <c r="F1589" s="3"/>
      <c r="G1589" s="3"/>
      <c r="H1589" s="11"/>
      <c r="I1589" s="12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</row>
    <row r="1590" spans="1:34" ht="14.25" customHeight="1" x14ac:dyDescent="0.25">
      <c r="A1590" s="3"/>
      <c r="B1590" s="3"/>
      <c r="C1590" s="3"/>
      <c r="D1590" s="3"/>
      <c r="E1590" s="3"/>
      <c r="F1590" s="3"/>
      <c r="G1590" s="3"/>
      <c r="H1590" s="11"/>
      <c r="I1590" s="12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</row>
    <row r="1591" spans="1:34" ht="14.25" customHeight="1" x14ac:dyDescent="0.25">
      <c r="A1591" s="3"/>
      <c r="B1591" s="3"/>
      <c r="C1591" s="3"/>
      <c r="D1591" s="3"/>
      <c r="E1591" s="3"/>
      <c r="F1591" s="3"/>
      <c r="G1591" s="3"/>
      <c r="H1591" s="11"/>
      <c r="I1591" s="12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</row>
    <row r="1592" spans="1:34" ht="14.25" customHeight="1" x14ac:dyDescent="0.25">
      <c r="A1592" s="3"/>
      <c r="B1592" s="3"/>
      <c r="C1592" s="3"/>
      <c r="D1592" s="3"/>
      <c r="E1592" s="3"/>
      <c r="F1592" s="3"/>
      <c r="G1592" s="3"/>
      <c r="H1592" s="11"/>
      <c r="I1592" s="12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</row>
    <row r="1593" spans="1:34" ht="14.25" customHeight="1" x14ac:dyDescent="0.25">
      <c r="A1593" s="3"/>
      <c r="B1593" s="3"/>
      <c r="C1593" s="3"/>
      <c r="D1593" s="3"/>
      <c r="E1593" s="3"/>
      <c r="F1593" s="3"/>
      <c r="G1593" s="3"/>
      <c r="H1593" s="11"/>
      <c r="I1593" s="12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</row>
    <row r="1594" spans="1:34" ht="14.25" customHeight="1" x14ac:dyDescent="0.25">
      <c r="A1594" s="3"/>
      <c r="B1594" s="3"/>
      <c r="C1594" s="3"/>
      <c r="D1594" s="3"/>
      <c r="E1594" s="3"/>
      <c r="F1594" s="3"/>
      <c r="G1594" s="3"/>
      <c r="H1594" s="11"/>
      <c r="I1594" s="12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</row>
    <row r="1595" spans="1:34" ht="14.25" customHeight="1" x14ac:dyDescent="0.25">
      <c r="A1595" s="3"/>
      <c r="B1595" s="3"/>
      <c r="C1595" s="3"/>
      <c r="D1595" s="3"/>
      <c r="E1595" s="3"/>
      <c r="F1595" s="3"/>
      <c r="G1595" s="3"/>
      <c r="H1595" s="11"/>
      <c r="I1595" s="12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</row>
    <row r="1596" spans="1:34" ht="14.25" customHeight="1" x14ac:dyDescent="0.25">
      <c r="A1596" s="3"/>
      <c r="B1596" s="3"/>
      <c r="C1596" s="3"/>
      <c r="D1596" s="3"/>
      <c r="E1596" s="3"/>
      <c r="F1596" s="3"/>
      <c r="G1596" s="3"/>
      <c r="H1596" s="11"/>
      <c r="I1596" s="12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</row>
    <row r="1597" spans="1:34" ht="14.25" customHeight="1" x14ac:dyDescent="0.25">
      <c r="A1597" s="3"/>
      <c r="B1597" s="3"/>
      <c r="C1597" s="3"/>
      <c r="D1597" s="3"/>
      <c r="E1597" s="3"/>
      <c r="F1597" s="3"/>
      <c r="G1597" s="3"/>
      <c r="H1597" s="11"/>
      <c r="I1597" s="12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</row>
    <row r="1598" spans="1:34" ht="14.25" customHeight="1" x14ac:dyDescent="0.25">
      <c r="A1598" s="3"/>
      <c r="B1598" s="3"/>
      <c r="C1598" s="3"/>
      <c r="D1598" s="3"/>
      <c r="E1598" s="3"/>
      <c r="F1598" s="3"/>
      <c r="G1598" s="3"/>
      <c r="H1598" s="11"/>
      <c r="I1598" s="12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</row>
    <row r="1599" spans="1:34" ht="14.25" customHeight="1" x14ac:dyDescent="0.25">
      <c r="A1599" s="3"/>
      <c r="B1599" s="3"/>
      <c r="C1599" s="3"/>
      <c r="D1599" s="3"/>
      <c r="E1599" s="3"/>
      <c r="F1599" s="3"/>
      <c r="G1599" s="3"/>
      <c r="H1599" s="11"/>
      <c r="I1599" s="12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14"/>
      <c r="X1599" s="3"/>
      <c r="Y1599" s="14"/>
      <c r="Z1599" s="3"/>
      <c r="AA1599" s="3"/>
      <c r="AB1599" s="3"/>
      <c r="AC1599" s="3"/>
      <c r="AD1599" s="3"/>
      <c r="AE1599" s="3"/>
      <c r="AF1599" s="3"/>
      <c r="AG1599" s="3"/>
      <c r="AH1599" s="3"/>
    </row>
    <row r="1600" spans="1:34" ht="14.25" customHeight="1" x14ac:dyDescent="0.25">
      <c r="A1600" s="3"/>
      <c r="B1600" s="3"/>
      <c r="C1600" s="3"/>
      <c r="D1600" s="3"/>
      <c r="E1600" s="3"/>
      <c r="F1600" s="3"/>
      <c r="G1600" s="3"/>
      <c r="H1600" s="11"/>
      <c r="I1600" s="12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14"/>
      <c r="X1600" s="3"/>
      <c r="Y1600" s="14"/>
      <c r="Z1600" s="3"/>
      <c r="AA1600" s="3"/>
      <c r="AB1600" s="3"/>
      <c r="AC1600" s="3"/>
      <c r="AD1600" s="3"/>
      <c r="AE1600" s="3"/>
      <c r="AF1600" s="3"/>
      <c r="AG1600" s="3"/>
      <c r="AH1600" s="3"/>
    </row>
    <row r="1601" spans="1:34" ht="14.25" customHeight="1" x14ac:dyDescent="0.25">
      <c r="A1601" s="3"/>
      <c r="B1601" s="3"/>
      <c r="C1601" s="3"/>
      <c r="D1601" s="3"/>
      <c r="E1601" s="3"/>
      <c r="F1601" s="3"/>
      <c r="G1601" s="3"/>
      <c r="H1601" s="11"/>
      <c r="I1601" s="12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14"/>
      <c r="X1601" s="3"/>
      <c r="Y1601" s="14"/>
      <c r="Z1601" s="3"/>
      <c r="AA1601" s="3"/>
      <c r="AB1601" s="3"/>
      <c r="AC1601" s="3"/>
      <c r="AD1601" s="3"/>
      <c r="AE1601" s="3"/>
      <c r="AF1601" s="3"/>
      <c r="AG1601" s="3"/>
      <c r="AH1601" s="3"/>
    </row>
    <row r="1602" spans="1:34" ht="14.25" customHeight="1" x14ac:dyDescent="0.25">
      <c r="A1602" s="3"/>
      <c r="B1602" s="3"/>
      <c r="C1602" s="3"/>
      <c r="D1602" s="3"/>
      <c r="E1602" s="3"/>
      <c r="F1602" s="3"/>
      <c r="G1602" s="3"/>
      <c r="H1602" s="11"/>
      <c r="I1602" s="12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14"/>
      <c r="X1602" s="3"/>
      <c r="Y1602" s="14"/>
      <c r="Z1602" s="3"/>
      <c r="AA1602" s="3"/>
      <c r="AB1602" s="3"/>
      <c r="AC1602" s="3"/>
      <c r="AD1602" s="3"/>
      <c r="AE1602" s="3"/>
      <c r="AF1602" s="3"/>
      <c r="AG1602" s="3"/>
      <c r="AH1602" s="3"/>
    </row>
    <row r="1603" spans="1:34" ht="14.25" customHeight="1" x14ac:dyDescent="0.25">
      <c r="A1603" s="3"/>
      <c r="B1603" s="3"/>
      <c r="C1603" s="3"/>
      <c r="D1603" s="3"/>
      <c r="E1603" s="3"/>
      <c r="F1603" s="3"/>
      <c r="G1603" s="3"/>
      <c r="H1603" s="11"/>
      <c r="I1603" s="12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14"/>
      <c r="X1603" s="3"/>
      <c r="Y1603" s="14"/>
      <c r="Z1603" s="3"/>
      <c r="AA1603" s="3"/>
      <c r="AB1603" s="3"/>
      <c r="AC1603" s="3"/>
      <c r="AD1603" s="3"/>
      <c r="AE1603" s="3"/>
      <c r="AF1603" s="3"/>
      <c r="AG1603" s="3"/>
      <c r="AH1603" s="3"/>
    </row>
    <row r="1604" spans="1:34" ht="14.25" customHeight="1" x14ac:dyDescent="0.25">
      <c r="A1604" s="3"/>
      <c r="B1604" s="3"/>
      <c r="C1604" s="3"/>
      <c r="D1604" s="3"/>
      <c r="E1604" s="3"/>
      <c r="F1604" s="3"/>
      <c r="G1604" s="3"/>
      <c r="H1604" s="11"/>
      <c r="I1604" s="12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14"/>
      <c r="X1604" s="3"/>
      <c r="Y1604" s="14"/>
      <c r="Z1604" s="3"/>
      <c r="AA1604" s="3"/>
      <c r="AB1604" s="3"/>
      <c r="AC1604" s="3"/>
      <c r="AD1604" s="3"/>
      <c r="AE1604" s="3"/>
      <c r="AF1604" s="3"/>
      <c r="AG1604" s="3"/>
      <c r="AH1604" s="3"/>
    </row>
    <row r="1605" spans="1:34" ht="14.25" customHeight="1" x14ac:dyDescent="0.25">
      <c r="A1605" s="3"/>
      <c r="B1605" s="3"/>
      <c r="C1605" s="3"/>
      <c r="D1605" s="3"/>
      <c r="E1605" s="3"/>
      <c r="F1605" s="3"/>
      <c r="G1605" s="3"/>
      <c r="H1605" s="11"/>
      <c r="I1605" s="12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14"/>
      <c r="X1605" s="3"/>
      <c r="Y1605" s="14"/>
      <c r="Z1605" s="3"/>
      <c r="AA1605" s="3"/>
      <c r="AB1605" s="3"/>
      <c r="AC1605" s="3"/>
      <c r="AD1605" s="3"/>
      <c r="AE1605" s="3"/>
      <c r="AF1605" s="3"/>
      <c r="AG1605" s="3"/>
      <c r="AH1605" s="3"/>
    </row>
    <row r="1606" spans="1:34" ht="14.25" customHeight="1" x14ac:dyDescent="0.25">
      <c r="A1606" s="3"/>
      <c r="B1606" s="3"/>
      <c r="C1606" s="3"/>
      <c r="D1606" s="3"/>
      <c r="E1606" s="3"/>
      <c r="F1606" s="3"/>
      <c r="G1606" s="3"/>
      <c r="H1606" s="11"/>
      <c r="I1606" s="12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14"/>
      <c r="X1606" s="3"/>
      <c r="Y1606" s="14"/>
      <c r="Z1606" s="3"/>
      <c r="AA1606" s="3"/>
      <c r="AB1606" s="3"/>
      <c r="AC1606" s="3"/>
      <c r="AD1606" s="3"/>
      <c r="AE1606" s="3"/>
      <c r="AF1606" s="3"/>
      <c r="AG1606" s="3"/>
      <c r="AH1606" s="3"/>
    </row>
    <row r="1607" spans="1:34" ht="14.25" customHeight="1" x14ac:dyDescent="0.25">
      <c r="A1607" s="3"/>
      <c r="B1607" s="3"/>
      <c r="C1607" s="3"/>
      <c r="D1607" s="3"/>
      <c r="E1607" s="3"/>
      <c r="F1607" s="3"/>
      <c r="G1607" s="3"/>
      <c r="H1607" s="11"/>
      <c r="I1607" s="12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14"/>
      <c r="X1607" s="3"/>
      <c r="Y1607" s="14"/>
      <c r="Z1607" s="3"/>
      <c r="AA1607" s="3"/>
      <c r="AB1607" s="3"/>
      <c r="AC1607" s="3"/>
      <c r="AD1607" s="3"/>
      <c r="AE1607" s="3"/>
      <c r="AF1607" s="3"/>
      <c r="AG1607" s="3"/>
      <c r="AH1607" s="3"/>
    </row>
    <row r="1608" spans="1:34" ht="14.25" customHeight="1" x14ac:dyDescent="0.25">
      <c r="A1608" s="3"/>
      <c r="B1608" s="3"/>
      <c r="C1608" s="3"/>
      <c r="D1608" s="3"/>
      <c r="E1608" s="3"/>
      <c r="F1608" s="3"/>
      <c r="G1608" s="3"/>
      <c r="H1608" s="11"/>
      <c r="I1608" s="12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14"/>
      <c r="X1608" s="3"/>
      <c r="Y1608" s="14"/>
      <c r="Z1608" s="3"/>
      <c r="AA1608" s="3"/>
      <c r="AB1608" s="3"/>
      <c r="AC1608" s="3"/>
      <c r="AD1608" s="3"/>
      <c r="AE1608" s="3"/>
      <c r="AF1608" s="3"/>
      <c r="AG1608" s="3"/>
      <c r="AH1608" s="3"/>
    </row>
    <row r="1609" spans="1:34" ht="14.25" customHeight="1" x14ac:dyDescent="0.25">
      <c r="A1609" s="3"/>
      <c r="B1609" s="3"/>
      <c r="C1609" s="3"/>
      <c r="D1609" s="3"/>
      <c r="E1609" s="3"/>
      <c r="F1609" s="3"/>
      <c r="G1609" s="3"/>
      <c r="H1609" s="11"/>
      <c r="I1609" s="12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14"/>
      <c r="X1609" s="3"/>
      <c r="Y1609" s="14"/>
      <c r="Z1609" s="3"/>
      <c r="AA1609" s="3"/>
      <c r="AB1609" s="3"/>
      <c r="AC1609" s="3"/>
      <c r="AD1609" s="3"/>
      <c r="AE1609" s="3"/>
      <c r="AF1609" s="3"/>
      <c r="AG1609" s="3"/>
      <c r="AH1609" s="3"/>
    </row>
    <row r="1610" spans="1:34" ht="14.25" customHeight="1" x14ac:dyDescent="0.25">
      <c r="A1610" s="3"/>
      <c r="B1610" s="3"/>
      <c r="C1610" s="3"/>
      <c r="D1610" s="3"/>
      <c r="E1610" s="3"/>
      <c r="F1610" s="3"/>
      <c r="G1610" s="3"/>
      <c r="H1610" s="11"/>
      <c r="I1610" s="12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14"/>
      <c r="X1610" s="3"/>
      <c r="Y1610" s="14"/>
      <c r="Z1610" s="3"/>
      <c r="AA1610" s="3"/>
      <c r="AB1610" s="3"/>
      <c r="AC1610" s="3"/>
      <c r="AD1610" s="3"/>
      <c r="AE1610" s="3"/>
      <c r="AF1610" s="3"/>
      <c r="AG1610" s="3"/>
      <c r="AH1610" s="3"/>
    </row>
    <row r="1611" spans="1:34" ht="14.25" customHeight="1" x14ac:dyDescent="0.25">
      <c r="A1611" s="3"/>
      <c r="B1611" s="3"/>
      <c r="C1611" s="3"/>
      <c r="D1611" s="3"/>
      <c r="E1611" s="3"/>
      <c r="F1611" s="3"/>
      <c r="G1611" s="3"/>
      <c r="H1611" s="11"/>
      <c r="I1611" s="12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14"/>
      <c r="X1611" s="3"/>
      <c r="Y1611" s="14"/>
      <c r="Z1611" s="3"/>
      <c r="AA1611" s="3"/>
      <c r="AB1611" s="3"/>
      <c r="AC1611" s="3"/>
      <c r="AD1611" s="3"/>
      <c r="AE1611" s="3"/>
      <c r="AF1611" s="3"/>
      <c r="AG1611" s="3"/>
      <c r="AH1611" s="3"/>
    </row>
    <row r="1612" spans="1:34" ht="14.25" customHeight="1" x14ac:dyDescent="0.25">
      <c r="A1612" s="3"/>
      <c r="B1612" s="3"/>
      <c r="C1612" s="3"/>
      <c r="D1612" s="3"/>
      <c r="E1612" s="3"/>
      <c r="F1612" s="3"/>
      <c r="G1612" s="3"/>
      <c r="H1612" s="11"/>
      <c r="I1612" s="12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14"/>
      <c r="X1612" s="3"/>
      <c r="Y1612" s="14"/>
      <c r="Z1612" s="3"/>
      <c r="AA1612" s="3"/>
      <c r="AB1612" s="3"/>
      <c r="AC1612" s="3"/>
      <c r="AD1612" s="3"/>
      <c r="AE1612" s="3"/>
      <c r="AF1612" s="3"/>
      <c r="AG1612" s="3"/>
      <c r="AH1612" s="3"/>
    </row>
    <row r="1613" spans="1:34" ht="14.25" customHeight="1" x14ac:dyDescent="0.25">
      <c r="A1613" s="3"/>
      <c r="B1613" s="3"/>
      <c r="C1613" s="3"/>
      <c r="D1613" s="3"/>
      <c r="E1613" s="3"/>
      <c r="F1613" s="3"/>
      <c r="G1613" s="3"/>
      <c r="H1613" s="11"/>
      <c r="I1613" s="12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14"/>
      <c r="X1613" s="3"/>
      <c r="Y1613" s="14"/>
      <c r="Z1613" s="3"/>
      <c r="AA1613" s="3"/>
      <c r="AB1613" s="3"/>
      <c r="AC1613" s="3"/>
      <c r="AD1613" s="3"/>
      <c r="AE1613" s="3"/>
      <c r="AF1613" s="3"/>
      <c r="AG1613" s="3"/>
      <c r="AH1613" s="3"/>
    </row>
    <row r="1614" spans="1:34" ht="14.25" customHeight="1" x14ac:dyDescent="0.25">
      <c r="A1614" s="3"/>
      <c r="B1614" s="3"/>
      <c r="C1614" s="3"/>
      <c r="D1614" s="3"/>
      <c r="E1614" s="3"/>
      <c r="F1614" s="3"/>
      <c r="G1614" s="3"/>
      <c r="H1614" s="11"/>
      <c r="I1614" s="12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14"/>
      <c r="X1614" s="3"/>
      <c r="Y1614" s="14"/>
      <c r="Z1614" s="3"/>
      <c r="AA1614" s="3"/>
      <c r="AB1614" s="3"/>
      <c r="AC1614" s="3"/>
      <c r="AD1614" s="3"/>
      <c r="AE1614" s="3"/>
      <c r="AF1614" s="3"/>
      <c r="AG1614" s="3"/>
      <c r="AH1614" s="3"/>
    </row>
    <row r="1615" spans="1:34" ht="14.25" customHeight="1" x14ac:dyDescent="0.25">
      <c r="A1615" s="3"/>
      <c r="B1615" s="3"/>
      <c r="C1615" s="3"/>
      <c r="D1615" s="3"/>
      <c r="E1615" s="3"/>
      <c r="F1615" s="3"/>
      <c r="G1615" s="3"/>
      <c r="H1615" s="11"/>
      <c r="I1615" s="12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14"/>
      <c r="X1615" s="3"/>
      <c r="Y1615" s="14"/>
      <c r="Z1615" s="3"/>
      <c r="AA1615" s="3"/>
      <c r="AB1615" s="3"/>
      <c r="AC1615" s="3"/>
      <c r="AD1615" s="3"/>
      <c r="AE1615" s="3"/>
      <c r="AF1615" s="3"/>
      <c r="AG1615" s="3"/>
      <c r="AH1615" s="3"/>
    </row>
    <row r="1616" spans="1:34" ht="14.25" customHeight="1" x14ac:dyDescent="0.25">
      <c r="A1616" s="3"/>
      <c r="B1616" s="3"/>
      <c r="C1616" s="3"/>
      <c r="D1616" s="3"/>
      <c r="E1616" s="3"/>
      <c r="F1616" s="3"/>
      <c r="G1616" s="3"/>
      <c r="H1616" s="11"/>
      <c r="I1616" s="12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14"/>
      <c r="X1616" s="3"/>
      <c r="Y1616" s="14"/>
      <c r="Z1616" s="3"/>
      <c r="AA1616" s="3"/>
      <c r="AB1616" s="3"/>
      <c r="AC1616" s="3"/>
      <c r="AD1616" s="3"/>
      <c r="AE1616" s="3"/>
      <c r="AF1616" s="3"/>
      <c r="AG1616" s="3"/>
      <c r="AH1616" s="3"/>
    </row>
    <row r="1617" spans="1:34" ht="14.25" customHeight="1" x14ac:dyDescent="0.25">
      <c r="A1617" s="3"/>
      <c r="B1617" s="3"/>
      <c r="C1617" s="3"/>
      <c r="D1617" s="3"/>
      <c r="E1617" s="3"/>
      <c r="F1617" s="3"/>
      <c r="G1617" s="3"/>
      <c r="H1617" s="11"/>
      <c r="I1617" s="12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14"/>
      <c r="X1617" s="3"/>
      <c r="Y1617" s="14"/>
      <c r="Z1617" s="3"/>
      <c r="AA1617" s="3"/>
      <c r="AB1617" s="3"/>
      <c r="AC1617" s="3"/>
      <c r="AD1617" s="3"/>
      <c r="AE1617" s="3"/>
      <c r="AF1617" s="3"/>
      <c r="AG1617" s="3"/>
      <c r="AH1617" s="3"/>
    </row>
    <row r="1618" spans="1:34" ht="14.25" customHeight="1" x14ac:dyDescent="0.25">
      <c r="A1618" s="3"/>
      <c r="B1618" s="3"/>
      <c r="C1618" s="3"/>
      <c r="D1618" s="3"/>
      <c r="E1618" s="3"/>
      <c r="F1618" s="3"/>
      <c r="G1618" s="3"/>
      <c r="H1618" s="11"/>
      <c r="I1618" s="12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14"/>
      <c r="X1618" s="3"/>
      <c r="Y1618" s="14"/>
      <c r="Z1618" s="3"/>
      <c r="AA1618" s="3"/>
      <c r="AB1618" s="3"/>
      <c r="AC1618" s="3"/>
      <c r="AD1618" s="3"/>
      <c r="AE1618" s="3"/>
      <c r="AF1618" s="3"/>
      <c r="AG1618" s="3"/>
      <c r="AH1618" s="3"/>
    </row>
    <row r="1619" spans="1:34" ht="14.25" customHeight="1" x14ac:dyDescent="0.25">
      <c r="A1619" s="3"/>
      <c r="B1619" s="3"/>
      <c r="C1619" s="3"/>
      <c r="D1619" s="3"/>
      <c r="E1619" s="3"/>
      <c r="F1619" s="3"/>
      <c r="G1619" s="3"/>
      <c r="H1619" s="11"/>
      <c r="I1619" s="12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14"/>
      <c r="X1619" s="3"/>
      <c r="Y1619" s="14"/>
      <c r="Z1619" s="3"/>
      <c r="AA1619" s="3"/>
      <c r="AB1619" s="3"/>
      <c r="AC1619" s="3"/>
      <c r="AD1619" s="3"/>
      <c r="AE1619" s="3"/>
      <c r="AF1619" s="3"/>
      <c r="AG1619" s="3"/>
      <c r="AH1619" s="3"/>
    </row>
    <row r="1620" spans="1:34" ht="14.25" customHeight="1" x14ac:dyDescent="0.25">
      <c r="A1620" s="3"/>
      <c r="B1620" s="3"/>
      <c r="C1620" s="3"/>
      <c r="D1620" s="3"/>
      <c r="E1620" s="3"/>
      <c r="F1620" s="3"/>
      <c r="G1620" s="3"/>
      <c r="H1620" s="11"/>
      <c r="I1620" s="12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14"/>
      <c r="X1620" s="3"/>
      <c r="Y1620" s="14"/>
      <c r="Z1620" s="3"/>
      <c r="AA1620" s="3"/>
      <c r="AB1620" s="3"/>
      <c r="AC1620" s="3"/>
      <c r="AD1620" s="3"/>
      <c r="AE1620" s="3"/>
      <c r="AF1620" s="3"/>
      <c r="AG1620" s="3"/>
      <c r="AH1620" s="3"/>
    </row>
    <row r="1621" spans="1:34" ht="14.25" customHeight="1" x14ac:dyDescent="0.25">
      <c r="A1621" s="3"/>
      <c r="B1621" s="3"/>
      <c r="C1621" s="3"/>
      <c r="D1621" s="3"/>
      <c r="E1621" s="3"/>
      <c r="F1621" s="3"/>
      <c r="G1621" s="3"/>
      <c r="H1621" s="11"/>
      <c r="I1621" s="12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14"/>
      <c r="X1621" s="3"/>
      <c r="Y1621" s="14"/>
      <c r="Z1621" s="3"/>
      <c r="AA1621" s="3"/>
      <c r="AB1621" s="3"/>
      <c r="AC1621" s="3"/>
      <c r="AD1621" s="3"/>
      <c r="AE1621" s="3"/>
      <c r="AF1621" s="3"/>
      <c r="AG1621" s="3"/>
      <c r="AH1621" s="3"/>
    </row>
    <row r="1622" spans="1:34" ht="14.25" customHeight="1" x14ac:dyDescent="0.25">
      <c r="A1622" s="3"/>
      <c r="B1622" s="3"/>
      <c r="C1622" s="3"/>
      <c r="D1622" s="3"/>
      <c r="E1622" s="3"/>
      <c r="F1622" s="3"/>
      <c r="G1622" s="3"/>
      <c r="H1622" s="11"/>
      <c r="I1622" s="12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14"/>
      <c r="X1622" s="3"/>
      <c r="Y1622" s="14"/>
      <c r="Z1622" s="3"/>
      <c r="AA1622" s="3"/>
      <c r="AB1622" s="3"/>
      <c r="AC1622" s="3"/>
      <c r="AD1622" s="3"/>
      <c r="AE1622" s="3"/>
      <c r="AF1622" s="3"/>
      <c r="AG1622" s="3"/>
      <c r="AH1622" s="3"/>
    </row>
    <row r="1623" spans="1:34" ht="14.25" customHeight="1" x14ac:dyDescent="0.25">
      <c r="A1623" s="3"/>
      <c r="B1623" s="3"/>
      <c r="C1623" s="3"/>
      <c r="D1623" s="3"/>
      <c r="E1623" s="3"/>
      <c r="F1623" s="3"/>
      <c r="G1623" s="3"/>
      <c r="H1623" s="11"/>
      <c r="I1623" s="12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14"/>
      <c r="X1623" s="3"/>
      <c r="Y1623" s="14"/>
      <c r="Z1623" s="3"/>
      <c r="AA1623" s="3"/>
      <c r="AB1623" s="3"/>
      <c r="AC1623" s="3"/>
      <c r="AD1623" s="3"/>
      <c r="AE1623" s="3"/>
      <c r="AF1623" s="3"/>
      <c r="AG1623" s="3"/>
      <c r="AH1623" s="3"/>
    </row>
    <row r="1624" spans="1:34" ht="14.25" customHeight="1" x14ac:dyDescent="0.25">
      <c r="A1624" s="3"/>
      <c r="B1624" s="3"/>
      <c r="C1624" s="3"/>
      <c r="D1624" s="3"/>
      <c r="E1624" s="3"/>
      <c r="F1624" s="3"/>
      <c r="G1624" s="3"/>
      <c r="H1624" s="11"/>
      <c r="I1624" s="12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14"/>
      <c r="X1624" s="3"/>
      <c r="Y1624" s="14"/>
      <c r="Z1624" s="3"/>
      <c r="AA1624" s="3"/>
      <c r="AB1624" s="3"/>
      <c r="AC1624" s="3"/>
      <c r="AD1624" s="3"/>
      <c r="AE1624" s="3"/>
      <c r="AF1624" s="3"/>
      <c r="AG1624" s="3"/>
      <c r="AH1624" s="3"/>
    </row>
    <row r="1625" spans="1:34" ht="14.25" customHeight="1" x14ac:dyDescent="0.25">
      <c r="A1625" s="3"/>
      <c r="B1625" s="3"/>
      <c r="C1625" s="3"/>
      <c r="D1625" s="3"/>
      <c r="E1625" s="3"/>
      <c r="F1625" s="3"/>
      <c r="G1625" s="3"/>
      <c r="H1625" s="11"/>
      <c r="I1625" s="12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14"/>
      <c r="X1625" s="3"/>
      <c r="Y1625" s="14"/>
      <c r="Z1625" s="3"/>
      <c r="AA1625" s="3"/>
      <c r="AB1625" s="3"/>
      <c r="AC1625" s="3"/>
      <c r="AD1625" s="3"/>
      <c r="AE1625" s="3"/>
      <c r="AF1625" s="3"/>
      <c r="AG1625" s="3"/>
      <c r="AH1625" s="3"/>
    </row>
    <row r="1626" spans="1:34" ht="14.25" customHeight="1" x14ac:dyDescent="0.25">
      <c r="A1626" s="3"/>
      <c r="B1626" s="3"/>
      <c r="C1626" s="3"/>
      <c r="D1626" s="3"/>
      <c r="E1626" s="3"/>
      <c r="F1626" s="3"/>
      <c r="G1626" s="3"/>
      <c r="H1626" s="11"/>
      <c r="I1626" s="12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14"/>
      <c r="X1626" s="3"/>
      <c r="Y1626" s="14"/>
      <c r="Z1626" s="3"/>
      <c r="AA1626" s="3"/>
      <c r="AB1626" s="3"/>
      <c r="AC1626" s="3"/>
      <c r="AD1626" s="3"/>
      <c r="AE1626" s="3"/>
      <c r="AF1626" s="3"/>
      <c r="AG1626" s="3"/>
      <c r="AH1626" s="3"/>
    </row>
    <row r="1627" spans="1:34" ht="14.25" customHeight="1" x14ac:dyDescent="0.25">
      <c r="A1627" s="3"/>
      <c r="B1627" s="3"/>
      <c r="C1627" s="3"/>
      <c r="D1627" s="3"/>
      <c r="E1627" s="3"/>
      <c r="F1627" s="3"/>
      <c r="G1627" s="3"/>
      <c r="H1627" s="11"/>
      <c r="I1627" s="12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14"/>
      <c r="X1627" s="3"/>
      <c r="Y1627" s="14"/>
      <c r="Z1627" s="3"/>
      <c r="AA1627" s="3"/>
      <c r="AB1627" s="3"/>
      <c r="AC1627" s="3"/>
      <c r="AD1627" s="3"/>
      <c r="AE1627" s="3"/>
      <c r="AF1627" s="3"/>
      <c r="AG1627" s="3"/>
      <c r="AH1627" s="3"/>
    </row>
    <row r="1628" spans="1:34" ht="14.25" customHeight="1" x14ac:dyDescent="0.25">
      <c r="A1628" s="3"/>
      <c r="B1628" s="3"/>
      <c r="C1628" s="3"/>
      <c r="D1628" s="3"/>
      <c r="E1628" s="3"/>
      <c r="F1628" s="3"/>
      <c r="G1628" s="3"/>
      <c r="H1628" s="11"/>
      <c r="I1628" s="12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14"/>
      <c r="X1628" s="3"/>
      <c r="Y1628" s="14"/>
      <c r="Z1628" s="3"/>
      <c r="AA1628" s="3"/>
      <c r="AB1628" s="3"/>
      <c r="AC1628" s="3"/>
      <c r="AD1628" s="3"/>
      <c r="AE1628" s="3"/>
      <c r="AF1628" s="3"/>
      <c r="AG1628" s="3"/>
      <c r="AH1628" s="3"/>
    </row>
    <row r="1629" spans="1:34" ht="14.25" customHeight="1" x14ac:dyDescent="0.25">
      <c r="A1629" s="3"/>
      <c r="B1629" s="3"/>
      <c r="C1629" s="3"/>
      <c r="D1629" s="3"/>
      <c r="E1629" s="3"/>
      <c r="F1629" s="3"/>
      <c r="G1629" s="3"/>
      <c r="H1629" s="11"/>
      <c r="I1629" s="12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14"/>
      <c r="X1629" s="3"/>
      <c r="Y1629" s="14"/>
      <c r="Z1629" s="3"/>
      <c r="AA1629" s="3"/>
      <c r="AB1629" s="3"/>
      <c r="AC1629" s="3"/>
      <c r="AD1629" s="3"/>
      <c r="AE1629" s="3"/>
      <c r="AF1629" s="3"/>
      <c r="AG1629" s="3"/>
      <c r="AH1629" s="3"/>
    </row>
    <row r="1630" spans="1:34" ht="14.25" customHeight="1" x14ac:dyDescent="0.25">
      <c r="A1630" s="3"/>
      <c r="B1630" s="3"/>
      <c r="C1630" s="3"/>
      <c r="D1630" s="3"/>
      <c r="E1630" s="3"/>
      <c r="F1630" s="3"/>
      <c r="G1630" s="3"/>
      <c r="H1630" s="11"/>
      <c r="I1630" s="12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14"/>
      <c r="X1630" s="3"/>
      <c r="Y1630" s="14"/>
      <c r="Z1630" s="3"/>
      <c r="AA1630" s="3"/>
      <c r="AB1630" s="3"/>
      <c r="AC1630" s="3"/>
      <c r="AD1630" s="3"/>
      <c r="AE1630" s="3"/>
      <c r="AF1630" s="3"/>
      <c r="AG1630" s="3"/>
      <c r="AH1630" s="3"/>
    </row>
    <row r="1631" spans="1:34" ht="14.25" customHeight="1" x14ac:dyDescent="0.25">
      <c r="A1631" s="3"/>
      <c r="B1631" s="3"/>
      <c r="C1631" s="3"/>
      <c r="D1631" s="3"/>
      <c r="E1631" s="3"/>
      <c r="F1631" s="3"/>
      <c r="G1631" s="3"/>
      <c r="H1631" s="11"/>
      <c r="I1631" s="12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14"/>
      <c r="X1631" s="3"/>
      <c r="Y1631" s="14"/>
      <c r="Z1631" s="3"/>
      <c r="AA1631" s="3"/>
      <c r="AB1631" s="3"/>
      <c r="AC1631" s="3"/>
      <c r="AD1631" s="3"/>
      <c r="AE1631" s="3"/>
      <c r="AF1631" s="3"/>
      <c r="AG1631" s="3"/>
      <c r="AH1631" s="3"/>
    </row>
    <row r="1632" spans="1:34" ht="14.25" customHeight="1" x14ac:dyDescent="0.25">
      <c r="A1632" s="3"/>
      <c r="B1632" s="3"/>
      <c r="C1632" s="3"/>
      <c r="D1632" s="3"/>
      <c r="E1632" s="3"/>
      <c r="F1632" s="3"/>
      <c r="G1632" s="3"/>
      <c r="H1632" s="11"/>
      <c r="I1632" s="12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14"/>
      <c r="X1632" s="3"/>
      <c r="Y1632" s="14"/>
      <c r="Z1632" s="3"/>
      <c r="AA1632" s="3"/>
      <c r="AB1632" s="3"/>
      <c r="AC1632" s="3"/>
      <c r="AD1632" s="3"/>
      <c r="AE1632" s="3"/>
      <c r="AF1632" s="3"/>
      <c r="AG1632" s="3"/>
      <c r="AH1632" s="3"/>
    </row>
    <row r="1633" spans="1:34" ht="14.25" customHeight="1" x14ac:dyDescent="0.25">
      <c r="A1633" s="3"/>
      <c r="B1633" s="3"/>
      <c r="C1633" s="3"/>
      <c r="D1633" s="3"/>
      <c r="E1633" s="3"/>
      <c r="F1633" s="3"/>
      <c r="G1633" s="3"/>
      <c r="H1633" s="11"/>
      <c r="I1633" s="12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14"/>
      <c r="X1633" s="3"/>
      <c r="Y1633" s="14"/>
      <c r="Z1633" s="3"/>
      <c r="AA1633" s="3"/>
      <c r="AB1633" s="3"/>
      <c r="AC1633" s="3"/>
      <c r="AD1633" s="3"/>
      <c r="AE1633" s="3"/>
      <c r="AF1633" s="3"/>
      <c r="AG1633" s="3"/>
      <c r="AH1633" s="3"/>
    </row>
    <row r="1634" spans="1:34" ht="14.25" customHeight="1" x14ac:dyDescent="0.25">
      <c r="A1634" s="3"/>
      <c r="B1634" s="3"/>
      <c r="C1634" s="3"/>
      <c r="D1634" s="3"/>
      <c r="E1634" s="3"/>
      <c r="F1634" s="3"/>
      <c r="G1634" s="3"/>
      <c r="H1634" s="11"/>
      <c r="I1634" s="12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14"/>
      <c r="X1634" s="3"/>
      <c r="Y1634" s="14"/>
      <c r="Z1634" s="3"/>
      <c r="AA1634" s="3"/>
      <c r="AB1634" s="3"/>
      <c r="AC1634" s="3"/>
      <c r="AD1634" s="3"/>
      <c r="AE1634" s="3"/>
      <c r="AF1634" s="3"/>
      <c r="AG1634" s="3"/>
      <c r="AH1634" s="3"/>
    </row>
    <row r="1635" spans="1:34" ht="14.25" customHeight="1" x14ac:dyDescent="0.25">
      <c r="A1635" s="3"/>
      <c r="B1635" s="3"/>
      <c r="C1635" s="3"/>
      <c r="D1635" s="3"/>
      <c r="E1635" s="3"/>
      <c r="F1635" s="3"/>
      <c r="G1635" s="3"/>
      <c r="H1635" s="11"/>
      <c r="I1635" s="12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14"/>
      <c r="X1635" s="3"/>
      <c r="Y1635" s="14"/>
      <c r="Z1635" s="3"/>
      <c r="AA1635" s="3"/>
      <c r="AB1635" s="3"/>
      <c r="AC1635" s="3"/>
      <c r="AD1635" s="3"/>
      <c r="AE1635" s="3"/>
      <c r="AF1635" s="3"/>
      <c r="AG1635" s="3"/>
      <c r="AH1635" s="3"/>
    </row>
    <row r="1636" spans="1:34" ht="14.25" customHeight="1" x14ac:dyDescent="0.25">
      <c r="A1636" s="3"/>
      <c r="B1636" s="3"/>
      <c r="C1636" s="3"/>
      <c r="D1636" s="3"/>
      <c r="E1636" s="3"/>
      <c r="F1636" s="3"/>
      <c r="G1636" s="3"/>
      <c r="H1636" s="11"/>
      <c r="I1636" s="12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14"/>
      <c r="X1636" s="3"/>
      <c r="Y1636" s="14"/>
      <c r="Z1636" s="3"/>
      <c r="AA1636" s="3"/>
      <c r="AB1636" s="3"/>
      <c r="AC1636" s="3"/>
      <c r="AD1636" s="3"/>
      <c r="AE1636" s="3"/>
      <c r="AF1636" s="3"/>
      <c r="AG1636" s="3"/>
      <c r="AH1636" s="3"/>
    </row>
    <row r="1637" spans="1:34" ht="14.25" customHeight="1" x14ac:dyDescent="0.25">
      <c r="A1637" s="3"/>
      <c r="B1637" s="3"/>
      <c r="C1637" s="3"/>
      <c r="D1637" s="3"/>
      <c r="E1637" s="3"/>
      <c r="F1637" s="3"/>
      <c r="G1637" s="3"/>
      <c r="H1637" s="11"/>
      <c r="I1637" s="12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14"/>
      <c r="X1637" s="3"/>
      <c r="Y1637" s="14"/>
      <c r="Z1637" s="3"/>
      <c r="AA1637" s="3"/>
      <c r="AB1637" s="3"/>
      <c r="AC1637" s="3"/>
      <c r="AD1637" s="3"/>
      <c r="AE1637" s="3"/>
      <c r="AF1637" s="3"/>
      <c r="AG1637" s="3"/>
      <c r="AH1637" s="3"/>
    </row>
    <row r="1638" spans="1:34" ht="14.25" customHeight="1" x14ac:dyDescent="0.25">
      <c r="A1638" s="3"/>
      <c r="B1638" s="3"/>
      <c r="C1638" s="3"/>
      <c r="D1638" s="3"/>
      <c r="E1638" s="3"/>
      <c r="F1638" s="3"/>
      <c r="G1638" s="3"/>
      <c r="H1638" s="11"/>
      <c r="I1638" s="12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14"/>
      <c r="X1638" s="3"/>
      <c r="Y1638" s="14"/>
      <c r="Z1638" s="3"/>
      <c r="AA1638" s="3"/>
      <c r="AB1638" s="3"/>
      <c r="AC1638" s="3"/>
      <c r="AD1638" s="3"/>
      <c r="AE1638" s="3"/>
      <c r="AF1638" s="3"/>
      <c r="AG1638" s="3"/>
      <c r="AH1638" s="3"/>
    </row>
    <row r="1639" spans="1:34" ht="14.25" customHeight="1" x14ac:dyDescent="0.25">
      <c r="A1639" s="3"/>
      <c r="B1639" s="3"/>
      <c r="C1639" s="3"/>
      <c r="D1639" s="3"/>
      <c r="E1639" s="3"/>
      <c r="F1639" s="3"/>
      <c r="G1639" s="3"/>
      <c r="H1639" s="11"/>
      <c r="I1639" s="12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14"/>
      <c r="X1639" s="3"/>
      <c r="Y1639" s="14"/>
      <c r="Z1639" s="3"/>
      <c r="AA1639" s="3"/>
      <c r="AB1639" s="3"/>
      <c r="AC1639" s="3"/>
      <c r="AD1639" s="3"/>
      <c r="AE1639" s="3"/>
      <c r="AF1639" s="3"/>
      <c r="AG1639" s="3"/>
      <c r="AH1639" s="3"/>
    </row>
    <row r="1640" spans="1:34" ht="14.25" customHeight="1" x14ac:dyDescent="0.25">
      <c r="A1640" s="3"/>
      <c r="B1640" s="3"/>
      <c r="C1640" s="3"/>
      <c r="D1640" s="3"/>
      <c r="E1640" s="3"/>
      <c r="F1640" s="3"/>
      <c r="G1640" s="3"/>
      <c r="H1640" s="11"/>
      <c r="I1640" s="12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14"/>
      <c r="X1640" s="3"/>
      <c r="Y1640" s="14"/>
      <c r="Z1640" s="3"/>
      <c r="AA1640" s="3"/>
      <c r="AB1640" s="3"/>
      <c r="AC1640" s="3"/>
      <c r="AD1640" s="3"/>
      <c r="AE1640" s="3"/>
      <c r="AF1640" s="3"/>
      <c r="AG1640" s="3"/>
      <c r="AH1640" s="3"/>
    </row>
    <row r="1641" spans="1:34" ht="14.25" customHeight="1" x14ac:dyDescent="0.25">
      <c r="A1641" s="3"/>
      <c r="B1641" s="3"/>
      <c r="C1641" s="3"/>
      <c r="D1641" s="3"/>
      <c r="E1641" s="3"/>
      <c r="F1641" s="3"/>
      <c r="G1641" s="3"/>
      <c r="H1641" s="11"/>
      <c r="I1641" s="12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14"/>
      <c r="X1641" s="3"/>
      <c r="Y1641" s="14"/>
      <c r="Z1641" s="3"/>
      <c r="AA1641" s="3"/>
      <c r="AB1641" s="3"/>
      <c r="AC1641" s="3"/>
      <c r="AD1641" s="3"/>
      <c r="AE1641" s="3"/>
      <c r="AF1641" s="3"/>
      <c r="AG1641" s="3"/>
      <c r="AH1641" s="3"/>
    </row>
    <row r="1642" spans="1:34" ht="14.25" customHeight="1" x14ac:dyDescent="0.25">
      <c r="A1642" s="3"/>
      <c r="B1642" s="3"/>
      <c r="C1642" s="3"/>
      <c r="D1642" s="3"/>
      <c r="E1642" s="3"/>
      <c r="F1642" s="3"/>
      <c r="G1642" s="3"/>
      <c r="H1642" s="11"/>
      <c r="I1642" s="12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14"/>
      <c r="X1642" s="3"/>
      <c r="Y1642" s="14"/>
      <c r="Z1642" s="3"/>
      <c r="AA1642" s="3"/>
      <c r="AB1642" s="3"/>
      <c r="AC1642" s="3"/>
      <c r="AD1642" s="3"/>
      <c r="AE1642" s="3"/>
      <c r="AF1642" s="3"/>
      <c r="AG1642" s="3"/>
      <c r="AH1642" s="3"/>
    </row>
    <row r="1643" spans="1:34" ht="14.25" customHeight="1" x14ac:dyDescent="0.25">
      <c r="A1643" s="3"/>
      <c r="B1643" s="3"/>
      <c r="C1643" s="3"/>
      <c r="D1643" s="3"/>
      <c r="E1643" s="3"/>
      <c r="F1643" s="3"/>
      <c r="G1643" s="3"/>
      <c r="H1643" s="11"/>
      <c r="I1643" s="12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14"/>
      <c r="X1643" s="3"/>
      <c r="Y1643" s="14"/>
      <c r="Z1643" s="3"/>
      <c r="AA1643" s="3"/>
      <c r="AB1643" s="3"/>
      <c r="AC1643" s="3"/>
      <c r="AD1643" s="3"/>
      <c r="AE1643" s="3"/>
      <c r="AF1643" s="3"/>
      <c r="AG1643" s="3"/>
      <c r="AH1643" s="3"/>
    </row>
    <row r="1644" spans="1:34" ht="14.25" customHeight="1" x14ac:dyDescent="0.25">
      <c r="A1644" s="3"/>
      <c r="B1644" s="3"/>
      <c r="C1644" s="3"/>
      <c r="D1644" s="3"/>
      <c r="E1644" s="3"/>
      <c r="F1644" s="3"/>
      <c r="G1644" s="3"/>
      <c r="H1644" s="11"/>
      <c r="I1644" s="12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14"/>
      <c r="X1644" s="3"/>
      <c r="Y1644" s="14"/>
      <c r="Z1644" s="3"/>
      <c r="AA1644" s="3"/>
      <c r="AB1644" s="3"/>
      <c r="AC1644" s="3"/>
      <c r="AD1644" s="3"/>
      <c r="AE1644" s="3"/>
      <c r="AF1644" s="3"/>
      <c r="AG1644" s="3"/>
      <c r="AH1644" s="3"/>
    </row>
    <row r="1645" spans="1:34" ht="14.25" customHeight="1" x14ac:dyDescent="0.25">
      <c r="A1645" s="3"/>
      <c r="B1645" s="3"/>
      <c r="C1645" s="3"/>
      <c r="D1645" s="3"/>
      <c r="E1645" s="3"/>
      <c r="F1645" s="3"/>
      <c r="G1645" s="3"/>
      <c r="H1645" s="11"/>
      <c r="I1645" s="12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14"/>
      <c r="X1645" s="3"/>
      <c r="Y1645" s="14"/>
      <c r="Z1645" s="3"/>
      <c r="AA1645" s="3"/>
      <c r="AB1645" s="3"/>
      <c r="AC1645" s="3"/>
      <c r="AD1645" s="3"/>
      <c r="AE1645" s="3"/>
      <c r="AF1645" s="3"/>
      <c r="AG1645" s="3"/>
      <c r="AH1645" s="3"/>
    </row>
    <row r="1646" spans="1:34" ht="14.25" customHeight="1" x14ac:dyDescent="0.25">
      <c r="A1646" s="3"/>
      <c r="B1646" s="3"/>
      <c r="C1646" s="3"/>
      <c r="D1646" s="3"/>
      <c r="E1646" s="3"/>
      <c r="F1646" s="3"/>
      <c r="G1646" s="3"/>
      <c r="H1646" s="11"/>
      <c r="I1646" s="12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14"/>
      <c r="X1646" s="3"/>
      <c r="Y1646" s="14"/>
      <c r="Z1646" s="3"/>
      <c r="AA1646" s="3"/>
      <c r="AB1646" s="3"/>
      <c r="AC1646" s="3"/>
      <c r="AD1646" s="3"/>
      <c r="AE1646" s="3"/>
      <c r="AF1646" s="3"/>
      <c r="AG1646" s="3"/>
      <c r="AH1646" s="3"/>
    </row>
    <row r="1647" spans="1:34" ht="14.25" customHeight="1" x14ac:dyDescent="0.25">
      <c r="A1647" s="3"/>
      <c r="B1647" s="3"/>
      <c r="C1647" s="3"/>
      <c r="D1647" s="3"/>
      <c r="E1647" s="3"/>
      <c r="F1647" s="3"/>
      <c r="G1647" s="3"/>
      <c r="H1647" s="11"/>
      <c r="I1647" s="12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14"/>
      <c r="X1647" s="3"/>
      <c r="Y1647" s="14"/>
      <c r="Z1647" s="3"/>
      <c r="AA1647" s="3"/>
      <c r="AB1647" s="3"/>
      <c r="AC1647" s="3"/>
      <c r="AD1647" s="3"/>
      <c r="AE1647" s="3"/>
      <c r="AF1647" s="3"/>
      <c r="AG1647" s="3"/>
      <c r="AH1647" s="3"/>
    </row>
    <row r="1648" spans="1:34" ht="14.25" customHeight="1" x14ac:dyDescent="0.25">
      <c r="A1648" s="3"/>
      <c r="B1648" s="3"/>
      <c r="C1648" s="3"/>
      <c r="D1648" s="3"/>
      <c r="E1648" s="3"/>
      <c r="F1648" s="3"/>
      <c r="G1648" s="14"/>
      <c r="H1648" s="11"/>
      <c r="I1648" s="12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14"/>
      <c r="X1648" s="3"/>
      <c r="Y1648" s="14"/>
      <c r="Z1648" s="3"/>
      <c r="AA1648" s="3"/>
      <c r="AB1648" s="3"/>
      <c r="AC1648" s="3"/>
      <c r="AD1648" s="3"/>
      <c r="AE1648" s="3"/>
      <c r="AF1648" s="3"/>
      <c r="AG1648" s="3"/>
      <c r="AH1648" s="3"/>
    </row>
    <row r="1649" spans="1:34" ht="14.25" customHeight="1" x14ac:dyDescent="0.25">
      <c r="A1649" s="3"/>
      <c r="B1649" s="3"/>
      <c r="C1649" s="3"/>
      <c r="D1649" s="3"/>
      <c r="E1649" s="3"/>
      <c r="F1649" s="3"/>
      <c r="G1649" s="3"/>
      <c r="H1649" s="11"/>
      <c r="I1649" s="12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14"/>
      <c r="X1649" s="3"/>
      <c r="Y1649" s="14"/>
      <c r="Z1649" s="3"/>
      <c r="AA1649" s="3"/>
      <c r="AB1649" s="3"/>
      <c r="AC1649" s="3"/>
      <c r="AD1649" s="3"/>
      <c r="AE1649" s="3"/>
      <c r="AF1649" s="3"/>
      <c r="AG1649" s="3"/>
      <c r="AH1649" s="3"/>
    </row>
    <row r="1650" spans="1:34" ht="14.25" customHeight="1" x14ac:dyDescent="0.25">
      <c r="A1650" s="3"/>
      <c r="B1650" s="3"/>
      <c r="C1650" s="3"/>
      <c r="D1650" s="3"/>
      <c r="E1650" s="3"/>
      <c r="F1650" s="3"/>
      <c r="G1650" s="14"/>
      <c r="H1650" s="11"/>
      <c r="I1650" s="12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14"/>
      <c r="X1650" s="3"/>
      <c r="Y1650" s="14"/>
      <c r="Z1650" s="3"/>
      <c r="AA1650" s="3"/>
      <c r="AB1650" s="3"/>
      <c r="AC1650" s="3"/>
      <c r="AD1650" s="3"/>
      <c r="AE1650" s="3"/>
      <c r="AF1650" s="3"/>
      <c r="AG1650" s="3"/>
      <c r="AH1650" s="3"/>
    </row>
    <row r="1651" spans="1:34" ht="14.25" customHeight="1" x14ac:dyDescent="0.25">
      <c r="A1651" s="3"/>
      <c r="B1651" s="3"/>
      <c r="C1651" s="3"/>
      <c r="D1651" s="3"/>
      <c r="E1651" s="3"/>
      <c r="F1651" s="3"/>
      <c r="G1651" s="3"/>
      <c r="H1651" s="11"/>
      <c r="I1651" s="12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14"/>
      <c r="X1651" s="3"/>
      <c r="Y1651" s="14"/>
      <c r="Z1651" s="3"/>
      <c r="AA1651" s="3"/>
      <c r="AB1651" s="3"/>
      <c r="AC1651" s="3"/>
      <c r="AD1651" s="3"/>
      <c r="AE1651" s="3"/>
      <c r="AF1651" s="3"/>
      <c r="AG1651" s="3"/>
      <c r="AH1651" s="3"/>
    </row>
    <row r="1652" spans="1:34" ht="14.25" customHeight="1" x14ac:dyDescent="0.25">
      <c r="A1652" s="3"/>
      <c r="B1652" s="3"/>
      <c r="C1652" s="3"/>
      <c r="D1652" s="3"/>
      <c r="E1652" s="3"/>
      <c r="F1652" s="3"/>
      <c r="G1652" s="3"/>
      <c r="H1652" s="11"/>
      <c r="I1652" s="12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14"/>
      <c r="X1652" s="3"/>
      <c r="Y1652" s="14"/>
      <c r="Z1652" s="3"/>
      <c r="AA1652" s="3"/>
      <c r="AB1652" s="3"/>
      <c r="AC1652" s="3"/>
      <c r="AD1652" s="3"/>
      <c r="AE1652" s="3"/>
      <c r="AF1652" s="3"/>
      <c r="AG1652" s="3"/>
      <c r="AH1652" s="3"/>
    </row>
    <row r="1653" spans="1:34" ht="14.25" customHeight="1" x14ac:dyDescent="0.25">
      <c r="A1653" s="3"/>
      <c r="B1653" s="3"/>
      <c r="C1653" s="3"/>
      <c r="D1653" s="3"/>
      <c r="E1653" s="3"/>
      <c r="F1653" s="3"/>
      <c r="G1653" s="3"/>
      <c r="H1653" s="11"/>
      <c r="I1653" s="12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14"/>
      <c r="X1653" s="3"/>
      <c r="Y1653" s="14"/>
      <c r="Z1653" s="3"/>
      <c r="AA1653" s="3"/>
      <c r="AB1653" s="3"/>
      <c r="AC1653" s="3"/>
      <c r="AD1653" s="3"/>
      <c r="AE1653" s="3"/>
      <c r="AF1653" s="3"/>
      <c r="AG1653" s="3"/>
      <c r="AH1653" s="3"/>
    </row>
    <row r="1654" spans="1:34" ht="14.25" customHeight="1" x14ac:dyDescent="0.25">
      <c r="A1654" s="3"/>
      <c r="B1654" s="3"/>
      <c r="C1654" s="3"/>
      <c r="D1654" s="3"/>
      <c r="E1654" s="3"/>
      <c r="F1654" s="3"/>
      <c r="G1654" s="3"/>
      <c r="H1654" s="11"/>
      <c r="I1654" s="12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14"/>
      <c r="X1654" s="3"/>
      <c r="Y1654" s="14"/>
      <c r="Z1654" s="3"/>
      <c r="AA1654" s="3"/>
      <c r="AB1654" s="3"/>
      <c r="AC1654" s="3"/>
      <c r="AD1654" s="3"/>
      <c r="AE1654" s="3"/>
      <c r="AF1654" s="3"/>
      <c r="AG1654" s="3"/>
      <c r="AH1654" s="3"/>
    </row>
    <row r="1655" spans="1:34" ht="14.25" customHeight="1" x14ac:dyDescent="0.25">
      <c r="A1655" s="3"/>
      <c r="B1655" s="3"/>
      <c r="C1655" s="3"/>
      <c r="D1655" s="3"/>
      <c r="E1655" s="3"/>
      <c r="F1655" s="3"/>
      <c r="G1655" s="3"/>
      <c r="H1655" s="11"/>
      <c r="I1655" s="12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14"/>
      <c r="X1655" s="3"/>
      <c r="Y1655" s="14"/>
      <c r="Z1655" s="3"/>
      <c r="AA1655" s="3"/>
      <c r="AB1655" s="3"/>
      <c r="AC1655" s="3"/>
      <c r="AD1655" s="3"/>
      <c r="AE1655" s="3"/>
      <c r="AF1655" s="3"/>
      <c r="AG1655" s="3"/>
      <c r="AH1655" s="3"/>
    </row>
    <row r="1656" spans="1:34" ht="14.25" customHeight="1" x14ac:dyDescent="0.25">
      <c r="A1656" s="3"/>
      <c r="B1656" s="3"/>
      <c r="C1656" s="3"/>
      <c r="D1656" s="3"/>
      <c r="E1656" s="3"/>
      <c r="F1656" s="3"/>
      <c r="G1656" s="3"/>
      <c r="H1656" s="11"/>
      <c r="I1656" s="12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14"/>
      <c r="X1656" s="3"/>
      <c r="Y1656" s="14"/>
      <c r="Z1656" s="3"/>
      <c r="AA1656" s="3"/>
      <c r="AB1656" s="3"/>
      <c r="AC1656" s="3"/>
      <c r="AD1656" s="3"/>
      <c r="AE1656" s="3"/>
      <c r="AF1656" s="3"/>
      <c r="AG1656" s="3"/>
      <c r="AH1656" s="3"/>
    </row>
    <row r="1657" spans="1:34" ht="14.25" customHeight="1" x14ac:dyDescent="0.25">
      <c r="A1657" s="3"/>
      <c r="B1657" s="3"/>
      <c r="C1657" s="3"/>
      <c r="D1657" s="3"/>
      <c r="E1657" s="3"/>
      <c r="F1657" s="3"/>
      <c r="G1657" s="3"/>
      <c r="H1657" s="11"/>
      <c r="I1657" s="12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14"/>
      <c r="X1657" s="3"/>
      <c r="Y1657" s="14"/>
      <c r="Z1657" s="3"/>
      <c r="AA1657" s="3"/>
      <c r="AB1657" s="3"/>
      <c r="AC1657" s="3"/>
      <c r="AD1657" s="3"/>
      <c r="AE1657" s="3"/>
      <c r="AF1657" s="3"/>
      <c r="AG1657" s="3"/>
      <c r="AH1657" s="3"/>
    </row>
    <row r="1658" spans="1:34" ht="14.25" customHeight="1" x14ac:dyDescent="0.25">
      <c r="A1658" s="3"/>
      <c r="B1658" s="3"/>
      <c r="C1658" s="3"/>
      <c r="D1658" s="3"/>
      <c r="E1658" s="3"/>
      <c r="F1658" s="3"/>
      <c r="G1658" s="3"/>
      <c r="H1658" s="11"/>
      <c r="I1658" s="12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14"/>
      <c r="X1658" s="3"/>
      <c r="Y1658" s="14"/>
      <c r="Z1658" s="3"/>
      <c r="AA1658" s="3"/>
      <c r="AB1658" s="3"/>
      <c r="AC1658" s="3"/>
      <c r="AD1658" s="3"/>
      <c r="AE1658" s="3"/>
      <c r="AF1658" s="3"/>
      <c r="AG1658" s="3"/>
      <c r="AH1658" s="3"/>
    </row>
    <row r="1659" spans="1:34" ht="14.25" customHeight="1" x14ac:dyDescent="0.25">
      <c r="A1659" s="3"/>
      <c r="B1659" s="3"/>
      <c r="C1659" s="3"/>
      <c r="D1659" s="3"/>
      <c r="E1659" s="3"/>
      <c r="F1659" s="3"/>
      <c r="G1659" s="3"/>
      <c r="H1659" s="11"/>
      <c r="I1659" s="12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14"/>
      <c r="X1659" s="3"/>
      <c r="Y1659" s="14"/>
      <c r="Z1659" s="3"/>
      <c r="AA1659" s="3"/>
      <c r="AB1659" s="3"/>
      <c r="AC1659" s="3"/>
      <c r="AD1659" s="3"/>
      <c r="AE1659" s="3"/>
      <c r="AF1659" s="3"/>
      <c r="AG1659" s="3"/>
      <c r="AH1659" s="3"/>
    </row>
    <row r="1660" spans="1:34" ht="14.25" customHeight="1" x14ac:dyDescent="0.25">
      <c r="A1660" s="3"/>
      <c r="B1660" s="3"/>
      <c r="C1660" s="3"/>
      <c r="D1660" s="3"/>
      <c r="E1660" s="3"/>
      <c r="F1660" s="3"/>
      <c r="G1660" s="3"/>
      <c r="H1660" s="11"/>
      <c r="I1660" s="12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14"/>
      <c r="X1660" s="3"/>
      <c r="Y1660" s="14"/>
      <c r="Z1660" s="3"/>
      <c r="AA1660" s="3"/>
      <c r="AB1660" s="3"/>
      <c r="AC1660" s="3"/>
      <c r="AD1660" s="3"/>
      <c r="AE1660" s="3"/>
      <c r="AF1660" s="3"/>
      <c r="AG1660" s="3"/>
      <c r="AH1660" s="3"/>
    </row>
    <row r="1661" spans="1:34" ht="14.25" customHeight="1" x14ac:dyDescent="0.25">
      <c r="A1661" s="3"/>
      <c r="B1661" s="3"/>
      <c r="C1661" s="3"/>
      <c r="D1661" s="3"/>
      <c r="E1661" s="3"/>
      <c r="F1661" s="3"/>
      <c r="G1661" s="3"/>
      <c r="H1661" s="11"/>
      <c r="I1661" s="12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14"/>
      <c r="X1661" s="3"/>
      <c r="Y1661" s="14"/>
      <c r="Z1661" s="3"/>
      <c r="AA1661" s="3"/>
      <c r="AB1661" s="3"/>
      <c r="AC1661" s="3"/>
      <c r="AD1661" s="3"/>
      <c r="AE1661" s="3"/>
      <c r="AF1661" s="3"/>
      <c r="AG1661" s="3"/>
      <c r="AH1661" s="3"/>
    </row>
    <row r="1662" spans="1:34" ht="14.25" customHeight="1" x14ac:dyDescent="0.25">
      <c r="A1662" s="3"/>
      <c r="B1662" s="3"/>
      <c r="C1662" s="3"/>
      <c r="D1662" s="3"/>
      <c r="E1662" s="3"/>
      <c r="F1662" s="3"/>
      <c r="G1662" s="3"/>
      <c r="H1662" s="11"/>
      <c r="I1662" s="12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14"/>
      <c r="X1662" s="3"/>
      <c r="Y1662" s="14"/>
      <c r="Z1662" s="3"/>
      <c r="AA1662" s="3"/>
      <c r="AB1662" s="3"/>
      <c r="AC1662" s="3"/>
      <c r="AD1662" s="3"/>
      <c r="AE1662" s="3"/>
      <c r="AF1662" s="3"/>
      <c r="AG1662" s="3"/>
      <c r="AH1662" s="3"/>
    </row>
    <row r="1663" spans="1:34" ht="14.25" customHeight="1" x14ac:dyDescent="0.25">
      <c r="A1663" s="3"/>
      <c r="B1663" s="3"/>
      <c r="C1663" s="3"/>
      <c r="D1663" s="3"/>
      <c r="E1663" s="3"/>
      <c r="F1663" s="3"/>
      <c r="G1663" s="14"/>
      <c r="H1663" s="11"/>
      <c r="I1663" s="12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14"/>
      <c r="X1663" s="3"/>
      <c r="Y1663" s="14"/>
      <c r="Z1663" s="3"/>
      <c r="AA1663" s="3"/>
      <c r="AB1663" s="3"/>
      <c r="AC1663" s="3"/>
      <c r="AD1663" s="3"/>
      <c r="AE1663" s="3"/>
      <c r="AF1663" s="3"/>
      <c r="AG1663" s="3"/>
      <c r="AH1663" s="3"/>
    </row>
    <row r="1664" spans="1:34" ht="14.25" customHeight="1" x14ac:dyDescent="0.25">
      <c r="A1664" s="3"/>
      <c r="B1664" s="3"/>
      <c r="C1664" s="3"/>
      <c r="D1664" s="3"/>
      <c r="E1664" s="3"/>
      <c r="F1664" s="3"/>
      <c r="G1664" s="3"/>
      <c r="H1664" s="11"/>
      <c r="I1664" s="12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14"/>
      <c r="X1664" s="3"/>
      <c r="Y1664" s="14"/>
      <c r="Z1664" s="3"/>
      <c r="AA1664" s="3"/>
      <c r="AB1664" s="3"/>
      <c r="AC1664" s="3"/>
      <c r="AD1664" s="3"/>
      <c r="AE1664" s="3"/>
      <c r="AF1664" s="3"/>
      <c r="AG1664" s="3"/>
      <c r="AH1664" s="3"/>
    </row>
    <row r="1665" spans="1:34" ht="14.25" customHeight="1" x14ac:dyDescent="0.25">
      <c r="A1665" s="3"/>
      <c r="B1665" s="3"/>
      <c r="C1665" s="3"/>
      <c r="D1665" s="3"/>
      <c r="E1665" s="3"/>
      <c r="F1665" s="3"/>
      <c r="G1665" s="3"/>
      <c r="H1665" s="11"/>
      <c r="I1665" s="12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14"/>
      <c r="X1665" s="3"/>
      <c r="Y1665" s="14"/>
      <c r="Z1665" s="3"/>
      <c r="AA1665" s="3"/>
      <c r="AB1665" s="3"/>
      <c r="AC1665" s="3"/>
      <c r="AD1665" s="3"/>
      <c r="AE1665" s="3"/>
      <c r="AF1665" s="3"/>
      <c r="AG1665" s="3"/>
      <c r="AH1665" s="3"/>
    </row>
    <row r="1666" spans="1:34" ht="14.25" customHeight="1" x14ac:dyDescent="0.25">
      <c r="A1666" s="3"/>
      <c r="B1666" s="3"/>
      <c r="C1666" s="3"/>
      <c r="D1666" s="3"/>
      <c r="E1666" s="3"/>
      <c r="F1666" s="3"/>
      <c r="G1666" s="14"/>
      <c r="H1666" s="11"/>
      <c r="I1666" s="12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14"/>
      <c r="X1666" s="3"/>
      <c r="Y1666" s="14"/>
      <c r="Z1666" s="3"/>
      <c r="AA1666" s="3"/>
      <c r="AB1666" s="3"/>
      <c r="AC1666" s="3"/>
      <c r="AD1666" s="3"/>
      <c r="AE1666" s="3"/>
      <c r="AF1666" s="3"/>
      <c r="AG1666" s="3"/>
      <c r="AH1666" s="3"/>
    </row>
    <row r="1667" spans="1:34" ht="14.25" customHeight="1" x14ac:dyDescent="0.25">
      <c r="A1667" s="3"/>
      <c r="B1667" s="3"/>
      <c r="C1667" s="3"/>
      <c r="D1667" s="3"/>
      <c r="E1667" s="3"/>
      <c r="F1667" s="3"/>
      <c r="G1667" s="14"/>
      <c r="H1667" s="11"/>
      <c r="I1667" s="12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14"/>
      <c r="X1667" s="3"/>
      <c r="Y1667" s="14"/>
      <c r="Z1667" s="3"/>
      <c r="AA1667" s="3"/>
      <c r="AB1667" s="3"/>
      <c r="AC1667" s="3"/>
      <c r="AD1667" s="3"/>
      <c r="AE1667" s="3"/>
      <c r="AF1667" s="3"/>
      <c r="AG1667" s="3"/>
      <c r="AH1667" s="3"/>
    </row>
    <row r="1668" spans="1:34" ht="14.25" customHeight="1" x14ac:dyDescent="0.25">
      <c r="A1668" s="3"/>
      <c r="B1668" s="3"/>
      <c r="C1668" s="3"/>
      <c r="D1668" s="3"/>
      <c r="E1668" s="3"/>
      <c r="F1668" s="3"/>
      <c r="G1668" s="14"/>
      <c r="H1668" s="11"/>
      <c r="I1668" s="12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14"/>
      <c r="X1668" s="3"/>
      <c r="Y1668" s="14"/>
      <c r="Z1668" s="3"/>
      <c r="AA1668" s="3"/>
      <c r="AB1668" s="3"/>
      <c r="AC1668" s="3"/>
      <c r="AD1668" s="3"/>
      <c r="AE1668" s="3"/>
      <c r="AF1668" s="3"/>
      <c r="AG1668" s="3"/>
      <c r="AH1668" s="3"/>
    </row>
    <row r="1669" spans="1:34" ht="14.25" customHeight="1" x14ac:dyDescent="0.25">
      <c r="A1669" s="3"/>
      <c r="B1669" s="3"/>
      <c r="C1669" s="3"/>
      <c r="D1669" s="3"/>
      <c r="E1669" s="3"/>
      <c r="F1669" s="3"/>
      <c r="G1669" s="3"/>
      <c r="H1669" s="11"/>
      <c r="I1669" s="12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14"/>
      <c r="X1669" s="3"/>
      <c r="Y1669" s="14"/>
      <c r="Z1669" s="3"/>
      <c r="AA1669" s="3"/>
      <c r="AB1669" s="3"/>
      <c r="AC1669" s="3"/>
      <c r="AD1669" s="3"/>
      <c r="AE1669" s="3"/>
      <c r="AF1669" s="3"/>
      <c r="AG1669" s="3"/>
      <c r="AH1669" s="3"/>
    </row>
    <row r="1670" spans="1:34" ht="14.25" customHeight="1" x14ac:dyDescent="0.25">
      <c r="A1670" s="3"/>
      <c r="B1670" s="3"/>
      <c r="C1670" s="3"/>
      <c r="D1670" s="3"/>
      <c r="E1670" s="3"/>
      <c r="F1670" s="3"/>
      <c r="G1670" s="3"/>
      <c r="H1670" s="11"/>
      <c r="I1670" s="12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14"/>
      <c r="X1670" s="3"/>
      <c r="Y1670" s="14"/>
      <c r="Z1670" s="3"/>
      <c r="AA1670" s="3"/>
      <c r="AB1670" s="3"/>
      <c r="AC1670" s="3"/>
      <c r="AD1670" s="3"/>
      <c r="AE1670" s="3"/>
      <c r="AF1670" s="3"/>
      <c r="AG1670" s="3"/>
      <c r="AH1670" s="3"/>
    </row>
    <row r="1671" spans="1:34" ht="14.25" customHeight="1" x14ac:dyDescent="0.25">
      <c r="A1671" s="3"/>
      <c r="B1671" s="3"/>
      <c r="C1671" s="3"/>
      <c r="D1671" s="3"/>
      <c r="E1671" s="3"/>
      <c r="F1671" s="3"/>
      <c r="G1671" s="3"/>
      <c r="H1671" s="11"/>
      <c r="I1671" s="12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14"/>
      <c r="X1671" s="3"/>
      <c r="Y1671" s="14"/>
      <c r="Z1671" s="3"/>
      <c r="AA1671" s="3"/>
      <c r="AB1671" s="3"/>
      <c r="AC1671" s="3"/>
      <c r="AD1671" s="3"/>
      <c r="AE1671" s="3"/>
      <c r="AF1671" s="3"/>
      <c r="AG1671" s="3"/>
      <c r="AH1671" s="3"/>
    </row>
    <row r="1672" spans="1:34" ht="14.25" customHeight="1" x14ac:dyDescent="0.25">
      <c r="A1672" s="3"/>
      <c r="B1672" s="3"/>
      <c r="C1672" s="3"/>
      <c r="D1672" s="3"/>
      <c r="E1672" s="3"/>
      <c r="F1672" s="3"/>
      <c r="G1672" s="3"/>
      <c r="H1672" s="11"/>
      <c r="I1672" s="12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14"/>
      <c r="X1672" s="3"/>
      <c r="Y1672" s="14"/>
      <c r="Z1672" s="3"/>
      <c r="AA1672" s="3"/>
      <c r="AB1672" s="3"/>
      <c r="AC1672" s="3"/>
      <c r="AD1672" s="3"/>
      <c r="AE1672" s="3"/>
      <c r="AF1672" s="3"/>
      <c r="AG1672" s="3"/>
      <c r="AH1672" s="3"/>
    </row>
    <row r="1673" spans="1:34" ht="14.25" customHeight="1" x14ac:dyDescent="0.25">
      <c r="A1673" s="3"/>
      <c r="B1673" s="3"/>
      <c r="C1673" s="3"/>
      <c r="D1673" s="3"/>
      <c r="E1673" s="3"/>
      <c r="F1673" s="3"/>
      <c r="G1673" s="3"/>
      <c r="H1673" s="11"/>
      <c r="I1673" s="12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14"/>
      <c r="X1673" s="3"/>
      <c r="Y1673" s="14"/>
      <c r="Z1673" s="3"/>
      <c r="AA1673" s="3"/>
      <c r="AB1673" s="3"/>
      <c r="AC1673" s="3"/>
      <c r="AD1673" s="3"/>
      <c r="AE1673" s="3"/>
      <c r="AF1673" s="3"/>
      <c r="AG1673" s="3"/>
      <c r="AH1673" s="3"/>
    </row>
    <row r="1674" spans="1:34" ht="14.25" customHeight="1" x14ac:dyDescent="0.25">
      <c r="A1674" s="3"/>
      <c r="B1674" s="3"/>
      <c r="C1674" s="3"/>
      <c r="D1674" s="3"/>
      <c r="E1674" s="3"/>
      <c r="F1674" s="3"/>
      <c r="G1674" s="3"/>
      <c r="H1674" s="11"/>
      <c r="I1674" s="12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14"/>
      <c r="X1674" s="3"/>
      <c r="Y1674" s="14"/>
      <c r="Z1674" s="3"/>
      <c r="AA1674" s="3"/>
      <c r="AB1674" s="3"/>
      <c r="AC1674" s="3"/>
      <c r="AD1674" s="3"/>
      <c r="AE1674" s="3"/>
      <c r="AF1674" s="3"/>
      <c r="AG1674" s="3"/>
      <c r="AH1674" s="3"/>
    </row>
    <row r="1675" spans="1:34" ht="14.25" customHeight="1" x14ac:dyDescent="0.25">
      <c r="A1675" s="3"/>
      <c r="B1675" s="3"/>
      <c r="C1675" s="3"/>
      <c r="D1675" s="3"/>
      <c r="E1675" s="3"/>
      <c r="F1675" s="3"/>
      <c r="G1675" s="3"/>
      <c r="H1675" s="11"/>
      <c r="I1675" s="12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14"/>
      <c r="X1675" s="3"/>
      <c r="Y1675" s="14"/>
      <c r="Z1675" s="3"/>
      <c r="AA1675" s="3"/>
      <c r="AB1675" s="3"/>
      <c r="AC1675" s="3"/>
      <c r="AD1675" s="3"/>
      <c r="AE1675" s="3"/>
      <c r="AF1675" s="3"/>
      <c r="AG1675" s="3"/>
      <c r="AH1675" s="3"/>
    </row>
    <row r="1676" spans="1:34" ht="14.25" customHeight="1" x14ac:dyDescent="0.25">
      <c r="A1676" s="3"/>
      <c r="B1676" s="3"/>
      <c r="C1676" s="3"/>
      <c r="D1676" s="3"/>
      <c r="E1676" s="3"/>
      <c r="F1676" s="3"/>
      <c r="G1676" s="3"/>
      <c r="H1676" s="11"/>
      <c r="I1676" s="12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14"/>
      <c r="X1676" s="3"/>
      <c r="Y1676" s="14"/>
      <c r="Z1676" s="3"/>
      <c r="AA1676" s="3"/>
      <c r="AB1676" s="3"/>
      <c r="AC1676" s="3"/>
      <c r="AD1676" s="3"/>
      <c r="AE1676" s="3"/>
      <c r="AF1676" s="3"/>
      <c r="AG1676" s="3"/>
      <c r="AH1676" s="3"/>
    </row>
    <row r="1677" spans="1:34" ht="14.25" customHeight="1" x14ac:dyDescent="0.25">
      <c r="A1677" s="3"/>
      <c r="B1677" s="3"/>
      <c r="C1677" s="3"/>
      <c r="D1677" s="3"/>
      <c r="E1677" s="3"/>
      <c r="F1677" s="3"/>
      <c r="G1677" s="3"/>
      <c r="H1677" s="11"/>
      <c r="I1677" s="12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14"/>
      <c r="X1677" s="3"/>
      <c r="Y1677" s="14"/>
      <c r="Z1677" s="3"/>
      <c r="AA1677" s="3"/>
      <c r="AB1677" s="3"/>
      <c r="AC1677" s="3"/>
      <c r="AD1677" s="3"/>
      <c r="AE1677" s="3"/>
      <c r="AF1677" s="3"/>
      <c r="AG1677" s="3"/>
      <c r="AH1677" s="3"/>
    </row>
    <row r="1678" spans="1:34" ht="14.25" customHeight="1" x14ac:dyDescent="0.25">
      <c r="A1678" s="3"/>
      <c r="B1678" s="3"/>
      <c r="C1678" s="3"/>
      <c r="D1678" s="3"/>
      <c r="E1678" s="3"/>
      <c r="F1678" s="3"/>
      <c r="G1678" s="3"/>
      <c r="H1678" s="11"/>
      <c r="I1678" s="12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14"/>
      <c r="X1678" s="3"/>
      <c r="Y1678" s="14"/>
      <c r="Z1678" s="3"/>
      <c r="AA1678" s="3"/>
      <c r="AB1678" s="3"/>
      <c r="AC1678" s="3"/>
      <c r="AD1678" s="3"/>
      <c r="AE1678" s="3"/>
      <c r="AF1678" s="3"/>
      <c r="AG1678" s="3"/>
      <c r="AH1678" s="3"/>
    </row>
    <row r="1679" spans="1:34" ht="14.25" customHeight="1" x14ac:dyDescent="0.25">
      <c r="A1679" s="3"/>
      <c r="B1679" s="3"/>
      <c r="C1679" s="3"/>
      <c r="D1679" s="3"/>
      <c r="E1679" s="3"/>
      <c r="F1679" s="3"/>
      <c r="G1679" s="3"/>
      <c r="H1679" s="11"/>
      <c r="I1679" s="12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14"/>
      <c r="X1679" s="3"/>
      <c r="Y1679" s="14"/>
      <c r="Z1679" s="3"/>
      <c r="AA1679" s="3"/>
      <c r="AB1679" s="3"/>
      <c r="AC1679" s="3"/>
      <c r="AD1679" s="3"/>
      <c r="AE1679" s="3"/>
      <c r="AF1679" s="3"/>
      <c r="AG1679" s="3"/>
      <c r="AH1679" s="3"/>
    </row>
    <row r="1680" spans="1:34" ht="14.25" customHeight="1" x14ac:dyDescent="0.25">
      <c r="A1680" s="3"/>
      <c r="B1680" s="3"/>
      <c r="C1680" s="3"/>
      <c r="D1680" s="3"/>
      <c r="E1680" s="3"/>
      <c r="F1680" s="3"/>
      <c r="G1680" s="3"/>
      <c r="H1680" s="11"/>
      <c r="I1680" s="12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14"/>
      <c r="X1680" s="3"/>
      <c r="Y1680" s="14"/>
      <c r="Z1680" s="3"/>
      <c r="AA1680" s="3"/>
      <c r="AB1680" s="3"/>
      <c r="AC1680" s="3"/>
      <c r="AD1680" s="3"/>
      <c r="AE1680" s="3"/>
      <c r="AF1680" s="3"/>
      <c r="AG1680" s="3"/>
      <c r="AH1680" s="3"/>
    </row>
    <row r="1681" spans="1:34" ht="14.25" customHeight="1" x14ac:dyDescent="0.25">
      <c r="A1681" s="3"/>
      <c r="B1681" s="3"/>
      <c r="C1681" s="3"/>
      <c r="D1681" s="3"/>
      <c r="E1681" s="3"/>
      <c r="F1681" s="3"/>
      <c r="G1681" s="3"/>
      <c r="H1681" s="11"/>
      <c r="I1681" s="12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14"/>
      <c r="X1681" s="3"/>
      <c r="Y1681" s="14"/>
      <c r="Z1681" s="3"/>
      <c r="AA1681" s="3"/>
      <c r="AB1681" s="3"/>
      <c r="AC1681" s="3"/>
      <c r="AD1681" s="3"/>
      <c r="AE1681" s="3"/>
      <c r="AF1681" s="3"/>
      <c r="AG1681" s="3"/>
      <c r="AH1681" s="3"/>
    </row>
    <row r="1682" spans="1:34" ht="14.25" customHeight="1" x14ac:dyDescent="0.25">
      <c r="A1682" s="3"/>
      <c r="B1682" s="3"/>
      <c r="C1682" s="3"/>
      <c r="D1682" s="3"/>
      <c r="E1682" s="3"/>
      <c r="F1682" s="3"/>
      <c r="G1682" s="3"/>
      <c r="H1682" s="11"/>
      <c r="I1682" s="12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14"/>
      <c r="X1682" s="3"/>
      <c r="Y1682" s="14"/>
      <c r="Z1682" s="3"/>
      <c r="AA1682" s="3"/>
      <c r="AB1682" s="3"/>
      <c r="AC1682" s="3"/>
      <c r="AD1682" s="3"/>
      <c r="AE1682" s="3"/>
      <c r="AF1682" s="3"/>
      <c r="AG1682" s="3"/>
      <c r="AH1682" s="3"/>
    </row>
    <row r="1683" spans="1:34" ht="14.25" customHeight="1" x14ac:dyDescent="0.25">
      <c r="A1683" s="3"/>
      <c r="B1683" s="3"/>
      <c r="C1683" s="3"/>
      <c r="D1683" s="3"/>
      <c r="E1683" s="3"/>
      <c r="F1683" s="3"/>
      <c r="G1683" s="3"/>
      <c r="H1683" s="11"/>
      <c r="I1683" s="12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14"/>
      <c r="X1683" s="3"/>
      <c r="Y1683" s="14"/>
      <c r="Z1683" s="3"/>
      <c r="AA1683" s="3"/>
      <c r="AB1683" s="3"/>
      <c r="AC1683" s="3"/>
      <c r="AD1683" s="3"/>
      <c r="AE1683" s="3"/>
      <c r="AF1683" s="3"/>
      <c r="AG1683" s="3"/>
      <c r="AH1683" s="3"/>
    </row>
    <row r="1684" spans="1:34" ht="14.25" customHeight="1" x14ac:dyDescent="0.25">
      <c r="A1684" s="3"/>
      <c r="B1684" s="3"/>
      <c r="C1684" s="3"/>
      <c r="D1684" s="3"/>
      <c r="E1684" s="3"/>
      <c r="F1684" s="3"/>
      <c r="G1684" s="3"/>
      <c r="H1684" s="11"/>
      <c r="I1684" s="12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14"/>
      <c r="X1684" s="3"/>
      <c r="Y1684" s="14"/>
      <c r="Z1684" s="3"/>
      <c r="AA1684" s="3"/>
      <c r="AB1684" s="3"/>
      <c r="AC1684" s="3"/>
      <c r="AD1684" s="3"/>
      <c r="AE1684" s="3"/>
      <c r="AF1684" s="3"/>
      <c r="AG1684" s="3"/>
      <c r="AH1684" s="3"/>
    </row>
    <row r="1685" spans="1:34" ht="14.25" customHeight="1" x14ac:dyDescent="0.25">
      <c r="A1685" s="3"/>
      <c r="B1685" s="3"/>
      <c r="C1685" s="3"/>
      <c r="D1685" s="3"/>
      <c r="E1685" s="3"/>
      <c r="F1685" s="3"/>
      <c r="G1685" s="3"/>
      <c r="H1685" s="11"/>
      <c r="I1685" s="12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14"/>
      <c r="X1685" s="3"/>
      <c r="Y1685" s="14"/>
      <c r="Z1685" s="3"/>
      <c r="AA1685" s="3"/>
      <c r="AB1685" s="3"/>
      <c r="AC1685" s="3"/>
      <c r="AD1685" s="3"/>
      <c r="AE1685" s="3"/>
      <c r="AF1685" s="3"/>
      <c r="AG1685" s="3"/>
      <c r="AH1685" s="3"/>
    </row>
    <row r="1686" spans="1:34" ht="14.25" customHeight="1" x14ac:dyDescent="0.25">
      <c r="A1686" s="3"/>
      <c r="B1686" s="3"/>
      <c r="C1686" s="3"/>
      <c r="D1686" s="3"/>
      <c r="E1686" s="3"/>
      <c r="F1686" s="3"/>
      <c r="G1686" s="3"/>
      <c r="H1686" s="11"/>
      <c r="I1686" s="12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14"/>
      <c r="X1686" s="3"/>
      <c r="Y1686" s="14"/>
      <c r="Z1686" s="3"/>
      <c r="AA1686" s="3"/>
      <c r="AB1686" s="3"/>
      <c r="AC1686" s="3"/>
      <c r="AD1686" s="3"/>
      <c r="AE1686" s="3"/>
      <c r="AF1686" s="3"/>
      <c r="AG1686" s="3"/>
      <c r="AH1686" s="3"/>
    </row>
    <row r="1687" spans="1:34" ht="14.25" customHeight="1" x14ac:dyDescent="0.25">
      <c r="A1687" s="3"/>
      <c r="B1687" s="3"/>
      <c r="C1687" s="3"/>
      <c r="D1687" s="3"/>
      <c r="E1687" s="3"/>
      <c r="F1687" s="3"/>
      <c r="G1687" s="3"/>
      <c r="H1687" s="11"/>
      <c r="I1687" s="12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14"/>
      <c r="X1687" s="3"/>
      <c r="Y1687" s="14"/>
      <c r="Z1687" s="3"/>
      <c r="AA1687" s="3"/>
      <c r="AB1687" s="3"/>
      <c r="AC1687" s="3"/>
      <c r="AD1687" s="3"/>
      <c r="AE1687" s="3"/>
      <c r="AF1687" s="3"/>
      <c r="AG1687" s="3"/>
      <c r="AH1687" s="3"/>
    </row>
    <row r="1688" spans="1:34" ht="14.25" customHeight="1" x14ac:dyDescent="0.25">
      <c r="A1688" s="3"/>
      <c r="B1688" s="3"/>
      <c r="C1688" s="3"/>
      <c r="D1688" s="3"/>
      <c r="E1688" s="3"/>
      <c r="F1688" s="3"/>
      <c r="G1688" s="3"/>
      <c r="H1688" s="11"/>
      <c r="I1688" s="12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14"/>
      <c r="X1688" s="3"/>
      <c r="Y1688" s="14"/>
      <c r="Z1688" s="3"/>
      <c r="AA1688" s="3"/>
      <c r="AB1688" s="3"/>
      <c r="AC1688" s="3"/>
      <c r="AD1688" s="3"/>
      <c r="AE1688" s="3"/>
      <c r="AF1688" s="3"/>
      <c r="AG1688" s="3"/>
      <c r="AH1688" s="3"/>
    </row>
    <row r="1689" spans="1:34" ht="14.25" customHeight="1" x14ac:dyDescent="0.25">
      <c r="A1689" s="3"/>
      <c r="B1689" s="3"/>
      <c r="C1689" s="3"/>
      <c r="D1689" s="3"/>
      <c r="E1689" s="3"/>
      <c r="F1689" s="3"/>
      <c r="G1689" s="3"/>
      <c r="H1689" s="11"/>
      <c r="I1689" s="12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14"/>
      <c r="X1689" s="3"/>
      <c r="Y1689" s="14"/>
      <c r="Z1689" s="3"/>
      <c r="AA1689" s="3"/>
      <c r="AB1689" s="3"/>
      <c r="AC1689" s="3"/>
      <c r="AD1689" s="3"/>
      <c r="AE1689" s="3"/>
      <c r="AF1689" s="3"/>
      <c r="AG1689" s="3"/>
      <c r="AH1689" s="3"/>
    </row>
    <row r="1690" spans="1:34" ht="14.25" customHeight="1" x14ac:dyDescent="0.25">
      <c r="A1690" s="3"/>
      <c r="B1690" s="3"/>
      <c r="C1690" s="3"/>
      <c r="D1690" s="3"/>
      <c r="E1690" s="3"/>
      <c r="F1690" s="3"/>
      <c r="G1690" s="3"/>
      <c r="H1690" s="11"/>
      <c r="I1690" s="12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14"/>
      <c r="X1690" s="3"/>
      <c r="Y1690" s="14"/>
      <c r="Z1690" s="3"/>
      <c r="AA1690" s="3"/>
      <c r="AB1690" s="3"/>
      <c r="AC1690" s="3"/>
      <c r="AD1690" s="3"/>
      <c r="AE1690" s="3"/>
      <c r="AF1690" s="3"/>
      <c r="AG1690" s="3"/>
      <c r="AH1690" s="3"/>
    </row>
    <row r="1691" spans="1:34" ht="14.25" customHeight="1" x14ac:dyDescent="0.25">
      <c r="A1691" s="3"/>
      <c r="B1691" s="3"/>
      <c r="C1691" s="3"/>
      <c r="D1691" s="3"/>
      <c r="E1691" s="3"/>
      <c r="F1691" s="3"/>
      <c r="G1691" s="14"/>
      <c r="H1691" s="11"/>
      <c r="I1691" s="12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14"/>
      <c r="X1691" s="3"/>
      <c r="Y1691" s="14"/>
      <c r="Z1691" s="3"/>
      <c r="AA1691" s="3"/>
      <c r="AB1691" s="3"/>
      <c r="AC1691" s="3"/>
      <c r="AD1691" s="3"/>
      <c r="AE1691" s="3"/>
      <c r="AF1691" s="3"/>
      <c r="AG1691" s="3"/>
      <c r="AH1691" s="3"/>
    </row>
    <row r="1692" spans="1:34" ht="14.25" customHeight="1" x14ac:dyDescent="0.25">
      <c r="A1692" s="3"/>
      <c r="B1692" s="3"/>
      <c r="C1692" s="3"/>
      <c r="D1692" s="3"/>
      <c r="E1692" s="3"/>
      <c r="F1692" s="3"/>
      <c r="G1692" s="3"/>
      <c r="H1692" s="11"/>
      <c r="I1692" s="12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14"/>
      <c r="X1692" s="3"/>
      <c r="Y1692" s="14"/>
      <c r="Z1692" s="3"/>
      <c r="AA1692" s="3"/>
      <c r="AB1692" s="3"/>
      <c r="AC1692" s="3"/>
      <c r="AD1692" s="3"/>
      <c r="AE1692" s="3"/>
      <c r="AF1692" s="3"/>
      <c r="AG1692" s="3"/>
      <c r="AH1692" s="3"/>
    </row>
    <row r="1693" spans="1:34" ht="14.25" customHeight="1" x14ac:dyDescent="0.25">
      <c r="A1693" s="3"/>
      <c r="B1693" s="3"/>
      <c r="C1693" s="3"/>
      <c r="D1693" s="3"/>
      <c r="E1693" s="3"/>
      <c r="F1693" s="3"/>
      <c r="G1693" s="14"/>
      <c r="H1693" s="11"/>
      <c r="I1693" s="12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14"/>
      <c r="X1693" s="3"/>
      <c r="Y1693" s="14"/>
      <c r="Z1693" s="3"/>
      <c r="AA1693" s="3"/>
      <c r="AB1693" s="3"/>
      <c r="AC1693" s="3"/>
      <c r="AD1693" s="3"/>
      <c r="AE1693" s="3"/>
      <c r="AF1693" s="3"/>
      <c r="AG1693" s="3"/>
      <c r="AH1693" s="3"/>
    </row>
    <row r="1694" spans="1:34" ht="14.25" customHeight="1" x14ac:dyDescent="0.25">
      <c r="A1694" s="3"/>
      <c r="B1694" s="3"/>
      <c r="C1694" s="3"/>
      <c r="D1694" s="3"/>
      <c r="E1694" s="3"/>
      <c r="F1694" s="3"/>
      <c r="G1694" s="3"/>
      <c r="H1694" s="11"/>
      <c r="I1694" s="12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14"/>
      <c r="X1694" s="3"/>
      <c r="Y1694" s="14"/>
      <c r="Z1694" s="3"/>
      <c r="AA1694" s="3"/>
      <c r="AB1694" s="3"/>
      <c r="AC1694" s="3"/>
      <c r="AD1694" s="3"/>
      <c r="AE1694" s="3"/>
      <c r="AF1694" s="3"/>
      <c r="AG1694" s="3"/>
      <c r="AH1694" s="3"/>
    </row>
    <row r="1695" spans="1:34" ht="14.25" customHeight="1" x14ac:dyDescent="0.25">
      <c r="A1695" s="3"/>
      <c r="B1695" s="3"/>
      <c r="C1695" s="3"/>
      <c r="D1695" s="3"/>
      <c r="E1695" s="3"/>
      <c r="F1695" s="3"/>
      <c r="G1695" s="3"/>
      <c r="H1695" s="11"/>
      <c r="I1695" s="12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14"/>
      <c r="X1695" s="3"/>
      <c r="Y1695" s="14"/>
      <c r="Z1695" s="3"/>
      <c r="AA1695" s="3"/>
      <c r="AB1695" s="3"/>
      <c r="AC1695" s="3"/>
      <c r="AD1695" s="3"/>
      <c r="AE1695" s="3"/>
      <c r="AF1695" s="3"/>
      <c r="AG1695" s="3"/>
      <c r="AH1695" s="3"/>
    </row>
    <row r="1696" spans="1:34" ht="14.25" customHeight="1" x14ac:dyDescent="0.25">
      <c r="A1696" s="3"/>
      <c r="B1696" s="3"/>
      <c r="C1696" s="3"/>
      <c r="D1696" s="3"/>
      <c r="E1696" s="3"/>
      <c r="F1696" s="3"/>
      <c r="G1696" s="3"/>
      <c r="H1696" s="11"/>
      <c r="I1696" s="12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14"/>
      <c r="X1696" s="3"/>
      <c r="Y1696" s="14"/>
      <c r="Z1696" s="3"/>
      <c r="AA1696" s="3"/>
      <c r="AB1696" s="3"/>
      <c r="AC1696" s="3"/>
      <c r="AD1696" s="3"/>
      <c r="AE1696" s="3"/>
      <c r="AF1696" s="3"/>
      <c r="AG1696" s="3"/>
      <c r="AH1696" s="3"/>
    </row>
    <row r="1697" spans="1:34" ht="14.25" customHeight="1" x14ac:dyDescent="0.25">
      <c r="A1697" s="3"/>
      <c r="B1697" s="3"/>
      <c r="C1697" s="3"/>
      <c r="D1697" s="3"/>
      <c r="E1697" s="3"/>
      <c r="F1697" s="3"/>
      <c r="G1697" s="3"/>
      <c r="H1697" s="11"/>
      <c r="I1697" s="12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14"/>
      <c r="X1697" s="3"/>
      <c r="Y1697" s="14"/>
      <c r="Z1697" s="3"/>
      <c r="AA1697" s="3"/>
      <c r="AB1697" s="3"/>
      <c r="AC1697" s="3"/>
      <c r="AD1697" s="3"/>
      <c r="AE1697" s="3"/>
      <c r="AF1697" s="3"/>
      <c r="AG1697" s="3"/>
      <c r="AH1697" s="3"/>
    </row>
    <row r="1698" spans="1:34" ht="14.25" customHeight="1" x14ac:dyDescent="0.25">
      <c r="A1698" s="3"/>
      <c r="B1698" s="3"/>
      <c r="C1698" s="3"/>
      <c r="D1698" s="3"/>
      <c r="E1698" s="3"/>
      <c r="F1698" s="3"/>
      <c r="G1698" s="3"/>
      <c r="H1698" s="11"/>
      <c r="I1698" s="12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14"/>
      <c r="X1698" s="3"/>
      <c r="Y1698" s="14"/>
      <c r="Z1698" s="3"/>
      <c r="AA1698" s="3"/>
      <c r="AB1698" s="3"/>
      <c r="AC1698" s="3"/>
      <c r="AD1698" s="3"/>
      <c r="AE1698" s="3"/>
      <c r="AF1698" s="3"/>
      <c r="AG1698" s="3"/>
      <c r="AH1698" s="3"/>
    </row>
    <row r="1699" spans="1:34" ht="14.25" customHeight="1" x14ac:dyDescent="0.25">
      <c r="A1699" s="3"/>
      <c r="B1699" s="3"/>
      <c r="C1699" s="3"/>
      <c r="D1699" s="3"/>
      <c r="E1699" s="3"/>
      <c r="F1699" s="3"/>
      <c r="G1699" s="3"/>
      <c r="H1699" s="11"/>
      <c r="I1699" s="12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14"/>
      <c r="X1699" s="3"/>
      <c r="Y1699" s="14"/>
      <c r="Z1699" s="3"/>
      <c r="AA1699" s="3"/>
      <c r="AB1699" s="3"/>
      <c r="AC1699" s="3"/>
      <c r="AD1699" s="3"/>
      <c r="AE1699" s="3"/>
      <c r="AF1699" s="3"/>
      <c r="AG1699" s="3"/>
      <c r="AH1699" s="3"/>
    </row>
    <row r="1700" spans="1:34" ht="14.25" customHeight="1" x14ac:dyDescent="0.25">
      <c r="A1700" s="3"/>
      <c r="B1700" s="3"/>
      <c r="C1700" s="3"/>
      <c r="D1700" s="3"/>
      <c r="E1700" s="3"/>
      <c r="F1700" s="3"/>
      <c r="G1700" s="3"/>
      <c r="H1700" s="11"/>
      <c r="I1700" s="12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14"/>
      <c r="X1700" s="3"/>
      <c r="Y1700" s="14"/>
      <c r="Z1700" s="3"/>
      <c r="AA1700" s="3"/>
      <c r="AB1700" s="3"/>
      <c r="AC1700" s="3"/>
      <c r="AD1700" s="3"/>
      <c r="AE1700" s="3"/>
      <c r="AF1700" s="3"/>
      <c r="AG1700" s="3"/>
      <c r="AH1700" s="3"/>
    </row>
    <row r="1701" spans="1:34" ht="14.25" customHeight="1" x14ac:dyDescent="0.25">
      <c r="A1701" s="3"/>
      <c r="B1701" s="3"/>
      <c r="C1701" s="3"/>
      <c r="D1701" s="3"/>
      <c r="E1701" s="3"/>
      <c r="F1701" s="3"/>
      <c r="G1701" s="3"/>
      <c r="H1701" s="11"/>
      <c r="I1701" s="12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14"/>
      <c r="X1701" s="3"/>
      <c r="Y1701" s="14"/>
      <c r="Z1701" s="3"/>
      <c r="AA1701" s="3"/>
      <c r="AB1701" s="3"/>
      <c r="AC1701" s="3"/>
      <c r="AD1701" s="3"/>
      <c r="AE1701" s="3"/>
      <c r="AF1701" s="3"/>
      <c r="AG1701" s="3"/>
      <c r="AH1701" s="3"/>
    </row>
    <row r="1702" spans="1:34" ht="14.25" customHeight="1" x14ac:dyDescent="0.25">
      <c r="A1702" s="3"/>
      <c r="B1702" s="3"/>
      <c r="C1702" s="3"/>
      <c r="D1702" s="3"/>
      <c r="E1702" s="3"/>
      <c r="F1702" s="3"/>
      <c r="G1702" s="3"/>
      <c r="H1702" s="11"/>
      <c r="I1702" s="12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14"/>
      <c r="X1702" s="3"/>
      <c r="Y1702" s="14"/>
      <c r="Z1702" s="3"/>
      <c r="AA1702" s="3"/>
      <c r="AB1702" s="3"/>
      <c r="AC1702" s="3"/>
      <c r="AD1702" s="3"/>
      <c r="AE1702" s="3"/>
      <c r="AF1702" s="3"/>
      <c r="AG1702" s="3"/>
      <c r="AH1702" s="3"/>
    </row>
    <row r="1703" spans="1:34" ht="14.25" customHeight="1" x14ac:dyDescent="0.25">
      <c r="A1703" s="3"/>
      <c r="B1703" s="3"/>
      <c r="C1703" s="3"/>
      <c r="D1703" s="3"/>
      <c r="E1703" s="3"/>
      <c r="F1703" s="3"/>
      <c r="G1703" s="3"/>
      <c r="H1703" s="11"/>
      <c r="I1703" s="12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14"/>
      <c r="X1703" s="3"/>
      <c r="Y1703" s="14"/>
      <c r="Z1703" s="3"/>
      <c r="AA1703" s="3"/>
      <c r="AB1703" s="3"/>
      <c r="AC1703" s="3"/>
      <c r="AD1703" s="3"/>
      <c r="AE1703" s="3"/>
      <c r="AF1703" s="3"/>
      <c r="AG1703" s="3"/>
      <c r="AH1703" s="3"/>
    </row>
    <row r="1704" spans="1:34" ht="14.25" customHeight="1" x14ac:dyDescent="0.25">
      <c r="A1704" s="3"/>
      <c r="B1704" s="3"/>
      <c r="C1704" s="3"/>
      <c r="D1704" s="3"/>
      <c r="E1704" s="3"/>
      <c r="F1704" s="3"/>
      <c r="G1704" s="3"/>
      <c r="H1704" s="11"/>
      <c r="I1704" s="12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14"/>
      <c r="X1704" s="3"/>
      <c r="Y1704" s="14"/>
      <c r="Z1704" s="3"/>
      <c r="AA1704" s="3"/>
      <c r="AB1704" s="3"/>
      <c r="AC1704" s="3"/>
      <c r="AD1704" s="3"/>
      <c r="AE1704" s="3"/>
      <c r="AF1704" s="3"/>
      <c r="AG1704" s="3"/>
      <c r="AH1704" s="3"/>
    </row>
    <row r="1705" spans="1:34" ht="14.25" customHeight="1" x14ac:dyDescent="0.25">
      <c r="A1705" s="3"/>
      <c r="B1705" s="3"/>
      <c r="C1705" s="3"/>
      <c r="D1705" s="3"/>
      <c r="E1705" s="3"/>
      <c r="F1705" s="3"/>
      <c r="G1705" s="3"/>
      <c r="H1705" s="11"/>
      <c r="I1705" s="12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14"/>
      <c r="X1705" s="3"/>
      <c r="Y1705" s="14"/>
      <c r="Z1705" s="3"/>
      <c r="AA1705" s="3"/>
      <c r="AB1705" s="3"/>
      <c r="AC1705" s="3"/>
      <c r="AD1705" s="3"/>
      <c r="AE1705" s="3"/>
      <c r="AF1705" s="3"/>
      <c r="AG1705" s="3"/>
      <c r="AH1705" s="3"/>
    </row>
    <row r="1706" spans="1:34" ht="14.25" customHeight="1" x14ac:dyDescent="0.25">
      <c r="A1706" s="3"/>
      <c r="B1706" s="3"/>
      <c r="C1706" s="3"/>
      <c r="D1706" s="3"/>
      <c r="E1706" s="3"/>
      <c r="F1706" s="3"/>
      <c r="G1706" s="3"/>
      <c r="H1706" s="11"/>
      <c r="I1706" s="12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14"/>
      <c r="X1706" s="3"/>
      <c r="Y1706" s="14"/>
      <c r="Z1706" s="3"/>
      <c r="AA1706" s="3"/>
      <c r="AB1706" s="3"/>
      <c r="AC1706" s="3"/>
      <c r="AD1706" s="3"/>
      <c r="AE1706" s="3"/>
      <c r="AF1706" s="3"/>
      <c r="AG1706" s="3"/>
      <c r="AH1706" s="3"/>
    </row>
    <row r="1707" spans="1:34" ht="14.25" customHeight="1" x14ac:dyDescent="0.25">
      <c r="A1707" s="3"/>
      <c r="B1707" s="3"/>
      <c r="C1707" s="3"/>
      <c r="D1707" s="3"/>
      <c r="E1707" s="3"/>
      <c r="F1707" s="3"/>
      <c r="G1707" s="14"/>
      <c r="H1707" s="11"/>
      <c r="I1707" s="12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14"/>
      <c r="X1707" s="3"/>
      <c r="Y1707" s="14"/>
      <c r="Z1707" s="3"/>
      <c r="AA1707" s="3"/>
      <c r="AB1707" s="3"/>
      <c r="AC1707" s="3"/>
      <c r="AD1707" s="3"/>
      <c r="AE1707" s="3"/>
      <c r="AF1707" s="3"/>
      <c r="AG1707" s="3"/>
      <c r="AH1707" s="3"/>
    </row>
    <row r="1708" spans="1:34" ht="14.25" customHeight="1" x14ac:dyDescent="0.25">
      <c r="A1708" s="3"/>
      <c r="B1708" s="3"/>
      <c r="C1708" s="3"/>
      <c r="D1708" s="3"/>
      <c r="E1708" s="3"/>
      <c r="F1708" s="3"/>
      <c r="G1708" s="14"/>
      <c r="H1708" s="11"/>
      <c r="I1708" s="12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14"/>
      <c r="X1708" s="3"/>
      <c r="Y1708" s="14"/>
      <c r="Z1708" s="3"/>
      <c r="AA1708" s="3"/>
      <c r="AB1708" s="3"/>
      <c r="AC1708" s="3"/>
      <c r="AD1708" s="3"/>
      <c r="AE1708" s="3"/>
      <c r="AF1708" s="3"/>
      <c r="AG1708" s="3"/>
      <c r="AH1708" s="3"/>
    </row>
    <row r="1709" spans="1:34" ht="14.25" customHeight="1" x14ac:dyDescent="0.25">
      <c r="A1709" s="3"/>
      <c r="B1709" s="3"/>
      <c r="C1709" s="3"/>
      <c r="D1709" s="3"/>
      <c r="E1709" s="3"/>
      <c r="F1709" s="3"/>
      <c r="G1709" s="3"/>
      <c r="H1709" s="11"/>
      <c r="I1709" s="12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14"/>
      <c r="X1709" s="3"/>
      <c r="Y1709" s="14"/>
      <c r="Z1709" s="3"/>
      <c r="AA1709" s="3"/>
      <c r="AB1709" s="3"/>
      <c r="AC1709" s="3"/>
      <c r="AD1709" s="3"/>
      <c r="AE1709" s="3"/>
      <c r="AF1709" s="3"/>
      <c r="AG1709" s="3"/>
      <c r="AH1709" s="3"/>
    </row>
    <row r="1710" spans="1:34" ht="14.25" customHeight="1" x14ac:dyDescent="0.25">
      <c r="A1710" s="3"/>
      <c r="B1710" s="3"/>
      <c r="C1710" s="3"/>
      <c r="D1710" s="3"/>
      <c r="E1710" s="3"/>
      <c r="F1710" s="3"/>
      <c r="G1710" s="3"/>
      <c r="H1710" s="11"/>
      <c r="I1710" s="12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14"/>
      <c r="X1710" s="3"/>
      <c r="Y1710" s="14"/>
      <c r="Z1710" s="3"/>
      <c r="AA1710" s="3"/>
      <c r="AB1710" s="3"/>
      <c r="AC1710" s="3"/>
      <c r="AD1710" s="3"/>
      <c r="AE1710" s="3"/>
      <c r="AF1710" s="3"/>
      <c r="AG1710" s="3"/>
      <c r="AH1710" s="3"/>
    </row>
    <row r="1711" spans="1:34" ht="14.25" customHeight="1" x14ac:dyDescent="0.25">
      <c r="A1711" s="3"/>
      <c r="B1711" s="3"/>
      <c r="C1711" s="3"/>
      <c r="D1711" s="3"/>
      <c r="E1711" s="3"/>
      <c r="F1711" s="3"/>
      <c r="G1711" s="3"/>
      <c r="H1711" s="11"/>
      <c r="I1711" s="12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14"/>
      <c r="X1711" s="3"/>
      <c r="Y1711" s="14"/>
      <c r="Z1711" s="3"/>
      <c r="AA1711" s="3"/>
      <c r="AB1711" s="3"/>
      <c r="AC1711" s="3"/>
      <c r="AD1711" s="3"/>
      <c r="AE1711" s="3"/>
      <c r="AF1711" s="3"/>
      <c r="AG1711" s="3"/>
      <c r="AH1711" s="3"/>
    </row>
    <row r="1712" spans="1:34" ht="14.25" customHeight="1" x14ac:dyDescent="0.25">
      <c r="A1712" s="3"/>
      <c r="B1712" s="3"/>
      <c r="C1712" s="3"/>
      <c r="D1712" s="3"/>
      <c r="E1712" s="3"/>
      <c r="F1712" s="3"/>
      <c r="G1712" s="3"/>
      <c r="H1712" s="11"/>
      <c r="I1712" s="12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14"/>
      <c r="X1712" s="3"/>
      <c r="Y1712" s="14"/>
      <c r="Z1712" s="3"/>
      <c r="AA1712" s="3"/>
      <c r="AB1712" s="3"/>
      <c r="AC1712" s="3"/>
      <c r="AD1712" s="3"/>
      <c r="AE1712" s="3"/>
      <c r="AF1712" s="3"/>
      <c r="AG1712" s="3"/>
      <c r="AH1712" s="3"/>
    </row>
    <row r="1713" spans="1:34" ht="14.25" customHeight="1" x14ac:dyDescent="0.25">
      <c r="A1713" s="3"/>
      <c r="B1713" s="3"/>
      <c r="C1713" s="3"/>
      <c r="D1713" s="3"/>
      <c r="E1713" s="3"/>
      <c r="F1713" s="3"/>
      <c r="G1713" s="3"/>
      <c r="H1713" s="11"/>
      <c r="I1713" s="12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14"/>
      <c r="X1713" s="3"/>
      <c r="Y1713" s="14"/>
      <c r="Z1713" s="3"/>
      <c r="AA1713" s="3"/>
      <c r="AB1713" s="3"/>
      <c r="AC1713" s="3"/>
      <c r="AD1713" s="3"/>
      <c r="AE1713" s="3"/>
      <c r="AF1713" s="3"/>
      <c r="AG1713" s="3"/>
      <c r="AH1713" s="3"/>
    </row>
    <row r="1714" spans="1:34" ht="14.25" customHeight="1" x14ac:dyDescent="0.25">
      <c r="A1714" s="3"/>
      <c r="B1714" s="3"/>
      <c r="C1714" s="3"/>
      <c r="D1714" s="3"/>
      <c r="E1714" s="3"/>
      <c r="F1714" s="3"/>
      <c r="G1714" s="3"/>
      <c r="H1714" s="11"/>
      <c r="I1714" s="12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14"/>
      <c r="X1714" s="3"/>
      <c r="Y1714" s="14"/>
      <c r="Z1714" s="3"/>
      <c r="AA1714" s="3"/>
      <c r="AB1714" s="3"/>
      <c r="AC1714" s="3"/>
      <c r="AD1714" s="3"/>
      <c r="AE1714" s="3"/>
      <c r="AF1714" s="3"/>
      <c r="AG1714" s="3"/>
      <c r="AH1714" s="3"/>
    </row>
    <row r="1715" spans="1:34" ht="14.25" customHeight="1" x14ac:dyDescent="0.25">
      <c r="A1715" s="3"/>
      <c r="B1715" s="3"/>
      <c r="C1715" s="3"/>
      <c r="D1715" s="3"/>
      <c r="E1715" s="3"/>
      <c r="F1715" s="3"/>
      <c r="G1715" s="3"/>
      <c r="H1715" s="11"/>
      <c r="I1715" s="12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14"/>
      <c r="X1715" s="3"/>
      <c r="Y1715" s="14"/>
      <c r="Z1715" s="3"/>
      <c r="AA1715" s="3"/>
      <c r="AB1715" s="3"/>
      <c r="AC1715" s="3"/>
      <c r="AD1715" s="3"/>
      <c r="AE1715" s="3"/>
      <c r="AF1715" s="3"/>
      <c r="AG1715" s="3"/>
      <c r="AH1715" s="3"/>
    </row>
    <row r="1716" spans="1:34" ht="14.25" customHeight="1" x14ac:dyDescent="0.25">
      <c r="A1716" s="3"/>
      <c r="B1716" s="3"/>
      <c r="C1716" s="3"/>
      <c r="D1716" s="3"/>
      <c r="E1716" s="3"/>
      <c r="F1716" s="3"/>
      <c r="G1716" s="3"/>
      <c r="H1716" s="11"/>
      <c r="I1716" s="12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14"/>
      <c r="X1716" s="3"/>
      <c r="Y1716" s="14"/>
      <c r="Z1716" s="3"/>
      <c r="AA1716" s="3"/>
      <c r="AB1716" s="3"/>
      <c r="AC1716" s="3"/>
      <c r="AD1716" s="3"/>
      <c r="AE1716" s="3"/>
      <c r="AF1716" s="3"/>
      <c r="AG1716" s="3"/>
      <c r="AH1716" s="3"/>
    </row>
    <row r="1717" spans="1:34" ht="14.25" customHeight="1" x14ac:dyDescent="0.25">
      <c r="A1717" s="3"/>
      <c r="B1717" s="3"/>
      <c r="C1717" s="3"/>
      <c r="D1717" s="3"/>
      <c r="E1717" s="3"/>
      <c r="F1717" s="3"/>
      <c r="G1717" s="3"/>
      <c r="H1717" s="11"/>
      <c r="I1717" s="12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14"/>
      <c r="X1717" s="3"/>
      <c r="Y1717" s="14"/>
      <c r="Z1717" s="3"/>
      <c r="AA1717" s="3"/>
      <c r="AB1717" s="3"/>
      <c r="AC1717" s="3"/>
      <c r="AD1717" s="3"/>
      <c r="AE1717" s="3"/>
      <c r="AF1717" s="3"/>
      <c r="AG1717" s="3"/>
      <c r="AH1717" s="3"/>
    </row>
    <row r="1718" spans="1:34" ht="14.25" customHeight="1" x14ac:dyDescent="0.25">
      <c r="A1718" s="3"/>
      <c r="B1718" s="3"/>
      <c r="C1718" s="3"/>
      <c r="D1718" s="3"/>
      <c r="E1718" s="3"/>
      <c r="F1718" s="3"/>
      <c r="G1718" s="3"/>
      <c r="H1718" s="11"/>
      <c r="I1718" s="12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14"/>
      <c r="X1718" s="3"/>
      <c r="Y1718" s="14"/>
      <c r="Z1718" s="3"/>
      <c r="AA1718" s="3"/>
      <c r="AB1718" s="3"/>
      <c r="AC1718" s="3"/>
      <c r="AD1718" s="3"/>
      <c r="AE1718" s="3"/>
      <c r="AF1718" s="3"/>
      <c r="AG1718" s="3"/>
      <c r="AH1718" s="3"/>
    </row>
    <row r="1719" spans="1:34" ht="14.25" customHeight="1" x14ac:dyDescent="0.25">
      <c r="A1719" s="3"/>
      <c r="B1719" s="3"/>
      <c r="C1719" s="3"/>
      <c r="D1719" s="3"/>
      <c r="E1719" s="3"/>
      <c r="F1719" s="3"/>
      <c r="G1719" s="3"/>
      <c r="H1719" s="11"/>
      <c r="I1719" s="12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14"/>
      <c r="X1719" s="3"/>
      <c r="Y1719" s="14"/>
      <c r="Z1719" s="3"/>
      <c r="AA1719" s="3"/>
      <c r="AB1719" s="3"/>
      <c r="AC1719" s="3"/>
      <c r="AD1719" s="3"/>
      <c r="AE1719" s="3"/>
      <c r="AF1719" s="3"/>
      <c r="AG1719" s="3"/>
      <c r="AH1719" s="3"/>
    </row>
    <row r="1720" spans="1:34" ht="14.25" customHeight="1" x14ac:dyDescent="0.25">
      <c r="A1720" s="3"/>
      <c r="B1720" s="3"/>
      <c r="C1720" s="3"/>
      <c r="D1720" s="3"/>
      <c r="E1720" s="3"/>
      <c r="F1720" s="3"/>
      <c r="G1720" s="3"/>
      <c r="H1720" s="11"/>
      <c r="I1720" s="12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14"/>
      <c r="X1720" s="3"/>
      <c r="Y1720" s="14"/>
      <c r="Z1720" s="3"/>
      <c r="AA1720" s="3"/>
      <c r="AB1720" s="3"/>
      <c r="AC1720" s="3"/>
      <c r="AD1720" s="3"/>
      <c r="AE1720" s="3"/>
      <c r="AF1720" s="3"/>
      <c r="AG1720" s="3"/>
      <c r="AH1720" s="3"/>
    </row>
    <row r="1721" spans="1:34" ht="14.25" customHeight="1" x14ac:dyDescent="0.25">
      <c r="A1721" s="3"/>
      <c r="B1721" s="3"/>
      <c r="C1721" s="3"/>
      <c r="D1721" s="3"/>
      <c r="E1721" s="3"/>
      <c r="F1721" s="3"/>
      <c r="G1721" s="3"/>
      <c r="H1721" s="11"/>
      <c r="I1721" s="12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14"/>
      <c r="X1721" s="3"/>
      <c r="Y1721" s="14"/>
      <c r="Z1721" s="3"/>
      <c r="AA1721" s="3"/>
      <c r="AB1721" s="3"/>
      <c r="AC1721" s="3"/>
      <c r="AD1721" s="3"/>
      <c r="AE1721" s="3"/>
      <c r="AF1721" s="3"/>
      <c r="AG1721" s="3"/>
      <c r="AH1721" s="3"/>
    </row>
    <row r="1722" spans="1:34" ht="14.25" customHeight="1" x14ac:dyDescent="0.25">
      <c r="A1722" s="3"/>
      <c r="B1722" s="3"/>
      <c r="C1722" s="3"/>
      <c r="D1722" s="3"/>
      <c r="E1722" s="3"/>
      <c r="F1722" s="3"/>
      <c r="G1722" s="3"/>
      <c r="H1722" s="11"/>
      <c r="I1722" s="12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14"/>
      <c r="X1722" s="3"/>
      <c r="Y1722" s="14"/>
      <c r="Z1722" s="3"/>
      <c r="AA1722" s="3"/>
      <c r="AB1722" s="3"/>
      <c r="AC1722" s="3"/>
      <c r="AD1722" s="3"/>
      <c r="AE1722" s="3"/>
      <c r="AF1722" s="3"/>
      <c r="AG1722" s="3"/>
      <c r="AH1722" s="3"/>
    </row>
    <row r="1723" spans="1:34" ht="14.25" customHeight="1" x14ac:dyDescent="0.25">
      <c r="A1723" s="3"/>
      <c r="B1723" s="3"/>
      <c r="C1723" s="3"/>
      <c r="D1723" s="3"/>
      <c r="E1723" s="3"/>
      <c r="F1723" s="3"/>
      <c r="G1723" s="3"/>
      <c r="H1723" s="11"/>
      <c r="I1723" s="12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14"/>
      <c r="X1723" s="3"/>
      <c r="Y1723" s="14"/>
      <c r="Z1723" s="3"/>
      <c r="AA1723" s="3"/>
      <c r="AB1723" s="3"/>
      <c r="AC1723" s="3"/>
      <c r="AD1723" s="3"/>
      <c r="AE1723" s="3"/>
      <c r="AF1723" s="3"/>
      <c r="AG1723" s="3"/>
      <c r="AH1723" s="3"/>
    </row>
    <row r="1724" spans="1:34" ht="14.25" customHeight="1" x14ac:dyDescent="0.25">
      <c r="A1724" s="3"/>
      <c r="B1724" s="3"/>
      <c r="C1724" s="3"/>
      <c r="D1724" s="3"/>
      <c r="E1724" s="3"/>
      <c r="F1724" s="3"/>
      <c r="G1724" s="3"/>
      <c r="H1724" s="11"/>
      <c r="I1724" s="12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14"/>
      <c r="X1724" s="3"/>
      <c r="Y1724" s="14"/>
      <c r="Z1724" s="3"/>
      <c r="AA1724" s="3"/>
      <c r="AB1724" s="3"/>
      <c r="AC1724" s="3"/>
      <c r="AD1724" s="3"/>
      <c r="AE1724" s="3"/>
      <c r="AF1724" s="3"/>
      <c r="AG1724" s="3"/>
      <c r="AH1724" s="3"/>
    </row>
    <row r="1725" spans="1:34" ht="14.25" customHeight="1" x14ac:dyDescent="0.25">
      <c r="A1725" s="3"/>
      <c r="B1725" s="3"/>
      <c r="C1725" s="3"/>
      <c r="D1725" s="3"/>
      <c r="E1725" s="3"/>
      <c r="F1725" s="3"/>
      <c r="G1725" s="3"/>
      <c r="H1725" s="11"/>
      <c r="I1725" s="12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14"/>
      <c r="X1725" s="3"/>
      <c r="Y1725" s="14"/>
      <c r="Z1725" s="3"/>
      <c r="AA1725" s="3"/>
      <c r="AB1725" s="3"/>
      <c r="AC1725" s="3"/>
      <c r="AD1725" s="3"/>
      <c r="AE1725" s="3"/>
      <c r="AF1725" s="3"/>
      <c r="AG1725" s="3"/>
      <c r="AH1725" s="3"/>
    </row>
    <row r="1726" spans="1:34" ht="14.25" customHeight="1" x14ac:dyDescent="0.25">
      <c r="A1726" s="3"/>
      <c r="B1726" s="3"/>
      <c r="C1726" s="3"/>
      <c r="D1726" s="3"/>
      <c r="E1726" s="3"/>
      <c r="F1726" s="3"/>
      <c r="G1726" s="3"/>
      <c r="H1726" s="11"/>
      <c r="I1726" s="12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14"/>
      <c r="X1726" s="3"/>
      <c r="Y1726" s="14"/>
      <c r="Z1726" s="3"/>
      <c r="AA1726" s="3"/>
      <c r="AB1726" s="3"/>
      <c r="AC1726" s="3"/>
      <c r="AD1726" s="3"/>
      <c r="AE1726" s="3"/>
      <c r="AF1726" s="3"/>
      <c r="AG1726" s="3"/>
      <c r="AH1726" s="3"/>
    </row>
    <row r="1727" spans="1:34" ht="14.25" customHeight="1" x14ac:dyDescent="0.25">
      <c r="A1727" s="3"/>
      <c r="B1727" s="3"/>
      <c r="C1727" s="3"/>
      <c r="D1727" s="3"/>
      <c r="E1727" s="3"/>
      <c r="F1727" s="3"/>
      <c r="G1727" s="3"/>
      <c r="H1727" s="11"/>
      <c r="I1727" s="12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14"/>
      <c r="X1727" s="3"/>
      <c r="Y1727" s="14"/>
      <c r="Z1727" s="3"/>
      <c r="AA1727" s="3"/>
      <c r="AB1727" s="3"/>
      <c r="AC1727" s="3"/>
      <c r="AD1727" s="3"/>
      <c r="AE1727" s="3"/>
      <c r="AF1727" s="3"/>
      <c r="AG1727" s="3"/>
      <c r="AH1727" s="3"/>
    </row>
    <row r="1728" spans="1:34" ht="14.25" customHeight="1" x14ac:dyDescent="0.25">
      <c r="A1728" s="3"/>
      <c r="B1728" s="3"/>
      <c r="C1728" s="3"/>
      <c r="D1728" s="3"/>
      <c r="E1728" s="3"/>
      <c r="F1728" s="3"/>
      <c r="G1728" s="3"/>
      <c r="H1728" s="11"/>
      <c r="I1728" s="12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14"/>
      <c r="X1728" s="3"/>
      <c r="Y1728" s="14"/>
      <c r="Z1728" s="3"/>
      <c r="AA1728" s="3"/>
      <c r="AB1728" s="3"/>
      <c r="AC1728" s="3"/>
      <c r="AD1728" s="3"/>
      <c r="AE1728" s="3"/>
      <c r="AF1728" s="3"/>
      <c r="AG1728" s="3"/>
      <c r="AH1728" s="3"/>
    </row>
    <row r="1729" spans="1:34" ht="14.25" customHeight="1" x14ac:dyDescent="0.25">
      <c r="A1729" s="3"/>
      <c r="B1729" s="3"/>
      <c r="C1729" s="3"/>
      <c r="D1729" s="3"/>
      <c r="E1729" s="3"/>
      <c r="F1729" s="3"/>
      <c r="G1729" s="3"/>
      <c r="H1729" s="11"/>
      <c r="I1729" s="12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14"/>
      <c r="X1729" s="3"/>
      <c r="Y1729" s="14"/>
      <c r="Z1729" s="3"/>
      <c r="AA1729" s="3"/>
      <c r="AB1729" s="3"/>
      <c r="AC1729" s="3"/>
      <c r="AD1729" s="3"/>
      <c r="AE1729" s="3"/>
      <c r="AF1729" s="3"/>
      <c r="AG1729" s="3"/>
      <c r="AH1729" s="3"/>
    </row>
    <row r="1730" spans="1:34" ht="14.25" customHeight="1" x14ac:dyDescent="0.25">
      <c r="A1730" s="3"/>
      <c r="B1730" s="3"/>
      <c r="C1730" s="3"/>
      <c r="D1730" s="3"/>
      <c r="E1730" s="3"/>
      <c r="F1730" s="3"/>
      <c r="G1730" s="14"/>
      <c r="H1730" s="11"/>
      <c r="I1730" s="12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14"/>
      <c r="X1730" s="3"/>
      <c r="Y1730" s="14"/>
      <c r="Z1730" s="3"/>
      <c r="AA1730" s="3"/>
      <c r="AB1730" s="3"/>
      <c r="AC1730" s="3"/>
      <c r="AD1730" s="3"/>
      <c r="AE1730" s="3"/>
      <c r="AF1730" s="3"/>
      <c r="AG1730" s="3"/>
      <c r="AH1730" s="3"/>
    </row>
    <row r="1731" spans="1:34" ht="14.25" customHeight="1" x14ac:dyDescent="0.25">
      <c r="A1731" s="3"/>
      <c r="B1731" s="3"/>
      <c r="C1731" s="3"/>
      <c r="D1731" s="3"/>
      <c r="E1731" s="3"/>
      <c r="F1731" s="3"/>
      <c r="G1731" s="3"/>
      <c r="H1731" s="11"/>
      <c r="I1731" s="12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14"/>
      <c r="X1731" s="3"/>
      <c r="Y1731" s="14"/>
      <c r="Z1731" s="3"/>
      <c r="AA1731" s="3"/>
      <c r="AB1731" s="3"/>
      <c r="AC1731" s="3"/>
      <c r="AD1731" s="3"/>
      <c r="AE1731" s="3"/>
      <c r="AF1731" s="3"/>
      <c r="AG1731" s="3"/>
      <c r="AH1731" s="3"/>
    </row>
    <row r="1732" spans="1:34" ht="14.25" customHeight="1" x14ac:dyDescent="0.25">
      <c r="A1732" s="3"/>
      <c r="B1732" s="3"/>
      <c r="C1732" s="3"/>
      <c r="D1732" s="3"/>
      <c r="E1732" s="3"/>
      <c r="F1732" s="3"/>
      <c r="G1732" s="3"/>
      <c r="H1732" s="11"/>
      <c r="I1732" s="12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14"/>
      <c r="X1732" s="3"/>
      <c r="Y1732" s="14"/>
      <c r="Z1732" s="3"/>
      <c r="AA1732" s="3"/>
      <c r="AB1732" s="3"/>
      <c r="AC1732" s="3"/>
      <c r="AD1732" s="3"/>
      <c r="AE1732" s="3"/>
      <c r="AF1732" s="3"/>
      <c r="AG1732" s="3"/>
      <c r="AH1732" s="3"/>
    </row>
    <row r="1733" spans="1:34" ht="14.25" customHeight="1" x14ac:dyDescent="0.25">
      <c r="A1733" s="3"/>
      <c r="B1733" s="3"/>
      <c r="C1733" s="3"/>
      <c r="D1733" s="3"/>
      <c r="E1733" s="3"/>
      <c r="F1733" s="3"/>
      <c r="G1733" s="14"/>
      <c r="H1733" s="11"/>
      <c r="I1733" s="12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14"/>
      <c r="X1733" s="3"/>
      <c r="Y1733" s="14"/>
      <c r="Z1733" s="3"/>
      <c r="AA1733" s="3"/>
      <c r="AB1733" s="3"/>
      <c r="AC1733" s="3"/>
      <c r="AD1733" s="3"/>
      <c r="AE1733" s="3"/>
      <c r="AF1733" s="3"/>
      <c r="AG1733" s="3"/>
      <c r="AH1733" s="3"/>
    </row>
    <row r="1734" spans="1:34" ht="14.25" customHeight="1" x14ac:dyDescent="0.25">
      <c r="A1734" s="3"/>
      <c r="B1734" s="3"/>
      <c r="C1734" s="3"/>
      <c r="D1734" s="3"/>
      <c r="E1734" s="3"/>
      <c r="F1734" s="3"/>
      <c r="G1734" s="3"/>
      <c r="H1734" s="11"/>
      <c r="I1734" s="12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14"/>
      <c r="X1734" s="3"/>
      <c r="Y1734" s="14"/>
      <c r="Z1734" s="3"/>
      <c r="AA1734" s="3"/>
      <c r="AB1734" s="3"/>
      <c r="AC1734" s="3"/>
      <c r="AD1734" s="3"/>
      <c r="AE1734" s="3"/>
      <c r="AF1734" s="3"/>
      <c r="AG1734" s="3"/>
      <c r="AH1734" s="3"/>
    </row>
    <row r="1735" spans="1:34" ht="14.25" customHeight="1" x14ac:dyDescent="0.25">
      <c r="A1735" s="3"/>
      <c r="B1735" s="3"/>
      <c r="C1735" s="3"/>
      <c r="D1735" s="3"/>
      <c r="E1735" s="3"/>
      <c r="F1735" s="3"/>
      <c r="G1735" s="14"/>
      <c r="H1735" s="11"/>
      <c r="I1735" s="12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14"/>
      <c r="X1735" s="3"/>
      <c r="Y1735" s="14"/>
      <c r="Z1735" s="3"/>
      <c r="AA1735" s="3"/>
      <c r="AB1735" s="3"/>
      <c r="AC1735" s="3"/>
      <c r="AD1735" s="3"/>
      <c r="AE1735" s="3"/>
      <c r="AF1735" s="3"/>
      <c r="AG1735" s="3"/>
      <c r="AH1735" s="3"/>
    </row>
    <row r="1736" spans="1:34" ht="14.25" customHeight="1" x14ac:dyDescent="0.25">
      <c r="A1736" s="3"/>
      <c r="B1736" s="3"/>
      <c r="C1736" s="3"/>
      <c r="D1736" s="3"/>
      <c r="E1736" s="3"/>
      <c r="F1736" s="3"/>
      <c r="G1736" s="3"/>
      <c r="H1736" s="11"/>
      <c r="I1736" s="12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14"/>
      <c r="X1736" s="3"/>
      <c r="Y1736" s="14"/>
      <c r="Z1736" s="3"/>
      <c r="AA1736" s="3"/>
      <c r="AB1736" s="3"/>
      <c r="AC1736" s="3"/>
      <c r="AD1736" s="3"/>
      <c r="AE1736" s="3"/>
      <c r="AF1736" s="3"/>
      <c r="AG1736" s="3"/>
      <c r="AH1736" s="3"/>
    </row>
    <row r="1737" spans="1:34" ht="14.25" customHeight="1" x14ac:dyDescent="0.25">
      <c r="A1737" s="3"/>
      <c r="B1737" s="3"/>
      <c r="C1737" s="3"/>
      <c r="D1737" s="3"/>
      <c r="E1737" s="3"/>
      <c r="F1737" s="3"/>
      <c r="G1737" s="3"/>
      <c r="H1737" s="11"/>
      <c r="I1737" s="12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14"/>
      <c r="X1737" s="3"/>
      <c r="Y1737" s="14"/>
      <c r="Z1737" s="3"/>
      <c r="AA1737" s="3"/>
      <c r="AB1737" s="3"/>
      <c r="AC1737" s="3"/>
      <c r="AD1737" s="3"/>
      <c r="AE1737" s="3"/>
      <c r="AF1737" s="3"/>
      <c r="AG1737" s="3"/>
      <c r="AH1737" s="3"/>
    </row>
    <row r="1738" spans="1:34" ht="14.25" customHeight="1" x14ac:dyDescent="0.25">
      <c r="A1738" s="3"/>
      <c r="B1738" s="3"/>
      <c r="C1738" s="3"/>
      <c r="D1738" s="3"/>
      <c r="E1738" s="3"/>
      <c r="F1738" s="3"/>
      <c r="G1738" s="3"/>
      <c r="H1738" s="11"/>
      <c r="I1738" s="12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14"/>
      <c r="X1738" s="3"/>
      <c r="Y1738" s="14"/>
      <c r="Z1738" s="3"/>
      <c r="AA1738" s="3"/>
      <c r="AB1738" s="3"/>
      <c r="AC1738" s="3"/>
      <c r="AD1738" s="3"/>
      <c r="AE1738" s="3"/>
      <c r="AF1738" s="3"/>
      <c r="AG1738" s="3"/>
      <c r="AH1738" s="3"/>
    </row>
    <row r="1739" spans="1:34" ht="14.25" customHeight="1" x14ac:dyDescent="0.25">
      <c r="A1739" s="3"/>
      <c r="B1739" s="3"/>
      <c r="C1739" s="3"/>
      <c r="D1739" s="3"/>
      <c r="E1739" s="3"/>
      <c r="F1739" s="3"/>
      <c r="G1739" s="3"/>
      <c r="H1739" s="11"/>
      <c r="I1739" s="12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14"/>
      <c r="X1739" s="3"/>
      <c r="Y1739" s="14"/>
      <c r="Z1739" s="3"/>
      <c r="AA1739" s="3"/>
      <c r="AB1739" s="3"/>
      <c r="AC1739" s="3"/>
      <c r="AD1739" s="3"/>
      <c r="AE1739" s="3"/>
      <c r="AF1739" s="3"/>
      <c r="AG1739" s="3"/>
      <c r="AH1739" s="3"/>
    </row>
    <row r="1740" spans="1:34" ht="14.25" customHeight="1" x14ac:dyDescent="0.25">
      <c r="A1740" s="3"/>
      <c r="B1740" s="3"/>
      <c r="C1740" s="3"/>
      <c r="D1740" s="3"/>
      <c r="E1740" s="3"/>
      <c r="F1740" s="3"/>
      <c r="G1740" s="3"/>
      <c r="H1740" s="11"/>
      <c r="I1740" s="12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14"/>
      <c r="X1740" s="3"/>
      <c r="Y1740" s="14"/>
      <c r="Z1740" s="3"/>
      <c r="AA1740" s="3"/>
      <c r="AB1740" s="3"/>
      <c r="AC1740" s="3"/>
      <c r="AD1740" s="3"/>
      <c r="AE1740" s="3"/>
      <c r="AF1740" s="3"/>
      <c r="AG1740" s="3"/>
      <c r="AH1740" s="3"/>
    </row>
    <row r="1741" spans="1:34" ht="14.25" customHeight="1" x14ac:dyDescent="0.25">
      <c r="A1741" s="3"/>
      <c r="B1741" s="3"/>
      <c r="C1741" s="3"/>
      <c r="D1741" s="3"/>
      <c r="E1741" s="3"/>
      <c r="F1741" s="3"/>
      <c r="G1741" s="3"/>
      <c r="H1741" s="11"/>
      <c r="I1741" s="12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14"/>
      <c r="X1741" s="3"/>
      <c r="Y1741" s="14"/>
      <c r="Z1741" s="3"/>
      <c r="AA1741" s="3"/>
      <c r="AB1741" s="3"/>
      <c r="AC1741" s="3"/>
      <c r="AD1741" s="3"/>
      <c r="AE1741" s="3"/>
      <c r="AF1741" s="3"/>
      <c r="AG1741" s="3"/>
      <c r="AH1741" s="3"/>
    </row>
    <row r="1742" spans="1:34" ht="14.25" customHeight="1" x14ac:dyDescent="0.25">
      <c r="A1742" s="3"/>
      <c r="B1742" s="3"/>
      <c r="C1742" s="3"/>
      <c r="D1742" s="3"/>
      <c r="E1742" s="3"/>
      <c r="F1742" s="3"/>
      <c r="G1742" s="3"/>
      <c r="H1742" s="11"/>
      <c r="I1742" s="12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14"/>
      <c r="X1742" s="3"/>
      <c r="Y1742" s="14"/>
      <c r="Z1742" s="3"/>
      <c r="AA1742" s="3"/>
      <c r="AB1742" s="3"/>
      <c r="AC1742" s="3"/>
      <c r="AD1742" s="3"/>
      <c r="AE1742" s="3"/>
      <c r="AF1742" s="3"/>
      <c r="AG1742" s="3"/>
      <c r="AH1742" s="3"/>
    </row>
    <row r="1743" spans="1:34" ht="14.25" customHeight="1" x14ac:dyDescent="0.25">
      <c r="A1743" s="3"/>
      <c r="B1743" s="3"/>
      <c r="C1743" s="3"/>
      <c r="D1743" s="3"/>
      <c r="E1743" s="3"/>
      <c r="F1743" s="3"/>
      <c r="G1743" s="3"/>
      <c r="H1743" s="11"/>
      <c r="I1743" s="12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14"/>
      <c r="X1743" s="3"/>
      <c r="Y1743" s="14"/>
      <c r="Z1743" s="3"/>
      <c r="AA1743" s="3"/>
      <c r="AB1743" s="3"/>
      <c r="AC1743" s="3"/>
      <c r="AD1743" s="3"/>
      <c r="AE1743" s="3"/>
      <c r="AF1743" s="3"/>
      <c r="AG1743" s="3"/>
      <c r="AH1743" s="3"/>
    </row>
    <row r="1744" spans="1:34" ht="14.25" customHeight="1" x14ac:dyDescent="0.25">
      <c r="A1744" s="3"/>
      <c r="B1744" s="3"/>
      <c r="C1744" s="3"/>
      <c r="D1744" s="3"/>
      <c r="E1744" s="3"/>
      <c r="F1744" s="3"/>
      <c r="G1744" s="3"/>
      <c r="H1744" s="11"/>
      <c r="I1744" s="12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14"/>
      <c r="X1744" s="3"/>
      <c r="Y1744" s="14"/>
      <c r="Z1744" s="3"/>
      <c r="AA1744" s="3"/>
      <c r="AB1744" s="3"/>
      <c r="AC1744" s="3"/>
      <c r="AD1744" s="3"/>
      <c r="AE1744" s="3"/>
      <c r="AF1744" s="3"/>
      <c r="AG1744" s="3"/>
      <c r="AH1744" s="3"/>
    </row>
    <row r="1745" spans="1:34" ht="14.25" customHeight="1" x14ac:dyDescent="0.25">
      <c r="A1745" s="3"/>
      <c r="B1745" s="3"/>
      <c r="C1745" s="3"/>
      <c r="D1745" s="3"/>
      <c r="E1745" s="3"/>
      <c r="F1745" s="3"/>
      <c r="G1745" s="3"/>
      <c r="H1745" s="11"/>
      <c r="I1745" s="12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14"/>
      <c r="X1745" s="3"/>
      <c r="Y1745" s="14"/>
      <c r="Z1745" s="3"/>
      <c r="AA1745" s="3"/>
      <c r="AB1745" s="3"/>
      <c r="AC1745" s="3"/>
      <c r="AD1745" s="3"/>
      <c r="AE1745" s="3"/>
      <c r="AF1745" s="3"/>
      <c r="AG1745" s="3"/>
      <c r="AH1745" s="3"/>
    </row>
    <row r="1746" spans="1:34" ht="14.25" customHeight="1" x14ac:dyDescent="0.25">
      <c r="A1746" s="3"/>
      <c r="B1746" s="3"/>
      <c r="C1746" s="3"/>
      <c r="D1746" s="3"/>
      <c r="E1746" s="3"/>
      <c r="F1746" s="3"/>
      <c r="G1746" s="3"/>
      <c r="H1746" s="11"/>
      <c r="I1746" s="12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14"/>
      <c r="X1746" s="3"/>
      <c r="Y1746" s="14"/>
      <c r="Z1746" s="3"/>
      <c r="AA1746" s="3"/>
      <c r="AB1746" s="3"/>
      <c r="AC1746" s="3"/>
      <c r="AD1746" s="3"/>
      <c r="AE1746" s="3"/>
      <c r="AF1746" s="3"/>
      <c r="AG1746" s="3"/>
      <c r="AH1746" s="3"/>
    </row>
    <row r="1747" spans="1:34" ht="14.25" customHeight="1" x14ac:dyDescent="0.25">
      <c r="A1747" s="3"/>
      <c r="B1747" s="3"/>
      <c r="C1747" s="3"/>
      <c r="D1747" s="3"/>
      <c r="E1747" s="3"/>
      <c r="F1747" s="3"/>
      <c r="G1747" s="3"/>
      <c r="H1747" s="11"/>
      <c r="I1747" s="12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14"/>
      <c r="X1747" s="3"/>
      <c r="Y1747" s="14"/>
      <c r="Z1747" s="3"/>
      <c r="AA1747" s="3"/>
      <c r="AB1747" s="3"/>
      <c r="AC1747" s="3"/>
      <c r="AD1747" s="3"/>
      <c r="AE1747" s="3"/>
      <c r="AF1747" s="3"/>
      <c r="AG1747" s="3"/>
      <c r="AH1747" s="3"/>
    </row>
    <row r="1748" spans="1:34" ht="14.25" customHeight="1" x14ac:dyDescent="0.25">
      <c r="A1748" s="3"/>
      <c r="B1748" s="3"/>
      <c r="C1748" s="3"/>
      <c r="D1748" s="3"/>
      <c r="E1748" s="3"/>
      <c r="F1748" s="3"/>
      <c r="G1748" s="3"/>
      <c r="H1748" s="11"/>
      <c r="I1748" s="12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14"/>
      <c r="X1748" s="3"/>
      <c r="Y1748" s="14"/>
      <c r="Z1748" s="3"/>
      <c r="AA1748" s="3"/>
      <c r="AB1748" s="3"/>
      <c r="AC1748" s="3"/>
      <c r="AD1748" s="3"/>
      <c r="AE1748" s="3"/>
      <c r="AF1748" s="3"/>
      <c r="AG1748" s="3"/>
      <c r="AH1748" s="3"/>
    </row>
    <row r="1749" spans="1:34" ht="14.25" customHeight="1" x14ac:dyDescent="0.25">
      <c r="A1749" s="3"/>
      <c r="B1749" s="3"/>
      <c r="C1749" s="3"/>
      <c r="D1749" s="3"/>
      <c r="E1749" s="3"/>
      <c r="F1749" s="3"/>
      <c r="G1749" s="3"/>
      <c r="H1749" s="11"/>
      <c r="I1749" s="12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14"/>
      <c r="X1749" s="3"/>
      <c r="Y1749" s="14"/>
      <c r="Z1749" s="3"/>
      <c r="AA1749" s="3"/>
      <c r="AB1749" s="3"/>
      <c r="AC1749" s="3"/>
      <c r="AD1749" s="3"/>
      <c r="AE1749" s="3"/>
      <c r="AF1749" s="3"/>
      <c r="AG1749" s="3"/>
      <c r="AH1749" s="3"/>
    </row>
    <row r="1750" spans="1:34" ht="14.25" customHeight="1" x14ac:dyDescent="0.25">
      <c r="A1750" s="3"/>
      <c r="B1750" s="3"/>
      <c r="C1750" s="3"/>
      <c r="D1750" s="3"/>
      <c r="E1750" s="3"/>
      <c r="F1750" s="3"/>
      <c r="G1750" s="3"/>
      <c r="H1750" s="11"/>
      <c r="I1750" s="12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14"/>
      <c r="X1750" s="3"/>
      <c r="Y1750" s="14"/>
      <c r="Z1750" s="3"/>
      <c r="AA1750" s="3"/>
      <c r="AB1750" s="3"/>
      <c r="AC1750" s="3"/>
      <c r="AD1750" s="3"/>
      <c r="AE1750" s="3"/>
      <c r="AF1750" s="3"/>
      <c r="AG1750" s="3"/>
      <c r="AH1750" s="3"/>
    </row>
    <row r="1751" spans="1:34" ht="14.25" customHeight="1" x14ac:dyDescent="0.25">
      <c r="A1751" s="3"/>
      <c r="B1751" s="3"/>
      <c r="C1751" s="3"/>
      <c r="D1751" s="3"/>
      <c r="E1751" s="3"/>
      <c r="F1751" s="3"/>
      <c r="G1751" s="3"/>
      <c r="H1751" s="11"/>
      <c r="I1751" s="12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14"/>
      <c r="X1751" s="3"/>
      <c r="Y1751" s="14"/>
      <c r="Z1751" s="3"/>
      <c r="AA1751" s="3"/>
      <c r="AB1751" s="3"/>
      <c r="AC1751" s="3"/>
      <c r="AD1751" s="3"/>
      <c r="AE1751" s="3"/>
      <c r="AF1751" s="3"/>
      <c r="AG1751" s="3"/>
      <c r="AH1751" s="3"/>
    </row>
    <row r="1752" spans="1:34" ht="14.25" customHeight="1" x14ac:dyDescent="0.25">
      <c r="A1752" s="3"/>
      <c r="B1752" s="3"/>
      <c r="C1752" s="3"/>
      <c r="D1752" s="3"/>
      <c r="E1752" s="3"/>
      <c r="F1752" s="3"/>
      <c r="G1752" s="3"/>
      <c r="H1752" s="11"/>
      <c r="I1752" s="12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14"/>
      <c r="X1752" s="3"/>
      <c r="Y1752" s="14"/>
      <c r="Z1752" s="3"/>
      <c r="AA1752" s="3"/>
      <c r="AB1752" s="3"/>
      <c r="AC1752" s="3"/>
      <c r="AD1752" s="3"/>
      <c r="AE1752" s="3"/>
      <c r="AF1752" s="3"/>
      <c r="AG1752" s="3"/>
      <c r="AH1752" s="3"/>
    </row>
    <row r="1753" spans="1:34" ht="14.25" customHeight="1" x14ac:dyDescent="0.25">
      <c r="A1753" s="3"/>
      <c r="B1753" s="3"/>
      <c r="C1753" s="3"/>
      <c r="D1753" s="3"/>
      <c r="E1753" s="3"/>
      <c r="F1753" s="3"/>
      <c r="G1753" s="3"/>
      <c r="H1753" s="11"/>
      <c r="I1753" s="12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14"/>
      <c r="X1753" s="3"/>
      <c r="Y1753" s="14"/>
      <c r="Z1753" s="3"/>
      <c r="AA1753" s="3"/>
      <c r="AB1753" s="3"/>
      <c r="AC1753" s="3"/>
      <c r="AD1753" s="3"/>
      <c r="AE1753" s="3"/>
      <c r="AF1753" s="3"/>
      <c r="AG1753" s="3"/>
      <c r="AH1753" s="3"/>
    </row>
    <row r="1754" spans="1:34" ht="14.25" customHeight="1" x14ac:dyDescent="0.25">
      <c r="A1754" s="3"/>
      <c r="B1754" s="3"/>
      <c r="C1754" s="3"/>
      <c r="D1754" s="3"/>
      <c r="E1754" s="3"/>
      <c r="F1754" s="3"/>
      <c r="G1754" s="3"/>
      <c r="H1754" s="11"/>
      <c r="I1754" s="12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14"/>
      <c r="X1754" s="3"/>
      <c r="Y1754" s="14"/>
      <c r="Z1754" s="3"/>
      <c r="AA1754" s="3"/>
      <c r="AB1754" s="3"/>
      <c r="AC1754" s="3"/>
      <c r="AD1754" s="3"/>
      <c r="AE1754" s="3"/>
      <c r="AF1754" s="3"/>
      <c r="AG1754" s="3"/>
      <c r="AH1754" s="3"/>
    </row>
    <row r="1755" spans="1:34" ht="14.25" customHeight="1" x14ac:dyDescent="0.25">
      <c r="A1755" s="3"/>
      <c r="B1755" s="3"/>
      <c r="C1755" s="3"/>
      <c r="D1755" s="3"/>
      <c r="E1755" s="3"/>
      <c r="F1755" s="3"/>
      <c r="G1755" s="3"/>
      <c r="H1755" s="11"/>
      <c r="I1755" s="12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14"/>
      <c r="X1755" s="3"/>
      <c r="Y1755" s="14"/>
      <c r="Z1755" s="3"/>
      <c r="AA1755" s="3"/>
      <c r="AB1755" s="3"/>
      <c r="AC1755" s="3"/>
      <c r="AD1755" s="3"/>
      <c r="AE1755" s="3"/>
      <c r="AF1755" s="3"/>
      <c r="AG1755" s="3"/>
      <c r="AH1755" s="3"/>
    </row>
    <row r="1756" spans="1:34" ht="14.25" customHeight="1" x14ac:dyDescent="0.25">
      <c r="A1756" s="3"/>
      <c r="B1756" s="3"/>
      <c r="C1756" s="3"/>
      <c r="D1756" s="3"/>
      <c r="E1756" s="3"/>
      <c r="F1756" s="3"/>
      <c r="G1756" s="3"/>
      <c r="H1756" s="11"/>
      <c r="I1756" s="12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14"/>
      <c r="X1756" s="3"/>
      <c r="Y1756" s="14"/>
      <c r="Z1756" s="3"/>
      <c r="AA1756" s="3"/>
      <c r="AB1756" s="3"/>
      <c r="AC1756" s="3"/>
      <c r="AD1756" s="3"/>
      <c r="AE1756" s="3"/>
      <c r="AF1756" s="3"/>
      <c r="AG1756" s="3"/>
      <c r="AH1756" s="3"/>
    </row>
    <row r="1757" spans="1:34" ht="14.25" customHeight="1" x14ac:dyDescent="0.25">
      <c r="A1757" s="3"/>
      <c r="B1757" s="3"/>
      <c r="C1757" s="3"/>
      <c r="D1757" s="3"/>
      <c r="E1757" s="3"/>
      <c r="F1757" s="3"/>
      <c r="G1757" s="3"/>
      <c r="H1757" s="11"/>
      <c r="I1757" s="12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14"/>
      <c r="X1757" s="3"/>
      <c r="Y1757" s="14"/>
      <c r="Z1757" s="3"/>
      <c r="AA1757" s="3"/>
      <c r="AB1757" s="3"/>
      <c r="AC1757" s="3"/>
      <c r="AD1757" s="3"/>
      <c r="AE1757" s="3"/>
      <c r="AF1757" s="3"/>
      <c r="AG1757" s="3"/>
      <c r="AH1757" s="3"/>
    </row>
    <row r="1758" spans="1:34" ht="14.25" customHeight="1" x14ac:dyDescent="0.25">
      <c r="A1758" s="3"/>
      <c r="B1758" s="3"/>
      <c r="C1758" s="3"/>
      <c r="D1758" s="3"/>
      <c r="E1758" s="3"/>
      <c r="F1758" s="3"/>
      <c r="G1758" s="3"/>
      <c r="H1758" s="11"/>
      <c r="I1758" s="12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14"/>
      <c r="X1758" s="3"/>
      <c r="Y1758" s="14"/>
      <c r="Z1758" s="3"/>
      <c r="AA1758" s="3"/>
      <c r="AB1758" s="3"/>
      <c r="AC1758" s="3"/>
      <c r="AD1758" s="3"/>
      <c r="AE1758" s="3"/>
      <c r="AF1758" s="3"/>
      <c r="AG1758" s="3"/>
      <c r="AH1758" s="3"/>
    </row>
    <row r="1759" spans="1:34" ht="14.25" customHeight="1" x14ac:dyDescent="0.25">
      <c r="A1759" s="3"/>
      <c r="B1759" s="3"/>
      <c r="C1759" s="3"/>
      <c r="D1759" s="3"/>
      <c r="E1759" s="3"/>
      <c r="F1759" s="3"/>
      <c r="G1759" s="3"/>
      <c r="H1759" s="11"/>
      <c r="I1759" s="12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14"/>
      <c r="X1759" s="3"/>
      <c r="Y1759" s="14"/>
      <c r="Z1759" s="3"/>
      <c r="AA1759" s="3"/>
      <c r="AB1759" s="3"/>
      <c r="AC1759" s="3"/>
      <c r="AD1759" s="3"/>
      <c r="AE1759" s="3"/>
      <c r="AF1759" s="3"/>
      <c r="AG1759" s="3"/>
      <c r="AH1759" s="3"/>
    </row>
    <row r="1760" spans="1:34" ht="14.25" customHeight="1" x14ac:dyDescent="0.25">
      <c r="A1760" s="3"/>
      <c r="B1760" s="3"/>
      <c r="C1760" s="3"/>
      <c r="D1760" s="3"/>
      <c r="E1760" s="3"/>
      <c r="F1760" s="3"/>
      <c r="G1760" s="3"/>
      <c r="H1760" s="11"/>
      <c r="I1760" s="12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14"/>
      <c r="X1760" s="3"/>
      <c r="Y1760" s="14"/>
      <c r="Z1760" s="3"/>
      <c r="AA1760" s="3"/>
      <c r="AB1760" s="3"/>
      <c r="AC1760" s="3"/>
      <c r="AD1760" s="3"/>
      <c r="AE1760" s="3"/>
      <c r="AF1760" s="3"/>
      <c r="AG1760" s="3"/>
      <c r="AH1760" s="3"/>
    </row>
    <row r="1761" spans="1:34" ht="14.25" customHeight="1" x14ac:dyDescent="0.25">
      <c r="A1761" s="3"/>
      <c r="B1761" s="3"/>
      <c r="C1761" s="3"/>
      <c r="D1761" s="3"/>
      <c r="E1761" s="3"/>
      <c r="F1761" s="3"/>
      <c r="G1761" s="3"/>
      <c r="H1761" s="11"/>
      <c r="I1761" s="12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14"/>
      <c r="X1761" s="3"/>
      <c r="Y1761" s="14"/>
      <c r="Z1761" s="3"/>
      <c r="AA1761" s="3"/>
      <c r="AB1761" s="3"/>
      <c r="AC1761" s="3"/>
      <c r="AD1761" s="3"/>
      <c r="AE1761" s="3"/>
      <c r="AF1761" s="3"/>
      <c r="AG1761" s="3"/>
      <c r="AH1761" s="3"/>
    </row>
    <row r="1762" spans="1:34" ht="14.25" customHeight="1" x14ac:dyDescent="0.25">
      <c r="A1762" s="3"/>
      <c r="B1762" s="3"/>
      <c r="C1762" s="3"/>
      <c r="D1762" s="3"/>
      <c r="E1762" s="3"/>
      <c r="F1762" s="3"/>
      <c r="G1762" s="14"/>
      <c r="H1762" s="11"/>
      <c r="I1762" s="12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14"/>
      <c r="X1762" s="3"/>
      <c r="Y1762" s="14"/>
      <c r="Z1762" s="3"/>
      <c r="AA1762" s="3"/>
      <c r="AB1762" s="3"/>
      <c r="AC1762" s="3"/>
      <c r="AD1762" s="3"/>
      <c r="AE1762" s="3"/>
      <c r="AF1762" s="3"/>
      <c r="AG1762" s="3"/>
      <c r="AH1762" s="3"/>
    </row>
    <row r="1763" spans="1:34" ht="14.25" customHeight="1" x14ac:dyDescent="0.25">
      <c r="A1763" s="3"/>
      <c r="B1763" s="3"/>
      <c r="C1763" s="3"/>
      <c r="D1763" s="3"/>
      <c r="E1763" s="3"/>
      <c r="F1763" s="3"/>
      <c r="G1763" s="3"/>
      <c r="H1763" s="11"/>
      <c r="I1763" s="12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14"/>
      <c r="X1763" s="3"/>
      <c r="Y1763" s="14"/>
      <c r="Z1763" s="3"/>
      <c r="AA1763" s="3"/>
      <c r="AB1763" s="3"/>
      <c r="AC1763" s="3"/>
      <c r="AD1763" s="3"/>
      <c r="AE1763" s="3"/>
      <c r="AF1763" s="3"/>
      <c r="AG1763" s="3"/>
      <c r="AH1763" s="3"/>
    </row>
    <row r="1764" spans="1:34" ht="14.25" customHeight="1" x14ac:dyDescent="0.25">
      <c r="A1764" s="3"/>
      <c r="B1764" s="3"/>
      <c r="C1764" s="3"/>
      <c r="D1764" s="3"/>
      <c r="E1764" s="3"/>
      <c r="F1764" s="3"/>
      <c r="G1764" s="3"/>
      <c r="H1764" s="11"/>
      <c r="I1764" s="12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14"/>
      <c r="X1764" s="3"/>
      <c r="Y1764" s="14"/>
      <c r="Z1764" s="3"/>
      <c r="AA1764" s="3"/>
      <c r="AB1764" s="3"/>
      <c r="AC1764" s="3"/>
      <c r="AD1764" s="3"/>
      <c r="AE1764" s="3"/>
      <c r="AF1764" s="3"/>
      <c r="AG1764" s="3"/>
      <c r="AH1764" s="3"/>
    </row>
    <row r="1765" spans="1:34" ht="14.25" customHeight="1" x14ac:dyDescent="0.25">
      <c r="A1765" s="3"/>
      <c r="B1765" s="3"/>
      <c r="C1765" s="3"/>
      <c r="D1765" s="3"/>
      <c r="E1765" s="3"/>
      <c r="F1765" s="3"/>
      <c r="G1765" s="14"/>
      <c r="H1765" s="11"/>
      <c r="I1765" s="12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14"/>
      <c r="X1765" s="3"/>
      <c r="Y1765" s="14"/>
      <c r="Z1765" s="3"/>
      <c r="AA1765" s="3"/>
      <c r="AB1765" s="3"/>
      <c r="AC1765" s="3"/>
      <c r="AD1765" s="3"/>
      <c r="AE1765" s="3"/>
      <c r="AF1765" s="3"/>
      <c r="AG1765" s="3"/>
      <c r="AH1765" s="3"/>
    </row>
    <row r="1766" spans="1:34" ht="14.25" customHeight="1" x14ac:dyDescent="0.25">
      <c r="A1766" s="3"/>
      <c r="B1766" s="3"/>
      <c r="C1766" s="3"/>
      <c r="D1766" s="3"/>
      <c r="E1766" s="3"/>
      <c r="F1766" s="3"/>
      <c r="G1766" s="3"/>
      <c r="H1766" s="11"/>
      <c r="I1766" s="12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14"/>
      <c r="X1766" s="3"/>
      <c r="Y1766" s="14"/>
      <c r="Z1766" s="3"/>
      <c r="AA1766" s="3"/>
      <c r="AB1766" s="3"/>
      <c r="AC1766" s="3"/>
      <c r="AD1766" s="3"/>
      <c r="AE1766" s="3"/>
      <c r="AF1766" s="3"/>
      <c r="AG1766" s="3"/>
      <c r="AH1766" s="3"/>
    </row>
    <row r="1767" spans="1:34" ht="14.25" customHeight="1" x14ac:dyDescent="0.25">
      <c r="A1767" s="3"/>
      <c r="B1767" s="3"/>
      <c r="C1767" s="3"/>
      <c r="D1767" s="3"/>
      <c r="E1767" s="3"/>
      <c r="F1767" s="3"/>
      <c r="G1767" s="3"/>
      <c r="H1767" s="11"/>
      <c r="I1767" s="12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14"/>
      <c r="X1767" s="3"/>
      <c r="Y1767" s="14"/>
      <c r="Z1767" s="3"/>
      <c r="AA1767" s="3"/>
      <c r="AB1767" s="3"/>
      <c r="AC1767" s="3"/>
      <c r="AD1767" s="3"/>
      <c r="AE1767" s="3"/>
      <c r="AF1767" s="3"/>
      <c r="AG1767" s="3"/>
      <c r="AH1767" s="3"/>
    </row>
    <row r="1768" spans="1:34" ht="14.25" customHeight="1" x14ac:dyDescent="0.25">
      <c r="A1768" s="3"/>
      <c r="B1768" s="3"/>
      <c r="C1768" s="3"/>
      <c r="D1768" s="3"/>
      <c r="E1768" s="3"/>
      <c r="F1768" s="3"/>
      <c r="G1768" s="3"/>
      <c r="H1768" s="11"/>
      <c r="I1768" s="12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14"/>
      <c r="X1768" s="3"/>
      <c r="Y1768" s="14"/>
      <c r="Z1768" s="3"/>
      <c r="AA1768" s="3"/>
      <c r="AB1768" s="3"/>
      <c r="AC1768" s="3"/>
      <c r="AD1768" s="3"/>
      <c r="AE1768" s="3"/>
      <c r="AF1768" s="3"/>
      <c r="AG1768" s="3"/>
      <c r="AH1768" s="3"/>
    </row>
    <row r="1769" spans="1:34" ht="14.25" customHeight="1" x14ac:dyDescent="0.25">
      <c r="A1769" s="3"/>
      <c r="B1769" s="3"/>
      <c r="C1769" s="3"/>
      <c r="D1769" s="3"/>
      <c r="E1769" s="3"/>
      <c r="F1769" s="3"/>
      <c r="G1769" s="3"/>
      <c r="H1769" s="11"/>
      <c r="I1769" s="12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14"/>
      <c r="X1769" s="3"/>
      <c r="Y1769" s="14"/>
      <c r="Z1769" s="3"/>
      <c r="AA1769" s="3"/>
      <c r="AB1769" s="3"/>
      <c r="AC1769" s="3"/>
      <c r="AD1769" s="3"/>
      <c r="AE1769" s="3"/>
      <c r="AF1769" s="3"/>
      <c r="AG1769" s="3"/>
      <c r="AH1769" s="3"/>
    </row>
    <row r="1770" spans="1:34" ht="14.25" customHeight="1" x14ac:dyDescent="0.25">
      <c r="A1770" s="3"/>
      <c r="B1770" s="3"/>
      <c r="C1770" s="3"/>
      <c r="D1770" s="3"/>
      <c r="E1770" s="3"/>
      <c r="F1770" s="3"/>
      <c r="G1770" s="3"/>
      <c r="H1770" s="11"/>
      <c r="I1770" s="12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14"/>
      <c r="X1770" s="3"/>
      <c r="Y1770" s="14"/>
      <c r="Z1770" s="3"/>
      <c r="AA1770" s="3"/>
      <c r="AB1770" s="3"/>
      <c r="AC1770" s="3"/>
      <c r="AD1770" s="3"/>
      <c r="AE1770" s="3"/>
      <c r="AF1770" s="3"/>
      <c r="AG1770" s="3"/>
      <c r="AH1770" s="3"/>
    </row>
    <row r="1771" spans="1:34" ht="14.25" customHeight="1" x14ac:dyDescent="0.25">
      <c r="A1771" s="3"/>
      <c r="B1771" s="3"/>
      <c r="C1771" s="3"/>
      <c r="D1771" s="3"/>
      <c r="E1771" s="3"/>
      <c r="F1771" s="3"/>
      <c r="G1771" s="3"/>
      <c r="H1771" s="11"/>
      <c r="I1771" s="12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14"/>
      <c r="X1771" s="3"/>
      <c r="Y1771" s="14"/>
      <c r="Z1771" s="3"/>
      <c r="AA1771" s="3"/>
      <c r="AB1771" s="3"/>
      <c r="AC1771" s="3"/>
      <c r="AD1771" s="3"/>
      <c r="AE1771" s="3"/>
      <c r="AF1771" s="3"/>
      <c r="AG1771" s="3"/>
      <c r="AH1771" s="3"/>
    </row>
    <row r="1772" spans="1:34" ht="14.25" customHeight="1" x14ac:dyDescent="0.25">
      <c r="A1772" s="3"/>
      <c r="B1772" s="3"/>
      <c r="C1772" s="3"/>
      <c r="D1772" s="3"/>
      <c r="E1772" s="3"/>
      <c r="F1772" s="3"/>
      <c r="G1772" s="14"/>
      <c r="H1772" s="11"/>
      <c r="I1772" s="12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14"/>
      <c r="X1772" s="3"/>
      <c r="Y1772" s="14"/>
      <c r="Z1772" s="3"/>
      <c r="AA1772" s="3"/>
      <c r="AB1772" s="3"/>
      <c r="AC1772" s="3"/>
      <c r="AD1772" s="3"/>
      <c r="AE1772" s="3"/>
      <c r="AF1772" s="3"/>
      <c r="AG1772" s="3"/>
      <c r="AH1772" s="3"/>
    </row>
    <row r="1773" spans="1:34" ht="14.25" customHeight="1" x14ac:dyDescent="0.25">
      <c r="A1773" s="3"/>
      <c r="B1773" s="3"/>
      <c r="C1773" s="3"/>
      <c r="D1773" s="3"/>
      <c r="E1773" s="3"/>
      <c r="F1773" s="3"/>
      <c r="G1773" s="3"/>
      <c r="H1773" s="11"/>
      <c r="I1773" s="12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14"/>
      <c r="X1773" s="3"/>
      <c r="Y1773" s="14"/>
      <c r="Z1773" s="3"/>
      <c r="AA1773" s="3"/>
      <c r="AB1773" s="3"/>
      <c r="AC1773" s="3"/>
      <c r="AD1773" s="3"/>
      <c r="AE1773" s="3"/>
      <c r="AF1773" s="3"/>
      <c r="AG1773" s="3"/>
      <c r="AH1773" s="3"/>
    </row>
    <row r="1774" spans="1:34" ht="14.25" customHeight="1" x14ac:dyDescent="0.25">
      <c r="A1774" s="3"/>
      <c r="B1774" s="3"/>
      <c r="C1774" s="3"/>
      <c r="D1774" s="3"/>
      <c r="E1774" s="3"/>
      <c r="F1774" s="3"/>
      <c r="G1774" s="3"/>
      <c r="H1774" s="11"/>
      <c r="I1774" s="12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14"/>
      <c r="X1774" s="3"/>
      <c r="Y1774" s="14"/>
      <c r="Z1774" s="3"/>
      <c r="AA1774" s="3"/>
      <c r="AB1774" s="3"/>
      <c r="AC1774" s="3"/>
      <c r="AD1774" s="3"/>
      <c r="AE1774" s="3"/>
      <c r="AF1774" s="3"/>
      <c r="AG1774" s="3"/>
      <c r="AH1774" s="3"/>
    </row>
    <row r="1775" spans="1:34" ht="14.25" customHeight="1" x14ac:dyDescent="0.25">
      <c r="A1775" s="3"/>
      <c r="B1775" s="3"/>
      <c r="C1775" s="3"/>
      <c r="D1775" s="3"/>
      <c r="E1775" s="3"/>
      <c r="F1775" s="3"/>
      <c r="G1775" s="3"/>
      <c r="H1775" s="11"/>
      <c r="I1775" s="12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14"/>
      <c r="X1775" s="3"/>
      <c r="Y1775" s="14"/>
      <c r="Z1775" s="3"/>
      <c r="AA1775" s="3"/>
      <c r="AB1775" s="3"/>
      <c r="AC1775" s="3"/>
      <c r="AD1775" s="3"/>
      <c r="AE1775" s="3"/>
      <c r="AF1775" s="3"/>
      <c r="AG1775" s="3"/>
      <c r="AH1775" s="3"/>
    </row>
    <row r="1776" spans="1:34" ht="14.25" customHeight="1" x14ac:dyDescent="0.25">
      <c r="A1776" s="3"/>
      <c r="B1776" s="3"/>
      <c r="C1776" s="3"/>
      <c r="D1776" s="3"/>
      <c r="E1776" s="3"/>
      <c r="F1776" s="3"/>
      <c r="G1776" s="3"/>
      <c r="H1776" s="11"/>
      <c r="I1776" s="12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14"/>
      <c r="X1776" s="3"/>
      <c r="Y1776" s="14"/>
      <c r="Z1776" s="3"/>
      <c r="AA1776" s="3"/>
      <c r="AB1776" s="3"/>
      <c r="AC1776" s="3"/>
      <c r="AD1776" s="3"/>
      <c r="AE1776" s="3"/>
      <c r="AF1776" s="3"/>
      <c r="AG1776" s="3"/>
      <c r="AH1776" s="3"/>
    </row>
    <row r="1777" spans="1:34" ht="14.25" customHeight="1" x14ac:dyDescent="0.25">
      <c r="A1777" s="3"/>
      <c r="B1777" s="3"/>
      <c r="C1777" s="3"/>
      <c r="D1777" s="3"/>
      <c r="E1777" s="3"/>
      <c r="F1777" s="3"/>
      <c r="G1777" s="3"/>
      <c r="H1777" s="11"/>
      <c r="I1777" s="12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14"/>
      <c r="X1777" s="3"/>
      <c r="Y1777" s="14"/>
      <c r="Z1777" s="3"/>
      <c r="AA1777" s="3"/>
      <c r="AB1777" s="3"/>
      <c r="AC1777" s="3"/>
      <c r="AD1777" s="3"/>
      <c r="AE1777" s="3"/>
      <c r="AF1777" s="3"/>
      <c r="AG1777" s="3"/>
      <c r="AH1777" s="3"/>
    </row>
    <row r="1778" spans="1:34" ht="14.25" customHeight="1" x14ac:dyDescent="0.25">
      <c r="A1778" s="3"/>
      <c r="B1778" s="3"/>
      <c r="C1778" s="3"/>
      <c r="D1778" s="3"/>
      <c r="E1778" s="3"/>
      <c r="F1778" s="3"/>
      <c r="G1778" s="3"/>
      <c r="H1778" s="11"/>
      <c r="I1778" s="12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14"/>
      <c r="X1778" s="3"/>
      <c r="Y1778" s="14"/>
      <c r="Z1778" s="3"/>
      <c r="AA1778" s="3"/>
      <c r="AB1778" s="3"/>
      <c r="AC1778" s="3"/>
      <c r="AD1778" s="3"/>
      <c r="AE1778" s="3"/>
      <c r="AF1778" s="3"/>
      <c r="AG1778" s="3"/>
      <c r="AH1778" s="3"/>
    </row>
    <row r="1779" spans="1:34" ht="14.25" customHeight="1" x14ac:dyDescent="0.25">
      <c r="A1779" s="3"/>
      <c r="B1779" s="3"/>
      <c r="C1779" s="3"/>
      <c r="D1779" s="3"/>
      <c r="E1779" s="3"/>
      <c r="F1779" s="3"/>
      <c r="G1779" s="3"/>
      <c r="H1779" s="11"/>
      <c r="I1779" s="12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14"/>
      <c r="X1779" s="3"/>
      <c r="Y1779" s="14"/>
      <c r="Z1779" s="3"/>
      <c r="AA1779" s="3"/>
      <c r="AB1779" s="3"/>
      <c r="AC1779" s="3"/>
      <c r="AD1779" s="3"/>
      <c r="AE1779" s="3"/>
      <c r="AF1779" s="3"/>
      <c r="AG1779" s="3"/>
      <c r="AH1779" s="3"/>
    </row>
    <row r="1780" spans="1:34" ht="14.25" customHeight="1" x14ac:dyDescent="0.25">
      <c r="A1780" s="3"/>
      <c r="B1780" s="3"/>
      <c r="C1780" s="3"/>
      <c r="D1780" s="3"/>
      <c r="E1780" s="3"/>
      <c r="F1780" s="3"/>
      <c r="G1780" s="3"/>
      <c r="H1780" s="11"/>
      <c r="I1780" s="12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14"/>
      <c r="X1780" s="3"/>
      <c r="Y1780" s="14"/>
      <c r="Z1780" s="3"/>
      <c r="AA1780" s="3"/>
      <c r="AB1780" s="3"/>
      <c r="AC1780" s="3"/>
      <c r="AD1780" s="3"/>
      <c r="AE1780" s="3"/>
      <c r="AF1780" s="3"/>
      <c r="AG1780" s="3"/>
      <c r="AH1780" s="3"/>
    </row>
    <row r="1781" spans="1:34" ht="14.25" customHeight="1" x14ac:dyDescent="0.25">
      <c r="A1781" s="3"/>
      <c r="B1781" s="3"/>
      <c r="C1781" s="3"/>
      <c r="D1781" s="3"/>
      <c r="E1781" s="3"/>
      <c r="F1781" s="3"/>
      <c r="G1781" s="3"/>
      <c r="H1781" s="11"/>
      <c r="I1781" s="12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14"/>
      <c r="X1781" s="3"/>
      <c r="Y1781" s="14"/>
      <c r="Z1781" s="3"/>
      <c r="AA1781" s="3"/>
      <c r="AB1781" s="3"/>
      <c r="AC1781" s="3"/>
      <c r="AD1781" s="3"/>
      <c r="AE1781" s="3"/>
      <c r="AF1781" s="3"/>
      <c r="AG1781" s="3"/>
      <c r="AH1781" s="3"/>
    </row>
    <row r="1782" spans="1:34" ht="14.25" customHeight="1" x14ac:dyDescent="0.25">
      <c r="A1782" s="3"/>
      <c r="B1782" s="3"/>
      <c r="C1782" s="3"/>
      <c r="D1782" s="3"/>
      <c r="E1782" s="3"/>
      <c r="F1782" s="3"/>
      <c r="G1782" s="14"/>
      <c r="H1782" s="11"/>
      <c r="I1782" s="12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14"/>
      <c r="X1782" s="3"/>
      <c r="Y1782" s="14"/>
      <c r="Z1782" s="3"/>
      <c r="AA1782" s="3"/>
      <c r="AB1782" s="3"/>
      <c r="AC1782" s="3"/>
      <c r="AD1782" s="3"/>
      <c r="AE1782" s="3"/>
      <c r="AF1782" s="3"/>
      <c r="AG1782" s="3"/>
      <c r="AH1782" s="3"/>
    </row>
    <row r="1783" spans="1:34" ht="14.25" customHeight="1" x14ac:dyDescent="0.25">
      <c r="A1783" s="3"/>
      <c r="B1783" s="3"/>
      <c r="C1783" s="3"/>
      <c r="D1783" s="3"/>
      <c r="E1783" s="3"/>
      <c r="F1783" s="3"/>
      <c r="G1783" s="3"/>
      <c r="H1783" s="11"/>
      <c r="I1783" s="12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</row>
    <row r="1784" spans="1:34" ht="14.25" customHeight="1" x14ac:dyDescent="0.25">
      <c r="A1784" s="3"/>
      <c r="B1784" s="3"/>
      <c r="C1784" s="3"/>
      <c r="D1784" s="3"/>
      <c r="E1784" s="3"/>
      <c r="F1784" s="3"/>
      <c r="G1784" s="3"/>
      <c r="H1784" s="11"/>
      <c r="I1784" s="12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14"/>
      <c r="X1784" s="3"/>
      <c r="Y1784" s="14"/>
      <c r="Z1784" s="3"/>
      <c r="AA1784" s="3"/>
      <c r="AB1784" s="3"/>
      <c r="AC1784" s="3"/>
      <c r="AD1784" s="3"/>
      <c r="AE1784" s="3"/>
      <c r="AF1784" s="3"/>
      <c r="AG1784" s="3"/>
      <c r="AH1784" s="3"/>
    </row>
    <row r="1785" spans="1:34" ht="14.25" customHeight="1" x14ac:dyDescent="0.25">
      <c r="A1785" s="3"/>
      <c r="B1785" s="3"/>
      <c r="C1785" s="3"/>
      <c r="D1785" s="3"/>
      <c r="E1785" s="3"/>
      <c r="F1785" s="3"/>
      <c r="G1785" s="3"/>
      <c r="H1785" s="11"/>
      <c r="I1785" s="12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14"/>
      <c r="X1785" s="3"/>
      <c r="Y1785" s="14"/>
      <c r="Z1785" s="3"/>
      <c r="AA1785" s="3"/>
      <c r="AB1785" s="3"/>
      <c r="AC1785" s="3"/>
      <c r="AD1785" s="3"/>
      <c r="AE1785" s="3"/>
      <c r="AF1785" s="3"/>
      <c r="AG1785" s="3"/>
      <c r="AH1785" s="3"/>
    </row>
    <row r="1786" spans="1:34" ht="14.25" customHeight="1" x14ac:dyDescent="0.25">
      <c r="A1786" s="3"/>
      <c r="B1786" s="3"/>
      <c r="C1786" s="3"/>
      <c r="D1786" s="3"/>
      <c r="E1786" s="3"/>
      <c r="F1786" s="3"/>
      <c r="G1786" s="3"/>
      <c r="H1786" s="11"/>
      <c r="I1786" s="12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14"/>
      <c r="X1786" s="3"/>
      <c r="Y1786" s="14"/>
      <c r="Z1786" s="3"/>
      <c r="AA1786" s="3"/>
      <c r="AB1786" s="3"/>
      <c r="AC1786" s="3"/>
      <c r="AD1786" s="3"/>
      <c r="AE1786" s="3"/>
      <c r="AF1786" s="3"/>
      <c r="AG1786" s="3"/>
      <c r="AH1786" s="3"/>
    </row>
    <row r="1787" spans="1:34" ht="14.25" customHeight="1" x14ac:dyDescent="0.25">
      <c r="A1787" s="3"/>
      <c r="B1787" s="3"/>
      <c r="C1787" s="3"/>
      <c r="D1787" s="3"/>
      <c r="E1787" s="3"/>
      <c r="F1787" s="3"/>
      <c r="G1787" s="3"/>
      <c r="H1787" s="11"/>
      <c r="I1787" s="12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14"/>
      <c r="X1787" s="3"/>
      <c r="Y1787" s="14"/>
      <c r="Z1787" s="3"/>
      <c r="AA1787" s="3"/>
      <c r="AB1787" s="3"/>
      <c r="AC1787" s="3"/>
      <c r="AD1787" s="3"/>
      <c r="AE1787" s="3"/>
      <c r="AF1787" s="3"/>
      <c r="AG1787" s="3"/>
      <c r="AH1787" s="3"/>
    </row>
    <row r="1788" spans="1:34" ht="14.25" customHeight="1" x14ac:dyDescent="0.25">
      <c r="A1788" s="3"/>
      <c r="B1788" s="3"/>
      <c r="C1788" s="3"/>
      <c r="D1788" s="3"/>
      <c r="E1788" s="3"/>
      <c r="F1788" s="3"/>
      <c r="G1788" s="3"/>
      <c r="H1788" s="11"/>
      <c r="I1788" s="12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14"/>
      <c r="X1788" s="3"/>
      <c r="Y1788" s="14"/>
      <c r="Z1788" s="3"/>
      <c r="AA1788" s="3"/>
      <c r="AB1788" s="3"/>
      <c r="AC1788" s="3"/>
      <c r="AD1788" s="3"/>
      <c r="AE1788" s="3"/>
      <c r="AF1788" s="3"/>
      <c r="AG1788" s="3"/>
      <c r="AH1788" s="3"/>
    </row>
    <row r="1789" spans="1:34" ht="14.25" customHeight="1" x14ac:dyDescent="0.25">
      <c r="A1789" s="3"/>
      <c r="B1789" s="3"/>
      <c r="C1789" s="3"/>
      <c r="D1789" s="3"/>
      <c r="E1789" s="3"/>
      <c r="F1789" s="3"/>
      <c r="G1789" s="3"/>
      <c r="H1789" s="11"/>
      <c r="I1789" s="12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14"/>
      <c r="X1789" s="3"/>
      <c r="Y1789" s="14"/>
      <c r="Z1789" s="3"/>
      <c r="AA1789" s="3"/>
      <c r="AB1789" s="3"/>
      <c r="AC1789" s="3"/>
      <c r="AD1789" s="3"/>
      <c r="AE1789" s="3"/>
      <c r="AF1789" s="3"/>
      <c r="AG1789" s="3"/>
      <c r="AH1789" s="3"/>
    </row>
    <row r="1790" spans="1:34" ht="14.25" customHeight="1" x14ac:dyDescent="0.25">
      <c r="A1790" s="3"/>
      <c r="B1790" s="3"/>
      <c r="C1790" s="3"/>
      <c r="D1790" s="3"/>
      <c r="E1790" s="3"/>
      <c r="F1790" s="3"/>
      <c r="G1790" s="3"/>
      <c r="H1790" s="11"/>
      <c r="I1790" s="12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14"/>
      <c r="X1790" s="3"/>
      <c r="Y1790" s="14"/>
      <c r="Z1790" s="3"/>
      <c r="AA1790" s="3"/>
      <c r="AB1790" s="3"/>
      <c r="AC1790" s="3"/>
      <c r="AD1790" s="3"/>
      <c r="AE1790" s="3"/>
      <c r="AF1790" s="3"/>
      <c r="AG1790" s="3"/>
      <c r="AH1790" s="3"/>
    </row>
    <row r="1791" spans="1:34" ht="14.25" customHeight="1" x14ac:dyDescent="0.25">
      <c r="A1791" s="3"/>
      <c r="B1791" s="3"/>
      <c r="C1791" s="3"/>
      <c r="D1791" s="3"/>
      <c r="E1791" s="3"/>
      <c r="F1791" s="3"/>
      <c r="G1791" s="14"/>
      <c r="H1791" s="11"/>
      <c r="I1791" s="12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14"/>
      <c r="X1791" s="3"/>
      <c r="Y1791" s="14"/>
      <c r="Z1791" s="3"/>
      <c r="AA1791" s="3"/>
      <c r="AB1791" s="3"/>
      <c r="AC1791" s="3"/>
      <c r="AD1791" s="3"/>
      <c r="AE1791" s="3"/>
      <c r="AF1791" s="3"/>
      <c r="AG1791" s="3"/>
      <c r="AH1791" s="3"/>
    </row>
    <row r="1792" spans="1:34" ht="14.25" customHeight="1" x14ac:dyDescent="0.25">
      <c r="A1792" s="3"/>
      <c r="B1792" s="3"/>
      <c r="C1792" s="3"/>
      <c r="D1792" s="3"/>
      <c r="E1792" s="3"/>
      <c r="F1792" s="3"/>
      <c r="G1792" s="3"/>
      <c r="H1792" s="11"/>
      <c r="I1792" s="12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14"/>
      <c r="X1792" s="3"/>
      <c r="Y1792" s="14"/>
      <c r="Z1792" s="3"/>
      <c r="AA1792" s="3"/>
      <c r="AB1792" s="3"/>
      <c r="AC1792" s="3"/>
      <c r="AD1792" s="3"/>
      <c r="AE1792" s="3"/>
      <c r="AF1792" s="3"/>
      <c r="AG1792" s="3"/>
      <c r="AH1792" s="3"/>
    </row>
    <row r="1793" spans="1:34" ht="14.25" customHeight="1" x14ac:dyDescent="0.25">
      <c r="A1793" s="3"/>
      <c r="B1793" s="3"/>
      <c r="C1793" s="3"/>
      <c r="D1793" s="3"/>
      <c r="E1793" s="3"/>
      <c r="F1793" s="3"/>
      <c r="G1793" s="3"/>
      <c r="H1793" s="11"/>
      <c r="I1793" s="12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14"/>
      <c r="X1793" s="3"/>
      <c r="Y1793" s="14"/>
      <c r="Z1793" s="3"/>
      <c r="AA1793" s="3"/>
      <c r="AB1793" s="3"/>
      <c r="AC1793" s="3"/>
      <c r="AD1793" s="3"/>
      <c r="AE1793" s="3"/>
      <c r="AF1793" s="3"/>
      <c r="AG1793" s="3"/>
      <c r="AH1793" s="3"/>
    </row>
    <row r="1794" spans="1:34" ht="14.25" customHeight="1" x14ac:dyDescent="0.25">
      <c r="A1794" s="3"/>
      <c r="B1794" s="3"/>
      <c r="C1794" s="3"/>
      <c r="D1794" s="3"/>
      <c r="E1794" s="3"/>
      <c r="F1794" s="3"/>
      <c r="G1794" s="3"/>
      <c r="H1794" s="11"/>
      <c r="I1794" s="12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14"/>
      <c r="X1794" s="3"/>
      <c r="Y1794" s="14"/>
      <c r="Z1794" s="3"/>
      <c r="AA1794" s="3"/>
      <c r="AB1794" s="3"/>
      <c r="AC1794" s="3"/>
      <c r="AD1794" s="3"/>
      <c r="AE1794" s="3"/>
      <c r="AF1794" s="3"/>
      <c r="AG1794" s="3"/>
      <c r="AH1794" s="3"/>
    </row>
    <row r="1795" spans="1:34" ht="14.25" customHeight="1" x14ac:dyDescent="0.25">
      <c r="A1795" s="3"/>
      <c r="B1795" s="3"/>
      <c r="C1795" s="3"/>
      <c r="D1795" s="3"/>
      <c r="E1795" s="3"/>
      <c r="F1795" s="3"/>
      <c r="G1795" s="3"/>
      <c r="H1795" s="11"/>
      <c r="I1795" s="12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14"/>
      <c r="X1795" s="3"/>
      <c r="Y1795" s="14"/>
      <c r="Z1795" s="3"/>
      <c r="AA1795" s="3"/>
      <c r="AB1795" s="3"/>
      <c r="AC1795" s="3"/>
      <c r="AD1795" s="3"/>
      <c r="AE1795" s="3"/>
      <c r="AF1795" s="3"/>
      <c r="AG1795" s="3"/>
      <c r="AH1795" s="3"/>
    </row>
    <row r="1796" spans="1:34" ht="14.25" customHeight="1" x14ac:dyDescent="0.25">
      <c r="A1796" s="3"/>
      <c r="B1796" s="3"/>
      <c r="C1796" s="3"/>
      <c r="D1796" s="3"/>
      <c r="E1796" s="3"/>
      <c r="F1796" s="3"/>
      <c r="G1796" s="3"/>
      <c r="H1796" s="11"/>
      <c r="I1796" s="12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14"/>
      <c r="X1796" s="3"/>
      <c r="Y1796" s="14"/>
      <c r="Z1796" s="3"/>
      <c r="AA1796" s="3"/>
      <c r="AB1796" s="3"/>
      <c r="AC1796" s="3"/>
      <c r="AD1796" s="3"/>
      <c r="AE1796" s="3"/>
      <c r="AF1796" s="3"/>
      <c r="AG1796" s="3"/>
      <c r="AH1796" s="3"/>
    </row>
    <row r="1797" spans="1:34" ht="14.25" customHeight="1" x14ac:dyDescent="0.25">
      <c r="A1797" s="3"/>
      <c r="B1797" s="3"/>
      <c r="C1797" s="3"/>
      <c r="D1797" s="3"/>
      <c r="E1797" s="3"/>
      <c r="F1797" s="3"/>
      <c r="G1797" s="3"/>
      <c r="H1797" s="11"/>
      <c r="I1797" s="12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14"/>
      <c r="X1797" s="3"/>
      <c r="Y1797" s="14"/>
      <c r="Z1797" s="3"/>
      <c r="AA1797" s="3"/>
      <c r="AB1797" s="3"/>
      <c r="AC1797" s="3"/>
      <c r="AD1797" s="3"/>
      <c r="AE1797" s="3"/>
      <c r="AF1797" s="3"/>
      <c r="AG1797" s="3"/>
      <c r="AH1797" s="3"/>
    </row>
    <row r="1798" spans="1:34" ht="14.25" customHeight="1" x14ac:dyDescent="0.25">
      <c r="A1798" s="3"/>
      <c r="B1798" s="3"/>
      <c r="C1798" s="3"/>
      <c r="D1798" s="3"/>
      <c r="E1798" s="3"/>
      <c r="F1798" s="3"/>
      <c r="G1798" s="3"/>
      <c r="H1798" s="11"/>
      <c r="I1798" s="12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14"/>
      <c r="X1798" s="3"/>
      <c r="Y1798" s="14"/>
      <c r="Z1798" s="3"/>
      <c r="AA1798" s="3"/>
      <c r="AB1798" s="3"/>
      <c r="AC1798" s="3"/>
      <c r="AD1798" s="3"/>
      <c r="AE1798" s="3"/>
      <c r="AF1798" s="3"/>
      <c r="AG1798" s="3"/>
      <c r="AH1798" s="3"/>
    </row>
    <row r="1799" spans="1:34" ht="14.25" customHeight="1" x14ac:dyDescent="0.25">
      <c r="A1799" s="3"/>
      <c r="B1799" s="3"/>
      <c r="C1799" s="3"/>
      <c r="D1799" s="3"/>
      <c r="E1799" s="3"/>
      <c r="F1799" s="3"/>
      <c r="G1799" s="3"/>
      <c r="H1799" s="11"/>
      <c r="I1799" s="12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14"/>
      <c r="X1799" s="3"/>
      <c r="Y1799" s="14"/>
      <c r="Z1799" s="3"/>
      <c r="AA1799" s="3"/>
      <c r="AB1799" s="3"/>
      <c r="AC1799" s="3"/>
      <c r="AD1799" s="3"/>
      <c r="AE1799" s="3"/>
      <c r="AF1799" s="3"/>
      <c r="AG1799" s="3"/>
      <c r="AH1799" s="3"/>
    </row>
    <row r="1800" spans="1:34" ht="14.25" customHeight="1" x14ac:dyDescent="0.25">
      <c r="A1800" s="3"/>
      <c r="B1800" s="3"/>
      <c r="C1800" s="3"/>
      <c r="D1800" s="3"/>
      <c r="E1800" s="3"/>
      <c r="F1800" s="3"/>
      <c r="G1800" s="3"/>
      <c r="H1800" s="11"/>
      <c r="I1800" s="12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14"/>
      <c r="X1800" s="3"/>
      <c r="Y1800" s="14"/>
      <c r="Z1800" s="3"/>
      <c r="AA1800" s="3"/>
      <c r="AB1800" s="3"/>
      <c r="AC1800" s="3"/>
      <c r="AD1800" s="3"/>
      <c r="AE1800" s="3"/>
      <c r="AF1800" s="3"/>
      <c r="AG1800" s="3"/>
      <c r="AH1800" s="3"/>
    </row>
    <row r="1801" spans="1:34" ht="14.25" customHeight="1" x14ac:dyDescent="0.25">
      <c r="A1801" s="3"/>
      <c r="B1801" s="3"/>
      <c r="C1801" s="3"/>
      <c r="D1801" s="3"/>
      <c r="E1801" s="3"/>
      <c r="F1801" s="3"/>
      <c r="G1801" s="3"/>
      <c r="H1801" s="11"/>
      <c r="I1801" s="12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14"/>
      <c r="X1801" s="3"/>
      <c r="Y1801" s="14"/>
      <c r="Z1801" s="3"/>
      <c r="AA1801" s="3"/>
      <c r="AB1801" s="3"/>
      <c r="AC1801" s="3"/>
      <c r="AD1801" s="3"/>
      <c r="AE1801" s="3"/>
      <c r="AF1801" s="3"/>
      <c r="AG1801" s="3"/>
      <c r="AH1801" s="3"/>
    </row>
    <row r="1802" spans="1:34" ht="14.25" customHeight="1" x14ac:dyDescent="0.25">
      <c r="A1802" s="3"/>
      <c r="B1802" s="3"/>
      <c r="C1802" s="3"/>
      <c r="D1802" s="3"/>
      <c r="E1802" s="3"/>
      <c r="F1802" s="3"/>
      <c r="G1802" s="3"/>
      <c r="H1802" s="11"/>
      <c r="I1802" s="12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14"/>
      <c r="X1802" s="3"/>
      <c r="Y1802" s="14"/>
      <c r="Z1802" s="3"/>
      <c r="AA1802" s="3"/>
      <c r="AB1802" s="3"/>
      <c r="AC1802" s="3"/>
      <c r="AD1802" s="3"/>
      <c r="AE1802" s="3"/>
      <c r="AF1802" s="3"/>
      <c r="AG1802" s="3"/>
      <c r="AH1802" s="3"/>
    </row>
    <row r="1803" spans="1:34" ht="14.25" customHeight="1" x14ac:dyDescent="0.25">
      <c r="A1803" s="3"/>
      <c r="B1803" s="3"/>
      <c r="C1803" s="3"/>
      <c r="D1803" s="3"/>
      <c r="E1803" s="3"/>
      <c r="F1803" s="3"/>
      <c r="G1803" s="3"/>
      <c r="H1803" s="11"/>
      <c r="I1803" s="12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14"/>
      <c r="X1803" s="3"/>
      <c r="Y1803" s="14"/>
      <c r="Z1803" s="3"/>
      <c r="AA1803" s="3"/>
      <c r="AB1803" s="3"/>
      <c r="AC1803" s="3"/>
      <c r="AD1803" s="3"/>
      <c r="AE1803" s="3"/>
      <c r="AF1803" s="3"/>
      <c r="AG1803" s="3"/>
      <c r="AH1803" s="3"/>
    </row>
    <row r="1804" spans="1:34" ht="14.25" customHeight="1" x14ac:dyDescent="0.25">
      <c r="A1804" s="3"/>
      <c r="B1804" s="3"/>
      <c r="C1804" s="3"/>
      <c r="D1804" s="3"/>
      <c r="E1804" s="3"/>
      <c r="F1804" s="3"/>
      <c r="G1804" s="3"/>
      <c r="H1804" s="11"/>
      <c r="I1804" s="12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14"/>
      <c r="X1804" s="3"/>
      <c r="Y1804" s="14"/>
      <c r="Z1804" s="3"/>
      <c r="AA1804" s="3"/>
      <c r="AB1804" s="3"/>
      <c r="AC1804" s="3"/>
      <c r="AD1804" s="3"/>
      <c r="AE1804" s="3"/>
      <c r="AF1804" s="3"/>
      <c r="AG1804" s="3"/>
      <c r="AH1804" s="3"/>
    </row>
    <row r="1805" spans="1:34" ht="14.25" customHeight="1" x14ac:dyDescent="0.25">
      <c r="A1805" s="3"/>
      <c r="B1805" s="3"/>
      <c r="C1805" s="3"/>
      <c r="D1805" s="3"/>
      <c r="E1805" s="3"/>
      <c r="F1805" s="3"/>
      <c r="G1805" s="3"/>
      <c r="H1805" s="11"/>
      <c r="I1805" s="12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14"/>
      <c r="X1805" s="3"/>
      <c r="Y1805" s="14"/>
      <c r="Z1805" s="3"/>
      <c r="AA1805" s="3"/>
      <c r="AB1805" s="3"/>
      <c r="AC1805" s="3"/>
      <c r="AD1805" s="3"/>
      <c r="AE1805" s="3"/>
      <c r="AF1805" s="3"/>
      <c r="AG1805" s="3"/>
      <c r="AH1805" s="3"/>
    </row>
    <row r="1806" spans="1:34" ht="14.25" customHeight="1" x14ac:dyDescent="0.25">
      <c r="A1806" s="3"/>
      <c r="B1806" s="3"/>
      <c r="C1806" s="3"/>
      <c r="D1806" s="3"/>
      <c r="E1806" s="3"/>
      <c r="F1806" s="3"/>
      <c r="G1806" s="3"/>
      <c r="H1806" s="11"/>
      <c r="I1806" s="12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14"/>
      <c r="X1806" s="3"/>
      <c r="Y1806" s="14"/>
      <c r="Z1806" s="3"/>
      <c r="AA1806" s="3"/>
      <c r="AB1806" s="3"/>
      <c r="AC1806" s="3"/>
      <c r="AD1806" s="3"/>
      <c r="AE1806" s="3"/>
      <c r="AF1806" s="3"/>
      <c r="AG1806" s="3"/>
      <c r="AH1806" s="3"/>
    </row>
    <row r="1807" spans="1:34" ht="14.25" customHeight="1" x14ac:dyDescent="0.25">
      <c r="A1807" s="3"/>
      <c r="B1807" s="3"/>
      <c r="C1807" s="3"/>
      <c r="D1807" s="3"/>
      <c r="E1807" s="3"/>
      <c r="F1807" s="3"/>
      <c r="G1807" s="3"/>
      <c r="H1807" s="11"/>
      <c r="I1807" s="12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14"/>
      <c r="X1807" s="3"/>
      <c r="Y1807" s="14"/>
      <c r="Z1807" s="3"/>
      <c r="AA1807" s="3"/>
      <c r="AB1807" s="3"/>
      <c r="AC1807" s="3"/>
      <c r="AD1807" s="3"/>
      <c r="AE1807" s="3"/>
      <c r="AF1807" s="3"/>
      <c r="AG1807" s="3"/>
      <c r="AH1807" s="3"/>
    </row>
    <row r="1808" spans="1:34" ht="14.25" customHeight="1" x14ac:dyDescent="0.25">
      <c r="A1808" s="3"/>
      <c r="B1808" s="3"/>
      <c r="C1808" s="3"/>
      <c r="D1808" s="3"/>
      <c r="E1808" s="3"/>
      <c r="F1808" s="3"/>
      <c r="G1808" s="3"/>
      <c r="H1808" s="11"/>
      <c r="I1808" s="12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14"/>
      <c r="X1808" s="3"/>
      <c r="Y1808" s="14"/>
      <c r="Z1808" s="3"/>
      <c r="AA1808" s="3"/>
      <c r="AB1808" s="3"/>
      <c r="AC1808" s="3"/>
      <c r="AD1808" s="3"/>
      <c r="AE1808" s="3"/>
      <c r="AF1808" s="3"/>
      <c r="AG1808" s="3"/>
      <c r="AH1808" s="3"/>
    </row>
    <row r="1809" spans="1:34" ht="14.25" customHeight="1" x14ac:dyDescent="0.25">
      <c r="A1809" s="3"/>
      <c r="B1809" s="3"/>
      <c r="C1809" s="3"/>
      <c r="D1809" s="3"/>
      <c r="E1809" s="3"/>
      <c r="F1809" s="3"/>
      <c r="G1809" s="14"/>
      <c r="H1809" s="11"/>
      <c r="I1809" s="12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14"/>
      <c r="X1809" s="3"/>
      <c r="Y1809" s="14"/>
      <c r="Z1809" s="3"/>
      <c r="AA1809" s="3"/>
      <c r="AB1809" s="3"/>
      <c r="AC1809" s="3"/>
      <c r="AD1809" s="3"/>
      <c r="AE1809" s="3"/>
      <c r="AF1809" s="3"/>
      <c r="AG1809" s="3"/>
      <c r="AH1809" s="3"/>
    </row>
    <row r="1810" spans="1:34" ht="14.25" customHeight="1" x14ac:dyDescent="0.25">
      <c r="A1810" s="3"/>
      <c r="B1810" s="3"/>
      <c r="C1810" s="3"/>
      <c r="D1810" s="3"/>
      <c r="E1810" s="3"/>
      <c r="F1810" s="3"/>
      <c r="G1810" s="3"/>
      <c r="H1810" s="11"/>
      <c r="I1810" s="12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14"/>
      <c r="X1810" s="3"/>
      <c r="Y1810" s="14"/>
      <c r="Z1810" s="3"/>
      <c r="AA1810" s="3"/>
      <c r="AB1810" s="3"/>
      <c r="AC1810" s="3"/>
      <c r="AD1810" s="3"/>
      <c r="AE1810" s="3"/>
      <c r="AF1810" s="3"/>
      <c r="AG1810" s="3"/>
      <c r="AH1810" s="3"/>
    </row>
    <row r="1811" spans="1:34" ht="14.25" customHeight="1" x14ac:dyDescent="0.25">
      <c r="A1811" s="3"/>
      <c r="B1811" s="3"/>
      <c r="C1811" s="3"/>
      <c r="D1811" s="3"/>
      <c r="E1811" s="3"/>
      <c r="F1811" s="3"/>
      <c r="G1811" s="3"/>
      <c r="H1811" s="11"/>
      <c r="I1811" s="12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14"/>
      <c r="X1811" s="3"/>
      <c r="Y1811" s="14"/>
      <c r="Z1811" s="3"/>
      <c r="AA1811" s="3"/>
      <c r="AB1811" s="3"/>
      <c r="AC1811" s="3"/>
      <c r="AD1811" s="3"/>
      <c r="AE1811" s="3"/>
      <c r="AF1811" s="3"/>
      <c r="AG1811" s="3"/>
      <c r="AH1811" s="3"/>
    </row>
    <row r="1812" spans="1:34" ht="14.25" customHeight="1" x14ac:dyDescent="0.25">
      <c r="A1812" s="3"/>
      <c r="B1812" s="3"/>
      <c r="C1812" s="3"/>
      <c r="D1812" s="3"/>
      <c r="E1812" s="3"/>
      <c r="F1812" s="3"/>
      <c r="G1812" s="3"/>
      <c r="H1812" s="11"/>
      <c r="I1812" s="12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14"/>
      <c r="X1812" s="3"/>
      <c r="Y1812" s="14"/>
      <c r="Z1812" s="3"/>
      <c r="AA1812" s="3"/>
      <c r="AB1812" s="3"/>
      <c r="AC1812" s="3"/>
      <c r="AD1812" s="3"/>
      <c r="AE1812" s="3"/>
      <c r="AF1812" s="3"/>
      <c r="AG1812" s="3"/>
      <c r="AH1812" s="3"/>
    </row>
    <row r="1813" spans="1:34" ht="14.25" customHeight="1" x14ac:dyDescent="0.25">
      <c r="A1813" s="3"/>
      <c r="B1813" s="3"/>
      <c r="C1813" s="3"/>
      <c r="D1813" s="3"/>
      <c r="E1813" s="3"/>
      <c r="F1813" s="3"/>
      <c r="G1813" s="3"/>
      <c r="H1813" s="11"/>
      <c r="I1813" s="12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14"/>
      <c r="X1813" s="3"/>
      <c r="Y1813" s="14"/>
      <c r="Z1813" s="3"/>
      <c r="AA1813" s="3"/>
      <c r="AB1813" s="3"/>
      <c r="AC1813" s="3"/>
      <c r="AD1813" s="3"/>
      <c r="AE1813" s="3"/>
      <c r="AF1813" s="3"/>
      <c r="AG1813" s="3"/>
      <c r="AH1813" s="3"/>
    </row>
    <row r="1814" spans="1:34" ht="14.25" customHeight="1" x14ac:dyDescent="0.25">
      <c r="A1814" s="3"/>
      <c r="B1814" s="3"/>
      <c r="C1814" s="3"/>
      <c r="D1814" s="3"/>
      <c r="E1814" s="3"/>
      <c r="F1814" s="3"/>
      <c r="G1814" s="3"/>
      <c r="H1814" s="11"/>
      <c r="I1814" s="12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14"/>
      <c r="X1814" s="3"/>
      <c r="Y1814" s="14"/>
      <c r="Z1814" s="3"/>
      <c r="AA1814" s="3"/>
      <c r="AB1814" s="3"/>
      <c r="AC1814" s="3"/>
      <c r="AD1814" s="3"/>
      <c r="AE1814" s="3"/>
      <c r="AF1814" s="3"/>
      <c r="AG1814" s="3"/>
      <c r="AH1814" s="3"/>
    </row>
    <row r="1815" spans="1:34" ht="14.25" customHeight="1" x14ac:dyDescent="0.25">
      <c r="A1815" s="3"/>
      <c r="B1815" s="3"/>
      <c r="C1815" s="3"/>
      <c r="D1815" s="3"/>
      <c r="E1815" s="3"/>
      <c r="F1815" s="3"/>
      <c r="G1815" s="3"/>
      <c r="H1815" s="11"/>
      <c r="I1815" s="12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14"/>
      <c r="X1815" s="3"/>
      <c r="Y1815" s="14"/>
      <c r="Z1815" s="3"/>
      <c r="AA1815" s="3"/>
      <c r="AB1815" s="3"/>
      <c r="AC1815" s="3"/>
      <c r="AD1815" s="3"/>
      <c r="AE1815" s="3"/>
      <c r="AF1815" s="3"/>
      <c r="AG1815" s="3"/>
      <c r="AH1815" s="3"/>
    </row>
    <row r="1816" spans="1:34" ht="14.25" customHeight="1" x14ac:dyDescent="0.25">
      <c r="A1816" s="3"/>
      <c r="B1816" s="3"/>
      <c r="C1816" s="3"/>
      <c r="D1816" s="3"/>
      <c r="E1816" s="3"/>
      <c r="F1816" s="3"/>
      <c r="G1816" s="3"/>
      <c r="H1816" s="11"/>
      <c r="I1816" s="12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14"/>
      <c r="X1816" s="3"/>
      <c r="Y1816" s="14"/>
      <c r="Z1816" s="3"/>
      <c r="AA1816" s="3"/>
      <c r="AB1816" s="3"/>
      <c r="AC1816" s="3"/>
      <c r="AD1816" s="3"/>
      <c r="AE1816" s="3"/>
      <c r="AF1816" s="3"/>
      <c r="AG1816" s="3"/>
      <c r="AH1816" s="3"/>
    </row>
    <row r="1817" spans="1:34" ht="14.25" customHeight="1" x14ac:dyDescent="0.25">
      <c r="A1817" s="3"/>
      <c r="B1817" s="3"/>
      <c r="C1817" s="3"/>
      <c r="D1817" s="3"/>
      <c r="E1817" s="3"/>
      <c r="F1817" s="3"/>
      <c r="G1817" s="3"/>
      <c r="H1817" s="11"/>
      <c r="I1817" s="12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14"/>
      <c r="X1817" s="3"/>
      <c r="Y1817" s="14"/>
      <c r="Z1817" s="3"/>
      <c r="AA1817" s="3"/>
      <c r="AB1817" s="3"/>
      <c r="AC1817" s="3"/>
      <c r="AD1817" s="3"/>
      <c r="AE1817" s="3"/>
      <c r="AF1817" s="3"/>
      <c r="AG1817" s="3"/>
      <c r="AH1817" s="3"/>
    </row>
    <row r="1818" spans="1:34" ht="14.25" customHeight="1" x14ac:dyDescent="0.25">
      <c r="A1818" s="3"/>
      <c r="B1818" s="3"/>
      <c r="C1818" s="3"/>
      <c r="D1818" s="3"/>
      <c r="E1818" s="3"/>
      <c r="F1818" s="3"/>
      <c r="G1818" s="3"/>
      <c r="H1818" s="11"/>
      <c r="I1818" s="12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14"/>
      <c r="X1818" s="3"/>
      <c r="Y1818" s="14"/>
      <c r="Z1818" s="3"/>
      <c r="AA1818" s="3"/>
      <c r="AB1818" s="3"/>
      <c r="AC1818" s="3"/>
      <c r="AD1818" s="3"/>
      <c r="AE1818" s="3"/>
      <c r="AF1818" s="3"/>
      <c r="AG1818" s="3"/>
      <c r="AH1818" s="3"/>
    </row>
    <row r="1819" spans="1:34" ht="14.25" customHeight="1" x14ac:dyDescent="0.25">
      <c r="A1819" s="3"/>
      <c r="B1819" s="3"/>
      <c r="C1819" s="3"/>
      <c r="D1819" s="3"/>
      <c r="E1819" s="3"/>
      <c r="F1819" s="3"/>
      <c r="G1819" s="3"/>
      <c r="H1819" s="11"/>
      <c r="I1819" s="12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14"/>
      <c r="X1819" s="3"/>
      <c r="Y1819" s="14"/>
      <c r="Z1819" s="3"/>
      <c r="AA1819" s="3"/>
      <c r="AB1819" s="3"/>
      <c r="AC1819" s="3"/>
      <c r="AD1819" s="3"/>
      <c r="AE1819" s="3"/>
      <c r="AF1819" s="3"/>
      <c r="AG1819" s="3"/>
      <c r="AH1819" s="3"/>
    </row>
    <row r="1820" spans="1:34" ht="14.25" customHeight="1" x14ac:dyDescent="0.25">
      <c r="A1820" s="3"/>
      <c r="B1820" s="3"/>
      <c r="C1820" s="3"/>
      <c r="D1820" s="3"/>
      <c r="E1820" s="3"/>
      <c r="F1820" s="3"/>
      <c r="G1820" s="3"/>
      <c r="H1820" s="11"/>
      <c r="I1820" s="12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14"/>
      <c r="X1820" s="3"/>
      <c r="Y1820" s="14"/>
      <c r="Z1820" s="3"/>
      <c r="AA1820" s="3"/>
      <c r="AB1820" s="3"/>
      <c r="AC1820" s="3"/>
      <c r="AD1820" s="3"/>
      <c r="AE1820" s="3"/>
      <c r="AF1820" s="3"/>
      <c r="AG1820" s="3"/>
      <c r="AH1820" s="3"/>
    </row>
    <row r="1821" spans="1:34" ht="14.25" customHeight="1" x14ac:dyDescent="0.25">
      <c r="A1821" s="3"/>
      <c r="B1821" s="3"/>
      <c r="C1821" s="3"/>
      <c r="D1821" s="3"/>
      <c r="E1821" s="3"/>
      <c r="F1821" s="3"/>
      <c r="G1821" s="3"/>
      <c r="H1821" s="11"/>
      <c r="I1821" s="12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14"/>
      <c r="X1821" s="3"/>
      <c r="Y1821" s="14"/>
      <c r="Z1821" s="3"/>
      <c r="AA1821" s="3"/>
      <c r="AB1821" s="3"/>
      <c r="AC1821" s="3"/>
      <c r="AD1821" s="3"/>
      <c r="AE1821" s="3"/>
      <c r="AF1821" s="3"/>
      <c r="AG1821" s="3"/>
      <c r="AH1821" s="3"/>
    </row>
    <row r="1822" spans="1:34" ht="14.25" customHeight="1" x14ac:dyDescent="0.25">
      <c r="A1822" s="3"/>
      <c r="B1822" s="3"/>
      <c r="C1822" s="3"/>
      <c r="D1822" s="3"/>
      <c r="E1822" s="3"/>
      <c r="F1822" s="3"/>
      <c r="G1822" s="3"/>
      <c r="H1822" s="11"/>
      <c r="I1822" s="12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14"/>
      <c r="X1822" s="3"/>
      <c r="Y1822" s="14"/>
      <c r="Z1822" s="3"/>
      <c r="AA1822" s="3"/>
      <c r="AB1822" s="3"/>
      <c r="AC1822" s="3"/>
      <c r="AD1822" s="3"/>
      <c r="AE1822" s="3"/>
      <c r="AF1822" s="3"/>
      <c r="AG1822" s="3"/>
      <c r="AH1822" s="3"/>
    </row>
    <row r="1823" spans="1:34" ht="14.25" customHeight="1" x14ac:dyDescent="0.25">
      <c r="A1823" s="3"/>
      <c r="B1823" s="3"/>
      <c r="C1823" s="3"/>
      <c r="D1823" s="3"/>
      <c r="E1823" s="3"/>
      <c r="F1823" s="3"/>
      <c r="G1823" s="3"/>
      <c r="H1823" s="11"/>
      <c r="I1823" s="12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14"/>
      <c r="X1823" s="3"/>
      <c r="Y1823" s="14"/>
      <c r="Z1823" s="3"/>
      <c r="AA1823" s="3"/>
      <c r="AB1823" s="3"/>
      <c r="AC1823" s="3"/>
      <c r="AD1823" s="3"/>
      <c r="AE1823" s="3"/>
      <c r="AF1823" s="3"/>
      <c r="AG1823" s="3"/>
      <c r="AH1823" s="3"/>
    </row>
    <row r="1824" spans="1:34" ht="14.25" customHeight="1" x14ac:dyDescent="0.25">
      <c r="A1824" s="3"/>
      <c r="B1824" s="3"/>
      <c r="C1824" s="3"/>
      <c r="D1824" s="3"/>
      <c r="E1824" s="3"/>
      <c r="F1824" s="3"/>
      <c r="G1824" s="3"/>
      <c r="H1824" s="11"/>
      <c r="I1824" s="12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14"/>
      <c r="X1824" s="3"/>
      <c r="Y1824" s="14"/>
      <c r="Z1824" s="3"/>
      <c r="AA1824" s="3"/>
      <c r="AB1824" s="3"/>
      <c r="AC1824" s="3"/>
      <c r="AD1824" s="3"/>
      <c r="AE1824" s="3"/>
      <c r="AF1824" s="3"/>
      <c r="AG1824" s="3"/>
      <c r="AH1824" s="3"/>
    </row>
    <row r="1825" spans="1:34" ht="14.25" customHeight="1" x14ac:dyDescent="0.25">
      <c r="A1825" s="3"/>
      <c r="B1825" s="3"/>
      <c r="C1825" s="3"/>
      <c r="D1825" s="3"/>
      <c r="E1825" s="3"/>
      <c r="F1825" s="3"/>
      <c r="G1825" s="3"/>
      <c r="H1825" s="11"/>
      <c r="I1825" s="12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14"/>
      <c r="X1825" s="3"/>
      <c r="Y1825" s="14"/>
      <c r="Z1825" s="3"/>
      <c r="AA1825" s="3"/>
      <c r="AB1825" s="3"/>
      <c r="AC1825" s="3"/>
      <c r="AD1825" s="3"/>
      <c r="AE1825" s="3"/>
      <c r="AF1825" s="3"/>
      <c r="AG1825" s="3"/>
      <c r="AH1825" s="3"/>
    </row>
    <row r="1826" spans="1:34" ht="14.25" customHeight="1" x14ac:dyDescent="0.25">
      <c r="A1826" s="3"/>
      <c r="B1826" s="3"/>
      <c r="C1826" s="3"/>
      <c r="D1826" s="3"/>
      <c r="E1826" s="3"/>
      <c r="F1826" s="3"/>
      <c r="G1826" s="3"/>
      <c r="H1826" s="11"/>
      <c r="I1826" s="12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14"/>
      <c r="X1826" s="3"/>
      <c r="Y1826" s="14"/>
      <c r="Z1826" s="3"/>
      <c r="AA1826" s="3"/>
      <c r="AB1826" s="3"/>
      <c r="AC1826" s="3"/>
      <c r="AD1826" s="3"/>
      <c r="AE1826" s="3"/>
      <c r="AF1826" s="3"/>
      <c r="AG1826" s="3"/>
      <c r="AH1826" s="3"/>
    </row>
    <row r="1827" spans="1:34" ht="14.25" customHeight="1" x14ac:dyDescent="0.25">
      <c r="A1827" s="3"/>
      <c r="B1827" s="3"/>
      <c r="C1827" s="3"/>
      <c r="D1827" s="3"/>
      <c r="E1827" s="3"/>
      <c r="F1827" s="3"/>
      <c r="G1827" s="14"/>
      <c r="H1827" s="11"/>
      <c r="I1827" s="12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14"/>
      <c r="X1827" s="3"/>
      <c r="Y1827" s="14"/>
      <c r="Z1827" s="3"/>
      <c r="AA1827" s="3"/>
      <c r="AB1827" s="3"/>
      <c r="AC1827" s="3"/>
      <c r="AD1827" s="3"/>
      <c r="AE1827" s="3"/>
      <c r="AF1827" s="3"/>
      <c r="AG1827" s="3"/>
      <c r="AH1827" s="3"/>
    </row>
    <row r="1828" spans="1:34" ht="14.25" customHeight="1" x14ac:dyDescent="0.25">
      <c r="A1828" s="3"/>
      <c r="B1828" s="3"/>
      <c r="C1828" s="3"/>
      <c r="D1828" s="3"/>
      <c r="E1828" s="3"/>
      <c r="F1828" s="3"/>
      <c r="G1828" s="3"/>
      <c r="H1828" s="11"/>
      <c r="I1828" s="12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14"/>
      <c r="X1828" s="3"/>
      <c r="Y1828" s="14"/>
      <c r="Z1828" s="3"/>
      <c r="AA1828" s="3"/>
      <c r="AB1828" s="3"/>
      <c r="AC1828" s="3"/>
      <c r="AD1828" s="3"/>
      <c r="AE1828" s="3"/>
      <c r="AF1828" s="3"/>
      <c r="AG1828" s="3"/>
      <c r="AH1828" s="3"/>
    </row>
    <row r="1829" spans="1:34" ht="14.25" customHeight="1" x14ac:dyDescent="0.25">
      <c r="A1829" s="3"/>
      <c r="B1829" s="3"/>
      <c r="C1829" s="3"/>
      <c r="D1829" s="3"/>
      <c r="E1829" s="3"/>
      <c r="F1829" s="3"/>
      <c r="G1829" s="14"/>
      <c r="H1829" s="11"/>
      <c r="I1829" s="12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14"/>
      <c r="X1829" s="3"/>
      <c r="Y1829" s="14"/>
      <c r="Z1829" s="3"/>
      <c r="AA1829" s="3"/>
      <c r="AB1829" s="3"/>
      <c r="AC1829" s="3"/>
      <c r="AD1829" s="3"/>
      <c r="AE1829" s="3"/>
      <c r="AF1829" s="3"/>
      <c r="AG1829" s="3"/>
      <c r="AH1829" s="3"/>
    </row>
    <row r="1830" spans="1:34" ht="14.25" customHeight="1" x14ac:dyDescent="0.25">
      <c r="A1830" s="3"/>
      <c r="B1830" s="3"/>
      <c r="C1830" s="3"/>
      <c r="D1830" s="3"/>
      <c r="E1830" s="3"/>
      <c r="F1830" s="3"/>
      <c r="G1830" s="3"/>
      <c r="H1830" s="11"/>
      <c r="I1830" s="12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14"/>
      <c r="X1830" s="3"/>
      <c r="Y1830" s="14"/>
      <c r="Z1830" s="3"/>
      <c r="AA1830" s="3"/>
      <c r="AB1830" s="3"/>
      <c r="AC1830" s="3"/>
      <c r="AD1830" s="3"/>
      <c r="AE1830" s="3"/>
      <c r="AF1830" s="3"/>
      <c r="AG1830" s="3"/>
      <c r="AH1830" s="3"/>
    </row>
    <row r="1831" spans="1:34" ht="14.25" customHeight="1" x14ac:dyDescent="0.25">
      <c r="A1831" s="3"/>
      <c r="B1831" s="3"/>
      <c r="C1831" s="3"/>
      <c r="D1831" s="3"/>
      <c r="E1831" s="3"/>
      <c r="F1831" s="3"/>
      <c r="G1831" s="3"/>
      <c r="H1831" s="11"/>
      <c r="I1831" s="12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14"/>
      <c r="X1831" s="3"/>
      <c r="Y1831" s="14"/>
      <c r="Z1831" s="3"/>
      <c r="AA1831" s="3"/>
      <c r="AB1831" s="3"/>
      <c r="AC1831" s="3"/>
      <c r="AD1831" s="3"/>
      <c r="AE1831" s="3"/>
      <c r="AF1831" s="3"/>
      <c r="AG1831" s="3"/>
      <c r="AH1831" s="3"/>
    </row>
    <row r="1832" spans="1:34" ht="14.25" customHeight="1" x14ac:dyDescent="0.25">
      <c r="A1832" s="3"/>
      <c r="B1832" s="3"/>
      <c r="C1832" s="3"/>
      <c r="D1832" s="3"/>
      <c r="E1832" s="3"/>
      <c r="F1832" s="3"/>
      <c r="G1832" s="3"/>
      <c r="H1832" s="11"/>
      <c r="I1832" s="12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14"/>
      <c r="X1832" s="3"/>
      <c r="Y1832" s="14"/>
      <c r="Z1832" s="3"/>
      <c r="AA1832" s="3"/>
      <c r="AB1832" s="3"/>
      <c r="AC1832" s="3"/>
      <c r="AD1832" s="3"/>
      <c r="AE1832" s="3"/>
      <c r="AF1832" s="3"/>
      <c r="AG1832" s="3"/>
      <c r="AH1832" s="3"/>
    </row>
    <row r="1833" spans="1:34" ht="14.25" customHeight="1" x14ac:dyDescent="0.25">
      <c r="A1833" s="3"/>
      <c r="B1833" s="3"/>
      <c r="C1833" s="3"/>
      <c r="D1833" s="3"/>
      <c r="E1833" s="3"/>
      <c r="F1833" s="3"/>
      <c r="G1833" s="3"/>
      <c r="H1833" s="11"/>
      <c r="I1833" s="12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14"/>
      <c r="X1833" s="3"/>
      <c r="Y1833" s="14"/>
      <c r="Z1833" s="3"/>
      <c r="AA1833" s="3"/>
      <c r="AB1833" s="3"/>
      <c r="AC1833" s="3"/>
      <c r="AD1833" s="3"/>
      <c r="AE1833" s="3"/>
      <c r="AF1833" s="3"/>
      <c r="AG1833" s="3"/>
      <c r="AH1833" s="3"/>
    </row>
    <row r="1834" spans="1:34" ht="14.25" customHeight="1" x14ac:dyDescent="0.25">
      <c r="A1834" s="3"/>
      <c r="B1834" s="3"/>
      <c r="C1834" s="3"/>
      <c r="D1834" s="3"/>
      <c r="E1834" s="3"/>
      <c r="F1834" s="3"/>
      <c r="G1834" s="3"/>
      <c r="H1834" s="11"/>
      <c r="I1834" s="12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14"/>
      <c r="X1834" s="3"/>
      <c r="Y1834" s="14"/>
      <c r="Z1834" s="3"/>
      <c r="AA1834" s="3"/>
      <c r="AB1834" s="3"/>
      <c r="AC1834" s="3"/>
      <c r="AD1834" s="3"/>
      <c r="AE1834" s="3"/>
      <c r="AF1834" s="3"/>
      <c r="AG1834" s="3"/>
      <c r="AH1834" s="3"/>
    </row>
    <row r="1835" spans="1:34" ht="14.25" customHeight="1" x14ac:dyDescent="0.25">
      <c r="A1835" s="3"/>
      <c r="B1835" s="3"/>
      <c r="C1835" s="3"/>
      <c r="D1835" s="3"/>
      <c r="E1835" s="3"/>
      <c r="F1835" s="3"/>
      <c r="G1835" s="3"/>
      <c r="H1835" s="11"/>
      <c r="I1835" s="12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14"/>
      <c r="X1835" s="3"/>
      <c r="Y1835" s="14"/>
      <c r="Z1835" s="3"/>
      <c r="AA1835" s="3"/>
      <c r="AB1835" s="3"/>
      <c r="AC1835" s="3"/>
      <c r="AD1835" s="3"/>
      <c r="AE1835" s="3"/>
      <c r="AF1835" s="3"/>
      <c r="AG1835" s="3"/>
      <c r="AH1835" s="3"/>
    </row>
    <row r="1836" spans="1:34" ht="14.25" customHeight="1" x14ac:dyDescent="0.25">
      <c r="A1836" s="3"/>
      <c r="B1836" s="3"/>
      <c r="C1836" s="3"/>
      <c r="D1836" s="3"/>
      <c r="E1836" s="3"/>
      <c r="F1836" s="3"/>
      <c r="G1836" s="3"/>
      <c r="H1836" s="11"/>
      <c r="I1836" s="12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14"/>
      <c r="X1836" s="3"/>
      <c r="Y1836" s="14"/>
      <c r="Z1836" s="3"/>
      <c r="AA1836" s="3"/>
      <c r="AB1836" s="3"/>
      <c r="AC1836" s="3"/>
      <c r="AD1836" s="3"/>
      <c r="AE1836" s="3"/>
      <c r="AF1836" s="3"/>
      <c r="AG1836" s="3"/>
      <c r="AH1836" s="3"/>
    </row>
    <row r="1837" spans="1:34" ht="14.25" customHeight="1" x14ac:dyDescent="0.25">
      <c r="A1837" s="3"/>
      <c r="B1837" s="3"/>
      <c r="C1837" s="3"/>
      <c r="D1837" s="3"/>
      <c r="E1837" s="3"/>
      <c r="F1837" s="3"/>
      <c r="G1837" s="3"/>
      <c r="H1837" s="11"/>
      <c r="I1837" s="12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14"/>
      <c r="X1837" s="3"/>
      <c r="Y1837" s="14"/>
      <c r="Z1837" s="3"/>
      <c r="AA1837" s="3"/>
      <c r="AB1837" s="3"/>
      <c r="AC1837" s="3"/>
      <c r="AD1837" s="3"/>
      <c r="AE1837" s="3"/>
      <c r="AF1837" s="3"/>
      <c r="AG1837" s="3"/>
      <c r="AH1837" s="3"/>
    </row>
    <row r="1838" spans="1:34" ht="14.25" customHeight="1" x14ac:dyDescent="0.25">
      <c r="A1838" s="3"/>
      <c r="B1838" s="3"/>
      <c r="C1838" s="3"/>
      <c r="D1838" s="3"/>
      <c r="E1838" s="3"/>
      <c r="F1838" s="3"/>
      <c r="G1838" s="3"/>
      <c r="H1838" s="11"/>
      <c r="I1838" s="12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14"/>
      <c r="X1838" s="3"/>
      <c r="Y1838" s="14"/>
      <c r="Z1838" s="3"/>
      <c r="AA1838" s="3"/>
      <c r="AB1838" s="3"/>
      <c r="AC1838" s="3"/>
      <c r="AD1838" s="3"/>
      <c r="AE1838" s="3"/>
      <c r="AF1838" s="3"/>
      <c r="AG1838" s="3"/>
      <c r="AH1838" s="3"/>
    </row>
    <row r="1839" spans="1:34" ht="14.25" customHeight="1" x14ac:dyDescent="0.25">
      <c r="A1839" s="3"/>
      <c r="B1839" s="3"/>
      <c r="C1839" s="3"/>
      <c r="D1839" s="3"/>
      <c r="E1839" s="3"/>
      <c r="F1839" s="3"/>
      <c r="G1839" s="3"/>
      <c r="H1839" s="11"/>
      <c r="I1839" s="12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14"/>
      <c r="X1839" s="3"/>
      <c r="Y1839" s="14"/>
      <c r="Z1839" s="3"/>
      <c r="AA1839" s="3"/>
      <c r="AB1839" s="3"/>
      <c r="AC1839" s="3"/>
      <c r="AD1839" s="3"/>
      <c r="AE1839" s="3"/>
      <c r="AF1839" s="3"/>
      <c r="AG1839" s="3"/>
      <c r="AH1839" s="3"/>
    </row>
    <row r="1840" spans="1:34" ht="14.25" customHeight="1" x14ac:dyDescent="0.25">
      <c r="A1840" s="3"/>
      <c r="B1840" s="3"/>
      <c r="C1840" s="3"/>
      <c r="D1840" s="3"/>
      <c r="E1840" s="3"/>
      <c r="F1840" s="3"/>
      <c r="G1840" s="3"/>
      <c r="H1840" s="11"/>
      <c r="I1840" s="12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14"/>
      <c r="X1840" s="3"/>
      <c r="Y1840" s="14"/>
      <c r="Z1840" s="3"/>
      <c r="AA1840" s="3"/>
      <c r="AB1840" s="3"/>
      <c r="AC1840" s="3"/>
      <c r="AD1840" s="3"/>
      <c r="AE1840" s="3"/>
      <c r="AF1840" s="3"/>
      <c r="AG1840" s="3"/>
      <c r="AH1840" s="3"/>
    </row>
    <row r="1841" spans="1:34" ht="14.25" customHeight="1" x14ac:dyDescent="0.25">
      <c r="A1841" s="3"/>
      <c r="B1841" s="3"/>
      <c r="C1841" s="3"/>
      <c r="D1841" s="3"/>
      <c r="E1841" s="3"/>
      <c r="F1841" s="3"/>
      <c r="G1841" s="3"/>
      <c r="H1841" s="11"/>
      <c r="I1841" s="12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14"/>
      <c r="X1841" s="3"/>
      <c r="Y1841" s="14"/>
      <c r="Z1841" s="3"/>
      <c r="AA1841" s="3"/>
      <c r="AB1841" s="3"/>
      <c r="AC1841" s="3"/>
      <c r="AD1841" s="3"/>
      <c r="AE1841" s="3"/>
      <c r="AF1841" s="3"/>
      <c r="AG1841" s="3"/>
      <c r="AH1841" s="3"/>
    </row>
    <row r="1842" spans="1:34" ht="14.25" customHeight="1" x14ac:dyDescent="0.25">
      <c r="A1842" s="3"/>
      <c r="B1842" s="3"/>
      <c r="C1842" s="3"/>
      <c r="D1842" s="3"/>
      <c r="E1842" s="3"/>
      <c r="F1842" s="3"/>
      <c r="G1842" s="3"/>
      <c r="H1842" s="11"/>
      <c r="I1842" s="12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14"/>
      <c r="X1842" s="3"/>
      <c r="Y1842" s="14"/>
      <c r="Z1842" s="3"/>
      <c r="AA1842" s="3"/>
      <c r="AB1842" s="3"/>
      <c r="AC1842" s="3"/>
      <c r="AD1842" s="3"/>
      <c r="AE1842" s="3"/>
      <c r="AF1842" s="3"/>
      <c r="AG1842" s="3"/>
      <c r="AH1842" s="3"/>
    </row>
    <row r="1843" spans="1:34" ht="14.25" customHeight="1" x14ac:dyDescent="0.25">
      <c r="A1843" s="3"/>
      <c r="B1843" s="3"/>
      <c r="C1843" s="3"/>
      <c r="D1843" s="3"/>
      <c r="E1843" s="3"/>
      <c r="F1843" s="3"/>
      <c r="G1843" s="3"/>
      <c r="H1843" s="11"/>
      <c r="I1843" s="12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14"/>
      <c r="X1843" s="3"/>
      <c r="Y1843" s="14"/>
      <c r="Z1843" s="3"/>
      <c r="AA1843" s="3"/>
      <c r="AB1843" s="3"/>
      <c r="AC1843" s="3"/>
      <c r="AD1843" s="3"/>
      <c r="AE1843" s="3"/>
      <c r="AF1843" s="3"/>
      <c r="AG1843" s="3"/>
      <c r="AH1843" s="3"/>
    </row>
    <row r="1844" spans="1:34" ht="14.25" customHeight="1" x14ac:dyDescent="0.25">
      <c r="A1844" s="3"/>
      <c r="B1844" s="3"/>
      <c r="C1844" s="3"/>
      <c r="D1844" s="3"/>
      <c r="E1844" s="3"/>
      <c r="F1844" s="3"/>
      <c r="G1844" s="14"/>
      <c r="H1844" s="11"/>
      <c r="I1844" s="12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14"/>
      <c r="X1844" s="3"/>
      <c r="Y1844" s="14"/>
      <c r="Z1844" s="3"/>
      <c r="AA1844" s="3"/>
      <c r="AB1844" s="3"/>
      <c r="AC1844" s="3"/>
      <c r="AD1844" s="3"/>
      <c r="AE1844" s="3"/>
      <c r="AF1844" s="3"/>
      <c r="AG1844" s="3"/>
      <c r="AH1844" s="3"/>
    </row>
    <row r="1845" spans="1:34" ht="14.25" customHeight="1" x14ac:dyDescent="0.25">
      <c r="A1845" s="3"/>
      <c r="B1845" s="3"/>
      <c r="C1845" s="3"/>
      <c r="D1845" s="3"/>
      <c r="E1845" s="3"/>
      <c r="F1845" s="3"/>
      <c r="G1845" s="3"/>
      <c r="H1845" s="11"/>
      <c r="I1845" s="12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14"/>
      <c r="X1845" s="3"/>
      <c r="Y1845" s="14"/>
      <c r="Z1845" s="3"/>
      <c r="AA1845" s="3"/>
      <c r="AB1845" s="3"/>
      <c r="AC1845" s="3"/>
      <c r="AD1845" s="3"/>
      <c r="AE1845" s="3"/>
      <c r="AF1845" s="3"/>
      <c r="AG1845" s="3"/>
      <c r="AH1845" s="3"/>
    </row>
    <row r="1846" spans="1:34" ht="14.25" customHeight="1" x14ac:dyDescent="0.25">
      <c r="A1846" s="3"/>
      <c r="B1846" s="3"/>
      <c r="C1846" s="3"/>
      <c r="D1846" s="3"/>
      <c r="E1846" s="3"/>
      <c r="F1846" s="3"/>
      <c r="G1846" s="3"/>
      <c r="H1846" s="11"/>
      <c r="I1846" s="12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14"/>
      <c r="X1846" s="3"/>
      <c r="Y1846" s="14"/>
      <c r="Z1846" s="3"/>
      <c r="AA1846" s="3"/>
      <c r="AB1846" s="3"/>
      <c r="AC1846" s="3"/>
      <c r="AD1846" s="3"/>
      <c r="AE1846" s="3"/>
      <c r="AF1846" s="3"/>
      <c r="AG1846" s="3"/>
      <c r="AH1846" s="3"/>
    </row>
    <row r="1847" spans="1:34" ht="14.25" customHeight="1" x14ac:dyDescent="0.25">
      <c r="A1847" s="3"/>
      <c r="B1847" s="3"/>
      <c r="C1847" s="3"/>
      <c r="D1847" s="3"/>
      <c r="E1847" s="3"/>
      <c r="F1847" s="3"/>
      <c r="G1847" s="3"/>
      <c r="H1847" s="11"/>
      <c r="I1847" s="12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14"/>
      <c r="X1847" s="3"/>
      <c r="Y1847" s="14"/>
      <c r="Z1847" s="3"/>
      <c r="AA1847" s="3"/>
      <c r="AB1847" s="3"/>
      <c r="AC1847" s="3"/>
      <c r="AD1847" s="3"/>
      <c r="AE1847" s="3"/>
      <c r="AF1847" s="3"/>
      <c r="AG1847" s="3"/>
      <c r="AH1847" s="3"/>
    </row>
    <row r="1848" spans="1:34" ht="14.25" customHeight="1" x14ac:dyDescent="0.25">
      <c r="A1848" s="3"/>
      <c r="B1848" s="3"/>
      <c r="C1848" s="3"/>
      <c r="D1848" s="3"/>
      <c r="E1848" s="3"/>
      <c r="F1848" s="3"/>
      <c r="G1848" s="3"/>
      <c r="H1848" s="11"/>
      <c r="I1848" s="12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14"/>
      <c r="X1848" s="3"/>
      <c r="Y1848" s="14"/>
      <c r="Z1848" s="3"/>
      <c r="AA1848" s="3"/>
      <c r="AB1848" s="3"/>
      <c r="AC1848" s="3"/>
      <c r="AD1848" s="3"/>
      <c r="AE1848" s="3"/>
      <c r="AF1848" s="3"/>
      <c r="AG1848" s="3"/>
      <c r="AH1848" s="3"/>
    </row>
    <row r="1849" spans="1:34" ht="14.25" customHeight="1" x14ac:dyDescent="0.25">
      <c r="A1849" s="3"/>
      <c r="B1849" s="3"/>
      <c r="C1849" s="3"/>
      <c r="D1849" s="3"/>
      <c r="E1849" s="3"/>
      <c r="F1849" s="3"/>
      <c r="G1849" s="3"/>
      <c r="H1849" s="11"/>
      <c r="I1849" s="12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14"/>
      <c r="X1849" s="3"/>
      <c r="Y1849" s="14"/>
      <c r="Z1849" s="3"/>
      <c r="AA1849" s="3"/>
      <c r="AB1849" s="3"/>
      <c r="AC1849" s="3"/>
      <c r="AD1849" s="3"/>
      <c r="AE1849" s="3"/>
      <c r="AF1849" s="3"/>
      <c r="AG1849" s="3"/>
      <c r="AH1849" s="3"/>
    </row>
    <row r="1850" spans="1:34" ht="14.25" customHeight="1" x14ac:dyDescent="0.25">
      <c r="A1850" s="3"/>
      <c r="B1850" s="3"/>
      <c r="C1850" s="3"/>
      <c r="D1850" s="3"/>
      <c r="E1850" s="3"/>
      <c r="F1850" s="3"/>
      <c r="G1850" s="3"/>
      <c r="H1850" s="11"/>
      <c r="I1850" s="12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14"/>
      <c r="X1850" s="3"/>
      <c r="Y1850" s="14"/>
      <c r="Z1850" s="3"/>
      <c r="AA1850" s="3"/>
      <c r="AB1850" s="3"/>
      <c r="AC1850" s="3"/>
      <c r="AD1850" s="3"/>
      <c r="AE1850" s="3"/>
      <c r="AF1850" s="3"/>
      <c r="AG1850" s="3"/>
      <c r="AH1850" s="3"/>
    </row>
    <row r="1851" spans="1:34" ht="14.25" customHeight="1" x14ac:dyDescent="0.25">
      <c r="A1851" s="3"/>
      <c r="B1851" s="3"/>
      <c r="C1851" s="3"/>
      <c r="D1851" s="3"/>
      <c r="E1851" s="3"/>
      <c r="F1851" s="3"/>
      <c r="G1851" s="3"/>
      <c r="H1851" s="11"/>
      <c r="I1851" s="12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14"/>
      <c r="X1851" s="3"/>
      <c r="Y1851" s="14"/>
      <c r="Z1851" s="3"/>
      <c r="AA1851" s="3"/>
      <c r="AB1851" s="3"/>
      <c r="AC1851" s="3"/>
      <c r="AD1851" s="3"/>
      <c r="AE1851" s="3"/>
      <c r="AF1851" s="3"/>
      <c r="AG1851" s="3"/>
      <c r="AH1851" s="3"/>
    </row>
    <row r="1852" spans="1:34" ht="14.25" customHeight="1" x14ac:dyDescent="0.25">
      <c r="A1852" s="3"/>
      <c r="B1852" s="3"/>
      <c r="C1852" s="3"/>
      <c r="D1852" s="3"/>
      <c r="E1852" s="3"/>
      <c r="F1852" s="3"/>
      <c r="G1852" s="3"/>
      <c r="H1852" s="11"/>
      <c r="I1852" s="12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14"/>
      <c r="X1852" s="3"/>
      <c r="Y1852" s="14"/>
      <c r="Z1852" s="3"/>
      <c r="AA1852" s="3"/>
      <c r="AB1852" s="3"/>
      <c r="AC1852" s="3"/>
      <c r="AD1852" s="3"/>
      <c r="AE1852" s="3"/>
      <c r="AF1852" s="3"/>
      <c r="AG1852" s="3"/>
      <c r="AH1852" s="3"/>
    </row>
    <row r="1853" spans="1:34" ht="14.25" customHeight="1" x14ac:dyDescent="0.25">
      <c r="A1853" s="3"/>
      <c r="B1853" s="3"/>
      <c r="C1853" s="3"/>
      <c r="D1853" s="3"/>
      <c r="E1853" s="3"/>
      <c r="F1853" s="3"/>
      <c r="G1853" s="3"/>
      <c r="H1853" s="11"/>
      <c r="I1853" s="12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14"/>
      <c r="X1853" s="3"/>
      <c r="Y1853" s="14"/>
      <c r="Z1853" s="3"/>
      <c r="AA1853" s="3"/>
      <c r="AB1853" s="3"/>
      <c r="AC1853" s="3"/>
      <c r="AD1853" s="3"/>
      <c r="AE1853" s="3"/>
      <c r="AF1853" s="3"/>
      <c r="AG1853" s="3"/>
      <c r="AH1853" s="3"/>
    </row>
    <row r="1854" spans="1:34" ht="14.25" customHeight="1" x14ac:dyDescent="0.25">
      <c r="A1854" s="3"/>
      <c r="B1854" s="3"/>
      <c r="C1854" s="3"/>
      <c r="D1854" s="3"/>
      <c r="E1854" s="3"/>
      <c r="F1854" s="3"/>
      <c r="G1854" s="3"/>
      <c r="H1854" s="11"/>
      <c r="I1854" s="12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14"/>
      <c r="X1854" s="3"/>
      <c r="Y1854" s="14"/>
      <c r="Z1854" s="3"/>
      <c r="AA1854" s="3"/>
      <c r="AB1854" s="3"/>
      <c r="AC1854" s="3"/>
      <c r="AD1854" s="3"/>
      <c r="AE1854" s="3"/>
      <c r="AF1854" s="3"/>
      <c r="AG1854" s="3"/>
      <c r="AH1854" s="3"/>
    </row>
    <row r="1855" spans="1:34" ht="14.25" customHeight="1" x14ac:dyDescent="0.25">
      <c r="A1855" s="3"/>
      <c r="B1855" s="3"/>
      <c r="C1855" s="3"/>
      <c r="D1855" s="3"/>
      <c r="E1855" s="3"/>
      <c r="F1855" s="3"/>
      <c r="G1855" s="14"/>
      <c r="H1855" s="11"/>
      <c r="I1855" s="12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14"/>
      <c r="X1855" s="3"/>
      <c r="Y1855" s="14"/>
      <c r="Z1855" s="3"/>
      <c r="AA1855" s="3"/>
      <c r="AB1855" s="3"/>
      <c r="AC1855" s="3"/>
      <c r="AD1855" s="3"/>
      <c r="AE1855" s="3"/>
      <c r="AF1855" s="3"/>
      <c r="AG1855" s="3"/>
      <c r="AH1855" s="3"/>
    </row>
    <row r="1856" spans="1:34" ht="14.25" customHeight="1" x14ac:dyDescent="0.25">
      <c r="A1856" s="3"/>
      <c r="B1856" s="3"/>
      <c r="C1856" s="3"/>
      <c r="D1856" s="3"/>
      <c r="E1856" s="3"/>
      <c r="F1856" s="3"/>
      <c r="G1856" s="3"/>
      <c r="H1856" s="11"/>
      <c r="I1856" s="12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14"/>
      <c r="X1856" s="3"/>
      <c r="Y1856" s="14"/>
      <c r="Z1856" s="3"/>
      <c r="AA1856" s="3"/>
      <c r="AB1856" s="3"/>
      <c r="AC1856" s="3"/>
      <c r="AD1856" s="3"/>
      <c r="AE1856" s="3"/>
      <c r="AF1856" s="3"/>
      <c r="AG1856" s="3"/>
      <c r="AH1856" s="3"/>
    </row>
    <row r="1857" spans="1:34" ht="14.25" customHeight="1" x14ac:dyDescent="0.25">
      <c r="A1857" s="3"/>
      <c r="B1857" s="3"/>
      <c r="C1857" s="3"/>
      <c r="D1857" s="3"/>
      <c r="E1857" s="3"/>
      <c r="F1857" s="3"/>
      <c r="G1857" s="3"/>
      <c r="H1857" s="11"/>
      <c r="I1857" s="12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14"/>
      <c r="X1857" s="3"/>
      <c r="Y1857" s="14"/>
      <c r="Z1857" s="3"/>
      <c r="AA1857" s="3"/>
      <c r="AB1857" s="3"/>
      <c r="AC1857" s="3"/>
      <c r="AD1857" s="3"/>
      <c r="AE1857" s="3"/>
      <c r="AF1857" s="3"/>
      <c r="AG1857" s="3"/>
      <c r="AH1857" s="3"/>
    </row>
    <row r="1858" spans="1:34" ht="14.25" customHeight="1" x14ac:dyDescent="0.25">
      <c r="A1858" s="3"/>
      <c r="B1858" s="3"/>
      <c r="C1858" s="3"/>
      <c r="D1858" s="3"/>
      <c r="E1858" s="3"/>
      <c r="F1858" s="3"/>
      <c r="G1858" s="3"/>
      <c r="H1858" s="11"/>
      <c r="I1858" s="12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14"/>
      <c r="X1858" s="3"/>
      <c r="Y1858" s="14"/>
      <c r="Z1858" s="3"/>
      <c r="AA1858" s="3"/>
      <c r="AB1858" s="3"/>
      <c r="AC1858" s="3"/>
      <c r="AD1858" s="3"/>
      <c r="AE1858" s="3"/>
      <c r="AF1858" s="3"/>
      <c r="AG1858" s="3"/>
      <c r="AH1858" s="3"/>
    </row>
    <row r="1859" spans="1:34" ht="14.25" customHeight="1" x14ac:dyDescent="0.25">
      <c r="A1859" s="3"/>
      <c r="B1859" s="3"/>
      <c r="C1859" s="3"/>
      <c r="D1859" s="3"/>
      <c r="E1859" s="3"/>
      <c r="F1859" s="3"/>
      <c r="G1859" s="3"/>
      <c r="H1859" s="11"/>
      <c r="I1859" s="12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14"/>
      <c r="X1859" s="3"/>
      <c r="Y1859" s="14"/>
      <c r="Z1859" s="3"/>
      <c r="AA1859" s="3"/>
      <c r="AB1859" s="3"/>
      <c r="AC1859" s="3"/>
      <c r="AD1859" s="3"/>
      <c r="AE1859" s="3"/>
      <c r="AF1859" s="3"/>
      <c r="AG1859" s="3"/>
      <c r="AH1859" s="3"/>
    </row>
    <row r="1860" spans="1:34" ht="14.25" customHeight="1" x14ac:dyDescent="0.25">
      <c r="A1860" s="3"/>
      <c r="B1860" s="3"/>
      <c r="C1860" s="3"/>
      <c r="D1860" s="3"/>
      <c r="E1860" s="3"/>
      <c r="F1860" s="3"/>
      <c r="G1860" s="3"/>
      <c r="H1860" s="11"/>
      <c r="I1860" s="12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14"/>
      <c r="X1860" s="3"/>
      <c r="Y1860" s="14"/>
      <c r="Z1860" s="3"/>
      <c r="AA1860" s="3"/>
      <c r="AB1860" s="3"/>
      <c r="AC1860" s="3"/>
      <c r="AD1860" s="3"/>
      <c r="AE1860" s="3"/>
      <c r="AF1860" s="3"/>
      <c r="AG1860" s="3"/>
      <c r="AH1860" s="3"/>
    </row>
    <row r="1861" spans="1:34" ht="14.25" customHeight="1" x14ac:dyDescent="0.25">
      <c r="A1861" s="3"/>
      <c r="B1861" s="3"/>
      <c r="C1861" s="3"/>
      <c r="D1861" s="3"/>
      <c r="E1861" s="3"/>
      <c r="F1861" s="3"/>
      <c r="G1861" s="3"/>
      <c r="H1861" s="11"/>
      <c r="I1861" s="12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14"/>
      <c r="X1861" s="3"/>
      <c r="Y1861" s="14"/>
      <c r="Z1861" s="3"/>
      <c r="AA1861" s="3"/>
      <c r="AB1861" s="3"/>
      <c r="AC1861" s="3"/>
      <c r="AD1861" s="3"/>
      <c r="AE1861" s="3"/>
      <c r="AF1861" s="3"/>
      <c r="AG1861" s="3"/>
      <c r="AH1861" s="3"/>
    </row>
    <row r="1862" spans="1:34" ht="14.25" customHeight="1" x14ac:dyDescent="0.25">
      <c r="A1862" s="3"/>
      <c r="B1862" s="3"/>
      <c r="C1862" s="3"/>
      <c r="D1862" s="3"/>
      <c r="E1862" s="3"/>
      <c r="F1862" s="3"/>
      <c r="G1862" s="14"/>
      <c r="H1862" s="11"/>
      <c r="I1862" s="12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14"/>
      <c r="X1862" s="3"/>
      <c r="Y1862" s="14"/>
      <c r="Z1862" s="3"/>
      <c r="AA1862" s="3"/>
      <c r="AB1862" s="3"/>
      <c r="AC1862" s="3"/>
      <c r="AD1862" s="3"/>
      <c r="AE1862" s="3"/>
      <c r="AF1862" s="3"/>
      <c r="AG1862" s="3"/>
      <c r="AH1862" s="3"/>
    </row>
    <row r="1863" spans="1:34" ht="14.25" customHeight="1" x14ac:dyDescent="0.25">
      <c r="A1863" s="3"/>
      <c r="B1863" s="3"/>
      <c r="C1863" s="3"/>
      <c r="D1863" s="3"/>
      <c r="E1863" s="3"/>
      <c r="F1863" s="3"/>
      <c r="G1863" s="3"/>
      <c r="H1863" s="11"/>
      <c r="I1863" s="12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14"/>
      <c r="X1863" s="3"/>
      <c r="Y1863" s="14"/>
      <c r="Z1863" s="3"/>
      <c r="AA1863" s="3"/>
      <c r="AB1863" s="3"/>
      <c r="AC1863" s="3"/>
      <c r="AD1863" s="3"/>
      <c r="AE1863" s="3"/>
      <c r="AF1863" s="3"/>
      <c r="AG1863" s="3"/>
      <c r="AH1863" s="3"/>
    </row>
    <row r="1864" spans="1:34" ht="14.25" customHeight="1" x14ac:dyDescent="0.25">
      <c r="A1864" s="3"/>
      <c r="B1864" s="3"/>
      <c r="C1864" s="3"/>
      <c r="D1864" s="3"/>
      <c r="E1864" s="3"/>
      <c r="F1864" s="3"/>
      <c r="G1864" s="3"/>
      <c r="H1864" s="11"/>
      <c r="I1864" s="12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14"/>
      <c r="X1864" s="3"/>
      <c r="Y1864" s="14"/>
      <c r="Z1864" s="3"/>
      <c r="AA1864" s="3"/>
      <c r="AB1864" s="3"/>
      <c r="AC1864" s="3"/>
      <c r="AD1864" s="3"/>
      <c r="AE1864" s="3"/>
      <c r="AF1864" s="3"/>
      <c r="AG1864" s="3"/>
      <c r="AH1864" s="3"/>
    </row>
    <row r="1865" spans="1:34" ht="14.25" customHeight="1" x14ac:dyDescent="0.25">
      <c r="A1865" s="3"/>
      <c r="B1865" s="3"/>
      <c r="C1865" s="3"/>
      <c r="D1865" s="3"/>
      <c r="E1865" s="3"/>
      <c r="F1865" s="3"/>
      <c r="G1865" s="3"/>
      <c r="H1865" s="11"/>
      <c r="I1865" s="12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14"/>
      <c r="X1865" s="3"/>
      <c r="Y1865" s="14"/>
      <c r="Z1865" s="3"/>
      <c r="AA1865" s="3"/>
      <c r="AB1865" s="3"/>
      <c r="AC1865" s="3"/>
      <c r="AD1865" s="3"/>
      <c r="AE1865" s="3"/>
      <c r="AF1865" s="3"/>
      <c r="AG1865" s="3"/>
      <c r="AH1865" s="3"/>
    </row>
    <row r="1866" spans="1:34" ht="14.25" customHeight="1" x14ac:dyDescent="0.25">
      <c r="A1866" s="3"/>
      <c r="B1866" s="3"/>
      <c r="C1866" s="3"/>
      <c r="D1866" s="3"/>
      <c r="E1866" s="3"/>
      <c r="F1866" s="3"/>
      <c r="G1866" s="3"/>
      <c r="H1866" s="11"/>
      <c r="I1866" s="12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14"/>
      <c r="X1866" s="3"/>
      <c r="Y1866" s="14"/>
      <c r="Z1866" s="3"/>
      <c r="AA1866" s="3"/>
      <c r="AB1866" s="3"/>
      <c r="AC1866" s="3"/>
      <c r="AD1866" s="3"/>
      <c r="AE1866" s="3"/>
      <c r="AF1866" s="3"/>
      <c r="AG1866" s="3"/>
      <c r="AH1866" s="3"/>
    </row>
    <row r="1867" spans="1:34" ht="14.25" customHeight="1" x14ac:dyDescent="0.25">
      <c r="A1867" s="3"/>
      <c r="B1867" s="3"/>
      <c r="C1867" s="3"/>
      <c r="D1867" s="3"/>
      <c r="E1867" s="3"/>
      <c r="F1867" s="3"/>
      <c r="G1867" s="3"/>
      <c r="H1867" s="11"/>
      <c r="I1867" s="12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14"/>
      <c r="X1867" s="3"/>
      <c r="Y1867" s="14"/>
      <c r="Z1867" s="3"/>
      <c r="AA1867" s="3"/>
      <c r="AB1867" s="3"/>
      <c r="AC1867" s="3"/>
      <c r="AD1867" s="3"/>
      <c r="AE1867" s="3"/>
      <c r="AF1867" s="3"/>
      <c r="AG1867" s="3"/>
      <c r="AH1867" s="3"/>
    </row>
    <row r="1868" spans="1:34" ht="14.25" customHeight="1" x14ac:dyDescent="0.25">
      <c r="A1868" s="3"/>
      <c r="B1868" s="3"/>
      <c r="C1868" s="3"/>
      <c r="D1868" s="3"/>
      <c r="E1868" s="3"/>
      <c r="F1868" s="3"/>
      <c r="G1868" s="3"/>
      <c r="H1868" s="11"/>
      <c r="I1868" s="12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14"/>
      <c r="X1868" s="3"/>
      <c r="Y1868" s="14"/>
      <c r="Z1868" s="3"/>
      <c r="AA1868" s="3"/>
      <c r="AB1868" s="3"/>
      <c r="AC1868" s="3"/>
      <c r="AD1868" s="3"/>
      <c r="AE1868" s="3"/>
      <c r="AF1868" s="3"/>
      <c r="AG1868" s="3"/>
      <c r="AH1868" s="3"/>
    </row>
    <row r="1869" spans="1:34" ht="14.25" customHeight="1" x14ac:dyDescent="0.25">
      <c r="A1869" s="3"/>
      <c r="B1869" s="3"/>
      <c r="C1869" s="3"/>
      <c r="D1869" s="3"/>
      <c r="E1869" s="3"/>
      <c r="F1869" s="3"/>
      <c r="G1869" s="3"/>
      <c r="H1869" s="11"/>
      <c r="I1869" s="12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14"/>
      <c r="X1869" s="3"/>
      <c r="Y1869" s="14"/>
      <c r="Z1869" s="3"/>
      <c r="AA1869" s="3"/>
      <c r="AB1869" s="3"/>
      <c r="AC1869" s="3"/>
      <c r="AD1869" s="3"/>
      <c r="AE1869" s="3"/>
      <c r="AF1869" s="3"/>
      <c r="AG1869" s="3"/>
      <c r="AH1869" s="3"/>
    </row>
    <row r="1870" spans="1:34" ht="14.25" customHeight="1" x14ac:dyDescent="0.25">
      <c r="A1870" s="3"/>
      <c r="B1870" s="3"/>
      <c r="C1870" s="3"/>
      <c r="D1870" s="3"/>
      <c r="E1870" s="3"/>
      <c r="F1870" s="3"/>
      <c r="G1870" s="3"/>
      <c r="H1870" s="11"/>
      <c r="I1870" s="12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14"/>
      <c r="X1870" s="3"/>
      <c r="Y1870" s="14"/>
      <c r="Z1870" s="3"/>
      <c r="AA1870" s="3"/>
      <c r="AB1870" s="3"/>
      <c r="AC1870" s="3"/>
      <c r="AD1870" s="3"/>
      <c r="AE1870" s="3"/>
      <c r="AF1870" s="3"/>
      <c r="AG1870" s="3"/>
      <c r="AH1870" s="3"/>
    </row>
    <row r="1871" spans="1:34" ht="14.25" customHeight="1" x14ac:dyDescent="0.25">
      <c r="A1871" s="3"/>
      <c r="B1871" s="3"/>
      <c r="C1871" s="3"/>
      <c r="D1871" s="3"/>
      <c r="E1871" s="3"/>
      <c r="F1871" s="3"/>
      <c r="G1871" s="3"/>
      <c r="H1871" s="11"/>
      <c r="I1871" s="12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14"/>
      <c r="X1871" s="3"/>
      <c r="Y1871" s="14"/>
      <c r="Z1871" s="3"/>
      <c r="AA1871" s="3"/>
      <c r="AB1871" s="3"/>
      <c r="AC1871" s="3"/>
      <c r="AD1871" s="3"/>
      <c r="AE1871" s="3"/>
      <c r="AF1871" s="3"/>
      <c r="AG1871" s="3"/>
      <c r="AH1871" s="3"/>
    </row>
    <row r="1872" spans="1:34" ht="14.25" customHeight="1" x14ac:dyDescent="0.25">
      <c r="A1872" s="3"/>
      <c r="B1872" s="3"/>
      <c r="C1872" s="3"/>
      <c r="D1872" s="3"/>
      <c r="E1872" s="3"/>
      <c r="F1872" s="3"/>
      <c r="G1872" s="3"/>
      <c r="H1872" s="11"/>
      <c r="I1872" s="12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14"/>
      <c r="X1872" s="3"/>
      <c r="Y1872" s="14"/>
      <c r="Z1872" s="3"/>
      <c r="AA1872" s="3"/>
      <c r="AB1872" s="3"/>
      <c r="AC1872" s="3"/>
      <c r="AD1872" s="3"/>
      <c r="AE1872" s="3"/>
      <c r="AF1872" s="3"/>
      <c r="AG1872" s="3"/>
      <c r="AH1872" s="3"/>
    </row>
    <row r="1873" spans="1:34" ht="14.25" customHeight="1" x14ac:dyDescent="0.25">
      <c r="A1873" s="3"/>
      <c r="B1873" s="3"/>
      <c r="C1873" s="3"/>
      <c r="D1873" s="3"/>
      <c r="E1873" s="3"/>
      <c r="F1873" s="3"/>
      <c r="G1873" s="3"/>
      <c r="H1873" s="11"/>
      <c r="I1873" s="12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14"/>
      <c r="X1873" s="3"/>
      <c r="Y1873" s="14"/>
      <c r="Z1873" s="3"/>
      <c r="AA1873" s="3"/>
      <c r="AB1873" s="3"/>
      <c r="AC1873" s="3"/>
      <c r="AD1873" s="3"/>
      <c r="AE1873" s="3"/>
      <c r="AF1873" s="3"/>
      <c r="AG1873" s="3"/>
      <c r="AH1873" s="3"/>
    </row>
    <row r="1874" spans="1:34" ht="14.25" customHeight="1" x14ac:dyDescent="0.25">
      <c r="A1874" s="3"/>
      <c r="B1874" s="3"/>
      <c r="C1874" s="3"/>
      <c r="D1874" s="3"/>
      <c r="E1874" s="3"/>
      <c r="F1874" s="3"/>
      <c r="G1874" s="3"/>
      <c r="H1874" s="11"/>
      <c r="I1874" s="12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14"/>
      <c r="X1874" s="3"/>
      <c r="Y1874" s="14"/>
      <c r="Z1874" s="3"/>
      <c r="AA1874" s="3"/>
      <c r="AB1874" s="3"/>
      <c r="AC1874" s="3"/>
      <c r="AD1874" s="3"/>
      <c r="AE1874" s="3"/>
      <c r="AF1874" s="3"/>
      <c r="AG1874" s="3"/>
      <c r="AH1874" s="3"/>
    </row>
    <row r="1875" spans="1:34" ht="14.25" customHeight="1" x14ac:dyDescent="0.25">
      <c r="A1875" s="3"/>
      <c r="B1875" s="3"/>
      <c r="C1875" s="3"/>
      <c r="D1875" s="3"/>
      <c r="E1875" s="3"/>
      <c r="F1875" s="3"/>
      <c r="G1875" s="3"/>
      <c r="H1875" s="11"/>
      <c r="I1875" s="12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14"/>
      <c r="X1875" s="3"/>
      <c r="Y1875" s="14"/>
      <c r="Z1875" s="3"/>
      <c r="AA1875" s="3"/>
      <c r="AB1875" s="3"/>
      <c r="AC1875" s="3"/>
      <c r="AD1875" s="3"/>
      <c r="AE1875" s="3"/>
      <c r="AF1875" s="3"/>
      <c r="AG1875" s="3"/>
      <c r="AH1875" s="3"/>
    </row>
    <row r="1876" spans="1:34" ht="14.25" customHeight="1" x14ac:dyDescent="0.25">
      <c r="A1876" s="3"/>
      <c r="B1876" s="3"/>
      <c r="C1876" s="3"/>
      <c r="D1876" s="3"/>
      <c r="E1876" s="3"/>
      <c r="F1876" s="3"/>
      <c r="G1876" s="3"/>
      <c r="H1876" s="11"/>
      <c r="I1876" s="12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14"/>
      <c r="X1876" s="3"/>
      <c r="Y1876" s="14"/>
      <c r="Z1876" s="3"/>
      <c r="AA1876" s="3"/>
      <c r="AB1876" s="3"/>
      <c r="AC1876" s="3"/>
      <c r="AD1876" s="3"/>
      <c r="AE1876" s="3"/>
      <c r="AF1876" s="3"/>
      <c r="AG1876" s="3"/>
      <c r="AH1876" s="3"/>
    </row>
    <row r="1877" spans="1:34" ht="14.25" customHeight="1" x14ac:dyDescent="0.25">
      <c r="A1877" s="3"/>
      <c r="B1877" s="3"/>
      <c r="C1877" s="3"/>
      <c r="D1877" s="3"/>
      <c r="E1877" s="3"/>
      <c r="F1877" s="3"/>
      <c r="G1877" s="3"/>
      <c r="H1877" s="11"/>
      <c r="I1877" s="12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14"/>
      <c r="X1877" s="3"/>
      <c r="Y1877" s="14"/>
      <c r="Z1877" s="3"/>
      <c r="AA1877" s="3"/>
      <c r="AB1877" s="3"/>
      <c r="AC1877" s="3"/>
      <c r="AD1877" s="3"/>
      <c r="AE1877" s="3"/>
      <c r="AF1877" s="3"/>
      <c r="AG1877" s="3"/>
      <c r="AH1877" s="3"/>
    </row>
    <row r="1878" spans="1:34" ht="14.25" customHeight="1" x14ac:dyDescent="0.25">
      <c r="A1878" s="3"/>
      <c r="B1878" s="3"/>
      <c r="C1878" s="3"/>
      <c r="D1878" s="3"/>
      <c r="E1878" s="3"/>
      <c r="F1878" s="3"/>
      <c r="G1878" s="3"/>
      <c r="H1878" s="11"/>
      <c r="I1878" s="12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14"/>
      <c r="X1878" s="3"/>
      <c r="Y1878" s="14"/>
      <c r="Z1878" s="3"/>
      <c r="AA1878" s="3"/>
      <c r="AB1878" s="3"/>
      <c r="AC1878" s="3"/>
      <c r="AD1878" s="3"/>
      <c r="AE1878" s="3"/>
      <c r="AF1878" s="3"/>
      <c r="AG1878" s="3"/>
      <c r="AH1878" s="3"/>
    </row>
    <row r="1879" spans="1:34" ht="14.25" customHeight="1" x14ac:dyDescent="0.25">
      <c r="A1879" s="3"/>
      <c r="B1879" s="3"/>
      <c r="C1879" s="3"/>
      <c r="D1879" s="3"/>
      <c r="E1879" s="3"/>
      <c r="F1879" s="3"/>
      <c r="G1879" s="3"/>
      <c r="H1879" s="11"/>
      <c r="I1879" s="12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14"/>
      <c r="X1879" s="3"/>
      <c r="Y1879" s="14"/>
      <c r="Z1879" s="3"/>
      <c r="AA1879" s="3"/>
      <c r="AB1879" s="3"/>
      <c r="AC1879" s="3"/>
      <c r="AD1879" s="3"/>
      <c r="AE1879" s="3"/>
      <c r="AF1879" s="3"/>
      <c r="AG1879" s="3"/>
      <c r="AH1879" s="3"/>
    </row>
    <row r="1880" spans="1:34" ht="14.25" customHeight="1" x14ac:dyDescent="0.25">
      <c r="A1880" s="3"/>
      <c r="B1880" s="3"/>
      <c r="C1880" s="3"/>
      <c r="D1880" s="3"/>
      <c r="E1880" s="3"/>
      <c r="F1880" s="3"/>
      <c r="G1880" s="3"/>
      <c r="H1880" s="11"/>
      <c r="I1880" s="12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14"/>
      <c r="X1880" s="3"/>
      <c r="Y1880" s="14"/>
      <c r="Z1880" s="3"/>
      <c r="AA1880" s="3"/>
      <c r="AB1880" s="3"/>
      <c r="AC1880" s="3"/>
      <c r="AD1880" s="3"/>
      <c r="AE1880" s="3"/>
      <c r="AF1880" s="3"/>
      <c r="AG1880" s="3"/>
      <c r="AH1880" s="3"/>
    </row>
    <row r="1881" spans="1:34" ht="14.25" customHeight="1" x14ac:dyDescent="0.25">
      <c r="A1881" s="3"/>
      <c r="B1881" s="3"/>
      <c r="C1881" s="3"/>
      <c r="D1881" s="3"/>
      <c r="E1881" s="3"/>
      <c r="F1881" s="3"/>
      <c r="G1881" s="3"/>
      <c r="H1881" s="11"/>
      <c r="I1881" s="12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14"/>
      <c r="X1881" s="3"/>
      <c r="Y1881" s="14"/>
      <c r="Z1881" s="3"/>
      <c r="AA1881" s="3"/>
      <c r="AB1881" s="3"/>
      <c r="AC1881" s="3"/>
      <c r="AD1881" s="3"/>
      <c r="AE1881" s="3"/>
      <c r="AF1881" s="3"/>
      <c r="AG1881" s="3"/>
      <c r="AH1881" s="3"/>
    </row>
    <row r="1882" spans="1:34" ht="14.25" customHeight="1" x14ac:dyDescent="0.25">
      <c r="A1882" s="3"/>
      <c r="B1882" s="3"/>
      <c r="C1882" s="3"/>
      <c r="D1882" s="3"/>
      <c r="E1882" s="3"/>
      <c r="F1882" s="3"/>
      <c r="G1882" s="3"/>
      <c r="H1882" s="11"/>
      <c r="I1882" s="12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14"/>
      <c r="X1882" s="3"/>
      <c r="Y1882" s="14"/>
      <c r="Z1882" s="3"/>
      <c r="AA1882" s="3"/>
      <c r="AB1882" s="3"/>
      <c r="AC1882" s="3"/>
      <c r="AD1882" s="3"/>
      <c r="AE1882" s="3"/>
      <c r="AF1882" s="3"/>
      <c r="AG1882" s="3"/>
      <c r="AH1882" s="3"/>
    </row>
    <row r="1883" spans="1:34" ht="14.25" customHeight="1" x14ac:dyDescent="0.25">
      <c r="A1883" s="3"/>
      <c r="B1883" s="3"/>
      <c r="C1883" s="3"/>
      <c r="D1883" s="3"/>
      <c r="E1883" s="3"/>
      <c r="F1883" s="3"/>
      <c r="G1883" s="3"/>
      <c r="H1883" s="11"/>
      <c r="I1883" s="12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14"/>
      <c r="X1883" s="3"/>
      <c r="Y1883" s="14"/>
      <c r="Z1883" s="3"/>
      <c r="AA1883" s="3"/>
      <c r="AB1883" s="3"/>
      <c r="AC1883" s="3"/>
      <c r="AD1883" s="3"/>
      <c r="AE1883" s="3"/>
      <c r="AF1883" s="3"/>
      <c r="AG1883" s="3"/>
      <c r="AH1883" s="3"/>
    </row>
    <row r="1884" spans="1:34" ht="14.25" customHeight="1" x14ac:dyDescent="0.25">
      <c r="A1884" s="3"/>
      <c r="B1884" s="3"/>
      <c r="C1884" s="3"/>
      <c r="D1884" s="3"/>
      <c r="E1884" s="3"/>
      <c r="F1884" s="3"/>
      <c r="G1884" s="3"/>
      <c r="H1884" s="11"/>
      <c r="I1884" s="12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14"/>
      <c r="X1884" s="3"/>
      <c r="Y1884" s="14"/>
      <c r="Z1884" s="3"/>
      <c r="AA1884" s="3"/>
      <c r="AB1884" s="3"/>
      <c r="AC1884" s="3"/>
      <c r="AD1884" s="3"/>
      <c r="AE1884" s="3"/>
      <c r="AF1884" s="3"/>
      <c r="AG1884" s="3"/>
      <c r="AH1884" s="3"/>
    </row>
    <row r="1885" spans="1:34" ht="14.25" customHeight="1" x14ac:dyDescent="0.25">
      <c r="A1885" s="3"/>
      <c r="B1885" s="3"/>
      <c r="C1885" s="3"/>
      <c r="D1885" s="3"/>
      <c r="E1885" s="3"/>
      <c r="F1885" s="3"/>
      <c r="G1885" s="3"/>
      <c r="H1885" s="11"/>
      <c r="I1885" s="12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14"/>
      <c r="X1885" s="3"/>
      <c r="Y1885" s="14"/>
      <c r="Z1885" s="3"/>
      <c r="AA1885" s="3"/>
      <c r="AB1885" s="3"/>
      <c r="AC1885" s="3"/>
      <c r="AD1885" s="3"/>
      <c r="AE1885" s="3"/>
      <c r="AF1885" s="3"/>
      <c r="AG1885" s="3"/>
      <c r="AH1885" s="3"/>
    </row>
    <row r="1886" spans="1:34" ht="14.25" customHeight="1" x14ac:dyDescent="0.25">
      <c r="A1886" s="3"/>
      <c r="B1886" s="3"/>
      <c r="C1886" s="3"/>
      <c r="D1886" s="3"/>
      <c r="E1886" s="3"/>
      <c r="F1886" s="3"/>
      <c r="G1886" s="3"/>
      <c r="H1886" s="11"/>
      <c r="I1886" s="12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14"/>
      <c r="X1886" s="3"/>
      <c r="Y1886" s="14"/>
      <c r="Z1886" s="3"/>
      <c r="AA1886" s="3"/>
      <c r="AB1886" s="3"/>
      <c r="AC1886" s="3"/>
      <c r="AD1886" s="3"/>
      <c r="AE1886" s="3"/>
      <c r="AF1886" s="3"/>
      <c r="AG1886" s="3"/>
      <c r="AH1886" s="3"/>
    </row>
    <row r="1887" spans="1:34" ht="14.25" customHeight="1" x14ac:dyDescent="0.25">
      <c r="A1887" s="3"/>
      <c r="B1887" s="3"/>
      <c r="C1887" s="3"/>
      <c r="D1887" s="3"/>
      <c r="E1887" s="3"/>
      <c r="F1887" s="3"/>
      <c r="G1887" s="14"/>
      <c r="H1887" s="11"/>
      <c r="I1887" s="12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14"/>
      <c r="X1887" s="3"/>
      <c r="Y1887" s="14"/>
      <c r="Z1887" s="3"/>
      <c r="AA1887" s="3"/>
      <c r="AB1887" s="3"/>
      <c r="AC1887" s="3"/>
      <c r="AD1887" s="3"/>
      <c r="AE1887" s="3"/>
      <c r="AF1887" s="3"/>
      <c r="AG1887" s="3"/>
      <c r="AH1887" s="3"/>
    </row>
    <row r="1888" spans="1:34" ht="14.25" customHeight="1" x14ac:dyDescent="0.25">
      <c r="A1888" s="3"/>
      <c r="B1888" s="3"/>
      <c r="C1888" s="3"/>
      <c r="D1888" s="3"/>
      <c r="E1888" s="3"/>
      <c r="F1888" s="3"/>
      <c r="G1888" s="3"/>
      <c r="H1888" s="11"/>
      <c r="I1888" s="12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14"/>
      <c r="X1888" s="3"/>
      <c r="Y1888" s="14"/>
      <c r="Z1888" s="3"/>
      <c r="AA1888" s="3"/>
      <c r="AB1888" s="3"/>
      <c r="AC1888" s="3"/>
      <c r="AD1888" s="3"/>
      <c r="AE1888" s="3"/>
      <c r="AF1888" s="3"/>
      <c r="AG1888" s="3"/>
      <c r="AH1888" s="3"/>
    </row>
    <row r="1889" spans="1:34" ht="14.25" customHeight="1" x14ac:dyDescent="0.25">
      <c r="A1889" s="3"/>
      <c r="B1889" s="3"/>
      <c r="C1889" s="3"/>
      <c r="D1889" s="3"/>
      <c r="E1889" s="3"/>
      <c r="F1889" s="3"/>
      <c r="G1889" s="14"/>
      <c r="H1889" s="11"/>
      <c r="I1889" s="12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14"/>
      <c r="X1889" s="3"/>
      <c r="Y1889" s="14"/>
      <c r="Z1889" s="3"/>
      <c r="AA1889" s="3"/>
      <c r="AB1889" s="3"/>
      <c r="AC1889" s="3"/>
      <c r="AD1889" s="3"/>
      <c r="AE1889" s="3"/>
      <c r="AF1889" s="3"/>
      <c r="AG1889" s="3"/>
      <c r="AH1889" s="3"/>
    </row>
    <row r="1890" spans="1:34" ht="14.25" customHeight="1" x14ac:dyDescent="0.25">
      <c r="A1890" s="3"/>
      <c r="B1890" s="3"/>
      <c r="C1890" s="3"/>
      <c r="D1890" s="3"/>
      <c r="E1890" s="3"/>
      <c r="F1890" s="3"/>
      <c r="G1890" s="14"/>
      <c r="H1890" s="11"/>
      <c r="I1890" s="12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14"/>
      <c r="X1890" s="3"/>
      <c r="Y1890" s="14"/>
      <c r="Z1890" s="3"/>
      <c r="AA1890" s="3"/>
      <c r="AB1890" s="3"/>
      <c r="AC1890" s="3"/>
      <c r="AD1890" s="3"/>
      <c r="AE1890" s="3"/>
      <c r="AF1890" s="3"/>
      <c r="AG1890" s="3"/>
      <c r="AH1890" s="3"/>
    </row>
    <row r="1891" spans="1:34" ht="14.25" customHeight="1" x14ac:dyDescent="0.25">
      <c r="A1891" s="3"/>
      <c r="B1891" s="3"/>
      <c r="C1891" s="3"/>
      <c r="D1891" s="3"/>
      <c r="E1891" s="3"/>
      <c r="F1891" s="3"/>
      <c r="G1891" s="3"/>
      <c r="H1891" s="11"/>
      <c r="I1891" s="12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14"/>
      <c r="X1891" s="3"/>
      <c r="Y1891" s="14"/>
      <c r="Z1891" s="3"/>
      <c r="AA1891" s="3"/>
      <c r="AB1891" s="3"/>
      <c r="AC1891" s="3"/>
      <c r="AD1891" s="3"/>
      <c r="AE1891" s="3"/>
      <c r="AF1891" s="3"/>
      <c r="AG1891" s="3"/>
      <c r="AH1891" s="3"/>
    </row>
    <row r="1892" spans="1:34" ht="14.25" customHeight="1" x14ac:dyDescent="0.25">
      <c r="A1892" s="3"/>
      <c r="B1892" s="3"/>
      <c r="C1892" s="3"/>
      <c r="D1892" s="3"/>
      <c r="E1892" s="3"/>
      <c r="F1892" s="3"/>
      <c r="G1892" s="3"/>
      <c r="H1892" s="11"/>
      <c r="I1892" s="12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14"/>
      <c r="X1892" s="3"/>
      <c r="Y1892" s="14"/>
      <c r="Z1892" s="3"/>
      <c r="AA1892" s="3"/>
      <c r="AB1892" s="3"/>
      <c r="AC1892" s="3"/>
      <c r="AD1892" s="3"/>
      <c r="AE1892" s="3"/>
      <c r="AF1892" s="3"/>
      <c r="AG1892" s="3"/>
      <c r="AH1892" s="3"/>
    </row>
    <row r="1893" spans="1:34" ht="14.25" customHeight="1" x14ac:dyDescent="0.25">
      <c r="A1893" s="3"/>
      <c r="B1893" s="3"/>
      <c r="C1893" s="3"/>
      <c r="D1893" s="3"/>
      <c r="E1893" s="3"/>
      <c r="F1893" s="3"/>
      <c r="G1893" s="3"/>
      <c r="H1893" s="11"/>
      <c r="I1893" s="12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14"/>
      <c r="X1893" s="3"/>
      <c r="Y1893" s="14"/>
      <c r="Z1893" s="3"/>
      <c r="AA1893" s="3"/>
      <c r="AB1893" s="3"/>
      <c r="AC1893" s="3"/>
      <c r="AD1893" s="3"/>
      <c r="AE1893" s="3"/>
      <c r="AF1893" s="3"/>
      <c r="AG1893" s="3"/>
      <c r="AH1893" s="3"/>
    </row>
    <row r="1894" spans="1:34" ht="14.25" customHeight="1" x14ac:dyDescent="0.25">
      <c r="A1894" s="3"/>
      <c r="B1894" s="3"/>
      <c r="C1894" s="3"/>
      <c r="D1894" s="3"/>
      <c r="E1894" s="3"/>
      <c r="F1894" s="3"/>
      <c r="G1894" s="3"/>
      <c r="H1894" s="11"/>
      <c r="I1894" s="12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14"/>
      <c r="X1894" s="3"/>
      <c r="Y1894" s="14"/>
      <c r="Z1894" s="3"/>
      <c r="AA1894" s="3"/>
      <c r="AB1894" s="3"/>
      <c r="AC1894" s="3"/>
      <c r="AD1894" s="3"/>
      <c r="AE1894" s="3"/>
      <c r="AF1894" s="3"/>
      <c r="AG1894" s="3"/>
      <c r="AH1894" s="3"/>
    </row>
    <row r="1895" spans="1:34" ht="14.25" customHeight="1" x14ac:dyDescent="0.25">
      <c r="A1895" s="3"/>
      <c r="B1895" s="3"/>
      <c r="C1895" s="3"/>
      <c r="D1895" s="3"/>
      <c r="E1895" s="3"/>
      <c r="F1895" s="3"/>
      <c r="G1895" s="3"/>
      <c r="H1895" s="11"/>
      <c r="I1895" s="12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14"/>
      <c r="X1895" s="3"/>
      <c r="Y1895" s="14"/>
      <c r="Z1895" s="3"/>
      <c r="AA1895" s="3"/>
      <c r="AB1895" s="3"/>
      <c r="AC1895" s="3"/>
      <c r="AD1895" s="3"/>
      <c r="AE1895" s="3"/>
      <c r="AF1895" s="3"/>
      <c r="AG1895" s="3"/>
      <c r="AH1895" s="3"/>
    </row>
    <row r="1896" spans="1:34" ht="14.25" customHeight="1" x14ac:dyDescent="0.25">
      <c r="A1896" s="3"/>
      <c r="B1896" s="3"/>
      <c r="C1896" s="3"/>
      <c r="D1896" s="3"/>
      <c r="E1896" s="3"/>
      <c r="F1896" s="3"/>
      <c r="G1896" s="3"/>
      <c r="H1896" s="11"/>
      <c r="I1896" s="12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14"/>
      <c r="X1896" s="3"/>
      <c r="Y1896" s="14"/>
      <c r="Z1896" s="3"/>
      <c r="AA1896" s="3"/>
      <c r="AB1896" s="3"/>
      <c r="AC1896" s="3"/>
      <c r="AD1896" s="3"/>
      <c r="AE1896" s="3"/>
      <c r="AF1896" s="3"/>
      <c r="AG1896" s="3"/>
      <c r="AH1896" s="3"/>
    </row>
    <row r="1897" spans="1:34" ht="14.25" customHeight="1" x14ac:dyDescent="0.25">
      <c r="A1897" s="3"/>
      <c r="B1897" s="3"/>
      <c r="C1897" s="3"/>
      <c r="D1897" s="3"/>
      <c r="E1897" s="3"/>
      <c r="F1897" s="3"/>
      <c r="G1897" s="3"/>
      <c r="H1897" s="11"/>
      <c r="I1897" s="12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14"/>
      <c r="X1897" s="3"/>
      <c r="Y1897" s="14"/>
      <c r="Z1897" s="3"/>
      <c r="AA1897" s="3"/>
      <c r="AB1897" s="3"/>
      <c r="AC1897" s="3"/>
      <c r="AD1897" s="3"/>
      <c r="AE1897" s="3"/>
      <c r="AF1897" s="3"/>
      <c r="AG1897" s="3"/>
      <c r="AH1897" s="3"/>
    </row>
    <row r="1898" spans="1:34" ht="14.25" customHeight="1" x14ac:dyDescent="0.25">
      <c r="A1898" s="3"/>
      <c r="B1898" s="3"/>
      <c r="C1898" s="3"/>
      <c r="D1898" s="3"/>
      <c r="E1898" s="3"/>
      <c r="F1898" s="3"/>
      <c r="G1898" s="14"/>
      <c r="H1898" s="11"/>
      <c r="I1898" s="12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14"/>
      <c r="X1898" s="3"/>
      <c r="Y1898" s="14"/>
      <c r="Z1898" s="3"/>
      <c r="AA1898" s="3"/>
      <c r="AB1898" s="3"/>
      <c r="AC1898" s="3"/>
      <c r="AD1898" s="3"/>
      <c r="AE1898" s="3"/>
      <c r="AF1898" s="3"/>
      <c r="AG1898" s="3"/>
      <c r="AH1898" s="3"/>
    </row>
    <row r="1899" spans="1:34" ht="14.25" customHeight="1" x14ac:dyDescent="0.25">
      <c r="A1899" s="3"/>
      <c r="B1899" s="3"/>
      <c r="C1899" s="3"/>
      <c r="D1899" s="3"/>
      <c r="E1899" s="3"/>
      <c r="F1899" s="3"/>
      <c r="G1899" s="14"/>
      <c r="H1899" s="11"/>
      <c r="I1899" s="12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14"/>
      <c r="X1899" s="3"/>
      <c r="Y1899" s="14"/>
      <c r="Z1899" s="3"/>
      <c r="AA1899" s="3"/>
      <c r="AB1899" s="3"/>
      <c r="AC1899" s="3"/>
      <c r="AD1899" s="3"/>
      <c r="AE1899" s="3"/>
      <c r="AF1899" s="3"/>
      <c r="AG1899" s="3"/>
      <c r="AH1899" s="3"/>
    </row>
    <row r="1900" spans="1:34" ht="14.25" customHeight="1" x14ac:dyDescent="0.25">
      <c r="A1900" s="3"/>
      <c r="B1900" s="3"/>
      <c r="C1900" s="3"/>
      <c r="D1900" s="3"/>
      <c r="E1900" s="3"/>
      <c r="F1900" s="3"/>
      <c r="G1900" s="3"/>
      <c r="H1900" s="11"/>
      <c r="I1900" s="12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14"/>
      <c r="X1900" s="3"/>
      <c r="Y1900" s="14"/>
      <c r="Z1900" s="3"/>
      <c r="AA1900" s="3"/>
      <c r="AB1900" s="3"/>
      <c r="AC1900" s="3"/>
      <c r="AD1900" s="3"/>
      <c r="AE1900" s="3"/>
      <c r="AF1900" s="3"/>
      <c r="AG1900" s="3"/>
      <c r="AH1900" s="3"/>
    </row>
    <row r="1901" spans="1:34" ht="14.25" customHeight="1" x14ac:dyDescent="0.25">
      <c r="A1901" s="3"/>
      <c r="B1901" s="3"/>
      <c r="C1901" s="3"/>
      <c r="D1901" s="3"/>
      <c r="E1901" s="3"/>
      <c r="F1901" s="3"/>
      <c r="G1901" s="3"/>
      <c r="H1901" s="11"/>
      <c r="I1901" s="12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14"/>
      <c r="X1901" s="3"/>
      <c r="Y1901" s="14"/>
      <c r="Z1901" s="3"/>
      <c r="AA1901" s="3"/>
      <c r="AB1901" s="3"/>
      <c r="AC1901" s="3"/>
      <c r="AD1901" s="3"/>
      <c r="AE1901" s="3"/>
      <c r="AF1901" s="3"/>
      <c r="AG1901" s="3"/>
      <c r="AH1901" s="3"/>
    </row>
    <row r="1902" spans="1:34" ht="14.25" customHeight="1" x14ac:dyDescent="0.25">
      <c r="A1902" s="3"/>
      <c r="B1902" s="3"/>
      <c r="C1902" s="3"/>
      <c r="D1902" s="3"/>
      <c r="E1902" s="3"/>
      <c r="F1902" s="3"/>
      <c r="G1902" s="3"/>
      <c r="H1902" s="11"/>
      <c r="I1902" s="12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14"/>
      <c r="X1902" s="3"/>
      <c r="Y1902" s="14"/>
      <c r="Z1902" s="3"/>
      <c r="AA1902" s="3"/>
      <c r="AB1902" s="3"/>
      <c r="AC1902" s="3"/>
      <c r="AD1902" s="3"/>
      <c r="AE1902" s="3"/>
      <c r="AF1902" s="3"/>
      <c r="AG1902" s="3"/>
      <c r="AH1902" s="3"/>
    </row>
    <row r="1903" spans="1:34" ht="14.25" customHeight="1" x14ac:dyDescent="0.25">
      <c r="A1903" s="3"/>
      <c r="B1903" s="3"/>
      <c r="C1903" s="3"/>
      <c r="D1903" s="3"/>
      <c r="E1903" s="3"/>
      <c r="F1903" s="3"/>
      <c r="G1903" s="3"/>
      <c r="H1903" s="11"/>
      <c r="I1903" s="12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14"/>
      <c r="X1903" s="3"/>
      <c r="Y1903" s="14"/>
      <c r="Z1903" s="3"/>
      <c r="AA1903" s="3"/>
      <c r="AB1903" s="3"/>
      <c r="AC1903" s="3"/>
      <c r="AD1903" s="3"/>
      <c r="AE1903" s="3"/>
      <c r="AF1903" s="3"/>
      <c r="AG1903" s="3"/>
      <c r="AH1903" s="3"/>
    </row>
    <row r="1904" spans="1:34" ht="14.25" customHeight="1" x14ac:dyDescent="0.25">
      <c r="A1904" s="3"/>
      <c r="B1904" s="3"/>
      <c r="C1904" s="3"/>
      <c r="D1904" s="3"/>
      <c r="E1904" s="3"/>
      <c r="F1904" s="3"/>
      <c r="G1904" s="3"/>
      <c r="H1904" s="11"/>
      <c r="I1904" s="12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14"/>
      <c r="X1904" s="3"/>
      <c r="Y1904" s="14"/>
      <c r="Z1904" s="3"/>
      <c r="AA1904" s="3"/>
      <c r="AB1904" s="3"/>
      <c r="AC1904" s="3"/>
      <c r="AD1904" s="3"/>
      <c r="AE1904" s="3"/>
      <c r="AF1904" s="3"/>
      <c r="AG1904" s="3"/>
      <c r="AH1904" s="3"/>
    </row>
    <row r="1905" spans="1:34" ht="14.25" customHeight="1" x14ac:dyDescent="0.25">
      <c r="A1905" s="3"/>
      <c r="B1905" s="3"/>
      <c r="C1905" s="3"/>
      <c r="D1905" s="3"/>
      <c r="E1905" s="3"/>
      <c r="F1905" s="3"/>
      <c r="G1905" s="3"/>
      <c r="H1905" s="11"/>
      <c r="I1905" s="12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14"/>
      <c r="X1905" s="3"/>
      <c r="Y1905" s="14"/>
      <c r="Z1905" s="3"/>
      <c r="AA1905" s="3"/>
      <c r="AB1905" s="3"/>
      <c r="AC1905" s="3"/>
      <c r="AD1905" s="3"/>
      <c r="AE1905" s="3"/>
      <c r="AF1905" s="3"/>
      <c r="AG1905" s="3"/>
      <c r="AH1905" s="3"/>
    </row>
    <row r="1906" spans="1:34" ht="14.25" customHeight="1" x14ac:dyDescent="0.25">
      <c r="A1906" s="3"/>
      <c r="B1906" s="3"/>
      <c r="C1906" s="3"/>
      <c r="D1906" s="3"/>
      <c r="E1906" s="3"/>
      <c r="F1906" s="3"/>
      <c r="G1906" s="3"/>
      <c r="H1906" s="11"/>
      <c r="I1906" s="12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14"/>
      <c r="X1906" s="3"/>
      <c r="Y1906" s="14"/>
      <c r="Z1906" s="3"/>
      <c r="AA1906" s="3"/>
      <c r="AB1906" s="3"/>
      <c r="AC1906" s="3"/>
      <c r="AD1906" s="3"/>
      <c r="AE1906" s="3"/>
      <c r="AF1906" s="3"/>
      <c r="AG1906" s="3"/>
      <c r="AH1906" s="3"/>
    </row>
    <row r="1907" spans="1:34" ht="14.25" customHeight="1" x14ac:dyDescent="0.25">
      <c r="A1907" s="3"/>
      <c r="B1907" s="3"/>
      <c r="C1907" s="3"/>
      <c r="D1907" s="3"/>
      <c r="E1907" s="3"/>
      <c r="F1907" s="3"/>
      <c r="G1907" s="3"/>
      <c r="H1907" s="11"/>
      <c r="I1907" s="12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14"/>
      <c r="X1907" s="3"/>
      <c r="Y1907" s="14"/>
      <c r="Z1907" s="3"/>
      <c r="AA1907" s="3"/>
      <c r="AB1907" s="3"/>
      <c r="AC1907" s="3"/>
      <c r="AD1907" s="3"/>
      <c r="AE1907" s="3"/>
      <c r="AF1907" s="3"/>
      <c r="AG1907" s="3"/>
      <c r="AH1907" s="3"/>
    </row>
    <row r="1908" spans="1:34" ht="14.25" customHeight="1" x14ac:dyDescent="0.25">
      <c r="A1908" s="3"/>
      <c r="B1908" s="3"/>
      <c r="C1908" s="3"/>
      <c r="D1908" s="3"/>
      <c r="E1908" s="3"/>
      <c r="F1908" s="3"/>
      <c r="G1908" s="3"/>
      <c r="H1908" s="11"/>
      <c r="I1908" s="12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14"/>
      <c r="X1908" s="3"/>
      <c r="Y1908" s="14"/>
      <c r="Z1908" s="3"/>
      <c r="AA1908" s="3"/>
      <c r="AB1908" s="3"/>
      <c r="AC1908" s="3"/>
      <c r="AD1908" s="3"/>
      <c r="AE1908" s="3"/>
      <c r="AF1908" s="3"/>
      <c r="AG1908" s="3"/>
      <c r="AH1908" s="3"/>
    </row>
    <row r="1909" spans="1:34" ht="14.25" customHeight="1" x14ac:dyDescent="0.25">
      <c r="A1909" s="3"/>
      <c r="B1909" s="3"/>
      <c r="C1909" s="3"/>
      <c r="D1909" s="3"/>
      <c r="E1909" s="3"/>
      <c r="F1909" s="3"/>
      <c r="G1909" s="3"/>
      <c r="H1909" s="11"/>
      <c r="I1909" s="12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14"/>
      <c r="X1909" s="3"/>
      <c r="Y1909" s="14"/>
      <c r="Z1909" s="3"/>
      <c r="AA1909" s="3"/>
      <c r="AB1909" s="3"/>
      <c r="AC1909" s="3"/>
      <c r="AD1909" s="3"/>
      <c r="AE1909" s="3"/>
      <c r="AF1909" s="3"/>
      <c r="AG1909" s="3"/>
      <c r="AH1909" s="3"/>
    </row>
    <row r="1910" spans="1:34" ht="14.25" customHeight="1" x14ac:dyDescent="0.25">
      <c r="A1910" s="3"/>
      <c r="B1910" s="3"/>
      <c r="C1910" s="3"/>
      <c r="D1910" s="3"/>
      <c r="E1910" s="3"/>
      <c r="F1910" s="3"/>
      <c r="G1910" s="14"/>
      <c r="H1910" s="11"/>
      <c r="I1910" s="12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14"/>
      <c r="X1910" s="3"/>
      <c r="Y1910" s="14"/>
      <c r="Z1910" s="3"/>
      <c r="AA1910" s="3"/>
      <c r="AB1910" s="3"/>
      <c r="AC1910" s="3"/>
      <c r="AD1910" s="3"/>
      <c r="AE1910" s="3"/>
      <c r="AF1910" s="3"/>
      <c r="AG1910" s="3"/>
      <c r="AH1910" s="3"/>
    </row>
    <row r="1911" spans="1:34" ht="14.25" customHeight="1" x14ac:dyDescent="0.25">
      <c r="A1911" s="3"/>
      <c r="B1911" s="3"/>
      <c r="C1911" s="3"/>
      <c r="D1911" s="3"/>
      <c r="E1911" s="3"/>
      <c r="F1911" s="3"/>
      <c r="G1911" s="3"/>
      <c r="H1911" s="11"/>
      <c r="I1911" s="12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14"/>
      <c r="X1911" s="3"/>
      <c r="Y1911" s="14"/>
      <c r="Z1911" s="3"/>
      <c r="AA1911" s="3"/>
      <c r="AB1911" s="3"/>
      <c r="AC1911" s="3"/>
      <c r="AD1911" s="3"/>
      <c r="AE1911" s="3"/>
      <c r="AF1911" s="3"/>
      <c r="AG1911" s="3"/>
      <c r="AH1911" s="3"/>
    </row>
    <row r="1912" spans="1:34" ht="14.25" customHeight="1" x14ac:dyDescent="0.25">
      <c r="A1912" s="3"/>
      <c r="B1912" s="3"/>
      <c r="C1912" s="3"/>
      <c r="D1912" s="3"/>
      <c r="E1912" s="3"/>
      <c r="F1912" s="3"/>
      <c r="G1912" s="14"/>
      <c r="H1912" s="11"/>
      <c r="I1912" s="12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14"/>
      <c r="X1912" s="3"/>
      <c r="Y1912" s="14"/>
      <c r="Z1912" s="3"/>
      <c r="AA1912" s="3"/>
      <c r="AB1912" s="3"/>
      <c r="AC1912" s="3"/>
      <c r="AD1912" s="3"/>
      <c r="AE1912" s="3"/>
      <c r="AF1912" s="3"/>
      <c r="AG1912" s="3"/>
      <c r="AH1912" s="3"/>
    </row>
    <row r="1913" spans="1:34" ht="14.25" customHeight="1" x14ac:dyDescent="0.25">
      <c r="A1913" s="3"/>
      <c r="B1913" s="3"/>
      <c r="C1913" s="3"/>
      <c r="D1913" s="3"/>
      <c r="E1913" s="3"/>
      <c r="F1913" s="3"/>
      <c r="G1913" s="3"/>
      <c r="H1913" s="11"/>
      <c r="I1913" s="12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14"/>
      <c r="X1913" s="3"/>
      <c r="Y1913" s="14"/>
      <c r="Z1913" s="3"/>
      <c r="AA1913" s="3"/>
      <c r="AB1913" s="3"/>
      <c r="AC1913" s="3"/>
      <c r="AD1913" s="3"/>
      <c r="AE1913" s="3"/>
      <c r="AF1913" s="3"/>
      <c r="AG1913" s="3"/>
      <c r="AH1913" s="3"/>
    </row>
    <row r="1914" spans="1:34" ht="14.25" customHeight="1" x14ac:dyDescent="0.25">
      <c r="A1914" s="3"/>
      <c r="B1914" s="3"/>
      <c r="C1914" s="3"/>
      <c r="D1914" s="3"/>
      <c r="E1914" s="3"/>
      <c r="F1914" s="3"/>
      <c r="G1914" s="3"/>
      <c r="H1914" s="11"/>
      <c r="I1914" s="12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14"/>
      <c r="X1914" s="3"/>
      <c r="Y1914" s="14"/>
      <c r="Z1914" s="3"/>
      <c r="AA1914" s="3"/>
      <c r="AB1914" s="3"/>
      <c r="AC1914" s="3"/>
      <c r="AD1914" s="3"/>
      <c r="AE1914" s="3"/>
      <c r="AF1914" s="3"/>
      <c r="AG1914" s="3"/>
      <c r="AH1914" s="3"/>
    </row>
    <row r="1915" spans="1:34" ht="14.25" customHeight="1" x14ac:dyDescent="0.25">
      <c r="A1915" s="3"/>
      <c r="B1915" s="3"/>
      <c r="C1915" s="3"/>
      <c r="D1915" s="3"/>
      <c r="E1915" s="3"/>
      <c r="F1915" s="3"/>
      <c r="G1915" s="3"/>
      <c r="H1915" s="11"/>
      <c r="I1915" s="12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14"/>
      <c r="X1915" s="3"/>
      <c r="Y1915" s="14"/>
      <c r="Z1915" s="3"/>
      <c r="AA1915" s="3"/>
      <c r="AB1915" s="3"/>
      <c r="AC1915" s="3"/>
      <c r="AD1915" s="3"/>
      <c r="AE1915" s="3"/>
      <c r="AF1915" s="3"/>
      <c r="AG1915" s="3"/>
      <c r="AH1915" s="3"/>
    </row>
    <row r="1916" spans="1:34" ht="14.25" customHeight="1" x14ac:dyDescent="0.25">
      <c r="A1916" s="3"/>
      <c r="B1916" s="3"/>
      <c r="C1916" s="3"/>
      <c r="D1916" s="3"/>
      <c r="E1916" s="3"/>
      <c r="F1916" s="3"/>
      <c r="G1916" s="3"/>
      <c r="H1916" s="11"/>
      <c r="I1916" s="12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14"/>
      <c r="X1916" s="3"/>
      <c r="Y1916" s="14"/>
      <c r="Z1916" s="3"/>
      <c r="AA1916" s="3"/>
      <c r="AB1916" s="3"/>
      <c r="AC1916" s="3"/>
      <c r="AD1916" s="3"/>
      <c r="AE1916" s="3"/>
      <c r="AF1916" s="3"/>
      <c r="AG1916" s="3"/>
      <c r="AH1916" s="3"/>
    </row>
    <row r="1917" spans="1:34" ht="14.25" customHeight="1" x14ac:dyDescent="0.25">
      <c r="A1917" s="3"/>
      <c r="B1917" s="3"/>
      <c r="C1917" s="3"/>
      <c r="D1917" s="3"/>
      <c r="E1917" s="3"/>
      <c r="F1917" s="3"/>
      <c r="G1917" s="14"/>
      <c r="H1917" s="11"/>
      <c r="I1917" s="12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14"/>
      <c r="X1917" s="3"/>
      <c r="Y1917" s="14"/>
      <c r="Z1917" s="3"/>
      <c r="AA1917" s="3"/>
      <c r="AB1917" s="3"/>
      <c r="AC1917" s="3"/>
      <c r="AD1917" s="3"/>
      <c r="AE1917" s="3"/>
      <c r="AF1917" s="3"/>
      <c r="AG1917" s="3"/>
      <c r="AH1917" s="3"/>
    </row>
    <row r="1918" spans="1:34" ht="14.25" customHeight="1" x14ac:dyDescent="0.25">
      <c r="A1918" s="3"/>
      <c r="B1918" s="3"/>
      <c r="C1918" s="3"/>
      <c r="D1918" s="3"/>
      <c r="E1918" s="3"/>
      <c r="F1918" s="3"/>
      <c r="G1918" s="3"/>
      <c r="H1918" s="11"/>
      <c r="I1918" s="12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14"/>
      <c r="X1918" s="3"/>
      <c r="Y1918" s="14"/>
      <c r="Z1918" s="3"/>
      <c r="AA1918" s="3"/>
      <c r="AB1918" s="3"/>
      <c r="AC1918" s="3"/>
      <c r="AD1918" s="3"/>
      <c r="AE1918" s="3"/>
      <c r="AF1918" s="3"/>
      <c r="AG1918" s="3"/>
      <c r="AH1918" s="3"/>
    </row>
    <row r="1919" spans="1:34" ht="14.25" customHeight="1" x14ac:dyDescent="0.25">
      <c r="A1919" s="3"/>
      <c r="B1919" s="3"/>
      <c r="C1919" s="3"/>
      <c r="D1919" s="3"/>
      <c r="E1919" s="3"/>
      <c r="F1919" s="3"/>
      <c r="G1919" s="3"/>
      <c r="H1919" s="11"/>
      <c r="I1919" s="12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14"/>
      <c r="X1919" s="3"/>
      <c r="Y1919" s="14"/>
      <c r="Z1919" s="3"/>
      <c r="AA1919" s="3"/>
      <c r="AB1919" s="3"/>
      <c r="AC1919" s="3"/>
      <c r="AD1919" s="3"/>
      <c r="AE1919" s="3"/>
      <c r="AF1919" s="3"/>
      <c r="AG1919" s="3"/>
      <c r="AH1919" s="3"/>
    </row>
    <row r="1920" spans="1:34" ht="14.25" customHeight="1" x14ac:dyDescent="0.25">
      <c r="A1920" s="3"/>
      <c r="B1920" s="3"/>
      <c r="C1920" s="3"/>
      <c r="D1920" s="3"/>
      <c r="E1920" s="3"/>
      <c r="F1920" s="3"/>
      <c r="G1920" s="3"/>
      <c r="H1920" s="11"/>
      <c r="I1920" s="12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14"/>
      <c r="X1920" s="3"/>
      <c r="Y1920" s="14"/>
      <c r="Z1920" s="3"/>
      <c r="AA1920" s="3"/>
      <c r="AB1920" s="3"/>
      <c r="AC1920" s="3"/>
      <c r="AD1920" s="3"/>
      <c r="AE1920" s="3"/>
      <c r="AF1920" s="3"/>
      <c r="AG1920" s="3"/>
      <c r="AH1920" s="3"/>
    </row>
    <row r="1921" spans="1:34" ht="14.25" customHeight="1" x14ac:dyDescent="0.25">
      <c r="A1921" s="3"/>
      <c r="B1921" s="3"/>
      <c r="C1921" s="3"/>
      <c r="D1921" s="3"/>
      <c r="E1921" s="3"/>
      <c r="F1921" s="3"/>
      <c r="G1921" s="3"/>
      <c r="H1921" s="11"/>
      <c r="I1921" s="12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14"/>
      <c r="X1921" s="3"/>
      <c r="Y1921" s="14"/>
      <c r="Z1921" s="3"/>
      <c r="AA1921" s="3"/>
      <c r="AB1921" s="3"/>
      <c r="AC1921" s="3"/>
      <c r="AD1921" s="3"/>
      <c r="AE1921" s="3"/>
      <c r="AF1921" s="3"/>
      <c r="AG1921" s="3"/>
      <c r="AH1921" s="3"/>
    </row>
    <row r="1922" spans="1:34" ht="14.25" customHeight="1" x14ac:dyDescent="0.25">
      <c r="A1922" s="3"/>
      <c r="B1922" s="3"/>
      <c r="C1922" s="3"/>
      <c r="D1922" s="3"/>
      <c r="E1922" s="3"/>
      <c r="F1922" s="3"/>
      <c r="G1922" s="3"/>
      <c r="H1922" s="11"/>
      <c r="I1922" s="12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14"/>
      <c r="X1922" s="3"/>
      <c r="Y1922" s="14"/>
      <c r="Z1922" s="3"/>
      <c r="AA1922" s="3"/>
      <c r="AB1922" s="3"/>
      <c r="AC1922" s="3"/>
      <c r="AD1922" s="3"/>
      <c r="AE1922" s="3"/>
      <c r="AF1922" s="3"/>
      <c r="AG1922" s="3"/>
      <c r="AH1922" s="3"/>
    </row>
    <row r="1923" spans="1:34" ht="14.25" customHeight="1" x14ac:dyDescent="0.25">
      <c r="A1923" s="3"/>
      <c r="B1923" s="3"/>
      <c r="C1923" s="3"/>
      <c r="D1923" s="3"/>
      <c r="E1923" s="3"/>
      <c r="F1923" s="3"/>
      <c r="G1923" s="3"/>
      <c r="H1923" s="11"/>
      <c r="I1923" s="12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14"/>
      <c r="X1923" s="3"/>
      <c r="Y1923" s="14"/>
      <c r="Z1923" s="3"/>
      <c r="AA1923" s="3"/>
      <c r="AB1923" s="3"/>
      <c r="AC1923" s="3"/>
      <c r="AD1923" s="3"/>
      <c r="AE1923" s="3"/>
      <c r="AF1923" s="3"/>
      <c r="AG1923" s="3"/>
      <c r="AH1923" s="3"/>
    </row>
    <row r="1924" spans="1:34" ht="14.25" customHeight="1" x14ac:dyDescent="0.25">
      <c r="A1924" s="3"/>
      <c r="B1924" s="3"/>
      <c r="C1924" s="3"/>
      <c r="D1924" s="3"/>
      <c r="E1924" s="3"/>
      <c r="F1924" s="3"/>
      <c r="G1924" s="3"/>
      <c r="H1924" s="11"/>
      <c r="I1924" s="12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14"/>
      <c r="X1924" s="3"/>
      <c r="Y1924" s="14"/>
      <c r="Z1924" s="3"/>
      <c r="AA1924" s="3"/>
      <c r="AB1924" s="3"/>
      <c r="AC1924" s="3"/>
      <c r="AD1924" s="3"/>
      <c r="AE1924" s="3"/>
      <c r="AF1924" s="3"/>
      <c r="AG1924" s="3"/>
      <c r="AH1924" s="3"/>
    </row>
    <row r="1925" spans="1:34" ht="14.25" customHeight="1" x14ac:dyDescent="0.25">
      <c r="A1925" s="3"/>
      <c r="B1925" s="3"/>
      <c r="C1925" s="3"/>
      <c r="D1925" s="3"/>
      <c r="E1925" s="3"/>
      <c r="F1925" s="3"/>
      <c r="G1925" s="3"/>
      <c r="H1925" s="11"/>
      <c r="I1925" s="12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14"/>
      <c r="X1925" s="3"/>
      <c r="Y1925" s="14"/>
      <c r="Z1925" s="3"/>
      <c r="AA1925" s="3"/>
      <c r="AB1925" s="3"/>
      <c r="AC1925" s="3"/>
      <c r="AD1925" s="3"/>
      <c r="AE1925" s="3"/>
      <c r="AF1925" s="3"/>
      <c r="AG1925" s="3"/>
      <c r="AH1925" s="3"/>
    </row>
    <row r="1926" spans="1:34" ht="14.25" customHeight="1" x14ac:dyDescent="0.25">
      <c r="A1926" s="3"/>
      <c r="B1926" s="3"/>
      <c r="C1926" s="3"/>
      <c r="D1926" s="3"/>
      <c r="E1926" s="3"/>
      <c r="F1926" s="3"/>
      <c r="G1926" s="3"/>
      <c r="H1926" s="11"/>
      <c r="I1926" s="12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14"/>
      <c r="X1926" s="3"/>
      <c r="Y1926" s="14"/>
      <c r="Z1926" s="3"/>
      <c r="AA1926" s="3"/>
      <c r="AB1926" s="3"/>
      <c r="AC1926" s="3"/>
      <c r="AD1926" s="3"/>
      <c r="AE1926" s="3"/>
      <c r="AF1926" s="3"/>
      <c r="AG1926" s="3"/>
      <c r="AH1926" s="3"/>
    </row>
    <row r="1927" spans="1:34" ht="14.25" customHeight="1" x14ac:dyDescent="0.25">
      <c r="A1927" s="3"/>
      <c r="B1927" s="3"/>
      <c r="C1927" s="3"/>
      <c r="D1927" s="3"/>
      <c r="E1927" s="3"/>
      <c r="F1927" s="3"/>
      <c r="G1927" s="3"/>
      <c r="H1927" s="11"/>
      <c r="I1927" s="12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14"/>
      <c r="X1927" s="3"/>
      <c r="Y1927" s="14"/>
      <c r="Z1927" s="3"/>
      <c r="AA1927" s="3"/>
      <c r="AB1927" s="3"/>
      <c r="AC1927" s="3"/>
      <c r="AD1927" s="3"/>
      <c r="AE1927" s="3"/>
      <c r="AF1927" s="3"/>
      <c r="AG1927" s="3"/>
      <c r="AH1927" s="3"/>
    </row>
    <row r="1928" spans="1:34" ht="14.25" customHeight="1" x14ac:dyDescent="0.25">
      <c r="A1928" s="3"/>
      <c r="B1928" s="3"/>
      <c r="C1928" s="3"/>
      <c r="D1928" s="3"/>
      <c r="E1928" s="3"/>
      <c r="F1928" s="3"/>
      <c r="G1928" s="3"/>
      <c r="H1928" s="11"/>
      <c r="I1928" s="12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14"/>
      <c r="X1928" s="3"/>
      <c r="Y1928" s="14"/>
      <c r="Z1928" s="3"/>
      <c r="AA1928" s="3"/>
      <c r="AB1928" s="3"/>
      <c r="AC1928" s="3"/>
      <c r="AD1928" s="3"/>
      <c r="AE1928" s="3"/>
      <c r="AF1928" s="3"/>
      <c r="AG1928" s="3"/>
      <c r="AH1928" s="3"/>
    </row>
    <row r="1929" spans="1:34" ht="14.25" customHeight="1" x14ac:dyDescent="0.25">
      <c r="A1929" s="3"/>
      <c r="B1929" s="3"/>
      <c r="C1929" s="3"/>
      <c r="D1929" s="3"/>
      <c r="E1929" s="3"/>
      <c r="F1929" s="3"/>
      <c r="G1929" s="14"/>
      <c r="H1929" s="11"/>
      <c r="I1929" s="12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14"/>
      <c r="X1929" s="3"/>
      <c r="Y1929" s="14"/>
      <c r="Z1929" s="3"/>
      <c r="AA1929" s="3"/>
      <c r="AB1929" s="3"/>
      <c r="AC1929" s="3"/>
      <c r="AD1929" s="3"/>
      <c r="AE1929" s="3"/>
      <c r="AF1929" s="3"/>
      <c r="AG1929" s="3"/>
      <c r="AH1929" s="3"/>
    </row>
    <row r="1930" spans="1:34" ht="14.25" customHeight="1" x14ac:dyDescent="0.25">
      <c r="A1930" s="3"/>
      <c r="B1930" s="3"/>
      <c r="C1930" s="3"/>
      <c r="D1930" s="3"/>
      <c r="E1930" s="3"/>
      <c r="F1930" s="3"/>
      <c r="G1930" s="3"/>
      <c r="H1930" s="11"/>
      <c r="I1930" s="12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14"/>
      <c r="X1930" s="3"/>
      <c r="Y1930" s="14"/>
      <c r="Z1930" s="3"/>
      <c r="AA1930" s="3"/>
      <c r="AB1930" s="3"/>
      <c r="AC1930" s="3"/>
      <c r="AD1930" s="3"/>
      <c r="AE1930" s="3"/>
      <c r="AF1930" s="3"/>
      <c r="AG1930" s="3"/>
      <c r="AH1930" s="3"/>
    </row>
    <row r="1931" spans="1:34" ht="14.25" customHeight="1" x14ac:dyDescent="0.25">
      <c r="A1931" s="3"/>
      <c r="B1931" s="3"/>
      <c r="C1931" s="3"/>
      <c r="D1931" s="3"/>
      <c r="E1931" s="3"/>
      <c r="F1931" s="3"/>
      <c r="G1931" s="14"/>
      <c r="H1931" s="11"/>
      <c r="I1931" s="12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14"/>
      <c r="X1931" s="3"/>
      <c r="Y1931" s="14"/>
      <c r="Z1931" s="3"/>
      <c r="AA1931" s="3"/>
      <c r="AB1931" s="3"/>
      <c r="AC1931" s="3"/>
      <c r="AD1931" s="3"/>
      <c r="AE1931" s="3"/>
      <c r="AF1931" s="3"/>
      <c r="AG1931" s="3"/>
      <c r="AH1931" s="3"/>
    </row>
    <row r="1932" spans="1:34" ht="14.25" customHeight="1" x14ac:dyDescent="0.25">
      <c r="A1932" s="3"/>
      <c r="B1932" s="3"/>
      <c r="C1932" s="3"/>
      <c r="D1932" s="3"/>
      <c r="E1932" s="3"/>
      <c r="F1932" s="3"/>
      <c r="G1932" s="3"/>
      <c r="H1932" s="11"/>
      <c r="I1932" s="12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14"/>
      <c r="X1932" s="3"/>
      <c r="Y1932" s="14"/>
      <c r="Z1932" s="3"/>
      <c r="AA1932" s="3"/>
      <c r="AB1932" s="3"/>
      <c r="AC1932" s="3"/>
      <c r="AD1932" s="3"/>
      <c r="AE1932" s="3"/>
      <c r="AF1932" s="3"/>
      <c r="AG1932" s="3"/>
      <c r="AH1932" s="3"/>
    </row>
    <row r="1933" spans="1:34" ht="14.25" customHeight="1" x14ac:dyDescent="0.25">
      <c r="A1933" s="3"/>
      <c r="B1933" s="3"/>
      <c r="C1933" s="3"/>
      <c r="D1933" s="3"/>
      <c r="E1933" s="3"/>
      <c r="F1933" s="3"/>
      <c r="G1933" s="3"/>
      <c r="H1933" s="11"/>
      <c r="I1933" s="12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14"/>
      <c r="X1933" s="3"/>
      <c r="Y1933" s="14"/>
      <c r="Z1933" s="3"/>
      <c r="AA1933" s="3"/>
      <c r="AB1933" s="3"/>
      <c r="AC1933" s="3"/>
      <c r="AD1933" s="3"/>
      <c r="AE1933" s="3"/>
      <c r="AF1933" s="3"/>
      <c r="AG1933" s="3"/>
      <c r="AH1933" s="3"/>
    </row>
    <row r="1934" spans="1:34" ht="14.25" customHeight="1" x14ac:dyDescent="0.25">
      <c r="A1934" s="3"/>
      <c r="B1934" s="3"/>
      <c r="C1934" s="3"/>
      <c r="D1934" s="3"/>
      <c r="E1934" s="3"/>
      <c r="F1934" s="3"/>
      <c r="G1934" s="3"/>
      <c r="H1934" s="11"/>
      <c r="I1934" s="12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14"/>
      <c r="X1934" s="3"/>
      <c r="Y1934" s="14"/>
      <c r="Z1934" s="3"/>
      <c r="AA1934" s="3"/>
      <c r="AB1934" s="3"/>
      <c r="AC1934" s="3"/>
      <c r="AD1934" s="3"/>
      <c r="AE1934" s="3"/>
      <c r="AF1934" s="3"/>
      <c r="AG1934" s="3"/>
      <c r="AH1934" s="3"/>
    </row>
    <row r="1935" spans="1:34" ht="14.25" customHeight="1" x14ac:dyDescent="0.25">
      <c r="A1935" s="3"/>
      <c r="B1935" s="3"/>
      <c r="C1935" s="3"/>
      <c r="D1935" s="3"/>
      <c r="E1935" s="3"/>
      <c r="F1935" s="3"/>
      <c r="G1935" s="3"/>
      <c r="H1935" s="11"/>
      <c r="I1935" s="12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14"/>
      <c r="X1935" s="3"/>
      <c r="Y1935" s="14"/>
      <c r="Z1935" s="3"/>
      <c r="AA1935" s="3"/>
      <c r="AB1935" s="3"/>
      <c r="AC1935" s="3"/>
      <c r="AD1935" s="3"/>
      <c r="AE1935" s="3"/>
      <c r="AF1935" s="3"/>
      <c r="AG1935" s="3"/>
      <c r="AH1935" s="3"/>
    </row>
    <row r="1936" spans="1:34" ht="14.25" customHeight="1" x14ac:dyDescent="0.25">
      <c r="A1936" s="3"/>
      <c r="B1936" s="3"/>
      <c r="C1936" s="3"/>
      <c r="D1936" s="3"/>
      <c r="E1936" s="3"/>
      <c r="F1936" s="3"/>
      <c r="G1936" s="3"/>
      <c r="H1936" s="11"/>
      <c r="I1936" s="12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14"/>
      <c r="X1936" s="3"/>
      <c r="Y1936" s="14"/>
      <c r="Z1936" s="3"/>
      <c r="AA1936" s="3"/>
      <c r="AB1936" s="3"/>
      <c r="AC1936" s="3"/>
      <c r="AD1936" s="3"/>
      <c r="AE1936" s="3"/>
      <c r="AF1936" s="3"/>
      <c r="AG1936" s="3"/>
      <c r="AH1936" s="3"/>
    </row>
    <row r="1937" spans="1:34" ht="14.25" customHeight="1" x14ac:dyDescent="0.25">
      <c r="A1937" s="3"/>
      <c r="B1937" s="3"/>
      <c r="C1937" s="3"/>
      <c r="D1937" s="3"/>
      <c r="E1937" s="3"/>
      <c r="F1937" s="3"/>
      <c r="G1937" s="3"/>
      <c r="H1937" s="11"/>
      <c r="I1937" s="12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14"/>
      <c r="X1937" s="3"/>
      <c r="Y1937" s="14"/>
      <c r="Z1937" s="3"/>
      <c r="AA1937" s="3"/>
      <c r="AB1937" s="3"/>
      <c r="AC1937" s="3"/>
      <c r="AD1937" s="3"/>
      <c r="AE1937" s="3"/>
      <c r="AF1937" s="3"/>
      <c r="AG1937" s="3"/>
      <c r="AH1937" s="3"/>
    </row>
    <row r="1938" spans="1:34" ht="14.25" customHeight="1" x14ac:dyDescent="0.25">
      <c r="A1938" s="3"/>
      <c r="B1938" s="3"/>
      <c r="C1938" s="3"/>
      <c r="D1938" s="3"/>
      <c r="E1938" s="3"/>
      <c r="F1938" s="3"/>
      <c r="G1938" s="3"/>
      <c r="H1938" s="11"/>
      <c r="I1938" s="12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14"/>
      <c r="X1938" s="3"/>
      <c r="Y1938" s="14"/>
      <c r="Z1938" s="3"/>
      <c r="AA1938" s="3"/>
      <c r="AB1938" s="3"/>
      <c r="AC1938" s="3"/>
      <c r="AD1938" s="3"/>
      <c r="AE1938" s="3"/>
      <c r="AF1938" s="3"/>
      <c r="AG1938" s="3"/>
      <c r="AH1938" s="3"/>
    </row>
    <row r="1939" spans="1:34" ht="14.25" customHeight="1" x14ac:dyDescent="0.25">
      <c r="A1939" s="3"/>
      <c r="B1939" s="3"/>
      <c r="C1939" s="3"/>
      <c r="D1939" s="3"/>
      <c r="E1939" s="3"/>
      <c r="F1939" s="3"/>
      <c r="G1939" s="3"/>
      <c r="H1939" s="11"/>
      <c r="I1939" s="12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14"/>
      <c r="X1939" s="3"/>
      <c r="Y1939" s="14"/>
      <c r="Z1939" s="3"/>
      <c r="AA1939" s="3"/>
      <c r="AB1939" s="3"/>
      <c r="AC1939" s="3"/>
      <c r="AD1939" s="3"/>
      <c r="AE1939" s="3"/>
      <c r="AF1939" s="3"/>
      <c r="AG1939" s="3"/>
      <c r="AH1939" s="3"/>
    </row>
    <row r="1940" spans="1:34" ht="14.25" customHeight="1" x14ac:dyDescent="0.25">
      <c r="A1940" s="3"/>
      <c r="B1940" s="3"/>
      <c r="C1940" s="3"/>
      <c r="D1940" s="3"/>
      <c r="E1940" s="3"/>
      <c r="F1940" s="3"/>
      <c r="G1940" s="3"/>
      <c r="H1940" s="11"/>
      <c r="I1940" s="12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14"/>
      <c r="X1940" s="3"/>
      <c r="Y1940" s="14"/>
      <c r="Z1940" s="3"/>
      <c r="AA1940" s="3"/>
      <c r="AB1940" s="3"/>
      <c r="AC1940" s="3"/>
      <c r="AD1940" s="3"/>
      <c r="AE1940" s="3"/>
      <c r="AF1940" s="3"/>
      <c r="AG1940" s="3"/>
      <c r="AH1940" s="3"/>
    </row>
    <row r="1941" spans="1:34" ht="14.25" customHeight="1" x14ac:dyDescent="0.25">
      <c r="A1941" s="3"/>
      <c r="B1941" s="3"/>
      <c r="C1941" s="3"/>
      <c r="D1941" s="3"/>
      <c r="E1941" s="3"/>
      <c r="F1941" s="3"/>
      <c r="G1941" s="3"/>
      <c r="H1941" s="11"/>
      <c r="I1941" s="12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14"/>
      <c r="X1941" s="3"/>
      <c r="Y1941" s="14"/>
      <c r="Z1941" s="3"/>
      <c r="AA1941" s="3"/>
      <c r="AB1941" s="3"/>
      <c r="AC1941" s="3"/>
      <c r="AD1941" s="3"/>
      <c r="AE1941" s="3"/>
      <c r="AF1941" s="3"/>
      <c r="AG1941" s="3"/>
      <c r="AH1941" s="3"/>
    </row>
    <row r="1942" spans="1:34" ht="14.25" customHeight="1" x14ac:dyDescent="0.25">
      <c r="A1942" s="3"/>
      <c r="B1942" s="3"/>
      <c r="C1942" s="3"/>
      <c r="D1942" s="3"/>
      <c r="E1942" s="3"/>
      <c r="F1942" s="3"/>
      <c r="G1942" s="3"/>
      <c r="H1942" s="11"/>
      <c r="I1942" s="12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14"/>
      <c r="X1942" s="3"/>
      <c r="Y1942" s="14"/>
      <c r="Z1942" s="3"/>
      <c r="AA1942" s="3"/>
      <c r="AB1942" s="3"/>
      <c r="AC1942" s="3"/>
      <c r="AD1942" s="3"/>
      <c r="AE1942" s="3"/>
      <c r="AF1942" s="3"/>
      <c r="AG1942" s="3"/>
      <c r="AH1942" s="3"/>
    </row>
    <row r="1943" spans="1:34" ht="14.25" customHeight="1" x14ac:dyDescent="0.25">
      <c r="A1943" s="3"/>
      <c r="B1943" s="3"/>
      <c r="C1943" s="3"/>
      <c r="D1943" s="3"/>
      <c r="E1943" s="3"/>
      <c r="F1943" s="3"/>
      <c r="G1943" s="3"/>
      <c r="H1943" s="11"/>
      <c r="I1943" s="12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14"/>
      <c r="X1943" s="3"/>
      <c r="Y1943" s="14"/>
      <c r="Z1943" s="3"/>
      <c r="AA1943" s="3"/>
      <c r="AB1943" s="3"/>
      <c r="AC1943" s="3"/>
      <c r="AD1943" s="3"/>
      <c r="AE1943" s="3"/>
      <c r="AF1943" s="3"/>
      <c r="AG1943" s="3"/>
      <c r="AH1943" s="3"/>
    </row>
    <row r="1944" spans="1:34" ht="14.25" customHeight="1" x14ac:dyDescent="0.25">
      <c r="A1944" s="3"/>
      <c r="B1944" s="3"/>
      <c r="C1944" s="3"/>
      <c r="D1944" s="3"/>
      <c r="E1944" s="3"/>
      <c r="F1944" s="3"/>
      <c r="G1944" s="3"/>
      <c r="H1944" s="11"/>
      <c r="I1944" s="12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14"/>
      <c r="X1944" s="3"/>
      <c r="Y1944" s="14"/>
      <c r="Z1944" s="3"/>
      <c r="AA1944" s="3"/>
      <c r="AB1944" s="3"/>
      <c r="AC1944" s="3"/>
      <c r="AD1944" s="3"/>
      <c r="AE1944" s="3"/>
      <c r="AF1944" s="3"/>
      <c r="AG1944" s="3"/>
      <c r="AH1944" s="3"/>
    </row>
    <row r="1945" spans="1:34" ht="14.25" customHeight="1" x14ac:dyDescent="0.25">
      <c r="A1945" s="3"/>
      <c r="B1945" s="3"/>
      <c r="C1945" s="3"/>
      <c r="D1945" s="3"/>
      <c r="E1945" s="3"/>
      <c r="F1945" s="3"/>
      <c r="G1945" s="3"/>
      <c r="H1945" s="11"/>
      <c r="I1945" s="12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14"/>
      <c r="X1945" s="3"/>
      <c r="Y1945" s="14"/>
      <c r="Z1945" s="3"/>
      <c r="AA1945" s="3"/>
      <c r="AB1945" s="3"/>
      <c r="AC1945" s="3"/>
      <c r="AD1945" s="3"/>
      <c r="AE1945" s="3"/>
      <c r="AF1945" s="3"/>
      <c r="AG1945" s="3"/>
      <c r="AH1945" s="3"/>
    </row>
    <row r="1946" spans="1:34" ht="14.25" customHeight="1" x14ac:dyDescent="0.25">
      <c r="A1946" s="3"/>
      <c r="B1946" s="3"/>
      <c r="C1946" s="3"/>
      <c r="D1946" s="3"/>
      <c r="E1946" s="3"/>
      <c r="F1946" s="3"/>
      <c r="G1946" s="3"/>
      <c r="H1946" s="11"/>
      <c r="I1946" s="12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14"/>
      <c r="X1946" s="3"/>
      <c r="Y1946" s="14"/>
      <c r="Z1946" s="3"/>
      <c r="AA1946" s="3"/>
      <c r="AB1946" s="3"/>
      <c r="AC1946" s="3"/>
      <c r="AD1946" s="3"/>
      <c r="AE1946" s="3"/>
      <c r="AF1946" s="3"/>
      <c r="AG1946" s="3"/>
      <c r="AH1946" s="3"/>
    </row>
    <row r="1947" spans="1:34" ht="14.25" customHeight="1" x14ac:dyDescent="0.25">
      <c r="A1947" s="3"/>
      <c r="B1947" s="3"/>
      <c r="C1947" s="3"/>
      <c r="D1947" s="3"/>
      <c r="E1947" s="3"/>
      <c r="F1947" s="3"/>
      <c r="G1947" s="3"/>
      <c r="H1947" s="11"/>
      <c r="I1947" s="12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14"/>
      <c r="X1947" s="3"/>
      <c r="Y1947" s="14"/>
      <c r="Z1947" s="3"/>
      <c r="AA1947" s="3"/>
      <c r="AB1947" s="3"/>
      <c r="AC1947" s="3"/>
      <c r="AD1947" s="3"/>
      <c r="AE1947" s="3"/>
      <c r="AF1947" s="3"/>
      <c r="AG1947" s="3"/>
      <c r="AH1947" s="3"/>
    </row>
    <row r="1948" spans="1:34" ht="14.25" customHeight="1" x14ac:dyDescent="0.25">
      <c r="A1948" s="3"/>
      <c r="B1948" s="3"/>
      <c r="C1948" s="3"/>
      <c r="D1948" s="3"/>
      <c r="E1948" s="3"/>
      <c r="F1948" s="3"/>
      <c r="G1948" s="3"/>
      <c r="H1948" s="11"/>
      <c r="I1948" s="12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14"/>
      <c r="X1948" s="3"/>
      <c r="Y1948" s="14"/>
      <c r="Z1948" s="3"/>
      <c r="AA1948" s="3"/>
      <c r="AB1948" s="3"/>
      <c r="AC1948" s="3"/>
      <c r="AD1948" s="3"/>
      <c r="AE1948" s="3"/>
      <c r="AF1948" s="3"/>
      <c r="AG1948" s="3"/>
      <c r="AH1948" s="3"/>
    </row>
    <row r="1949" spans="1:34" ht="14.25" customHeight="1" x14ac:dyDescent="0.25">
      <c r="A1949" s="3"/>
      <c r="B1949" s="3"/>
      <c r="C1949" s="3"/>
      <c r="D1949" s="3"/>
      <c r="E1949" s="3"/>
      <c r="F1949" s="3"/>
      <c r="G1949" s="3"/>
      <c r="H1949" s="11"/>
      <c r="I1949" s="12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14"/>
      <c r="X1949" s="3"/>
      <c r="Y1949" s="14"/>
      <c r="Z1949" s="3"/>
      <c r="AA1949" s="3"/>
      <c r="AB1949" s="3"/>
      <c r="AC1949" s="3"/>
      <c r="AD1949" s="3"/>
      <c r="AE1949" s="3"/>
      <c r="AF1949" s="3"/>
      <c r="AG1949" s="3"/>
      <c r="AH1949" s="3"/>
    </row>
    <row r="1950" spans="1:34" ht="14.25" customHeight="1" x14ac:dyDescent="0.25">
      <c r="A1950" s="3"/>
      <c r="B1950" s="3"/>
      <c r="C1950" s="3"/>
      <c r="D1950" s="3"/>
      <c r="E1950" s="3"/>
      <c r="F1950" s="3"/>
      <c r="G1950" s="3"/>
      <c r="H1950" s="11"/>
      <c r="I1950" s="12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14"/>
      <c r="X1950" s="3"/>
      <c r="Y1950" s="14"/>
      <c r="Z1950" s="3"/>
      <c r="AA1950" s="3"/>
      <c r="AB1950" s="3"/>
      <c r="AC1950" s="3"/>
      <c r="AD1950" s="3"/>
      <c r="AE1950" s="3"/>
      <c r="AF1950" s="3"/>
      <c r="AG1950" s="3"/>
      <c r="AH1950" s="3"/>
    </row>
    <row r="1951" spans="1:34" ht="14.25" customHeight="1" x14ac:dyDescent="0.25">
      <c r="A1951" s="3"/>
      <c r="B1951" s="3"/>
      <c r="C1951" s="3"/>
      <c r="D1951" s="3"/>
      <c r="E1951" s="3"/>
      <c r="F1951" s="3"/>
      <c r="G1951" s="3"/>
      <c r="H1951" s="11"/>
      <c r="I1951" s="12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14"/>
      <c r="X1951" s="3"/>
      <c r="Y1951" s="14"/>
      <c r="Z1951" s="3"/>
      <c r="AA1951" s="3"/>
      <c r="AB1951" s="3"/>
      <c r="AC1951" s="3"/>
      <c r="AD1951" s="3"/>
      <c r="AE1951" s="3"/>
      <c r="AF1951" s="3"/>
      <c r="AG1951" s="3"/>
      <c r="AH1951" s="3"/>
    </row>
    <row r="1952" spans="1:34" ht="14.25" customHeight="1" x14ac:dyDescent="0.25">
      <c r="A1952" s="3"/>
      <c r="B1952" s="3"/>
      <c r="C1952" s="3"/>
      <c r="D1952" s="3"/>
      <c r="E1952" s="3"/>
      <c r="F1952" s="3"/>
      <c r="G1952" s="14"/>
      <c r="H1952" s="11"/>
      <c r="I1952" s="12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14"/>
      <c r="X1952" s="3"/>
      <c r="Y1952" s="14"/>
      <c r="Z1952" s="3"/>
      <c r="AA1952" s="3"/>
      <c r="AB1952" s="3"/>
      <c r="AC1952" s="3"/>
      <c r="AD1952" s="3"/>
      <c r="AE1952" s="3"/>
      <c r="AF1952" s="3"/>
      <c r="AG1952" s="3"/>
      <c r="AH1952" s="3"/>
    </row>
    <row r="1953" spans="1:34" ht="14.25" customHeight="1" x14ac:dyDescent="0.25">
      <c r="A1953" s="3"/>
      <c r="B1953" s="3"/>
      <c r="C1953" s="3"/>
      <c r="D1953" s="3"/>
      <c r="E1953" s="3"/>
      <c r="F1953" s="3"/>
      <c r="G1953" s="3"/>
      <c r="H1953" s="11"/>
      <c r="I1953" s="12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14"/>
      <c r="X1953" s="3"/>
      <c r="Y1953" s="14"/>
      <c r="Z1953" s="3"/>
      <c r="AA1953" s="3"/>
      <c r="AB1953" s="3"/>
      <c r="AC1953" s="3"/>
      <c r="AD1953" s="3"/>
      <c r="AE1953" s="3"/>
      <c r="AF1953" s="3"/>
      <c r="AG1953" s="3"/>
      <c r="AH1953" s="3"/>
    </row>
    <row r="1954" spans="1:34" ht="14.25" customHeight="1" x14ac:dyDescent="0.25">
      <c r="A1954" s="3"/>
      <c r="B1954" s="3"/>
      <c r="C1954" s="3"/>
      <c r="D1954" s="3"/>
      <c r="E1954" s="3"/>
      <c r="F1954" s="3"/>
      <c r="G1954" s="3"/>
      <c r="H1954" s="11"/>
      <c r="I1954" s="12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14"/>
      <c r="X1954" s="3"/>
      <c r="Y1954" s="14"/>
      <c r="Z1954" s="3"/>
      <c r="AA1954" s="3"/>
      <c r="AB1954" s="3"/>
      <c r="AC1954" s="3"/>
      <c r="AD1954" s="3"/>
      <c r="AE1954" s="3"/>
      <c r="AF1954" s="3"/>
      <c r="AG1954" s="3"/>
      <c r="AH1954" s="3"/>
    </row>
    <row r="1955" spans="1:34" ht="14.25" customHeight="1" x14ac:dyDescent="0.25">
      <c r="A1955" s="3"/>
      <c r="B1955" s="3"/>
      <c r="C1955" s="3"/>
      <c r="D1955" s="3"/>
      <c r="E1955" s="3"/>
      <c r="F1955" s="3"/>
      <c r="G1955" s="14"/>
      <c r="H1955" s="11"/>
      <c r="I1955" s="12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14"/>
      <c r="X1955" s="3"/>
      <c r="Y1955" s="14"/>
      <c r="Z1955" s="3"/>
      <c r="AA1955" s="3"/>
      <c r="AB1955" s="3"/>
      <c r="AC1955" s="3"/>
      <c r="AD1955" s="3"/>
      <c r="AE1955" s="3"/>
      <c r="AF1955" s="3"/>
      <c r="AG1955" s="3"/>
      <c r="AH1955" s="3"/>
    </row>
    <row r="1956" spans="1:34" ht="14.25" customHeight="1" x14ac:dyDescent="0.25">
      <c r="A1956" s="3"/>
      <c r="B1956" s="3"/>
      <c r="C1956" s="3"/>
      <c r="D1956" s="3"/>
      <c r="E1956" s="3"/>
      <c r="F1956" s="3"/>
      <c r="G1956" s="3"/>
      <c r="H1956" s="11"/>
      <c r="I1956" s="12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14"/>
      <c r="X1956" s="3"/>
      <c r="Y1956" s="14"/>
      <c r="Z1956" s="3"/>
      <c r="AA1956" s="3"/>
      <c r="AB1956" s="3"/>
      <c r="AC1956" s="3"/>
      <c r="AD1956" s="3"/>
      <c r="AE1956" s="3"/>
      <c r="AF1956" s="3"/>
      <c r="AG1956" s="3"/>
      <c r="AH1956" s="3"/>
    </row>
    <row r="1957" spans="1:34" ht="14.25" customHeight="1" x14ac:dyDescent="0.25">
      <c r="A1957" s="3"/>
      <c r="B1957" s="3"/>
      <c r="C1957" s="3"/>
      <c r="D1957" s="3"/>
      <c r="E1957" s="3"/>
      <c r="F1957" s="3"/>
      <c r="G1957" s="3"/>
      <c r="H1957" s="11"/>
      <c r="I1957" s="12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14"/>
      <c r="X1957" s="3"/>
      <c r="Y1957" s="14"/>
      <c r="Z1957" s="3"/>
      <c r="AA1957" s="3"/>
      <c r="AB1957" s="3"/>
      <c r="AC1957" s="3"/>
      <c r="AD1957" s="3"/>
      <c r="AE1957" s="3"/>
      <c r="AF1957" s="3"/>
      <c r="AG1957" s="3"/>
      <c r="AH1957" s="3"/>
    </row>
    <row r="1958" spans="1:34" ht="14.25" customHeight="1" x14ac:dyDescent="0.25">
      <c r="A1958" s="3"/>
      <c r="B1958" s="3"/>
      <c r="C1958" s="3"/>
      <c r="D1958" s="3"/>
      <c r="E1958" s="3"/>
      <c r="F1958" s="3"/>
      <c r="G1958" s="3"/>
      <c r="H1958" s="11"/>
      <c r="I1958" s="12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14"/>
      <c r="X1958" s="3"/>
      <c r="Y1958" s="14"/>
      <c r="Z1958" s="3"/>
      <c r="AA1958" s="3"/>
      <c r="AB1958" s="3"/>
      <c r="AC1958" s="3"/>
      <c r="AD1958" s="3"/>
      <c r="AE1958" s="3"/>
      <c r="AF1958" s="3"/>
      <c r="AG1958" s="3"/>
      <c r="AH1958" s="3"/>
    </row>
    <row r="1959" spans="1:34" ht="14.25" customHeight="1" x14ac:dyDescent="0.25">
      <c r="A1959" s="3"/>
      <c r="B1959" s="3"/>
      <c r="C1959" s="3"/>
      <c r="D1959" s="3"/>
      <c r="E1959" s="3"/>
      <c r="F1959" s="3"/>
      <c r="G1959" s="3"/>
      <c r="H1959" s="11"/>
      <c r="I1959" s="12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14"/>
      <c r="X1959" s="3"/>
      <c r="Y1959" s="14"/>
      <c r="Z1959" s="3"/>
      <c r="AA1959" s="3"/>
      <c r="AB1959" s="3"/>
      <c r="AC1959" s="3"/>
      <c r="AD1959" s="3"/>
      <c r="AE1959" s="3"/>
      <c r="AF1959" s="3"/>
      <c r="AG1959" s="3"/>
      <c r="AH1959" s="3"/>
    </row>
    <row r="1960" spans="1:34" ht="14.25" customHeight="1" x14ac:dyDescent="0.25">
      <c r="A1960" s="3"/>
      <c r="B1960" s="3"/>
      <c r="C1960" s="3"/>
      <c r="D1960" s="3"/>
      <c r="E1960" s="3"/>
      <c r="F1960" s="3"/>
      <c r="G1960" s="3"/>
      <c r="H1960" s="11"/>
      <c r="I1960" s="12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14"/>
      <c r="X1960" s="3"/>
      <c r="Y1960" s="14"/>
      <c r="Z1960" s="3"/>
      <c r="AA1960" s="3"/>
      <c r="AB1960" s="3"/>
      <c r="AC1960" s="3"/>
      <c r="AD1960" s="3"/>
      <c r="AE1960" s="3"/>
      <c r="AF1960" s="3"/>
      <c r="AG1960" s="3"/>
      <c r="AH1960" s="3"/>
    </row>
    <row r="1961" spans="1:34" ht="14.25" customHeight="1" x14ac:dyDescent="0.25">
      <c r="A1961" s="3"/>
      <c r="B1961" s="3"/>
      <c r="C1961" s="3"/>
      <c r="D1961" s="3"/>
      <c r="E1961" s="3"/>
      <c r="F1961" s="3"/>
      <c r="G1961" s="3"/>
      <c r="H1961" s="11"/>
      <c r="I1961" s="12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14"/>
      <c r="X1961" s="3"/>
      <c r="Y1961" s="14"/>
      <c r="Z1961" s="3"/>
      <c r="AA1961" s="3"/>
      <c r="AB1961" s="3"/>
      <c r="AC1961" s="3"/>
      <c r="AD1961" s="3"/>
      <c r="AE1961" s="3"/>
      <c r="AF1961" s="3"/>
      <c r="AG1961" s="3"/>
      <c r="AH1961" s="3"/>
    </row>
    <row r="1962" spans="1:34" ht="14.25" customHeight="1" x14ac:dyDescent="0.25">
      <c r="A1962" s="3"/>
      <c r="B1962" s="3"/>
      <c r="C1962" s="3"/>
      <c r="D1962" s="3"/>
      <c r="E1962" s="3"/>
      <c r="F1962" s="3"/>
      <c r="G1962" s="3"/>
      <c r="H1962" s="11"/>
      <c r="I1962" s="12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14"/>
      <c r="X1962" s="3"/>
      <c r="Y1962" s="14"/>
      <c r="Z1962" s="3"/>
      <c r="AA1962" s="3"/>
      <c r="AB1962" s="3"/>
      <c r="AC1962" s="3"/>
      <c r="AD1962" s="3"/>
      <c r="AE1962" s="3"/>
      <c r="AF1962" s="3"/>
      <c r="AG1962" s="3"/>
      <c r="AH1962" s="3"/>
    </row>
    <row r="1963" spans="1:34" ht="14.25" customHeight="1" x14ac:dyDescent="0.25">
      <c r="A1963" s="3"/>
      <c r="B1963" s="3"/>
      <c r="C1963" s="3"/>
      <c r="D1963" s="3"/>
      <c r="E1963" s="3"/>
      <c r="F1963" s="3"/>
      <c r="G1963" s="3"/>
      <c r="H1963" s="11"/>
      <c r="I1963" s="12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14"/>
      <c r="X1963" s="3"/>
      <c r="Y1963" s="14"/>
      <c r="Z1963" s="3"/>
      <c r="AA1963" s="3"/>
      <c r="AB1963" s="3"/>
      <c r="AC1963" s="3"/>
      <c r="AD1963" s="3"/>
      <c r="AE1963" s="3"/>
      <c r="AF1963" s="3"/>
      <c r="AG1963" s="3"/>
      <c r="AH1963" s="3"/>
    </row>
    <row r="1964" spans="1:34" ht="14.25" customHeight="1" x14ac:dyDescent="0.25">
      <c r="A1964" s="3"/>
      <c r="B1964" s="3"/>
      <c r="C1964" s="3"/>
      <c r="D1964" s="3"/>
      <c r="E1964" s="3"/>
      <c r="F1964" s="3"/>
      <c r="G1964" s="3"/>
      <c r="H1964" s="11"/>
      <c r="I1964" s="12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14"/>
      <c r="X1964" s="3"/>
      <c r="Y1964" s="14"/>
      <c r="Z1964" s="3"/>
      <c r="AA1964" s="3"/>
      <c r="AB1964" s="3"/>
      <c r="AC1964" s="3"/>
      <c r="AD1964" s="3"/>
      <c r="AE1964" s="3"/>
      <c r="AF1964" s="3"/>
      <c r="AG1964" s="3"/>
      <c r="AH1964" s="3"/>
    </row>
    <row r="1965" spans="1:34" ht="14.25" customHeight="1" x14ac:dyDescent="0.25">
      <c r="A1965" s="3"/>
      <c r="B1965" s="3"/>
      <c r="C1965" s="3"/>
      <c r="D1965" s="3"/>
      <c r="E1965" s="3"/>
      <c r="F1965" s="3"/>
      <c r="G1965" s="3"/>
      <c r="H1965" s="11"/>
      <c r="I1965" s="12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14"/>
      <c r="X1965" s="3"/>
      <c r="Y1965" s="14"/>
      <c r="Z1965" s="3"/>
      <c r="AA1965" s="3"/>
      <c r="AB1965" s="3"/>
      <c r="AC1965" s="3"/>
      <c r="AD1965" s="3"/>
      <c r="AE1965" s="3"/>
      <c r="AF1965" s="3"/>
      <c r="AG1965" s="3"/>
      <c r="AH1965" s="3"/>
    </row>
    <row r="1966" spans="1:34" ht="14.25" customHeight="1" x14ac:dyDescent="0.25">
      <c r="A1966" s="3"/>
      <c r="B1966" s="3"/>
      <c r="C1966" s="3"/>
      <c r="D1966" s="3"/>
      <c r="E1966" s="3"/>
      <c r="F1966" s="3"/>
      <c r="G1966" s="3"/>
      <c r="H1966" s="11"/>
      <c r="I1966" s="12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14"/>
      <c r="X1966" s="3"/>
      <c r="Y1966" s="14"/>
      <c r="Z1966" s="3"/>
      <c r="AA1966" s="3"/>
      <c r="AB1966" s="3"/>
      <c r="AC1966" s="3"/>
      <c r="AD1966" s="3"/>
      <c r="AE1966" s="3"/>
      <c r="AF1966" s="3"/>
      <c r="AG1966" s="3"/>
      <c r="AH1966" s="3"/>
    </row>
    <row r="1967" spans="1:34" ht="14.25" customHeight="1" x14ac:dyDescent="0.25">
      <c r="A1967" s="3"/>
      <c r="B1967" s="3"/>
      <c r="C1967" s="3"/>
      <c r="D1967" s="3"/>
      <c r="E1967" s="3"/>
      <c r="F1967" s="3"/>
      <c r="G1967" s="3"/>
      <c r="H1967" s="11"/>
      <c r="I1967" s="12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14"/>
      <c r="X1967" s="3"/>
      <c r="Y1967" s="14"/>
      <c r="Z1967" s="3"/>
      <c r="AA1967" s="3"/>
      <c r="AB1967" s="3"/>
      <c r="AC1967" s="3"/>
      <c r="AD1967" s="3"/>
      <c r="AE1967" s="3"/>
      <c r="AF1967" s="3"/>
      <c r="AG1967" s="3"/>
      <c r="AH1967" s="3"/>
    </row>
    <row r="1968" spans="1:34" ht="14.25" customHeight="1" x14ac:dyDescent="0.25">
      <c r="A1968" s="3"/>
      <c r="B1968" s="3"/>
      <c r="C1968" s="3"/>
      <c r="D1968" s="3"/>
      <c r="E1968" s="3"/>
      <c r="F1968" s="3"/>
      <c r="G1968" s="14"/>
      <c r="H1968" s="11"/>
      <c r="I1968" s="12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14"/>
      <c r="X1968" s="3"/>
      <c r="Y1968" s="14"/>
      <c r="Z1968" s="3"/>
      <c r="AA1968" s="3"/>
      <c r="AB1968" s="3"/>
      <c r="AC1968" s="3"/>
      <c r="AD1968" s="3"/>
      <c r="AE1968" s="3"/>
      <c r="AF1968" s="3"/>
      <c r="AG1968" s="3"/>
      <c r="AH1968" s="3"/>
    </row>
    <row r="1969" spans="1:34" ht="14.25" customHeight="1" x14ac:dyDescent="0.25">
      <c r="A1969" s="3"/>
      <c r="B1969" s="3"/>
      <c r="C1969" s="3"/>
      <c r="D1969" s="3"/>
      <c r="E1969" s="3"/>
      <c r="F1969" s="3"/>
      <c r="G1969" s="14"/>
      <c r="H1969" s="11"/>
      <c r="I1969" s="12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14"/>
      <c r="X1969" s="3"/>
      <c r="Y1969" s="14"/>
      <c r="Z1969" s="3"/>
      <c r="AA1969" s="3"/>
      <c r="AB1969" s="3"/>
      <c r="AC1969" s="3"/>
      <c r="AD1969" s="3"/>
      <c r="AE1969" s="3"/>
      <c r="AF1969" s="3"/>
      <c r="AG1969" s="3"/>
      <c r="AH1969" s="3"/>
    </row>
    <row r="1970" spans="1:34" ht="14.25" customHeight="1" x14ac:dyDescent="0.25">
      <c r="A1970" s="3"/>
      <c r="B1970" s="3"/>
      <c r="C1970" s="3"/>
      <c r="D1970" s="3"/>
      <c r="E1970" s="3"/>
      <c r="F1970" s="3"/>
      <c r="G1970" s="14"/>
      <c r="H1970" s="11"/>
      <c r="I1970" s="12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14"/>
      <c r="X1970" s="3"/>
      <c r="Y1970" s="14"/>
      <c r="Z1970" s="3"/>
      <c r="AA1970" s="3"/>
      <c r="AB1970" s="3"/>
      <c r="AC1970" s="3"/>
      <c r="AD1970" s="3"/>
      <c r="AE1970" s="3"/>
      <c r="AF1970" s="3"/>
      <c r="AG1970" s="3"/>
      <c r="AH1970" s="3"/>
    </row>
    <row r="1971" spans="1:34" ht="14.25" customHeight="1" x14ac:dyDescent="0.25">
      <c r="A1971" s="3"/>
      <c r="B1971" s="3"/>
      <c r="C1971" s="3"/>
      <c r="D1971" s="3"/>
      <c r="E1971" s="3"/>
      <c r="F1971" s="3"/>
      <c r="G1971" s="3"/>
      <c r="H1971" s="11"/>
      <c r="I1971" s="12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14"/>
      <c r="X1971" s="3"/>
      <c r="Y1971" s="14"/>
      <c r="Z1971" s="3"/>
      <c r="AA1971" s="3"/>
      <c r="AB1971" s="3"/>
      <c r="AC1971" s="3"/>
      <c r="AD1971" s="3"/>
      <c r="AE1971" s="3"/>
      <c r="AF1971" s="3"/>
      <c r="AG1971" s="3"/>
      <c r="AH1971" s="3"/>
    </row>
    <row r="1972" spans="1:34" ht="14.25" customHeight="1" x14ac:dyDescent="0.25">
      <c r="A1972" s="3"/>
      <c r="B1972" s="3"/>
      <c r="C1972" s="3"/>
      <c r="D1972" s="3"/>
      <c r="E1972" s="3"/>
      <c r="F1972" s="3"/>
      <c r="G1972" s="3"/>
      <c r="H1972" s="11"/>
      <c r="I1972" s="12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14"/>
      <c r="X1972" s="3"/>
      <c r="Y1972" s="14"/>
      <c r="Z1972" s="3"/>
      <c r="AA1972" s="3"/>
      <c r="AB1972" s="3"/>
      <c r="AC1972" s="3"/>
      <c r="AD1972" s="3"/>
      <c r="AE1972" s="3"/>
      <c r="AF1972" s="3"/>
      <c r="AG1972" s="3"/>
      <c r="AH1972" s="3"/>
    </row>
    <row r="1973" spans="1:34" ht="14.25" customHeight="1" x14ac:dyDescent="0.25">
      <c r="A1973" s="3"/>
      <c r="B1973" s="3"/>
      <c r="C1973" s="3"/>
      <c r="D1973" s="3"/>
      <c r="E1973" s="3"/>
      <c r="F1973" s="3"/>
      <c r="G1973" s="14"/>
      <c r="H1973" s="11"/>
      <c r="I1973" s="12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14"/>
      <c r="X1973" s="3"/>
      <c r="Y1973" s="14"/>
      <c r="Z1973" s="3"/>
      <c r="AA1973" s="3"/>
      <c r="AB1973" s="3"/>
      <c r="AC1973" s="3"/>
      <c r="AD1973" s="3"/>
      <c r="AE1973" s="3"/>
      <c r="AF1973" s="3"/>
      <c r="AG1973" s="3"/>
      <c r="AH1973" s="3"/>
    </row>
    <row r="1974" spans="1:34" ht="14.25" customHeight="1" x14ac:dyDescent="0.25">
      <c r="A1974" s="3"/>
      <c r="B1974" s="3"/>
      <c r="C1974" s="3"/>
      <c r="D1974" s="3"/>
      <c r="E1974" s="3"/>
      <c r="F1974" s="3"/>
      <c r="G1974" s="14"/>
      <c r="H1974" s="11"/>
      <c r="I1974" s="12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14"/>
      <c r="X1974" s="3"/>
      <c r="Y1974" s="14"/>
      <c r="Z1974" s="3"/>
      <c r="AA1974" s="3"/>
      <c r="AB1974" s="3"/>
      <c r="AC1974" s="3"/>
      <c r="AD1974" s="3"/>
      <c r="AE1974" s="3"/>
      <c r="AF1974" s="3"/>
      <c r="AG1974" s="3"/>
      <c r="AH1974" s="3"/>
    </row>
    <row r="1975" spans="1:34" ht="14.25" customHeight="1" x14ac:dyDescent="0.25">
      <c r="A1975" s="3"/>
      <c r="B1975" s="3"/>
      <c r="C1975" s="3"/>
      <c r="D1975" s="3"/>
      <c r="E1975" s="3"/>
      <c r="F1975" s="3"/>
      <c r="G1975" s="3"/>
      <c r="H1975" s="11"/>
      <c r="I1975" s="12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14"/>
      <c r="X1975" s="3"/>
      <c r="Y1975" s="14"/>
      <c r="Z1975" s="3"/>
      <c r="AA1975" s="3"/>
      <c r="AB1975" s="3"/>
      <c r="AC1975" s="3"/>
      <c r="AD1975" s="3"/>
      <c r="AE1975" s="3"/>
      <c r="AF1975" s="3"/>
      <c r="AG1975" s="3"/>
      <c r="AH1975" s="3"/>
    </row>
    <row r="1976" spans="1:34" ht="14.25" customHeight="1" x14ac:dyDescent="0.25">
      <c r="A1976" s="3"/>
      <c r="B1976" s="3"/>
      <c r="C1976" s="3"/>
      <c r="D1976" s="3"/>
      <c r="E1976" s="3"/>
      <c r="F1976" s="3"/>
      <c r="G1976" s="3"/>
      <c r="H1976" s="11"/>
      <c r="I1976" s="12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14"/>
      <c r="X1976" s="3"/>
      <c r="Y1976" s="14"/>
      <c r="Z1976" s="3"/>
      <c r="AA1976" s="3"/>
      <c r="AB1976" s="3"/>
      <c r="AC1976" s="3"/>
      <c r="AD1976" s="3"/>
      <c r="AE1976" s="3"/>
      <c r="AF1976" s="3"/>
      <c r="AG1976" s="3"/>
      <c r="AH1976" s="3"/>
    </row>
    <row r="1977" spans="1:34" ht="14.25" customHeight="1" x14ac:dyDescent="0.25">
      <c r="A1977" s="3"/>
      <c r="B1977" s="3"/>
      <c r="C1977" s="3"/>
      <c r="D1977" s="3"/>
      <c r="E1977" s="3"/>
      <c r="F1977" s="3"/>
      <c r="G1977" s="3"/>
      <c r="H1977" s="11"/>
      <c r="I1977" s="12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14"/>
      <c r="X1977" s="3"/>
      <c r="Y1977" s="14"/>
      <c r="Z1977" s="3"/>
      <c r="AA1977" s="3"/>
      <c r="AB1977" s="3"/>
      <c r="AC1977" s="3"/>
      <c r="AD1977" s="3"/>
      <c r="AE1977" s="3"/>
      <c r="AF1977" s="3"/>
      <c r="AG1977" s="3"/>
      <c r="AH1977" s="3"/>
    </row>
    <row r="1978" spans="1:34" ht="14.25" customHeight="1" x14ac:dyDescent="0.25">
      <c r="A1978" s="3"/>
      <c r="B1978" s="3"/>
      <c r="C1978" s="3"/>
      <c r="D1978" s="3"/>
      <c r="E1978" s="3"/>
      <c r="F1978" s="3"/>
      <c r="G1978" s="3"/>
      <c r="H1978" s="11"/>
      <c r="I1978" s="12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14"/>
      <c r="X1978" s="3"/>
      <c r="Y1978" s="14"/>
      <c r="Z1978" s="3"/>
      <c r="AA1978" s="3"/>
      <c r="AB1978" s="3"/>
      <c r="AC1978" s="3"/>
      <c r="AD1978" s="3"/>
      <c r="AE1978" s="3"/>
      <c r="AF1978" s="3"/>
      <c r="AG1978" s="3"/>
      <c r="AH1978" s="3"/>
    </row>
    <row r="1979" spans="1:34" ht="14.25" customHeight="1" x14ac:dyDescent="0.25">
      <c r="A1979" s="3"/>
      <c r="B1979" s="3"/>
      <c r="C1979" s="3"/>
      <c r="D1979" s="3"/>
      <c r="E1979" s="3"/>
      <c r="F1979" s="3"/>
      <c r="G1979" s="14"/>
      <c r="H1979" s="11"/>
      <c r="I1979" s="12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14"/>
      <c r="X1979" s="3"/>
      <c r="Y1979" s="14"/>
      <c r="Z1979" s="3"/>
      <c r="AA1979" s="3"/>
      <c r="AB1979" s="3"/>
      <c r="AC1979" s="3"/>
      <c r="AD1979" s="3"/>
      <c r="AE1979" s="3"/>
      <c r="AF1979" s="3"/>
      <c r="AG1979" s="3"/>
      <c r="AH1979" s="3"/>
    </row>
    <row r="1980" spans="1:34" ht="14.25" customHeight="1" x14ac:dyDescent="0.25">
      <c r="A1980" s="3"/>
      <c r="B1980" s="3"/>
      <c r="C1980" s="3"/>
      <c r="D1980" s="3"/>
      <c r="E1980" s="3"/>
      <c r="F1980" s="3"/>
      <c r="G1980" s="14"/>
      <c r="H1980" s="11"/>
      <c r="I1980" s="12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14"/>
      <c r="X1980" s="3"/>
      <c r="Y1980" s="14"/>
      <c r="Z1980" s="3"/>
      <c r="AA1980" s="3"/>
      <c r="AB1980" s="3"/>
      <c r="AC1980" s="3"/>
      <c r="AD1980" s="3"/>
      <c r="AE1980" s="3"/>
      <c r="AF1980" s="3"/>
      <c r="AG1980" s="3"/>
      <c r="AH1980" s="3"/>
    </row>
    <row r="1981" spans="1:34" ht="14.25" customHeight="1" x14ac:dyDescent="0.25">
      <c r="A1981" s="3"/>
      <c r="B1981" s="3"/>
      <c r="C1981" s="3"/>
      <c r="D1981" s="3"/>
      <c r="E1981" s="3"/>
      <c r="F1981" s="3"/>
      <c r="G1981" s="3"/>
      <c r="H1981" s="11"/>
      <c r="I1981" s="12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14"/>
      <c r="X1981" s="3"/>
      <c r="Y1981" s="14"/>
      <c r="Z1981" s="3"/>
      <c r="AA1981" s="3"/>
      <c r="AB1981" s="3"/>
      <c r="AC1981" s="3"/>
      <c r="AD1981" s="3"/>
      <c r="AE1981" s="3"/>
      <c r="AF1981" s="3"/>
      <c r="AG1981" s="3"/>
      <c r="AH1981" s="3"/>
    </row>
    <row r="1982" spans="1:34" ht="14.25" customHeight="1" x14ac:dyDescent="0.25">
      <c r="A1982" s="3"/>
      <c r="B1982" s="3"/>
      <c r="C1982" s="3"/>
      <c r="D1982" s="3"/>
      <c r="E1982" s="3"/>
      <c r="F1982" s="3"/>
      <c r="G1982" s="3"/>
      <c r="H1982" s="11"/>
      <c r="I1982" s="12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14"/>
      <c r="X1982" s="3"/>
      <c r="Y1982" s="14"/>
      <c r="Z1982" s="3"/>
      <c r="AA1982" s="3"/>
      <c r="AB1982" s="3"/>
      <c r="AC1982" s="3"/>
      <c r="AD1982" s="3"/>
      <c r="AE1982" s="3"/>
      <c r="AF1982" s="3"/>
      <c r="AG1982" s="3"/>
      <c r="AH1982" s="3"/>
    </row>
    <row r="1983" spans="1:34" ht="14.25" customHeight="1" x14ac:dyDescent="0.25">
      <c r="A1983" s="3"/>
      <c r="B1983" s="3"/>
      <c r="C1983" s="3"/>
      <c r="D1983" s="3"/>
      <c r="E1983" s="3"/>
      <c r="F1983" s="3"/>
      <c r="G1983" s="3"/>
      <c r="H1983" s="11"/>
      <c r="I1983" s="12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14"/>
      <c r="X1983" s="3"/>
      <c r="Y1983" s="14"/>
      <c r="Z1983" s="3"/>
      <c r="AA1983" s="3"/>
      <c r="AB1983" s="3"/>
      <c r="AC1983" s="3"/>
      <c r="AD1983" s="3"/>
      <c r="AE1983" s="3"/>
      <c r="AF1983" s="3"/>
      <c r="AG1983" s="3"/>
      <c r="AH1983" s="3"/>
    </row>
    <row r="1984" spans="1:34" ht="14.25" customHeight="1" x14ac:dyDescent="0.25">
      <c r="A1984" s="3"/>
      <c r="B1984" s="3"/>
      <c r="C1984" s="3"/>
      <c r="D1984" s="3"/>
      <c r="E1984" s="3"/>
      <c r="F1984" s="3"/>
      <c r="G1984" s="14"/>
      <c r="H1984" s="11"/>
      <c r="I1984" s="12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14"/>
      <c r="X1984" s="3"/>
      <c r="Y1984" s="14"/>
      <c r="Z1984" s="3"/>
      <c r="AA1984" s="3"/>
      <c r="AB1984" s="3"/>
      <c r="AC1984" s="3"/>
      <c r="AD1984" s="3"/>
      <c r="AE1984" s="3"/>
      <c r="AF1984" s="3"/>
      <c r="AG1984" s="3"/>
      <c r="AH1984" s="3"/>
    </row>
    <row r="1985" spans="1:34" ht="14.25" customHeight="1" x14ac:dyDescent="0.25">
      <c r="A1985" s="3"/>
      <c r="B1985" s="3"/>
      <c r="C1985" s="3"/>
      <c r="D1985" s="3"/>
      <c r="E1985" s="3"/>
      <c r="F1985" s="3"/>
      <c r="G1985" s="3"/>
      <c r="H1985" s="11"/>
      <c r="I1985" s="12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14"/>
      <c r="X1985" s="3"/>
      <c r="Y1985" s="14"/>
      <c r="Z1985" s="3"/>
      <c r="AA1985" s="3"/>
      <c r="AB1985" s="3"/>
      <c r="AC1985" s="3"/>
      <c r="AD1985" s="3"/>
      <c r="AE1985" s="3"/>
      <c r="AF1985" s="3"/>
      <c r="AG1985" s="3"/>
      <c r="AH1985" s="3"/>
    </row>
    <row r="1986" spans="1:34" ht="14.25" customHeight="1" x14ac:dyDescent="0.25">
      <c r="A1986" s="3"/>
      <c r="B1986" s="3"/>
      <c r="C1986" s="3"/>
      <c r="D1986" s="3"/>
      <c r="E1986" s="3"/>
      <c r="F1986" s="3"/>
      <c r="G1986" s="3"/>
      <c r="H1986" s="11"/>
      <c r="I1986" s="12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14"/>
      <c r="X1986" s="3"/>
      <c r="Y1986" s="14"/>
      <c r="Z1986" s="3"/>
      <c r="AA1986" s="3"/>
      <c r="AB1986" s="3"/>
      <c r="AC1986" s="3"/>
      <c r="AD1986" s="3"/>
      <c r="AE1986" s="3"/>
      <c r="AF1986" s="3"/>
      <c r="AG1986" s="3"/>
      <c r="AH1986" s="3"/>
    </row>
    <row r="1987" spans="1:34" ht="14.25" customHeight="1" x14ac:dyDescent="0.25">
      <c r="A1987" s="3"/>
      <c r="B1987" s="3"/>
      <c r="C1987" s="3"/>
      <c r="D1987" s="3"/>
      <c r="E1987" s="3"/>
      <c r="F1987" s="3"/>
      <c r="G1987" s="3"/>
      <c r="H1987" s="11"/>
      <c r="I1987" s="12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14"/>
      <c r="X1987" s="3"/>
      <c r="Y1987" s="14"/>
      <c r="Z1987" s="3"/>
      <c r="AA1987" s="3"/>
      <c r="AB1987" s="3"/>
      <c r="AC1987" s="3"/>
      <c r="AD1987" s="3"/>
      <c r="AE1987" s="3"/>
      <c r="AF1987" s="3"/>
      <c r="AG1987" s="3"/>
      <c r="AH1987" s="3"/>
    </row>
    <row r="1988" spans="1:34" ht="14.25" customHeight="1" x14ac:dyDescent="0.25">
      <c r="A1988" s="3"/>
      <c r="B1988" s="3"/>
      <c r="C1988" s="3"/>
      <c r="D1988" s="3"/>
      <c r="E1988" s="3"/>
      <c r="F1988" s="3"/>
      <c r="G1988" s="3"/>
      <c r="H1988" s="11"/>
      <c r="I1988" s="12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14"/>
      <c r="X1988" s="3"/>
      <c r="Y1988" s="14"/>
      <c r="Z1988" s="3"/>
      <c r="AA1988" s="3"/>
      <c r="AB1988" s="3"/>
      <c r="AC1988" s="3"/>
      <c r="AD1988" s="3"/>
      <c r="AE1988" s="3"/>
      <c r="AF1988" s="3"/>
      <c r="AG1988" s="3"/>
      <c r="AH1988" s="3"/>
    </row>
    <row r="1989" spans="1:34" ht="14.25" customHeight="1" x14ac:dyDescent="0.25">
      <c r="A1989" s="3"/>
      <c r="B1989" s="3"/>
      <c r="C1989" s="3"/>
      <c r="D1989" s="3"/>
      <c r="E1989" s="3"/>
      <c r="F1989" s="3"/>
      <c r="G1989" s="3"/>
      <c r="H1989" s="11"/>
      <c r="I1989" s="12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14"/>
      <c r="X1989" s="3"/>
      <c r="Y1989" s="14"/>
      <c r="Z1989" s="3"/>
      <c r="AA1989" s="3"/>
      <c r="AB1989" s="3"/>
      <c r="AC1989" s="3"/>
      <c r="AD1989" s="3"/>
      <c r="AE1989" s="3"/>
      <c r="AF1989" s="3"/>
      <c r="AG1989" s="3"/>
      <c r="AH1989" s="3"/>
    </row>
    <row r="1990" spans="1:34" ht="14.25" customHeight="1" x14ac:dyDescent="0.25">
      <c r="A1990" s="3"/>
      <c r="B1990" s="3"/>
      <c r="C1990" s="3"/>
      <c r="D1990" s="3"/>
      <c r="E1990" s="3"/>
      <c r="F1990" s="3"/>
      <c r="G1990" s="3"/>
      <c r="H1990" s="11"/>
      <c r="I1990" s="12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14"/>
      <c r="X1990" s="3"/>
      <c r="Y1990" s="14"/>
      <c r="Z1990" s="3"/>
      <c r="AA1990" s="3"/>
      <c r="AB1990" s="3"/>
      <c r="AC1990" s="3"/>
      <c r="AD1990" s="3"/>
      <c r="AE1990" s="3"/>
      <c r="AF1990" s="3"/>
      <c r="AG1990" s="3"/>
      <c r="AH1990" s="3"/>
    </row>
    <row r="1991" spans="1:34" ht="14.25" customHeight="1" x14ac:dyDescent="0.25">
      <c r="A1991" s="3"/>
      <c r="B1991" s="3"/>
      <c r="C1991" s="3"/>
      <c r="D1991" s="3"/>
      <c r="E1991" s="3"/>
      <c r="F1991" s="3"/>
      <c r="G1991" s="14"/>
      <c r="H1991" s="11"/>
      <c r="I1991" s="12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14"/>
      <c r="X1991" s="3"/>
      <c r="Y1991" s="14"/>
      <c r="Z1991" s="3"/>
      <c r="AA1991" s="3"/>
      <c r="AB1991" s="3"/>
      <c r="AC1991" s="3"/>
      <c r="AD1991" s="3"/>
      <c r="AE1991" s="3"/>
      <c r="AF1991" s="3"/>
      <c r="AG1991" s="3"/>
      <c r="AH1991" s="3"/>
    </row>
    <row r="1992" spans="1:34" ht="14.25" customHeight="1" x14ac:dyDescent="0.25">
      <c r="A1992" s="3"/>
      <c r="B1992" s="3"/>
      <c r="C1992" s="3"/>
      <c r="D1992" s="3"/>
      <c r="E1992" s="3"/>
      <c r="F1992" s="3"/>
      <c r="G1992" s="3"/>
      <c r="H1992" s="11"/>
      <c r="I1992" s="12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14"/>
      <c r="X1992" s="3"/>
      <c r="Y1992" s="14"/>
      <c r="Z1992" s="3"/>
      <c r="AA1992" s="3"/>
      <c r="AB1992" s="3"/>
      <c r="AC1992" s="3"/>
      <c r="AD1992" s="3"/>
      <c r="AE1992" s="3"/>
      <c r="AF1992" s="3"/>
      <c r="AG1992" s="3"/>
      <c r="AH1992" s="3"/>
    </row>
    <row r="1993" spans="1:34" ht="14.25" customHeight="1" x14ac:dyDescent="0.25">
      <c r="A1993" s="3"/>
      <c r="B1993" s="3"/>
      <c r="C1993" s="3"/>
      <c r="D1993" s="3"/>
      <c r="E1993" s="3"/>
      <c r="F1993" s="3"/>
      <c r="G1993" s="3"/>
      <c r="H1993" s="11"/>
      <c r="I1993" s="12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14"/>
      <c r="X1993" s="3"/>
      <c r="Y1993" s="14"/>
      <c r="Z1993" s="3"/>
      <c r="AA1993" s="3"/>
      <c r="AB1993" s="3"/>
      <c r="AC1993" s="3"/>
      <c r="AD1993" s="3"/>
      <c r="AE1993" s="3"/>
      <c r="AF1993" s="3"/>
      <c r="AG1993" s="3"/>
      <c r="AH1993" s="3"/>
    </row>
    <row r="1994" spans="1:34" ht="14.25" customHeight="1" x14ac:dyDescent="0.25">
      <c r="A1994" s="3"/>
      <c r="B1994" s="3"/>
      <c r="C1994" s="3"/>
      <c r="D1994" s="3"/>
      <c r="E1994" s="3"/>
      <c r="F1994" s="3"/>
      <c r="G1994" s="3"/>
      <c r="H1994" s="11"/>
      <c r="I1994" s="12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14"/>
      <c r="X1994" s="3"/>
      <c r="Y1994" s="14"/>
      <c r="Z1994" s="3"/>
      <c r="AA1994" s="3"/>
      <c r="AB1994" s="3"/>
      <c r="AC1994" s="3"/>
      <c r="AD1994" s="3"/>
      <c r="AE1994" s="3"/>
      <c r="AF1994" s="3"/>
      <c r="AG1994" s="3"/>
      <c r="AH1994" s="3"/>
    </row>
    <row r="1995" spans="1:34" ht="14.25" customHeight="1" x14ac:dyDescent="0.25">
      <c r="A1995" s="3"/>
      <c r="B1995" s="3"/>
      <c r="C1995" s="3"/>
      <c r="D1995" s="3"/>
      <c r="E1995" s="3"/>
      <c r="F1995" s="3"/>
      <c r="G1995" s="3"/>
      <c r="H1995" s="11"/>
      <c r="I1995" s="12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14"/>
      <c r="X1995" s="3"/>
      <c r="Y1995" s="14"/>
      <c r="Z1995" s="3"/>
      <c r="AA1995" s="3"/>
      <c r="AB1995" s="3"/>
      <c r="AC1995" s="3"/>
      <c r="AD1995" s="3"/>
      <c r="AE1995" s="3"/>
      <c r="AF1995" s="3"/>
      <c r="AG1995" s="3"/>
      <c r="AH1995" s="3"/>
    </row>
    <row r="1996" spans="1:34" ht="14.25" customHeight="1" x14ac:dyDescent="0.25">
      <c r="A1996" s="3"/>
      <c r="B1996" s="3"/>
      <c r="C1996" s="3"/>
      <c r="D1996" s="3"/>
      <c r="E1996" s="3"/>
      <c r="F1996" s="3"/>
      <c r="G1996" s="3"/>
      <c r="H1996" s="11"/>
      <c r="I1996" s="12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14"/>
      <c r="X1996" s="3"/>
      <c r="Y1996" s="14"/>
      <c r="Z1996" s="3"/>
      <c r="AA1996" s="3"/>
      <c r="AB1996" s="3"/>
      <c r="AC1996" s="3"/>
      <c r="AD1996" s="3"/>
      <c r="AE1996" s="3"/>
      <c r="AF1996" s="3"/>
      <c r="AG1996" s="3"/>
      <c r="AH1996" s="3"/>
    </row>
    <row r="1997" spans="1:34" ht="14.25" customHeight="1" x14ac:dyDescent="0.25">
      <c r="A1997" s="3"/>
      <c r="B1997" s="3"/>
      <c r="C1997" s="3"/>
      <c r="D1997" s="3"/>
      <c r="E1997" s="3"/>
      <c r="F1997" s="3"/>
      <c r="G1997" s="14"/>
      <c r="H1997" s="11"/>
      <c r="I1997" s="12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14"/>
      <c r="X1997" s="3"/>
      <c r="Y1997" s="14"/>
      <c r="Z1997" s="3"/>
      <c r="AA1997" s="3"/>
      <c r="AB1997" s="3"/>
      <c r="AC1997" s="3"/>
      <c r="AD1997" s="3"/>
      <c r="AE1997" s="3"/>
      <c r="AF1997" s="3"/>
      <c r="AG1997" s="3"/>
      <c r="AH1997" s="3"/>
    </row>
    <row r="1998" spans="1:34" ht="14.25" customHeight="1" x14ac:dyDescent="0.25">
      <c r="A1998" s="3"/>
      <c r="B1998" s="3"/>
      <c r="C1998" s="3"/>
      <c r="D1998" s="3"/>
      <c r="E1998" s="3"/>
      <c r="F1998" s="3"/>
      <c r="G1998" s="3"/>
      <c r="H1998" s="11"/>
      <c r="I1998" s="12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14"/>
      <c r="X1998" s="3"/>
      <c r="Y1998" s="14"/>
      <c r="Z1998" s="3"/>
      <c r="AA1998" s="3"/>
      <c r="AB1998" s="3"/>
      <c r="AC1998" s="3"/>
      <c r="AD1998" s="3"/>
      <c r="AE1998" s="3"/>
      <c r="AF1998" s="3"/>
      <c r="AG1998" s="3"/>
      <c r="AH1998" s="3"/>
    </row>
    <row r="1999" spans="1:34" ht="14.25" customHeight="1" x14ac:dyDescent="0.25">
      <c r="A1999" s="3"/>
      <c r="B1999" s="3"/>
      <c r="C1999" s="3"/>
      <c r="D1999" s="3"/>
      <c r="E1999" s="3"/>
      <c r="F1999" s="3"/>
      <c r="G1999" s="3"/>
      <c r="H1999" s="11"/>
      <c r="I1999" s="12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14"/>
      <c r="X1999" s="3"/>
      <c r="Y1999" s="14"/>
      <c r="Z1999" s="3"/>
      <c r="AA1999" s="3"/>
      <c r="AB1999" s="3"/>
      <c r="AC1999" s="3"/>
      <c r="AD1999" s="3"/>
      <c r="AE1999" s="3"/>
      <c r="AF1999" s="3"/>
      <c r="AG1999" s="3"/>
      <c r="AH1999" s="3"/>
    </row>
    <row r="2000" spans="1:34" ht="14.25" customHeight="1" x14ac:dyDescent="0.25">
      <c r="A2000" s="3"/>
      <c r="B2000" s="3"/>
      <c r="C2000" s="3"/>
      <c r="D2000" s="3"/>
      <c r="E2000" s="3"/>
      <c r="F2000" s="3"/>
      <c r="G2000" s="3"/>
      <c r="H2000" s="11"/>
      <c r="I2000" s="12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14"/>
      <c r="X2000" s="3"/>
      <c r="Y2000" s="14"/>
      <c r="Z2000" s="3"/>
      <c r="AA2000" s="3"/>
      <c r="AB2000" s="3"/>
      <c r="AC2000" s="3"/>
      <c r="AD2000" s="3"/>
      <c r="AE2000" s="3"/>
      <c r="AF2000" s="3"/>
      <c r="AG2000" s="3"/>
      <c r="AH2000" s="3"/>
    </row>
    <row r="2001" spans="1:34" ht="14.25" customHeight="1" x14ac:dyDescent="0.25">
      <c r="A2001" s="3"/>
      <c r="B2001" s="3"/>
      <c r="C2001" s="3"/>
      <c r="D2001" s="3"/>
      <c r="E2001" s="3"/>
      <c r="F2001" s="3"/>
      <c r="G2001" s="3"/>
      <c r="H2001" s="11"/>
      <c r="I2001" s="12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14"/>
      <c r="X2001" s="3"/>
      <c r="Y2001" s="14"/>
      <c r="Z2001" s="3"/>
      <c r="AA2001" s="3"/>
      <c r="AB2001" s="3"/>
      <c r="AC2001" s="3"/>
      <c r="AD2001" s="3"/>
      <c r="AE2001" s="3"/>
      <c r="AF2001" s="3"/>
      <c r="AG2001" s="3"/>
      <c r="AH2001" s="3"/>
    </row>
    <row r="2002" spans="1:34" ht="14.25" customHeight="1" x14ac:dyDescent="0.25">
      <c r="A2002" s="3"/>
      <c r="B2002" s="3"/>
      <c r="C2002" s="3"/>
      <c r="D2002" s="3"/>
      <c r="E2002" s="3"/>
      <c r="F2002" s="3"/>
      <c r="G2002" s="3"/>
      <c r="H2002" s="11"/>
      <c r="I2002" s="12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14"/>
      <c r="X2002" s="3"/>
      <c r="Y2002" s="14"/>
      <c r="Z2002" s="3"/>
      <c r="AA2002" s="3"/>
      <c r="AB2002" s="3"/>
      <c r="AC2002" s="3"/>
      <c r="AD2002" s="3"/>
      <c r="AE2002" s="3"/>
      <c r="AF2002" s="3"/>
      <c r="AG2002" s="3"/>
      <c r="AH2002" s="3"/>
    </row>
    <row r="2003" spans="1:34" ht="14.25" customHeight="1" x14ac:dyDescent="0.25">
      <c r="A2003" s="3"/>
      <c r="B2003" s="3"/>
      <c r="C2003" s="3"/>
      <c r="D2003" s="3"/>
      <c r="E2003" s="3"/>
      <c r="F2003" s="3"/>
      <c r="G2003" s="14"/>
      <c r="H2003" s="11"/>
      <c r="I2003" s="12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14"/>
      <c r="X2003" s="3"/>
      <c r="Y2003" s="14"/>
      <c r="Z2003" s="3"/>
      <c r="AA2003" s="3"/>
      <c r="AB2003" s="3"/>
      <c r="AC2003" s="3"/>
      <c r="AD2003" s="3"/>
      <c r="AE2003" s="3"/>
      <c r="AF2003" s="3"/>
      <c r="AG2003" s="3"/>
      <c r="AH2003" s="3"/>
    </row>
    <row r="2004" spans="1:34" ht="14.25" customHeight="1" x14ac:dyDescent="0.25">
      <c r="A2004" s="3"/>
      <c r="B2004" s="3"/>
      <c r="C2004" s="3"/>
      <c r="D2004" s="3"/>
      <c r="E2004" s="3"/>
      <c r="F2004" s="3"/>
      <c r="G2004" s="14"/>
      <c r="H2004" s="11"/>
      <c r="I2004" s="12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14"/>
      <c r="X2004" s="3"/>
      <c r="Y2004" s="14"/>
      <c r="Z2004" s="3"/>
      <c r="AA2004" s="3"/>
      <c r="AB2004" s="3"/>
      <c r="AC2004" s="3"/>
      <c r="AD2004" s="3"/>
      <c r="AE2004" s="3"/>
      <c r="AF2004" s="3"/>
      <c r="AG2004" s="3"/>
      <c r="AH2004" s="3"/>
    </row>
    <row r="2005" spans="1:34" ht="14.25" customHeight="1" x14ac:dyDescent="0.25">
      <c r="A2005" s="3"/>
      <c r="B2005" s="3"/>
      <c r="C2005" s="3"/>
      <c r="D2005" s="3"/>
      <c r="E2005" s="3"/>
      <c r="F2005" s="3"/>
      <c r="G2005" s="3"/>
      <c r="H2005" s="11"/>
      <c r="I2005" s="12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14"/>
      <c r="X2005" s="3"/>
      <c r="Y2005" s="14"/>
      <c r="Z2005" s="3"/>
      <c r="AA2005" s="3"/>
      <c r="AB2005" s="3"/>
      <c r="AC2005" s="3"/>
      <c r="AD2005" s="3"/>
      <c r="AE2005" s="3"/>
      <c r="AF2005" s="3"/>
      <c r="AG2005" s="3"/>
      <c r="AH2005" s="3"/>
    </row>
    <row r="2006" spans="1:34" ht="14.25" customHeight="1" x14ac:dyDescent="0.25">
      <c r="A2006" s="3"/>
      <c r="B2006" s="3"/>
      <c r="C2006" s="3"/>
      <c r="D2006" s="3"/>
      <c r="E2006" s="3"/>
      <c r="F2006" s="3"/>
      <c r="G2006" s="3"/>
      <c r="H2006" s="11"/>
      <c r="I2006" s="12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14"/>
      <c r="X2006" s="3"/>
      <c r="Y2006" s="14"/>
      <c r="Z2006" s="3"/>
      <c r="AA2006" s="3"/>
      <c r="AB2006" s="3"/>
      <c r="AC2006" s="3"/>
      <c r="AD2006" s="3"/>
      <c r="AE2006" s="3"/>
      <c r="AF2006" s="3"/>
      <c r="AG2006" s="3"/>
      <c r="AH2006" s="3"/>
    </row>
    <row r="2007" spans="1:34" ht="14.25" customHeight="1" x14ac:dyDescent="0.25">
      <c r="A2007" s="3"/>
      <c r="B2007" s="3"/>
      <c r="C2007" s="3"/>
      <c r="D2007" s="3"/>
      <c r="E2007" s="3"/>
      <c r="F2007" s="3"/>
      <c r="G2007" s="3"/>
      <c r="H2007" s="11"/>
      <c r="I2007" s="12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14"/>
      <c r="X2007" s="3"/>
      <c r="Y2007" s="14"/>
      <c r="Z2007" s="3"/>
      <c r="AA2007" s="3"/>
      <c r="AB2007" s="3"/>
      <c r="AC2007" s="3"/>
      <c r="AD2007" s="3"/>
      <c r="AE2007" s="3"/>
      <c r="AF2007" s="3"/>
      <c r="AG2007" s="3"/>
      <c r="AH2007" s="3"/>
    </row>
    <row r="2008" spans="1:34" ht="14.25" customHeight="1" x14ac:dyDescent="0.25">
      <c r="A2008" s="3"/>
      <c r="B2008" s="3"/>
      <c r="C2008" s="3"/>
      <c r="D2008" s="3"/>
      <c r="E2008" s="3"/>
      <c r="F2008" s="3"/>
      <c r="G2008" s="14"/>
      <c r="H2008" s="11"/>
      <c r="I2008" s="12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14"/>
      <c r="X2008" s="3"/>
      <c r="Y2008" s="14"/>
      <c r="Z2008" s="3"/>
      <c r="AA2008" s="3"/>
      <c r="AB2008" s="3"/>
      <c r="AC2008" s="3"/>
      <c r="AD2008" s="3"/>
      <c r="AE2008" s="3"/>
      <c r="AF2008" s="3"/>
      <c r="AG2008" s="3"/>
      <c r="AH2008" s="3"/>
    </row>
    <row r="2009" spans="1:34" ht="14.25" customHeight="1" x14ac:dyDescent="0.25">
      <c r="A2009" s="3"/>
      <c r="B2009" s="3"/>
      <c r="C2009" s="3"/>
      <c r="D2009" s="3"/>
      <c r="E2009" s="3"/>
      <c r="F2009" s="3"/>
      <c r="G2009" s="14"/>
      <c r="H2009" s="11"/>
      <c r="I2009" s="12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14"/>
      <c r="X2009" s="3"/>
      <c r="Y2009" s="14"/>
      <c r="Z2009" s="3"/>
      <c r="AA2009" s="3"/>
      <c r="AB2009" s="3"/>
      <c r="AC2009" s="3"/>
      <c r="AD2009" s="3"/>
      <c r="AE2009" s="3"/>
      <c r="AF2009" s="3"/>
      <c r="AG2009" s="3"/>
      <c r="AH2009" s="3"/>
    </row>
    <row r="2010" spans="1:34" ht="14.25" customHeight="1" x14ac:dyDescent="0.25">
      <c r="A2010" s="3"/>
      <c r="B2010" s="3"/>
      <c r="C2010" s="3"/>
      <c r="D2010" s="3"/>
      <c r="E2010" s="3"/>
      <c r="F2010" s="3"/>
      <c r="G2010" s="3"/>
      <c r="H2010" s="11"/>
      <c r="I2010" s="12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14"/>
      <c r="X2010" s="3"/>
      <c r="Y2010" s="14"/>
      <c r="Z2010" s="3"/>
      <c r="AA2010" s="3"/>
      <c r="AB2010" s="3"/>
      <c r="AC2010" s="3"/>
      <c r="AD2010" s="3"/>
      <c r="AE2010" s="3"/>
      <c r="AF2010" s="3"/>
      <c r="AG2010" s="3"/>
      <c r="AH2010" s="3"/>
    </row>
    <row r="2011" spans="1:34" ht="14.25" customHeight="1" x14ac:dyDescent="0.25">
      <c r="A2011" s="3"/>
      <c r="B2011" s="3"/>
      <c r="C2011" s="3"/>
      <c r="D2011" s="3"/>
      <c r="E2011" s="3"/>
      <c r="F2011" s="3"/>
      <c r="G2011" s="3"/>
      <c r="H2011" s="11"/>
      <c r="I2011" s="12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14"/>
      <c r="X2011" s="3"/>
      <c r="Y2011" s="14"/>
      <c r="Z2011" s="3"/>
      <c r="AA2011" s="3"/>
      <c r="AB2011" s="3"/>
      <c r="AC2011" s="3"/>
      <c r="AD2011" s="3"/>
      <c r="AE2011" s="3"/>
      <c r="AF2011" s="3"/>
      <c r="AG2011" s="3"/>
      <c r="AH2011" s="3"/>
    </row>
    <row r="2012" spans="1:34" ht="14.25" customHeight="1" x14ac:dyDescent="0.25">
      <c r="A2012" s="3"/>
      <c r="B2012" s="3"/>
      <c r="C2012" s="3"/>
      <c r="D2012" s="3"/>
      <c r="E2012" s="3"/>
      <c r="F2012" s="3"/>
      <c r="G2012" s="3"/>
      <c r="H2012" s="11"/>
      <c r="I2012" s="12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14"/>
      <c r="X2012" s="3"/>
      <c r="Y2012" s="14"/>
      <c r="Z2012" s="3"/>
      <c r="AA2012" s="3"/>
      <c r="AB2012" s="3"/>
      <c r="AC2012" s="3"/>
      <c r="AD2012" s="3"/>
      <c r="AE2012" s="3"/>
      <c r="AF2012" s="3"/>
      <c r="AG2012" s="3"/>
      <c r="AH2012" s="3"/>
    </row>
    <row r="2013" spans="1:34" ht="14.25" customHeight="1" x14ac:dyDescent="0.25">
      <c r="A2013" s="3"/>
      <c r="B2013" s="3"/>
      <c r="C2013" s="3"/>
      <c r="D2013" s="3"/>
      <c r="E2013" s="3"/>
      <c r="F2013" s="3"/>
      <c r="G2013" s="3"/>
      <c r="H2013" s="11"/>
      <c r="I2013" s="12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14"/>
      <c r="X2013" s="3"/>
      <c r="Y2013" s="14"/>
      <c r="Z2013" s="3"/>
      <c r="AA2013" s="3"/>
      <c r="AB2013" s="3"/>
      <c r="AC2013" s="3"/>
      <c r="AD2013" s="3"/>
      <c r="AE2013" s="3"/>
      <c r="AF2013" s="3"/>
      <c r="AG2013" s="3"/>
      <c r="AH2013" s="3"/>
    </row>
    <row r="2014" spans="1:34" ht="14.25" customHeight="1" x14ac:dyDescent="0.25">
      <c r="A2014" s="3"/>
      <c r="B2014" s="3"/>
      <c r="C2014" s="3"/>
      <c r="D2014" s="3"/>
      <c r="E2014" s="3"/>
      <c r="F2014" s="3"/>
      <c r="G2014" s="3"/>
      <c r="H2014" s="11"/>
      <c r="I2014" s="12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14"/>
      <c r="X2014" s="3"/>
      <c r="Y2014" s="14"/>
      <c r="Z2014" s="3"/>
      <c r="AA2014" s="3"/>
      <c r="AB2014" s="3"/>
      <c r="AC2014" s="3"/>
      <c r="AD2014" s="3"/>
      <c r="AE2014" s="3"/>
      <c r="AF2014" s="3"/>
      <c r="AG2014" s="3"/>
      <c r="AH2014" s="3"/>
    </row>
    <row r="2015" spans="1:34" ht="14.25" customHeight="1" x14ac:dyDescent="0.25">
      <c r="A2015" s="3"/>
      <c r="B2015" s="3"/>
      <c r="C2015" s="3"/>
      <c r="D2015" s="3"/>
      <c r="E2015" s="3"/>
      <c r="F2015" s="3"/>
      <c r="G2015" s="3"/>
      <c r="H2015" s="11"/>
      <c r="I2015" s="12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14"/>
      <c r="X2015" s="3"/>
      <c r="Y2015" s="14"/>
      <c r="Z2015" s="3"/>
      <c r="AA2015" s="3"/>
      <c r="AB2015" s="3"/>
      <c r="AC2015" s="3"/>
      <c r="AD2015" s="3"/>
      <c r="AE2015" s="3"/>
      <c r="AF2015" s="3"/>
      <c r="AG2015" s="3"/>
      <c r="AH2015" s="3"/>
    </row>
    <row r="2016" spans="1:34" ht="14.25" customHeight="1" x14ac:dyDescent="0.25">
      <c r="A2016" s="3"/>
      <c r="B2016" s="3"/>
      <c r="C2016" s="3"/>
      <c r="D2016" s="3"/>
      <c r="E2016" s="3"/>
      <c r="F2016" s="3"/>
      <c r="G2016" s="3"/>
      <c r="H2016" s="11"/>
      <c r="I2016" s="12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14"/>
      <c r="X2016" s="3"/>
      <c r="Y2016" s="14"/>
      <c r="Z2016" s="3"/>
      <c r="AA2016" s="3"/>
      <c r="AB2016" s="3"/>
      <c r="AC2016" s="3"/>
      <c r="AD2016" s="3"/>
      <c r="AE2016" s="3"/>
      <c r="AF2016" s="3"/>
      <c r="AG2016" s="3"/>
      <c r="AH2016" s="3"/>
    </row>
    <row r="2017" spans="1:34" ht="14.25" customHeight="1" x14ac:dyDescent="0.25">
      <c r="A2017" s="3"/>
      <c r="B2017" s="3"/>
      <c r="C2017" s="3"/>
      <c r="D2017" s="3"/>
      <c r="E2017" s="3"/>
      <c r="F2017" s="3"/>
      <c r="G2017" s="3"/>
      <c r="H2017" s="11"/>
      <c r="I2017" s="12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14"/>
      <c r="X2017" s="3"/>
      <c r="Y2017" s="14"/>
      <c r="Z2017" s="3"/>
      <c r="AA2017" s="3"/>
      <c r="AB2017" s="3"/>
      <c r="AC2017" s="3"/>
      <c r="AD2017" s="3"/>
      <c r="AE2017" s="3"/>
      <c r="AF2017" s="3"/>
      <c r="AG2017" s="3"/>
      <c r="AH2017" s="3"/>
    </row>
    <row r="2018" spans="1:34" ht="14.25" customHeight="1" x14ac:dyDescent="0.25">
      <c r="A2018" s="3"/>
      <c r="B2018" s="3"/>
      <c r="C2018" s="3"/>
      <c r="D2018" s="3"/>
      <c r="E2018" s="3"/>
      <c r="F2018" s="3"/>
      <c r="G2018" s="14"/>
      <c r="H2018" s="11"/>
      <c r="I2018" s="12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14"/>
      <c r="X2018" s="3"/>
      <c r="Y2018" s="14"/>
      <c r="Z2018" s="3"/>
      <c r="AA2018" s="3"/>
      <c r="AB2018" s="3"/>
      <c r="AC2018" s="3"/>
      <c r="AD2018" s="3"/>
      <c r="AE2018" s="3"/>
      <c r="AF2018" s="3"/>
      <c r="AG2018" s="3"/>
      <c r="AH2018" s="3"/>
    </row>
    <row r="2019" spans="1:34" ht="14.25" customHeight="1" x14ac:dyDescent="0.25">
      <c r="A2019" s="3"/>
      <c r="B2019" s="3"/>
      <c r="C2019" s="3"/>
      <c r="D2019" s="3"/>
      <c r="E2019" s="3"/>
      <c r="F2019" s="3"/>
      <c r="G2019" s="3"/>
      <c r="H2019" s="11"/>
      <c r="I2019" s="12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14"/>
      <c r="X2019" s="3"/>
      <c r="Y2019" s="14"/>
      <c r="Z2019" s="3"/>
      <c r="AA2019" s="3"/>
      <c r="AB2019" s="3"/>
      <c r="AC2019" s="3"/>
      <c r="AD2019" s="3"/>
      <c r="AE2019" s="3"/>
      <c r="AF2019" s="3"/>
      <c r="AG2019" s="3"/>
      <c r="AH2019" s="3"/>
    </row>
    <row r="2020" spans="1:34" ht="14.25" customHeight="1" x14ac:dyDescent="0.25">
      <c r="A2020" s="3"/>
      <c r="B2020" s="3"/>
      <c r="C2020" s="3"/>
      <c r="D2020" s="3"/>
      <c r="E2020" s="3"/>
      <c r="F2020" s="3"/>
      <c r="G2020" s="3"/>
      <c r="H2020" s="11"/>
      <c r="I2020" s="12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14"/>
      <c r="X2020" s="3"/>
      <c r="Y2020" s="14"/>
      <c r="Z2020" s="3"/>
      <c r="AA2020" s="3"/>
      <c r="AB2020" s="3"/>
      <c r="AC2020" s="3"/>
      <c r="AD2020" s="3"/>
      <c r="AE2020" s="3"/>
      <c r="AF2020" s="3"/>
      <c r="AG2020" s="3"/>
      <c r="AH2020" s="3"/>
    </row>
    <row r="2021" spans="1:34" ht="14.25" customHeight="1" x14ac:dyDescent="0.25">
      <c r="A2021" s="3"/>
      <c r="B2021" s="3"/>
      <c r="C2021" s="3"/>
      <c r="D2021" s="3"/>
      <c r="E2021" s="3"/>
      <c r="F2021" s="3"/>
      <c r="G2021" s="3"/>
      <c r="H2021" s="11"/>
      <c r="I2021" s="12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14"/>
      <c r="X2021" s="3"/>
      <c r="Y2021" s="14"/>
      <c r="Z2021" s="3"/>
      <c r="AA2021" s="3"/>
      <c r="AB2021" s="3"/>
      <c r="AC2021" s="3"/>
      <c r="AD2021" s="3"/>
      <c r="AE2021" s="3"/>
      <c r="AF2021" s="3"/>
      <c r="AG2021" s="3"/>
      <c r="AH2021" s="3"/>
    </row>
    <row r="2022" spans="1:34" ht="14.25" customHeight="1" x14ac:dyDescent="0.25">
      <c r="A2022" s="3"/>
      <c r="B2022" s="3"/>
      <c r="C2022" s="3"/>
      <c r="D2022" s="3"/>
      <c r="E2022" s="3"/>
      <c r="F2022" s="3"/>
      <c r="G2022" s="3"/>
      <c r="H2022" s="11"/>
      <c r="I2022" s="12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14"/>
      <c r="X2022" s="3"/>
      <c r="Y2022" s="14"/>
      <c r="Z2022" s="3"/>
      <c r="AA2022" s="3"/>
      <c r="AB2022" s="3"/>
      <c r="AC2022" s="3"/>
      <c r="AD2022" s="3"/>
      <c r="AE2022" s="3"/>
      <c r="AF2022" s="3"/>
      <c r="AG2022" s="3"/>
      <c r="AH2022" s="3"/>
    </row>
    <row r="2023" spans="1:34" ht="14.25" customHeight="1" x14ac:dyDescent="0.25">
      <c r="A2023" s="3"/>
      <c r="B2023" s="3"/>
      <c r="C2023" s="3"/>
      <c r="D2023" s="3"/>
      <c r="E2023" s="3"/>
      <c r="F2023" s="3"/>
      <c r="G2023" s="3"/>
      <c r="H2023" s="11"/>
      <c r="I2023" s="12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14"/>
      <c r="X2023" s="3"/>
      <c r="Y2023" s="14"/>
      <c r="Z2023" s="3"/>
      <c r="AA2023" s="3"/>
      <c r="AB2023" s="3"/>
      <c r="AC2023" s="3"/>
      <c r="AD2023" s="3"/>
      <c r="AE2023" s="3"/>
      <c r="AF2023" s="3"/>
      <c r="AG2023" s="3"/>
      <c r="AH2023" s="3"/>
    </row>
    <row r="2024" spans="1:34" ht="14.25" customHeight="1" x14ac:dyDescent="0.25">
      <c r="A2024" s="3"/>
      <c r="B2024" s="3"/>
      <c r="C2024" s="3"/>
      <c r="D2024" s="3"/>
      <c r="E2024" s="3"/>
      <c r="F2024" s="3"/>
      <c r="G2024" s="14"/>
      <c r="H2024" s="11"/>
      <c r="I2024" s="12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14"/>
      <c r="X2024" s="3"/>
      <c r="Y2024" s="14"/>
      <c r="Z2024" s="3"/>
      <c r="AA2024" s="3"/>
      <c r="AB2024" s="3"/>
      <c r="AC2024" s="3"/>
      <c r="AD2024" s="3"/>
      <c r="AE2024" s="3"/>
      <c r="AF2024" s="3"/>
      <c r="AG2024" s="3"/>
      <c r="AH2024" s="3"/>
    </row>
    <row r="2025" spans="1:34" ht="14.25" customHeight="1" x14ac:dyDescent="0.25">
      <c r="A2025" s="3"/>
      <c r="B2025" s="3"/>
      <c r="C2025" s="3"/>
      <c r="D2025" s="3"/>
      <c r="E2025" s="3"/>
      <c r="F2025" s="3"/>
      <c r="G2025" s="3"/>
      <c r="H2025" s="11"/>
      <c r="I2025" s="12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14"/>
      <c r="X2025" s="3"/>
      <c r="Y2025" s="14"/>
      <c r="Z2025" s="3"/>
      <c r="AA2025" s="3"/>
      <c r="AB2025" s="3"/>
      <c r="AC2025" s="3"/>
      <c r="AD2025" s="3"/>
      <c r="AE2025" s="3"/>
      <c r="AF2025" s="3"/>
      <c r="AG2025" s="3"/>
      <c r="AH2025" s="3"/>
    </row>
    <row r="2026" spans="1:34" ht="14.25" customHeight="1" x14ac:dyDescent="0.25">
      <c r="A2026" s="3"/>
      <c r="B2026" s="3"/>
      <c r="C2026" s="3"/>
      <c r="D2026" s="3"/>
      <c r="E2026" s="3"/>
      <c r="F2026" s="3"/>
      <c r="G2026" s="3"/>
      <c r="H2026" s="11"/>
      <c r="I2026" s="12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14"/>
      <c r="X2026" s="3"/>
      <c r="Y2026" s="14"/>
      <c r="Z2026" s="3"/>
      <c r="AA2026" s="3"/>
      <c r="AB2026" s="3"/>
      <c r="AC2026" s="3"/>
      <c r="AD2026" s="3"/>
      <c r="AE2026" s="3"/>
      <c r="AF2026" s="3"/>
      <c r="AG2026" s="3"/>
      <c r="AH2026" s="3"/>
    </row>
    <row r="2027" spans="1:34" ht="14.25" customHeight="1" x14ac:dyDescent="0.25">
      <c r="A2027" s="3"/>
      <c r="B2027" s="3"/>
      <c r="C2027" s="3"/>
      <c r="D2027" s="3"/>
      <c r="E2027" s="3"/>
      <c r="F2027" s="3"/>
      <c r="G2027" s="14"/>
      <c r="H2027" s="11"/>
      <c r="I2027" s="12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14"/>
      <c r="X2027" s="3"/>
      <c r="Y2027" s="14"/>
      <c r="Z2027" s="3"/>
      <c r="AA2027" s="3"/>
      <c r="AB2027" s="3"/>
      <c r="AC2027" s="3"/>
      <c r="AD2027" s="3"/>
      <c r="AE2027" s="3"/>
      <c r="AF2027" s="3"/>
      <c r="AG2027" s="3"/>
      <c r="AH2027" s="3"/>
    </row>
    <row r="2028" spans="1:34" ht="14.25" customHeight="1" x14ac:dyDescent="0.25">
      <c r="A2028" s="3"/>
      <c r="B2028" s="3"/>
      <c r="C2028" s="3"/>
      <c r="D2028" s="3"/>
      <c r="E2028" s="3"/>
      <c r="F2028" s="3"/>
      <c r="G2028" s="3"/>
      <c r="H2028" s="11"/>
      <c r="I2028" s="12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14"/>
      <c r="X2028" s="3"/>
      <c r="Y2028" s="14"/>
      <c r="Z2028" s="3"/>
      <c r="AA2028" s="3"/>
      <c r="AB2028" s="3"/>
      <c r="AC2028" s="3"/>
      <c r="AD2028" s="3"/>
      <c r="AE2028" s="3"/>
      <c r="AF2028" s="3"/>
      <c r="AG2028" s="3"/>
      <c r="AH2028" s="3"/>
    </row>
    <row r="2029" spans="1:34" ht="14.25" customHeight="1" x14ac:dyDescent="0.25">
      <c r="A2029" s="3"/>
      <c r="B2029" s="3"/>
      <c r="C2029" s="3"/>
      <c r="D2029" s="3"/>
      <c r="E2029" s="3"/>
      <c r="F2029" s="3"/>
      <c r="G2029" s="3"/>
      <c r="H2029" s="11"/>
      <c r="I2029" s="12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14"/>
      <c r="X2029" s="3"/>
      <c r="Y2029" s="14"/>
      <c r="Z2029" s="3"/>
      <c r="AA2029" s="3"/>
      <c r="AB2029" s="3"/>
      <c r="AC2029" s="3"/>
      <c r="AD2029" s="3"/>
      <c r="AE2029" s="3"/>
      <c r="AF2029" s="3"/>
      <c r="AG2029" s="3"/>
      <c r="AH2029" s="3"/>
    </row>
    <row r="2030" spans="1:34" ht="14.25" customHeight="1" x14ac:dyDescent="0.25">
      <c r="A2030" s="3"/>
      <c r="B2030" s="3"/>
      <c r="C2030" s="3"/>
      <c r="D2030" s="3"/>
      <c r="E2030" s="3"/>
      <c r="F2030" s="3"/>
      <c r="G2030" s="3"/>
      <c r="H2030" s="11"/>
      <c r="I2030" s="12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14"/>
      <c r="X2030" s="3"/>
      <c r="Y2030" s="14"/>
      <c r="Z2030" s="3"/>
      <c r="AA2030" s="3"/>
      <c r="AB2030" s="3"/>
      <c r="AC2030" s="3"/>
      <c r="AD2030" s="3"/>
      <c r="AE2030" s="3"/>
      <c r="AF2030" s="3"/>
      <c r="AG2030" s="3"/>
      <c r="AH2030" s="3"/>
    </row>
    <row r="2031" spans="1:34" ht="14.25" customHeight="1" x14ac:dyDescent="0.25">
      <c r="A2031" s="3"/>
      <c r="B2031" s="3"/>
      <c r="C2031" s="3"/>
      <c r="D2031" s="3"/>
      <c r="E2031" s="3"/>
      <c r="F2031" s="3"/>
      <c r="G2031" s="3"/>
      <c r="H2031" s="11"/>
      <c r="I2031" s="12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14"/>
      <c r="X2031" s="3"/>
      <c r="Y2031" s="14"/>
      <c r="Z2031" s="3"/>
      <c r="AA2031" s="3"/>
      <c r="AB2031" s="3"/>
      <c r="AC2031" s="3"/>
      <c r="AD2031" s="3"/>
      <c r="AE2031" s="3"/>
      <c r="AF2031" s="3"/>
      <c r="AG2031" s="3"/>
      <c r="AH2031" s="3"/>
    </row>
    <row r="2032" spans="1:34" ht="14.25" customHeight="1" x14ac:dyDescent="0.25">
      <c r="A2032" s="3"/>
      <c r="B2032" s="3"/>
      <c r="C2032" s="3"/>
      <c r="D2032" s="3"/>
      <c r="E2032" s="3"/>
      <c r="F2032" s="3"/>
      <c r="G2032" s="3"/>
      <c r="H2032" s="11"/>
      <c r="I2032" s="12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14"/>
      <c r="X2032" s="3"/>
      <c r="Y2032" s="14"/>
      <c r="Z2032" s="3"/>
      <c r="AA2032" s="3"/>
      <c r="AB2032" s="3"/>
      <c r="AC2032" s="3"/>
      <c r="AD2032" s="3"/>
      <c r="AE2032" s="3"/>
      <c r="AF2032" s="3"/>
      <c r="AG2032" s="3"/>
      <c r="AH2032" s="3"/>
    </row>
    <row r="2033" spans="1:34" ht="14.25" customHeight="1" x14ac:dyDescent="0.25">
      <c r="A2033" s="3"/>
      <c r="B2033" s="3"/>
      <c r="C2033" s="3"/>
      <c r="D2033" s="3"/>
      <c r="E2033" s="3"/>
      <c r="F2033" s="3"/>
      <c r="G2033" s="3"/>
      <c r="H2033" s="11"/>
      <c r="I2033" s="12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14"/>
      <c r="X2033" s="3"/>
      <c r="Y2033" s="14"/>
      <c r="Z2033" s="3"/>
      <c r="AA2033" s="3"/>
      <c r="AB2033" s="3"/>
      <c r="AC2033" s="3"/>
      <c r="AD2033" s="3"/>
      <c r="AE2033" s="3"/>
      <c r="AF2033" s="3"/>
      <c r="AG2033" s="3"/>
      <c r="AH2033" s="3"/>
    </row>
    <row r="2034" spans="1:34" ht="14.25" customHeight="1" x14ac:dyDescent="0.25">
      <c r="A2034" s="3"/>
      <c r="B2034" s="3"/>
      <c r="C2034" s="3"/>
      <c r="D2034" s="3"/>
      <c r="E2034" s="3"/>
      <c r="F2034" s="3"/>
      <c r="G2034" s="3"/>
      <c r="H2034" s="11"/>
      <c r="I2034" s="12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14"/>
      <c r="X2034" s="3"/>
      <c r="Y2034" s="14"/>
      <c r="Z2034" s="3"/>
      <c r="AA2034" s="3"/>
      <c r="AB2034" s="3"/>
      <c r="AC2034" s="3"/>
      <c r="AD2034" s="3"/>
      <c r="AE2034" s="3"/>
      <c r="AF2034" s="3"/>
      <c r="AG2034" s="3"/>
      <c r="AH2034" s="3"/>
    </row>
    <row r="2035" spans="1:34" ht="14.25" customHeight="1" x14ac:dyDescent="0.25">
      <c r="A2035" s="3"/>
      <c r="B2035" s="3"/>
      <c r="C2035" s="3"/>
      <c r="D2035" s="3"/>
      <c r="E2035" s="3"/>
      <c r="F2035" s="3"/>
      <c r="G2035" s="14"/>
      <c r="H2035" s="11"/>
      <c r="I2035" s="12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14"/>
      <c r="X2035" s="3"/>
      <c r="Y2035" s="14"/>
      <c r="Z2035" s="3"/>
      <c r="AA2035" s="3"/>
      <c r="AB2035" s="3"/>
      <c r="AC2035" s="3"/>
      <c r="AD2035" s="3"/>
      <c r="AE2035" s="3"/>
      <c r="AF2035" s="3"/>
      <c r="AG2035" s="3"/>
      <c r="AH2035" s="3"/>
    </row>
    <row r="2036" spans="1:34" ht="14.25" customHeight="1" x14ac:dyDescent="0.25">
      <c r="A2036" s="3"/>
      <c r="B2036" s="3"/>
      <c r="C2036" s="3"/>
      <c r="D2036" s="3"/>
      <c r="E2036" s="3"/>
      <c r="F2036" s="3"/>
      <c r="G2036" s="3"/>
      <c r="H2036" s="11"/>
      <c r="I2036" s="12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14"/>
      <c r="X2036" s="3"/>
      <c r="Y2036" s="14"/>
      <c r="Z2036" s="3"/>
      <c r="AA2036" s="3"/>
      <c r="AB2036" s="3"/>
      <c r="AC2036" s="3"/>
      <c r="AD2036" s="3"/>
      <c r="AE2036" s="3"/>
      <c r="AF2036" s="3"/>
      <c r="AG2036" s="3"/>
      <c r="AH2036" s="3"/>
    </row>
    <row r="2037" spans="1:34" ht="14.25" customHeight="1" x14ac:dyDescent="0.25">
      <c r="A2037" s="3"/>
      <c r="B2037" s="3"/>
      <c r="C2037" s="3"/>
      <c r="D2037" s="3"/>
      <c r="E2037" s="3"/>
      <c r="F2037" s="3"/>
      <c r="G2037" s="14"/>
      <c r="H2037" s="11"/>
      <c r="I2037" s="12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14"/>
      <c r="X2037" s="3"/>
      <c r="Y2037" s="14"/>
      <c r="Z2037" s="3"/>
      <c r="AA2037" s="3"/>
      <c r="AB2037" s="3"/>
      <c r="AC2037" s="3"/>
      <c r="AD2037" s="3"/>
      <c r="AE2037" s="3"/>
      <c r="AF2037" s="3"/>
      <c r="AG2037" s="3"/>
      <c r="AH2037" s="3"/>
    </row>
    <row r="2038" spans="1:34" ht="14.25" customHeight="1" x14ac:dyDescent="0.25">
      <c r="A2038" s="3"/>
      <c r="B2038" s="3"/>
      <c r="C2038" s="3"/>
      <c r="D2038" s="3"/>
      <c r="E2038" s="3"/>
      <c r="F2038" s="3"/>
      <c r="G2038" s="3"/>
      <c r="H2038" s="11"/>
      <c r="I2038" s="12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14"/>
      <c r="X2038" s="3"/>
      <c r="Y2038" s="14"/>
      <c r="Z2038" s="3"/>
      <c r="AA2038" s="3"/>
      <c r="AB2038" s="3"/>
      <c r="AC2038" s="3"/>
      <c r="AD2038" s="3"/>
      <c r="AE2038" s="3"/>
      <c r="AF2038" s="3"/>
      <c r="AG2038" s="3"/>
      <c r="AH2038" s="3"/>
    </row>
    <row r="2039" spans="1:34" ht="14.25" customHeight="1" x14ac:dyDescent="0.25">
      <c r="A2039" s="3"/>
      <c r="B2039" s="3"/>
      <c r="C2039" s="3"/>
      <c r="D2039" s="3"/>
      <c r="E2039" s="3"/>
      <c r="F2039" s="3"/>
      <c r="G2039" s="3"/>
      <c r="H2039" s="11"/>
      <c r="I2039" s="12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14"/>
      <c r="X2039" s="3"/>
      <c r="Y2039" s="14"/>
      <c r="Z2039" s="3"/>
      <c r="AA2039" s="3"/>
      <c r="AB2039" s="3"/>
      <c r="AC2039" s="3"/>
      <c r="AD2039" s="3"/>
      <c r="AE2039" s="3"/>
      <c r="AF2039" s="3"/>
      <c r="AG2039" s="3"/>
      <c r="AH2039" s="3"/>
    </row>
    <row r="2040" spans="1:34" ht="14.25" customHeight="1" x14ac:dyDescent="0.25">
      <c r="A2040" s="3"/>
      <c r="B2040" s="3"/>
      <c r="C2040" s="3"/>
      <c r="D2040" s="3"/>
      <c r="E2040" s="3"/>
      <c r="F2040" s="3"/>
      <c r="G2040" s="3"/>
      <c r="H2040" s="11"/>
      <c r="I2040" s="12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14"/>
      <c r="X2040" s="3"/>
      <c r="Y2040" s="14"/>
      <c r="Z2040" s="3"/>
      <c r="AA2040" s="3"/>
      <c r="AB2040" s="3"/>
      <c r="AC2040" s="3"/>
      <c r="AD2040" s="3"/>
      <c r="AE2040" s="3"/>
      <c r="AF2040" s="3"/>
      <c r="AG2040" s="3"/>
      <c r="AH2040" s="3"/>
    </row>
    <row r="2041" spans="1:34" ht="14.25" customHeight="1" x14ac:dyDescent="0.25">
      <c r="A2041" s="3"/>
      <c r="B2041" s="3"/>
      <c r="C2041" s="3"/>
      <c r="D2041" s="3"/>
      <c r="E2041" s="3"/>
      <c r="F2041" s="3"/>
      <c r="G2041" s="3"/>
      <c r="H2041" s="11"/>
      <c r="I2041" s="12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14"/>
      <c r="X2041" s="3"/>
      <c r="Y2041" s="14"/>
      <c r="Z2041" s="3"/>
      <c r="AA2041" s="3"/>
      <c r="AB2041" s="3"/>
      <c r="AC2041" s="3"/>
      <c r="AD2041" s="3"/>
      <c r="AE2041" s="3"/>
      <c r="AF2041" s="3"/>
      <c r="AG2041" s="3"/>
      <c r="AH2041" s="3"/>
    </row>
    <row r="2042" spans="1:34" ht="14.25" customHeight="1" x14ac:dyDescent="0.25">
      <c r="A2042" s="3"/>
      <c r="B2042" s="3"/>
      <c r="C2042" s="3"/>
      <c r="D2042" s="3"/>
      <c r="E2042" s="3"/>
      <c r="F2042" s="3"/>
      <c r="G2042" s="3"/>
      <c r="H2042" s="11"/>
      <c r="I2042" s="12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14"/>
      <c r="X2042" s="3"/>
      <c r="Y2042" s="14"/>
      <c r="Z2042" s="3"/>
      <c r="AA2042" s="3"/>
      <c r="AB2042" s="3"/>
      <c r="AC2042" s="3"/>
      <c r="AD2042" s="3"/>
      <c r="AE2042" s="3"/>
      <c r="AF2042" s="3"/>
      <c r="AG2042" s="3"/>
      <c r="AH2042" s="3"/>
    </row>
    <row r="2043" spans="1:34" ht="14.25" customHeight="1" x14ac:dyDescent="0.25">
      <c r="A2043" s="3"/>
      <c r="B2043" s="3"/>
      <c r="C2043" s="3"/>
      <c r="D2043" s="3"/>
      <c r="E2043" s="3"/>
      <c r="F2043" s="3"/>
      <c r="G2043" s="3"/>
      <c r="H2043" s="11"/>
      <c r="I2043" s="12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14"/>
      <c r="X2043" s="3"/>
      <c r="Y2043" s="14"/>
      <c r="Z2043" s="3"/>
      <c r="AA2043" s="3"/>
      <c r="AB2043" s="3"/>
      <c r="AC2043" s="3"/>
      <c r="AD2043" s="3"/>
      <c r="AE2043" s="3"/>
      <c r="AF2043" s="3"/>
      <c r="AG2043" s="3"/>
      <c r="AH2043" s="3"/>
    </row>
    <row r="2044" spans="1:34" ht="14.25" customHeight="1" x14ac:dyDescent="0.25">
      <c r="A2044" s="3"/>
      <c r="B2044" s="3"/>
      <c r="C2044" s="3"/>
      <c r="D2044" s="3"/>
      <c r="E2044" s="3"/>
      <c r="F2044" s="3"/>
      <c r="G2044" s="3"/>
      <c r="H2044" s="11"/>
      <c r="I2044" s="12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14"/>
      <c r="X2044" s="3"/>
      <c r="Y2044" s="14"/>
      <c r="Z2044" s="3"/>
      <c r="AA2044" s="3"/>
      <c r="AB2044" s="3"/>
      <c r="AC2044" s="3"/>
      <c r="AD2044" s="3"/>
      <c r="AE2044" s="3"/>
      <c r="AF2044" s="3"/>
      <c r="AG2044" s="3"/>
      <c r="AH2044" s="3"/>
    </row>
    <row r="2045" spans="1:34" ht="14.25" customHeight="1" x14ac:dyDescent="0.25">
      <c r="A2045" s="3"/>
      <c r="B2045" s="3"/>
      <c r="C2045" s="3"/>
      <c r="D2045" s="3"/>
      <c r="E2045" s="3"/>
      <c r="F2045" s="3"/>
      <c r="G2045" s="3"/>
      <c r="H2045" s="11"/>
      <c r="I2045" s="12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14"/>
      <c r="X2045" s="3"/>
      <c r="Y2045" s="14"/>
      <c r="Z2045" s="3"/>
      <c r="AA2045" s="3"/>
      <c r="AB2045" s="3"/>
      <c r="AC2045" s="3"/>
      <c r="AD2045" s="3"/>
      <c r="AE2045" s="3"/>
      <c r="AF2045" s="3"/>
      <c r="AG2045" s="3"/>
      <c r="AH2045" s="3"/>
    </row>
    <row r="2046" spans="1:34" ht="14.25" customHeight="1" x14ac:dyDescent="0.25">
      <c r="A2046" s="3"/>
      <c r="B2046" s="3"/>
      <c r="C2046" s="3"/>
      <c r="D2046" s="3"/>
      <c r="E2046" s="3"/>
      <c r="F2046" s="3"/>
      <c r="G2046" s="3"/>
      <c r="H2046" s="11"/>
      <c r="I2046" s="12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14"/>
      <c r="X2046" s="3"/>
      <c r="Y2046" s="14"/>
      <c r="Z2046" s="3"/>
      <c r="AA2046" s="3"/>
      <c r="AB2046" s="3"/>
      <c r="AC2046" s="3"/>
      <c r="AD2046" s="3"/>
      <c r="AE2046" s="3"/>
      <c r="AF2046" s="3"/>
      <c r="AG2046" s="3"/>
      <c r="AH2046" s="3"/>
    </row>
    <row r="2047" spans="1:34" ht="14.25" customHeight="1" x14ac:dyDescent="0.25">
      <c r="A2047" s="3"/>
      <c r="B2047" s="3"/>
      <c r="C2047" s="3"/>
      <c r="D2047" s="3"/>
      <c r="E2047" s="3"/>
      <c r="F2047" s="3"/>
      <c r="G2047" s="3"/>
      <c r="H2047" s="11"/>
      <c r="I2047" s="12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14"/>
      <c r="X2047" s="3"/>
      <c r="Y2047" s="14"/>
      <c r="Z2047" s="3"/>
      <c r="AA2047" s="3"/>
      <c r="AB2047" s="3"/>
      <c r="AC2047" s="3"/>
      <c r="AD2047" s="3"/>
      <c r="AE2047" s="3"/>
      <c r="AF2047" s="3"/>
      <c r="AG2047" s="3"/>
      <c r="AH2047" s="3"/>
    </row>
    <row r="2048" spans="1:34" ht="14.25" customHeight="1" x14ac:dyDescent="0.25">
      <c r="A2048" s="3"/>
      <c r="B2048" s="3"/>
      <c r="C2048" s="3"/>
      <c r="D2048" s="3"/>
      <c r="E2048" s="3"/>
      <c r="F2048" s="3"/>
      <c r="G2048" s="3"/>
      <c r="H2048" s="11"/>
      <c r="I2048" s="12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14"/>
      <c r="X2048" s="3"/>
      <c r="Y2048" s="14"/>
      <c r="Z2048" s="3"/>
      <c r="AA2048" s="3"/>
      <c r="AB2048" s="3"/>
      <c r="AC2048" s="3"/>
      <c r="AD2048" s="3"/>
      <c r="AE2048" s="3"/>
      <c r="AF2048" s="3"/>
      <c r="AG2048" s="3"/>
      <c r="AH2048" s="3"/>
    </row>
    <row r="2049" spans="1:34" ht="14.25" customHeight="1" x14ac:dyDescent="0.25">
      <c r="A2049" s="3"/>
      <c r="B2049" s="3"/>
      <c r="C2049" s="3"/>
      <c r="D2049" s="3"/>
      <c r="E2049" s="3"/>
      <c r="F2049" s="3"/>
      <c r="G2049" s="3"/>
      <c r="H2049" s="11"/>
      <c r="I2049" s="12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14"/>
      <c r="X2049" s="3"/>
      <c r="Y2049" s="14"/>
      <c r="Z2049" s="3"/>
      <c r="AA2049" s="3"/>
      <c r="AB2049" s="3"/>
      <c r="AC2049" s="3"/>
      <c r="AD2049" s="3"/>
      <c r="AE2049" s="3"/>
      <c r="AF2049" s="3"/>
      <c r="AG2049" s="3"/>
      <c r="AH2049" s="3"/>
    </row>
    <row r="2050" spans="1:34" ht="14.25" customHeight="1" x14ac:dyDescent="0.25">
      <c r="A2050" s="3"/>
      <c r="B2050" s="3"/>
      <c r="C2050" s="3"/>
      <c r="D2050" s="3"/>
      <c r="E2050" s="3"/>
      <c r="F2050" s="3"/>
      <c r="G2050" s="3"/>
      <c r="H2050" s="11"/>
      <c r="I2050" s="12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14"/>
      <c r="X2050" s="3"/>
      <c r="Y2050" s="14"/>
      <c r="Z2050" s="3"/>
      <c r="AA2050" s="3"/>
      <c r="AB2050" s="3"/>
      <c r="AC2050" s="3"/>
      <c r="AD2050" s="3"/>
      <c r="AE2050" s="3"/>
      <c r="AF2050" s="3"/>
      <c r="AG2050" s="3"/>
      <c r="AH2050" s="3"/>
    </row>
    <row r="2051" spans="1:34" ht="14.25" customHeight="1" x14ac:dyDescent="0.25">
      <c r="A2051" s="3"/>
      <c r="B2051" s="3"/>
      <c r="C2051" s="3"/>
      <c r="D2051" s="3"/>
      <c r="E2051" s="3"/>
      <c r="F2051" s="3"/>
      <c r="G2051" s="3"/>
      <c r="H2051" s="11"/>
      <c r="I2051" s="12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14"/>
      <c r="X2051" s="3"/>
      <c r="Y2051" s="14"/>
      <c r="Z2051" s="3"/>
      <c r="AA2051" s="3"/>
      <c r="AB2051" s="3"/>
      <c r="AC2051" s="3"/>
      <c r="AD2051" s="3"/>
      <c r="AE2051" s="3"/>
      <c r="AF2051" s="3"/>
      <c r="AG2051" s="3"/>
      <c r="AH2051" s="3"/>
    </row>
    <row r="2052" spans="1:34" ht="14.25" customHeight="1" x14ac:dyDescent="0.25">
      <c r="A2052" s="3"/>
      <c r="B2052" s="3"/>
      <c r="C2052" s="3"/>
      <c r="D2052" s="3"/>
      <c r="E2052" s="3"/>
      <c r="F2052" s="3"/>
      <c r="G2052" s="3"/>
      <c r="H2052" s="11"/>
      <c r="I2052" s="12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14"/>
      <c r="X2052" s="3"/>
      <c r="Y2052" s="14"/>
      <c r="Z2052" s="3"/>
      <c r="AA2052" s="3"/>
      <c r="AB2052" s="3"/>
      <c r="AC2052" s="3"/>
      <c r="AD2052" s="3"/>
      <c r="AE2052" s="3"/>
      <c r="AF2052" s="3"/>
      <c r="AG2052" s="3"/>
      <c r="AH2052" s="3"/>
    </row>
    <row r="2053" spans="1:34" ht="14.25" customHeight="1" x14ac:dyDescent="0.25">
      <c r="A2053" s="3"/>
      <c r="B2053" s="3"/>
      <c r="C2053" s="3"/>
      <c r="D2053" s="3"/>
      <c r="E2053" s="3"/>
      <c r="F2053" s="3"/>
      <c r="G2053" s="3"/>
      <c r="H2053" s="11"/>
      <c r="I2053" s="12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14"/>
      <c r="X2053" s="3"/>
      <c r="Y2053" s="14"/>
      <c r="Z2053" s="3"/>
      <c r="AA2053" s="3"/>
      <c r="AB2053" s="3"/>
      <c r="AC2053" s="3"/>
      <c r="AD2053" s="3"/>
      <c r="AE2053" s="3"/>
      <c r="AF2053" s="3"/>
      <c r="AG2053" s="3"/>
      <c r="AH2053" s="3"/>
    </row>
    <row r="2054" spans="1:34" ht="14.25" customHeight="1" x14ac:dyDescent="0.25">
      <c r="A2054" s="3"/>
      <c r="B2054" s="3"/>
      <c r="C2054" s="3"/>
      <c r="D2054" s="3"/>
      <c r="E2054" s="3"/>
      <c r="F2054" s="3"/>
      <c r="G2054" s="3"/>
      <c r="H2054" s="11"/>
      <c r="I2054" s="12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14"/>
      <c r="X2054" s="3"/>
      <c r="Y2054" s="14"/>
      <c r="Z2054" s="3"/>
      <c r="AA2054" s="3"/>
      <c r="AB2054" s="3"/>
      <c r="AC2054" s="3"/>
      <c r="AD2054" s="3"/>
      <c r="AE2054" s="3"/>
      <c r="AF2054" s="3"/>
      <c r="AG2054" s="3"/>
      <c r="AH2054" s="3"/>
    </row>
    <row r="2055" spans="1:34" ht="14.25" customHeight="1" x14ac:dyDescent="0.25">
      <c r="A2055" s="3"/>
      <c r="B2055" s="3"/>
      <c r="C2055" s="3"/>
      <c r="D2055" s="3"/>
      <c r="E2055" s="3"/>
      <c r="F2055" s="3"/>
      <c r="G2055" s="3"/>
      <c r="H2055" s="11"/>
      <c r="I2055" s="12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14"/>
      <c r="X2055" s="3"/>
      <c r="Y2055" s="14"/>
      <c r="Z2055" s="3"/>
      <c r="AA2055" s="3"/>
      <c r="AB2055" s="3"/>
      <c r="AC2055" s="3"/>
      <c r="AD2055" s="3"/>
      <c r="AE2055" s="3"/>
      <c r="AF2055" s="3"/>
      <c r="AG2055" s="3"/>
      <c r="AH2055" s="3"/>
    </row>
    <row r="2056" spans="1:34" ht="14.25" customHeight="1" x14ac:dyDescent="0.25">
      <c r="A2056" s="3"/>
      <c r="B2056" s="3"/>
      <c r="C2056" s="3"/>
      <c r="D2056" s="3"/>
      <c r="E2056" s="3"/>
      <c r="F2056" s="3"/>
      <c r="G2056" s="3"/>
      <c r="H2056" s="11"/>
      <c r="I2056" s="12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14"/>
      <c r="X2056" s="3"/>
      <c r="Y2056" s="14"/>
      <c r="Z2056" s="3"/>
      <c r="AA2056" s="3"/>
      <c r="AB2056" s="3"/>
      <c r="AC2056" s="3"/>
      <c r="AD2056" s="3"/>
      <c r="AE2056" s="3"/>
      <c r="AF2056" s="3"/>
      <c r="AG2056" s="3"/>
      <c r="AH2056" s="3"/>
    </row>
    <row r="2057" spans="1:34" ht="14.25" customHeight="1" x14ac:dyDescent="0.25">
      <c r="A2057" s="3"/>
      <c r="B2057" s="3"/>
      <c r="C2057" s="3"/>
      <c r="D2057" s="3"/>
      <c r="E2057" s="3"/>
      <c r="F2057" s="3"/>
      <c r="G2057" s="3"/>
      <c r="H2057" s="11"/>
      <c r="I2057" s="12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14"/>
      <c r="X2057" s="3"/>
      <c r="Y2057" s="14"/>
      <c r="Z2057" s="3"/>
      <c r="AA2057" s="3"/>
      <c r="AB2057" s="3"/>
      <c r="AC2057" s="3"/>
      <c r="AD2057" s="3"/>
      <c r="AE2057" s="3"/>
      <c r="AF2057" s="3"/>
      <c r="AG2057" s="3"/>
      <c r="AH2057" s="3"/>
    </row>
    <row r="2058" spans="1:34" ht="14.25" customHeight="1" x14ac:dyDescent="0.25">
      <c r="A2058" s="3"/>
      <c r="B2058" s="3"/>
      <c r="C2058" s="3"/>
      <c r="D2058" s="3"/>
      <c r="E2058" s="3"/>
      <c r="F2058" s="3"/>
      <c r="G2058" s="3"/>
      <c r="H2058" s="11"/>
      <c r="I2058" s="12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14"/>
      <c r="X2058" s="3"/>
      <c r="Y2058" s="14"/>
      <c r="Z2058" s="3"/>
      <c r="AA2058" s="3"/>
      <c r="AB2058" s="3"/>
      <c r="AC2058" s="3"/>
      <c r="AD2058" s="3"/>
      <c r="AE2058" s="3"/>
      <c r="AF2058" s="3"/>
      <c r="AG2058" s="3"/>
      <c r="AH2058" s="3"/>
    </row>
    <row r="2059" spans="1:34" ht="14.25" customHeight="1" x14ac:dyDescent="0.25">
      <c r="A2059" s="3"/>
      <c r="B2059" s="3"/>
      <c r="C2059" s="3"/>
      <c r="D2059" s="3"/>
      <c r="E2059" s="3"/>
      <c r="F2059" s="3"/>
      <c r="G2059" s="3"/>
      <c r="H2059" s="11"/>
      <c r="I2059" s="12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14"/>
      <c r="X2059" s="3"/>
      <c r="Y2059" s="14"/>
      <c r="Z2059" s="3"/>
      <c r="AA2059" s="3"/>
      <c r="AB2059" s="3"/>
      <c r="AC2059" s="3"/>
      <c r="AD2059" s="3"/>
      <c r="AE2059" s="3"/>
      <c r="AF2059" s="3"/>
      <c r="AG2059" s="3"/>
      <c r="AH2059" s="3"/>
    </row>
    <row r="2060" spans="1:34" ht="14.25" customHeight="1" x14ac:dyDescent="0.25">
      <c r="A2060" s="3"/>
      <c r="B2060" s="3"/>
      <c r="C2060" s="3"/>
      <c r="D2060" s="3"/>
      <c r="E2060" s="3"/>
      <c r="F2060" s="3"/>
      <c r="G2060" s="3"/>
      <c r="H2060" s="11"/>
      <c r="I2060" s="12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14"/>
      <c r="X2060" s="3"/>
      <c r="Y2060" s="14"/>
      <c r="Z2060" s="3"/>
      <c r="AA2060" s="3"/>
      <c r="AB2060" s="3"/>
      <c r="AC2060" s="3"/>
      <c r="AD2060" s="3"/>
      <c r="AE2060" s="3"/>
      <c r="AF2060" s="3"/>
      <c r="AG2060" s="3"/>
      <c r="AH2060" s="3"/>
    </row>
    <row r="2061" spans="1:34" ht="14.25" customHeight="1" x14ac:dyDescent="0.25">
      <c r="A2061" s="3"/>
      <c r="B2061" s="3"/>
      <c r="C2061" s="3"/>
      <c r="D2061" s="3"/>
      <c r="E2061" s="3"/>
      <c r="F2061" s="3"/>
      <c r="G2061" s="3"/>
      <c r="H2061" s="11"/>
      <c r="I2061" s="12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14"/>
      <c r="X2061" s="3"/>
      <c r="Y2061" s="14"/>
      <c r="Z2061" s="3"/>
      <c r="AA2061" s="3"/>
      <c r="AB2061" s="3"/>
      <c r="AC2061" s="3"/>
      <c r="AD2061" s="3"/>
      <c r="AE2061" s="3"/>
      <c r="AF2061" s="3"/>
      <c r="AG2061" s="3"/>
      <c r="AH2061" s="3"/>
    </row>
    <row r="2062" spans="1:34" ht="14.25" customHeight="1" x14ac:dyDescent="0.25">
      <c r="A2062" s="3"/>
      <c r="B2062" s="3"/>
      <c r="C2062" s="3"/>
      <c r="D2062" s="3"/>
      <c r="E2062" s="3"/>
      <c r="F2062" s="3"/>
      <c r="G2062" s="3"/>
      <c r="H2062" s="11"/>
      <c r="I2062" s="12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14"/>
      <c r="X2062" s="3"/>
      <c r="Y2062" s="14"/>
      <c r="Z2062" s="3"/>
      <c r="AA2062" s="3"/>
      <c r="AB2062" s="3"/>
      <c r="AC2062" s="3"/>
      <c r="AD2062" s="3"/>
      <c r="AE2062" s="3"/>
      <c r="AF2062" s="3"/>
      <c r="AG2062" s="3"/>
      <c r="AH2062" s="3"/>
    </row>
    <row r="2063" spans="1:34" ht="14.25" customHeight="1" x14ac:dyDescent="0.25">
      <c r="A2063" s="3"/>
      <c r="B2063" s="3"/>
      <c r="C2063" s="3"/>
      <c r="D2063" s="3"/>
      <c r="E2063" s="3"/>
      <c r="F2063" s="3"/>
      <c r="G2063" s="3"/>
      <c r="H2063" s="11"/>
      <c r="I2063" s="12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14"/>
      <c r="X2063" s="3"/>
      <c r="Y2063" s="14"/>
      <c r="Z2063" s="3"/>
      <c r="AA2063" s="3"/>
      <c r="AB2063" s="3"/>
      <c r="AC2063" s="3"/>
      <c r="AD2063" s="3"/>
      <c r="AE2063" s="3"/>
      <c r="AF2063" s="3"/>
      <c r="AG2063" s="3"/>
      <c r="AH2063" s="3"/>
    </row>
    <row r="2064" spans="1:34" ht="14.25" customHeight="1" x14ac:dyDescent="0.25">
      <c r="A2064" s="3"/>
      <c r="B2064" s="3"/>
      <c r="C2064" s="3"/>
      <c r="D2064" s="3"/>
      <c r="E2064" s="3"/>
      <c r="F2064" s="3"/>
      <c r="G2064" s="3"/>
      <c r="H2064" s="11"/>
      <c r="I2064" s="12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14"/>
      <c r="X2064" s="3"/>
      <c r="Y2064" s="14"/>
      <c r="Z2064" s="3"/>
      <c r="AA2064" s="3"/>
      <c r="AB2064" s="3"/>
      <c r="AC2064" s="3"/>
      <c r="AD2064" s="3"/>
      <c r="AE2064" s="3"/>
      <c r="AF2064" s="3"/>
      <c r="AG2064" s="3"/>
      <c r="AH2064" s="3"/>
    </row>
    <row r="2065" spans="1:34" ht="14.25" customHeight="1" x14ac:dyDescent="0.25">
      <c r="A2065" s="3"/>
      <c r="B2065" s="3"/>
      <c r="C2065" s="3"/>
      <c r="D2065" s="3"/>
      <c r="E2065" s="3"/>
      <c r="F2065" s="3"/>
      <c r="G2065" s="3"/>
      <c r="H2065" s="11"/>
      <c r="I2065" s="12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14"/>
      <c r="X2065" s="3"/>
      <c r="Y2065" s="14"/>
      <c r="Z2065" s="3"/>
      <c r="AA2065" s="3"/>
      <c r="AB2065" s="3"/>
      <c r="AC2065" s="3"/>
      <c r="AD2065" s="3"/>
      <c r="AE2065" s="3"/>
      <c r="AF2065" s="3"/>
      <c r="AG2065" s="3"/>
      <c r="AH2065" s="3"/>
    </row>
    <row r="2066" spans="1:34" ht="14.25" customHeight="1" x14ac:dyDescent="0.25">
      <c r="A2066" s="3"/>
      <c r="B2066" s="3"/>
      <c r="C2066" s="3"/>
      <c r="D2066" s="3"/>
      <c r="E2066" s="3"/>
      <c r="F2066" s="3"/>
      <c r="G2066" s="3"/>
      <c r="H2066" s="11"/>
      <c r="I2066" s="12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14"/>
      <c r="X2066" s="3"/>
      <c r="Y2066" s="14"/>
      <c r="Z2066" s="3"/>
      <c r="AA2066" s="3"/>
      <c r="AB2066" s="3"/>
      <c r="AC2066" s="3"/>
      <c r="AD2066" s="3"/>
      <c r="AE2066" s="3"/>
      <c r="AF2066" s="3"/>
      <c r="AG2066" s="3"/>
      <c r="AH2066" s="3"/>
    </row>
    <row r="2067" spans="1:34" ht="14.25" customHeight="1" x14ac:dyDescent="0.25">
      <c r="A2067" s="3"/>
      <c r="B2067" s="3"/>
      <c r="C2067" s="3"/>
      <c r="D2067" s="3"/>
      <c r="E2067" s="3"/>
      <c r="F2067" s="3"/>
      <c r="G2067" s="3"/>
      <c r="H2067" s="11"/>
      <c r="I2067" s="12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14"/>
      <c r="X2067" s="3"/>
      <c r="Y2067" s="14"/>
      <c r="Z2067" s="3"/>
      <c r="AA2067" s="3"/>
      <c r="AB2067" s="3"/>
      <c r="AC2067" s="3"/>
      <c r="AD2067" s="3"/>
      <c r="AE2067" s="3"/>
      <c r="AF2067" s="3"/>
      <c r="AG2067" s="3"/>
      <c r="AH2067" s="3"/>
    </row>
    <row r="2068" spans="1:34" ht="14.25" customHeight="1" x14ac:dyDescent="0.25">
      <c r="A2068" s="3"/>
      <c r="B2068" s="3"/>
      <c r="C2068" s="3"/>
      <c r="D2068" s="3"/>
      <c r="E2068" s="3"/>
      <c r="F2068" s="3"/>
      <c r="G2068" s="3"/>
      <c r="H2068" s="11"/>
      <c r="I2068" s="12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14"/>
      <c r="X2068" s="3"/>
      <c r="Y2068" s="14"/>
      <c r="Z2068" s="3"/>
      <c r="AA2068" s="3"/>
      <c r="AB2068" s="3"/>
      <c r="AC2068" s="3"/>
      <c r="AD2068" s="3"/>
      <c r="AE2068" s="3"/>
      <c r="AF2068" s="3"/>
      <c r="AG2068" s="3"/>
      <c r="AH2068" s="3"/>
    </row>
    <row r="2069" spans="1:34" ht="14.25" customHeight="1" x14ac:dyDescent="0.25">
      <c r="A2069" s="3"/>
      <c r="B2069" s="3"/>
      <c r="C2069" s="3"/>
      <c r="D2069" s="3"/>
      <c r="E2069" s="3"/>
      <c r="F2069" s="3"/>
      <c r="G2069" s="3"/>
      <c r="H2069" s="11"/>
      <c r="I2069" s="12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14"/>
      <c r="X2069" s="3"/>
      <c r="Y2069" s="14"/>
      <c r="Z2069" s="3"/>
      <c r="AA2069" s="3"/>
      <c r="AB2069" s="3"/>
      <c r="AC2069" s="3"/>
      <c r="AD2069" s="3"/>
      <c r="AE2069" s="3"/>
      <c r="AF2069" s="3"/>
      <c r="AG2069" s="3"/>
      <c r="AH2069" s="3"/>
    </row>
    <row r="2070" spans="1:34" ht="14.25" customHeight="1" x14ac:dyDescent="0.25">
      <c r="A2070" s="3"/>
      <c r="B2070" s="3"/>
      <c r="C2070" s="3"/>
      <c r="D2070" s="3"/>
      <c r="E2070" s="3"/>
      <c r="F2070" s="3"/>
      <c r="G2070" s="3"/>
      <c r="H2070" s="11"/>
      <c r="I2070" s="12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14"/>
      <c r="X2070" s="3"/>
      <c r="Y2070" s="14"/>
      <c r="Z2070" s="3"/>
      <c r="AA2070" s="3"/>
      <c r="AB2070" s="3"/>
      <c r="AC2070" s="3"/>
      <c r="AD2070" s="3"/>
      <c r="AE2070" s="3"/>
      <c r="AF2070" s="3"/>
      <c r="AG2070" s="3"/>
      <c r="AH2070" s="3"/>
    </row>
    <row r="2071" spans="1:34" ht="14.25" customHeight="1" x14ac:dyDescent="0.25">
      <c r="A2071" s="3"/>
      <c r="B2071" s="3"/>
      <c r="C2071" s="3"/>
      <c r="D2071" s="3"/>
      <c r="E2071" s="3"/>
      <c r="F2071" s="3"/>
      <c r="G2071" s="3"/>
      <c r="H2071" s="11"/>
      <c r="I2071" s="12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14"/>
      <c r="X2071" s="3"/>
      <c r="Y2071" s="14"/>
      <c r="Z2071" s="3"/>
      <c r="AA2071" s="3"/>
      <c r="AB2071" s="3"/>
      <c r="AC2071" s="3"/>
      <c r="AD2071" s="3"/>
      <c r="AE2071" s="3"/>
      <c r="AF2071" s="3"/>
      <c r="AG2071" s="3"/>
      <c r="AH2071" s="3"/>
    </row>
    <row r="2072" spans="1:34" ht="14.25" customHeight="1" x14ac:dyDescent="0.25">
      <c r="A2072" s="3"/>
      <c r="B2072" s="3"/>
      <c r="C2072" s="3"/>
      <c r="D2072" s="3"/>
      <c r="E2072" s="3"/>
      <c r="F2072" s="3"/>
      <c r="G2072" s="3"/>
      <c r="H2072" s="11"/>
      <c r="I2072" s="12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14"/>
      <c r="X2072" s="3"/>
      <c r="Y2072" s="14"/>
      <c r="Z2072" s="3"/>
      <c r="AA2072" s="3"/>
      <c r="AB2072" s="3"/>
      <c r="AC2072" s="3"/>
      <c r="AD2072" s="3"/>
      <c r="AE2072" s="3"/>
      <c r="AF2072" s="3"/>
      <c r="AG2072" s="3"/>
      <c r="AH2072" s="3"/>
    </row>
    <row r="2073" spans="1:34" ht="14.25" customHeight="1" x14ac:dyDescent="0.25">
      <c r="A2073" s="3"/>
      <c r="B2073" s="3"/>
      <c r="C2073" s="3"/>
      <c r="D2073" s="3"/>
      <c r="E2073" s="3"/>
      <c r="F2073" s="3"/>
      <c r="G2073" s="3"/>
      <c r="H2073" s="11"/>
      <c r="I2073" s="12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14"/>
      <c r="X2073" s="3"/>
      <c r="Y2073" s="14"/>
      <c r="Z2073" s="3"/>
      <c r="AA2073" s="3"/>
      <c r="AB2073" s="3"/>
      <c r="AC2073" s="3"/>
      <c r="AD2073" s="3"/>
      <c r="AE2073" s="3"/>
      <c r="AF2073" s="3"/>
      <c r="AG2073" s="3"/>
      <c r="AH2073" s="3"/>
    </row>
    <row r="2074" spans="1:34" ht="14.25" customHeight="1" x14ac:dyDescent="0.25">
      <c r="A2074" s="3"/>
      <c r="B2074" s="3"/>
      <c r="C2074" s="3"/>
      <c r="D2074" s="3"/>
      <c r="E2074" s="3"/>
      <c r="F2074" s="3"/>
      <c r="G2074" s="3"/>
      <c r="H2074" s="11"/>
      <c r="I2074" s="12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14"/>
      <c r="X2074" s="3"/>
      <c r="Y2074" s="14"/>
      <c r="Z2074" s="3"/>
      <c r="AA2074" s="3"/>
      <c r="AB2074" s="3"/>
      <c r="AC2074" s="3"/>
      <c r="AD2074" s="3"/>
      <c r="AE2074" s="3"/>
      <c r="AF2074" s="3"/>
      <c r="AG2074" s="3"/>
      <c r="AH2074" s="3"/>
    </row>
    <row r="2075" spans="1:34" ht="14.25" customHeight="1" x14ac:dyDescent="0.25">
      <c r="A2075" s="3"/>
      <c r="B2075" s="3"/>
      <c r="C2075" s="3"/>
      <c r="D2075" s="3"/>
      <c r="E2075" s="3"/>
      <c r="F2075" s="3"/>
      <c r="G2075" s="3"/>
      <c r="H2075" s="11"/>
      <c r="I2075" s="12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14"/>
      <c r="X2075" s="3"/>
      <c r="Y2075" s="14"/>
      <c r="Z2075" s="3"/>
      <c r="AA2075" s="3"/>
      <c r="AB2075" s="3"/>
      <c r="AC2075" s="3"/>
      <c r="AD2075" s="3"/>
      <c r="AE2075" s="3"/>
      <c r="AF2075" s="3"/>
      <c r="AG2075" s="3"/>
      <c r="AH2075" s="3"/>
    </row>
    <row r="2076" spans="1:34" ht="14.25" customHeight="1" x14ac:dyDescent="0.25">
      <c r="A2076" s="3"/>
      <c r="B2076" s="3"/>
      <c r="C2076" s="3"/>
      <c r="D2076" s="3"/>
      <c r="E2076" s="3"/>
      <c r="F2076" s="3"/>
      <c r="G2076" s="3"/>
      <c r="H2076" s="11"/>
      <c r="I2076" s="12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14"/>
      <c r="X2076" s="3"/>
      <c r="Y2076" s="14"/>
      <c r="Z2076" s="3"/>
      <c r="AA2076" s="3"/>
      <c r="AB2076" s="3"/>
      <c r="AC2076" s="3"/>
      <c r="AD2076" s="3"/>
      <c r="AE2076" s="3"/>
      <c r="AF2076" s="3"/>
      <c r="AG2076" s="3"/>
      <c r="AH2076" s="3"/>
    </row>
    <row r="2077" spans="1:34" ht="14.25" customHeight="1" x14ac:dyDescent="0.25">
      <c r="A2077" s="3"/>
      <c r="B2077" s="3"/>
      <c r="C2077" s="3"/>
      <c r="D2077" s="3"/>
      <c r="E2077" s="3"/>
      <c r="F2077" s="3"/>
      <c r="G2077" s="3"/>
      <c r="H2077" s="11"/>
      <c r="I2077" s="12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14"/>
      <c r="X2077" s="3"/>
      <c r="Y2077" s="14"/>
      <c r="Z2077" s="3"/>
      <c r="AA2077" s="3"/>
      <c r="AB2077" s="3"/>
      <c r="AC2077" s="3"/>
      <c r="AD2077" s="3"/>
      <c r="AE2077" s="3"/>
      <c r="AF2077" s="3"/>
      <c r="AG2077" s="3"/>
      <c r="AH2077" s="3"/>
    </row>
    <row r="2078" spans="1:34" ht="14.25" customHeight="1" x14ac:dyDescent="0.25">
      <c r="A2078" s="3"/>
      <c r="B2078" s="3"/>
      <c r="C2078" s="3"/>
      <c r="D2078" s="3"/>
      <c r="E2078" s="3"/>
      <c r="F2078" s="3"/>
      <c r="G2078" s="3"/>
      <c r="H2078" s="11"/>
      <c r="I2078" s="12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14"/>
      <c r="X2078" s="3"/>
      <c r="Y2078" s="14"/>
      <c r="Z2078" s="3"/>
      <c r="AA2078" s="3"/>
      <c r="AB2078" s="3"/>
      <c r="AC2078" s="3"/>
      <c r="AD2078" s="3"/>
      <c r="AE2078" s="3"/>
      <c r="AF2078" s="3"/>
      <c r="AG2078" s="3"/>
      <c r="AH2078" s="3"/>
    </row>
    <row r="2079" spans="1:34" ht="14.25" customHeight="1" x14ac:dyDescent="0.25">
      <c r="A2079" s="3"/>
      <c r="B2079" s="3"/>
      <c r="C2079" s="3"/>
      <c r="D2079" s="3"/>
      <c r="E2079" s="3"/>
      <c r="F2079" s="3"/>
      <c r="G2079" s="3"/>
      <c r="H2079" s="11"/>
      <c r="I2079" s="12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14"/>
      <c r="X2079" s="3"/>
      <c r="Y2079" s="14"/>
      <c r="Z2079" s="3"/>
      <c r="AA2079" s="3"/>
      <c r="AB2079" s="3"/>
      <c r="AC2079" s="3"/>
      <c r="AD2079" s="3"/>
      <c r="AE2079" s="3"/>
      <c r="AF2079" s="3"/>
      <c r="AG2079" s="3"/>
      <c r="AH2079" s="3"/>
    </row>
    <row r="2080" spans="1:34" ht="14.25" customHeight="1" x14ac:dyDescent="0.25">
      <c r="A2080" s="3"/>
      <c r="B2080" s="3"/>
      <c r="C2080" s="3"/>
      <c r="D2080" s="3"/>
      <c r="E2080" s="3"/>
      <c r="F2080" s="3"/>
      <c r="G2080" s="3"/>
      <c r="H2080" s="11"/>
      <c r="I2080" s="12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14"/>
      <c r="X2080" s="3"/>
      <c r="Y2080" s="14"/>
      <c r="Z2080" s="3"/>
      <c r="AA2080" s="3"/>
      <c r="AB2080" s="3"/>
      <c r="AC2080" s="3"/>
      <c r="AD2080" s="3"/>
      <c r="AE2080" s="3"/>
      <c r="AF2080" s="3"/>
      <c r="AG2080" s="3"/>
      <c r="AH2080" s="3"/>
    </row>
    <row r="2081" spans="1:34" ht="14.25" customHeight="1" x14ac:dyDescent="0.25">
      <c r="A2081" s="3"/>
      <c r="B2081" s="3"/>
      <c r="C2081" s="3"/>
      <c r="D2081" s="3"/>
      <c r="E2081" s="3"/>
      <c r="F2081" s="3"/>
      <c r="G2081" s="3"/>
      <c r="H2081" s="11"/>
      <c r="I2081" s="12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14"/>
      <c r="X2081" s="3"/>
      <c r="Y2081" s="14"/>
      <c r="Z2081" s="3"/>
      <c r="AA2081" s="3"/>
      <c r="AB2081" s="3"/>
      <c r="AC2081" s="3"/>
      <c r="AD2081" s="3"/>
      <c r="AE2081" s="3"/>
      <c r="AF2081" s="3"/>
      <c r="AG2081" s="3"/>
      <c r="AH2081" s="3"/>
    </row>
    <row r="2082" spans="1:34" ht="14.25" customHeight="1" x14ac:dyDescent="0.25">
      <c r="A2082" s="3"/>
      <c r="B2082" s="3"/>
      <c r="C2082" s="3"/>
      <c r="D2082" s="3"/>
      <c r="E2082" s="3"/>
      <c r="F2082" s="3"/>
      <c r="G2082" s="3"/>
      <c r="H2082" s="11"/>
      <c r="I2082" s="12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14"/>
      <c r="X2082" s="3"/>
      <c r="Y2082" s="14"/>
      <c r="Z2082" s="3"/>
      <c r="AA2082" s="3"/>
      <c r="AB2082" s="3"/>
      <c r="AC2082" s="3"/>
      <c r="AD2082" s="3"/>
      <c r="AE2082" s="3"/>
      <c r="AF2082" s="3"/>
      <c r="AG2082" s="3"/>
      <c r="AH2082" s="3"/>
    </row>
    <row r="2083" spans="1:34" ht="14.25" customHeight="1" x14ac:dyDescent="0.25">
      <c r="A2083" s="3"/>
      <c r="B2083" s="3"/>
      <c r="C2083" s="3"/>
      <c r="D2083" s="3"/>
      <c r="E2083" s="3"/>
      <c r="F2083" s="3"/>
      <c r="G2083" s="3"/>
      <c r="H2083" s="11"/>
      <c r="I2083" s="12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14"/>
      <c r="X2083" s="3"/>
      <c r="Y2083" s="14"/>
      <c r="Z2083" s="3"/>
      <c r="AA2083" s="3"/>
      <c r="AB2083" s="3"/>
      <c r="AC2083" s="3"/>
      <c r="AD2083" s="3"/>
      <c r="AE2083" s="3"/>
      <c r="AF2083" s="3"/>
      <c r="AG2083" s="3"/>
      <c r="AH2083" s="3"/>
    </row>
    <row r="2084" spans="1:34" ht="14.25" customHeight="1" x14ac:dyDescent="0.25">
      <c r="A2084" s="3"/>
      <c r="B2084" s="3"/>
      <c r="C2084" s="3"/>
      <c r="D2084" s="3"/>
      <c r="E2084" s="3"/>
      <c r="F2084" s="3"/>
      <c r="G2084" s="3"/>
      <c r="H2084" s="11"/>
      <c r="I2084" s="12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14"/>
      <c r="X2084" s="3"/>
      <c r="Y2084" s="14"/>
      <c r="Z2084" s="3"/>
      <c r="AA2084" s="3"/>
      <c r="AB2084" s="3"/>
      <c r="AC2084" s="3"/>
      <c r="AD2084" s="3"/>
      <c r="AE2084" s="3"/>
      <c r="AF2084" s="3"/>
      <c r="AG2084" s="3"/>
      <c r="AH2084" s="3"/>
    </row>
    <row r="2085" spans="1:34" ht="14.25" customHeight="1" x14ac:dyDescent="0.25">
      <c r="A2085" s="3"/>
      <c r="B2085" s="3"/>
      <c r="C2085" s="3"/>
      <c r="D2085" s="3"/>
      <c r="E2085" s="3"/>
      <c r="F2085" s="3"/>
      <c r="G2085" s="3"/>
      <c r="H2085" s="11"/>
      <c r="I2085" s="12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14"/>
      <c r="X2085" s="3"/>
      <c r="Y2085" s="14"/>
      <c r="Z2085" s="3"/>
      <c r="AA2085" s="3"/>
      <c r="AB2085" s="3"/>
      <c r="AC2085" s="3"/>
      <c r="AD2085" s="3"/>
      <c r="AE2085" s="3"/>
      <c r="AF2085" s="3"/>
      <c r="AG2085" s="3"/>
      <c r="AH2085" s="3"/>
    </row>
    <row r="2086" spans="1:34" ht="14.25" customHeight="1" x14ac:dyDescent="0.25">
      <c r="A2086" s="3"/>
      <c r="B2086" s="3"/>
      <c r="C2086" s="3"/>
      <c r="D2086" s="3"/>
      <c r="E2086" s="3"/>
      <c r="F2086" s="3"/>
      <c r="G2086" s="3"/>
      <c r="H2086" s="11"/>
      <c r="I2086" s="12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14"/>
      <c r="X2086" s="3"/>
      <c r="Y2086" s="14"/>
      <c r="Z2086" s="3"/>
      <c r="AA2086" s="3"/>
      <c r="AB2086" s="3"/>
      <c r="AC2086" s="3"/>
      <c r="AD2086" s="3"/>
      <c r="AE2086" s="3"/>
      <c r="AF2086" s="3"/>
      <c r="AG2086" s="3"/>
      <c r="AH2086" s="3"/>
    </row>
    <row r="2087" spans="1:34" ht="14.25" customHeight="1" x14ac:dyDescent="0.25">
      <c r="A2087" s="3"/>
      <c r="B2087" s="3"/>
      <c r="C2087" s="3"/>
      <c r="D2087" s="3"/>
      <c r="E2087" s="3"/>
      <c r="F2087" s="3"/>
      <c r="G2087" s="3"/>
      <c r="H2087" s="11"/>
      <c r="I2087" s="12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14"/>
      <c r="X2087" s="3"/>
      <c r="Y2087" s="14"/>
      <c r="Z2087" s="3"/>
      <c r="AA2087" s="3"/>
      <c r="AB2087" s="3"/>
      <c r="AC2087" s="3"/>
      <c r="AD2087" s="3"/>
      <c r="AE2087" s="3"/>
      <c r="AF2087" s="3"/>
      <c r="AG2087" s="3"/>
      <c r="AH2087" s="3"/>
    </row>
    <row r="2088" spans="1:34" ht="14.25" customHeight="1" x14ac:dyDescent="0.25">
      <c r="A2088" s="3"/>
      <c r="B2088" s="3"/>
      <c r="C2088" s="3"/>
      <c r="D2088" s="3"/>
      <c r="E2088" s="3"/>
      <c r="F2088" s="3"/>
      <c r="G2088" s="3"/>
      <c r="H2088" s="11"/>
      <c r="I2088" s="12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14"/>
      <c r="X2088" s="3"/>
      <c r="Y2088" s="14"/>
      <c r="Z2088" s="3"/>
      <c r="AA2088" s="3"/>
      <c r="AB2088" s="3"/>
      <c r="AC2088" s="3"/>
      <c r="AD2088" s="3"/>
      <c r="AE2088" s="3"/>
      <c r="AF2088" s="3"/>
      <c r="AG2088" s="3"/>
      <c r="AH2088" s="3"/>
    </row>
    <row r="2089" spans="1:34" ht="14.25" customHeight="1" x14ac:dyDescent="0.25">
      <c r="A2089" s="3"/>
      <c r="B2089" s="3"/>
      <c r="C2089" s="3"/>
      <c r="D2089" s="3"/>
      <c r="E2089" s="3"/>
      <c r="F2089" s="3"/>
      <c r="G2089" s="3"/>
      <c r="H2089" s="11"/>
      <c r="I2089" s="12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14"/>
      <c r="X2089" s="3"/>
      <c r="Y2089" s="14"/>
      <c r="Z2089" s="3"/>
      <c r="AA2089" s="3"/>
      <c r="AB2089" s="3"/>
      <c r="AC2089" s="3"/>
      <c r="AD2089" s="3"/>
      <c r="AE2089" s="3"/>
      <c r="AF2089" s="3"/>
      <c r="AG2089" s="3"/>
      <c r="AH2089" s="3"/>
    </row>
    <row r="2090" spans="1:34" ht="14.25" customHeight="1" x14ac:dyDescent="0.25">
      <c r="A2090" s="3"/>
      <c r="B2090" s="3"/>
      <c r="C2090" s="3"/>
      <c r="D2090" s="3"/>
      <c r="E2090" s="3"/>
      <c r="F2090" s="3"/>
      <c r="G2090" s="3"/>
      <c r="H2090" s="11"/>
      <c r="I2090" s="12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14"/>
      <c r="X2090" s="3"/>
      <c r="Y2090" s="14"/>
      <c r="Z2090" s="3"/>
      <c r="AA2090" s="3"/>
      <c r="AB2090" s="3"/>
      <c r="AC2090" s="3"/>
      <c r="AD2090" s="3"/>
      <c r="AE2090" s="3"/>
      <c r="AF2090" s="3"/>
      <c r="AG2090" s="3"/>
      <c r="AH2090" s="3"/>
    </row>
    <row r="2091" spans="1:34" ht="14.25" customHeight="1" x14ac:dyDescent="0.25">
      <c r="A2091" s="3"/>
      <c r="B2091" s="3"/>
      <c r="C2091" s="3"/>
      <c r="D2091" s="3"/>
      <c r="E2091" s="3"/>
      <c r="F2091" s="3"/>
      <c r="G2091" s="3"/>
      <c r="H2091" s="11"/>
      <c r="I2091" s="12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14"/>
      <c r="X2091" s="3"/>
      <c r="Y2091" s="14"/>
      <c r="Z2091" s="3"/>
      <c r="AA2091" s="3"/>
      <c r="AB2091" s="3"/>
      <c r="AC2091" s="3"/>
      <c r="AD2091" s="3"/>
      <c r="AE2091" s="3"/>
      <c r="AF2091" s="3"/>
      <c r="AG2091" s="3"/>
      <c r="AH2091" s="3"/>
    </row>
    <row r="2092" spans="1:34" ht="14.25" customHeight="1" x14ac:dyDescent="0.25">
      <c r="A2092" s="3"/>
      <c r="B2092" s="3"/>
      <c r="C2092" s="3"/>
      <c r="D2092" s="3"/>
      <c r="E2092" s="3"/>
      <c r="F2092" s="3"/>
      <c r="G2092" s="3"/>
      <c r="H2092" s="11"/>
      <c r="I2092" s="12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14"/>
      <c r="X2092" s="3"/>
      <c r="Y2092" s="14"/>
      <c r="Z2092" s="3"/>
      <c r="AA2092" s="3"/>
      <c r="AB2092" s="3"/>
      <c r="AC2092" s="3"/>
      <c r="AD2092" s="3"/>
      <c r="AE2092" s="3"/>
      <c r="AF2092" s="3"/>
      <c r="AG2092" s="3"/>
      <c r="AH2092" s="3"/>
    </row>
    <row r="2093" spans="1:34" ht="14.25" customHeight="1" x14ac:dyDescent="0.25">
      <c r="A2093" s="3"/>
      <c r="B2093" s="3"/>
      <c r="C2093" s="3"/>
      <c r="D2093" s="3"/>
      <c r="E2093" s="3"/>
      <c r="F2093" s="3"/>
      <c r="G2093" s="3"/>
      <c r="H2093" s="11"/>
      <c r="I2093" s="12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14"/>
      <c r="X2093" s="3"/>
      <c r="Y2093" s="14"/>
      <c r="Z2093" s="3"/>
      <c r="AA2093" s="3"/>
      <c r="AB2093" s="3"/>
      <c r="AC2093" s="3"/>
      <c r="AD2093" s="3"/>
      <c r="AE2093" s="3"/>
      <c r="AF2093" s="3"/>
      <c r="AG2093" s="3"/>
      <c r="AH2093" s="3"/>
    </row>
    <row r="2094" spans="1:34" ht="14.25" customHeight="1" x14ac:dyDescent="0.25">
      <c r="A2094" s="3"/>
      <c r="B2094" s="3"/>
      <c r="C2094" s="3"/>
      <c r="D2094" s="3"/>
      <c r="E2094" s="3"/>
      <c r="F2094" s="3"/>
      <c r="G2094" s="3"/>
      <c r="H2094" s="11"/>
      <c r="I2094" s="12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14"/>
      <c r="X2094" s="3"/>
      <c r="Y2094" s="14"/>
      <c r="Z2094" s="3"/>
      <c r="AA2094" s="3"/>
      <c r="AB2094" s="3"/>
      <c r="AC2094" s="3"/>
      <c r="AD2094" s="3"/>
      <c r="AE2094" s="3"/>
      <c r="AF2094" s="3"/>
      <c r="AG2094" s="3"/>
      <c r="AH2094" s="3"/>
    </row>
    <row r="2095" spans="1:34" ht="14.25" customHeight="1" x14ac:dyDescent="0.25">
      <c r="A2095" s="3"/>
      <c r="B2095" s="3"/>
      <c r="C2095" s="3"/>
      <c r="D2095" s="3"/>
      <c r="E2095" s="3"/>
      <c r="F2095" s="3"/>
      <c r="G2095" s="3"/>
      <c r="H2095" s="11"/>
      <c r="I2095" s="12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14"/>
      <c r="X2095" s="3"/>
      <c r="Y2095" s="14"/>
      <c r="Z2095" s="3"/>
      <c r="AA2095" s="3"/>
      <c r="AB2095" s="3"/>
      <c r="AC2095" s="3"/>
      <c r="AD2095" s="3"/>
      <c r="AE2095" s="3"/>
      <c r="AF2095" s="3"/>
      <c r="AG2095" s="3"/>
      <c r="AH2095" s="3"/>
    </row>
    <row r="2096" spans="1:34" ht="14.25" customHeight="1" x14ac:dyDescent="0.25">
      <c r="A2096" s="3"/>
      <c r="B2096" s="3"/>
      <c r="C2096" s="3"/>
      <c r="D2096" s="3"/>
      <c r="E2096" s="3"/>
      <c r="F2096" s="3"/>
      <c r="G2096" s="3"/>
      <c r="H2096" s="11"/>
      <c r="I2096" s="12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14"/>
      <c r="X2096" s="3"/>
      <c r="Y2096" s="14"/>
      <c r="Z2096" s="3"/>
      <c r="AA2096" s="3"/>
      <c r="AB2096" s="3"/>
      <c r="AC2096" s="3"/>
      <c r="AD2096" s="3"/>
      <c r="AE2096" s="3"/>
      <c r="AF2096" s="3"/>
      <c r="AG2096" s="3"/>
      <c r="AH2096" s="3"/>
    </row>
    <row r="2097" spans="1:34" ht="14.25" customHeight="1" x14ac:dyDescent="0.25">
      <c r="A2097" s="3"/>
      <c r="B2097" s="3"/>
      <c r="C2097" s="3"/>
      <c r="D2097" s="3"/>
      <c r="E2097" s="3"/>
      <c r="F2097" s="3"/>
      <c r="G2097" s="3"/>
      <c r="H2097" s="11"/>
      <c r="I2097" s="12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14"/>
      <c r="X2097" s="3"/>
      <c r="Y2097" s="14"/>
      <c r="Z2097" s="3"/>
      <c r="AA2097" s="3"/>
      <c r="AB2097" s="3"/>
      <c r="AC2097" s="3"/>
      <c r="AD2097" s="3"/>
      <c r="AE2097" s="3"/>
      <c r="AF2097" s="3"/>
      <c r="AG2097" s="3"/>
      <c r="AH2097" s="3"/>
    </row>
    <row r="2098" spans="1:34" ht="14.25" customHeight="1" x14ac:dyDescent="0.25">
      <c r="A2098" s="3"/>
      <c r="B2098" s="3"/>
      <c r="C2098" s="3"/>
      <c r="D2098" s="3"/>
      <c r="E2098" s="3"/>
      <c r="F2098" s="3"/>
      <c r="G2098" s="3"/>
      <c r="H2098" s="11"/>
      <c r="I2098" s="12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14"/>
      <c r="X2098" s="3"/>
      <c r="Y2098" s="14"/>
      <c r="Z2098" s="3"/>
      <c r="AA2098" s="3"/>
      <c r="AB2098" s="3"/>
      <c r="AC2098" s="3"/>
      <c r="AD2098" s="3"/>
      <c r="AE2098" s="3"/>
      <c r="AF2098" s="3"/>
      <c r="AG2098" s="3"/>
      <c r="AH2098" s="3"/>
    </row>
    <row r="2099" spans="1:34" ht="14.25" customHeight="1" x14ac:dyDescent="0.25">
      <c r="A2099" s="3"/>
      <c r="B2099" s="3"/>
      <c r="C2099" s="3"/>
      <c r="D2099" s="3"/>
      <c r="E2099" s="3"/>
      <c r="F2099" s="3"/>
      <c r="G2099" s="3"/>
      <c r="H2099" s="11"/>
      <c r="I2099" s="12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14"/>
      <c r="X2099" s="3"/>
      <c r="Y2099" s="14"/>
      <c r="Z2099" s="3"/>
      <c r="AA2099" s="3"/>
      <c r="AB2099" s="3"/>
      <c r="AC2099" s="3"/>
      <c r="AD2099" s="3"/>
      <c r="AE2099" s="3"/>
      <c r="AF2099" s="3"/>
      <c r="AG2099" s="3"/>
      <c r="AH2099" s="3"/>
    </row>
    <row r="2100" spans="1:34" ht="14.25" customHeight="1" x14ac:dyDescent="0.25">
      <c r="A2100" s="3"/>
      <c r="B2100" s="3"/>
      <c r="C2100" s="3"/>
      <c r="D2100" s="3"/>
      <c r="E2100" s="3"/>
      <c r="F2100" s="3"/>
      <c r="G2100" s="3"/>
      <c r="H2100" s="11"/>
      <c r="I2100" s="12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14"/>
      <c r="X2100" s="3"/>
      <c r="Y2100" s="14"/>
      <c r="Z2100" s="3"/>
      <c r="AA2100" s="3"/>
      <c r="AB2100" s="3"/>
      <c r="AC2100" s="3"/>
      <c r="AD2100" s="3"/>
      <c r="AE2100" s="3"/>
      <c r="AF2100" s="3"/>
      <c r="AG2100" s="3"/>
      <c r="AH2100" s="3"/>
    </row>
    <row r="2101" spans="1:34" ht="14.25" customHeight="1" x14ac:dyDescent="0.25">
      <c r="A2101" s="3"/>
      <c r="B2101" s="3"/>
      <c r="C2101" s="3"/>
      <c r="D2101" s="3"/>
      <c r="E2101" s="3"/>
      <c r="F2101" s="3"/>
      <c r="G2101" s="3"/>
      <c r="H2101" s="11"/>
      <c r="I2101" s="12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14"/>
      <c r="X2101" s="3"/>
      <c r="Y2101" s="14"/>
      <c r="Z2101" s="3"/>
      <c r="AA2101" s="3"/>
      <c r="AB2101" s="3"/>
      <c r="AC2101" s="3"/>
      <c r="AD2101" s="3"/>
      <c r="AE2101" s="3"/>
      <c r="AF2101" s="3"/>
      <c r="AG2101" s="3"/>
      <c r="AH2101" s="3"/>
    </row>
    <row r="2102" spans="1:34" ht="14.25" customHeight="1" x14ac:dyDescent="0.25">
      <c r="A2102" s="3"/>
      <c r="B2102" s="3"/>
      <c r="C2102" s="3"/>
      <c r="D2102" s="3"/>
      <c r="E2102" s="3"/>
      <c r="F2102" s="3"/>
      <c r="G2102" s="3"/>
      <c r="H2102" s="11"/>
      <c r="I2102" s="12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14"/>
      <c r="X2102" s="3"/>
      <c r="Y2102" s="14"/>
      <c r="Z2102" s="3"/>
      <c r="AA2102" s="3"/>
      <c r="AB2102" s="3"/>
      <c r="AC2102" s="3"/>
      <c r="AD2102" s="3"/>
      <c r="AE2102" s="3"/>
      <c r="AF2102" s="3"/>
      <c r="AG2102" s="3"/>
      <c r="AH2102" s="3"/>
    </row>
    <row r="2103" spans="1:34" ht="14.25" customHeight="1" x14ac:dyDescent="0.25">
      <c r="A2103" s="3"/>
      <c r="B2103" s="3"/>
      <c r="C2103" s="3"/>
      <c r="D2103" s="3"/>
      <c r="E2103" s="3"/>
      <c r="F2103" s="3"/>
      <c r="G2103" s="3"/>
      <c r="H2103" s="11"/>
      <c r="I2103" s="12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14"/>
      <c r="X2103" s="3"/>
      <c r="Y2103" s="14"/>
      <c r="Z2103" s="3"/>
      <c r="AA2103" s="3"/>
      <c r="AB2103" s="3"/>
      <c r="AC2103" s="3"/>
      <c r="AD2103" s="3"/>
      <c r="AE2103" s="3"/>
      <c r="AF2103" s="3"/>
      <c r="AG2103" s="3"/>
      <c r="AH2103" s="3"/>
    </row>
    <row r="2104" spans="1:34" ht="14.25" customHeight="1" x14ac:dyDescent="0.25">
      <c r="A2104" s="3"/>
      <c r="B2104" s="3"/>
      <c r="C2104" s="3"/>
      <c r="D2104" s="3"/>
      <c r="E2104" s="3"/>
      <c r="F2104" s="3"/>
      <c r="G2104" s="3"/>
      <c r="H2104" s="11"/>
      <c r="I2104" s="12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14"/>
      <c r="X2104" s="3"/>
      <c r="Y2104" s="14"/>
      <c r="Z2104" s="3"/>
      <c r="AA2104" s="3"/>
      <c r="AB2104" s="3"/>
      <c r="AC2104" s="3"/>
      <c r="AD2104" s="3"/>
      <c r="AE2104" s="3"/>
      <c r="AF2104" s="3"/>
      <c r="AG2104" s="3"/>
      <c r="AH2104" s="3"/>
    </row>
    <row r="2105" spans="1:34" ht="14.25" customHeight="1" x14ac:dyDescent="0.25">
      <c r="A2105" s="3"/>
      <c r="B2105" s="3"/>
      <c r="C2105" s="3"/>
      <c r="D2105" s="3"/>
      <c r="E2105" s="3"/>
      <c r="F2105" s="3"/>
      <c r="G2105" s="3"/>
      <c r="H2105" s="11"/>
      <c r="I2105" s="12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14"/>
      <c r="X2105" s="3"/>
      <c r="Y2105" s="14"/>
      <c r="Z2105" s="3"/>
      <c r="AA2105" s="3"/>
      <c r="AB2105" s="3"/>
      <c r="AC2105" s="3"/>
      <c r="AD2105" s="3"/>
      <c r="AE2105" s="3"/>
      <c r="AF2105" s="3"/>
      <c r="AG2105" s="3"/>
      <c r="AH2105" s="3"/>
    </row>
    <row r="2106" spans="1:34" ht="14.25" customHeight="1" x14ac:dyDescent="0.25">
      <c r="A2106" s="3"/>
      <c r="B2106" s="3"/>
      <c r="C2106" s="3"/>
      <c r="D2106" s="3"/>
      <c r="E2106" s="3"/>
      <c r="F2106" s="3"/>
      <c r="G2106" s="3"/>
      <c r="H2106" s="11"/>
      <c r="I2106" s="12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14"/>
      <c r="X2106" s="3"/>
      <c r="Y2106" s="14"/>
      <c r="Z2106" s="3"/>
      <c r="AA2106" s="3"/>
      <c r="AB2106" s="3"/>
      <c r="AC2106" s="3"/>
      <c r="AD2106" s="3"/>
      <c r="AE2106" s="3"/>
      <c r="AF2106" s="3"/>
      <c r="AG2106" s="3"/>
      <c r="AH2106" s="3"/>
    </row>
    <row r="2107" spans="1:34" ht="14.25" customHeight="1" x14ac:dyDescent="0.25">
      <c r="A2107" s="3"/>
      <c r="B2107" s="3"/>
      <c r="C2107" s="3"/>
      <c r="D2107" s="3"/>
      <c r="E2107" s="3"/>
      <c r="F2107" s="3"/>
      <c r="G2107" s="3"/>
      <c r="H2107" s="11"/>
      <c r="I2107" s="12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14"/>
      <c r="X2107" s="3"/>
      <c r="Y2107" s="14"/>
      <c r="Z2107" s="3"/>
      <c r="AA2107" s="3"/>
      <c r="AB2107" s="3"/>
      <c r="AC2107" s="3"/>
      <c r="AD2107" s="3"/>
      <c r="AE2107" s="3"/>
      <c r="AF2107" s="3"/>
      <c r="AG2107" s="3"/>
      <c r="AH2107" s="3"/>
    </row>
    <row r="2108" spans="1:34" ht="14.25" customHeight="1" x14ac:dyDescent="0.25">
      <c r="A2108" s="3"/>
      <c r="B2108" s="3"/>
      <c r="C2108" s="3"/>
      <c r="D2108" s="3"/>
      <c r="E2108" s="3"/>
      <c r="F2108" s="3"/>
      <c r="G2108" s="3"/>
      <c r="H2108" s="11"/>
      <c r="I2108" s="12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14"/>
      <c r="X2108" s="3"/>
      <c r="Y2108" s="14"/>
      <c r="Z2108" s="3"/>
      <c r="AA2108" s="3"/>
      <c r="AB2108" s="3"/>
      <c r="AC2108" s="3"/>
      <c r="AD2108" s="3"/>
      <c r="AE2108" s="3"/>
      <c r="AF2108" s="3"/>
      <c r="AG2108" s="3"/>
      <c r="AH2108" s="3"/>
    </row>
    <row r="2109" spans="1:34" ht="14.25" customHeight="1" x14ac:dyDescent="0.25">
      <c r="A2109" s="3"/>
      <c r="B2109" s="3"/>
      <c r="C2109" s="3"/>
      <c r="D2109" s="3"/>
      <c r="E2109" s="3"/>
      <c r="F2109" s="3"/>
      <c r="G2109" s="3"/>
      <c r="H2109" s="11"/>
      <c r="I2109" s="12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14"/>
      <c r="X2109" s="3"/>
      <c r="Y2109" s="14"/>
      <c r="Z2109" s="3"/>
      <c r="AA2109" s="3"/>
      <c r="AB2109" s="3"/>
      <c r="AC2109" s="3"/>
      <c r="AD2109" s="3"/>
      <c r="AE2109" s="3"/>
      <c r="AF2109" s="3"/>
      <c r="AG2109" s="3"/>
      <c r="AH2109" s="3"/>
    </row>
    <row r="2110" spans="1:34" ht="14.25" customHeight="1" x14ac:dyDescent="0.25">
      <c r="A2110" s="3"/>
      <c r="B2110" s="3"/>
      <c r="C2110" s="3"/>
      <c r="D2110" s="3"/>
      <c r="E2110" s="3"/>
      <c r="F2110" s="3"/>
      <c r="G2110" s="3"/>
      <c r="H2110" s="11"/>
      <c r="I2110" s="12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14"/>
      <c r="X2110" s="3"/>
      <c r="Y2110" s="14"/>
      <c r="Z2110" s="3"/>
      <c r="AA2110" s="3"/>
      <c r="AB2110" s="3"/>
      <c r="AC2110" s="3"/>
      <c r="AD2110" s="3"/>
      <c r="AE2110" s="3"/>
      <c r="AF2110" s="3"/>
      <c r="AG2110" s="3"/>
      <c r="AH2110" s="3"/>
    </row>
    <row r="2111" spans="1:34" ht="14.25" customHeight="1" x14ac:dyDescent="0.25">
      <c r="A2111" s="3"/>
      <c r="B2111" s="3"/>
      <c r="C2111" s="3"/>
      <c r="D2111" s="3"/>
      <c r="E2111" s="3"/>
      <c r="F2111" s="3"/>
      <c r="G2111" s="3"/>
      <c r="H2111" s="11"/>
      <c r="I2111" s="12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14"/>
      <c r="X2111" s="3"/>
      <c r="Y2111" s="14"/>
      <c r="Z2111" s="3"/>
      <c r="AA2111" s="3"/>
      <c r="AB2111" s="3"/>
      <c r="AC2111" s="3"/>
      <c r="AD2111" s="3"/>
      <c r="AE2111" s="3"/>
      <c r="AF2111" s="3"/>
      <c r="AG2111" s="3"/>
      <c r="AH2111" s="3"/>
    </row>
    <row r="2112" spans="1:34" ht="14.25" customHeight="1" x14ac:dyDescent="0.25">
      <c r="A2112" s="3"/>
      <c r="B2112" s="3"/>
      <c r="C2112" s="3"/>
      <c r="D2112" s="3"/>
      <c r="E2112" s="3"/>
      <c r="F2112" s="3"/>
      <c r="G2112" s="3"/>
      <c r="H2112" s="11"/>
      <c r="I2112" s="12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14"/>
      <c r="X2112" s="3"/>
      <c r="Y2112" s="14"/>
      <c r="Z2112" s="3"/>
      <c r="AA2112" s="3"/>
      <c r="AB2112" s="3"/>
      <c r="AC2112" s="3"/>
      <c r="AD2112" s="3"/>
      <c r="AE2112" s="3"/>
      <c r="AF2112" s="3"/>
      <c r="AG2112" s="3"/>
      <c r="AH2112" s="3"/>
    </row>
    <row r="2113" spans="1:34" ht="14.25" customHeight="1" x14ac:dyDescent="0.25">
      <c r="A2113" s="3"/>
      <c r="B2113" s="3"/>
      <c r="C2113" s="3"/>
      <c r="D2113" s="3"/>
      <c r="E2113" s="3"/>
      <c r="F2113" s="3"/>
      <c r="G2113" s="3"/>
      <c r="H2113" s="11"/>
      <c r="I2113" s="12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14"/>
      <c r="X2113" s="3"/>
      <c r="Y2113" s="14"/>
      <c r="Z2113" s="3"/>
      <c r="AA2113" s="3"/>
      <c r="AB2113" s="3"/>
      <c r="AC2113" s="3"/>
      <c r="AD2113" s="3"/>
      <c r="AE2113" s="3"/>
      <c r="AF2113" s="3"/>
      <c r="AG2113" s="3"/>
      <c r="AH2113" s="3"/>
    </row>
    <row r="2114" spans="1:34" ht="14.25" customHeight="1" x14ac:dyDescent="0.25">
      <c r="A2114" s="3"/>
      <c r="B2114" s="3"/>
      <c r="C2114" s="3"/>
      <c r="D2114" s="3"/>
      <c r="E2114" s="3"/>
      <c r="F2114" s="3"/>
      <c r="G2114" s="3"/>
      <c r="H2114" s="11"/>
      <c r="I2114" s="12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14"/>
      <c r="X2114" s="3"/>
      <c r="Y2114" s="14"/>
      <c r="Z2114" s="3"/>
      <c r="AA2114" s="3"/>
      <c r="AB2114" s="3"/>
      <c r="AC2114" s="3"/>
      <c r="AD2114" s="3"/>
      <c r="AE2114" s="3"/>
      <c r="AF2114" s="3"/>
      <c r="AG2114" s="3"/>
      <c r="AH2114" s="3"/>
    </row>
    <row r="2115" spans="1:34" ht="14.25" customHeight="1" x14ac:dyDescent="0.25">
      <c r="A2115" s="3"/>
      <c r="B2115" s="3"/>
      <c r="C2115" s="3"/>
      <c r="D2115" s="3"/>
      <c r="E2115" s="3"/>
      <c r="F2115" s="3"/>
      <c r="G2115" s="3"/>
      <c r="H2115" s="11"/>
      <c r="I2115" s="12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14"/>
      <c r="X2115" s="3"/>
      <c r="Y2115" s="14"/>
      <c r="Z2115" s="3"/>
      <c r="AA2115" s="3"/>
      <c r="AB2115" s="3"/>
      <c r="AC2115" s="3"/>
      <c r="AD2115" s="3"/>
      <c r="AE2115" s="3"/>
      <c r="AF2115" s="3"/>
      <c r="AG2115" s="3"/>
      <c r="AH2115" s="3"/>
    </row>
    <row r="2116" spans="1:34" ht="14.25" customHeight="1" x14ac:dyDescent="0.25">
      <c r="A2116" s="3"/>
      <c r="B2116" s="3"/>
      <c r="C2116" s="3"/>
      <c r="D2116" s="3"/>
      <c r="E2116" s="3"/>
      <c r="F2116" s="3"/>
      <c r="G2116" s="3"/>
      <c r="H2116" s="11"/>
      <c r="I2116" s="12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14"/>
      <c r="X2116" s="3"/>
      <c r="Y2116" s="14"/>
      <c r="Z2116" s="3"/>
      <c r="AA2116" s="3"/>
      <c r="AB2116" s="3"/>
      <c r="AC2116" s="3"/>
      <c r="AD2116" s="3"/>
      <c r="AE2116" s="3"/>
      <c r="AF2116" s="3"/>
      <c r="AG2116" s="3"/>
      <c r="AH2116" s="3"/>
    </row>
    <row r="2117" spans="1:34" ht="14.25" customHeight="1" x14ac:dyDescent="0.25">
      <c r="A2117" s="3"/>
      <c r="B2117" s="3"/>
      <c r="C2117" s="3"/>
      <c r="D2117" s="3"/>
      <c r="E2117" s="3"/>
      <c r="F2117" s="3"/>
      <c r="G2117" s="3"/>
      <c r="H2117" s="11"/>
      <c r="I2117" s="12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14"/>
      <c r="X2117" s="3"/>
      <c r="Y2117" s="14"/>
      <c r="Z2117" s="3"/>
      <c r="AA2117" s="3"/>
      <c r="AB2117" s="3"/>
      <c r="AC2117" s="3"/>
      <c r="AD2117" s="3"/>
      <c r="AE2117" s="3"/>
      <c r="AF2117" s="3"/>
      <c r="AG2117" s="3"/>
      <c r="AH2117" s="3"/>
    </row>
    <row r="2118" spans="1:34" ht="14.25" customHeight="1" x14ac:dyDescent="0.25">
      <c r="A2118" s="3"/>
      <c r="B2118" s="3"/>
      <c r="C2118" s="3"/>
      <c r="D2118" s="3"/>
      <c r="E2118" s="3"/>
      <c r="F2118" s="3"/>
      <c r="G2118" s="3"/>
      <c r="H2118" s="11"/>
      <c r="I2118" s="12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14"/>
      <c r="X2118" s="3"/>
      <c r="Y2118" s="14"/>
      <c r="Z2118" s="3"/>
      <c r="AA2118" s="3"/>
      <c r="AB2118" s="3"/>
      <c r="AC2118" s="3"/>
      <c r="AD2118" s="3"/>
      <c r="AE2118" s="3"/>
      <c r="AF2118" s="3"/>
      <c r="AG2118" s="3"/>
      <c r="AH2118" s="3"/>
    </row>
    <row r="2119" spans="1:34" ht="14.25" customHeight="1" x14ac:dyDescent="0.25">
      <c r="A2119" s="3"/>
      <c r="B2119" s="3"/>
      <c r="C2119" s="3"/>
      <c r="D2119" s="3"/>
      <c r="E2119" s="3"/>
      <c r="F2119" s="3"/>
      <c r="G2119" s="3"/>
      <c r="H2119" s="11"/>
      <c r="I2119" s="12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14"/>
      <c r="X2119" s="3"/>
      <c r="Y2119" s="14"/>
      <c r="Z2119" s="3"/>
      <c r="AA2119" s="3"/>
      <c r="AB2119" s="3"/>
      <c r="AC2119" s="3"/>
      <c r="AD2119" s="3"/>
      <c r="AE2119" s="3"/>
      <c r="AF2119" s="3"/>
      <c r="AG2119" s="3"/>
      <c r="AH2119" s="3"/>
    </row>
    <row r="2120" spans="1:34" ht="14.25" customHeight="1" x14ac:dyDescent="0.25">
      <c r="A2120" s="3"/>
      <c r="B2120" s="3"/>
      <c r="C2120" s="3"/>
      <c r="D2120" s="3"/>
      <c r="E2120" s="3"/>
      <c r="F2120" s="3"/>
      <c r="G2120" s="3"/>
      <c r="H2120" s="11"/>
      <c r="I2120" s="12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14"/>
      <c r="X2120" s="3"/>
      <c r="Y2120" s="14"/>
      <c r="Z2120" s="3"/>
      <c r="AA2120" s="3"/>
      <c r="AB2120" s="3"/>
      <c r="AC2120" s="3"/>
      <c r="AD2120" s="3"/>
      <c r="AE2120" s="3"/>
      <c r="AF2120" s="3"/>
      <c r="AG2120" s="3"/>
      <c r="AH2120" s="3"/>
    </row>
    <row r="2121" spans="1:34" ht="14.25" customHeight="1" x14ac:dyDescent="0.25">
      <c r="A2121" s="3"/>
      <c r="B2121" s="3"/>
      <c r="C2121" s="3"/>
      <c r="D2121" s="3"/>
      <c r="E2121" s="3"/>
      <c r="F2121" s="3"/>
      <c r="G2121" s="3"/>
      <c r="H2121" s="11"/>
      <c r="I2121" s="12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14"/>
      <c r="X2121" s="3"/>
      <c r="Y2121" s="14"/>
      <c r="Z2121" s="3"/>
      <c r="AA2121" s="3"/>
      <c r="AB2121" s="3"/>
      <c r="AC2121" s="3"/>
      <c r="AD2121" s="3"/>
      <c r="AE2121" s="3"/>
      <c r="AF2121" s="3"/>
      <c r="AG2121" s="3"/>
      <c r="AH2121" s="3"/>
    </row>
    <row r="2122" spans="1:34" ht="14.25" customHeight="1" x14ac:dyDescent="0.25">
      <c r="A2122" s="3"/>
      <c r="B2122" s="3"/>
      <c r="C2122" s="3"/>
      <c r="D2122" s="3"/>
      <c r="E2122" s="3"/>
      <c r="F2122" s="3"/>
      <c r="G2122" s="3"/>
      <c r="H2122" s="11"/>
      <c r="I2122" s="12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14"/>
      <c r="X2122" s="3"/>
      <c r="Y2122" s="14"/>
      <c r="Z2122" s="3"/>
      <c r="AA2122" s="3"/>
      <c r="AB2122" s="3"/>
      <c r="AC2122" s="3"/>
      <c r="AD2122" s="3"/>
      <c r="AE2122" s="3"/>
      <c r="AF2122" s="3"/>
      <c r="AG2122" s="3"/>
      <c r="AH2122" s="3"/>
    </row>
    <row r="2123" spans="1:34" ht="14.25" customHeight="1" x14ac:dyDescent="0.25">
      <c r="A2123" s="3"/>
      <c r="B2123" s="3"/>
      <c r="C2123" s="3"/>
      <c r="D2123" s="3"/>
      <c r="E2123" s="3"/>
      <c r="F2123" s="3"/>
      <c r="G2123" s="3"/>
      <c r="H2123" s="11"/>
      <c r="I2123" s="12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14"/>
      <c r="X2123" s="3"/>
      <c r="Y2123" s="14"/>
      <c r="Z2123" s="3"/>
      <c r="AA2123" s="3"/>
      <c r="AB2123" s="3"/>
      <c r="AC2123" s="3"/>
      <c r="AD2123" s="3"/>
      <c r="AE2123" s="3"/>
      <c r="AF2123" s="3"/>
      <c r="AG2123" s="3"/>
      <c r="AH2123" s="3"/>
    </row>
    <row r="2124" spans="1:34" ht="14.25" customHeight="1" x14ac:dyDescent="0.25">
      <c r="A2124" s="3"/>
      <c r="B2124" s="3"/>
      <c r="C2124" s="3"/>
      <c r="D2124" s="3"/>
      <c r="E2124" s="3"/>
      <c r="F2124" s="3"/>
      <c r="G2124" s="3"/>
      <c r="H2124" s="11"/>
      <c r="I2124" s="12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14"/>
      <c r="X2124" s="3"/>
      <c r="Y2124" s="14"/>
      <c r="Z2124" s="3"/>
      <c r="AA2124" s="3"/>
      <c r="AB2124" s="3"/>
      <c r="AC2124" s="3"/>
      <c r="AD2124" s="3"/>
      <c r="AE2124" s="3"/>
      <c r="AF2124" s="3"/>
      <c r="AG2124" s="3"/>
      <c r="AH2124" s="3"/>
    </row>
    <row r="2125" spans="1:34" ht="14.25" customHeight="1" x14ac:dyDescent="0.25">
      <c r="A2125" s="3"/>
      <c r="B2125" s="3"/>
      <c r="C2125" s="3"/>
      <c r="D2125" s="3"/>
      <c r="E2125" s="3"/>
      <c r="F2125" s="3"/>
      <c r="G2125" s="3"/>
      <c r="H2125" s="11"/>
      <c r="I2125" s="12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14"/>
      <c r="X2125" s="3"/>
      <c r="Y2125" s="14"/>
      <c r="Z2125" s="3"/>
      <c r="AA2125" s="3"/>
      <c r="AB2125" s="3"/>
      <c r="AC2125" s="3"/>
      <c r="AD2125" s="3"/>
      <c r="AE2125" s="3"/>
      <c r="AF2125" s="3"/>
      <c r="AG2125" s="3"/>
      <c r="AH2125" s="3"/>
    </row>
    <row r="2126" spans="1:34" ht="14.25" customHeight="1" x14ac:dyDescent="0.25">
      <c r="A2126" s="3"/>
      <c r="B2126" s="3"/>
      <c r="C2126" s="3"/>
      <c r="D2126" s="3"/>
      <c r="E2126" s="3"/>
      <c r="F2126" s="3"/>
      <c r="G2126" s="3"/>
      <c r="H2126" s="11"/>
      <c r="I2126" s="12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14"/>
      <c r="X2126" s="3"/>
      <c r="Y2126" s="14"/>
      <c r="Z2126" s="3"/>
      <c r="AA2126" s="3"/>
      <c r="AB2126" s="3"/>
      <c r="AC2126" s="3"/>
      <c r="AD2126" s="3"/>
      <c r="AE2126" s="3"/>
      <c r="AF2126" s="3"/>
      <c r="AG2126" s="3"/>
      <c r="AH2126" s="3"/>
    </row>
    <row r="2127" spans="1:34" ht="14.25" customHeight="1" x14ac:dyDescent="0.25">
      <c r="A2127" s="3"/>
      <c r="B2127" s="3"/>
      <c r="C2127" s="3"/>
      <c r="D2127" s="3"/>
      <c r="E2127" s="3"/>
      <c r="F2127" s="3"/>
      <c r="G2127" s="3"/>
      <c r="H2127" s="11"/>
      <c r="I2127" s="12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14"/>
      <c r="X2127" s="3"/>
      <c r="Y2127" s="14"/>
      <c r="Z2127" s="3"/>
      <c r="AA2127" s="3"/>
      <c r="AB2127" s="3"/>
      <c r="AC2127" s="3"/>
      <c r="AD2127" s="3"/>
      <c r="AE2127" s="3"/>
      <c r="AF2127" s="3"/>
      <c r="AG2127" s="3"/>
      <c r="AH2127" s="3"/>
    </row>
    <row r="2128" spans="1:34" ht="14.25" customHeight="1" x14ac:dyDescent="0.25">
      <c r="A2128" s="3"/>
      <c r="B2128" s="3"/>
      <c r="C2128" s="3"/>
      <c r="D2128" s="3"/>
      <c r="E2128" s="3"/>
      <c r="F2128" s="3"/>
      <c r="G2128" s="3"/>
      <c r="H2128" s="11"/>
      <c r="I2128" s="12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14"/>
      <c r="X2128" s="3"/>
      <c r="Y2128" s="14"/>
      <c r="Z2128" s="3"/>
      <c r="AA2128" s="3"/>
      <c r="AB2128" s="3"/>
      <c r="AC2128" s="3"/>
      <c r="AD2128" s="3"/>
      <c r="AE2128" s="3"/>
      <c r="AF2128" s="3"/>
      <c r="AG2128" s="3"/>
      <c r="AH2128" s="3"/>
    </row>
    <row r="2129" spans="1:34" ht="14.25" customHeight="1" x14ac:dyDescent="0.25">
      <c r="A2129" s="3"/>
      <c r="B2129" s="3"/>
      <c r="C2129" s="3"/>
      <c r="D2129" s="3"/>
      <c r="E2129" s="3"/>
      <c r="F2129" s="3"/>
      <c r="G2129" s="3"/>
      <c r="H2129" s="11"/>
      <c r="I2129" s="12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14"/>
      <c r="X2129" s="3"/>
      <c r="Y2129" s="14"/>
      <c r="Z2129" s="3"/>
      <c r="AA2129" s="3"/>
      <c r="AB2129" s="3"/>
      <c r="AC2129" s="3"/>
      <c r="AD2129" s="3"/>
      <c r="AE2129" s="3"/>
      <c r="AF2129" s="3"/>
      <c r="AG2129" s="3"/>
      <c r="AH2129" s="3"/>
    </row>
    <row r="2130" spans="1:34" ht="14.25" customHeight="1" x14ac:dyDescent="0.25">
      <c r="A2130" s="3"/>
      <c r="B2130" s="3"/>
      <c r="C2130" s="3"/>
      <c r="D2130" s="3"/>
      <c r="E2130" s="3"/>
      <c r="F2130" s="3"/>
      <c r="G2130" s="3"/>
      <c r="H2130" s="11"/>
      <c r="I2130" s="12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14"/>
      <c r="X2130" s="3"/>
      <c r="Y2130" s="14"/>
      <c r="Z2130" s="3"/>
      <c r="AA2130" s="3"/>
      <c r="AB2130" s="3"/>
      <c r="AC2130" s="3"/>
      <c r="AD2130" s="3"/>
      <c r="AE2130" s="3"/>
      <c r="AF2130" s="3"/>
      <c r="AG2130" s="3"/>
      <c r="AH2130" s="3"/>
    </row>
    <row r="2131" spans="1:34" ht="14.25" customHeight="1" x14ac:dyDescent="0.25">
      <c r="A2131" s="3"/>
      <c r="B2131" s="3"/>
      <c r="C2131" s="3"/>
      <c r="D2131" s="3"/>
      <c r="E2131" s="3"/>
      <c r="F2131" s="3"/>
      <c r="G2131" s="3"/>
      <c r="H2131" s="11"/>
      <c r="I2131" s="12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14"/>
      <c r="X2131" s="3"/>
      <c r="Y2131" s="14"/>
      <c r="Z2131" s="3"/>
      <c r="AA2131" s="3"/>
      <c r="AB2131" s="3"/>
      <c r="AC2131" s="3"/>
      <c r="AD2131" s="3"/>
      <c r="AE2131" s="3"/>
      <c r="AF2131" s="3"/>
      <c r="AG2131" s="3"/>
      <c r="AH2131" s="3"/>
    </row>
    <row r="2132" spans="1:34" ht="14.25" customHeight="1" x14ac:dyDescent="0.25">
      <c r="A2132" s="3"/>
      <c r="B2132" s="3"/>
      <c r="C2132" s="3"/>
      <c r="D2132" s="3"/>
      <c r="E2132" s="3"/>
      <c r="F2132" s="3"/>
      <c r="G2132" s="3"/>
      <c r="H2132" s="11"/>
      <c r="I2132" s="12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14"/>
      <c r="X2132" s="3"/>
      <c r="Y2132" s="14"/>
      <c r="Z2132" s="3"/>
      <c r="AA2132" s="3"/>
      <c r="AB2132" s="3"/>
      <c r="AC2132" s="3"/>
      <c r="AD2132" s="3"/>
      <c r="AE2132" s="3"/>
      <c r="AF2132" s="3"/>
      <c r="AG2132" s="3"/>
      <c r="AH2132" s="3"/>
    </row>
    <row r="2133" spans="1:34" ht="14.25" customHeight="1" x14ac:dyDescent="0.25">
      <c r="A2133" s="3"/>
      <c r="B2133" s="3"/>
      <c r="C2133" s="3"/>
      <c r="D2133" s="3"/>
      <c r="E2133" s="3"/>
      <c r="F2133" s="3"/>
      <c r="G2133" s="3"/>
      <c r="H2133" s="11"/>
      <c r="I2133" s="12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14"/>
      <c r="X2133" s="3"/>
      <c r="Y2133" s="14"/>
      <c r="Z2133" s="3"/>
      <c r="AA2133" s="3"/>
      <c r="AB2133" s="3"/>
      <c r="AC2133" s="3"/>
      <c r="AD2133" s="3"/>
      <c r="AE2133" s="3"/>
      <c r="AF2133" s="3"/>
      <c r="AG2133" s="3"/>
      <c r="AH2133" s="3"/>
    </row>
    <row r="2134" spans="1:34" ht="14.25" customHeight="1" x14ac:dyDescent="0.25">
      <c r="A2134" s="3"/>
      <c r="B2134" s="3"/>
      <c r="C2134" s="3"/>
      <c r="D2134" s="3"/>
      <c r="E2134" s="3"/>
      <c r="F2134" s="3"/>
      <c r="G2134" s="3"/>
      <c r="H2134" s="11"/>
      <c r="I2134" s="12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14"/>
      <c r="X2134" s="3"/>
      <c r="Y2134" s="14"/>
      <c r="Z2134" s="3"/>
      <c r="AA2134" s="3"/>
      <c r="AB2134" s="3"/>
      <c r="AC2134" s="3"/>
      <c r="AD2134" s="3"/>
      <c r="AE2134" s="3"/>
      <c r="AF2134" s="3"/>
      <c r="AG2134" s="3"/>
      <c r="AH2134" s="3"/>
    </row>
    <row r="2135" spans="1:34" ht="14.25" customHeight="1" x14ac:dyDescent="0.25">
      <c r="A2135" s="3"/>
      <c r="B2135" s="3"/>
      <c r="C2135" s="3"/>
      <c r="D2135" s="3"/>
      <c r="E2135" s="3"/>
      <c r="F2135" s="3"/>
      <c r="G2135" s="3"/>
      <c r="H2135" s="11"/>
      <c r="I2135" s="12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14"/>
      <c r="X2135" s="3"/>
      <c r="Y2135" s="14"/>
      <c r="Z2135" s="3"/>
      <c r="AA2135" s="3"/>
      <c r="AB2135" s="3"/>
      <c r="AC2135" s="3"/>
      <c r="AD2135" s="3"/>
      <c r="AE2135" s="3"/>
      <c r="AF2135" s="3"/>
      <c r="AG2135" s="3"/>
      <c r="AH2135" s="3"/>
    </row>
    <row r="2136" spans="1:34" ht="14.25" customHeight="1" x14ac:dyDescent="0.25">
      <c r="A2136" s="3"/>
      <c r="B2136" s="3"/>
      <c r="C2136" s="3"/>
      <c r="D2136" s="3"/>
      <c r="E2136" s="3"/>
      <c r="F2136" s="3"/>
      <c r="G2136" s="3"/>
      <c r="H2136" s="11"/>
      <c r="I2136" s="12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14"/>
      <c r="X2136" s="3"/>
      <c r="Y2136" s="14"/>
      <c r="Z2136" s="3"/>
      <c r="AA2136" s="3"/>
      <c r="AB2136" s="3"/>
      <c r="AC2136" s="3"/>
      <c r="AD2136" s="3"/>
      <c r="AE2136" s="3"/>
      <c r="AF2136" s="3"/>
      <c r="AG2136" s="3"/>
      <c r="AH2136" s="3"/>
    </row>
    <row r="2137" spans="1:34" ht="14.25" customHeight="1" x14ac:dyDescent="0.25">
      <c r="A2137" s="3"/>
      <c r="B2137" s="3"/>
      <c r="C2137" s="3"/>
      <c r="D2137" s="3"/>
      <c r="E2137" s="3"/>
      <c r="F2137" s="3"/>
      <c r="G2137" s="3"/>
      <c r="H2137" s="11"/>
      <c r="I2137" s="12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14"/>
      <c r="X2137" s="3"/>
      <c r="Y2137" s="14"/>
      <c r="Z2137" s="3"/>
      <c r="AA2137" s="3"/>
      <c r="AB2137" s="3"/>
      <c r="AC2137" s="3"/>
      <c r="AD2137" s="3"/>
      <c r="AE2137" s="3"/>
      <c r="AF2137" s="3"/>
      <c r="AG2137" s="3"/>
      <c r="AH2137" s="3"/>
    </row>
    <row r="2138" spans="1:34" ht="14.25" customHeight="1" x14ac:dyDescent="0.25">
      <c r="A2138" s="3"/>
      <c r="B2138" s="3"/>
      <c r="C2138" s="3"/>
      <c r="D2138" s="3"/>
      <c r="E2138" s="3"/>
      <c r="F2138" s="3"/>
      <c r="G2138" s="3"/>
      <c r="H2138" s="11"/>
      <c r="I2138" s="12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14"/>
      <c r="X2138" s="3"/>
      <c r="Y2138" s="14"/>
      <c r="Z2138" s="3"/>
      <c r="AA2138" s="3"/>
      <c r="AB2138" s="3"/>
      <c r="AC2138" s="3"/>
      <c r="AD2138" s="3"/>
      <c r="AE2138" s="3"/>
      <c r="AF2138" s="3"/>
      <c r="AG2138" s="3"/>
      <c r="AH2138" s="3"/>
    </row>
    <row r="2139" spans="1:34" ht="14.25" customHeight="1" x14ac:dyDescent="0.25">
      <c r="A2139" s="3"/>
      <c r="B2139" s="3"/>
      <c r="C2139" s="3"/>
      <c r="D2139" s="3"/>
      <c r="E2139" s="3"/>
      <c r="F2139" s="3"/>
      <c r="G2139" s="3"/>
      <c r="H2139" s="11"/>
      <c r="I2139" s="12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14"/>
      <c r="X2139" s="3"/>
      <c r="Y2139" s="14"/>
      <c r="Z2139" s="3"/>
      <c r="AA2139" s="3"/>
      <c r="AB2139" s="3"/>
      <c r="AC2139" s="3"/>
      <c r="AD2139" s="3"/>
      <c r="AE2139" s="3"/>
      <c r="AF2139" s="3"/>
      <c r="AG2139" s="3"/>
      <c r="AH2139" s="3"/>
    </row>
    <row r="2140" spans="1:34" ht="14.25" customHeight="1" x14ac:dyDescent="0.25">
      <c r="A2140" s="3"/>
      <c r="B2140" s="3"/>
      <c r="C2140" s="3"/>
      <c r="D2140" s="3"/>
      <c r="E2140" s="3"/>
      <c r="F2140" s="3"/>
      <c r="G2140" s="3"/>
      <c r="H2140" s="11"/>
      <c r="I2140" s="12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14"/>
      <c r="X2140" s="3"/>
      <c r="Y2140" s="14"/>
      <c r="Z2140" s="3"/>
      <c r="AA2140" s="3"/>
      <c r="AB2140" s="3"/>
      <c r="AC2140" s="3"/>
      <c r="AD2140" s="3"/>
      <c r="AE2140" s="3"/>
      <c r="AF2140" s="3"/>
      <c r="AG2140" s="3"/>
      <c r="AH2140" s="3"/>
    </row>
    <row r="2141" spans="1:34" ht="14.25" customHeight="1" x14ac:dyDescent="0.25">
      <c r="A2141" s="3"/>
      <c r="B2141" s="3"/>
      <c r="C2141" s="3"/>
      <c r="D2141" s="3"/>
      <c r="E2141" s="3"/>
      <c r="F2141" s="3"/>
      <c r="G2141" s="3"/>
      <c r="H2141" s="11"/>
      <c r="I2141" s="12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14"/>
      <c r="X2141" s="3"/>
      <c r="Y2141" s="14"/>
      <c r="Z2141" s="3"/>
      <c r="AA2141" s="3"/>
      <c r="AB2141" s="3"/>
      <c r="AC2141" s="3"/>
      <c r="AD2141" s="3"/>
      <c r="AE2141" s="3"/>
      <c r="AF2141" s="3"/>
      <c r="AG2141" s="3"/>
      <c r="AH2141" s="3"/>
    </row>
    <row r="2142" spans="1:34" ht="14.25" customHeight="1" x14ac:dyDescent="0.25">
      <c r="A2142" s="3"/>
      <c r="B2142" s="3"/>
      <c r="C2142" s="3"/>
      <c r="D2142" s="3"/>
      <c r="E2142" s="3"/>
      <c r="F2142" s="3"/>
      <c r="G2142" s="3"/>
      <c r="H2142" s="11"/>
      <c r="I2142" s="12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14"/>
      <c r="X2142" s="3"/>
      <c r="Y2142" s="14"/>
      <c r="Z2142" s="3"/>
      <c r="AA2142" s="3"/>
      <c r="AB2142" s="3"/>
      <c r="AC2142" s="3"/>
      <c r="AD2142" s="3"/>
      <c r="AE2142" s="3"/>
      <c r="AF2142" s="3"/>
      <c r="AG2142" s="3"/>
      <c r="AH2142" s="3"/>
    </row>
    <row r="2143" spans="1:34" ht="14.25" customHeight="1" x14ac:dyDescent="0.25">
      <c r="A2143" s="3"/>
      <c r="B2143" s="3"/>
      <c r="C2143" s="3"/>
      <c r="D2143" s="3"/>
      <c r="E2143" s="3"/>
      <c r="F2143" s="3"/>
      <c r="G2143" s="3"/>
      <c r="H2143" s="11"/>
      <c r="I2143" s="12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14"/>
      <c r="X2143" s="3"/>
      <c r="Y2143" s="14"/>
      <c r="Z2143" s="3"/>
      <c r="AA2143" s="3"/>
      <c r="AB2143" s="3"/>
      <c r="AC2143" s="3"/>
      <c r="AD2143" s="3"/>
      <c r="AE2143" s="3"/>
      <c r="AF2143" s="3"/>
      <c r="AG2143" s="3"/>
      <c r="AH2143" s="3"/>
    </row>
    <row r="2144" spans="1:34" ht="14.25" customHeight="1" x14ac:dyDescent="0.25">
      <c r="A2144" s="3"/>
      <c r="B2144" s="3"/>
      <c r="C2144" s="3"/>
      <c r="D2144" s="3"/>
      <c r="E2144" s="3"/>
      <c r="F2144" s="3"/>
      <c r="G2144" s="3"/>
      <c r="H2144" s="11"/>
      <c r="I2144" s="12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14"/>
      <c r="X2144" s="3"/>
      <c r="Y2144" s="14"/>
      <c r="Z2144" s="3"/>
      <c r="AA2144" s="3"/>
      <c r="AB2144" s="3"/>
      <c r="AC2144" s="3"/>
      <c r="AD2144" s="3"/>
      <c r="AE2144" s="3"/>
      <c r="AF2144" s="3"/>
      <c r="AG2144" s="3"/>
      <c r="AH2144" s="3"/>
    </row>
    <row r="2145" spans="1:34" ht="14.25" customHeight="1" x14ac:dyDescent="0.25">
      <c r="A2145" s="3"/>
      <c r="B2145" s="3"/>
      <c r="C2145" s="3"/>
      <c r="D2145" s="3"/>
      <c r="E2145" s="3"/>
      <c r="F2145" s="3"/>
      <c r="G2145" s="3"/>
      <c r="H2145" s="11"/>
      <c r="I2145" s="12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14"/>
      <c r="X2145" s="3"/>
      <c r="Y2145" s="14"/>
      <c r="Z2145" s="3"/>
      <c r="AA2145" s="3"/>
      <c r="AB2145" s="3"/>
      <c r="AC2145" s="3"/>
      <c r="AD2145" s="3"/>
      <c r="AE2145" s="3"/>
      <c r="AF2145" s="3"/>
      <c r="AG2145" s="3"/>
      <c r="AH2145" s="3"/>
    </row>
    <row r="2146" spans="1:34" ht="14.25" customHeight="1" x14ac:dyDescent="0.25">
      <c r="A2146" s="3"/>
      <c r="B2146" s="3"/>
      <c r="C2146" s="3"/>
      <c r="D2146" s="3"/>
      <c r="E2146" s="3"/>
      <c r="F2146" s="3"/>
      <c r="G2146" s="3"/>
      <c r="H2146" s="11"/>
      <c r="I2146" s="12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14"/>
      <c r="X2146" s="3"/>
      <c r="Y2146" s="14"/>
      <c r="Z2146" s="3"/>
      <c r="AA2146" s="3"/>
      <c r="AB2146" s="3"/>
      <c r="AC2146" s="3"/>
      <c r="AD2146" s="3"/>
      <c r="AE2146" s="3"/>
      <c r="AF2146" s="3"/>
      <c r="AG2146" s="3"/>
      <c r="AH2146" s="3"/>
    </row>
    <row r="2147" spans="1:34" ht="14.25" customHeight="1" x14ac:dyDescent="0.25">
      <c r="A2147" s="3"/>
      <c r="B2147" s="3"/>
      <c r="C2147" s="3"/>
      <c r="D2147" s="3"/>
      <c r="E2147" s="3"/>
      <c r="F2147" s="3"/>
      <c r="G2147" s="3"/>
      <c r="H2147" s="11"/>
      <c r="I2147" s="12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14"/>
      <c r="X2147" s="3"/>
      <c r="Y2147" s="14"/>
      <c r="Z2147" s="3"/>
      <c r="AA2147" s="3"/>
      <c r="AB2147" s="3"/>
      <c r="AC2147" s="3"/>
      <c r="AD2147" s="3"/>
      <c r="AE2147" s="3"/>
      <c r="AF2147" s="3"/>
      <c r="AG2147" s="3"/>
      <c r="AH2147" s="3"/>
    </row>
    <row r="2148" spans="1:34" ht="14.25" customHeight="1" x14ac:dyDescent="0.25">
      <c r="A2148" s="3"/>
      <c r="B2148" s="3"/>
      <c r="C2148" s="3"/>
      <c r="D2148" s="3"/>
      <c r="E2148" s="3"/>
      <c r="F2148" s="3"/>
      <c r="G2148" s="3"/>
      <c r="H2148" s="11"/>
      <c r="I2148" s="12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14"/>
      <c r="X2148" s="3"/>
      <c r="Y2148" s="14"/>
      <c r="Z2148" s="3"/>
      <c r="AA2148" s="3"/>
      <c r="AB2148" s="3"/>
      <c r="AC2148" s="3"/>
      <c r="AD2148" s="3"/>
      <c r="AE2148" s="3"/>
      <c r="AF2148" s="3"/>
      <c r="AG2148" s="3"/>
      <c r="AH2148" s="3"/>
    </row>
    <row r="2149" spans="1:34" ht="14.25" customHeight="1" x14ac:dyDescent="0.25">
      <c r="A2149" s="3"/>
      <c r="B2149" s="3"/>
      <c r="C2149" s="3"/>
      <c r="D2149" s="3"/>
      <c r="E2149" s="3"/>
      <c r="F2149" s="3"/>
      <c r="G2149" s="3"/>
      <c r="H2149" s="11"/>
      <c r="I2149" s="12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14"/>
      <c r="X2149" s="3"/>
      <c r="Y2149" s="14"/>
      <c r="Z2149" s="3"/>
      <c r="AA2149" s="3"/>
      <c r="AB2149" s="3"/>
      <c r="AC2149" s="3"/>
      <c r="AD2149" s="3"/>
      <c r="AE2149" s="3"/>
      <c r="AF2149" s="3"/>
      <c r="AG2149" s="3"/>
      <c r="AH2149" s="3"/>
    </row>
    <row r="2150" spans="1:34" ht="14.25" customHeight="1" x14ac:dyDescent="0.25">
      <c r="A2150" s="3"/>
      <c r="B2150" s="3"/>
      <c r="C2150" s="3"/>
      <c r="D2150" s="3"/>
      <c r="E2150" s="3"/>
      <c r="F2150" s="3"/>
      <c r="G2150" s="3"/>
      <c r="H2150" s="11"/>
      <c r="I2150" s="12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14"/>
      <c r="X2150" s="3"/>
      <c r="Y2150" s="14"/>
      <c r="Z2150" s="3"/>
      <c r="AA2150" s="3"/>
      <c r="AB2150" s="3"/>
      <c r="AC2150" s="3"/>
      <c r="AD2150" s="3"/>
      <c r="AE2150" s="3"/>
      <c r="AF2150" s="3"/>
      <c r="AG2150" s="3"/>
      <c r="AH2150" s="3"/>
    </row>
    <row r="2151" spans="1:34" ht="14.25" customHeight="1" x14ac:dyDescent="0.25">
      <c r="A2151" s="3"/>
      <c r="B2151" s="3"/>
      <c r="C2151" s="3"/>
      <c r="D2151" s="3"/>
      <c r="E2151" s="3"/>
      <c r="F2151" s="3"/>
      <c r="G2151" s="3"/>
      <c r="H2151" s="11"/>
      <c r="I2151" s="12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14"/>
      <c r="X2151" s="3"/>
      <c r="Y2151" s="14"/>
      <c r="Z2151" s="3"/>
      <c r="AA2151" s="3"/>
      <c r="AB2151" s="3"/>
      <c r="AC2151" s="3"/>
      <c r="AD2151" s="3"/>
      <c r="AE2151" s="3"/>
      <c r="AF2151" s="3"/>
      <c r="AG2151" s="3"/>
      <c r="AH2151" s="3"/>
    </row>
    <row r="2152" spans="1:34" ht="14.25" customHeight="1" x14ac:dyDescent="0.25">
      <c r="A2152" s="3"/>
      <c r="B2152" s="3"/>
      <c r="C2152" s="3"/>
      <c r="D2152" s="3"/>
      <c r="E2152" s="3"/>
      <c r="F2152" s="3"/>
      <c r="G2152" s="3"/>
      <c r="H2152" s="11"/>
      <c r="I2152" s="12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14"/>
      <c r="X2152" s="3"/>
      <c r="Y2152" s="14"/>
      <c r="Z2152" s="3"/>
      <c r="AA2152" s="3"/>
      <c r="AB2152" s="3"/>
      <c r="AC2152" s="3"/>
      <c r="AD2152" s="3"/>
      <c r="AE2152" s="3"/>
      <c r="AF2152" s="3"/>
      <c r="AG2152" s="3"/>
      <c r="AH2152" s="3"/>
    </row>
    <row r="2153" spans="1:34" ht="14.25" customHeight="1" x14ac:dyDescent="0.25">
      <c r="A2153" s="3"/>
      <c r="B2153" s="3"/>
      <c r="C2153" s="3"/>
      <c r="D2153" s="3"/>
      <c r="E2153" s="3"/>
      <c r="F2153" s="3"/>
      <c r="G2153" s="3"/>
      <c r="H2153" s="11"/>
      <c r="I2153" s="12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14"/>
      <c r="X2153" s="3"/>
      <c r="Y2153" s="14"/>
      <c r="Z2153" s="3"/>
      <c r="AA2153" s="3"/>
      <c r="AB2153" s="3"/>
      <c r="AC2153" s="3"/>
      <c r="AD2153" s="3"/>
      <c r="AE2153" s="3"/>
      <c r="AF2153" s="3"/>
      <c r="AG2153" s="3"/>
      <c r="AH2153" s="3"/>
    </row>
    <row r="2154" spans="1:34" ht="14.25" customHeight="1" x14ac:dyDescent="0.25">
      <c r="A2154" s="3"/>
      <c r="B2154" s="3"/>
      <c r="C2154" s="3"/>
      <c r="D2154" s="3"/>
      <c r="E2154" s="3"/>
      <c r="F2154" s="3"/>
      <c r="G2154" s="3"/>
      <c r="H2154" s="11"/>
      <c r="I2154" s="12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14"/>
      <c r="X2154" s="3"/>
      <c r="Y2154" s="14"/>
      <c r="Z2154" s="3"/>
      <c r="AA2154" s="3"/>
      <c r="AB2154" s="3"/>
      <c r="AC2154" s="3"/>
      <c r="AD2154" s="3"/>
      <c r="AE2154" s="3"/>
      <c r="AF2154" s="3"/>
      <c r="AG2154" s="3"/>
      <c r="AH2154" s="3"/>
    </row>
    <row r="2155" spans="1:34" ht="14.25" customHeight="1" x14ac:dyDescent="0.25">
      <c r="A2155" s="3"/>
      <c r="B2155" s="3"/>
      <c r="C2155" s="3"/>
      <c r="D2155" s="3"/>
      <c r="E2155" s="3"/>
      <c r="F2155" s="3"/>
      <c r="G2155" s="3"/>
      <c r="H2155" s="11"/>
      <c r="I2155" s="12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14"/>
      <c r="X2155" s="3"/>
      <c r="Y2155" s="14"/>
      <c r="Z2155" s="3"/>
      <c r="AA2155" s="3"/>
      <c r="AB2155" s="3"/>
      <c r="AC2155" s="3"/>
      <c r="AD2155" s="3"/>
      <c r="AE2155" s="3"/>
      <c r="AF2155" s="3"/>
      <c r="AG2155" s="3"/>
      <c r="AH2155" s="3"/>
    </row>
    <row r="2156" spans="1:34" ht="14.25" customHeight="1" x14ac:dyDescent="0.25">
      <c r="A2156" s="3"/>
      <c r="B2156" s="3"/>
      <c r="C2156" s="3"/>
      <c r="D2156" s="3"/>
      <c r="E2156" s="3"/>
      <c r="F2156" s="3"/>
      <c r="G2156" s="3"/>
      <c r="H2156" s="11"/>
      <c r="I2156" s="12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14"/>
      <c r="X2156" s="3"/>
      <c r="Y2156" s="14"/>
      <c r="Z2156" s="3"/>
      <c r="AA2156" s="3"/>
      <c r="AB2156" s="3"/>
      <c r="AC2156" s="3"/>
      <c r="AD2156" s="3"/>
      <c r="AE2156" s="3"/>
      <c r="AF2156" s="3"/>
      <c r="AG2156" s="3"/>
      <c r="AH2156" s="3"/>
    </row>
    <row r="2157" spans="1:34" ht="14.25" customHeight="1" x14ac:dyDescent="0.25">
      <c r="A2157" s="3"/>
      <c r="B2157" s="3"/>
      <c r="C2157" s="3"/>
      <c r="D2157" s="3"/>
      <c r="E2157" s="3"/>
      <c r="F2157" s="3"/>
      <c r="G2157" s="3"/>
      <c r="H2157" s="11"/>
      <c r="I2157" s="12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14"/>
      <c r="X2157" s="3"/>
      <c r="Y2157" s="14"/>
      <c r="Z2157" s="3"/>
      <c r="AA2157" s="3"/>
      <c r="AB2157" s="3"/>
      <c r="AC2157" s="3"/>
      <c r="AD2157" s="3"/>
      <c r="AE2157" s="3"/>
      <c r="AF2157" s="3"/>
      <c r="AG2157" s="3"/>
      <c r="AH2157" s="3"/>
    </row>
    <row r="2158" spans="1:34" ht="14.25" customHeight="1" x14ac:dyDescent="0.25">
      <c r="A2158" s="3"/>
      <c r="B2158" s="3"/>
      <c r="C2158" s="3"/>
      <c r="D2158" s="3"/>
      <c r="E2158" s="3"/>
      <c r="F2158" s="3"/>
      <c r="G2158" s="3"/>
      <c r="H2158" s="11"/>
      <c r="I2158" s="12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14"/>
      <c r="X2158" s="3"/>
      <c r="Y2158" s="14"/>
      <c r="Z2158" s="3"/>
      <c r="AA2158" s="3"/>
      <c r="AB2158" s="3"/>
      <c r="AC2158" s="3"/>
      <c r="AD2158" s="3"/>
      <c r="AE2158" s="3"/>
      <c r="AF2158" s="3"/>
      <c r="AG2158" s="3"/>
      <c r="AH2158" s="3"/>
    </row>
    <row r="2159" spans="1:34" ht="14.25" customHeight="1" x14ac:dyDescent="0.25">
      <c r="A2159" s="3"/>
      <c r="B2159" s="3"/>
      <c r="C2159" s="3"/>
      <c r="D2159" s="3"/>
      <c r="E2159" s="3"/>
      <c r="F2159" s="3"/>
      <c r="G2159" s="3"/>
      <c r="H2159" s="11"/>
      <c r="I2159" s="12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14"/>
      <c r="X2159" s="3"/>
      <c r="Y2159" s="14"/>
      <c r="Z2159" s="3"/>
      <c r="AA2159" s="3"/>
      <c r="AB2159" s="3"/>
      <c r="AC2159" s="3"/>
      <c r="AD2159" s="3"/>
      <c r="AE2159" s="3"/>
      <c r="AF2159" s="3"/>
      <c r="AG2159" s="3"/>
      <c r="AH2159" s="3"/>
    </row>
    <row r="2160" spans="1:34" ht="14.25" customHeight="1" x14ac:dyDescent="0.25">
      <c r="A2160" s="3"/>
      <c r="B2160" s="3"/>
      <c r="C2160" s="3"/>
      <c r="D2160" s="3"/>
      <c r="E2160" s="3"/>
      <c r="F2160" s="3"/>
      <c r="G2160" s="3"/>
      <c r="H2160" s="11"/>
      <c r="I2160" s="12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14"/>
      <c r="X2160" s="3"/>
      <c r="Y2160" s="14"/>
      <c r="Z2160" s="3"/>
      <c r="AA2160" s="3"/>
      <c r="AB2160" s="3"/>
      <c r="AC2160" s="3"/>
      <c r="AD2160" s="3"/>
      <c r="AE2160" s="3"/>
      <c r="AF2160" s="3"/>
      <c r="AG2160" s="3"/>
      <c r="AH2160" s="3"/>
    </row>
    <row r="2161" spans="1:34" ht="14.25" customHeight="1" x14ac:dyDescent="0.25">
      <c r="A2161" s="3"/>
      <c r="B2161" s="3"/>
      <c r="C2161" s="3"/>
      <c r="D2161" s="3"/>
      <c r="E2161" s="3"/>
      <c r="F2161" s="3"/>
      <c r="G2161" s="3"/>
      <c r="H2161" s="11"/>
      <c r="I2161" s="12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14"/>
      <c r="X2161" s="3"/>
      <c r="Y2161" s="14"/>
      <c r="Z2161" s="3"/>
      <c r="AA2161" s="3"/>
      <c r="AB2161" s="3"/>
      <c r="AC2161" s="3"/>
      <c r="AD2161" s="3"/>
      <c r="AE2161" s="3"/>
      <c r="AF2161" s="3"/>
      <c r="AG2161" s="3"/>
      <c r="AH2161" s="3"/>
    </row>
    <row r="2162" spans="1:34" ht="14.25" customHeight="1" x14ac:dyDescent="0.25">
      <c r="A2162" s="3"/>
      <c r="B2162" s="3"/>
      <c r="C2162" s="3"/>
      <c r="D2162" s="3"/>
      <c r="E2162" s="3"/>
      <c r="F2162" s="3"/>
      <c r="G2162" s="3"/>
      <c r="H2162" s="11"/>
      <c r="I2162" s="12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14"/>
      <c r="X2162" s="3"/>
      <c r="Y2162" s="14"/>
      <c r="Z2162" s="3"/>
      <c r="AA2162" s="3"/>
      <c r="AB2162" s="3"/>
      <c r="AC2162" s="3"/>
      <c r="AD2162" s="3"/>
      <c r="AE2162" s="3"/>
      <c r="AF2162" s="3"/>
      <c r="AG2162" s="3"/>
      <c r="AH2162" s="3"/>
    </row>
    <row r="2163" spans="1:34" ht="14.25" customHeight="1" x14ac:dyDescent="0.25">
      <c r="A2163" s="3"/>
      <c r="B2163" s="3"/>
      <c r="C2163" s="3"/>
      <c r="D2163" s="3"/>
      <c r="E2163" s="3"/>
      <c r="F2163" s="3"/>
      <c r="G2163" s="3"/>
      <c r="H2163" s="11"/>
      <c r="I2163" s="12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14"/>
      <c r="X2163" s="3"/>
      <c r="Y2163" s="14"/>
      <c r="Z2163" s="3"/>
      <c r="AA2163" s="3"/>
      <c r="AB2163" s="3"/>
      <c r="AC2163" s="3"/>
      <c r="AD2163" s="3"/>
      <c r="AE2163" s="3"/>
      <c r="AF2163" s="3"/>
      <c r="AG2163" s="3"/>
      <c r="AH2163" s="3"/>
    </row>
    <row r="2164" spans="1:34" ht="14.25" customHeight="1" x14ac:dyDescent="0.25">
      <c r="A2164" s="3"/>
      <c r="B2164" s="3"/>
      <c r="C2164" s="3"/>
      <c r="D2164" s="3"/>
      <c r="E2164" s="3"/>
      <c r="F2164" s="3"/>
      <c r="G2164" s="3"/>
      <c r="H2164" s="11"/>
      <c r="I2164" s="12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14"/>
      <c r="X2164" s="3"/>
      <c r="Y2164" s="14"/>
      <c r="Z2164" s="3"/>
      <c r="AA2164" s="3"/>
      <c r="AB2164" s="3"/>
      <c r="AC2164" s="3"/>
      <c r="AD2164" s="3"/>
      <c r="AE2164" s="3"/>
      <c r="AF2164" s="3"/>
      <c r="AG2164" s="3"/>
      <c r="AH2164" s="3"/>
    </row>
    <row r="2165" spans="1:34" ht="14.25" customHeight="1" x14ac:dyDescent="0.25">
      <c r="A2165" s="3"/>
      <c r="B2165" s="3"/>
      <c r="C2165" s="3"/>
      <c r="D2165" s="3"/>
      <c r="E2165" s="3"/>
      <c r="F2165" s="3"/>
      <c r="G2165" s="3"/>
      <c r="H2165" s="11"/>
      <c r="I2165" s="12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14"/>
      <c r="X2165" s="3"/>
      <c r="Y2165" s="14"/>
      <c r="Z2165" s="3"/>
      <c r="AA2165" s="3"/>
      <c r="AB2165" s="3"/>
      <c r="AC2165" s="3"/>
      <c r="AD2165" s="3"/>
      <c r="AE2165" s="3"/>
      <c r="AF2165" s="3"/>
      <c r="AG2165" s="3"/>
      <c r="AH2165" s="3"/>
    </row>
    <row r="2166" spans="1:34" ht="14.25" customHeight="1" x14ac:dyDescent="0.25">
      <c r="A2166" s="3"/>
      <c r="B2166" s="3"/>
      <c r="C2166" s="3"/>
      <c r="D2166" s="3"/>
      <c r="E2166" s="3"/>
      <c r="F2166" s="3"/>
      <c r="G2166" s="3"/>
      <c r="H2166" s="11"/>
      <c r="I2166" s="12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14"/>
      <c r="X2166" s="3"/>
      <c r="Y2166" s="14"/>
      <c r="Z2166" s="3"/>
      <c r="AA2166" s="3"/>
      <c r="AB2166" s="3"/>
      <c r="AC2166" s="3"/>
      <c r="AD2166" s="3"/>
      <c r="AE2166" s="3"/>
      <c r="AF2166" s="3"/>
      <c r="AG2166" s="3"/>
      <c r="AH2166" s="3"/>
    </row>
    <row r="2167" spans="1:34" ht="14.25" customHeight="1" x14ac:dyDescent="0.25">
      <c r="A2167" s="3"/>
      <c r="B2167" s="3"/>
      <c r="C2167" s="3"/>
      <c r="D2167" s="3"/>
      <c r="E2167" s="3"/>
      <c r="F2167" s="3"/>
      <c r="G2167" s="3"/>
      <c r="H2167" s="11"/>
      <c r="I2167" s="12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14"/>
      <c r="X2167" s="3"/>
      <c r="Y2167" s="14"/>
      <c r="Z2167" s="3"/>
      <c r="AA2167" s="3"/>
      <c r="AB2167" s="3"/>
      <c r="AC2167" s="3"/>
      <c r="AD2167" s="3"/>
      <c r="AE2167" s="3"/>
      <c r="AF2167" s="3"/>
      <c r="AG2167" s="3"/>
      <c r="AH2167" s="3"/>
    </row>
    <row r="2168" spans="1:34" ht="14.25" customHeight="1" x14ac:dyDescent="0.25">
      <c r="A2168" s="3"/>
      <c r="B2168" s="3"/>
      <c r="C2168" s="3"/>
      <c r="D2168" s="3"/>
      <c r="E2168" s="3"/>
      <c r="F2168" s="3"/>
      <c r="G2168" s="3"/>
      <c r="H2168" s="11"/>
      <c r="I2168" s="12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14"/>
      <c r="X2168" s="3"/>
      <c r="Y2168" s="14"/>
      <c r="Z2168" s="3"/>
      <c r="AA2168" s="3"/>
      <c r="AB2168" s="3"/>
      <c r="AC2168" s="3"/>
      <c r="AD2168" s="3"/>
      <c r="AE2168" s="3"/>
      <c r="AF2168" s="3"/>
      <c r="AG2168" s="3"/>
      <c r="AH2168" s="3"/>
    </row>
    <row r="2169" spans="1:34" ht="14.25" customHeight="1" x14ac:dyDescent="0.25">
      <c r="A2169" s="3"/>
      <c r="B2169" s="3"/>
      <c r="C2169" s="3"/>
      <c r="D2169" s="3"/>
      <c r="E2169" s="3"/>
      <c r="F2169" s="3"/>
      <c r="G2169" s="3"/>
      <c r="H2169" s="11"/>
      <c r="I2169" s="12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14"/>
      <c r="X2169" s="3"/>
      <c r="Y2169" s="14"/>
      <c r="Z2169" s="3"/>
      <c r="AA2169" s="3"/>
      <c r="AB2169" s="3"/>
      <c r="AC2169" s="3"/>
      <c r="AD2169" s="3"/>
      <c r="AE2169" s="3"/>
      <c r="AF2169" s="3"/>
      <c r="AG2169" s="3"/>
      <c r="AH2169" s="3"/>
    </row>
    <row r="2170" spans="1:34" ht="14.25" customHeight="1" x14ac:dyDescent="0.25">
      <c r="A2170" s="3"/>
      <c r="B2170" s="3"/>
      <c r="C2170" s="3"/>
      <c r="D2170" s="3"/>
      <c r="E2170" s="3"/>
      <c r="F2170" s="3"/>
      <c r="G2170" s="3"/>
      <c r="H2170" s="11"/>
      <c r="I2170" s="12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14"/>
      <c r="X2170" s="3"/>
      <c r="Y2170" s="14"/>
      <c r="Z2170" s="3"/>
      <c r="AA2170" s="3"/>
      <c r="AB2170" s="3"/>
      <c r="AC2170" s="3"/>
      <c r="AD2170" s="3"/>
      <c r="AE2170" s="3"/>
      <c r="AF2170" s="3"/>
      <c r="AG2170" s="3"/>
      <c r="AH2170" s="3"/>
    </row>
    <row r="2171" spans="1:34" ht="14.25" customHeight="1" x14ac:dyDescent="0.25">
      <c r="A2171" s="3"/>
      <c r="B2171" s="3"/>
      <c r="C2171" s="3"/>
      <c r="D2171" s="3"/>
      <c r="E2171" s="3"/>
      <c r="F2171" s="3"/>
      <c r="G2171" s="3"/>
      <c r="H2171" s="11"/>
      <c r="I2171" s="12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14"/>
      <c r="X2171" s="3"/>
      <c r="Y2171" s="14"/>
      <c r="Z2171" s="3"/>
      <c r="AA2171" s="3"/>
      <c r="AB2171" s="3"/>
      <c r="AC2171" s="3"/>
      <c r="AD2171" s="3"/>
      <c r="AE2171" s="3"/>
      <c r="AF2171" s="3"/>
      <c r="AG2171" s="3"/>
      <c r="AH2171" s="3"/>
    </row>
    <row r="2172" spans="1:34" ht="14.25" customHeight="1" x14ac:dyDescent="0.25">
      <c r="A2172" s="3"/>
      <c r="B2172" s="3"/>
      <c r="C2172" s="3"/>
      <c r="D2172" s="3"/>
      <c r="E2172" s="3"/>
      <c r="F2172" s="3"/>
      <c r="G2172" s="3"/>
      <c r="H2172" s="11"/>
      <c r="I2172" s="12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14"/>
      <c r="X2172" s="3"/>
      <c r="Y2172" s="14"/>
      <c r="Z2172" s="3"/>
      <c r="AA2172" s="3"/>
      <c r="AB2172" s="3"/>
      <c r="AC2172" s="3"/>
      <c r="AD2172" s="3"/>
      <c r="AE2172" s="3"/>
      <c r="AF2172" s="3"/>
      <c r="AG2172" s="3"/>
      <c r="AH2172" s="3"/>
    </row>
    <row r="2173" spans="1:34" ht="14.25" customHeight="1" x14ac:dyDescent="0.25">
      <c r="A2173" s="3"/>
      <c r="B2173" s="3"/>
      <c r="C2173" s="3"/>
      <c r="D2173" s="3"/>
      <c r="E2173" s="3"/>
      <c r="F2173" s="3"/>
      <c r="G2173" s="3"/>
      <c r="H2173" s="11"/>
      <c r="I2173" s="12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14"/>
      <c r="X2173" s="3"/>
      <c r="Y2173" s="14"/>
      <c r="Z2173" s="3"/>
      <c r="AA2173" s="3"/>
      <c r="AB2173" s="3"/>
      <c r="AC2173" s="3"/>
      <c r="AD2173" s="3"/>
      <c r="AE2173" s="3"/>
      <c r="AF2173" s="3"/>
      <c r="AG2173" s="3"/>
      <c r="AH2173" s="3"/>
    </row>
    <row r="2174" spans="1:34" ht="14.25" customHeight="1" x14ac:dyDescent="0.25">
      <c r="A2174" s="3"/>
      <c r="B2174" s="3"/>
      <c r="C2174" s="3"/>
      <c r="D2174" s="3"/>
      <c r="E2174" s="3"/>
      <c r="F2174" s="3"/>
      <c r="G2174" s="3"/>
      <c r="H2174" s="11"/>
      <c r="I2174" s="12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14"/>
      <c r="X2174" s="3"/>
      <c r="Y2174" s="14"/>
      <c r="Z2174" s="3"/>
      <c r="AA2174" s="3"/>
      <c r="AB2174" s="3"/>
      <c r="AC2174" s="3"/>
      <c r="AD2174" s="3"/>
      <c r="AE2174" s="3"/>
      <c r="AF2174" s="3"/>
      <c r="AG2174" s="3"/>
      <c r="AH2174" s="3"/>
    </row>
    <row r="2175" spans="1:34" ht="14.25" customHeight="1" x14ac:dyDescent="0.25">
      <c r="A2175" s="3"/>
      <c r="B2175" s="3"/>
      <c r="C2175" s="3"/>
      <c r="D2175" s="3"/>
      <c r="E2175" s="3"/>
      <c r="F2175" s="3"/>
      <c r="G2175" s="3"/>
      <c r="H2175" s="11"/>
      <c r="I2175" s="12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14"/>
      <c r="X2175" s="3"/>
      <c r="Y2175" s="14"/>
      <c r="Z2175" s="3"/>
      <c r="AA2175" s="3"/>
      <c r="AB2175" s="3"/>
      <c r="AC2175" s="3"/>
      <c r="AD2175" s="3"/>
      <c r="AE2175" s="3"/>
      <c r="AF2175" s="3"/>
      <c r="AG2175" s="3"/>
      <c r="AH2175" s="3"/>
    </row>
    <row r="2176" spans="1:34" ht="14.25" customHeight="1" x14ac:dyDescent="0.25">
      <c r="A2176" s="3"/>
      <c r="B2176" s="3"/>
      <c r="C2176" s="3"/>
      <c r="D2176" s="3"/>
      <c r="E2176" s="3"/>
      <c r="F2176" s="3"/>
      <c r="G2176" s="3"/>
      <c r="H2176" s="11"/>
      <c r="I2176" s="12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14"/>
      <c r="X2176" s="3"/>
      <c r="Y2176" s="14"/>
      <c r="Z2176" s="3"/>
      <c r="AA2176" s="3"/>
      <c r="AB2176" s="3"/>
      <c r="AC2176" s="3"/>
      <c r="AD2176" s="3"/>
      <c r="AE2176" s="3"/>
      <c r="AF2176" s="3"/>
      <c r="AG2176" s="3"/>
      <c r="AH2176" s="3"/>
    </row>
    <row r="2177" spans="1:34" ht="14.25" customHeight="1" x14ac:dyDescent="0.25">
      <c r="A2177" s="3"/>
      <c r="B2177" s="3"/>
      <c r="C2177" s="3"/>
      <c r="D2177" s="3"/>
      <c r="E2177" s="3"/>
      <c r="F2177" s="3"/>
      <c r="G2177" s="3"/>
      <c r="H2177" s="11"/>
      <c r="I2177" s="12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14"/>
      <c r="X2177" s="3"/>
      <c r="Y2177" s="14"/>
      <c r="Z2177" s="3"/>
      <c r="AA2177" s="3"/>
      <c r="AB2177" s="3"/>
      <c r="AC2177" s="3"/>
      <c r="AD2177" s="3"/>
      <c r="AE2177" s="3"/>
      <c r="AF2177" s="3"/>
      <c r="AG2177" s="3"/>
      <c r="AH2177" s="3"/>
    </row>
    <row r="2178" spans="1:34" ht="14.25" customHeight="1" x14ac:dyDescent="0.25">
      <c r="A2178" s="3"/>
      <c r="B2178" s="3"/>
      <c r="C2178" s="3"/>
      <c r="D2178" s="3"/>
      <c r="E2178" s="3"/>
      <c r="F2178" s="3"/>
      <c r="G2178" s="3"/>
      <c r="H2178" s="11"/>
      <c r="I2178" s="12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14"/>
      <c r="Z2178" s="3"/>
      <c r="AA2178" s="3"/>
      <c r="AB2178" s="3"/>
      <c r="AC2178" s="3"/>
      <c r="AD2178" s="3"/>
      <c r="AE2178" s="3"/>
      <c r="AF2178" s="3"/>
      <c r="AG2178" s="3"/>
      <c r="AH2178" s="3"/>
    </row>
    <row r="2179" spans="1:34" ht="14.25" customHeight="1" x14ac:dyDescent="0.25">
      <c r="A2179" s="3"/>
      <c r="B2179" s="3"/>
      <c r="C2179" s="3"/>
      <c r="D2179" s="3"/>
      <c r="E2179" s="3"/>
      <c r="F2179" s="3"/>
      <c r="G2179" s="3"/>
      <c r="H2179" s="11"/>
      <c r="I2179" s="12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14"/>
      <c r="Z2179" s="3"/>
      <c r="AA2179" s="3"/>
      <c r="AB2179" s="3"/>
      <c r="AC2179" s="3"/>
      <c r="AD2179" s="3"/>
      <c r="AE2179" s="3"/>
      <c r="AF2179" s="3"/>
      <c r="AG2179" s="3"/>
      <c r="AH2179" s="3"/>
    </row>
    <row r="2180" spans="1:34" ht="14.25" customHeight="1" x14ac:dyDescent="0.25">
      <c r="A2180" s="3"/>
      <c r="B2180" s="3"/>
      <c r="C2180" s="3"/>
      <c r="D2180" s="3"/>
      <c r="E2180" s="3"/>
      <c r="F2180" s="3"/>
      <c r="G2180" s="3"/>
      <c r="H2180" s="11"/>
      <c r="I2180" s="12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14"/>
      <c r="Z2180" s="3"/>
      <c r="AA2180" s="3"/>
      <c r="AB2180" s="3"/>
      <c r="AC2180" s="3"/>
      <c r="AD2180" s="3"/>
      <c r="AE2180" s="3"/>
      <c r="AF2180" s="3"/>
      <c r="AG2180" s="3"/>
      <c r="AH2180" s="3"/>
    </row>
    <row r="2181" spans="1:34" ht="14.25" customHeight="1" x14ac:dyDescent="0.25">
      <c r="A2181" s="3"/>
      <c r="B2181" s="3"/>
      <c r="C2181" s="3"/>
      <c r="D2181" s="3"/>
      <c r="E2181" s="3"/>
      <c r="F2181" s="3"/>
      <c r="G2181" s="3"/>
      <c r="H2181" s="11"/>
      <c r="I2181" s="12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14"/>
      <c r="X2181" s="3"/>
      <c r="Y2181" s="14"/>
      <c r="Z2181" s="3"/>
      <c r="AA2181" s="3"/>
      <c r="AB2181" s="3"/>
      <c r="AC2181" s="3"/>
      <c r="AD2181" s="3"/>
      <c r="AE2181" s="3"/>
      <c r="AF2181" s="3"/>
      <c r="AG2181" s="3"/>
      <c r="AH2181" s="3"/>
    </row>
    <row r="2182" spans="1:34" ht="14.25" customHeight="1" x14ac:dyDescent="0.25">
      <c r="A2182" s="3"/>
      <c r="B2182" s="3"/>
      <c r="C2182" s="3"/>
      <c r="D2182" s="3"/>
      <c r="E2182" s="3"/>
      <c r="F2182" s="3"/>
      <c r="G2182" s="3"/>
      <c r="H2182" s="11"/>
      <c r="I2182" s="12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14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</row>
    <row r="2183" spans="1:34" ht="14.25" customHeight="1" x14ac:dyDescent="0.25">
      <c r="A2183" s="3"/>
      <c r="B2183" s="3"/>
      <c r="C2183" s="3"/>
      <c r="D2183" s="3"/>
      <c r="E2183" s="3"/>
      <c r="F2183" s="3"/>
      <c r="G2183" s="3"/>
      <c r="H2183" s="11"/>
      <c r="I2183" s="12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14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</row>
    <row r="2184" spans="1:34" ht="14.25" customHeight="1" x14ac:dyDescent="0.25">
      <c r="A2184" s="3"/>
      <c r="B2184" s="3"/>
      <c r="C2184" s="3"/>
      <c r="D2184" s="3"/>
      <c r="E2184" s="3"/>
      <c r="F2184" s="3"/>
      <c r="G2184" s="3"/>
      <c r="H2184" s="11"/>
      <c r="I2184" s="12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14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</row>
    <row r="2185" spans="1:34" ht="14.25" customHeight="1" x14ac:dyDescent="0.25">
      <c r="A2185" s="3"/>
      <c r="B2185" s="3"/>
      <c r="C2185" s="3"/>
      <c r="D2185" s="3"/>
      <c r="E2185" s="3"/>
      <c r="F2185" s="3"/>
      <c r="G2185" s="3"/>
      <c r="H2185" s="11"/>
      <c r="I2185" s="12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14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</row>
    <row r="2186" spans="1:34" ht="14.25" customHeight="1" x14ac:dyDescent="0.25">
      <c r="A2186" s="3"/>
      <c r="B2186" s="3"/>
      <c r="C2186" s="3"/>
      <c r="D2186" s="3"/>
      <c r="E2186" s="3"/>
      <c r="F2186" s="3"/>
      <c r="G2186" s="3"/>
      <c r="H2186" s="11"/>
      <c r="I2186" s="12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14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</row>
    <row r="2187" spans="1:34" ht="14.25" customHeight="1" x14ac:dyDescent="0.25">
      <c r="A2187" s="3"/>
      <c r="B2187" s="3"/>
      <c r="C2187" s="3"/>
      <c r="D2187" s="3"/>
      <c r="E2187" s="3"/>
      <c r="F2187" s="3"/>
      <c r="G2187" s="3"/>
      <c r="H2187" s="11"/>
      <c r="I2187" s="12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14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</row>
    <row r="2188" spans="1:34" ht="14.25" customHeight="1" x14ac:dyDescent="0.25">
      <c r="A2188" s="3"/>
      <c r="B2188" s="3"/>
      <c r="C2188" s="3"/>
      <c r="D2188" s="3"/>
      <c r="E2188" s="3"/>
      <c r="F2188" s="3"/>
      <c r="G2188" s="3"/>
      <c r="H2188" s="11"/>
      <c r="I2188" s="12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14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</row>
    <row r="2189" spans="1:34" ht="14.25" customHeight="1" x14ac:dyDescent="0.25">
      <c r="A2189" s="3"/>
      <c r="B2189" s="3"/>
      <c r="C2189" s="3"/>
      <c r="D2189" s="3"/>
      <c r="E2189" s="3"/>
      <c r="F2189" s="3"/>
      <c r="G2189" s="3"/>
      <c r="H2189" s="11"/>
      <c r="I2189" s="12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14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</row>
    <row r="2190" spans="1:34" ht="14.25" customHeight="1" x14ac:dyDescent="0.25">
      <c r="A2190" s="3"/>
      <c r="B2190" s="3"/>
      <c r="C2190" s="3"/>
      <c r="D2190" s="3"/>
      <c r="E2190" s="3"/>
      <c r="F2190" s="3"/>
      <c r="G2190" s="3"/>
      <c r="H2190" s="11"/>
      <c r="I2190" s="12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14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</row>
    <row r="2191" spans="1:34" ht="14.25" customHeight="1" x14ac:dyDescent="0.25">
      <c r="A2191" s="3"/>
      <c r="B2191" s="3"/>
      <c r="C2191" s="3"/>
      <c r="D2191" s="3"/>
      <c r="E2191" s="3"/>
      <c r="F2191" s="3"/>
      <c r="G2191" s="3"/>
      <c r="H2191" s="11"/>
      <c r="I2191" s="12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14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</row>
    <row r="2192" spans="1:34" ht="14.25" customHeight="1" x14ac:dyDescent="0.25">
      <c r="A2192" s="3"/>
      <c r="B2192" s="3"/>
      <c r="C2192" s="3"/>
      <c r="D2192" s="3"/>
      <c r="E2192" s="3"/>
      <c r="F2192" s="3"/>
      <c r="G2192" s="3"/>
      <c r="H2192" s="11"/>
      <c r="I2192" s="12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14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</row>
    <row r="2193" spans="1:34" ht="14.25" customHeight="1" x14ac:dyDescent="0.25">
      <c r="A2193" s="3"/>
      <c r="B2193" s="3"/>
      <c r="C2193" s="3"/>
      <c r="D2193" s="3"/>
      <c r="E2193" s="3"/>
      <c r="F2193" s="3"/>
      <c r="G2193" s="3"/>
      <c r="H2193" s="11"/>
      <c r="I2193" s="12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14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</row>
    <row r="2194" spans="1:34" ht="14.25" customHeight="1" x14ac:dyDescent="0.25">
      <c r="A2194" s="3"/>
      <c r="B2194" s="3"/>
      <c r="C2194" s="3"/>
      <c r="D2194" s="3"/>
      <c r="E2194" s="3"/>
      <c r="F2194" s="3"/>
      <c r="G2194" s="3"/>
      <c r="H2194" s="11"/>
      <c r="I2194" s="12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14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</row>
    <row r="2195" spans="1:34" ht="14.25" customHeight="1" x14ac:dyDescent="0.25">
      <c r="A2195" s="3"/>
      <c r="B2195" s="3"/>
      <c r="C2195" s="3"/>
      <c r="D2195" s="3"/>
      <c r="E2195" s="3"/>
      <c r="F2195" s="3"/>
      <c r="G2195" s="3"/>
      <c r="H2195" s="11"/>
      <c r="I2195" s="12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14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</row>
    <row r="2196" spans="1:34" ht="14.25" customHeight="1" x14ac:dyDescent="0.25">
      <c r="A2196" s="3"/>
      <c r="B2196" s="3"/>
      <c r="C2196" s="3"/>
      <c r="D2196" s="3"/>
      <c r="E2196" s="3"/>
      <c r="F2196" s="3"/>
      <c r="G2196" s="3"/>
      <c r="H2196" s="11"/>
      <c r="I2196" s="12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14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</row>
    <row r="2197" spans="1:34" ht="14.25" customHeight="1" x14ac:dyDescent="0.25">
      <c r="A2197" s="3"/>
      <c r="B2197" s="3"/>
      <c r="C2197" s="3"/>
      <c r="D2197" s="3"/>
      <c r="E2197" s="3"/>
      <c r="F2197" s="3"/>
      <c r="G2197" s="3"/>
      <c r="H2197" s="11"/>
      <c r="I2197" s="12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14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</row>
    <row r="2198" spans="1:34" ht="14.25" customHeight="1" x14ac:dyDescent="0.25">
      <c r="A2198" s="3"/>
      <c r="B2198" s="3"/>
      <c r="C2198" s="3"/>
      <c r="D2198" s="3"/>
      <c r="E2198" s="3"/>
      <c r="F2198" s="3"/>
      <c r="G2198" s="3"/>
      <c r="H2198" s="11"/>
      <c r="I2198" s="12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14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</row>
    <row r="2199" spans="1:34" ht="14.25" customHeight="1" x14ac:dyDescent="0.25">
      <c r="A2199" s="3"/>
      <c r="B2199" s="3"/>
      <c r="C2199" s="3"/>
      <c r="D2199" s="3"/>
      <c r="E2199" s="3"/>
      <c r="F2199" s="3"/>
      <c r="G2199" s="3"/>
      <c r="H2199" s="11"/>
      <c r="I2199" s="12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14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</row>
    <row r="2200" spans="1:34" ht="14.25" customHeight="1" x14ac:dyDescent="0.25">
      <c r="A2200" s="3"/>
      <c r="B2200" s="3"/>
      <c r="C2200" s="3"/>
      <c r="D2200" s="3"/>
      <c r="E2200" s="3"/>
      <c r="F2200" s="3"/>
      <c r="G2200" s="3"/>
      <c r="H2200" s="11"/>
      <c r="I2200" s="12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14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</row>
    <row r="2201" spans="1:34" ht="14.25" customHeight="1" x14ac:dyDescent="0.25">
      <c r="A2201" s="3"/>
      <c r="B2201" s="3"/>
      <c r="C2201" s="3"/>
      <c r="D2201" s="3"/>
      <c r="E2201" s="3"/>
      <c r="F2201" s="3"/>
      <c r="G2201" s="3"/>
      <c r="H2201" s="11"/>
      <c r="I2201" s="12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</row>
    <row r="2202" spans="1:34" ht="14.25" customHeight="1" x14ac:dyDescent="0.25">
      <c r="A2202" s="3"/>
      <c r="B2202" s="3"/>
      <c r="C2202" s="3"/>
      <c r="D2202" s="3"/>
      <c r="E2202" s="3"/>
      <c r="F2202" s="3"/>
      <c r="G2202" s="3"/>
      <c r="H2202" s="11"/>
      <c r="I2202" s="12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</row>
    <row r="2203" spans="1:34" ht="14.25" customHeight="1" x14ac:dyDescent="0.25">
      <c r="A2203" s="3"/>
      <c r="B2203" s="3"/>
      <c r="C2203" s="3"/>
      <c r="D2203" s="3"/>
      <c r="E2203" s="3"/>
      <c r="F2203" s="3"/>
      <c r="G2203" s="3"/>
      <c r="H2203" s="11"/>
      <c r="I2203" s="12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</row>
    <row r="2204" spans="1:34" ht="14.25" customHeight="1" x14ac:dyDescent="0.25">
      <c r="A2204" s="3"/>
      <c r="B2204" s="3"/>
      <c r="C2204" s="3"/>
      <c r="D2204" s="3"/>
      <c r="E2204" s="3"/>
      <c r="F2204" s="3"/>
      <c r="G2204" s="3"/>
      <c r="H2204" s="11"/>
      <c r="I2204" s="12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</row>
    <row r="2205" spans="1:34" ht="14.25" customHeight="1" x14ac:dyDescent="0.25">
      <c r="A2205" s="3"/>
      <c r="B2205" s="3"/>
      <c r="C2205" s="3"/>
      <c r="D2205" s="3"/>
      <c r="E2205" s="3"/>
      <c r="F2205" s="3"/>
      <c r="G2205" s="3"/>
      <c r="H2205" s="11"/>
      <c r="I2205" s="12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</row>
    <row r="2206" spans="1:34" ht="14.25" customHeight="1" x14ac:dyDescent="0.25">
      <c r="A2206" s="3"/>
      <c r="B2206" s="3"/>
      <c r="C2206" s="3"/>
      <c r="D2206" s="3"/>
      <c r="E2206" s="3"/>
      <c r="F2206" s="3"/>
      <c r="G2206" s="3"/>
      <c r="H2206" s="11"/>
      <c r="I2206" s="12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</row>
    <row r="2207" spans="1:34" ht="14.25" customHeight="1" x14ac:dyDescent="0.25">
      <c r="A2207" s="3"/>
      <c r="B2207" s="3"/>
      <c r="C2207" s="3"/>
      <c r="D2207" s="3"/>
      <c r="E2207" s="3"/>
      <c r="F2207" s="3"/>
      <c r="G2207" s="3"/>
      <c r="H2207" s="11"/>
      <c r="I2207" s="12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</row>
    <row r="2208" spans="1:34" ht="14.25" customHeight="1" x14ac:dyDescent="0.25">
      <c r="A2208" s="3"/>
      <c r="B2208" s="3"/>
      <c r="C2208" s="3"/>
      <c r="D2208" s="3"/>
      <c r="E2208" s="3"/>
      <c r="F2208" s="3"/>
      <c r="G2208" s="3"/>
      <c r="H2208" s="11"/>
      <c r="I2208" s="12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</row>
    <row r="2209" spans="1:34" ht="14.25" customHeight="1" x14ac:dyDescent="0.25">
      <c r="A2209" s="3"/>
      <c r="B2209" s="3"/>
      <c r="C2209" s="3"/>
      <c r="D2209" s="3"/>
      <c r="E2209" s="3"/>
      <c r="F2209" s="3"/>
      <c r="G2209" s="3"/>
      <c r="H2209" s="11"/>
      <c r="I2209" s="12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</row>
    <row r="2210" spans="1:34" ht="14.25" customHeight="1" x14ac:dyDescent="0.25">
      <c r="A2210" s="3"/>
      <c r="B2210" s="3"/>
      <c r="C2210" s="3"/>
      <c r="D2210" s="3"/>
      <c r="E2210" s="3"/>
      <c r="F2210" s="3"/>
      <c r="G2210" s="3"/>
      <c r="H2210" s="11"/>
      <c r="I2210" s="12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</row>
    <row r="2211" spans="1:34" ht="14.25" customHeight="1" x14ac:dyDescent="0.25">
      <c r="A2211" s="3"/>
      <c r="B2211" s="3"/>
      <c r="C2211" s="3"/>
      <c r="D2211" s="3"/>
      <c r="E2211" s="3"/>
      <c r="F2211" s="3"/>
      <c r="G2211" s="3"/>
      <c r="H2211" s="11"/>
      <c r="I2211" s="12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</row>
    <row r="2212" spans="1:34" ht="14.25" customHeight="1" x14ac:dyDescent="0.25">
      <c r="A2212" s="3"/>
      <c r="B2212" s="3"/>
      <c r="C2212" s="3"/>
      <c r="D2212" s="3"/>
      <c r="E2212" s="3"/>
      <c r="F2212" s="3"/>
      <c r="G2212" s="3"/>
      <c r="H2212" s="11"/>
      <c r="I2212" s="12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</row>
    <row r="2213" spans="1:34" ht="14.25" customHeight="1" x14ac:dyDescent="0.25">
      <c r="A2213" s="3"/>
      <c r="B2213" s="3"/>
      <c r="C2213" s="3"/>
      <c r="D2213" s="3"/>
      <c r="E2213" s="3"/>
      <c r="F2213" s="3"/>
      <c r="G2213" s="3"/>
      <c r="H2213" s="11"/>
      <c r="I2213" s="12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</row>
    <row r="2214" spans="1:34" ht="14.25" customHeight="1" x14ac:dyDescent="0.25">
      <c r="A2214" s="3"/>
      <c r="B2214" s="3"/>
      <c r="C2214" s="3"/>
      <c r="D2214" s="3"/>
      <c r="E2214" s="3"/>
      <c r="F2214" s="3"/>
      <c r="G2214" s="3"/>
      <c r="H2214" s="11"/>
      <c r="I2214" s="12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</row>
    <row r="2215" spans="1:34" ht="14.25" customHeight="1" x14ac:dyDescent="0.25">
      <c r="A2215" s="3"/>
      <c r="B2215" s="3"/>
      <c r="C2215" s="3"/>
      <c r="D2215" s="3"/>
      <c r="E2215" s="3"/>
      <c r="F2215" s="3"/>
      <c r="G2215" s="3"/>
      <c r="H2215" s="11"/>
      <c r="I2215" s="12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</row>
    <row r="2216" spans="1:34" ht="14.25" customHeight="1" x14ac:dyDescent="0.25">
      <c r="A2216" s="3"/>
      <c r="B2216" s="3"/>
      <c r="C2216" s="3"/>
      <c r="D2216" s="3"/>
      <c r="E2216" s="3"/>
      <c r="F2216" s="3"/>
      <c r="G2216" s="3"/>
      <c r="H2216" s="11"/>
      <c r="I2216" s="12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</row>
    <row r="2217" spans="1:34" ht="14.25" customHeight="1" x14ac:dyDescent="0.25">
      <c r="A2217" s="3"/>
      <c r="B2217" s="3"/>
      <c r="C2217" s="3"/>
      <c r="D2217" s="3"/>
      <c r="E2217" s="3"/>
      <c r="F2217" s="3"/>
      <c r="G2217" s="3"/>
      <c r="H2217" s="11"/>
      <c r="I2217" s="12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</row>
    <row r="2218" spans="1:34" ht="14.25" customHeight="1" x14ac:dyDescent="0.25">
      <c r="A2218" s="3"/>
      <c r="B2218" s="3"/>
      <c r="C2218" s="3"/>
      <c r="D2218" s="3"/>
      <c r="E2218" s="3"/>
      <c r="F2218" s="3"/>
      <c r="G2218" s="3"/>
      <c r="H2218" s="11"/>
      <c r="I2218" s="12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</row>
    <row r="2219" spans="1:34" ht="14.25" customHeight="1" x14ac:dyDescent="0.25">
      <c r="A2219" s="3"/>
      <c r="B2219" s="3"/>
      <c r="C2219" s="3"/>
      <c r="D2219" s="3"/>
      <c r="E2219" s="3"/>
      <c r="F2219" s="3"/>
      <c r="G2219" s="3"/>
      <c r="H2219" s="11"/>
      <c r="I2219" s="12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</row>
    <row r="2220" spans="1:34" ht="14.25" customHeight="1" x14ac:dyDescent="0.25">
      <c r="A2220" s="3"/>
      <c r="B2220" s="3"/>
      <c r="C2220" s="3"/>
      <c r="D2220" s="3"/>
      <c r="E2220" s="3"/>
      <c r="F2220" s="3"/>
      <c r="G2220" s="3"/>
      <c r="H2220" s="11"/>
      <c r="I2220" s="12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</row>
    <row r="2221" spans="1:34" ht="14.25" customHeight="1" x14ac:dyDescent="0.25">
      <c r="A2221" s="3"/>
      <c r="B2221" s="3"/>
      <c r="C2221" s="3"/>
      <c r="D2221" s="3"/>
      <c r="E2221" s="3"/>
      <c r="F2221" s="3"/>
      <c r="G2221" s="3"/>
      <c r="H2221" s="11"/>
      <c r="I2221" s="12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</row>
    <row r="2222" spans="1:34" ht="14.25" customHeight="1" x14ac:dyDescent="0.25">
      <c r="A2222" s="3"/>
      <c r="B2222" s="3"/>
      <c r="C2222" s="3"/>
      <c r="D2222" s="3"/>
      <c r="E2222" s="3"/>
      <c r="F2222" s="3"/>
      <c r="G2222" s="3"/>
      <c r="H2222" s="11"/>
      <c r="I2222" s="12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</row>
    <row r="2223" spans="1:34" ht="14.25" customHeight="1" x14ac:dyDescent="0.25">
      <c r="A2223" s="3"/>
      <c r="B2223" s="3"/>
      <c r="C2223" s="3"/>
      <c r="D2223" s="3"/>
      <c r="E2223" s="3"/>
      <c r="F2223" s="3"/>
      <c r="G2223" s="3"/>
      <c r="H2223" s="11"/>
      <c r="I2223" s="12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</row>
    <row r="2224" spans="1:34" ht="14.25" customHeight="1" x14ac:dyDescent="0.25">
      <c r="A2224" s="3"/>
      <c r="B2224" s="3"/>
      <c r="C2224" s="3"/>
      <c r="D2224" s="3"/>
      <c r="E2224" s="3"/>
      <c r="F2224" s="3"/>
      <c r="G2224" s="3"/>
      <c r="H2224" s="11"/>
      <c r="I2224" s="12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</row>
    <row r="2225" spans="1:34" ht="14.25" customHeight="1" x14ac:dyDescent="0.25">
      <c r="A2225" s="3"/>
      <c r="B2225" s="3"/>
      <c r="C2225" s="3"/>
      <c r="D2225" s="3"/>
      <c r="E2225" s="3"/>
      <c r="F2225" s="3"/>
      <c r="G2225" s="3"/>
      <c r="H2225" s="11"/>
      <c r="I2225" s="12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</row>
    <row r="2226" spans="1:34" ht="14.25" customHeight="1" x14ac:dyDescent="0.25">
      <c r="A2226" s="3"/>
      <c r="B2226" s="3"/>
      <c r="C2226" s="3"/>
      <c r="D2226" s="3"/>
      <c r="E2226" s="3"/>
      <c r="F2226" s="3"/>
      <c r="G2226" s="3"/>
      <c r="H2226" s="11"/>
      <c r="I2226" s="12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</row>
    <row r="2227" spans="1:34" ht="14.25" customHeight="1" x14ac:dyDescent="0.25">
      <c r="A2227" s="3"/>
      <c r="B2227" s="3"/>
      <c r="C2227" s="3"/>
      <c r="D2227" s="3"/>
      <c r="E2227" s="3"/>
      <c r="F2227" s="3"/>
      <c r="G2227" s="3"/>
      <c r="H2227" s="11"/>
      <c r="I2227" s="12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</row>
    <row r="2228" spans="1:34" ht="14.25" customHeight="1" x14ac:dyDescent="0.25">
      <c r="A2228" s="3"/>
      <c r="B2228" s="3"/>
      <c r="C2228" s="3"/>
      <c r="D2228" s="3"/>
      <c r="E2228" s="3"/>
      <c r="F2228" s="3"/>
      <c r="G2228" s="3"/>
      <c r="H2228" s="11"/>
      <c r="I2228" s="12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</row>
    <row r="2229" spans="1:34" ht="14.25" customHeight="1" x14ac:dyDescent="0.25">
      <c r="A2229" s="3"/>
      <c r="B2229" s="3"/>
      <c r="C2229" s="3"/>
      <c r="D2229" s="3"/>
      <c r="E2229" s="3"/>
      <c r="F2229" s="3"/>
      <c r="G2229" s="3"/>
      <c r="H2229" s="11"/>
      <c r="I2229" s="12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</row>
    <row r="2230" spans="1:34" ht="14.25" customHeight="1" x14ac:dyDescent="0.25">
      <c r="A2230" s="3"/>
      <c r="B2230" s="3"/>
      <c r="C2230" s="3"/>
      <c r="D2230" s="3"/>
      <c r="E2230" s="3"/>
      <c r="F2230" s="3"/>
      <c r="G2230" s="3"/>
      <c r="H2230" s="11"/>
      <c r="I2230" s="12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</row>
    <row r="2231" spans="1:34" ht="14.25" customHeight="1" x14ac:dyDescent="0.25">
      <c r="A2231" s="3"/>
      <c r="B2231" s="3"/>
      <c r="C2231" s="3"/>
      <c r="D2231" s="3"/>
      <c r="E2231" s="3"/>
      <c r="F2231" s="3"/>
      <c r="G2231" s="3"/>
      <c r="H2231" s="11"/>
      <c r="I2231" s="12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</row>
    <row r="2232" spans="1:34" ht="14.25" customHeight="1" x14ac:dyDescent="0.25">
      <c r="A2232" s="3"/>
      <c r="B2232" s="3"/>
      <c r="C2232" s="3"/>
      <c r="D2232" s="3"/>
      <c r="E2232" s="3"/>
      <c r="F2232" s="3"/>
      <c r="G2232" s="3"/>
      <c r="H2232" s="11"/>
      <c r="I2232" s="12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</row>
    <row r="2233" spans="1:34" ht="14.25" customHeight="1" x14ac:dyDescent="0.25">
      <c r="A2233" s="3"/>
      <c r="B2233" s="3"/>
      <c r="C2233" s="3"/>
      <c r="D2233" s="3"/>
      <c r="E2233" s="3"/>
      <c r="F2233" s="3"/>
      <c r="G2233" s="3"/>
      <c r="H2233" s="11"/>
      <c r="I2233" s="12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</row>
    <row r="2234" spans="1:34" ht="14.25" customHeight="1" x14ac:dyDescent="0.25">
      <c r="A2234" s="3"/>
      <c r="B2234" s="3"/>
      <c r="C2234" s="3"/>
      <c r="D2234" s="3"/>
      <c r="E2234" s="3"/>
      <c r="F2234" s="3"/>
      <c r="G2234" s="3"/>
      <c r="H2234" s="11"/>
      <c r="I2234" s="12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</row>
    <row r="2235" spans="1:34" ht="14.25" customHeight="1" x14ac:dyDescent="0.25">
      <c r="A2235" s="3"/>
      <c r="B2235" s="3"/>
      <c r="C2235" s="3"/>
      <c r="D2235" s="3"/>
      <c r="E2235" s="3"/>
      <c r="F2235" s="3"/>
      <c r="G2235" s="3"/>
      <c r="H2235" s="11"/>
      <c r="I2235" s="12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</row>
    <row r="2236" spans="1:34" ht="14.25" customHeight="1" x14ac:dyDescent="0.25">
      <c r="A2236" s="3"/>
      <c r="B2236" s="3"/>
      <c r="C2236" s="3"/>
      <c r="D2236" s="3"/>
      <c r="E2236" s="3"/>
      <c r="F2236" s="3"/>
      <c r="G2236" s="3"/>
      <c r="H2236" s="11"/>
      <c r="I2236" s="12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</row>
    <row r="2237" spans="1:34" ht="14.25" customHeight="1" x14ac:dyDescent="0.25">
      <c r="A2237" s="3"/>
      <c r="B2237" s="3"/>
      <c r="C2237" s="3"/>
      <c r="D2237" s="3"/>
      <c r="E2237" s="3"/>
      <c r="F2237" s="3"/>
      <c r="G2237" s="3"/>
      <c r="H2237" s="11"/>
      <c r="I2237" s="12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</row>
    <row r="2238" spans="1:34" ht="14.25" customHeight="1" x14ac:dyDescent="0.25">
      <c r="A2238" s="3"/>
      <c r="B2238" s="3"/>
      <c r="C2238" s="3"/>
      <c r="D2238" s="3"/>
      <c r="E2238" s="3"/>
      <c r="F2238" s="3"/>
      <c r="G2238" s="3"/>
      <c r="H2238" s="11"/>
      <c r="I2238" s="12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</row>
    <row r="2239" spans="1:34" ht="14.25" customHeight="1" x14ac:dyDescent="0.25">
      <c r="A2239" s="3"/>
      <c r="B2239" s="3"/>
      <c r="C2239" s="3"/>
      <c r="D2239" s="3"/>
      <c r="E2239" s="3"/>
      <c r="F2239" s="3"/>
      <c r="G2239" s="3"/>
      <c r="H2239" s="11"/>
      <c r="I2239" s="12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</row>
    <row r="2240" spans="1:34" ht="14.25" customHeight="1" x14ac:dyDescent="0.25">
      <c r="A2240" s="3"/>
      <c r="B2240" s="3"/>
      <c r="C2240" s="3"/>
      <c r="D2240" s="3"/>
      <c r="E2240" s="3"/>
      <c r="F2240" s="3"/>
      <c r="G2240" s="3"/>
      <c r="H2240" s="11"/>
      <c r="I2240" s="12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</row>
    <row r="2241" spans="1:34" ht="14.25" customHeight="1" x14ac:dyDescent="0.25">
      <c r="A2241" s="3"/>
      <c r="B2241" s="3"/>
      <c r="C2241" s="3"/>
      <c r="D2241" s="3"/>
      <c r="E2241" s="3"/>
      <c r="F2241" s="3"/>
      <c r="G2241" s="3"/>
      <c r="H2241" s="11"/>
      <c r="I2241" s="12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</row>
    <row r="2242" spans="1:34" ht="14.25" customHeight="1" x14ac:dyDescent="0.25">
      <c r="A2242" s="3"/>
      <c r="B2242" s="3"/>
      <c r="C2242" s="3"/>
      <c r="D2242" s="3"/>
      <c r="E2242" s="3"/>
      <c r="F2242" s="3"/>
      <c r="G2242" s="3"/>
      <c r="H2242" s="11"/>
      <c r="I2242" s="12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</row>
    <row r="2243" spans="1:34" ht="14.25" customHeight="1" x14ac:dyDescent="0.25">
      <c r="A2243" s="3"/>
      <c r="B2243" s="3"/>
      <c r="C2243" s="3"/>
      <c r="D2243" s="3"/>
      <c r="E2243" s="3"/>
      <c r="F2243" s="3"/>
      <c r="G2243" s="3"/>
      <c r="H2243" s="11"/>
      <c r="I2243" s="12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</row>
    <row r="2244" spans="1:34" ht="14.25" customHeight="1" x14ac:dyDescent="0.25">
      <c r="A2244" s="3"/>
      <c r="B2244" s="3"/>
      <c r="C2244" s="3"/>
      <c r="D2244" s="3"/>
      <c r="E2244" s="3"/>
      <c r="F2244" s="3"/>
      <c r="G2244" s="3"/>
      <c r="H2244" s="11"/>
      <c r="I2244" s="12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</row>
    <row r="2245" spans="1:34" ht="14.25" customHeight="1" x14ac:dyDescent="0.25">
      <c r="A2245" s="3"/>
      <c r="B2245" s="3"/>
      <c r="C2245" s="3"/>
      <c r="D2245" s="3"/>
      <c r="E2245" s="3"/>
      <c r="F2245" s="3"/>
      <c r="G2245" s="3"/>
      <c r="H2245" s="11"/>
      <c r="I2245" s="12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</row>
    <row r="2246" spans="1:34" ht="14.25" customHeight="1" x14ac:dyDescent="0.25">
      <c r="A2246" s="3"/>
      <c r="B2246" s="3"/>
      <c r="C2246" s="3"/>
      <c r="D2246" s="3"/>
      <c r="E2246" s="3"/>
      <c r="F2246" s="3"/>
      <c r="G2246" s="3"/>
      <c r="H2246" s="11"/>
      <c r="I2246" s="12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</row>
    <row r="2247" spans="1:34" ht="14.25" customHeight="1" x14ac:dyDescent="0.25">
      <c r="A2247" s="3"/>
      <c r="B2247" s="3"/>
      <c r="C2247" s="3"/>
      <c r="D2247" s="3"/>
      <c r="E2247" s="3"/>
      <c r="F2247" s="3"/>
      <c r="G2247" s="3"/>
      <c r="H2247" s="11"/>
      <c r="I2247" s="12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</row>
    <row r="2248" spans="1:34" ht="14.25" customHeight="1" x14ac:dyDescent="0.25">
      <c r="A2248" s="3"/>
      <c r="B2248" s="3"/>
      <c r="C2248" s="3"/>
      <c r="D2248" s="3"/>
      <c r="E2248" s="3"/>
      <c r="F2248" s="3"/>
      <c r="G2248" s="3"/>
      <c r="H2248" s="11"/>
      <c r="I2248" s="12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</row>
    <row r="2249" spans="1:34" ht="14.25" customHeight="1" x14ac:dyDescent="0.25">
      <c r="A2249" s="3"/>
      <c r="B2249" s="3"/>
      <c r="C2249" s="3"/>
      <c r="D2249" s="3"/>
      <c r="E2249" s="3"/>
      <c r="F2249" s="3"/>
      <c r="G2249" s="3"/>
      <c r="H2249" s="11"/>
      <c r="I2249" s="12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</row>
    <row r="2250" spans="1:34" ht="14.25" customHeight="1" x14ac:dyDescent="0.25">
      <c r="A2250" s="3"/>
      <c r="B2250" s="3"/>
      <c r="C2250" s="3"/>
      <c r="D2250" s="3"/>
      <c r="E2250" s="3"/>
      <c r="F2250" s="3"/>
      <c r="G2250" s="3"/>
      <c r="H2250" s="11"/>
      <c r="I2250" s="12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</row>
    <row r="2251" spans="1:34" ht="14.25" customHeight="1" x14ac:dyDescent="0.25">
      <c r="A2251" s="3"/>
      <c r="B2251" s="3"/>
      <c r="C2251" s="3"/>
      <c r="D2251" s="3"/>
      <c r="E2251" s="3"/>
      <c r="F2251" s="3"/>
      <c r="G2251" s="3"/>
      <c r="H2251" s="11"/>
      <c r="I2251" s="12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</row>
    <row r="2252" spans="1:34" ht="14.25" customHeight="1" x14ac:dyDescent="0.25">
      <c r="A2252" s="3"/>
      <c r="B2252" s="3"/>
      <c r="C2252" s="3"/>
      <c r="D2252" s="3"/>
      <c r="E2252" s="3"/>
      <c r="F2252" s="3"/>
      <c r="G2252" s="3"/>
      <c r="H2252" s="11"/>
      <c r="I2252" s="12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</row>
    <row r="2253" spans="1:34" ht="14.25" customHeight="1" x14ac:dyDescent="0.25">
      <c r="A2253" s="3"/>
      <c r="B2253" s="3"/>
      <c r="C2253" s="3"/>
      <c r="D2253" s="3"/>
      <c r="E2253" s="3"/>
      <c r="F2253" s="3"/>
      <c r="G2253" s="3"/>
      <c r="H2253" s="11"/>
      <c r="I2253" s="12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</row>
    <row r="2254" spans="1:34" ht="14.25" customHeight="1" x14ac:dyDescent="0.25">
      <c r="A2254" s="3"/>
      <c r="B2254" s="3"/>
      <c r="C2254" s="3"/>
      <c r="D2254" s="3"/>
      <c r="E2254" s="3"/>
      <c r="F2254" s="3"/>
      <c r="G2254" s="3"/>
      <c r="H2254" s="11"/>
      <c r="I2254" s="12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</row>
    <row r="2255" spans="1:34" ht="14.25" customHeight="1" x14ac:dyDescent="0.25">
      <c r="A2255" s="3"/>
      <c r="B2255" s="3"/>
      <c r="C2255" s="3"/>
      <c r="D2255" s="3"/>
      <c r="E2255" s="3"/>
      <c r="F2255" s="3"/>
      <c r="G2255" s="3"/>
      <c r="H2255" s="11"/>
      <c r="I2255" s="12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</row>
    <row r="2256" spans="1:34" ht="14.25" customHeight="1" x14ac:dyDescent="0.25">
      <c r="A2256" s="3"/>
      <c r="B2256" s="3"/>
      <c r="C2256" s="3"/>
      <c r="D2256" s="3"/>
      <c r="E2256" s="3"/>
      <c r="F2256" s="3"/>
      <c r="G2256" s="3"/>
      <c r="H2256" s="11"/>
      <c r="I2256" s="12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</row>
    <row r="2257" spans="1:34" ht="14.25" customHeight="1" x14ac:dyDescent="0.25">
      <c r="A2257" s="3"/>
      <c r="B2257" s="3"/>
      <c r="C2257" s="3"/>
      <c r="D2257" s="3"/>
      <c r="E2257" s="3"/>
      <c r="F2257" s="3"/>
      <c r="G2257" s="3"/>
      <c r="H2257" s="11"/>
      <c r="I2257" s="12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</row>
    <row r="2258" spans="1:34" ht="14.25" customHeight="1" x14ac:dyDescent="0.25">
      <c r="A2258" s="3"/>
      <c r="B2258" s="3"/>
      <c r="C2258" s="3"/>
      <c r="D2258" s="3"/>
      <c r="E2258" s="3"/>
      <c r="F2258" s="3"/>
      <c r="G2258" s="3"/>
      <c r="H2258" s="11"/>
      <c r="I2258" s="12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</row>
    <row r="2259" spans="1:34" ht="14.25" customHeight="1" x14ac:dyDescent="0.25">
      <c r="A2259" s="3"/>
      <c r="B2259" s="3"/>
      <c r="C2259" s="3"/>
      <c r="D2259" s="3"/>
      <c r="E2259" s="3"/>
      <c r="F2259" s="3"/>
      <c r="G2259" s="3"/>
      <c r="H2259" s="11"/>
      <c r="I2259" s="12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</row>
    <row r="2260" spans="1:34" ht="14.25" customHeight="1" x14ac:dyDescent="0.25">
      <c r="A2260" s="3"/>
      <c r="B2260" s="3"/>
      <c r="C2260" s="3"/>
      <c r="D2260" s="3"/>
      <c r="E2260" s="3"/>
      <c r="F2260" s="3"/>
      <c r="G2260" s="3"/>
      <c r="H2260" s="11"/>
      <c r="I2260" s="12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</row>
    <row r="2261" spans="1:34" ht="14.25" customHeight="1" x14ac:dyDescent="0.25">
      <c r="A2261" s="3"/>
      <c r="B2261" s="3"/>
      <c r="C2261" s="3"/>
      <c r="D2261" s="3"/>
      <c r="E2261" s="3"/>
      <c r="F2261" s="3"/>
      <c r="G2261" s="3"/>
      <c r="H2261" s="11"/>
      <c r="I2261" s="12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</row>
    <row r="2262" spans="1:34" ht="14.25" customHeight="1" x14ac:dyDescent="0.25">
      <c r="A2262" s="3"/>
      <c r="B2262" s="3"/>
      <c r="C2262" s="3"/>
      <c r="D2262" s="3"/>
      <c r="E2262" s="3"/>
      <c r="F2262" s="3"/>
      <c r="G2262" s="3"/>
      <c r="H2262" s="11"/>
      <c r="I2262" s="12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</row>
    <row r="2263" spans="1:34" ht="14.25" customHeight="1" x14ac:dyDescent="0.25">
      <c r="A2263" s="3"/>
      <c r="B2263" s="3"/>
      <c r="C2263" s="3"/>
      <c r="D2263" s="3"/>
      <c r="E2263" s="3"/>
      <c r="F2263" s="3"/>
      <c r="G2263" s="3"/>
      <c r="H2263" s="11"/>
      <c r="I2263" s="12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</row>
    <row r="2264" spans="1:34" ht="14.25" customHeight="1" x14ac:dyDescent="0.25">
      <c r="A2264" s="3"/>
      <c r="B2264" s="3"/>
      <c r="C2264" s="3"/>
      <c r="D2264" s="3"/>
      <c r="E2264" s="3"/>
      <c r="F2264" s="3"/>
      <c r="G2264" s="3"/>
      <c r="H2264" s="11"/>
      <c r="I2264" s="12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</row>
    <row r="2265" spans="1:34" ht="14.25" customHeight="1" x14ac:dyDescent="0.25">
      <c r="A2265" s="3"/>
      <c r="B2265" s="3"/>
      <c r="C2265" s="3"/>
      <c r="D2265" s="3"/>
      <c r="E2265" s="3"/>
      <c r="F2265" s="3"/>
      <c r="G2265" s="3"/>
      <c r="H2265" s="11"/>
      <c r="I2265" s="12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</row>
    <row r="2266" spans="1:34" ht="14.25" customHeight="1" x14ac:dyDescent="0.25">
      <c r="A2266" s="3"/>
      <c r="B2266" s="3"/>
      <c r="C2266" s="3"/>
      <c r="D2266" s="3"/>
      <c r="E2266" s="3"/>
      <c r="F2266" s="3"/>
      <c r="G2266" s="3"/>
      <c r="H2266" s="11"/>
      <c r="I2266" s="12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</row>
    <row r="2267" spans="1:34" ht="14.25" customHeight="1" x14ac:dyDescent="0.25">
      <c r="A2267" s="3"/>
      <c r="B2267" s="3"/>
      <c r="C2267" s="3"/>
      <c r="D2267" s="3"/>
      <c r="E2267" s="3"/>
      <c r="F2267" s="3"/>
      <c r="G2267" s="3"/>
      <c r="H2267" s="11"/>
      <c r="I2267" s="12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</row>
    <row r="2268" spans="1:34" ht="14.25" customHeight="1" x14ac:dyDescent="0.25">
      <c r="A2268" s="3"/>
      <c r="B2268" s="3"/>
      <c r="C2268" s="3"/>
      <c r="D2268" s="3"/>
      <c r="E2268" s="3"/>
      <c r="F2268" s="3"/>
      <c r="G2268" s="3"/>
      <c r="H2268" s="11"/>
      <c r="I2268" s="12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</row>
    <row r="2269" spans="1:34" ht="14.25" customHeight="1" x14ac:dyDescent="0.25">
      <c r="A2269" s="3"/>
      <c r="B2269" s="3"/>
      <c r="C2269" s="3"/>
      <c r="D2269" s="3"/>
      <c r="E2269" s="3"/>
      <c r="F2269" s="3"/>
      <c r="G2269" s="3"/>
      <c r="H2269" s="11"/>
      <c r="I2269" s="12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</row>
    <row r="2270" spans="1:34" ht="14.25" customHeight="1" x14ac:dyDescent="0.25">
      <c r="A2270" s="3"/>
      <c r="B2270" s="3"/>
      <c r="C2270" s="3"/>
      <c r="D2270" s="3"/>
      <c r="E2270" s="3"/>
      <c r="F2270" s="3"/>
      <c r="G2270" s="3"/>
      <c r="H2270" s="11"/>
      <c r="I2270" s="12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</row>
    <row r="2271" spans="1:34" ht="14.25" customHeight="1" x14ac:dyDescent="0.25">
      <c r="A2271" s="3"/>
      <c r="B2271" s="3"/>
      <c r="C2271" s="3"/>
      <c r="D2271" s="3"/>
      <c r="E2271" s="3"/>
      <c r="F2271" s="3"/>
      <c r="G2271" s="3"/>
      <c r="H2271" s="11"/>
      <c r="I2271" s="12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</row>
    <row r="2272" spans="1:34" ht="14.25" customHeight="1" x14ac:dyDescent="0.25">
      <c r="A2272" s="3"/>
      <c r="B2272" s="3"/>
      <c r="C2272" s="3"/>
      <c r="D2272" s="3"/>
      <c r="E2272" s="3"/>
      <c r="F2272" s="3"/>
      <c r="G2272" s="3"/>
      <c r="H2272" s="11"/>
      <c r="I2272" s="12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</row>
    <row r="2273" spans="1:34" ht="14.25" customHeight="1" x14ac:dyDescent="0.25">
      <c r="A2273" s="3"/>
      <c r="B2273" s="3"/>
      <c r="C2273" s="3"/>
      <c r="D2273" s="3"/>
      <c r="E2273" s="3"/>
      <c r="F2273" s="3"/>
      <c r="G2273" s="3"/>
      <c r="H2273" s="11"/>
      <c r="I2273" s="12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</row>
    <row r="2274" spans="1:34" ht="14.25" customHeight="1" x14ac:dyDescent="0.25">
      <c r="A2274" s="3"/>
      <c r="B2274" s="3"/>
      <c r="C2274" s="3"/>
      <c r="D2274" s="3"/>
      <c r="E2274" s="3"/>
      <c r="F2274" s="3"/>
      <c r="G2274" s="3"/>
      <c r="H2274" s="11"/>
      <c r="I2274" s="12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</row>
    <row r="2275" spans="1:34" ht="14.25" customHeight="1" x14ac:dyDescent="0.25">
      <c r="A2275" s="3"/>
      <c r="B2275" s="3"/>
      <c r="C2275" s="3"/>
      <c r="D2275" s="3"/>
      <c r="E2275" s="3"/>
      <c r="F2275" s="3"/>
      <c r="G2275" s="3"/>
      <c r="H2275" s="11"/>
      <c r="I2275" s="12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</row>
    <row r="2276" spans="1:34" ht="14.25" customHeight="1" x14ac:dyDescent="0.25">
      <c r="A2276" s="3"/>
      <c r="B2276" s="3"/>
      <c r="C2276" s="3"/>
      <c r="D2276" s="3"/>
      <c r="E2276" s="3"/>
      <c r="F2276" s="3"/>
      <c r="G2276" s="3"/>
      <c r="H2276" s="11"/>
      <c r="I2276" s="12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</row>
    <row r="2277" spans="1:34" ht="14.25" customHeight="1" x14ac:dyDescent="0.25">
      <c r="A2277" s="3"/>
      <c r="B2277" s="3"/>
      <c r="C2277" s="3"/>
      <c r="D2277" s="3"/>
      <c r="E2277" s="3"/>
      <c r="F2277" s="3"/>
      <c r="G2277" s="3"/>
      <c r="H2277" s="11"/>
      <c r="I2277" s="12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</row>
    <row r="2278" spans="1:34" ht="14.25" customHeight="1" x14ac:dyDescent="0.25">
      <c r="A2278" s="3"/>
      <c r="B2278" s="3"/>
      <c r="C2278" s="3"/>
      <c r="D2278" s="3"/>
      <c r="E2278" s="3"/>
      <c r="F2278" s="3"/>
      <c r="G2278" s="3"/>
      <c r="H2278" s="11"/>
      <c r="I2278" s="12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</row>
    <row r="2279" spans="1:34" ht="14.25" customHeight="1" x14ac:dyDescent="0.25">
      <c r="A2279" s="3"/>
      <c r="B2279" s="3"/>
      <c r="C2279" s="3"/>
      <c r="D2279" s="3"/>
      <c r="E2279" s="3"/>
      <c r="F2279" s="3"/>
      <c r="G2279" s="3"/>
      <c r="H2279" s="11"/>
      <c r="I2279" s="12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</row>
    <row r="2280" spans="1:34" ht="14.25" customHeight="1" x14ac:dyDescent="0.25">
      <c r="A2280" s="3"/>
      <c r="B2280" s="3"/>
      <c r="C2280" s="3"/>
      <c r="D2280" s="3"/>
      <c r="E2280" s="3"/>
      <c r="F2280" s="3"/>
      <c r="G2280" s="3"/>
      <c r="H2280" s="11"/>
      <c r="I2280" s="12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</row>
    <row r="2281" spans="1:34" ht="14.25" customHeight="1" x14ac:dyDescent="0.25">
      <c r="A2281" s="3"/>
      <c r="B2281" s="3"/>
      <c r="C2281" s="3"/>
      <c r="D2281" s="3"/>
      <c r="E2281" s="3"/>
      <c r="F2281" s="3"/>
      <c r="G2281" s="3"/>
      <c r="H2281" s="11"/>
      <c r="I2281" s="12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</row>
    <row r="2282" spans="1:34" ht="14.25" customHeight="1" x14ac:dyDescent="0.25">
      <c r="A2282" s="3"/>
      <c r="B2282" s="3"/>
      <c r="C2282" s="3"/>
      <c r="D2282" s="3"/>
      <c r="E2282" s="3"/>
      <c r="F2282" s="3"/>
      <c r="G2282" s="3"/>
      <c r="H2282" s="11"/>
      <c r="I2282" s="12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</row>
    <row r="2283" spans="1:34" ht="14.25" customHeight="1" x14ac:dyDescent="0.25">
      <c r="A2283" s="3"/>
      <c r="B2283" s="3"/>
      <c r="C2283" s="3"/>
      <c r="D2283" s="3"/>
      <c r="E2283" s="3"/>
      <c r="F2283" s="3"/>
      <c r="G2283" s="3"/>
      <c r="H2283" s="11"/>
      <c r="I2283" s="12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</row>
    <row r="2284" spans="1:34" ht="14.25" customHeight="1" x14ac:dyDescent="0.25">
      <c r="A2284" s="3"/>
      <c r="B2284" s="3"/>
      <c r="C2284" s="3"/>
      <c r="D2284" s="3"/>
      <c r="E2284" s="3"/>
      <c r="F2284" s="3"/>
      <c r="G2284" s="3"/>
      <c r="H2284" s="11"/>
      <c r="I2284" s="12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</row>
    <row r="2285" spans="1:34" ht="14.25" customHeight="1" x14ac:dyDescent="0.25">
      <c r="A2285" s="3"/>
      <c r="B2285" s="3"/>
      <c r="C2285" s="3"/>
      <c r="D2285" s="3"/>
      <c r="E2285" s="3"/>
      <c r="F2285" s="3"/>
      <c r="G2285" s="3"/>
      <c r="H2285" s="11"/>
      <c r="I2285" s="12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</row>
    <row r="2286" spans="1:34" ht="14.25" customHeight="1" x14ac:dyDescent="0.25">
      <c r="A2286" s="3"/>
      <c r="B2286" s="3"/>
      <c r="C2286" s="3"/>
      <c r="D2286" s="3"/>
      <c r="E2286" s="3"/>
      <c r="F2286" s="3"/>
      <c r="G2286" s="3"/>
      <c r="H2286" s="11"/>
      <c r="I2286" s="12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</row>
    <row r="2287" spans="1:34" ht="14.25" customHeight="1" x14ac:dyDescent="0.25">
      <c r="A2287" s="3"/>
      <c r="B2287" s="3"/>
      <c r="C2287" s="3"/>
      <c r="D2287" s="3"/>
      <c r="E2287" s="3"/>
      <c r="F2287" s="3"/>
      <c r="G2287" s="3"/>
      <c r="H2287" s="11"/>
      <c r="I2287" s="12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</row>
    <row r="2288" spans="1:34" ht="14.25" customHeight="1" x14ac:dyDescent="0.25">
      <c r="A2288" s="3"/>
      <c r="B2288" s="3"/>
      <c r="C2288" s="3"/>
      <c r="D2288" s="3"/>
      <c r="E2288" s="3"/>
      <c r="F2288" s="3"/>
      <c r="G2288" s="3"/>
      <c r="H2288" s="11"/>
      <c r="I2288" s="12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</row>
    <row r="2289" spans="1:34" ht="14.25" customHeight="1" x14ac:dyDescent="0.25">
      <c r="A2289" s="3"/>
      <c r="B2289" s="3"/>
      <c r="C2289" s="3"/>
      <c r="D2289" s="3"/>
      <c r="E2289" s="3"/>
      <c r="F2289" s="3"/>
      <c r="G2289" s="3"/>
      <c r="H2289" s="11"/>
      <c r="I2289" s="12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</row>
    <row r="2290" spans="1:34" ht="14.25" customHeight="1" x14ac:dyDescent="0.25">
      <c r="A2290" s="3"/>
      <c r="B2290" s="3"/>
      <c r="C2290" s="3"/>
      <c r="D2290" s="3"/>
      <c r="E2290" s="3"/>
      <c r="F2290" s="3"/>
      <c r="G2290" s="3"/>
      <c r="H2290" s="11"/>
      <c r="I2290" s="12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</row>
    <row r="2291" spans="1:34" ht="14.25" customHeight="1" x14ac:dyDescent="0.25">
      <c r="A2291" s="3"/>
      <c r="B2291" s="3"/>
      <c r="C2291" s="3"/>
      <c r="D2291" s="3"/>
      <c r="E2291" s="3"/>
      <c r="F2291" s="3"/>
      <c r="G2291" s="3"/>
      <c r="H2291" s="11"/>
      <c r="I2291" s="12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</row>
    <row r="2292" spans="1:34" ht="14.25" customHeight="1" x14ac:dyDescent="0.25">
      <c r="A2292" s="3"/>
      <c r="B2292" s="3"/>
      <c r="C2292" s="3"/>
      <c r="D2292" s="3"/>
      <c r="E2292" s="3"/>
      <c r="F2292" s="3"/>
      <c r="G2292" s="3"/>
      <c r="H2292" s="11"/>
      <c r="I2292" s="12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</row>
    <row r="2293" spans="1:34" ht="14.25" customHeight="1" x14ac:dyDescent="0.25">
      <c r="A2293" s="3"/>
      <c r="B2293" s="3"/>
      <c r="C2293" s="3"/>
      <c r="D2293" s="3"/>
      <c r="E2293" s="3"/>
      <c r="F2293" s="3"/>
      <c r="G2293" s="3"/>
      <c r="H2293" s="11"/>
      <c r="I2293" s="12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</row>
    <row r="2294" spans="1:34" ht="14.25" customHeight="1" x14ac:dyDescent="0.25">
      <c r="A2294" s="3"/>
      <c r="B2294" s="3"/>
      <c r="C2294" s="3"/>
      <c r="D2294" s="3"/>
      <c r="E2294" s="3"/>
      <c r="F2294" s="3"/>
      <c r="G2294" s="3"/>
      <c r="H2294" s="11"/>
      <c r="I2294" s="12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</row>
    <row r="2295" spans="1:34" ht="14.25" customHeight="1" x14ac:dyDescent="0.25">
      <c r="A2295" s="3"/>
      <c r="B2295" s="3"/>
      <c r="C2295" s="3"/>
      <c r="D2295" s="3"/>
      <c r="E2295" s="3"/>
      <c r="F2295" s="3"/>
      <c r="G2295" s="3"/>
      <c r="H2295" s="11"/>
      <c r="I2295" s="12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</row>
    <row r="2296" spans="1:34" ht="14.25" customHeight="1" x14ac:dyDescent="0.25">
      <c r="A2296" s="3"/>
      <c r="B2296" s="3"/>
      <c r="C2296" s="3"/>
      <c r="D2296" s="3"/>
      <c r="E2296" s="3"/>
      <c r="F2296" s="3"/>
      <c r="G2296" s="3"/>
      <c r="H2296" s="11"/>
      <c r="I2296" s="12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</row>
    <row r="2297" spans="1:34" ht="14.25" customHeight="1" x14ac:dyDescent="0.25">
      <c r="A2297" s="3"/>
      <c r="B2297" s="3"/>
      <c r="C2297" s="3"/>
      <c r="D2297" s="3"/>
      <c r="E2297" s="3"/>
      <c r="F2297" s="3"/>
      <c r="G2297" s="3"/>
      <c r="H2297" s="11"/>
      <c r="I2297" s="12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</row>
    <row r="2298" spans="1:34" ht="14.25" customHeight="1" x14ac:dyDescent="0.25">
      <c r="A2298" s="3"/>
      <c r="B2298" s="3"/>
      <c r="C2298" s="3"/>
      <c r="D2298" s="3"/>
      <c r="E2298" s="3"/>
      <c r="F2298" s="3"/>
      <c r="G2298" s="3"/>
      <c r="H2298" s="11"/>
      <c r="I2298" s="12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</row>
    <row r="2299" spans="1:34" ht="14.25" customHeight="1" x14ac:dyDescent="0.25">
      <c r="A2299" s="3"/>
      <c r="B2299" s="3"/>
      <c r="C2299" s="3"/>
      <c r="D2299" s="3"/>
      <c r="E2299" s="3"/>
      <c r="F2299" s="3"/>
      <c r="G2299" s="3"/>
      <c r="H2299" s="11"/>
      <c r="I2299" s="12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</row>
    <row r="2300" spans="1:34" ht="14.25" customHeight="1" x14ac:dyDescent="0.25">
      <c r="A2300" s="3"/>
      <c r="B2300" s="3"/>
      <c r="C2300" s="3"/>
      <c r="D2300" s="3"/>
      <c r="E2300" s="3"/>
      <c r="F2300" s="3"/>
      <c r="G2300" s="3"/>
      <c r="H2300" s="11"/>
      <c r="I2300" s="12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</row>
    <row r="2301" spans="1:34" ht="14.25" customHeight="1" x14ac:dyDescent="0.25">
      <c r="A2301" s="3"/>
      <c r="B2301" s="3"/>
      <c r="C2301" s="3"/>
      <c r="D2301" s="3"/>
      <c r="E2301" s="3"/>
      <c r="F2301" s="3"/>
      <c r="G2301" s="3"/>
      <c r="H2301" s="11"/>
      <c r="I2301" s="12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</row>
    <row r="2302" spans="1:34" ht="14.25" customHeight="1" x14ac:dyDescent="0.25">
      <c r="A2302" s="3"/>
      <c r="B2302" s="3"/>
      <c r="C2302" s="3"/>
      <c r="D2302" s="3"/>
      <c r="E2302" s="3"/>
      <c r="F2302" s="3"/>
      <c r="G2302" s="3"/>
      <c r="H2302" s="11"/>
      <c r="I2302" s="12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</row>
    <row r="2303" spans="1:34" ht="14.25" customHeight="1" x14ac:dyDescent="0.25">
      <c r="A2303" s="3"/>
      <c r="B2303" s="3"/>
      <c r="C2303" s="3"/>
      <c r="D2303" s="3"/>
      <c r="E2303" s="3"/>
      <c r="F2303" s="3"/>
      <c r="G2303" s="3"/>
      <c r="H2303" s="11"/>
      <c r="I2303" s="12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</row>
    <row r="2304" spans="1:34" ht="14.25" customHeight="1" x14ac:dyDescent="0.25">
      <c r="A2304" s="3"/>
      <c r="B2304" s="3"/>
      <c r="C2304" s="3"/>
      <c r="D2304" s="3"/>
      <c r="E2304" s="3"/>
      <c r="F2304" s="3"/>
      <c r="G2304" s="3"/>
      <c r="H2304" s="11"/>
      <c r="I2304" s="12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</row>
    <row r="2305" spans="1:34" ht="14.25" customHeight="1" x14ac:dyDescent="0.25">
      <c r="A2305" s="3"/>
      <c r="B2305" s="3"/>
      <c r="C2305" s="3"/>
      <c r="D2305" s="3"/>
      <c r="E2305" s="3"/>
      <c r="F2305" s="3"/>
      <c r="G2305" s="3"/>
      <c r="H2305" s="11"/>
      <c r="I2305" s="12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</row>
    <row r="2306" spans="1:34" ht="14.25" customHeight="1" x14ac:dyDescent="0.25">
      <c r="A2306" s="3"/>
      <c r="B2306" s="3"/>
      <c r="C2306" s="3"/>
      <c r="D2306" s="3"/>
      <c r="E2306" s="3"/>
      <c r="F2306" s="3"/>
      <c r="G2306" s="3"/>
      <c r="H2306" s="11"/>
      <c r="I2306" s="12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</row>
    <row r="2307" spans="1:34" ht="14.25" customHeight="1" x14ac:dyDescent="0.25">
      <c r="A2307" s="3"/>
      <c r="B2307" s="3"/>
      <c r="C2307" s="3"/>
      <c r="D2307" s="3"/>
      <c r="E2307" s="3"/>
      <c r="F2307" s="3"/>
      <c r="G2307" s="3"/>
      <c r="H2307" s="11"/>
      <c r="I2307" s="12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</row>
    <row r="2308" spans="1:34" ht="14.25" customHeight="1" x14ac:dyDescent="0.25">
      <c r="A2308" s="3"/>
      <c r="B2308" s="3"/>
      <c r="C2308" s="3"/>
      <c r="D2308" s="3"/>
      <c r="E2308" s="3"/>
      <c r="F2308" s="3"/>
      <c r="G2308" s="3"/>
      <c r="H2308" s="11"/>
      <c r="I2308" s="12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</row>
    <row r="2309" spans="1:34" ht="14.25" customHeight="1" x14ac:dyDescent="0.25">
      <c r="A2309" s="3"/>
      <c r="B2309" s="3"/>
      <c r="C2309" s="3"/>
      <c r="D2309" s="3"/>
      <c r="E2309" s="3"/>
      <c r="F2309" s="3"/>
      <c r="G2309" s="3"/>
      <c r="H2309" s="11"/>
      <c r="I2309" s="12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</row>
    <row r="2310" spans="1:34" ht="14.25" customHeight="1" x14ac:dyDescent="0.25">
      <c r="A2310" s="3"/>
      <c r="B2310" s="3"/>
      <c r="C2310" s="3"/>
      <c r="D2310" s="3"/>
      <c r="E2310" s="3"/>
      <c r="F2310" s="3"/>
      <c r="G2310" s="3"/>
      <c r="H2310" s="11"/>
      <c r="I2310" s="12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</row>
    <row r="2311" spans="1:34" ht="14.25" customHeight="1" x14ac:dyDescent="0.25">
      <c r="A2311" s="3"/>
      <c r="B2311" s="3"/>
      <c r="C2311" s="3"/>
      <c r="D2311" s="3"/>
      <c r="E2311" s="3"/>
      <c r="F2311" s="3"/>
      <c r="G2311" s="3"/>
      <c r="H2311" s="11"/>
      <c r="I2311" s="12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</row>
    <row r="2312" spans="1:34" ht="14.25" customHeight="1" x14ac:dyDescent="0.25">
      <c r="A2312" s="3"/>
      <c r="B2312" s="3"/>
      <c r="C2312" s="3"/>
      <c r="D2312" s="3"/>
      <c r="E2312" s="3"/>
      <c r="F2312" s="3"/>
      <c r="G2312" s="3"/>
      <c r="H2312" s="11"/>
      <c r="I2312" s="12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</row>
    <row r="2313" spans="1:34" ht="14.25" customHeight="1" x14ac:dyDescent="0.25">
      <c r="A2313" s="3"/>
      <c r="B2313" s="3"/>
      <c r="C2313" s="3"/>
      <c r="D2313" s="3"/>
      <c r="E2313" s="3"/>
      <c r="F2313" s="3"/>
      <c r="G2313" s="3"/>
      <c r="H2313" s="11"/>
      <c r="I2313" s="12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</row>
    <row r="2314" spans="1:34" ht="14.25" customHeight="1" x14ac:dyDescent="0.25">
      <c r="A2314" s="3"/>
      <c r="B2314" s="3"/>
      <c r="C2314" s="3"/>
      <c r="D2314" s="3"/>
      <c r="E2314" s="3"/>
      <c r="F2314" s="3"/>
      <c r="G2314" s="3"/>
      <c r="H2314" s="11"/>
      <c r="I2314" s="12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</row>
    <row r="2315" spans="1:34" ht="14.25" customHeight="1" x14ac:dyDescent="0.25">
      <c r="A2315" s="3"/>
      <c r="B2315" s="3"/>
      <c r="C2315" s="3"/>
      <c r="D2315" s="3"/>
      <c r="E2315" s="3"/>
      <c r="F2315" s="3"/>
      <c r="G2315" s="3"/>
      <c r="H2315" s="11"/>
      <c r="I2315" s="12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</row>
    <row r="2316" spans="1:34" ht="14.25" customHeight="1" x14ac:dyDescent="0.25">
      <c r="A2316" s="3"/>
      <c r="B2316" s="3"/>
      <c r="C2316" s="3"/>
      <c r="D2316" s="3"/>
      <c r="E2316" s="3"/>
      <c r="F2316" s="3"/>
      <c r="G2316" s="3"/>
      <c r="H2316" s="11"/>
      <c r="I2316" s="12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</row>
    <row r="2317" spans="1:34" ht="14.25" customHeight="1" x14ac:dyDescent="0.25">
      <c r="A2317" s="3"/>
      <c r="B2317" s="3"/>
      <c r="C2317" s="3"/>
      <c r="D2317" s="3"/>
      <c r="E2317" s="3"/>
      <c r="F2317" s="3"/>
      <c r="G2317" s="3"/>
      <c r="H2317" s="11"/>
      <c r="I2317" s="12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</row>
    <row r="2318" spans="1:34" ht="14.25" customHeight="1" x14ac:dyDescent="0.25">
      <c r="A2318" s="3"/>
      <c r="B2318" s="3"/>
      <c r="C2318" s="3"/>
      <c r="D2318" s="3"/>
      <c r="E2318" s="3"/>
      <c r="F2318" s="3"/>
      <c r="G2318" s="3"/>
      <c r="H2318" s="11"/>
      <c r="I2318" s="12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</row>
    <row r="2319" spans="1:34" ht="14.25" customHeight="1" x14ac:dyDescent="0.25">
      <c r="A2319" s="3"/>
      <c r="B2319" s="3"/>
      <c r="C2319" s="3"/>
      <c r="D2319" s="3"/>
      <c r="E2319" s="3"/>
      <c r="F2319" s="3"/>
      <c r="G2319" s="3"/>
      <c r="H2319" s="11"/>
      <c r="I2319" s="12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</row>
    <row r="2320" spans="1:34" ht="14.25" customHeight="1" x14ac:dyDescent="0.25">
      <c r="A2320" s="3"/>
      <c r="B2320" s="3"/>
      <c r="C2320" s="3"/>
      <c r="D2320" s="3"/>
      <c r="E2320" s="3"/>
      <c r="F2320" s="3"/>
      <c r="G2320" s="3"/>
      <c r="H2320" s="11"/>
      <c r="I2320" s="12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</row>
    <row r="2321" spans="1:34" ht="14.25" customHeight="1" x14ac:dyDescent="0.25">
      <c r="A2321" s="3"/>
      <c r="B2321" s="3"/>
      <c r="C2321" s="3"/>
      <c r="D2321" s="3"/>
      <c r="E2321" s="3"/>
      <c r="F2321" s="3"/>
      <c r="G2321" s="3"/>
      <c r="H2321" s="11"/>
      <c r="I2321" s="12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</row>
    <row r="2322" spans="1:34" ht="14.25" customHeight="1" x14ac:dyDescent="0.25">
      <c r="A2322" s="3"/>
      <c r="B2322" s="3"/>
      <c r="C2322" s="3"/>
      <c r="D2322" s="3"/>
      <c r="E2322" s="3"/>
      <c r="F2322" s="3"/>
      <c r="G2322" s="3"/>
      <c r="H2322" s="11"/>
      <c r="I2322" s="12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</row>
    <row r="2323" spans="1:34" ht="14.25" customHeight="1" x14ac:dyDescent="0.25">
      <c r="A2323" s="3"/>
      <c r="B2323" s="3"/>
      <c r="C2323" s="3"/>
      <c r="D2323" s="3"/>
      <c r="E2323" s="3"/>
      <c r="F2323" s="3"/>
      <c r="G2323" s="3"/>
      <c r="H2323" s="11"/>
      <c r="I2323" s="12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</row>
    <row r="2324" spans="1:34" ht="14.25" customHeight="1" x14ac:dyDescent="0.25">
      <c r="A2324" s="3"/>
      <c r="B2324" s="3"/>
      <c r="C2324" s="3"/>
      <c r="D2324" s="3"/>
      <c r="E2324" s="3"/>
      <c r="F2324" s="3"/>
      <c r="G2324" s="3"/>
      <c r="H2324" s="11"/>
      <c r="I2324" s="12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</row>
    <row r="2325" spans="1:34" ht="14.25" customHeight="1" x14ac:dyDescent="0.25">
      <c r="A2325" s="3"/>
      <c r="B2325" s="3"/>
      <c r="C2325" s="3"/>
      <c r="D2325" s="3"/>
      <c r="E2325" s="3"/>
      <c r="F2325" s="3"/>
      <c r="G2325" s="3"/>
      <c r="H2325" s="11"/>
      <c r="I2325" s="12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</row>
    <row r="2326" spans="1:34" ht="14.25" customHeight="1" x14ac:dyDescent="0.25">
      <c r="A2326" s="3"/>
      <c r="B2326" s="3"/>
      <c r="C2326" s="3"/>
      <c r="D2326" s="3"/>
      <c r="E2326" s="3"/>
      <c r="F2326" s="3"/>
      <c r="G2326" s="3"/>
      <c r="H2326" s="11"/>
      <c r="I2326" s="12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</row>
    <row r="2327" spans="1:34" ht="14.25" customHeight="1" x14ac:dyDescent="0.25">
      <c r="A2327" s="3"/>
      <c r="B2327" s="3"/>
      <c r="C2327" s="3"/>
      <c r="D2327" s="3"/>
      <c r="E2327" s="3"/>
      <c r="F2327" s="3"/>
      <c r="G2327" s="3"/>
      <c r="H2327" s="11"/>
      <c r="I2327" s="12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</row>
    <row r="2328" spans="1:34" ht="14.25" customHeight="1" x14ac:dyDescent="0.25">
      <c r="A2328" s="3"/>
      <c r="B2328" s="3"/>
      <c r="C2328" s="3"/>
      <c r="D2328" s="3"/>
      <c r="E2328" s="3"/>
      <c r="F2328" s="3"/>
      <c r="G2328" s="3"/>
      <c r="H2328" s="11"/>
      <c r="I2328" s="12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</row>
    <row r="2329" spans="1:34" ht="14.25" customHeight="1" x14ac:dyDescent="0.25">
      <c r="A2329" s="3"/>
      <c r="B2329" s="3"/>
      <c r="C2329" s="3"/>
      <c r="D2329" s="3"/>
      <c r="E2329" s="3"/>
      <c r="F2329" s="3"/>
      <c r="G2329" s="3"/>
      <c r="H2329" s="11"/>
      <c r="I2329" s="12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</row>
    <row r="2330" spans="1:34" ht="14.25" customHeight="1" x14ac:dyDescent="0.25">
      <c r="A2330" s="3"/>
      <c r="B2330" s="3"/>
      <c r="C2330" s="3"/>
      <c r="D2330" s="3"/>
      <c r="E2330" s="3"/>
      <c r="F2330" s="3"/>
      <c r="G2330" s="3"/>
      <c r="H2330" s="11"/>
      <c r="I2330" s="12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</row>
    <row r="2331" spans="1:34" ht="14.25" customHeight="1" x14ac:dyDescent="0.25">
      <c r="A2331" s="3"/>
      <c r="B2331" s="3"/>
      <c r="C2331" s="3"/>
      <c r="D2331" s="3"/>
      <c r="E2331" s="3"/>
      <c r="F2331" s="3"/>
      <c r="G2331" s="3"/>
      <c r="H2331" s="11"/>
      <c r="I2331" s="12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</row>
    <row r="2332" spans="1:34" ht="14.25" customHeight="1" x14ac:dyDescent="0.25">
      <c r="A2332" s="3"/>
      <c r="B2332" s="3"/>
      <c r="C2332" s="3"/>
      <c r="D2332" s="3"/>
      <c r="E2332" s="3"/>
      <c r="F2332" s="3"/>
      <c r="G2332" s="3"/>
      <c r="H2332" s="11"/>
      <c r="I2332" s="12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</row>
    <row r="2333" spans="1:34" ht="14.25" customHeight="1" x14ac:dyDescent="0.25">
      <c r="A2333" s="3"/>
      <c r="B2333" s="3"/>
      <c r="C2333" s="3"/>
      <c r="D2333" s="3"/>
      <c r="E2333" s="3"/>
      <c r="F2333" s="3"/>
      <c r="G2333" s="3"/>
      <c r="H2333" s="11"/>
      <c r="I2333" s="12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</row>
    <row r="2334" spans="1:34" ht="14.25" customHeight="1" x14ac:dyDescent="0.25">
      <c r="A2334" s="3"/>
      <c r="B2334" s="3"/>
      <c r="C2334" s="3"/>
      <c r="D2334" s="3"/>
      <c r="E2334" s="3"/>
      <c r="F2334" s="3"/>
      <c r="G2334" s="3"/>
      <c r="H2334" s="11"/>
      <c r="I2334" s="12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</row>
    <row r="2335" spans="1:34" ht="14.25" customHeight="1" x14ac:dyDescent="0.25">
      <c r="A2335" s="3"/>
      <c r="B2335" s="3"/>
      <c r="C2335" s="3"/>
      <c r="D2335" s="3"/>
      <c r="E2335" s="3"/>
      <c r="F2335" s="3"/>
      <c r="G2335" s="3"/>
      <c r="H2335" s="11"/>
      <c r="I2335" s="12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</row>
    <row r="2336" spans="1:34" ht="14.25" customHeight="1" x14ac:dyDescent="0.25">
      <c r="A2336" s="3"/>
      <c r="B2336" s="3"/>
      <c r="C2336" s="3"/>
      <c r="D2336" s="3"/>
      <c r="E2336" s="3"/>
      <c r="F2336" s="3"/>
      <c r="G2336" s="3"/>
      <c r="H2336" s="11"/>
      <c r="I2336" s="12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</row>
    <row r="2337" spans="1:34" ht="14.25" customHeight="1" x14ac:dyDescent="0.25">
      <c r="A2337" s="3"/>
      <c r="B2337" s="3"/>
      <c r="C2337" s="3"/>
      <c r="D2337" s="3"/>
      <c r="E2337" s="3"/>
      <c r="F2337" s="3"/>
      <c r="G2337" s="3"/>
      <c r="H2337" s="11"/>
      <c r="I2337" s="12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</row>
    <row r="2338" spans="1:34" ht="14.25" customHeight="1" x14ac:dyDescent="0.25">
      <c r="A2338" s="3"/>
      <c r="B2338" s="3"/>
      <c r="C2338" s="3"/>
      <c r="D2338" s="3"/>
      <c r="E2338" s="3"/>
      <c r="F2338" s="3"/>
      <c r="G2338" s="3"/>
      <c r="H2338" s="11"/>
      <c r="I2338" s="12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</row>
    <row r="2339" spans="1:34" ht="14.25" customHeight="1" x14ac:dyDescent="0.25">
      <c r="A2339" s="3"/>
      <c r="B2339" s="3"/>
      <c r="C2339" s="3"/>
      <c r="D2339" s="3"/>
      <c r="E2339" s="3"/>
      <c r="F2339" s="3"/>
      <c r="G2339" s="3"/>
      <c r="H2339" s="11"/>
      <c r="I2339" s="12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</row>
    <row r="2340" spans="1:34" ht="14.25" customHeight="1" x14ac:dyDescent="0.25">
      <c r="A2340" s="3"/>
      <c r="B2340" s="3"/>
      <c r="C2340" s="3"/>
      <c r="D2340" s="3"/>
      <c r="E2340" s="3"/>
      <c r="F2340" s="3"/>
      <c r="G2340" s="3"/>
      <c r="H2340" s="11"/>
      <c r="I2340" s="12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</row>
    <row r="2341" spans="1:34" ht="14.25" customHeight="1" x14ac:dyDescent="0.25">
      <c r="A2341" s="3"/>
      <c r="B2341" s="3"/>
      <c r="C2341" s="3"/>
      <c r="D2341" s="3"/>
      <c r="E2341" s="3"/>
      <c r="F2341" s="3"/>
      <c r="G2341" s="3"/>
      <c r="H2341" s="11"/>
      <c r="I2341" s="12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</row>
    <row r="2342" spans="1:34" ht="14.25" customHeight="1" x14ac:dyDescent="0.25">
      <c r="A2342" s="3"/>
      <c r="B2342" s="3"/>
      <c r="C2342" s="3"/>
      <c r="D2342" s="3"/>
      <c r="E2342" s="3"/>
      <c r="F2342" s="3"/>
      <c r="G2342" s="3"/>
      <c r="H2342" s="11"/>
      <c r="I2342" s="12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</row>
    <row r="2343" spans="1:34" ht="14.25" customHeight="1" x14ac:dyDescent="0.25">
      <c r="A2343" s="3"/>
      <c r="B2343" s="3"/>
      <c r="C2343" s="3"/>
      <c r="D2343" s="3"/>
      <c r="E2343" s="3"/>
      <c r="F2343" s="3"/>
      <c r="G2343" s="3"/>
      <c r="H2343" s="11"/>
      <c r="I2343" s="12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</row>
    <row r="2344" spans="1:34" ht="14.25" customHeight="1" x14ac:dyDescent="0.25">
      <c r="A2344" s="3"/>
      <c r="B2344" s="3"/>
      <c r="C2344" s="3"/>
      <c r="D2344" s="3"/>
      <c r="E2344" s="3"/>
      <c r="F2344" s="3"/>
      <c r="G2344" s="3"/>
      <c r="H2344" s="11"/>
      <c r="I2344" s="12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</row>
    <row r="2345" spans="1:34" ht="14.25" customHeight="1" x14ac:dyDescent="0.25">
      <c r="A2345" s="3"/>
      <c r="B2345" s="3"/>
      <c r="C2345" s="3"/>
      <c r="D2345" s="3"/>
      <c r="E2345" s="3"/>
      <c r="F2345" s="3"/>
      <c r="G2345" s="3"/>
      <c r="H2345" s="11"/>
      <c r="I2345" s="12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</row>
    <row r="2346" spans="1:34" ht="14.25" customHeight="1" x14ac:dyDescent="0.25">
      <c r="A2346" s="3"/>
      <c r="B2346" s="3"/>
      <c r="C2346" s="3"/>
      <c r="D2346" s="3"/>
      <c r="E2346" s="3"/>
      <c r="F2346" s="3"/>
      <c r="G2346" s="3"/>
      <c r="H2346" s="11"/>
      <c r="I2346" s="12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</row>
    <row r="2347" spans="1:34" ht="14.25" customHeight="1" x14ac:dyDescent="0.25">
      <c r="A2347" s="3"/>
      <c r="B2347" s="3"/>
      <c r="C2347" s="3"/>
      <c r="D2347" s="3"/>
      <c r="E2347" s="3"/>
      <c r="F2347" s="3"/>
      <c r="G2347" s="3"/>
      <c r="H2347" s="11"/>
      <c r="I2347" s="12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</row>
    <row r="2348" spans="1:34" ht="14.25" customHeight="1" x14ac:dyDescent="0.25">
      <c r="A2348" s="3"/>
      <c r="B2348" s="3"/>
      <c r="C2348" s="3"/>
      <c r="D2348" s="3"/>
      <c r="E2348" s="3"/>
      <c r="F2348" s="3"/>
      <c r="G2348" s="3"/>
      <c r="H2348" s="11"/>
      <c r="I2348" s="12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</row>
    <row r="2349" spans="1:34" ht="14.25" customHeight="1" x14ac:dyDescent="0.25">
      <c r="A2349" s="3"/>
      <c r="B2349" s="3"/>
      <c r="C2349" s="3"/>
      <c r="D2349" s="3"/>
      <c r="E2349" s="3"/>
      <c r="F2349" s="3"/>
      <c r="G2349" s="3"/>
      <c r="H2349" s="11"/>
      <c r="I2349" s="12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</row>
    <row r="2350" spans="1:34" ht="14.25" customHeight="1" x14ac:dyDescent="0.25">
      <c r="A2350" s="3"/>
      <c r="B2350" s="3"/>
      <c r="C2350" s="3"/>
      <c r="D2350" s="3"/>
      <c r="E2350" s="3"/>
      <c r="F2350" s="3"/>
      <c r="G2350" s="3"/>
      <c r="H2350" s="11"/>
      <c r="I2350" s="12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</row>
    <row r="2351" spans="1:34" ht="14.25" customHeight="1" x14ac:dyDescent="0.25">
      <c r="A2351" s="3"/>
      <c r="B2351" s="3"/>
      <c r="C2351" s="3"/>
      <c r="D2351" s="3"/>
      <c r="E2351" s="3"/>
      <c r="F2351" s="3"/>
      <c r="G2351" s="3"/>
      <c r="H2351" s="11"/>
      <c r="I2351" s="12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</row>
    <row r="2352" spans="1:34" ht="14.25" customHeight="1" x14ac:dyDescent="0.25">
      <c r="A2352" s="3"/>
      <c r="B2352" s="3"/>
      <c r="C2352" s="3"/>
      <c r="D2352" s="3"/>
      <c r="E2352" s="3"/>
      <c r="F2352" s="3"/>
      <c r="G2352" s="3"/>
      <c r="H2352" s="11"/>
      <c r="I2352" s="12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</row>
    <row r="2353" spans="1:34" ht="14.25" customHeight="1" x14ac:dyDescent="0.25">
      <c r="A2353" s="3"/>
      <c r="B2353" s="3"/>
      <c r="C2353" s="3"/>
      <c r="D2353" s="3"/>
      <c r="E2353" s="3"/>
      <c r="F2353" s="3"/>
      <c r="G2353" s="3"/>
      <c r="H2353" s="11"/>
      <c r="I2353" s="12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</row>
    <row r="2354" spans="1:34" ht="14.25" customHeight="1" x14ac:dyDescent="0.25">
      <c r="A2354" s="3"/>
      <c r="B2354" s="3"/>
      <c r="C2354" s="3"/>
      <c r="D2354" s="3"/>
      <c r="E2354" s="3"/>
      <c r="F2354" s="3"/>
      <c r="G2354" s="3"/>
      <c r="H2354" s="11"/>
      <c r="I2354" s="12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</row>
    <row r="2355" spans="1:34" ht="14.25" customHeight="1" x14ac:dyDescent="0.25">
      <c r="A2355" s="3"/>
      <c r="B2355" s="3"/>
      <c r="C2355" s="3"/>
      <c r="D2355" s="3"/>
      <c r="E2355" s="3"/>
      <c r="F2355" s="3"/>
      <c r="G2355" s="3"/>
      <c r="H2355" s="11"/>
      <c r="I2355" s="12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</row>
    <row r="2356" spans="1:34" ht="14.25" customHeight="1" x14ac:dyDescent="0.25">
      <c r="A2356" s="3"/>
      <c r="B2356" s="3"/>
      <c r="C2356" s="3"/>
      <c r="D2356" s="3"/>
      <c r="E2356" s="3"/>
      <c r="F2356" s="3"/>
      <c r="G2356" s="3"/>
      <c r="H2356" s="11"/>
      <c r="I2356" s="12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</row>
    <row r="2357" spans="1:34" ht="14.25" customHeight="1" x14ac:dyDescent="0.25">
      <c r="A2357" s="3"/>
      <c r="B2357" s="3"/>
      <c r="C2357" s="3"/>
      <c r="D2357" s="3"/>
      <c r="E2357" s="3"/>
      <c r="F2357" s="3"/>
      <c r="G2357" s="3"/>
      <c r="H2357" s="11"/>
      <c r="I2357" s="12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</row>
    <row r="2358" spans="1:34" ht="14.25" customHeight="1" x14ac:dyDescent="0.25">
      <c r="A2358" s="3"/>
      <c r="B2358" s="3"/>
      <c r="C2358" s="3"/>
      <c r="D2358" s="3"/>
      <c r="E2358" s="3"/>
      <c r="F2358" s="3"/>
      <c r="G2358" s="3"/>
      <c r="H2358" s="11"/>
      <c r="I2358" s="12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</row>
    <row r="2359" spans="1:34" ht="14.25" customHeight="1" x14ac:dyDescent="0.25">
      <c r="A2359" s="3"/>
      <c r="B2359" s="3"/>
      <c r="C2359" s="3"/>
      <c r="D2359" s="3"/>
      <c r="E2359" s="3"/>
      <c r="F2359" s="3"/>
      <c r="G2359" s="3"/>
      <c r="H2359" s="11"/>
      <c r="I2359" s="12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</row>
    <row r="2360" spans="1:34" ht="14.25" customHeight="1" x14ac:dyDescent="0.25">
      <c r="A2360" s="3"/>
      <c r="B2360" s="3"/>
      <c r="C2360" s="3"/>
      <c r="D2360" s="3"/>
      <c r="E2360" s="3"/>
      <c r="F2360" s="3"/>
      <c r="G2360" s="3"/>
      <c r="H2360" s="11"/>
      <c r="I2360" s="12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</row>
    <row r="2361" spans="1:34" ht="14.25" customHeight="1" x14ac:dyDescent="0.25">
      <c r="A2361" s="3"/>
      <c r="B2361" s="3"/>
      <c r="C2361" s="3"/>
      <c r="D2361" s="3"/>
      <c r="E2361" s="3"/>
      <c r="F2361" s="3"/>
      <c r="G2361" s="3"/>
      <c r="H2361" s="11"/>
      <c r="I2361" s="12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</row>
    <row r="2362" spans="1:34" ht="14.25" customHeight="1" x14ac:dyDescent="0.25">
      <c r="A2362" s="3"/>
      <c r="B2362" s="3"/>
      <c r="C2362" s="3"/>
      <c r="D2362" s="3"/>
      <c r="E2362" s="3"/>
      <c r="F2362" s="3"/>
      <c r="G2362" s="3"/>
      <c r="H2362" s="11"/>
      <c r="I2362" s="12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</row>
    <row r="2363" spans="1:34" ht="14.25" customHeight="1" x14ac:dyDescent="0.25">
      <c r="A2363" s="3"/>
      <c r="B2363" s="3"/>
      <c r="C2363" s="3"/>
      <c r="D2363" s="3"/>
      <c r="E2363" s="3"/>
      <c r="F2363" s="3"/>
      <c r="G2363" s="3"/>
      <c r="H2363" s="11"/>
      <c r="I2363" s="12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</row>
    <row r="2364" spans="1:34" ht="14.25" customHeight="1" x14ac:dyDescent="0.25">
      <c r="A2364" s="3"/>
      <c r="B2364" s="3"/>
      <c r="C2364" s="3"/>
      <c r="D2364" s="3"/>
      <c r="E2364" s="3"/>
      <c r="F2364" s="3"/>
      <c r="G2364" s="3"/>
      <c r="H2364" s="11"/>
      <c r="I2364" s="12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</row>
    <row r="2365" spans="1:34" ht="14.25" customHeight="1" x14ac:dyDescent="0.25">
      <c r="A2365" s="3"/>
      <c r="B2365" s="3"/>
      <c r="C2365" s="3"/>
      <c r="D2365" s="3"/>
      <c r="E2365" s="3"/>
      <c r="F2365" s="3"/>
      <c r="G2365" s="3"/>
      <c r="H2365" s="11"/>
      <c r="I2365" s="12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</row>
    <row r="2366" spans="1:34" ht="14.25" customHeight="1" x14ac:dyDescent="0.25">
      <c r="A2366" s="3"/>
      <c r="B2366" s="3"/>
      <c r="C2366" s="3"/>
      <c r="D2366" s="3"/>
      <c r="E2366" s="3"/>
      <c r="F2366" s="3"/>
      <c r="G2366" s="3"/>
      <c r="H2366" s="11"/>
      <c r="I2366" s="12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</row>
    <row r="2367" spans="1:34" ht="14.25" customHeight="1" x14ac:dyDescent="0.25">
      <c r="A2367" s="3"/>
      <c r="B2367" s="3"/>
      <c r="C2367" s="3"/>
      <c r="D2367" s="3"/>
      <c r="E2367" s="3"/>
      <c r="F2367" s="3"/>
      <c r="G2367" s="3"/>
      <c r="H2367" s="11"/>
      <c r="I2367" s="12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</row>
    <row r="2368" spans="1:34" ht="14.25" customHeight="1" x14ac:dyDescent="0.25">
      <c r="A2368" s="3"/>
      <c r="B2368" s="3"/>
      <c r="C2368" s="3"/>
      <c r="D2368" s="3"/>
      <c r="E2368" s="3"/>
      <c r="F2368" s="3"/>
      <c r="G2368" s="3"/>
      <c r="H2368" s="11"/>
      <c r="I2368" s="12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</row>
    <row r="2369" spans="1:34" ht="14.25" customHeight="1" x14ac:dyDescent="0.25">
      <c r="A2369" s="3"/>
      <c r="B2369" s="3"/>
      <c r="C2369" s="3"/>
      <c r="D2369" s="3"/>
      <c r="E2369" s="3"/>
      <c r="F2369" s="3"/>
      <c r="G2369" s="3"/>
      <c r="H2369" s="11"/>
      <c r="I2369" s="12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</row>
    <row r="2370" spans="1:34" ht="14.25" customHeight="1" x14ac:dyDescent="0.25">
      <c r="A2370" s="3"/>
      <c r="B2370" s="3"/>
      <c r="C2370" s="3"/>
      <c r="D2370" s="3"/>
      <c r="E2370" s="3"/>
      <c r="F2370" s="3"/>
      <c r="G2370" s="3"/>
      <c r="H2370" s="11"/>
      <c r="I2370" s="12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</row>
    <row r="2371" spans="1:34" ht="14.25" customHeight="1" x14ac:dyDescent="0.25">
      <c r="A2371" s="3"/>
      <c r="B2371" s="3"/>
      <c r="C2371" s="3"/>
      <c r="D2371" s="3"/>
      <c r="E2371" s="3"/>
      <c r="F2371" s="3"/>
      <c r="G2371" s="3"/>
      <c r="H2371" s="11"/>
      <c r="I2371" s="12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</row>
    <row r="2372" spans="1:34" ht="14.25" customHeight="1" x14ac:dyDescent="0.25">
      <c r="A2372" s="3"/>
      <c r="B2372" s="3"/>
      <c r="C2372" s="3"/>
      <c r="D2372" s="3"/>
      <c r="E2372" s="3"/>
      <c r="F2372" s="3"/>
      <c r="G2372" s="3"/>
      <c r="H2372" s="11"/>
      <c r="I2372" s="12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</row>
    <row r="2373" spans="1:34" ht="14.25" customHeight="1" x14ac:dyDescent="0.25">
      <c r="A2373" s="3"/>
      <c r="B2373" s="3"/>
      <c r="C2373" s="3"/>
      <c r="D2373" s="3"/>
      <c r="E2373" s="3"/>
      <c r="F2373" s="3"/>
      <c r="G2373" s="3"/>
      <c r="H2373" s="11"/>
      <c r="I2373" s="12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</row>
    <row r="2374" spans="1:34" ht="14.25" customHeight="1" x14ac:dyDescent="0.25">
      <c r="A2374" s="3"/>
      <c r="B2374" s="3"/>
      <c r="C2374" s="3"/>
      <c r="D2374" s="3"/>
      <c r="E2374" s="3"/>
      <c r="F2374" s="3"/>
      <c r="G2374" s="3"/>
      <c r="H2374" s="11"/>
      <c r="I2374" s="12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</row>
    <row r="2375" spans="1:34" ht="14.25" customHeight="1" x14ac:dyDescent="0.25">
      <c r="A2375" s="3"/>
      <c r="B2375" s="3"/>
      <c r="C2375" s="3"/>
      <c r="D2375" s="3"/>
      <c r="E2375" s="3"/>
      <c r="F2375" s="3"/>
      <c r="G2375" s="3"/>
      <c r="H2375" s="11"/>
      <c r="I2375" s="12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</row>
    <row r="2376" spans="1:34" ht="14.25" customHeight="1" x14ac:dyDescent="0.25">
      <c r="A2376" s="3"/>
      <c r="B2376" s="3"/>
      <c r="C2376" s="3"/>
      <c r="D2376" s="3"/>
      <c r="E2376" s="3"/>
      <c r="F2376" s="3"/>
      <c r="G2376" s="3"/>
      <c r="H2376" s="11"/>
      <c r="I2376" s="12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</row>
    <row r="2377" spans="1:34" ht="14.25" customHeight="1" x14ac:dyDescent="0.25">
      <c r="A2377" s="3"/>
      <c r="B2377" s="3"/>
      <c r="C2377" s="3"/>
      <c r="D2377" s="3"/>
      <c r="E2377" s="3"/>
      <c r="F2377" s="3"/>
      <c r="G2377" s="3"/>
      <c r="H2377" s="11"/>
      <c r="I2377" s="12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</row>
    <row r="2378" spans="1:34" ht="14.25" customHeight="1" x14ac:dyDescent="0.25">
      <c r="A2378" s="3"/>
      <c r="B2378" s="3"/>
      <c r="C2378" s="3"/>
      <c r="D2378" s="3"/>
      <c r="E2378" s="3"/>
      <c r="F2378" s="3"/>
      <c r="G2378" s="3"/>
      <c r="H2378" s="11"/>
      <c r="I2378" s="12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</row>
    <row r="2379" spans="1:34" ht="14.25" customHeight="1" x14ac:dyDescent="0.25">
      <c r="A2379" s="3"/>
      <c r="B2379" s="3"/>
      <c r="C2379" s="3"/>
      <c r="D2379" s="3"/>
      <c r="E2379" s="3"/>
      <c r="F2379" s="3"/>
      <c r="G2379" s="3"/>
      <c r="H2379" s="11"/>
      <c r="I2379" s="12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</row>
    <row r="2380" spans="1:34" ht="14.25" customHeight="1" x14ac:dyDescent="0.25">
      <c r="A2380" s="3"/>
      <c r="B2380" s="3"/>
      <c r="C2380" s="3"/>
      <c r="D2380" s="3"/>
      <c r="E2380" s="3"/>
      <c r="F2380" s="3"/>
      <c r="G2380" s="3"/>
      <c r="H2380" s="11"/>
      <c r="I2380" s="12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</row>
    <row r="2381" spans="1:34" ht="14.25" customHeight="1" x14ac:dyDescent="0.25">
      <c r="A2381" s="3"/>
      <c r="B2381" s="3"/>
      <c r="C2381" s="3"/>
      <c r="D2381" s="3"/>
      <c r="E2381" s="3"/>
      <c r="F2381" s="3"/>
      <c r="G2381" s="3"/>
      <c r="H2381" s="11"/>
      <c r="I2381" s="12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</row>
    <row r="2382" spans="1:34" ht="14.25" customHeight="1" x14ac:dyDescent="0.25">
      <c r="A2382" s="3"/>
      <c r="B2382" s="3"/>
      <c r="C2382" s="3"/>
      <c r="D2382" s="3"/>
      <c r="E2382" s="3"/>
      <c r="F2382" s="3"/>
      <c r="G2382" s="3"/>
      <c r="H2382" s="11"/>
      <c r="I2382" s="12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</row>
    <row r="2383" spans="1:34" ht="14.25" customHeight="1" x14ac:dyDescent="0.25">
      <c r="A2383" s="3"/>
      <c r="B2383" s="3"/>
      <c r="C2383" s="3"/>
      <c r="D2383" s="3"/>
      <c r="E2383" s="3"/>
      <c r="F2383" s="3"/>
      <c r="G2383" s="3"/>
      <c r="H2383" s="11"/>
      <c r="I2383" s="12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</row>
    <row r="2384" spans="1:34" ht="14.25" customHeight="1" x14ac:dyDescent="0.25">
      <c r="A2384" s="3"/>
      <c r="B2384" s="3"/>
      <c r="C2384" s="3"/>
      <c r="D2384" s="3"/>
      <c r="E2384" s="3"/>
      <c r="F2384" s="3"/>
      <c r="G2384" s="3"/>
      <c r="H2384" s="11"/>
      <c r="I2384" s="12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</row>
    <row r="2385" spans="1:34" ht="14.25" customHeight="1" x14ac:dyDescent="0.25">
      <c r="A2385" s="3"/>
      <c r="B2385" s="3"/>
      <c r="C2385" s="3"/>
      <c r="D2385" s="3"/>
      <c r="E2385" s="3"/>
      <c r="F2385" s="3"/>
      <c r="G2385" s="3"/>
      <c r="H2385" s="11"/>
      <c r="I2385" s="12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14"/>
      <c r="X2385" s="3"/>
      <c r="Y2385" s="14"/>
      <c r="Z2385" s="3"/>
      <c r="AA2385" s="3"/>
      <c r="AB2385" s="3"/>
      <c r="AC2385" s="3"/>
      <c r="AD2385" s="3"/>
      <c r="AE2385" s="3"/>
      <c r="AF2385" s="3"/>
      <c r="AG2385" s="3"/>
      <c r="AH2385" s="3"/>
    </row>
    <row r="2386" spans="1:34" ht="14.25" customHeight="1" x14ac:dyDescent="0.25">
      <c r="A2386" s="3"/>
      <c r="B2386" s="3"/>
      <c r="C2386" s="3"/>
      <c r="D2386" s="3"/>
      <c r="E2386" s="3"/>
      <c r="F2386" s="3"/>
      <c r="G2386" s="14"/>
      <c r="H2386" s="11"/>
      <c r="I2386" s="12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14"/>
      <c r="X2386" s="3"/>
      <c r="Y2386" s="14"/>
      <c r="Z2386" s="3"/>
      <c r="AA2386" s="3"/>
      <c r="AB2386" s="3"/>
      <c r="AC2386" s="3"/>
      <c r="AD2386" s="3"/>
      <c r="AE2386" s="3"/>
      <c r="AF2386" s="3"/>
      <c r="AG2386" s="3"/>
      <c r="AH2386" s="3"/>
    </row>
    <row r="2387" spans="1:34" ht="14.25" customHeight="1" x14ac:dyDescent="0.25">
      <c r="A2387" s="3"/>
      <c r="B2387" s="3"/>
      <c r="C2387" s="3"/>
      <c r="D2387" s="3"/>
      <c r="E2387" s="3"/>
      <c r="F2387" s="3"/>
      <c r="G2387" s="14"/>
      <c r="H2387" s="11"/>
      <c r="I2387" s="12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14"/>
      <c r="X2387" s="3"/>
      <c r="Y2387" s="14"/>
      <c r="Z2387" s="3"/>
      <c r="AA2387" s="3"/>
      <c r="AB2387" s="3"/>
      <c r="AC2387" s="3"/>
      <c r="AD2387" s="3"/>
      <c r="AE2387" s="3"/>
      <c r="AF2387" s="3"/>
      <c r="AG2387" s="3"/>
      <c r="AH2387" s="3"/>
    </row>
    <row r="2388" spans="1:34" ht="14.25" customHeight="1" x14ac:dyDescent="0.25">
      <c r="A2388" s="3"/>
      <c r="B2388" s="3"/>
      <c r="C2388" s="3"/>
      <c r="D2388" s="3"/>
      <c r="E2388" s="3"/>
      <c r="F2388" s="3"/>
      <c r="G2388" s="14"/>
      <c r="H2388" s="11"/>
      <c r="I2388" s="12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14"/>
      <c r="X2388" s="3"/>
      <c r="Y2388" s="14"/>
      <c r="Z2388" s="3"/>
      <c r="AA2388" s="3"/>
      <c r="AB2388" s="3"/>
      <c r="AC2388" s="3"/>
      <c r="AD2388" s="3"/>
      <c r="AE2388" s="3"/>
      <c r="AF2388" s="3"/>
      <c r="AG2388" s="3"/>
      <c r="AH2388" s="3"/>
    </row>
    <row r="2389" spans="1:34" ht="14.25" customHeight="1" x14ac:dyDescent="0.25">
      <c r="A2389" s="3"/>
      <c r="B2389" s="3"/>
      <c r="C2389" s="3"/>
      <c r="D2389" s="3"/>
      <c r="E2389" s="3"/>
      <c r="F2389" s="3"/>
      <c r="G2389" s="14"/>
      <c r="H2389" s="11"/>
      <c r="I2389" s="12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14"/>
      <c r="X2389" s="3"/>
      <c r="Y2389" s="14"/>
      <c r="Z2389" s="3"/>
      <c r="AA2389" s="3"/>
      <c r="AB2389" s="3"/>
      <c r="AC2389" s="3"/>
      <c r="AD2389" s="3"/>
      <c r="AE2389" s="3"/>
      <c r="AF2389" s="3"/>
      <c r="AG2389" s="3"/>
      <c r="AH2389" s="3"/>
    </row>
    <row r="2390" spans="1:34" ht="14.25" customHeight="1" x14ac:dyDescent="0.25">
      <c r="A2390" s="3"/>
      <c r="B2390" s="3"/>
      <c r="C2390" s="3"/>
      <c r="D2390" s="3"/>
      <c r="E2390" s="3"/>
      <c r="F2390" s="3"/>
      <c r="G2390" s="14"/>
      <c r="H2390" s="11"/>
      <c r="I2390" s="12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14"/>
      <c r="X2390" s="3"/>
      <c r="Y2390" s="14"/>
      <c r="Z2390" s="3"/>
      <c r="AA2390" s="3"/>
      <c r="AB2390" s="3"/>
      <c r="AC2390" s="3"/>
      <c r="AD2390" s="3"/>
      <c r="AE2390" s="3"/>
      <c r="AF2390" s="3"/>
      <c r="AG2390" s="3"/>
      <c r="AH2390" s="3"/>
    </row>
    <row r="2391" spans="1:34" ht="14.25" customHeight="1" x14ac:dyDescent="0.25">
      <c r="A2391" s="3"/>
      <c r="B2391" s="3"/>
      <c r="C2391" s="3"/>
      <c r="D2391" s="3"/>
      <c r="E2391" s="3"/>
      <c r="F2391" s="3"/>
      <c r="G2391" s="14"/>
      <c r="H2391" s="11"/>
      <c r="I2391" s="12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14"/>
      <c r="X2391" s="3"/>
      <c r="Y2391" s="14"/>
      <c r="Z2391" s="3"/>
      <c r="AA2391" s="3"/>
      <c r="AB2391" s="3"/>
      <c r="AC2391" s="3"/>
      <c r="AD2391" s="3"/>
      <c r="AE2391" s="3"/>
      <c r="AF2391" s="3"/>
      <c r="AG2391" s="3"/>
      <c r="AH2391" s="3"/>
    </row>
    <row r="2392" spans="1:34" ht="14.25" customHeight="1" x14ac:dyDescent="0.25">
      <c r="A2392" s="3"/>
      <c r="B2392" s="3"/>
      <c r="C2392" s="3"/>
      <c r="D2392" s="3"/>
      <c r="E2392" s="3"/>
      <c r="F2392" s="3"/>
      <c r="G2392" s="14"/>
      <c r="H2392" s="11"/>
      <c r="I2392" s="12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14"/>
      <c r="X2392" s="3"/>
      <c r="Y2392" s="14"/>
      <c r="Z2392" s="3"/>
      <c r="AA2392" s="3"/>
      <c r="AB2392" s="3"/>
      <c r="AC2392" s="3"/>
      <c r="AD2392" s="3"/>
      <c r="AE2392" s="3"/>
      <c r="AF2392" s="3"/>
      <c r="AG2392" s="3"/>
      <c r="AH2392" s="3"/>
    </row>
    <row r="2393" spans="1:34" ht="14.25" customHeight="1" x14ac:dyDescent="0.25">
      <c r="A2393" s="3"/>
      <c r="B2393" s="3"/>
      <c r="C2393" s="3"/>
      <c r="D2393" s="3"/>
      <c r="E2393" s="3"/>
      <c r="F2393" s="3"/>
      <c r="G2393" s="14"/>
      <c r="H2393" s="11"/>
      <c r="I2393" s="12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14"/>
      <c r="X2393" s="3"/>
      <c r="Y2393" s="14"/>
      <c r="Z2393" s="3"/>
      <c r="AA2393" s="3"/>
      <c r="AB2393" s="3"/>
      <c r="AC2393" s="3"/>
      <c r="AD2393" s="3"/>
      <c r="AE2393" s="3"/>
      <c r="AF2393" s="3"/>
      <c r="AG2393" s="3"/>
      <c r="AH2393" s="3"/>
    </row>
    <row r="2394" spans="1:34" ht="14.25" customHeight="1" x14ac:dyDescent="0.25">
      <c r="A2394" s="3"/>
      <c r="B2394" s="3"/>
      <c r="C2394" s="3"/>
      <c r="D2394" s="3"/>
      <c r="E2394" s="3"/>
      <c r="F2394" s="3"/>
      <c r="G2394" s="3"/>
      <c r="H2394" s="11"/>
      <c r="I2394" s="12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14"/>
      <c r="X2394" s="3"/>
      <c r="Y2394" s="14"/>
      <c r="Z2394" s="3"/>
      <c r="AA2394" s="3"/>
      <c r="AB2394" s="3"/>
      <c r="AC2394" s="3"/>
      <c r="AD2394" s="3"/>
      <c r="AE2394" s="3"/>
      <c r="AF2394" s="3"/>
      <c r="AG2394" s="3"/>
      <c r="AH2394" s="3"/>
    </row>
    <row r="2395" spans="1:34" ht="14.25" customHeight="1" x14ac:dyDescent="0.25">
      <c r="A2395" s="3"/>
      <c r="B2395" s="3"/>
      <c r="C2395" s="3"/>
      <c r="D2395" s="3"/>
      <c r="E2395" s="3"/>
      <c r="F2395" s="3"/>
      <c r="G2395" s="14"/>
      <c r="H2395" s="11"/>
      <c r="I2395" s="12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14"/>
      <c r="X2395" s="3"/>
      <c r="Y2395" s="14"/>
      <c r="Z2395" s="3"/>
      <c r="AA2395" s="3"/>
      <c r="AB2395" s="3"/>
      <c r="AC2395" s="3"/>
      <c r="AD2395" s="3"/>
      <c r="AE2395" s="3"/>
      <c r="AF2395" s="3"/>
      <c r="AG2395" s="3"/>
      <c r="AH2395" s="3"/>
    </row>
    <row r="2396" spans="1:34" ht="14.25" customHeight="1" x14ac:dyDescent="0.25">
      <c r="A2396" s="3"/>
      <c r="B2396" s="3"/>
      <c r="C2396" s="3"/>
      <c r="D2396" s="3"/>
      <c r="E2396" s="3"/>
      <c r="F2396" s="3"/>
      <c r="G2396" s="14"/>
      <c r="H2396" s="11"/>
      <c r="I2396" s="12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14"/>
      <c r="X2396" s="3"/>
      <c r="Y2396" s="14"/>
      <c r="Z2396" s="3"/>
      <c r="AA2396" s="3"/>
      <c r="AB2396" s="3"/>
      <c r="AC2396" s="3"/>
      <c r="AD2396" s="3"/>
      <c r="AE2396" s="3"/>
      <c r="AF2396" s="3"/>
      <c r="AG2396" s="3"/>
      <c r="AH2396" s="3"/>
    </row>
    <row r="2397" spans="1:34" ht="14.25" customHeight="1" x14ac:dyDescent="0.25">
      <c r="A2397" s="3"/>
      <c r="B2397" s="3"/>
      <c r="C2397" s="3"/>
      <c r="D2397" s="3"/>
      <c r="E2397" s="3"/>
      <c r="F2397" s="3"/>
      <c r="G2397" s="14"/>
      <c r="H2397" s="11"/>
      <c r="I2397" s="12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14"/>
      <c r="X2397" s="3"/>
      <c r="Y2397" s="14"/>
      <c r="Z2397" s="3"/>
      <c r="AA2397" s="3"/>
      <c r="AB2397" s="3"/>
      <c r="AC2397" s="3"/>
      <c r="AD2397" s="3"/>
      <c r="AE2397" s="3"/>
      <c r="AF2397" s="3"/>
      <c r="AG2397" s="3"/>
      <c r="AH2397" s="3"/>
    </row>
    <row r="2398" spans="1:34" ht="14.25" customHeight="1" x14ac:dyDescent="0.25">
      <c r="A2398" s="3"/>
      <c r="B2398" s="3"/>
      <c r="C2398" s="3"/>
      <c r="D2398" s="3"/>
      <c r="E2398" s="3"/>
      <c r="F2398" s="3"/>
      <c r="G2398" s="14"/>
      <c r="H2398" s="11"/>
      <c r="I2398" s="12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14"/>
      <c r="X2398" s="3"/>
      <c r="Y2398" s="14"/>
      <c r="Z2398" s="3"/>
      <c r="AA2398" s="3"/>
      <c r="AB2398" s="3"/>
      <c r="AC2398" s="3"/>
      <c r="AD2398" s="3"/>
      <c r="AE2398" s="3"/>
      <c r="AF2398" s="3"/>
      <c r="AG2398" s="3"/>
      <c r="AH2398" s="3"/>
    </row>
    <row r="2399" spans="1:34" ht="14.25" customHeight="1" x14ac:dyDescent="0.25">
      <c r="A2399" s="3"/>
      <c r="B2399" s="3"/>
      <c r="C2399" s="3"/>
      <c r="D2399" s="3"/>
      <c r="E2399" s="3"/>
      <c r="F2399" s="3"/>
      <c r="G2399" s="14"/>
      <c r="H2399" s="11"/>
      <c r="I2399" s="12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14"/>
      <c r="X2399" s="3"/>
      <c r="Y2399" s="14"/>
      <c r="Z2399" s="3"/>
      <c r="AA2399" s="3"/>
      <c r="AB2399" s="3"/>
      <c r="AC2399" s="3"/>
      <c r="AD2399" s="3"/>
      <c r="AE2399" s="3"/>
      <c r="AF2399" s="3"/>
      <c r="AG2399" s="3"/>
      <c r="AH2399" s="3"/>
    </row>
    <row r="2400" spans="1:34" ht="14.25" customHeight="1" x14ac:dyDescent="0.25">
      <c r="A2400" s="3"/>
      <c r="B2400" s="3"/>
      <c r="C2400" s="3"/>
      <c r="D2400" s="3"/>
      <c r="E2400" s="3"/>
      <c r="F2400" s="3"/>
      <c r="G2400" s="3"/>
      <c r="H2400" s="11"/>
      <c r="I2400" s="12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14"/>
      <c r="X2400" s="3"/>
      <c r="Y2400" s="14"/>
      <c r="Z2400" s="3"/>
      <c r="AA2400" s="3"/>
      <c r="AB2400" s="3"/>
      <c r="AC2400" s="3"/>
      <c r="AD2400" s="3"/>
      <c r="AE2400" s="3"/>
      <c r="AF2400" s="3"/>
      <c r="AG2400" s="3"/>
      <c r="AH2400" s="3"/>
    </row>
    <row r="2401" spans="1:34" ht="14.25" customHeight="1" x14ac:dyDescent="0.25">
      <c r="A2401" s="3"/>
      <c r="B2401" s="3"/>
      <c r="C2401" s="3"/>
      <c r="D2401" s="3"/>
      <c r="E2401" s="3"/>
      <c r="F2401" s="3"/>
      <c r="G2401" s="3"/>
      <c r="H2401" s="11"/>
      <c r="I2401" s="12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14"/>
      <c r="X2401" s="3"/>
      <c r="Y2401" s="14"/>
      <c r="Z2401" s="3"/>
      <c r="AA2401" s="3"/>
      <c r="AB2401" s="3"/>
      <c r="AC2401" s="3"/>
      <c r="AD2401" s="3"/>
      <c r="AE2401" s="3"/>
      <c r="AF2401" s="3"/>
      <c r="AG2401" s="3"/>
      <c r="AH2401" s="3"/>
    </row>
    <row r="2402" spans="1:34" ht="14.25" customHeight="1" x14ac:dyDescent="0.25">
      <c r="A2402" s="3"/>
      <c r="B2402" s="3"/>
      <c r="C2402" s="3"/>
      <c r="D2402" s="3"/>
      <c r="E2402" s="3"/>
      <c r="F2402" s="3"/>
      <c r="G2402" s="3"/>
      <c r="H2402" s="11"/>
      <c r="I2402" s="12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14"/>
      <c r="X2402" s="3"/>
      <c r="Y2402" s="14"/>
      <c r="Z2402" s="3"/>
      <c r="AA2402" s="3"/>
      <c r="AB2402" s="3"/>
      <c r="AC2402" s="3"/>
      <c r="AD2402" s="3"/>
      <c r="AE2402" s="3"/>
      <c r="AF2402" s="3"/>
      <c r="AG2402" s="3"/>
      <c r="AH2402" s="3"/>
    </row>
    <row r="2403" spans="1:34" ht="14.25" customHeight="1" x14ac:dyDescent="0.25">
      <c r="A2403" s="3"/>
      <c r="B2403" s="3"/>
      <c r="C2403" s="3"/>
      <c r="D2403" s="3"/>
      <c r="E2403" s="3"/>
      <c r="F2403" s="3"/>
      <c r="G2403" s="14"/>
      <c r="H2403" s="11"/>
      <c r="I2403" s="12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14"/>
      <c r="X2403" s="3"/>
      <c r="Y2403" s="14"/>
      <c r="Z2403" s="3"/>
      <c r="AA2403" s="3"/>
      <c r="AB2403" s="3"/>
      <c r="AC2403" s="3"/>
      <c r="AD2403" s="3"/>
      <c r="AE2403" s="3"/>
      <c r="AF2403" s="3"/>
      <c r="AG2403" s="3"/>
      <c r="AH2403" s="3"/>
    </row>
    <row r="2404" spans="1:34" ht="14.25" customHeight="1" x14ac:dyDescent="0.25">
      <c r="A2404" s="3"/>
      <c r="B2404" s="3"/>
      <c r="C2404" s="3"/>
      <c r="D2404" s="3"/>
      <c r="E2404" s="3"/>
      <c r="F2404" s="3"/>
      <c r="G2404" s="3"/>
      <c r="H2404" s="11"/>
      <c r="I2404" s="12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14"/>
      <c r="X2404" s="3"/>
      <c r="Y2404" s="14"/>
      <c r="Z2404" s="3"/>
      <c r="AA2404" s="3"/>
      <c r="AB2404" s="3"/>
      <c r="AC2404" s="3"/>
      <c r="AD2404" s="3"/>
      <c r="AE2404" s="3"/>
      <c r="AF2404" s="3"/>
      <c r="AG2404" s="3"/>
      <c r="AH2404" s="3"/>
    </row>
    <row r="2405" spans="1:34" ht="14.25" customHeight="1" x14ac:dyDescent="0.25">
      <c r="A2405" s="3"/>
      <c r="B2405" s="3"/>
      <c r="C2405" s="3"/>
      <c r="D2405" s="3"/>
      <c r="E2405" s="3"/>
      <c r="F2405" s="3"/>
      <c r="G2405" s="14"/>
      <c r="H2405" s="11"/>
      <c r="I2405" s="12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14"/>
      <c r="X2405" s="3"/>
      <c r="Y2405" s="14"/>
      <c r="Z2405" s="3"/>
      <c r="AA2405" s="3"/>
      <c r="AB2405" s="3"/>
      <c r="AC2405" s="3"/>
      <c r="AD2405" s="3"/>
      <c r="AE2405" s="3"/>
      <c r="AF2405" s="3"/>
      <c r="AG2405" s="3"/>
      <c r="AH2405" s="3"/>
    </row>
    <row r="2406" spans="1:34" ht="14.25" customHeight="1" x14ac:dyDescent="0.25">
      <c r="A2406" s="3"/>
      <c r="B2406" s="3"/>
      <c r="C2406" s="3"/>
      <c r="D2406" s="3"/>
      <c r="E2406" s="3"/>
      <c r="F2406" s="3"/>
      <c r="G2406" s="3"/>
      <c r="H2406" s="11"/>
      <c r="I2406" s="12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14"/>
      <c r="X2406" s="3"/>
      <c r="Y2406" s="14"/>
      <c r="Z2406" s="3"/>
      <c r="AA2406" s="3"/>
      <c r="AB2406" s="3"/>
      <c r="AC2406" s="3"/>
      <c r="AD2406" s="3"/>
      <c r="AE2406" s="3"/>
      <c r="AF2406" s="3"/>
      <c r="AG2406" s="3"/>
      <c r="AH2406" s="3"/>
    </row>
    <row r="2407" spans="1:34" ht="14.25" customHeight="1" x14ac:dyDescent="0.25">
      <c r="A2407" s="3"/>
      <c r="B2407" s="3"/>
      <c r="C2407" s="3"/>
      <c r="D2407" s="3"/>
      <c r="E2407" s="3"/>
      <c r="F2407" s="3"/>
      <c r="G2407" s="14"/>
      <c r="H2407" s="11"/>
      <c r="I2407" s="12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14"/>
      <c r="X2407" s="3"/>
      <c r="Y2407" s="14"/>
      <c r="Z2407" s="3"/>
      <c r="AA2407" s="3"/>
      <c r="AB2407" s="3"/>
      <c r="AC2407" s="3"/>
      <c r="AD2407" s="3"/>
      <c r="AE2407" s="3"/>
      <c r="AF2407" s="3"/>
      <c r="AG2407" s="3"/>
      <c r="AH2407" s="3"/>
    </row>
    <row r="2408" spans="1:34" ht="14.25" customHeight="1" x14ac:dyDescent="0.25">
      <c r="A2408" s="3"/>
      <c r="B2408" s="3"/>
      <c r="C2408" s="3"/>
      <c r="D2408" s="3"/>
      <c r="E2408" s="3"/>
      <c r="F2408" s="3"/>
      <c r="G2408" s="14"/>
      <c r="H2408" s="11"/>
      <c r="I2408" s="12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14"/>
      <c r="X2408" s="3"/>
      <c r="Y2408" s="14"/>
      <c r="Z2408" s="3"/>
      <c r="AA2408" s="3"/>
      <c r="AB2408" s="3"/>
      <c r="AC2408" s="3"/>
      <c r="AD2408" s="3"/>
      <c r="AE2408" s="3"/>
      <c r="AF2408" s="3"/>
      <c r="AG2408" s="3"/>
      <c r="AH2408" s="3"/>
    </row>
    <row r="2409" spans="1:34" ht="14.25" customHeight="1" x14ac:dyDescent="0.25">
      <c r="A2409" s="3"/>
      <c r="B2409" s="3"/>
      <c r="C2409" s="3"/>
      <c r="D2409" s="3"/>
      <c r="E2409" s="3"/>
      <c r="F2409" s="3"/>
      <c r="G2409" s="14"/>
      <c r="H2409" s="11"/>
      <c r="I2409" s="12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14"/>
      <c r="X2409" s="3"/>
      <c r="Y2409" s="14"/>
      <c r="Z2409" s="3"/>
      <c r="AA2409" s="3"/>
      <c r="AB2409" s="3"/>
      <c r="AC2409" s="3"/>
      <c r="AD2409" s="3"/>
      <c r="AE2409" s="3"/>
      <c r="AF2409" s="3"/>
      <c r="AG2409" s="3"/>
      <c r="AH2409" s="3"/>
    </row>
    <row r="2410" spans="1:34" ht="14.25" customHeight="1" x14ac:dyDescent="0.25">
      <c r="A2410" s="3"/>
      <c r="B2410" s="3"/>
      <c r="C2410" s="3"/>
      <c r="D2410" s="3"/>
      <c r="E2410" s="3"/>
      <c r="F2410" s="3"/>
      <c r="G2410" s="14"/>
      <c r="H2410" s="11"/>
      <c r="I2410" s="12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14"/>
      <c r="X2410" s="3"/>
      <c r="Y2410" s="14"/>
      <c r="Z2410" s="3"/>
      <c r="AA2410" s="3"/>
      <c r="AB2410" s="3"/>
      <c r="AC2410" s="3"/>
      <c r="AD2410" s="3"/>
      <c r="AE2410" s="3"/>
      <c r="AF2410" s="3"/>
      <c r="AG2410" s="3"/>
      <c r="AH2410" s="3"/>
    </row>
    <row r="2411" spans="1:34" ht="14.25" customHeight="1" x14ac:dyDescent="0.25">
      <c r="A2411" s="3"/>
      <c r="B2411" s="3"/>
      <c r="C2411" s="3"/>
      <c r="D2411" s="3"/>
      <c r="E2411" s="3"/>
      <c r="F2411" s="3"/>
      <c r="G2411" s="14"/>
      <c r="H2411" s="11"/>
      <c r="I2411" s="12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14"/>
      <c r="X2411" s="3"/>
      <c r="Y2411" s="14"/>
      <c r="Z2411" s="3"/>
      <c r="AA2411" s="3"/>
      <c r="AB2411" s="3"/>
      <c r="AC2411" s="3"/>
      <c r="AD2411" s="3"/>
      <c r="AE2411" s="3"/>
      <c r="AF2411" s="3"/>
      <c r="AG2411" s="3"/>
      <c r="AH2411" s="3"/>
    </row>
    <row r="2412" spans="1:34" ht="14.25" customHeight="1" x14ac:dyDescent="0.25">
      <c r="A2412" s="3"/>
      <c r="B2412" s="3"/>
      <c r="C2412" s="3"/>
      <c r="D2412" s="3"/>
      <c r="E2412" s="3"/>
      <c r="F2412" s="3"/>
      <c r="G2412" s="14"/>
      <c r="H2412" s="11"/>
      <c r="I2412" s="12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14"/>
      <c r="X2412" s="3"/>
      <c r="Y2412" s="14"/>
      <c r="Z2412" s="3"/>
      <c r="AA2412" s="3"/>
      <c r="AB2412" s="3"/>
      <c r="AC2412" s="3"/>
      <c r="AD2412" s="3"/>
      <c r="AE2412" s="3"/>
      <c r="AF2412" s="3"/>
      <c r="AG2412" s="3"/>
      <c r="AH2412" s="3"/>
    </row>
    <row r="2413" spans="1:34" ht="14.25" customHeight="1" x14ac:dyDescent="0.25">
      <c r="A2413" s="3"/>
      <c r="B2413" s="3"/>
      <c r="C2413" s="3"/>
      <c r="D2413" s="3"/>
      <c r="E2413" s="3"/>
      <c r="F2413" s="3"/>
      <c r="G2413" s="14"/>
      <c r="H2413" s="11"/>
      <c r="I2413" s="12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14"/>
      <c r="X2413" s="3"/>
      <c r="Y2413" s="14"/>
      <c r="Z2413" s="3"/>
      <c r="AA2413" s="3"/>
      <c r="AB2413" s="3"/>
      <c r="AC2413" s="3"/>
      <c r="AD2413" s="3"/>
      <c r="AE2413" s="3"/>
      <c r="AF2413" s="3"/>
      <c r="AG2413" s="3"/>
      <c r="AH2413" s="3"/>
    </row>
    <row r="2414" spans="1:34" ht="14.25" customHeight="1" x14ac:dyDescent="0.25">
      <c r="A2414" s="3"/>
      <c r="B2414" s="3"/>
      <c r="C2414" s="3"/>
      <c r="D2414" s="3"/>
      <c r="E2414" s="3"/>
      <c r="F2414" s="3"/>
      <c r="G2414" s="3"/>
      <c r="H2414" s="11"/>
      <c r="I2414" s="12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14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</row>
    <row r="2415" spans="1:34" ht="14.25" customHeight="1" x14ac:dyDescent="0.25">
      <c r="A2415" s="3"/>
      <c r="B2415" s="3"/>
      <c r="C2415" s="3"/>
      <c r="D2415" s="3"/>
      <c r="E2415" s="3"/>
      <c r="F2415" s="3"/>
      <c r="G2415" s="14"/>
      <c r="H2415" s="11"/>
      <c r="I2415" s="12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14"/>
      <c r="X2415" s="3"/>
      <c r="Y2415" s="14"/>
      <c r="Z2415" s="3"/>
      <c r="AA2415" s="3"/>
      <c r="AB2415" s="3"/>
      <c r="AC2415" s="3"/>
      <c r="AD2415" s="3"/>
      <c r="AE2415" s="3"/>
      <c r="AF2415" s="3"/>
      <c r="AG2415" s="3"/>
      <c r="AH2415" s="3"/>
    </row>
    <row r="2416" spans="1:34" ht="14.25" customHeight="1" x14ac:dyDescent="0.25">
      <c r="A2416" s="3"/>
      <c r="B2416" s="3"/>
      <c r="C2416" s="3"/>
      <c r="D2416" s="3"/>
      <c r="E2416" s="3"/>
      <c r="F2416" s="3"/>
      <c r="G2416" s="14"/>
      <c r="H2416" s="11"/>
      <c r="I2416" s="12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14"/>
      <c r="X2416" s="3"/>
      <c r="Y2416" s="14"/>
      <c r="Z2416" s="3"/>
      <c r="AA2416" s="3"/>
      <c r="AB2416" s="3"/>
      <c r="AC2416" s="3"/>
      <c r="AD2416" s="3"/>
      <c r="AE2416" s="3"/>
      <c r="AF2416" s="3"/>
      <c r="AG2416" s="3"/>
      <c r="AH2416" s="3"/>
    </row>
    <row r="2417" spans="1:34" ht="14.25" customHeight="1" x14ac:dyDescent="0.25">
      <c r="A2417" s="3"/>
      <c r="B2417" s="3"/>
      <c r="C2417" s="3"/>
      <c r="D2417" s="3"/>
      <c r="E2417" s="3"/>
      <c r="F2417" s="3"/>
      <c r="G2417" s="14"/>
      <c r="H2417" s="11"/>
      <c r="I2417" s="12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14"/>
      <c r="X2417" s="3"/>
      <c r="Y2417" s="14"/>
      <c r="Z2417" s="3"/>
      <c r="AA2417" s="3"/>
      <c r="AB2417" s="3"/>
      <c r="AC2417" s="3"/>
      <c r="AD2417" s="3"/>
      <c r="AE2417" s="3"/>
      <c r="AF2417" s="3"/>
      <c r="AG2417" s="3"/>
      <c r="AH2417" s="3"/>
    </row>
    <row r="2418" spans="1:34" ht="14.25" customHeight="1" x14ac:dyDescent="0.25">
      <c r="A2418" s="3"/>
      <c r="B2418" s="3"/>
      <c r="C2418" s="3"/>
      <c r="D2418" s="3"/>
      <c r="E2418" s="3"/>
      <c r="F2418" s="3"/>
      <c r="G2418" s="14"/>
      <c r="H2418" s="11"/>
      <c r="I2418" s="12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14"/>
      <c r="X2418" s="3"/>
      <c r="Y2418" s="14"/>
      <c r="Z2418" s="3"/>
      <c r="AA2418" s="3"/>
      <c r="AB2418" s="3"/>
      <c r="AC2418" s="3"/>
      <c r="AD2418" s="3"/>
      <c r="AE2418" s="3"/>
      <c r="AF2418" s="3"/>
      <c r="AG2418" s="3"/>
      <c r="AH2418" s="3"/>
    </row>
    <row r="2419" spans="1:34" ht="14.25" customHeight="1" x14ac:dyDescent="0.25">
      <c r="A2419" s="3"/>
      <c r="B2419" s="3"/>
      <c r="C2419" s="3"/>
      <c r="D2419" s="3"/>
      <c r="E2419" s="3"/>
      <c r="F2419" s="3"/>
      <c r="G2419" s="3"/>
      <c r="H2419" s="11"/>
      <c r="I2419" s="12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14"/>
      <c r="X2419" s="3"/>
      <c r="Y2419" s="14"/>
      <c r="Z2419" s="3"/>
      <c r="AA2419" s="3"/>
      <c r="AB2419" s="3"/>
      <c r="AC2419" s="3"/>
      <c r="AD2419" s="3"/>
      <c r="AE2419" s="3"/>
      <c r="AF2419" s="3"/>
      <c r="AG2419" s="3"/>
      <c r="AH2419" s="3"/>
    </row>
    <row r="2420" spans="1:34" ht="14.25" customHeight="1" x14ac:dyDescent="0.25">
      <c r="A2420" s="3"/>
      <c r="B2420" s="3"/>
      <c r="C2420" s="3"/>
      <c r="D2420" s="3"/>
      <c r="E2420" s="3"/>
      <c r="F2420" s="3"/>
      <c r="G2420" s="14"/>
      <c r="H2420" s="11"/>
      <c r="I2420" s="12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14"/>
      <c r="X2420" s="3"/>
      <c r="Y2420" s="14"/>
      <c r="Z2420" s="3"/>
      <c r="AA2420" s="3"/>
      <c r="AB2420" s="3"/>
      <c r="AC2420" s="3"/>
      <c r="AD2420" s="3"/>
      <c r="AE2420" s="3"/>
      <c r="AF2420" s="3"/>
      <c r="AG2420" s="3"/>
      <c r="AH2420" s="3"/>
    </row>
    <row r="2421" spans="1:34" ht="14.25" customHeight="1" x14ac:dyDescent="0.25">
      <c r="A2421" s="3"/>
      <c r="B2421" s="3"/>
      <c r="C2421" s="3"/>
      <c r="D2421" s="3"/>
      <c r="E2421" s="3"/>
      <c r="F2421" s="3"/>
      <c r="G2421" s="14"/>
      <c r="H2421" s="11"/>
      <c r="I2421" s="12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14"/>
      <c r="X2421" s="3"/>
      <c r="Y2421" s="14"/>
      <c r="Z2421" s="3"/>
      <c r="AA2421" s="3"/>
      <c r="AB2421" s="3"/>
      <c r="AC2421" s="3"/>
      <c r="AD2421" s="3"/>
      <c r="AE2421" s="3"/>
      <c r="AF2421" s="3"/>
      <c r="AG2421" s="3"/>
      <c r="AH2421" s="3"/>
    </row>
    <row r="2422" spans="1:34" ht="14.25" customHeight="1" x14ac:dyDescent="0.25">
      <c r="A2422" s="3"/>
      <c r="B2422" s="3"/>
      <c r="C2422" s="3"/>
      <c r="D2422" s="3"/>
      <c r="E2422" s="3"/>
      <c r="F2422" s="3"/>
      <c r="G2422" s="3"/>
      <c r="H2422" s="11"/>
      <c r="I2422" s="12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14"/>
      <c r="X2422" s="3"/>
      <c r="Y2422" s="14"/>
      <c r="Z2422" s="3"/>
      <c r="AA2422" s="3"/>
      <c r="AB2422" s="3"/>
      <c r="AC2422" s="3"/>
      <c r="AD2422" s="3"/>
      <c r="AE2422" s="3"/>
      <c r="AF2422" s="3"/>
      <c r="AG2422" s="3"/>
      <c r="AH2422" s="3"/>
    </row>
    <row r="2423" spans="1:34" ht="14.25" customHeight="1" x14ac:dyDescent="0.25">
      <c r="A2423" s="3"/>
      <c r="B2423" s="3"/>
      <c r="C2423" s="3"/>
      <c r="D2423" s="3"/>
      <c r="E2423" s="3"/>
      <c r="F2423" s="3"/>
      <c r="G2423" s="14"/>
      <c r="H2423" s="11"/>
      <c r="I2423" s="12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14"/>
      <c r="X2423" s="3"/>
      <c r="Y2423" s="14"/>
      <c r="Z2423" s="3"/>
      <c r="AA2423" s="3"/>
      <c r="AB2423" s="3"/>
      <c r="AC2423" s="3"/>
      <c r="AD2423" s="3"/>
      <c r="AE2423" s="3"/>
      <c r="AF2423" s="3"/>
      <c r="AG2423" s="3"/>
      <c r="AH2423" s="3"/>
    </row>
    <row r="2424" spans="1:34" ht="14.25" customHeight="1" x14ac:dyDescent="0.25">
      <c r="A2424" s="3"/>
      <c r="B2424" s="3"/>
      <c r="C2424" s="3"/>
      <c r="D2424" s="3"/>
      <c r="E2424" s="3"/>
      <c r="F2424" s="3"/>
      <c r="G2424" s="14"/>
      <c r="H2424" s="11"/>
      <c r="I2424" s="12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14"/>
      <c r="X2424" s="3"/>
      <c r="Y2424" s="14"/>
      <c r="Z2424" s="3"/>
      <c r="AA2424" s="3"/>
      <c r="AB2424" s="3"/>
      <c r="AC2424" s="3"/>
      <c r="AD2424" s="3"/>
      <c r="AE2424" s="3"/>
      <c r="AF2424" s="3"/>
      <c r="AG2424" s="3"/>
      <c r="AH2424" s="3"/>
    </row>
    <row r="2425" spans="1:34" ht="14.25" customHeight="1" x14ac:dyDescent="0.25">
      <c r="A2425" s="3"/>
      <c r="B2425" s="3"/>
      <c r="C2425" s="3"/>
      <c r="D2425" s="3"/>
      <c r="E2425" s="3"/>
      <c r="F2425" s="3"/>
      <c r="G2425" s="14"/>
      <c r="H2425" s="11"/>
      <c r="I2425" s="12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14"/>
      <c r="X2425" s="3"/>
      <c r="Y2425" s="14"/>
      <c r="Z2425" s="3"/>
      <c r="AA2425" s="3"/>
      <c r="AB2425" s="3"/>
      <c r="AC2425" s="3"/>
      <c r="AD2425" s="3"/>
      <c r="AE2425" s="3"/>
      <c r="AF2425" s="3"/>
      <c r="AG2425" s="3"/>
      <c r="AH2425" s="3"/>
    </row>
    <row r="2426" spans="1:34" ht="14.25" customHeight="1" x14ac:dyDescent="0.25">
      <c r="A2426" s="3"/>
      <c r="B2426" s="3"/>
      <c r="C2426" s="3"/>
      <c r="D2426" s="3"/>
      <c r="E2426" s="3"/>
      <c r="F2426" s="3"/>
      <c r="G2426" s="3"/>
      <c r="H2426" s="11"/>
      <c r="I2426" s="12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14"/>
      <c r="X2426" s="3"/>
      <c r="Y2426" s="14"/>
      <c r="Z2426" s="3"/>
      <c r="AA2426" s="3"/>
      <c r="AB2426" s="3"/>
      <c r="AC2426" s="3"/>
      <c r="AD2426" s="3"/>
      <c r="AE2426" s="3"/>
      <c r="AF2426" s="3"/>
      <c r="AG2426" s="3"/>
      <c r="AH2426" s="3"/>
    </row>
    <row r="2427" spans="1:34" ht="14.25" customHeight="1" x14ac:dyDescent="0.25">
      <c r="A2427" s="3"/>
      <c r="B2427" s="3"/>
      <c r="C2427" s="3"/>
      <c r="D2427" s="3"/>
      <c r="E2427" s="3"/>
      <c r="F2427" s="3"/>
      <c r="G2427" s="14"/>
      <c r="H2427" s="11"/>
      <c r="I2427" s="12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14"/>
      <c r="X2427" s="3"/>
      <c r="Y2427" s="14"/>
      <c r="Z2427" s="3"/>
      <c r="AA2427" s="3"/>
      <c r="AB2427" s="3"/>
      <c r="AC2427" s="3"/>
      <c r="AD2427" s="3"/>
      <c r="AE2427" s="3"/>
      <c r="AF2427" s="3"/>
      <c r="AG2427" s="3"/>
      <c r="AH2427" s="3"/>
    </row>
    <row r="2428" spans="1:34" ht="14.25" customHeight="1" x14ac:dyDescent="0.25">
      <c r="A2428" s="3"/>
      <c r="B2428" s="3"/>
      <c r="C2428" s="3"/>
      <c r="D2428" s="3"/>
      <c r="E2428" s="3"/>
      <c r="F2428" s="3"/>
      <c r="G2428" s="14"/>
      <c r="H2428" s="11"/>
      <c r="I2428" s="12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14"/>
      <c r="X2428" s="3"/>
      <c r="Y2428" s="14"/>
      <c r="Z2428" s="3"/>
      <c r="AA2428" s="3"/>
      <c r="AB2428" s="3"/>
      <c r="AC2428" s="3"/>
      <c r="AD2428" s="3"/>
      <c r="AE2428" s="3"/>
      <c r="AF2428" s="3"/>
      <c r="AG2428" s="3"/>
      <c r="AH2428" s="3"/>
    </row>
    <row r="2429" spans="1:34" ht="14.25" customHeight="1" x14ac:dyDescent="0.25">
      <c r="A2429" s="3"/>
      <c r="B2429" s="3"/>
      <c r="C2429" s="3"/>
      <c r="D2429" s="3"/>
      <c r="E2429" s="3"/>
      <c r="F2429" s="3"/>
      <c r="G2429" s="3"/>
      <c r="H2429" s="11"/>
      <c r="I2429" s="12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14"/>
      <c r="X2429" s="3"/>
      <c r="Y2429" s="14"/>
      <c r="Z2429" s="3"/>
      <c r="AA2429" s="3"/>
      <c r="AB2429" s="3"/>
      <c r="AC2429" s="3"/>
      <c r="AD2429" s="3"/>
      <c r="AE2429" s="3"/>
      <c r="AF2429" s="3"/>
      <c r="AG2429" s="3"/>
      <c r="AH2429" s="3"/>
    </row>
    <row r="2430" spans="1:34" ht="14.25" customHeight="1" x14ac:dyDescent="0.25">
      <c r="A2430" s="3"/>
      <c r="B2430" s="3"/>
      <c r="C2430" s="3"/>
      <c r="D2430" s="3"/>
      <c r="E2430" s="3"/>
      <c r="F2430" s="3"/>
      <c r="G2430" s="14"/>
      <c r="H2430" s="11"/>
      <c r="I2430" s="12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14"/>
      <c r="X2430" s="3"/>
      <c r="Y2430" s="14"/>
      <c r="Z2430" s="3"/>
      <c r="AA2430" s="3"/>
      <c r="AB2430" s="3"/>
      <c r="AC2430" s="3"/>
      <c r="AD2430" s="3"/>
      <c r="AE2430" s="3"/>
      <c r="AF2430" s="3"/>
      <c r="AG2430" s="3"/>
      <c r="AH2430" s="3"/>
    </row>
    <row r="2431" spans="1:34" ht="14.25" customHeight="1" x14ac:dyDescent="0.25">
      <c r="A2431" s="3"/>
      <c r="B2431" s="3"/>
      <c r="C2431" s="3"/>
      <c r="D2431" s="3"/>
      <c r="E2431" s="3"/>
      <c r="F2431" s="3"/>
      <c r="G2431" s="14"/>
      <c r="H2431" s="11"/>
      <c r="I2431" s="12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14"/>
      <c r="X2431" s="3"/>
      <c r="Y2431" s="14"/>
      <c r="Z2431" s="3"/>
      <c r="AA2431" s="3"/>
      <c r="AB2431" s="3"/>
      <c r="AC2431" s="3"/>
      <c r="AD2431" s="3"/>
      <c r="AE2431" s="3"/>
      <c r="AF2431" s="3"/>
      <c r="AG2431" s="3"/>
      <c r="AH2431" s="3"/>
    </row>
    <row r="2432" spans="1:34" ht="14.25" customHeight="1" x14ac:dyDescent="0.25">
      <c r="A2432" s="3"/>
      <c r="B2432" s="3"/>
      <c r="C2432" s="3"/>
      <c r="D2432" s="3"/>
      <c r="E2432" s="3"/>
      <c r="F2432" s="3"/>
      <c r="G2432" s="14"/>
      <c r="H2432" s="11"/>
      <c r="I2432" s="12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14"/>
      <c r="X2432" s="3"/>
      <c r="Y2432" s="14"/>
      <c r="Z2432" s="3"/>
      <c r="AA2432" s="3"/>
      <c r="AB2432" s="3"/>
      <c r="AC2432" s="3"/>
      <c r="AD2432" s="3"/>
      <c r="AE2432" s="3"/>
      <c r="AF2432" s="3"/>
      <c r="AG2432" s="3"/>
      <c r="AH2432" s="3"/>
    </row>
    <row r="2433" spans="1:34" ht="14.25" customHeight="1" x14ac:dyDescent="0.25">
      <c r="A2433" s="3"/>
      <c r="B2433" s="3"/>
      <c r="C2433" s="3"/>
      <c r="D2433" s="3"/>
      <c r="E2433" s="3"/>
      <c r="F2433" s="3"/>
      <c r="G2433" s="3"/>
      <c r="H2433" s="11"/>
      <c r="I2433" s="12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14"/>
      <c r="X2433" s="3"/>
      <c r="Y2433" s="14"/>
      <c r="Z2433" s="3"/>
      <c r="AA2433" s="3"/>
      <c r="AB2433" s="3"/>
      <c r="AC2433" s="3"/>
      <c r="AD2433" s="3"/>
      <c r="AE2433" s="3"/>
      <c r="AF2433" s="3"/>
      <c r="AG2433" s="3"/>
      <c r="AH2433" s="3"/>
    </row>
    <row r="2434" spans="1:34" ht="14.25" customHeight="1" x14ac:dyDescent="0.25">
      <c r="A2434" s="3"/>
      <c r="B2434" s="3"/>
      <c r="C2434" s="3"/>
      <c r="D2434" s="3"/>
      <c r="E2434" s="3"/>
      <c r="F2434" s="3"/>
      <c r="G2434" s="3"/>
      <c r="H2434" s="11"/>
      <c r="I2434" s="12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14"/>
      <c r="X2434" s="3"/>
      <c r="Y2434" s="14"/>
      <c r="Z2434" s="3"/>
      <c r="AA2434" s="3"/>
      <c r="AB2434" s="3"/>
      <c r="AC2434" s="3"/>
      <c r="AD2434" s="3"/>
      <c r="AE2434" s="3"/>
      <c r="AF2434" s="3"/>
      <c r="AG2434" s="3"/>
      <c r="AH2434" s="3"/>
    </row>
    <row r="2435" spans="1:34" ht="14.25" customHeight="1" x14ac:dyDescent="0.25">
      <c r="A2435" s="3"/>
      <c r="B2435" s="3"/>
      <c r="C2435" s="3"/>
      <c r="D2435" s="3"/>
      <c r="E2435" s="3"/>
      <c r="F2435" s="3"/>
      <c r="G2435" s="14"/>
      <c r="H2435" s="11"/>
      <c r="I2435" s="12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14"/>
      <c r="X2435" s="3"/>
      <c r="Y2435" s="14"/>
      <c r="Z2435" s="3"/>
      <c r="AA2435" s="3"/>
      <c r="AB2435" s="3"/>
      <c r="AC2435" s="3"/>
      <c r="AD2435" s="3"/>
      <c r="AE2435" s="3"/>
      <c r="AF2435" s="3"/>
      <c r="AG2435" s="3"/>
      <c r="AH2435" s="3"/>
    </row>
    <row r="2436" spans="1:34" ht="14.25" customHeight="1" x14ac:dyDescent="0.25">
      <c r="A2436" s="3"/>
      <c r="B2436" s="3"/>
      <c r="C2436" s="3"/>
      <c r="D2436" s="3"/>
      <c r="E2436" s="3"/>
      <c r="F2436" s="3"/>
      <c r="G2436" s="3"/>
      <c r="H2436" s="11"/>
      <c r="I2436" s="12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14"/>
      <c r="X2436" s="3"/>
      <c r="Y2436" s="14"/>
      <c r="Z2436" s="3"/>
      <c r="AA2436" s="3"/>
      <c r="AB2436" s="3"/>
      <c r="AC2436" s="3"/>
      <c r="AD2436" s="3"/>
      <c r="AE2436" s="3"/>
      <c r="AF2436" s="3"/>
      <c r="AG2436" s="3"/>
      <c r="AH2436" s="3"/>
    </row>
    <row r="2437" spans="1:34" ht="14.25" customHeight="1" x14ac:dyDescent="0.25">
      <c r="A2437" s="3"/>
      <c r="B2437" s="3"/>
      <c r="C2437" s="3"/>
      <c r="D2437" s="3"/>
      <c r="E2437" s="3"/>
      <c r="F2437" s="3"/>
      <c r="G2437" s="14"/>
      <c r="H2437" s="11"/>
      <c r="I2437" s="12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14"/>
      <c r="X2437" s="3"/>
      <c r="Y2437" s="14"/>
      <c r="Z2437" s="3"/>
      <c r="AA2437" s="3"/>
      <c r="AB2437" s="3"/>
      <c r="AC2437" s="3"/>
      <c r="AD2437" s="3"/>
      <c r="AE2437" s="3"/>
      <c r="AF2437" s="3"/>
      <c r="AG2437" s="3"/>
      <c r="AH2437" s="3"/>
    </row>
    <row r="2438" spans="1:34" ht="14.25" customHeight="1" x14ac:dyDescent="0.25">
      <c r="A2438" s="3"/>
      <c r="B2438" s="3"/>
      <c r="C2438" s="3"/>
      <c r="D2438" s="3"/>
      <c r="E2438" s="3"/>
      <c r="F2438" s="3"/>
      <c r="G2438" s="14"/>
      <c r="H2438" s="11"/>
      <c r="I2438" s="12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14"/>
      <c r="X2438" s="3"/>
      <c r="Y2438" s="14"/>
      <c r="Z2438" s="3"/>
      <c r="AA2438" s="3"/>
      <c r="AB2438" s="3"/>
      <c r="AC2438" s="3"/>
      <c r="AD2438" s="3"/>
      <c r="AE2438" s="3"/>
      <c r="AF2438" s="3"/>
      <c r="AG2438" s="3"/>
      <c r="AH2438" s="3"/>
    </row>
    <row r="2439" spans="1:34" ht="14.25" customHeight="1" x14ac:dyDescent="0.25">
      <c r="A2439" s="3"/>
      <c r="B2439" s="3"/>
      <c r="C2439" s="3"/>
      <c r="D2439" s="3"/>
      <c r="E2439" s="3"/>
      <c r="F2439" s="3"/>
      <c r="G2439" s="14"/>
      <c r="H2439" s="11"/>
      <c r="I2439" s="12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14"/>
      <c r="X2439" s="3"/>
      <c r="Y2439" s="14"/>
      <c r="Z2439" s="3"/>
      <c r="AA2439" s="3"/>
      <c r="AB2439" s="3"/>
      <c r="AC2439" s="3"/>
      <c r="AD2439" s="3"/>
      <c r="AE2439" s="3"/>
      <c r="AF2439" s="3"/>
      <c r="AG2439" s="3"/>
      <c r="AH2439" s="3"/>
    </row>
    <row r="2440" spans="1:34" ht="14.25" customHeight="1" x14ac:dyDescent="0.25">
      <c r="A2440" s="3"/>
      <c r="B2440" s="3"/>
      <c r="C2440" s="3"/>
      <c r="D2440" s="3"/>
      <c r="E2440" s="3"/>
      <c r="F2440" s="3"/>
      <c r="G2440" s="14"/>
      <c r="H2440" s="11"/>
      <c r="I2440" s="12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14"/>
      <c r="X2440" s="3"/>
      <c r="Y2440" s="14"/>
      <c r="Z2440" s="3"/>
      <c r="AA2440" s="3"/>
      <c r="AB2440" s="3"/>
      <c r="AC2440" s="3"/>
      <c r="AD2440" s="3"/>
      <c r="AE2440" s="3"/>
      <c r="AF2440" s="3"/>
      <c r="AG2440" s="3"/>
      <c r="AH2440" s="3"/>
    </row>
    <row r="2441" spans="1:34" ht="14.25" customHeight="1" x14ac:dyDescent="0.25">
      <c r="A2441" s="3"/>
      <c r="B2441" s="3"/>
      <c r="C2441" s="3"/>
      <c r="D2441" s="3"/>
      <c r="E2441" s="3"/>
      <c r="F2441" s="3"/>
      <c r="G2441" s="14"/>
      <c r="H2441" s="11"/>
      <c r="I2441" s="12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14"/>
      <c r="X2441" s="3"/>
      <c r="Y2441" s="14"/>
      <c r="Z2441" s="3"/>
      <c r="AA2441" s="3"/>
      <c r="AB2441" s="3"/>
      <c r="AC2441" s="3"/>
      <c r="AD2441" s="3"/>
      <c r="AE2441" s="3"/>
      <c r="AF2441" s="3"/>
      <c r="AG2441" s="3"/>
      <c r="AH2441" s="3"/>
    </row>
    <row r="2442" spans="1:34" ht="14.25" customHeight="1" x14ac:dyDescent="0.25">
      <c r="A2442" s="3"/>
      <c r="B2442" s="3"/>
      <c r="C2442" s="3"/>
      <c r="D2442" s="3"/>
      <c r="E2442" s="3"/>
      <c r="F2442" s="3"/>
      <c r="G2442" s="14"/>
      <c r="H2442" s="11"/>
      <c r="I2442" s="12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14"/>
      <c r="X2442" s="3"/>
      <c r="Y2442" s="14"/>
      <c r="Z2442" s="3"/>
      <c r="AA2442" s="3"/>
      <c r="AB2442" s="3"/>
      <c r="AC2442" s="3"/>
      <c r="AD2442" s="3"/>
      <c r="AE2442" s="3"/>
      <c r="AF2442" s="3"/>
      <c r="AG2442" s="3"/>
      <c r="AH2442" s="3"/>
    </row>
    <row r="2443" spans="1:34" ht="14.25" customHeight="1" x14ac:dyDescent="0.25">
      <c r="A2443" s="3"/>
      <c r="B2443" s="3"/>
      <c r="C2443" s="3"/>
      <c r="D2443" s="3"/>
      <c r="E2443" s="3"/>
      <c r="F2443" s="3"/>
      <c r="G2443" s="14"/>
      <c r="H2443" s="11"/>
      <c r="I2443" s="12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14"/>
      <c r="X2443" s="3"/>
      <c r="Y2443" s="14"/>
      <c r="Z2443" s="3"/>
      <c r="AA2443" s="3"/>
      <c r="AB2443" s="3"/>
      <c r="AC2443" s="3"/>
      <c r="AD2443" s="3"/>
      <c r="AE2443" s="3"/>
      <c r="AF2443" s="3"/>
      <c r="AG2443" s="3"/>
      <c r="AH2443" s="3"/>
    </row>
    <row r="2444" spans="1:34" ht="14.25" customHeight="1" x14ac:dyDescent="0.25">
      <c r="A2444" s="3"/>
      <c r="B2444" s="3"/>
      <c r="C2444" s="3"/>
      <c r="D2444" s="3"/>
      <c r="E2444" s="3"/>
      <c r="F2444" s="3"/>
      <c r="G2444" s="14"/>
      <c r="H2444" s="11"/>
      <c r="I2444" s="12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14"/>
      <c r="X2444" s="3"/>
      <c r="Y2444" s="14"/>
      <c r="Z2444" s="3"/>
      <c r="AA2444" s="3"/>
      <c r="AB2444" s="3"/>
      <c r="AC2444" s="3"/>
      <c r="AD2444" s="3"/>
      <c r="AE2444" s="3"/>
      <c r="AF2444" s="3"/>
      <c r="AG2444" s="3"/>
      <c r="AH2444" s="3"/>
    </row>
    <row r="2445" spans="1:34" ht="14.25" customHeight="1" x14ac:dyDescent="0.25">
      <c r="A2445" s="3"/>
      <c r="B2445" s="3"/>
      <c r="C2445" s="3"/>
      <c r="D2445" s="3"/>
      <c r="E2445" s="3"/>
      <c r="F2445" s="3"/>
      <c r="G2445" s="3"/>
      <c r="H2445" s="11"/>
      <c r="I2445" s="12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14"/>
      <c r="X2445" s="3"/>
      <c r="Y2445" s="14"/>
      <c r="Z2445" s="3"/>
      <c r="AA2445" s="3"/>
      <c r="AB2445" s="3"/>
      <c r="AC2445" s="3"/>
      <c r="AD2445" s="3"/>
      <c r="AE2445" s="3"/>
      <c r="AF2445" s="3"/>
      <c r="AG2445" s="3"/>
      <c r="AH2445" s="3"/>
    </row>
    <row r="2446" spans="1:34" ht="14.25" customHeight="1" x14ac:dyDescent="0.25">
      <c r="A2446" s="3"/>
      <c r="B2446" s="3"/>
      <c r="C2446" s="3"/>
      <c r="D2446" s="3"/>
      <c r="E2446" s="3"/>
      <c r="F2446" s="3"/>
      <c r="G2446" s="3"/>
      <c r="H2446" s="11"/>
      <c r="I2446" s="12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14"/>
      <c r="X2446" s="3"/>
      <c r="Y2446" s="14"/>
      <c r="Z2446" s="3"/>
      <c r="AA2446" s="3"/>
      <c r="AB2446" s="3"/>
      <c r="AC2446" s="3"/>
      <c r="AD2446" s="3"/>
      <c r="AE2446" s="3"/>
      <c r="AF2446" s="3"/>
      <c r="AG2446" s="3"/>
      <c r="AH2446" s="3"/>
    </row>
    <row r="2447" spans="1:34" ht="14.25" customHeight="1" x14ac:dyDescent="0.25">
      <c r="A2447" s="3"/>
      <c r="B2447" s="3"/>
      <c r="C2447" s="3"/>
      <c r="D2447" s="3"/>
      <c r="E2447" s="3"/>
      <c r="F2447" s="3"/>
      <c r="G2447" s="3"/>
      <c r="H2447" s="11"/>
      <c r="I2447" s="12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14"/>
      <c r="X2447" s="3"/>
      <c r="Y2447" s="14"/>
      <c r="Z2447" s="3"/>
      <c r="AA2447" s="3"/>
      <c r="AB2447" s="3"/>
      <c r="AC2447" s="3"/>
      <c r="AD2447" s="3"/>
      <c r="AE2447" s="3"/>
      <c r="AF2447" s="3"/>
      <c r="AG2447" s="3"/>
      <c r="AH2447" s="3"/>
    </row>
    <row r="2448" spans="1:34" ht="14.25" customHeight="1" x14ac:dyDescent="0.25">
      <c r="A2448" s="3"/>
      <c r="B2448" s="3"/>
      <c r="C2448" s="3"/>
      <c r="D2448" s="3"/>
      <c r="E2448" s="3"/>
      <c r="F2448" s="3"/>
      <c r="G2448" s="14"/>
      <c r="H2448" s="11"/>
      <c r="I2448" s="12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14"/>
      <c r="X2448" s="3"/>
      <c r="Y2448" s="14"/>
      <c r="Z2448" s="3"/>
      <c r="AA2448" s="3"/>
      <c r="AB2448" s="3"/>
      <c r="AC2448" s="3"/>
      <c r="AD2448" s="3"/>
      <c r="AE2448" s="3"/>
      <c r="AF2448" s="3"/>
      <c r="AG2448" s="3"/>
      <c r="AH2448" s="3"/>
    </row>
    <row r="2449" spans="1:34" ht="14.25" customHeight="1" x14ac:dyDescent="0.25">
      <c r="A2449" s="3"/>
      <c r="B2449" s="3"/>
      <c r="C2449" s="3"/>
      <c r="D2449" s="3"/>
      <c r="E2449" s="3"/>
      <c r="F2449" s="3"/>
      <c r="G2449" s="14"/>
      <c r="H2449" s="11"/>
      <c r="I2449" s="12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14"/>
      <c r="X2449" s="3"/>
      <c r="Y2449" s="14"/>
      <c r="Z2449" s="3"/>
      <c r="AA2449" s="3"/>
      <c r="AB2449" s="3"/>
      <c r="AC2449" s="3"/>
      <c r="AD2449" s="3"/>
      <c r="AE2449" s="3"/>
      <c r="AF2449" s="3"/>
      <c r="AG2449" s="3"/>
      <c r="AH2449" s="3"/>
    </row>
    <row r="2450" spans="1:34" ht="14.25" customHeight="1" x14ac:dyDescent="0.25">
      <c r="A2450" s="3"/>
      <c r="B2450" s="3"/>
      <c r="C2450" s="3"/>
      <c r="D2450" s="3"/>
      <c r="E2450" s="3"/>
      <c r="F2450" s="3"/>
      <c r="G2450" s="14"/>
      <c r="H2450" s="11"/>
      <c r="I2450" s="12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14"/>
      <c r="X2450" s="3"/>
      <c r="Y2450" s="14"/>
      <c r="Z2450" s="3"/>
      <c r="AA2450" s="3"/>
      <c r="AB2450" s="3"/>
      <c r="AC2450" s="3"/>
      <c r="AD2450" s="3"/>
      <c r="AE2450" s="3"/>
      <c r="AF2450" s="3"/>
      <c r="AG2450" s="3"/>
      <c r="AH2450" s="3"/>
    </row>
    <row r="2451" spans="1:34" ht="14.25" customHeight="1" x14ac:dyDescent="0.25">
      <c r="A2451" s="3"/>
      <c r="B2451" s="3"/>
      <c r="C2451" s="3"/>
      <c r="D2451" s="3"/>
      <c r="E2451" s="3"/>
      <c r="F2451" s="3"/>
      <c r="G2451" s="3"/>
      <c r="H2451" s="11"/>
      <c r="I2451" s="12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14"/>
      <c r="X2451" s="3"/>
      <c r="Y2451" s="14"/>
      <c r="Z2451" s="3"/>
      <c r="AA2451" s="3"/>
      <c r="AB2451" s="3"/>
      <c r="AC2451" s="3"/>
      <c r="AD2451" s="3"/>
      <c r="AE2451" s="3"/>
      <c r="AF2451" s="3"/>
      <c r="AG2451" s="3"/>
      <c r="AH2451" s="3"/>
    </row>
    <row r="2452" spans="1:34" ht="14.25" customHeight="1" x14ac:dyDescent="0.25">
      <c r="A2452" s="3"/>
      <c r="B2452" s="3"/>
      <c r="C2452" s="3"/>
      <c r="D2452" s="3"/>
      <c r="E2452" s="3"/>
      <c r="F2452" s="3"/>
      <c r="G2452" s="14"/>
      <c r="H2452" s="11"/>
      <c r="I2452" s="12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14"/>
      <c r="X2452" s="3"/>
      <c r="Y2452" s="14"/>
      <c r="Z2452" s="3"/>
      <c r="AA2452" s="3"/>
      <c r="AB2452" s="3"/>
      <c r="AC2452" s="3"/>
      <c r="AD2452" s="3"/>
      <c r="AE2452" s="3"/>
      <c r="AF2452" s="3"/>
      <c r="AG2452" s="3"/>
      <c r="AH2452" s="3"/>
    </row>
    <row r="2453" spans="1:34" ht="14.25" customHeight="1" x14ac:dyDescent="0.25">
      <c r="A2453" s="3"/>
      <c r="B2453" s="3"/>
      <c r="C2453" s="3"/>
      <c r="D2453" s="3"/>
      <c r="E2453" s="3"/>
      <c r="F2453" s="3"/>
      <c r="G2453" s="14"/>
      <c r="H2453" s="11"/>
      <c r="I2453" s="12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14"/>
      <c r="X2453" s="3"/>
      <c r="Y2453" s="14"/>
      <c r="Z2453" s="3"/>
      <c r="AA2453" s="3"/>
      <c r="AB2453" s="3"/>
      <c r="AC2453" s="3"/>
      <c r="AD2453" s="3"/>
      <c r="AE2453" s="3"/>
      <c r="AF2453" s="3"/>
      <c r="AG2453" s="3"/>
      <c r="AH2453" s="3"/>
    </row>
    <row r="2454" spans="1:34" ht="14.25" customHeight="1" x14ac:dyDescent="0.25">
      <c r="A2454" s="3"/>
      <c r="B2454" s="3"/>
      <c r="C2454" s="3"/>
      <c r="D2454" s="3"/>
      <c r="E2454" s="3"/>
      <c r="F2454" s="3"/>
      <c r="G2454" s="14"/>
      <c r="H2454" s="11"/>
      <c r="I2454" s="12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14"/>
      <c r="X2454" s="3"/>
      <c r="Y2454" s="14"/>
      <c r="Z2454" s="3"/>
      <c r="AA2454" s="3"/>
      <c r="AB2454" s="3"/>
      <c r="AC2454" s="3"/>
      <c r="AD2454" s="3"/>
      <c r="AE2454" s="3"/>
      <c r="AF2454" s="3"/>
      <c r="AG2454" s="3"/>
      <c r="AH2454" s="3"/>
    </row>
    <row r="2455" spans="1:34" ht="14.25" customHeight="1" x14ac:dyDescent="0.25">
      <c r="A2455" s="3"/>
      <c r="B2455" s="3"/>
      <c r="C2455" s="3"/>
      <c r="D2455" s="3"/>
      <c r="E2455" s="3"/>
      <c r="F2455" s="3"/>
      <c r="G2455" s="14"/>
      <c r="H2455" s="11"/>
      <c r="I2455" s="12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14"/>
      <c r="X2455" s="3"/>
      <c r="Y2455" s="14"/>
      <c r="Z2455" s="3"/>
      <c r="AA2455" s="3"/>
      <c r="AB2455" s="3"/>
      <c r="AC2455" s="3"/>
      <c r="AD2455" s="3"/>
      <c r="AE2455" s="3"/>
      <c r="AF2455" s="3"/>
      <c r="AG2455" s="3"/>
      <c r="AH2455" s="3"/>
    </row>
    <row r="2456" spans="1:34" ht="14.25" customHeight="1" x14ac:dyDescent="0.25">
      <c r="A2456" s="3"/>
      <c r="B2456" s="3"/>
      <c r="C2456" s="3"/>
      <c r="D2456" s="3"/>
      <c r="E2456" s="3"/>
      <c r="F2456" s="3"/>
      <c r="G2456" s="3"/>
      <c r="H2456" s="11"/>
      <c r="I2456" s="12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14"/>
      <c r="X2456" s="3"/>
      <c r="Y2456" s="14"/>
      <c r="Z2456" s="3"/>
      <c r="AA2456" s="3"/>
      <c r="AB2456" s="3"/>
      <c r="AC2456" s="3"/>
      <c r="AD2456" s="3"/>
      <c r="AE2456" s="3"/>
      <c r="AF2456" s="3"/>
      <c r="AG2456" s="3"/>
      <c r="AH2456" s="3"/>
    </row>
    <row r="2457" spans="1:34" ht="14.25" customHeight="1" x14ac:dyDescent="0.25">
      <c r="A2457" s="3"/>
      <c r="B2457" s="3"/>
      <c r="C2457" s="3"/>
      <c r="D2457" s="3"/>
      <c r="E2457" s="3"/>
      <c r="F2457" s="3"/>
      <c r="G2457" s="14"/>
      <c r="H2457" s="11"/>
      <c r="I2457" s="12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14"/>
      <c r="X2457" s="3"/>
      <c r="Y2457" s="14"/>
      <c r="Z2457" s="3"/>
      <c r="AA2457" s="3"/>
      <c r="AB2457" s="3"/>
      <c r="AC2457" s="3"/>
      <c r="AD2457" s="3"/>
      <c r="AE2457" s="3"/>
      <c r="AF2457" s="3"/>
      <c r="AG2457" s="3"/>
      <c r="AH2457" s="3"/>
    </row>
    <row r="2458" spans="1:34" ht="14.25" customHeight="1" x14ac:dyDescent="0.25">
      <c r="A2458" s="3"/>
      <c r="B2458" s="3"/>
      <c r="C2458" s="3"/>
      <c r="D2458" s="3"/>
      <c r="E2458" s="3"/>
      <c r="F2458" s="3"/>
      <c r="G2458" s="3"/>
      <c r="H2458" s="11"/>
      <c r="I2458" s="12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14"/>
      <c r="X2458" s="3"/>
      <c r="Y2458" s="14"/>
      <c r="Z2458" s="3"/>
      <c r="AA2458" s="3"/>
      <c r="AB2458" s="3"/>
      <c r="AC2458" s="3"/>
      <c r="AD2458" s="3"/>
      <c r="AE2458" s="3"/>
      <c r="AF2458" s="3"/>
      <c r="AG2458" s="3"/>
      <c r="AH2458" s="3"/>
    </row>
    <row r="2459" spans="1:34" ht="14.25" customHeight="1" x14ac:dyDescent="0.25">
      <c r="A2459" s="3"/>
      <c r="B2459" s="3"/>
      <c r="C2459" s="3"/>
      <c r="D2459" s="3"/>
      <c r="E2459" s="3"/>
      <c r="F2459" s="3"/>
      <c r="G2459" s="3"/>
      <c r="H2459" s="11"/>
      <c r="I2459" s="12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14"/>
      <c r="X2459" s="3"/>
      <c r="Y2459" s="14"/>
      <c r="Z2459" s="3"/>
      <c r="AA2459" s="3"/>
      <c r="AB2459" s="3"/>
      <c r="AC2459" s="3"/>
      <c r="AD2459" s="3"/>
      <c r="AE2459" s="3"/>
      <c r="AF2459" s="3"/>
      <c r="AG2459" s="3"/>
      <c r="AH2459" s="3"/>
    </row>
    <row r="2460" spans="1:34" ht="14.25" customHeight="1" x14ac:dyDescent="0.25">
      <c r="A2460" s="3"/>
      <c r="B2460" s="3"/>
      <c r="C2460" s="3"/>
      <c r="D2460" s="3"/>
      <c r="E2460" s="3"/>
      <c r="F2460" s="3"/>
      <c r="G2460" s="14"/>
      <c r="H2460" s="11"/>
      <c r="I2460" s="12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14"/>
      <c r="X2460" s="3"/>
      <c r="Y2460" s="14"/>
      <c r="Z2460" s="3"/>
      <c r="AA2460" s="3"/>
      <c r="AB2460" s="3"/>
      <c r="AC2460" s="3"/>
      <c r="AD2460" s="3"/>
      <c r="AE2460" s="3"/>
      <c r="AF2460" s="3"/>
      <c r="AG2460" s="3"/>
      <c r="AH2460" s="3"/>
    </row>
    <row r="2461" spans="1:34" ht="14.25" customHeight="1" x14ac:dyDescent="0.25">
      <c r="A2461" s="3"/>
      <c r="B2461" s="3"/>
      <c r="C2461" s="3"/>
      <c r="D2461" s="3"/>
      <c r="E2461" s="3"/>
      <c r="F2461" s="3"/>
      <c r="G2461" s="14"/>
      <c r="H2461" s="11"/>
      <c r="I2461" s="12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14"/>
      <c r="X2461" s="3"/>
      <c r="Y2461" s="14"/>
      <c r="Z2461" s="3"/>
      <c r="AA2461" s="3"/>
      <c r="AB2461" s="3"/>
      <c r="AC2461" s="3"/>
      <c r="AD2461" s="3"/>
      <c r="AE2461" s="3"/>
      <c r="AF2461" s="3"/>
      <c r="AG2461" s="3"/>
      <c r="AH2461" s="3"/>
    </row>
    <row r="2462" spans="1:34" ht="14.25" customHeight="1" x14ac:dyDescent="0.25">
      <c r="A2462" s="3"/>
      <c r="B2462" s="3"/>
      <c r="C2462" s="3"/>
      <c r="D2462" s="3"/>
      <c r="E2462" s="3"/>
      <c r="F2462" s="3"/>
      <c r="G2462" s="14"/>
      <c r="H2462" s="11"/>
      <c r="I2462" s="12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14"/>
      <c r="X2462" s="3"/>
      <c r="Y2462" s="14"/>
      <c r="Z2462" s="3"/>
      <c r="AA2462" s="3"/>
      <c r="AB2462" s="3"/>
      <c r="AC2462" s="3"/>
      <c r="AD2462" s="3"/>
      <c r="AE2462" s="3"/>
      <c r="AF2462" s="3"/>
      <c r="AG2462" s="3"/>
      <c r="AH2462" s="3"/>
    </row>
    <row r="2463" spans="1:34" ht="14.25" customHeight="1" x14ac:dyDescent="0.25">
      <c r="A2463" s="3"/>
      <c r="B2463" s="3"/>
      <c r="C2463" s="3"/>
      <c r="D2463" s="3"/>
      <c r="E2463" s="3"/>
      <c r="F2463" s="3"/>
      <c r="G2463" s="14"/>
      <c r="H2463" s="11"/>
      <c r="I2463" s="12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14"/>
      <c r="X2463" s="3"/>
      <c r="Y2463" s="14"/>
      <c r="Z2463" s="3"/>
      <c r="AA2463" s="3"/>
      <c r="AB2463" s="3"/>
      <c r="AC2463" s="3"/>
      <c r="AD2463" s="3"/>
      <c r="AE2463" s="3"/>
      <c r="AF2463" s="3"/>
      <c r="AG2463" s="3"/>
      <c r="AH2463" s="3"/>
    </row>
    <row r="2464" spans="1:34" ht="14.25" customHeight="1" x14ac:dyDescent="0.25">
      <c r="A2464" s="3"/>
      <c r="B2464" s="3"/>
      <c r="C2464" s="3"/>
      <c r="D2464" s="3"/>
      <c r="E2464" s="3"/>
      <c r="F2464" s="3"/>
      <c r="G2464" s="14"/>
      <c r="H2464" s="11"/>
      <c r="I2464" s="12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14"/>
      <c r="X2464" s="3"/>
      <c r="Y2464" s="14"/>
      <c r="Z2464" s="3"/>
      <c r="AA2464" s="3"/>
      <c r="AB2464" s="3"/>
      <c r="AC2464" s="3"/>
      <c r="AD2464" s="3"/>
      <c r="AE2464" s="3"/>
      <c r="AF2464" s="3"/>
      <c r="AG2464" s="3"/>
      <c r="AH2464" s="3"/>
    </row>
    <row r="2465" spans="1:34" ht="14.25" customHeight="1" x14ac:dyDescent="0.25">
      <c r="A2465" s="3"/>
      <c r="B2465" s="3"/>
      <c r="C2465" s="3"/>
      <c r="D2465" s="3"/>
      <c r="E2465" s="3"/>
      <c r="F2465" s="3"/>
      <c r="G2465" s="3"/>
      <c r="H2465" s="11"/>
      <c r="I2465" s="12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14"/>
      <c r="X2465" s="3"/>
      <c r="Y2465" s="14"/>
      <c r="Z2465" s="3"/>
      <c r="AA2465" s="3"/>
      <c r="AB2465" s="3"/>
      <c r="AC2465" s="3"/>
      <c r="AD2465" s="3"/>
      <c r="AE2465" s="3"/>
      <c r="AF2465" s="3"/>
      <c r="AG2465" s="3"/>
      <c r="AH2465" s="3"/>
    </row>
    <row r="2466" spans="1:34" ht="14.25" customHeight="1" x14ac:dyDescent="0.25">
      <c r="A2466" s="3"/>
      <c r="B2466" s="3"/>
      <c r="C2466" s="3"/>
      <c r="D2466" s="3"/>
      <c r="E2466" s="3"/>
      <c r="F2466" s="3"/>
      <c r="G2466" s="14"/>
      <c r="H2466" s="11"/>
      <c r="I2466" s="12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14"/>
      <c r="X2466" s="3"/>
      <c r="Y2466" s="14"/>
      <c r="Z2466" s="3"/>
      <c r="AA2466" s="3"/>
      <c r="AB2466" s="3"/>
      <c r="AC2466" s="3"/>
      <c r="AD2466" s="3"/>
      <c r="AE2466" s="3"/>
      <c r="AF2466" s="3"/>
      <c r="AG2466" s="3"/>
      <c r="AH2466" s="3"/>
    </row>
    <row r="2467" spans="1:34" ht="14.25" customHeight="1" x14ac:dyDescent="0.25">
      <c r="A2467" s="3"/>
      <c r="B2467" s="3"/>
      <c r="C2467" s="3"/>
      <c r="D2467" s="3"/>
      <c r="E2467" s="3"/>
      <c r="F2467" s="3"/>
      <c r="G2467" s="14"/>
      <c r="H2467" s="11"/>
      <c r="I2467" s="12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14"/>
      <c r="X2467" s="3"/>
      <c r="Y2467" s="14"/>
      <c r="Z2467" s="3"/>
      <c r="AA2467" s="3"/>
      <c r="AB2467" s="3"/>
      <c r="AC2467" s="3"/>
      <c r="AD2467" s="3"/>
      <c r="AE2467" s="3"/>
      <c r="AF2467" s="3"/>
      <c r="AG2467" s="3"/>
      <c r="AH2467" s="3"/>
    </row>
    <row r="2468" spans="1:34" ht="14.25" customHeight="1" x14ac:dyDescent="0.25">
      <c r="A2468" s="3"/>
      <c r="B2468" s="3"/>
      <c r="C2468" s="3"/>
      <c r="D2468" s="3"/>
      <c r="E2468" s="3"/>
      <c r="F2468" s="3"/>
      <c r="G2468" s="3"/>
      <c r="H2468" s="11"/>
      <c r="I2468" s="12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14"/>
      <c r="X2468" s="3"/>
      <c r="Y2468" s="14"/>
      <c r="Z2468" s="3"/>
      <c r="AA2468" s="3"/>
      <c r="AB2468" s="3"/>
      <c r="AC2468" s="3"/>
      <c r="AD2468" s="3"/>
      <c r="AE2468" s="3"/>
      <c r="AF2468" s="3"/>
      <c r="AG2468" s="3"/>
      <c r="AH2468" s="3"/>
    </row>
    <row r="2469" spans="1:34" ht="14.25" customHeight="1" x14ac:dyDescent="0.25">
      <c r="A2469" s="3"/>
      <c r="B2469" s="3"/>
      <c r="C2469" s="3"/>
      <c r="D2469" s="3"/>
      <c r="E2469" s="3"/>
      <c r="F2469" s="3"/>
      <c r="G2469" s="3"/>
      <c r="H2469" s="11"/>
      <c r="I2469" s="12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14"/>
      <c r="X2469" s="3"/>
      <c r="Y2469" s="14"/>
      <c r="Z2469" s="3"/>
      <c r="AA2469" s="3"/>
      <c r="AB2469" s="3"/>
      <c r="AC2469" s="3"/>
      <c r="AD2469" s="3"/>
      <c r="AE2469" s="3"/>
      <c r="AF2469" s="3"/>
      <c r="AG2469" s="3"/>
      <c r="AH2469" s="3"/>
    </row>
    <row r="2470" spans="1:34" ht="14.25" customHeight="1" x14ac:dyDescent="0.25">
      <c r="A2470" s="3"/>
      <c r="B2470" s="3"/>
      <c r="C2470" s="3"/>
      <c r="D2470" s="3"/>
      <c r="E2470" s="3"/>
      <c r="F2470" s="3"/>
      <c r="G2470" s="14"/>
      <c r="H2470" s="11"/>
      <c r="I2470" s="12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14"/>
      <c r="X2470" s="3"/>
      <c r="Y2470" s="14"/>
      <c r="Z2470" s="3"/>
      <c r="AA2470" s="3"/>
      <c r="AB2470" s="3"/>
      <c r="AC2470" s="3"/>
      <c r="AD2470" s="3"/>
      <c r="AE2470" s="3"/>
      <c r="AF2470" s="3"/>
      <c r="AG2470" s="3"/>
      <c r="AH2470" s="3"/>
    </row>
    <row r="2471" spans="1:34" ht="14.25" customHeight="1" x14ac:dyDescent="0.25">
      <c r="A2471" s="3"/>
      <c r="B2471" s="3"/>
      <c r="C2471" s="3"/>
      <c r="D2471" s="3"/>
      <c r="E2471" s="3"/>
      <c r="F2471" s="3"/>
      <c r="G2471" s="3"/>
      <c r="H2471" s="11"/>
      <c r="I2471" s="12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14"/>
      <c r="X2471" s="3"/>
      <c r="Y2471" s="14"/>
      <c r="Z2471" s="3"/>
      <c r="AA2471" s="3"/>
      <c r="AB2471" s="3"/>
      <c r="AC2471" s="3"/>
      <c r="AD2471" s="3"/>
      <c r="AE2471" s="3"/>
      <c r="AF2471" s="3"/>
      <c r="AG2471" s="3"/>
      <c r="AH2471" s="3"/>
    </row>
    <row r="2472" spans="1:34" ht="14.25" customHeight="1" x14ac:dyDescent="0.25">
      <c r="A2472" s="3"/>
      <c r="B2472" s="3"/>
      <c r="C2472" s="3"/>
      <c r="D2472" s="3"/>
      <c r="E2472" s="3"/>
      <c r="F2472" s="3"/>
      <c r="G2472" s="3"/>
      <c r="H2472" s="11"/>
      <c r="I2472" s="12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14"/>
      <c r="X2472" s="3"/>
      <c r="Y2472" s="14"/>
      <c r="Z2472" s="3"/>
      <c r="AA2472" s="3"/>
      <c r="AB2472" s="3"/>
      <c r="AC2472" s="3"/>
      <c r="AD2472" s="3"/>
      <c r="AE2472" s="3"/>
      <c r="AF2472" s="3"/>
      <c r="AG2472" s="3"/>
      <c r="AH2472" s="3"/>
    </row>
    <row r="2473" spans="1:34" ht="14.25" customHeight="1" x14ac:dyDescent="0.25">
      <c r="A2473" s="3"/>
      <c r="B2473" s="3"/>
      <c r="C2473" s="3"/>
      <c r="D2473" s="3"/>
      <c r="E2473" s="3"/>
      <c r="F2473" s="3"/>
      <c r="G2473" s="3"/>
      <c r="H2473" s="11"/>
      <c r="I2473" s="12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14"/>
      <c r="X2473" s="3"/>
      <c r="Y2473" s="14"/>
      <c r="Z2473" s="3"/>
      <c r="AA2473" s="3"/>
      <c r="AB2473" s="3"/>
      <c r="AC2473" s="3"/>
      <c r="AD2473" s="3"/>
      <c r="AE2473" s="3"/>
      <c r="AF2473" s="3"/>
      <c r="AG2473" s="3"/>
      <c r="AH2473" s="3"/>
    </row>
    <row r="2474" spans="1:34" ht="14.25" customHeight="1" x14ac:dyDescent="0.25">
      <c r="A2474" s="3"/>
      <c r="B2474" s="3"/>
      <c r="C2474" s="3"/>
      <c r="D2474" s="3"/>
      <c r="E2474" s="3"/>
      <c r="F2474" s="3"/>
      <c r="G2474" s="14"/>
      <c r="H2474" s="11"/>
      <c r="I2474" s="12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14"/>
      <c r="X2474" s="3"/>
      <c r="Y2474" s="14"/>
      <c r="Z2474" s="3"/>
      <c r="AA2474" s="3"/>
      <c r="AB2474" s="3"/>
      <c r="AC2474" s="3"/>
      <c r="AD2474" s="3"/>
      <c r="AE2474" s="3"/>
      <c r="AF2474" s="3"/>
      <c r="AG2474" s="3"/>
      <c r="AH2474" s="3"/>
    </row>
    <row r="2475" spans="1:34" ht="14.25" customHeight="1" x14ac:dyDescent="0.25">
      <c r="A2475" s="3"/>
      <c r="B2475" s="3"/>
      <c r="C2475" s="3"/>
      <c r="D2475" s="3"/>
      <c r="E2475" s="3"/>
      <c r="F2475" s="3"/>
      <c r="G2475" s="3"/>
      <c r="H2475" s="11"/>
      <c r="I2475" s="12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14"/>
      <c r="X2475" s="3"/>
      <c r="Y2475" s="14"/>
      <c r="Z2475" s="3"/>
      <c r="AA2475" s="3"/>
      <c r="AB2475" s="3"/>
      <c r="AC2475" s="3"/>
      <c r="AD2475" s="3"/>
      <c r="AE2475" s="3"/>
      <c r="AF2475" s="3"/>
      <c r="AG2475" s="3"/>
      <c r="AH2475" s="3"/>
    </row>
    <row r="2476" spans="1:34" ht="14.25" customHeight="1" x14ac:dyDescent="0.25">
      <c r="A2476" s="3"/>
      <c r="B2476" s="3"/>
      <c r="C2476" s="3"/>
      <c r="D2476" s="3"/>
      <c r="E2476" s="3"/>
      <c r="F2476" s="3"/>
      <c r="G2476" s="14"/>
      <c r="H2476" s="11"/>
      <c r="I2476" s="12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14"/>
      <c r="X2476" s="3"/>
      <c r="Y2476" s="14"/>
      <c r="Z2476" s="3"/>
      <c r="AA2476" s="3"/>
      <c r="AB2476" s="3"/>
      <c r="AC2476" s="3"/>
      <c r="AD2476" s="3"/>
      <c r="AE2476" s="3"/>
      <c r="AF2476" s="3"/>
      <c r="AG2476" s="3"/>
      <c r="AH2476" s="3"/>
    </row>
    <row r="2477" spans="1:34" ht="14.25" customHeight="1" x14ac:dyDescent="0.25">
      <c r="A2477" s="3"/>
      <c r="B2477" s="3"/>
      <c r="C2477" s="3"/>
      <c r="D2477" s="3"/>
      <c r="E2477" s="3"/>
      <c r="F2477" s="3"/>
      <c r="G2477" s="14"/>
      <c r="H2477" s="11"/>
      <c r="I2477" s="12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14"/>
      <c r="X2477" s="3"/>
      <c r="Y2477" s="14"/>
      <c r="Z2477" s="3"/>
      <c r="AA2477" s="3"/>
      <c r="AB2477" s="3"/>
      <c r="AC2477" s="3"/>
      <c r="AD2477" s="3"/>
      <c r="AE2477" s="3"/>
      <c r="AF2477" s="3"/>
      <c r="AG2477" s="3"/>
      <c r="AH2477" s="3"/>
    </row>
    <row r="2478" spans="1:34" ht="14.25" customHeight="1" x14ac:dyDescent="0.25">
      <c r="A2478" s="3"/>
      <c r="B2478" s="3"/>
      <c r="C2478" s="3"/>
      <c r="D2478" s="3"/>
      <c r="E2478" s="3"/>
      <c r="F2478" s="3"/>
      <c r="G2478" s="3"/>
      <c r="H2478" s="11"/>
      <c r="I2478" s="12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14"/>
      <c r="X2478" s="3"/>
      <c r="Y2478" s="14"/>
      <c r="Z2478" s="3"/>
      <c r="AA2478" s="3"/>
      <c r="AB2478" s="3"/>
      <c r="AC2478" s="3"/>
      <c r="AD2478" s="3"/>
      <c r="AE2478" s="3"/>
      <c r="AF2478" s="3"/>
      <c r="AG2478" s="3"/>
      <c r="AH2478" s="3"/>
    </row>
    <row r="2479" spans="1:34" ht="14.25" customHeight="1" x14ac:dyDescent="0.25">
      <c r="A2479" s="3"/>
      <c r="B2479" s="3"/>
      <c r="C2479" s="3"/>
      <c r="D2479" s="3"/>
      <c r="E2479" s="3"/>
      <c r="F2479" s="3"/>
      <c r="G2479" s="3"/>
      <c r="H2479" s="11"/>
      <c r="I2479" s="12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14"/>
      <c r="X2479" s="3"/>
      <c r="Y2479" s="14"/>
      <c r="Z2479" s="3"/>
      <c r="AA2479" s="3"/>
      <c r="AB2479" s="3"/>
      <c r="AC2479" s="3"/>
      <c r="AD2479" s="3"/>
      <c r="AE2479" s="3"/>
      <c r="AF2479" s="3"/>
      <c r="AG2479" s="3"/>
      <c r="AH2479" s="3"/>
    </row>
    <row r="2480" spans="1:34" ht="14.25" customHeight="1" x14ac:dyDescent="0.25">
      <c r="A2480" s="3"/>
      <c r="B2480" s="3"/>
      <c r="C2480" s="3"/>
      <c r="D2480" s="3"/>
      <c r="E2480" s="3"/>
      <c r="F2480" s="3"/>
      <c r="G2480" s="3"/>
      <c r="H2480" s="11"/>
      <c r="I2480" s="12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14"/>
      <c r="X2480" s="3"/>
      <c r="Y2480" s="14"/>
      <c r="Z2480" s="3"/>
      <c r="AA2480" s="3"/>
      <c r="AB2480" s="3"/>
      <c r="AC2480" s="3"/>
      <c r="AD2480" s="3"/>
      <c r="AE2480" s="3"/>
      <c r="AF2480" s="3"/>
      <c r="AG2480" s="3"/>
      <c r="AH2480" s="3"/>
    </row>
    <row r="2481" spans="1:34" ht="14.25" customHeight="1" x14ac:dyDescent="0.25">
      <c r="A2481" s="3"/>
      <c r="B2481" s="3"/>
      <c r="C2481" s="3"/>
      <c r="D2481" s="3"/>
      <c r="E2481" s="3"/>
      <c r="F2481" s="3"/>
      <c r="G2481" s="14"/>
      <c r="H2481" s="11"/>
      <c r="I2481" s="12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14"/>
      <c r="X2481" s="3"/>
      <c r="Y2481" s="14"/>
      <c r="Z2481" s="3"/>
      <c r="AA2481" s="3"/>
      <c r="AB2481" s="3"/>
      <c r="AC2481" s="3"/>
      <c r="AD2481" s="3"/>
      <c r="AE2481" s="3"/>
      <c r="AF2481" s="3"/>
      <c r="AG2481" s="3"/>
      <c r="AH2481" s="3"/>
    </row>
    <row r="2482" spans="1:34" ht="14.25" customHeight="1" x14ac:dyDescent="0.25">
      <c r="A2482" s="3"/>
      <c r="B2482" s="3"/>
      <c r="C2482" s="3"/>
      <c r="D2482" s="3"/>
      <c r="E2482" s="3"/>
      <c r="F2482" s="3"/>
      <c r="G2482" s="14"/>
      <c r="H2482" s="11"/>
      <c r="I2482" s="12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14"/>
      <c r="X2482" s="3"/>
      <c r="Y2482" s="14"/>
      <c r="Z2482" s="3"/>
      <c r="AA2482" s="3"/>
      <c r="AB2482" s="3"/>
      <c r="AC2482" s="3"/>
      <c r="AD2482" s="3"/>
      <c r="AE2482" s="3"/>
      <c r="AF2482" s="3"/>
      <c r="AG2482" s="3"/>
      <c r="AH2482" s="3"/>
    </row>
    <row r="2483" spans="1:34" ht="14.25" customHeight="1" x14ac:dyDescent="0.25">
      <c r="A2483" s="3"/>
      <c r="B2483" s="3"/>
      <c r="C2483" s="3"/>
      <c r="D2483" s="3"/>
      <c r="E2483" s="3"/>
      <c r="F2483" s="3"/>
      <c r="G2483" s="14"/>
      <c r="H2483" s="11"/>
      <c r="I2483" s="12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14"/>
      <c r="X2483" s="3"/>
      <c r="Y2483" s="14"/>
      <c r="Z2483" s="3"/>
      <c r="AA2483" s="3"/>
      <c r="AB2483" s="3"/>
      <c r="AC2483" s="3"/>
      <c r="AD2483" s="3"/>
      <c r="AE2483" s="3"/>
      <c r="AF2483" s="3"/>
      <c r="AG2483" s="3"/>
      <c r="AH2483" s="3"/>
    </row>
    <row r="2484" spans="1:34" ht="14.25" customHeight="1" x14ac:dyDescent="0.25">
      <c r="A2484" s="3"/>
      <c r="B2484" s="3"/>
      <c r="C2484" s="3"/>
      <c r="D2484" s="3"/>
      <c r="E2484" s="3"/>
      <c r="F2484" s="3"/>
      <c r="G2484" s="14"/>
      <c r="H2484" s="11"/>
      <c r="I2484" s="12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14"/>
      <c r="X2484" s="3"/>
      <c r="Y2484" s="14"/>
      <c r="Z2484" s="3"/>
      <c r="AA2484" s="3"/>
      <c r="AB2484" s="3"/>
      <c r="AC2484" s="3"/>
      <c r="AD2484" s="3"/>
      <c r="AE2484" s="3"/>
      <c r="AF2484" s="3"/>
      <c r="AG2484" s="3"/>
      <c r="AH2484" s="3"/>
    </row>
    <row r="2485" spans="1:34" ht="14.25" customHeight="1" x14ac:dyDescent="0.25">
      <c r="A2485" s="3"/>
      <c r="B2485" s="3"/>
      <c r="C2485" s="3"/>
      <c r="D2485" s="3"/>
      <c r="E2485" s="3"/>
      <c r="F2485" s="3"/>
      <c r="G2485" s="3"/>
      <c r="H2485" s="11"/>
      <c r="I2485" s="12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14"/>
      <c r="X2485" s="3"/>
      <c r="Y2485" s="14"/>
      <c r="Z2485" s="3"/>
      <c r="AA2485" s="3"/>
      <c r="AB2485" s="3"/>
      <c r="AC2485" s="3"/>
      <c r="AD2485" s="3"/>
      <c r="AE2485" s="3"/>
      <c r="AF2485" s="3"/>
      <c r="AG2485" s="3"/>
      <c r="AH2485" s="3"/>
    </row>
    <row r="2486" spans="1:34" ht="14.25" customHeight="1" x14ac:dyDescent="0.25">
      <c r="A2486" s="3"/>
      <c r="B2486" s="3"/>
      <c r="C2486" s="3"/>
      <c r="D2486" s="3"/>
      <c r="E2486" s="3"/>
      <c r="F2486" s="3"/>
      <c r="G2486" s="14"/>
      <c r="H2486" s="11"/>
      <c r="I2486" s="12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14"/>
      <c r="X2486" s="3"/>
      <c r="Y2486" s="14"/>
      <c r="Z2486" s="3"/>
      <c r="AA2486" s="3"/>
      <c r="AB2486" s="3"/>
      <c r="AC2486" s="3"/>
      <c r="AD2486" s="3"/>
      <c r="AE2486" s="3"/>
      <c r="AF2486" s="3"/>
      <c r="AG2486" s="3"/>
      <c r="AH2486" s="3"/>
    </row>
    <row r="2487" spans="1:34" ht="14.25" customHeight="1" x14ac:dyDescent="0.25">
      <c r="A2487" s="3"/>
      <c r="B2487" s="3"/>
      <c r="C2487" s="3"/>
      <c r="D2487" s="3"/>
      <c r="E2487" s="3"/>
      <c r="F2487" s="3"/>
      <c r="G2487" s="14"/>
      <c r="H2487" s="11"/>
      <c r="I2487" s="12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14"/>
      <c r="X2487" s="3"/>
      <c r="Y2487" s="14"/>
      <c r="Z2487" s="3"/>
      <c r="AA2487" s="3"/>
      <c r="AB2487" s="3"/>
      <c r="AC2487" s="3"/>
      <c r="AD2487" s="3"/>
      <c r="AE2487" s="3"/>
      <c r="AF2487" s="3"/>
      <c r="AG2487" s="3"/>
      <c r="AH2487" s="3"/>
    </row>
    <row r="2488" spans="1:34" ht="14.25" customHeight="1" x14ac:dyDescent="0.25">
      <c r="A2488" s="3"/>
      <c r="B2488" s="3"/>
      <c r="C2488" s="3"/>
      <c r="D2488" s="3"/>
      <c r="E2488" s="3"/>
      <c r="F2488" s="3"/>
      <c r="G2488" s="14"/>
      <c r="H2488" s="11"/>
      <c r="I2488" s="12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14"/>
      <c r="X2488" s="3"/>
      <c r="Y2488" s="14"/>
      <c r="Z2488" s="3"/>
      <c r="AA2488" s="3"/>
      <c r="AB2488" s="3"/>
      <c r="AC2488" s="3"/>
      <c r="AD2488" s="3"/>
      <c r="AE2488" s="3"/>
      <c r="AF2488" s="3"/>
      <c r="AG2488" s="3"/>
      <c r="AH2488" s="3"/>
    </row>
    <row r="2489" spans="1:34" ht="14.25" customHeight="1" x14ac:dyDescent="0.25">
      <c r="A2489" s="3"/>
      <c r="B2489" s="3"/>
      <c r="C2489" s="3"/>
      <c r="D2489" s="3"/>
      <c r="E2489" s="3"/>
      <c r="F2489" s="3"/>
      <c r="G2489" s="14"/>
      <c r="H2489" s="11"/>
      <c r="I2489" s="12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14"/>
      <c r="X2489" s="3"/>
      <c r="Y2489" s="14"/>
      <c r="Z2489" s="3"/>
      <c r="AA2489" s="3"/>
      <c r="AB2489" s="3"/>
      <c r="AC2489" s="3"/>
      <c r="AD2489" s="3"/>
      <c r="AE2489" s="3"/>
      <c r="AF2489" s="3"/>
      <c r="AG2489" s="3"/>
      <c r="AH2489" s="3"/>
    </row>
    <row r="2490" spans="1:34" ht="14.25" customHeight="1" x14ac:dyDescent="0.25">
      <c r="A2490" s="3"/>
      <c r="B2490" s="3"/>
      <c r="C2490" s="3"/>
      <c r="D2490" s="3"/>
      <c r="E2490" s="3"/>
      <c r="F2490" s="3"/>
      <c r="G2490" s="3"/>
      <c r="H2490" s="11"/>
      <c r="I2490" s="12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14"/>
      <c r="X2490" s="3"/>
      <c r="Y2490" s="14"/>
      <c r="Z2490" s="3"/>
      <c r="AA2490" s="3"/>
      <c r="AB2490" s="3"/>
      <c r="AC2490" s="3"/>
      <c r="AD2490" s="3"/>
      <c r="AE2490" s="3"/>
      <c r="AF2490" s="3"/>
      <c r="AG2490" s="3"/>
      <c r="AH2490" s="3"/>
    </row>
    <row r="2491" spans="1:34" ht="14.25" customHeight="1" x14ac:dyDescent="0.25">
      <c r="A2491" s="3"/>
      <c r="B2491" s="3"/>
      <c r="C2491" s="3"/>
      <c r="D2491" s="3"/>
      <c r="E2491" s="3"/>
      <c r="F2491" s="3"/>
      <c r="G2491" s="14"/>
      <c r="H2491" s="11"/>
      <c r="I2491" s="12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14"/>
      <c r="X2491" s="3"/>
      <c r="Y2491" s="14"/>
      <c r="Z2491" s="3"/>
      <c r="AA2491" s="3"/>
      <c r="AB2491" s="3"/>
      <c r="AC2491" s="3"/>
      <c r="AD2491" s="3"/>
      <c r="AE2491" s="3"/>
      <c r="AF2491" s="3"/>
      <c r="AG2491" s="3"/>
      <c r="AH2491" s="3"/>
    </row>
    <row r="2492" spans="1:34" ht="14.25" customHeight="1" x14ac:dyDescent="0.25">
      <c r="A2492" s="3"/>
      <c r="B2492" s="3"/>
      <c r="C2492" s="3"/>
      <c r="D2492" s="3"/>
      <c r="E2492" s="3"/>
      <c r="F2492" s="3"/>
      <c r="G2492" s="3"/>
      <c r="H2492" s="11"/>
      <c r="I2492" s="12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14"/>
      <c r="X2492" s="3"/>
      <c r="Y2492" s="14"/>
      <c r="Z2492" s="3"/>
      <c r="AA2492" s="3"/>
      <c r="AB2492" s="3"/>
      <c r="AC2492" s="3"/>
      <c r="AD2492" s="3"/>
      <c r="AE2492" s="3"/>
      <c r="AF2492" s="3"/>
      <c r="AG2492" s="3"/>
      <c r="AH2492" s="3"/>
    </row>
    <row r="2493" spans="1:34" ht="14.25" customHeight="1" x14ac:dyDescent="0.25">
      <c r="A2493" s="3"/>
      <c r="B2493" s="3"/>
      <c r="C2493" s="3"/>
      <c r="D2493" s="3"/>
      <c r="E2493" s="3"/>
      <c r="F2493" s="3"/>
      <c r="G2493" s="3"/>
      <c r="H2493" s="11"/>
      <c r="I2493" s="12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14"/>
      <c r="X2493" s="3"/>
      <c r="Y2493" s="14"/>
      <c r="Z2493" s="3"/>
      <c r="AA2493" s="3"/>
      <c r="AB2493" s="3"/>
      <c r="AC2493" s="3"/>
      <c r="AD2493" s="3"/>
      <c r="AE2493" s="3"/>
      <c r="AF2493" s="3"/>
      <c r="AG2493" s="3"/>
      <c r="AH2493" s="3"/>
    </row>
    <row r="2494" spans="1:34" ht="14.25" customHeight="1" x14ac:dyDescent="0.25">
      <c r="A2494" s="3"/>
      <c r="B2494" s="3"/>
      <c r="C2494" s="3"/>
      <c r="D2494" s="3"/>
      <c r="E2494" s="3"/>
      <c r="F2494" s="3"/>
      <c r="G2494" s="14"/>
      <c r="H2494" s="11"/>
      <c r="I2494" s="12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14"/>
      <c r="X2494" s="3"/>
      <c r="Y2494" s="14"/>
      <c r="Z2494" s="3"/>
      <c r="AA2494" s="3"/>
      <c r="AB2494" s="3"/>
      <c r="AC2494" s="3"/>
      <c r="AD2494" s="3"/>
      <c r="AE2494" s="3"/>
      <c r="AF2494" s="3"/>
      <c r="AG2494" s="3"/>
      <c r="AH2494" s="3"/>
    </row>
    <row r="2495" spans="1:34" ht="14.25" customHeight="1" x14ac:dyDescent="0.25">
      <c r="A2495" s="3"/>
      <c r="B2495" s="3"/>
      <c r="C2495" s="3"/>
      <c r="D2495" s="3"/>
      <c r="E2495" s="3"/>
      <c r="F2495" s="3"/>
      <c r="G2495" s="14"/>
      <c r="H2495" s="11"/>
      <c r="I2495" s="12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14"/>
      <c r="X2495" s="3"/>
      <c r="Y2495" s="14"/>
      <c r="Z2495" s="3"/>
      <c r="AA2495" s="3"/>
      <c r="AB2495" s="3"/>
      <c r="AC2495" s="3"/>
      <c r="AD2495" s="3"/>
      <c r="AE2495" s="3"/>
      <c r="AF2495" s="3"/>
      <c r="AG2495" s="3"/>
      <c r="AH2495" s="3"/>
    </row>
    <row r="2496" spans="1:34" ht="14.25" customHeight="1" x14ac:dyDescent="0.25">
      <c r="A2496" s="3"/>
      <c r="B2496" s="3"/>
      <c r="C2496" s="3"/>
      <c r="D2496" s="3"/>
      <c r="E2496" s="3"/>
      <c r="F2496" s="3"/>
      <c r="G2496" s="14"/>
      <c r="H2496" s="11"/>
      <c r="I2496" s="12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14"/>
      <c r="X2496" s="3"/>
      <c r="Y2496" s="14"/>
      <c r="Z2496" s="3"/>
      <c r="AA2496" s="3"/>
      <c r="AB2496" s="3"/>
      <c r="AC2496" s="3"/>
      <c r="AD2496" s="3"/>
      <c r="AE2496" s="3"/>
      <c r="AF2496" s="3"/>
      <c r="AG2496" s="3"/>
      <c r="AH2496" s="3"/>
    </row>
    <row r="2497" spans="1:34" ht="14.25" customHeight="1" x14ac:dyDescent="0.25">
      <c r="A2497" s="3"/>
      <c r="B2497" s="3"/>
      <c r="C2497" s="3"/>
      <c r="D2497" s="3"/>
      <c r="E2497" s="3"/>
      <c r="F2497" s="3"/>
      <c r="G2497" s="14"/>
      <c r="H2497" s="11"/>
      <c r="I2497" s="12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14"/>
      <c r="X2497" s="3"/>
      <c r="Y2497" s="14"/>
      <c r="Z2497" s="3"/>
      <c r="AA2497" s="3"/>
      <c r="AB2497" s="3"/>
      <c r="AC2497" s="3"/>
      <c r="AD2497" s="3"/>
      <c r="AE2497" s="3"/>
      <c r="AF2497" s="3"/>
      <c r="AG2497" s="3"/>
      <c r="AH2497" s="3"/>
    </row>
    <row r="2498" spans="1:34" ht="14.25" customHeight="1" x14ac:dyDescent="0.25">
      <c r="A2498" s="3"/>
      <c r="B2498" s="3"/>
      <c r="C2498" s="3"/>
      <c r="D2498" s="3"/>
      <c r="E2498" s="3"/>
      <c r="F2498" s="3"/>
      <c r="G2498" s="3"/>
      <c r="H2498" s="11"/>
      <c r="I2498" s="12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14"/>
      <c r="X2498" s="3"/>
      <c r="Y2498" s="14"/>
      <c r="Z2498" s="3"/>
      <c r="AA2498" s="3"/>
      <c r="AB2498" s="3"/>
      <c r="AC2498" s="3"/>
      <c r="AD2498" s="3"/>
      <c r="AE2498" s="3"/>
      <c r="AF2498" s="3"/>
      <c r="AG2498" s="3"/>
      <c r="AH2498" s="3"/>
    </row>
    <row r="2499" spans="1:34" ht="14.25" customHeight="1" x14ac:dyDescent="0.25">
      <c r="A2499" s="3"/>
      <c r="B2499" s="3"/>
      <c r="C2499" s="3"/>
      <c r="D2499" s="3"/>
      <c r="E2499" s="3"/>
      <c r="F2499" s="3"/>
      <c r="G2499" s="14"/>
      <c r="H2499" s="11"/>
      <c r="I2499" s="12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14"/>
      <c r="X2499" s="3"/>
      <c r="Y2499" s="14"/>
      <c r="Z2499" s="3"/>
      <c r="AA2499" s="3"/>
      <c r="AB2499" s="3"/>
      <c r="AC2499" s="3"/>
      <c r="AD2499" s="3"/>
      <c r="AE2499" s="3"/>
      <c r="AF2499" s="3"/>
      <c r="AG2499" s="3"/>
      <c r="AH2499" s="3"/>
    </row>
    <row r="2500" spans="1:34" ht="14.25" customHeight="1" x14ac:dyDescent="0.25">
      <c r="A2500" s="3"/>
      <c r="B2500" s="3"/>
      <c r="C2500" s="3"/>
      <c r="D2500" s="3"/>
      <c r="E2500" s="3"/>
      <c r="F2500" s="3"/>
      <c r="G2500" s="14"/>
      <c r="H2500" s="11"/>
      <c r="I2500" s="12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14"/>
      <c r="X2500" s="3"/>
      <c r="Y2500" s="14"/>
      <c r="Z2500" s="3"/>
      <c r="AA2500" s="3"/>
      <c r="AB2500" s="3"/>
      <c r="AC2500" s="3"/>
      <c r="AD2500" s="3"/>
      <c r="AE2500" s="3"/>
      <c r="AF2500" s="3"/>
      <c r="AG2500" s="3"/>
      <c r="AH2500" s="3"/>
    </row>
    <row r="2501" spans="1:34" ht="14.25" customHeight="1" x14ac:dyDescent="0.25">
      <c r="A2501" s="3"/>
      <c r="B2501" s="3"/>
      <c r="C2501" s="3"/>
      <c r="D2501" s="3"/>
      <c r="E2501" s="3"/>
      <c r="F2501" s="3"/>
      <c r="G2501" s="14"/>
      <c r="H2501" s="11"/>
      <c r="I2501" s="12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14"/>
      <c r="X2501" s="3"/>
      <c r="Y2501" s="14"/>
      <c r="Z2501" s="3"/>
      <c r="AA2501" s="3"/>
      <c r="AB2501" s="3"/>
      <c r="AC2501" s="3"/>
      <c r="AD2501" s="3"/>
      <c r="AE2501" s="3"/>
      <c r="AF2501" s="3"/>
      <c r="AG2501" s="3"/>
      <c r="AH2501" s="3"/>
    </row>
    <row r="2502" spans="1:34" ht="14.25" customHeight="1" x14ac:dyDescent="0.25">
      <c r="A2502" s="3"/>
      <c r="B2502" s="3"/>
      <c r="C2502" s="3"/>
      <c r="D2502" s="3"/>
      <c r="E2502" s="3"/>
      <c r="F2502" s="3"/>
      <c r="G2502" s="14"/>
      <c r="H2502" s="11"/>
      <c r="I2502" s="12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14"/>
      <c r="X2502" s="3"/>
      <c r="Y2502" s="14"/>
      <c r="Z2502" s="3"/>
      <c r="AA2502" s="3"/>
      <c r="AB2502" s="3"/>
      <c r="AC2502" s="3"/>
      <c r="AD2502" s="3"/>
      <c r="AE2502" s="3"/>
      <c r="AF2502" s="3"/>
      <c r="AG2502" s="3"/>
      <c r="AH2502" s="3"/>
    </row>
    <row r="2503" spans="1:34" ht="14.25" customHeight="1" x14ac:dyDescent="0.25">
      <c r="A2503" s="3"/>
      <c r="B2503" s="3"/>
      <c r="C2503" s="3"/>
      <c r="D2503" s="3"/>
      <c r="E2503" s="3"/>
      <c r="F2503" s="3"/>
      <c r="G2503" s="14"/>
      <c r="H2503" s="11"/>
      <c r="I2503" s="12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14"/>
      <c r="X2503" s="3"/>
      <c r="Y2503" s="14"/>
      <c r="Z2503" s="3"/>
      <c r="AA2503" s="3"/>
      <c r="AB2503" s="3"/>
      <c r="AC2503" s="3"/>
      <c r="AD2503" s="3"/>
      <c r="AE2503" s="3"/>
      <c r="AF2503" s="3"/>
      <c r="AG2503" s="3"/>
      <c r="AH2503" s="3"/>
    </row>
    <row r="2504" spans="1:34" ht="14.25" customHeight="1" x14ac:dyDescent="0.25">
      <c r="A2504" s="3"/>
      <c r="B2504" s="3"/>
      <c r="C2504" s="3"/>
      <c r="D2504" s="3"/>
      <c r="E2504" s="3"/>
      <c r="F2504" s="3"/>
      <c r="G2504" s="14"/>
      <c r="H2504" s="11"/>
      <c r="I2504" s="12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14"/>
      <c r="X2504" s="3"/>
      <c r="Y2504" s="14"/>
      <c r="Z2504" s="3"/>
      <c r="AA2504" s="3"/>
      <c r="AB2504" s="3"/>
      <c r="AC2504" s="3"/>
      <c r="AD2504" s="3"/>
      <c r="AE2504" s="3"/>
      <c r="AF2504" s="3"/>
      <c r="AG2504" s="3"/>
      <c r="AH2504" s="3"/>
    </row>
    <row r="2505" spans="1:34" ht="14.25" customHeight="1" x14ac:dyDescent="0.25">
      <c r="A2505" s="3"/>
      <c r="B2505" s="3"/>
      <c r="C2505" s="3"/>
      <c r="D2505" s="3"/>
      <c r="E2505" s="3"/>
      <c r="F2505" s="3"/>
      <c r="G2505" s="3"/>
      <c r="H2505" s="11"/>
      <c r="I2505" s="12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14"/>
      <c r="X2505" s="3"/>
      <c r="Y2505" s="14"/>
      <c r="Z2505" s="3"/>
      <c r="AA2505" s="3"/>
      <c r="AB2505" s="3"/>
      <c r="AC2505" s="3"/>
      <c r="AD2505" s="3"/>
      <c r="AE2505" s="3"/>
      <c r="AF2505" s="3"/>
      <c r="AG2505" s="3"/>
      <c r="AH2505" s="3"/>
    </row>
    <row r="2506" spans="1:34" ht="14.25" customHeight="1" x14ac:dyDescent="0.25">
      <c r="A2506" s="3"/>
      <c r="B2506" s="3"/>
      <c r="C2506" s="3"/>
      <c r="D2506" s="3"/>
      <c r="E2506" s="3"/>
      <c r="F2506" s="3"/>
      <c r="G2506" s="14"/>
      <c r="H2506" s="11"/>
      <c r="I2506" s="12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14"/>
      <c r="X2506" s="3"/>
      <c r="Y2506" s="14"/>
      <c r="Z2506" s="3"/>
      <c r="AA2506" s="3"/>
      <c r="AB2506" s="3"/>
      <c r="AC2506" s="3"/>
      <c r="AD2506" s="3"/>
      <c r="AE2506" s="3"/>
      <c r="AF2506" s="3"/>
      <c r="AG2506" s="3"/>
      <c r="AH2506" s="3"/>
    </row>
    <row r="2507" spans="1:34" ht="14.25" customHeight="1" x14ac:dyDescent="0.25">
      <c r="A2507" s="3"/>
      <c r="B2507" s="3"/>
      <c r="C2507" s="3"/>
      <c r="D2507" s="3"/>
      <c r="E2507" s="3"/>
      <c r="F2507" s="3"/>
      <c r="G2507" s="14"/>
      <c r="H2507" s="11"/>
      <c r="I2507" s="12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14"/>
      <c r="X2507" s="3"/>
      <c r="Y2507" s="14"/>
      <c r="Z2507" s="3"/>
      <c r="AA2507" s="3"/>
      <c r="AB2507" s="3"/>
      <c r="AC2507" s="3"/>
      <c r="AD2507" s="3"/>
      <c r="AE2507" s="3"/>
      <c r="AF2507" s="3"/>
      <c r="AG2507" s="3"/>
      <c r="AH2507" s="3"/>
    </row>
    <row r="2508" spans="1:34" ht="14.25" customHeight="1" x14ac:dyDescent="0.25">
      <c r="A2508" s="3"/>
      <c r="B2508" s="3"/>
      <c r="C2508" s="3"/>
      <c r="D2508" s="3"/>
      <c r="E2508" s="3"/>
      <c r="F2508" s="3"/>
      <c r="G2508" s="14"/>
      <c r="H2508" s="11"/>
      <c r="I2508" s="12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14"/>
      <c r="X2508" s="3"/>
      <c r="Y2508" s="14"/>
      <c r="Z2508" s="3"/>
      <c r="AA2508" s="3"/>
      <c r="AB2508" s="3"/>
      <c r="AC2508" s="3"/>
      <c r="AD2508" s="3"/>
      <c r="AE2508" s="3"/>
      <c r="AF2508" s="3"/>
      <c r="AG2508" s="3"/>
      <c r="AH2508" s="3"/>
    </row>
    <row r="2509" spans="1:34" ht="14.25" customHeight="1" x14ac:dyDescent="0.25">
      <c r="A2509" s="3"/>
      <c r="B2509" s="3"/>
      <c r="C2509" s="3"/>
      <c r="D2509" s="3"/>
      <c r="E2509" s="3"/>
      <c r="F2509" s="3"/>
      <c r="G2509" s="14"/>
      <c r="H2509" s="11"/>
      <c r="I2509" s="12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14"/>
      <c r="X2509" s="3"/>
      <c r="Y2509" s="14"/>
      <c r="Z2509" s="3"/>
      <c r="AA2509" s="3"/>
      <c r="AB2509" s="3"/>
      <c r="AC2509" s="3"/>
      <c r="AD2509" s="3"/>
      <c r="AE2509" s="3"/>
      <c r="AF2509" s="3"/>
      <c r="AG2509" s="3"/>
      <c r="AH2509" s="3"/>
    </row>
    <row r="2510" spans="1:34" ht="14.25" customHeight="1" x14ac:dyDescent="0.25">
      <c r="A2510" s="3"/>
      <c r="B2510" s="3"/>
      <c r="C2510" s="3"/>
      <c r="D2510" s="3"/>
      <c r="E2510" s="3"/>
      <c r="F2510" s="3"/>
      <c r="G2510" s="3"/>
      <c r="H2510" s="11"/>
      <c r="I2510" s="12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14"/>
      <c r="X2510" s="3"/>
      <c r="Y2510" s="14"/>
      <c r="Z2510" s="3"/>
      <c r="AA2510" s="3"/>
      <c r="AB2510" s="3"/>
      <c r="AC2510" s="3"/>
      <c r="AD2510" s="3"/>
      <c r="AE2510" s="3"/>
      <c r="AF2510" s="3"/>
      <c r="AG2510" s="3"/>
      <c r="AH2510" s="3"/>
    </row>
    <row r="2511" spans="1:34" ht="14.25" customHeight="1" x14ac:dyDescent="0.25">
      <c r="A2511" s="3"/>
      <c r="B2511" s="3"/>
      <c r="C2511" s="3"/>
      <c r="D2511" s="3"/>
      <c r="E2511" s="3"/>
      <c r="F2511" s="3"/>
      <c r="G2511" s="3"/>
      <c r="H2511" s="11"/>
      <c r="I2511" s="12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14"/>
      <c r="X2511" s="3"/>
      <c r="Y2511" s="14"/>
      <c r="Z2511" s="3"/>
      <c r="AA2511" s="3"/>
      <c r="AB2511" s="3"/>
      <c r="AC2511" s="3"/>
      <c r="AD2511" s="3"/>
      <c r="AE2511" s="3"/>
      <c r="AF2511" s="3"/>
      <c r="AG2511" s="3"/>
      <c r="AH2511" s="3"/>
    </row>
    <row r="2512" spans="1:34" ht="14.25" customHeight="1" x14ac:dyDescent="0.25">
      <c r="A2512" s="3"/>
      <c r="B2512" s="3"/>
      <c r="C2512" s="3"/>
      <c r="D2512" s="3"/>
      <c r="E2512" s="3"/>
      <c r="F2512" s="3"/>
      <c r="G2512" s="14"/>
      <c r="H2512" s="11"/>
      <c r="I2512" s="12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14"/>
      <c r="X2512" s="3"/>
      <c r="Y2512" s="14"/>
      <c r="Z2512" s="3"/>
      <c r="AA2512" s="3"/>
      <c r="AB2512" s="3"/>
      <c r="AC2512" s="3"/>
      <c r="AD2512" s="3"/>
      <c r="AE2512" s="3"/>
      <c r="AF2512" s="3"/>
      <c r="AG2512" s="3"/>
      <c r="AH2512" s="3"/>
    </row>
    <row r="2513" spans="1:34" ht="14.25" customHeight="1" x14ac:dyDescent="0.25">
      <c r="A2513" s="3"/>
      <c r="B2513" s="3"/>
      <c r="C2513" s="3"/>
      <c r="D2513" s="3"/>
      <c r="E2513" s="3"/>
      <c r="F2513" s="3"/>
      <c r="G2513" s="14"/>
      <c r="H2513" s="11"/>
      <c r="I2513" s="12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14"/>
      <c r="X2513" s="3"/>
      <c r="Y2513" s="14"/>
      <c r="Z2513" s="3"/>
      <c r="AA2513" s="3"/>
      <c r="AB2513" s="3"/>
      <c r="AC2513" s="3"/>
      <c r="AD2513" s="3"/>
      <c r="AE2513" s="3"/>
      <c r="AF2513" s="3"/>
      <c r="AG2513" s="3"/>
      <c r="AH2513" s="3"/>
    </row>
    <row r="2514" spans="1:34" ht="14.25" customHeight="1" x14ac:dyDescent="0.25">
      <c r="A2514" s="3"/>
      <c r="B2514" s="3"/>
      <c r="C2514" s="3"/>
      <c r="D2514" s="3"/>
      <c r="E2514" s="3"/>
      <c r="F2514" s="3"/>
      <c r="G2514" s="14"/>
      <c r="H2514" s="11"/>
      <c r="I2514" s="12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14"/>
      <c r="X2514" s="3"/>
      <c r="Y2514" s="14"/>
      <c r="Z2514" s="3"/>
      <c r="AA2514" s="3"/>
      <c r="AB2514" s="3"/>
      <c r="AC2514" s="3"/>
      <c r="AD2514" s="3"/>
      <c r="AE2514" s="3"/>
      <c r="AF2514" s="3"/>
      <c r="AG2514" s="3"/>
      <c r="AH2514" s="3"/>
    </row>
    <row r="2515" spans="1:34" ht="14.25" customHeight="1" x14ac:dyDescent="0.25">
      <c r="A2515" s="3"/>
      <c r="B2515" s="3"/>
      <c r="C2515" s="3"/>
      <c r="D2515" s="3"/>
      <c r="E2515" s="3"/>
      <c r="F2515" s="3"/>
      <c r="G2515" s="14"/>
      <c r="H2515" s="11"/>
      <c r="I2515" s="12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14"/>
      <c r="X2515" s="3"/>
      <c r="Y2515" s="14"/>
      <c r="Z2515" s="3"/>
      <c r="AA2515" s="3"/>
      <c r="AB2515" s="3"/>
      <c r="AC2515" s="3"/>
      <c r="AD2515" s="3"/>
      <c r="AE2515" s="3"/>
      <c r="AF2515" s="3"/>
      <c r="AG2515" s="3"/>
      <c r="AH2515" s="3"/>
    </row>
    <row r="2516" spans="1:34" ht="14.25" customHeight="1" x14ac:dyDescent="0.25">
      <c r="A2516" s="3"/>
      <c r="B2516" s="3"/>
      <c r="C2516" s="3"/>
      <c r="D2516" s="3"/>
      <c r="E2516" s="3"/>
      <c r="F2516" s="3"/>
      <c r="G2516" s="14"/>
      <c r="H2516" s="11"/>
      <c r="I2516" s="12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14"/>
      <c r="X2516" s="3"/>
      <c r="Y2516" s="14"/>
      <c r="Z2516" s="3"/>
      <c r="AA2516" s="3"/>
      <c r="AB2516" s="3"/>
      <c r="AC2516" s="3"/>
      <c r="AD2516" s="3"/>
      <c r="AE2516" s="3"/>
      <c r="AF2516" s="3"/>
      <c r="AG2516" s="3"/>
      <c r="AH2516" s="3"/>
    </row>
    <row r="2517" spans="1:34" ht="14.25" customHeight="1" x14ac:dyDescent="0.25">
      <c r="A2517" s="3"/>
      <c r="B2517" s="3"/>
      <c r="C2517" s="3"/>
      <c r="D2517" s="3"/>
      <c r="E2517" s="3"/>
      <c r="F2517" s="3"/>
      <c r="G2517" s="14"/>
      <c r="H2517" s="11"/>
      <c r="I2517" s="12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14"/>
      <c r="X2517" s="3"/>
      <c r="Y2517" s="14"/>
      <c r="Z2517" s="3"/>
      <c r="AA2517" s="3"/>
      <c r="AB2517" s="3"/>
      <c r="AC2517" s="3"/>
      <c r="AD2517" s="3"/>
      <c r="AE2517" s="3"/>
      <c r="AF2517" s="3"/>
      <c r="AG2517" s="3"/>
      <c r="AH2517" s="3"/>
    </row>
    <row r="2518" spans="1:34" ht="14.25" customHeight="1" x14ac:dyDescent="0.25">
      <c r="A2518" s="3"/>
      <c r="B2518" s="3"/>
      <c r="C2518" s="3"/>
      <c r="D2518" s="3"/>
      <c r="E2518" s="3"/>
      <c r="F2518" s="3"/>
      <c r="G2518" s="3"/>
      <c r="H2518" s="11"/>
      <c r="I2518" s="12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14"/>
      <c r="X2518" s="3"/>
      <c r="Y2518" s="14"/>
      <c r="Z2518" s="3"/>
      <c r="AA2518" s="3"/>
      <c r="AB2518" s="3"/>
      <c r="AC2518" s="3"/>
      <c r="AD2518" s="3"/>
      <c r="AE2518" s="3"/>
      <c r="AF2518" s="3"/>
      <c r="AG2518" s="3"/>
      <c r="AH2518" s="3"/>
    </row>
    <row r="2519" spans="1:34" ht="14.25" customHeight="1" x14ac:dyDescent="0.25">
      <c r="A2519" s="3"/>
      <c r="B2519" s="3"/>
      <c r="C2519" s="3"/>
      <c r="D2519" s="3"/>
      <c r="E2519" s="3"/>
      <c r="F2519" s="3"/>
      <c r="G2519" s="3"/>
      <c r="H2519" s="11"/>
      <c r="I2519" s="12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14"/>
      <c r="X2519" s="3"/>
      <c r="Y2519" s="14"/>
      <c r="Z2519" s="3"/>
      <c r="AA2519" s="3"/>
      <c r="AB2519" s="3"/>
      <c r="AC2519" s="3"/>
      <c r="AD2519" s="3"/>
      <c r="AE2519" s="3"/>
      <c r="AF2519" s="3"/>
      <c r="AG2519" s="3"/>
      <c r="AH2519" s="3"/>
    </row>
    <row r="2520" spans="1:34" ht="14.25" customHeight="1" x14ac:dyDescent="0.25">
      <c r="A2520" s="3"/>
      <c r="B2520" s="3"/>
      <c r="C2520" s="3"/>
      <c r="D2520" s="3"/>
      <c r="E2520" s="3"/>
      <c r="F2520" s="3"/>
      <c r="G2520" s="3"/>
      <c r="H2520" s="11"/>
      <c r="I2520" s="12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14"/>
      <c r="X2520" s="3"/>
      <c r="Y2520" s="14"/>
      <c r="Z2520" s="3"/>
      <c r="AA2520" s="3"/>
      <c r="AB2520" s="3"/>
      <c r="AC2520" s="3"/>
      <c r="AD2520" s="3"/>
      <c r="AE2520" s="3"/>
      <c r="AF2520" s="3"/>
      <c r="AG2520" s="3"/>
      <c r="AH2520" s="3"/>
    </row>
    <row r="2521" spans="1:34" ht="14.25" customHeight="1" x14ac:dyDescent="0.25">
      <c r="A2521" s="3"/>
      <c r="B2521" s="3"/>
      <c r="C2521" s="3"/>
      <c r="D2521" s="3"/>
      <c r="E2521" s="3"/>
      <c r="F2521" s="3"/>
      <c r="G2521" s="14"/>
      <c r="H2521" s="11"/>
      <c r="I2521" s="12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14"/>
      <c r="X2521" s="3"/>
      <c r="Y2521" s="14"/>
      <c r="Z2521" s="3"/>
      <c r="AA2521" s="3"/>
      <c r="AB2521" s="3"/>
      <c r="AC2521" s="3"/>
      <c r="AD2521" s="3"/>
      <c r="AE2521" s="3"/>
      <c r="AF2521" s="3"/>
      <c r="AG2521" s="3"/>
      <c r="AH2521" s="3"/>
    </row>
    <row r="2522" spans="1:34" ht="14.25" customHeight="1" x14ac:dyDescent="0.25">
      <c r="A2522" s="3"/>
      <c r="B2522" s="3"/>
      <c r="C2522" s="3"/>
      <c r="D2522" s="3"/>
      <c r="E2522" s="3"/>
      <c r="F2522" s="3"/>
      <c r="G2522" s="14"/>
      <c r="H2522" s="11"/>
      <c r="I2522" s="12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14"/>
      <c r="X2522" s="3"/>
      <c r="Y2522" s="14"/>
      <c r="Z2522" s="3"/>
      <c r="AA2522" s="3"/>
      <c r="AB2522" s="3"/>
      <c r="AC2522" s="3"/>
      <c r="AD2522" s="3"/>
      <c r="AE2522" s="3"/>
      <c r="AF2522" s="3"/>
      <c r="AG2522" s="3"/>
      <c r="AH2522" s="3"/>
    </row>
    <row r="2523" spans="1:34" ht="14.25" customHeight="1" x14ac:dyDescent="0.25">
      <c r="A2523" s="3"/>
      <c r="B2523" s="3"/>
      <c r="C2523" s="3"/>
      <c r="D2523" s="3"/>
      <c r="E2523" s="3"/>
      <c r="F2523" s="3"/>
      <c r="G2523" s="14"/>
      <c r="H2523" s="11"/>
      <c r="I2523" s="12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14"/>
      <c r="X2523" s="3"/>
      <c r="Y2523" s="14"/>
      <c r="Z2523" s="3"/>
      <c r="AA2523" s="3"/>
      <c r="AB2523" s="3"/>
      <c r="AC2523" s="3"/>
      <c r="AD2523" s="3"/>
      <c r="AE2523" s="3"/>
      <c r="AF2523" s="3"/>
      <c r="AG2523" s="3"/>
      <c r="AH2523" s="3"/>
    </row>
    <row r="2524" spans="1:34" ht="14.25" customHeight="1" x14ac:dyDescent="0.25">
      <c r="A2524" s="3"/>
      <c r="B2524" s="3"/>
      <c r="C2524" s="3"/>
      <c r="D2524" s="3"/>
      <c r="E2524" s="3"/>
      <c r="F2524" s="3"/>
      <c r="G2524" s="14"/>
      <c r="H2524" s="11"/>
      <c r="I2524" s="12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14"/>
      <c r="X2524" s="3"/>
      <c r="Y2524" s="14"/>
      <c r="Z2524" s="3"/>
      <c r="AA2524" s="3"/>
      <c r="AB2524" s="3"/>
      <c r="AC2524" s="3"/>
      <c r="AD2524" s="3"/>
      <c r="AE2524" s="3"/>
      <c r="AF2524" s="3"/>
      <c r="AG2524" s="3"/>
      <c r="AH2524" s="3"/>
    </row>
    <row r="2525" spans="1:34" ht="14.25" customHeight="1" x14ac:dyDescent="0.25">
      <c r="A2525" s="3"/>
      <c r="B2525" s="3"/>
      <c r="C2525" s="3"/>
      <c r="D2525" s="3"/>
      <c r="E2525" s="3"/>
      <c r="F2525" s="3"/>
      <c r="G2525" s="3"/>
      <c r="H2525" s="11"/>
      <c r="I2525" s="12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14"/>
      <c r="X2525" s="3"/>
      <c r="Y2525" s="14"/>
      <c r="Z2525" s="3"/>
      <c r="AA2525" s="3"/>
      <c r="AB2525" s="3"/>
      <c r="AC2525" s="3"/>
      <c r="AD2525" s="3"/>
      <c r="AE2525" s="3"/>
      <c r="AF2525" s="3"/>
      <c r="AG2525" s="3"/>
      <c r="AH2525" s="3"/>
    </row>
    <row r="2526" spans="1:34" ht="14.25" customHeight="1" x14ac:dyDescent="0.25">
      <c r="A2526" s="3"/>
      <c r="B2526" s="3"/>
      <c r="C2526" s="3"/>
      <c r="D2526" s="3"/>
      <c r="E2526" s="3"/>
      <c r="F2526" s="3"/>
      <c r="G2526" s="14"/>
      <c r="H2526" s="11"/>
      <c r="I2526" s="12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14"/>
      <c r="X2526" s="3"/>
      <c r="Y2526" s="14"/>
      <c r="Z2526" s="3"/>
      <c r="AA2526" s="3"/>
      <c r="AB2526" s="3"/>
      <c r="AC2526" s="3"/>
      <c r="AD2526" s="3"/>
      <c r="AE2526" s="3"/>
      <c r="AF2526" s="3"/>
      <c r="AG2526" s="3"/>
      <c r="AH2526" s="3"/>
    </row>
    <row r="2527" spans="1:34" ht="14.25" customHeight="1" x14ac:dyDescent="0.25">
      <c r="A2527" s="3"/>
      <c r="B2527" s="3"/>
      <c r="C2527" s="3"/>
      <c r="D2527" s="3"/>
      <c r="E2527" s="3"/>
      <c r="F2527" s="3"/>
      <c r="G2527" s="14"/>
      <c r="H2527" s="11"/>
      <c r="I2527" s="12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14"/>
      <c r="X2527" s="3"/>
      <c r="Y2527" s="14"/>
      <c r="Z2527" s="3"/>
      <c r="AA2527" s="3"/>
      <c r="AB2527" s="3"/>
      <c r="AC2527" s="3"/>
      <c r="AD2527" s="3"/>
      <c r="AE2527" s="3"/>
      <c r="AF2527" s="3"/>
      <c r="AG2527" s="3"/>
      <c r="AH2527" s="3"/>
    </row>
    <row r="2528" spans="1:34" ht="14.25" customHeight="1" x14ac:dyDescent="0.25">
      <c r="A2528" s="3"/>
      <c r="B2528" s="3"/>
      <c r="C2528" s="3"/>
      <c r="D2528" s="3"/>
      <c r="E2528" s="3"/>
      <c r="F2528" s="3"/>
      <c r="G2528" s="14"/>
      <c r="H2528" s="11"/>
      <c r="I2528" s="12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14"/>
      <c r="X2528" s="3"/>
      <c r="Y2528" s="14"/>
      <c r="Z2528" s="3"/>
      <c r="AA2528" s="3"/>
      <c r="AB2528" s="3"/>
      <c r="AC2528" s="3"/>
      <c r="AD2528" s="3"/>
      <c r="AE2528" s="3"/>
      <c r="AF2528" s="3"/>
      <c r="AG2528" s="3"/>
      <c r="AH2528" s="3"/>
    </row>
    <row r="2529" spans="1:34" ht="14.25" customHeight="1" x14ac:dyDescent="0.25">
      <c r="A2529" s="3"/>
      <c r="B2529" s="3"/>
      <c r="C2529" s="3"/>
      <c r="D2529" s="3"/>
      <c r="E2529" s="3"/>
      <c r="F2529" s="3"/>
      <c r="G2529" s="3"/>
      <c r="H2529" s="11"/>
      <c r="I2529" s="12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14"/>
      <c r="X2529" s="3"/>
      <c r="Y2529" s="14"/>
      <c r="Z2529" s="3"/>
      <c r="AA2529" s="3"/>
      <c r="AB2529" s="3"/>
      <c r="AC2529" s="3"/>
      <c r="AD2529" s="3"/>
      <c r="AE2529" s="3"/>
      <c r="AF2529" s="3"/>
      <c r="AG2529" s="3"/>
      <c r="AH2529" s="3"/>
    </row>
    <row r="2530" spans="1:34" ht="14.25" customHeight="1" x14ac:dyDescent="0.25">
      <c r="A2530" s="3"/>
      <c r="B2530" s="3"/>
      <c r="C2530" s="3"/>
      <c r="D2530" s="3"/>
      <c r="E2530" s="3"/>
      <c r="F2530" s="3"/>
      <c r="G2530" s="14"/>
      <c r="H2530" s="11"/>
      <c r="I2530" s="12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14"/>
      <c r="X2530" s="3"/>
      <c r="Y2530" s="14"/>
      <c r="Z2530" s="3"/>
      <c r="AA2530" s="3"/>
      <c r="AB2530" s="3"/>
      <c r="AC2530" s="3"/>
      <c r="AD2530" s="3"/>
      <c r="AE2530" s="3"/>
      <c r="AF2530" s="3"/>
      <c r="AG2530" s="3"/>
      <c r="AH2530" s="3"/>
    </row>
    <row r="2531" spans="1:34" ht="14.25" customHeight="1" x14ac:dyDescent="0.25">
      <c r="A2531" s="3"/>
      <c r="B2531" s="3"/>
      <c r="C2531" s="3"/>
      <c r="D2531" s="3"/>
      <c r="E2531" s="3"/>
      <c r="F2531" s="3"/>
      <c r="G2531" s="3"/>
      <c r="H2531" s="11"/>
      <c r="I2531" s="12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14"/>
      <c r="X2531" s="3"/>
      <c r="Y2531" s="14"/>
      <c r="Z2531" s="3"/>
      <c r="AA2531" s="3"/>
      <c r="AB2531" s="3"/>
      <c r="AC2531" s="3"/>
      <c r="AD2531" s="3"/>
      <c r="AE2531" s="3"/>
      <c r="AF2531" s="3"/>
      <c r="AG2531" s="3"/>
      <c r="AH2531" s="3"/>
    </row>
    <row r="2532" spans="1:34" ht="14.25" customHeight="1" x14ac:dyDescent="0.25">
      <c r="A2532" s="3"/>
      <c r="B2532" s="3"/>
      <c r="C2532" s="3"/>
      <c r="D2532" s="3"/>
      <c r="E2532" s="3"/>
      <c r="F2532" s="3"/>
      <c r="G2532" s="3"/>
      <c r="H2532" s="11"/>
      <c r="I2532" s="12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14"/>
      <c r="X2532" s="3"/>
      <c r="Y2532" s="14"/>
      <c r="Z2532" s="3"/>
      <c r="AA2532" s="3"/>
      <c r="AB2532" s="3"/>
      <c r="AC2532" s="3"/>
      <c r="AD2532" s="3"/>
      <c r="AE2532" s="3"/>
      <c r="AF2532" s="3"/>
      <c r="AG2532" s="3"/>
      <c r="AH2532" s="3"/>
    </row>
    <row r="2533" spans="1:34" ht="14.25" customHeight="1" x14ac:dyDescent="0.25">
      <c r="A2533" s="3"/>
      <c r="B2533" s="3"/>
      <c r="C2533" s="3"/>
      <c r="D2533" s="3"/>
      <c r="E2533" s="3"/>
      <c r="F2533" s="3"/>
      <c r="G2533" s="14"/>
      <c r="H2533" s="11"/>
      <c r="I2533" s="12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14"/>
      <c r="X2533" s="3"/>
      <c r="Y2533" s="14"/>
      <c r="Z2533" s="3"/>
      <c r="AA2533" s="3"/>
      <c r="AB2533" s="3"/>
      <c r="AC2533" s="3"/>
      <c r="AD2533" s="3"/>
      <c r="AE2533" s="3"/>
      <c r="AF2533" s="3"/>
      <c r="AG2533" s="3"/>
      <c r="AH2533" s="3"/>
    </row>
    <row r="2534" spans="1:34" ht="14.25" customHeight="1" x14ac:dyDescent="0.25">
      <c r="A2534" s="3"/>
      <c r="B2534" s="3"/>
      <c r="C2534" s="3"/>
      <c r="D2534" s="3"/>
      <c r="E2534" s="3"/>
      <c r="F2534" s="3"/>
      <c r="G2534" s="14"/>
      <c r="H2534" s="11"/>
      <c r="I2534" s="12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14"/>
      <c r="X2534" s="3"/>
      <c r="Y2534" s="14"/>
      <c r="Z2534" s="3"/>
      <c r="AA2534" s="3"/>
      <c r="AB2534" s="3"/>
      <c r="AC2534" s="3"/>
      <c r="AD2534" s="3"/>
      <c r="AE2534" s="3"/>
      <c r="AF2534" s="3"/>
      <c r="AG2534" s="3"/>
      <c r="AH2534" s="3"/>
    </row>
    <row r="2535" spans="1:34" ht="14.25" customHeight="1" x14ac:dyDescent="0.25">
      <c r="A2535" s="3"/>
      <c r="B2535" s="3"/>
      <c r="C2535" s="3"/>
      <c r="D2535" s="3"/>
      <c r="E2535" s="3"/>
      <c r="F2535" s="3"/>
      <c r="G2535" s="14"/>
      <c r="H2535" s="11"/>
      <c r="I2535" s="12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14"/>
      <c r="X2535" s="3"/>
      <c r="Y2535" s="14"/>
      <c r="Z2535" s="3"/>
      <c r="AA2535" s="3"/>
      <c r="AB2535" s="3"/>
      <c r="AC2535" s="3"/>
      <c r="AD2535" s="3"/>
      <c r="AE2535" s="3"/>
      <c r="AF2535" s="3"/>
      <c r="AG2535" s="3"/>
      <c r="AH2535" s="3"/>
    </row>
    <row r="2536" spans="1:34" ht="14.25" customHeight="1" x14ac:dyDescent="0.25">
      <c r="A2536" s="3"/>
      <c r="B2536" s="3"/>
      <c r="C2536" s="3"/>
      <c r="D2536" s="3"/>
      <c r="E2536" s="3"/>
      <c r="F2536" s="3"/>
      <c r="G2536" s="14"/>
      <c r="H2536" s="11"/>
      <c r="I2536" s="12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14"/>
      <c r="X2536" s="3"/>
      <c r="Y2536" s="14"/>
      <c r="Z2536" s="3"/>
      <c r="AA2536" s="3"/>
      <c r="AB2536" s="3"/>
      <c r="AC2536" s="3"/>
      <c r="AD2536" s="3"/>
      <c r="AE2536" s="3"/>
      <c r="AF2536" s="3"/>
      <c r="AG2536" s="3"/>
      <c r="AH2536" s="3"/>
    </row>
    <row r="2537" spans="1:34" ht="14.25" customHeight="1" x14ac:dyDescent="0.25">
      <c r="A2537" s="3"/>
      <c r="B2537" s="3"/>
      <c r="C2537" s="3"/>
      <c r="D2537" s="3"/>
      <c r="E2537" s="3"/>
      <c r="F2537" s="3"/>
      <c r="G2537" s="14"/>
      <c r="H2537" s="11"/>
      <c r="I2537" s="12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14"/>
      <c r="X2537" s="3"/>
      <c r="Y2537" s="14"/>
      <c r="Z2537" s="3"/>
      <c r="AA2537" s="3"/>
      <c r="AB2537" s="3"/>
      <c r="AC2537" s="3"/>
      <c r="AD2537" s="3"/>
      <c r="AE2537" s="3"/>
      <c r="AF2537" s="3"/>
      <c r="AG2537" s="3"/>
      <c r="AH2537" s="3"/>
    </row>
    <row r="2538" spans="1:34" ht="14.25" customHeight="1" x14ac:dyDescent="0.25">
      <c r="A2538" s="3"/>
      <c r="B2538" s="3"/>
      <c r="C2538" s="3"/>
      <c r="D2538" s="3"/>
      <c r="E2538" s="3"/>
      <c r="F2538" s="3"/>
      <c r="G2538" s="14"/>
      <c r="H2538" s="11"/>
      <c r="I2538" s="12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14"/>
      <c r="X2538" s="3"/>
      <c r="Y2538" s="14"/>
      <c r="Z2538" s="3"/>
      <c r="AA2538" s="3"/>
      <c r="AB2538" s="3"/>
      <c r="AC2538" s="3"/>
      <c r="AD2538" s="3"/>
      <c r="AE2538" s="3"/>
      <c r="AF2538" s="3"/>
      <c r="AG2538" s="3"/>
      <c r="AH2538" s="3"/>
    </row>
    <row r="2539" spans="1:34" ht="14.25" customHeight="1" x14ac:dyDescent="0.25">
      <c r="A2539" s="3"/>
      <c r="B2539" s="3"/>
      <c r="C2539" s="3"/>
      <c r="D2539" s="3"/>
      <c r="E2539" s="3"/>
      <c r="F2539" s="3"/>
      <c r="G2539" s="3"/>
      <c r="H2539" s="11"/>
      <c r="I2539" s="12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14"/>
      <c r="X2539" s="3"/>
      <c r="Y2539" s="14"/>
      <c r="Z2539" s="3"/>
      <c r="AA2539" s="3"/>
      <c r="AB2539" s="3"/>
      <c r="AC2539" s="3"/>
      <c r="AD2539" s="3"/>
      <c r="AE2539" s="3"/>
      <c r="AF2539" s="3"/>
      <c r="AG2539" s="3"/>
      <c r="AH2539" s="3"/>
    </row>
    <row r="2540" spans="1:34" ht="14.25" customHeight="1" x14ac:dyDescent="0.25">
      <c r="A2540" s="3"/>
      <c r="B2540" s="3"/>
      <c r="C2540" s="3"/>
      <c r="D2540" s="3"/>
      <c r="E2540" s="3"/>
      <c r="F2540" s="3"/>
      <c r="G2540" s="14"/>
      <c r="H2540" s="11"/>
      <c r="I2540" s="12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14"/>
      <c r="X2540" s="3"/>
      <c r="Y2540" s="14"/>
      <c r="Z2540" s="3"/>
      <c r="AA2540" s="3"/>
      <c r="AB2540" s="3"/>
      <c r="AC2540" s="3"/>
      <c r="AD2540" s="3"/>
      <c r="AE2540" s="3"/>
      <c r="AF2540" s="3"/>
      <c r="AG2540" s="3"/>
      <c r="AH2540" s="3"/>
    </row>
    <row r="2541" spans="1:34" ht="14.25" customHeight="1" x14ac:dyDescent="0.25">
      <c r="A2541" s="3"/>
      <c r="B2541" s="3"/>
      <c r="C2541" s="3"/>
      <c r="D2541" s="3"/>
      <c r="E2541" s="3"/>
      <c r="F2541" s="3"/>
      <c r="G2541" s="14"/>
      <c r="H2541" s="11"/>
      <c r="I2541" s="12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14"/>
      <c r="X2541" s="3"/>
      <c r="Y2541" s="14"/>
      <c r="Z2541" s="3"/>
      <c r="AA2541" s="3"/>
      <c r="AB2541" s="3"/>
      <c r="AC2541" s="3"/>
      <c r="AD2541" s="3"/>
      <c r="AE2541" s="3"/>
      <c r="AF2541" s="3"/>
      <c r="AG2541" s="3"/>
      <c r="AH2541" s="3"/>
    </row>
    <row r="2542" spans="1:34" ht="14.25" customHeight="1" x14ac:dyDescent="0.25">
      <c r="A2542" s="3"/>
      <c r="B2542" s="3"/>
      <c r="C2542" s="3"/>
      <c r="D2542" s="3"/>
      <c r="E2542" s="3"/>
      <c r="F2542" s="3"/>
      <c r="G2542" s="14"/>
      <c r="H2542" s="11"/>
      <c r="I2542" s="12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14"/>
      <c r="X2542" s="3"/>
      <c r="Y2542" s="14"/>
      <c r="Z2542" s="3"/>
      <c r="AA2542" s="3"/>
      <c r="AB2542" s="3"/>
      <c r="AC2542" s="3"/>
      <c r="AD2542" s="3"/>
      <c r="AE2542" s="3"/>
      <c r="AF2542" s="3"/>
      <c r="AG2542" s="3"/>
      <c r="AH2542" s="3"/>
    </row>
    <row r="2543" spans="1:34" ht="14.25" customHeight="1" x14ac:dyDescent="0.25">
      <c r="A2543" s="3"/>
      <c r="B2543" s="3"/>
      <c r="C2543" s="3"/>
      <c r="D2543" s="3"/>
      <c r="E2543" s="3"/>
      <c r="F2543" s="3"/>
      <c r="G2543" s="14"/>
      <c r="H2543" s="11"/>
      <c r="I2543" s="12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14"/>
      <c r="X2543" s="3"/>
      <c r="Y2543" s="14"/>
      <c r="Z2543" s="3"/>
      <c r="AA2543" s="3"/>
      <c r="AB2543" s="3"/>
      <c r="AC2543" s="3"/>
      <c r="AD2543" s="3"/>
      <c r="AE2543" s="3"/>
      <c r="AF2543" s="3"/>
      <c r="AG2543" s="3"/>
      <c r="AH2543" s="3"/>
    </row>
    <row r="2544" spans="1:34" ht="14.25" customHeight="1" x14ac:dyDescent="0.25">
      <c r="A2544" s="3"/>
      <c r="B2544" s="3"/>
      <c r="C2544" s="3"/>
      <c r="D2544" s="3"/>
      <c r="E2544" s="3"/>
      <c r="F2544" s="3"/>
      <c r="G2544" s="14"/>
      <c r="H2544" s="11"/>
      <c r="I2544" s="12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14"/>
      <c r="X2544" s="3"/>
      <c r="Y2544" s="14"/>
      <c r="Z2544" s="3"/>
      <c r="AA2544" s="3"/>
      <c r="AB2544" s="3"/>
      <c r="AC2544" s="3"/>
      <c r="AD2544" s="3"/>
      <c r="AE2544" s="3"/>
      <c r="AF2544" s="3"/>
      <c r="AG2544" s="3"/>
      <c r="AH2544" s="3"/>
    </row>
    <row r="2545" spans="1:34" ht="14.25" customHeight="1" x14ac:dyDescent="0.25">
      <c r="A2545" s="3"/>
      <c r="B2545" s="3"/>
      <c r="C2545" s="3"/>
      <c r="D2545" s="3"/>
      <c r="E2545" s="3"/>
      <c r="F2545" s="3"/>
      <c r="G2545" s="14"/>
      <c r="H2545" s="11"/>
      <c r="I2545" s="12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14"/>
      <c r="X2545" s="3"/>
      <c r="Y2545" s="14"/>
      <c r="Z2545" s="3"/>
      <c r="AA2545" s="3"/>
      <c r="AB2545" s="3"/>
      <c r="AC2545" s="3"/>
      <c r="AD2545" s="3"/>
      <c r="AE2545" s="3"/>
      <c r="AF2545" s="3"/>
      <c r="AG2545" s="3"/>
      <c r="AH2545" s="3"/>
    </row>
    <row r="2546" spans="1:34" ht="14.25" customHeight="1" x14ac:dyDescent="0.25">
      <c r="A2546" s="3"/>
      <c r="B2546" s="3"/>
      <c r="C2546" s="3"/>
      <c r="D2546" s="3"/>
      <c r="E2546" s="3"/>
      <c r="F2546" s="3"/>
      <c r="G2546" s="14"/>
      <c r="H2546" s="11"/>
      <c r="I2546" s="12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14"/>
      <c r="X2546" s="3"/>
      <c r="Y2546" s="14"/>
      <c r="Z2546" s="3"/>
      <c r="AA2546" s="3"/>
      <c r="AB2546" s="3"/>
      <c r="AC2546" s="3"/>
      <c r="AD2546" s="3"/>
      <c r="AE2546" s="3"/>
      <c r="AF2546" s="3"/>
      <c r="AG2546" s="3"/>
      <c r="AH2546" s="3"/>
    </row>
    <row r="2547" spans="1:34" ht="14.25" customHeight="1" x14ac:dyDescent="0.25">
      <c r="A2547" s="3"/>
      <c r="B2547" s="3"/>
      <c r="C2547" s="3"/>
      <c r="D2547" s="3"/>
      <c r="E2547" s="3"/>
      <c r="F2547" s="3"/>
      <c r="G2547" s="14"/>
      <c r="H2547" s="11"/>
      <c r="I2547" s="12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14"/>
      <c r="X2547" s="3"/>
      <c r="Y2547" s="14"/>
      <c r="Z2547" s="3"/>
      <c r="AA2547" s="3"/>
      <c r="AB2547" s="3"/>
      <c r="AC2547" s="3"/>
      <c r="AD2547" s="3"/>
      <c r="AE2547" s="3"/>
      <c r="AF2547" s="3"/>
      <c r="AG2547" s="3"/>
      <c r="AH2547" s="3"/>
    </row>
    <row r="2548" spans="1:34" ht="14.25" customHeight="1" x14ac:dyDescent="0.25">
      <c r="A2548" s="3"/>
      <c r="B2548" s="3"/>
      <c r="C2548" s="3"/>
      <c r="D2548" s="3"/>
      <c r="E2548" s="3"/>
      <c r="F2548" s="3"/>
      <c r="G2548" s="14"/>
      <c r="H2548" s="11"/>
      <c r="I2548" s="12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14"/>
      <c r="X2548" s="3"/>
      <c r="Y2548" s="14"/>
      <c r="Z2548" s="3"/>
      <c r="AA2548" s="3"/>
      <c r="AB2548" s="3"/>
      <c r="AC2548" s="3"/>
      <c r="AD2548" s="3"/>
      <c r="AE2548" s="3"/>
      <c r="AF2548" s="3"/>
      <c r="AG2548" s="3"/>
      <c r="AH2548" s="3"/>
    </row>
    <row r="2549" spans="1:34" ht="14.25" customHeight="1" x14ac:dyDescent="0.25">
      <c r="A2549" s="3"/>
      <c r="B2549" s="3"/>
      <c r="C2549" s="3"/>
      <c r="D2549" s="3"/>
      <c r="E2549" s="3"/>
      <c r="F2549" s="3"/>
      <c r="G2549" s="14"/>
      <c r="H2549" s="11"/>
      <c r="I2549" s="12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14"/>
      <c r="X2549" s="3"/>
      <c r="Y2549" s="14"/>
      <c r="Z2549" s="3"/>
      <c r="AA2549" s="3"/>
      <c r="AB2549" s="3"/>
      <c r="AC2549" s="3"/>
      <c r="AD2549" s="3"/>
      <c r="AE2549" s="3"/>
      <c r="AF2549" s="3"/>
      <c r="AG2549" s="3"/>
      <c r="AH2549" s="3"/>
    </row>
    <row r="2550" spans="1:34" ht="14.25" customHeight="1" x14ac:dyDescent="0.25">
      <c r="A2550" s="3"/>
      <c r="B2550" s="3"/>
      <c r="C2550" s="3"/>
      <c r="D2550" s="3"/>
      <c r="E2550" s="3"/>
      <c r="F2550" s="3"/>
      <c r="G2550" s="14"/>
      <c r="H2550" s="11"/>
      <c r="I2550" s="12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14"/>
      <c r="X2550" s="3"/>
      <c r="Y2550" s="14"/>
      <c r="Z2550" s="3"/>
      <c r="AA2550" s="3"/>
      <c r="AB2550" s="3"/>
      <c r="AC2550" s="3"/>
      <c r="AD2550" s="3"/>
      <c r="AE2550" s="3"/>
      <c r="AF2550" s="3"/>
      <c r="AG2550" s="3"/>
      <c r="AH2550" s="3"/>
    </row>
    <row r="2551" spans="1:34" ht="14.25" customHeight="1" x14ac:dyDescent="0.25">
      <c r="A2551" s="3"/>
      <c r="B2551" s="3"/>
      <c r="C2551" s="3"/>
      <c r="D2551" s="3"/>
      <c r="E2551" s="3"/>
      <c r="F2551" s="3"/>
      <c r="G2551" s="14"/>
      <c r="H2551" s="11"/>
      <c r="I2551" s="12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14"/>
      <c r="X2551" s="3"/>
      <c r="Y2551" s="14"/>
      <c r="Z2551" s="3"/>
      <c r="AA2551" s="3"/>
      <c r="AB2551" s="3"/>
      <c r="AC2551" s="3"/>
      <c r="AD2551" s="3"/>
      <c r="AE2551" s="3"/>
      <c r="AF2551" s="3"/>
      <c r="AG2551" s="3"/>
      <c r="AH2551" s="3"/>
    </row>
    <row r="2552" spans="1:34" ht="14.25" customHeight="1" x14ac:dyDescent="0.25">
      <c r="A2552" s="3"/>
      <c r="B2552" s="3"/>
      <c r="C2552" s="3"/>
      <c r="D2552" s="3"/>
      <c r="E2552" s="3"/>
      <c r="F2552" s="3"/>
      <c r="G2552" s="14"/>
      <c r="H2552" s="11"/>
      <c r="I2552" s="12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14"/>
      <c r="X2552" s="3"/>
      <c r="Y2552" s="14"/>
      <c r="Z2552" s="3"/>
      <c r="AA2552" s="3"/>
      <c r="AB2552" s="3"/>
      <c r="AC2552" s="3"/>
      <c r="AD2552" s="3"/>
      <c r="AE2552" s="3"/>
      <c r="AF2552" s="3"/>
      <c r="AG2552" s="3"/>
      <c r="AH2552" s="3"/>
    </row>
    <row r="2553" spans="1:34" ht="14.25" customHeight="1" x14ac:dyDescent="0.25">
      <c r="A2553" s="3"/>
      <c r="B2553" s="3"/>
      <c r="C2553" s="3"/>
      <c r="D2553" s="3"/>
      <c r="E2553" s="3"/>
      <c r="F2553" s="3"/>
      <c r="G2553" s="14"/>
      <c r="H2553" s="11"/>
      <c r="I2553" s="12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14"/>
      <c r="X2553" s="3"/>
      <c r="Y2553" s="14"/>
      <c r="Z2553" s="3"/>
      <c r="AA2553" s="3"/>
      <c r="AB2553" s="3"/>
      <c r="AC2553" s="3"/>
      <c r="AD2553" s="3"/>
      <c r="AE2553" s="3"/>
      <c r="AF2553" s="3"/>
      <c r="AG2553" s="3"/>
      <c r="AH2553" s="3"/>
    </row>
    <row r="2554" spans="1:34" ht="14.25" customHeight="1" x14ac:dyDescent="0.25">
      <c r="A2554" s="3"/>
      <c r="B2554" s="3"/>
      <c r="C2554" s="3"/>
      <c r="D2554" s="3"/>
      <c r="E2554" s="3"/>
      <c r="F2554" s="3"/>
      <c r="G2554" s="14"/>
      <c r="H2554" s="11"/>
      <c r="I2554" s="12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14"/>
      <c r="X2554" s="3"/>
      <c r="Y2554" s="14"/>
      <c r="Z2554" s="3"/>
      <c r="AA2554" s="3"/>
      <c r="AB2554" s="3"/>
      <c r="AC2554" s="3"/>
      <c r="AD2554" s="3"/>
      <c r="AE2554" s="3"/>
      <c r="AF2554" s="3"/>
      <c r="AG2554" s="3"/>
      <c r="AH2554" s="3"/>
    </row>
    <row r="2555" spans="1:34" ht="14.25" customHeight="1" x14ac:dyDescent="0.25">
      <c r="A2555" s="3"/>
      <c r="B2555" s="3"/>
      <c r="C2555" s="3"/>
      <c r="D2555" s="3"/>
      <c r="E2555" s="3"/>
      <c r="F2555" s="3"/>
      <c r="G2555" s="14"/>
      <c r="H2555" s="11"/>
      <c r="I2555" s="12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14"/>
      <c r="X2555" s="3"/>
      <c r="Y2555" s="14"/>
      <c r="Z2555" s="3"/>
      <c r="AA2555" s="3"/>
      <c r="AB2555" s="3"/>
      <c r="AC2555" s="3"/>
      <c r="AD2555" s="3"/>
      <c r="AE2555" s="3"/>
      <c r="AF2555" s="3"/>
      <c r="AG2555" s="3"/>
      <c r="AH2555" s="3"/>
    </row>
    <row r="2556" spans="1:34" ht="14.25" customHeight="1" x14ac:dyDescent="0.25">
      <c r="A2556" s="3"/>
      <c r="B2556" s="3"/>
      <c r="C2556" s="3"/>
      <c r="D2556" s="3"/>
      <c r="E2556" s="3"/>
      <c r="F2556" s="3"/>
      <c r="G2556" s="14"/>
      <c r="H2556" s="11"/>
      <c r="I2556" s="12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14"/>
      <c r="X2556" s="3"/>
      <c r="Y2556" s="14"/>
      <c r="Z2556" s="3"/>
      <c r="AA2556" s="3"/>
      <c r="AB2556" s="3"/>
      <c r="AC2556" s="3"/>
      <c r="AD2556" s="3"/>
      <c r="AE2556" s="3"/>
      <c r="AF2556" s="3"/>
      <c r="AG2556" s="3"/>
      <c r="AH2556" s="3"/>
    </row>
    <row r="2557" spans="1:34" ht="14.25" customHeight="1" x14ac:dyDescent="0.25">
      <c r="A2557" s="3"/>
      <c r="B2557" s="3"/>
      <c r="C2557" s="3"/>
      <c r="D2557" s="3"/>
      <c r="E2557" s="3"/>
      <c r="F2557" s="3"/>
      <c r="G2557" s="3"/>
      <c r="H2557" s="11"/>
      <c r="I2557" s="12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14"/>
      <c r="X2557" s="3"/>
      <c r="Y2557" s="14"/>
      <c r="Z2557" s="3"/>
      <c r="AA2557" s="3"/>
      <c r="AB2557" s="3"/>
      <c r="AC2557" s="3"/>
      <c r="AD2557" s="3"/>
      <c r="AE2557" s="3"/>
      <c r="AF2557" s="3"/>
      <c r="AG2557" s="3"/>
      <c r="AH2557" s="3"/>
    </row>
    <row r="2558" spans="1:34" ht="14.25" customHeight="1" x14ac:dyDescent="0.25">
      <c r="A2558" s="3"/>
      <c r="B2558" s="3"/>
      <c r="C2558" s="3"/>
      <c r="D2558" s="3"/>
      <c r="E2558" s="3"/>
      <c r="F2558" s="3"/>
      <c r="G2558" s="3"/>
      <c r="H2558" s="11"/>
      <c r="I2558" s="12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14"/>
      <c r="X2558" s="3"/>
      <c r="Y2558" s="14"/>
      <c r="Z2558" s="3"/>
      <c r="AA2558" s="3"/>
      <c r="AB2558" s="3"/>
      <c r="AC2558" s="3"/>
      <c r="AD2558" s="3"/>
      <c r="AE2558" s="3"/>
      <c r="AF2558" s="3"/>
      <c r="AG2558" s="3"/>
      <c r="AH2558" s="3"/>
    </row>
    <row r="2559" spans="1:34" ht="14.25" customHeight="1" x14ac:dyDescent="0.25">
      <c r="A2559" s="3"/>
      <c r="B2559" s="3"/>
      <c r="C2559" s="3"/>
      <c r="D2559" s="3"/>
      <c r="E2559" s="3"/>
      <c r="F2559" s="3"/>
      <c r="G2559" s="14"/>
      <c r="H2559" s="11"/>
      <c r="I2559" s="12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14"/>
      <c r="X2559" s="3"/>
      <c r="Y2559" s="14"/>
      <c r="Z2559" s="3"/>
      <c r="AA2559" s="3"/>
      <c r="AB2559" s="3"/>
      <c r="AC2559" s="3"/>
      <c r="AD2559" s="3"/>
      <c r="AE2559" s="3"/>
      <c r="AF2559" s="3"/>
      <c r="AG2559" s="3"/>
      <c r="AH2559" s="3"/>
    </row>
    <row r="2560" spans="1:34" ht="14.25" customHeight="1" x14ac:dyDescent="0.25">
      <c r="A2560" s="3"/>
      <c r="B2560" s="3"/>
      <c r="C2560" s="3"/>
      <c r="D2560" s="3"/>
      <c r="E2560" s="3"/>
      <c r="F2560" s="3"/>
      <c r="G2560" s="14"/>
      <c r="H2560" s="11"/>
      <c r="I2560" s="12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14"/>
      <c r="X2560" s="3"/>
      <c r="Y2560" s="14"/>
      <c r="Z2560" s="3"/>
      <c r="AA2560" s="3"/>
      <c r="AB2560" s="3"/>
      <c r="AC2560" s="3"/>
      <c r="AD2560" s="3"/>
      <c r="AE2560" s="3"/>
      <c r="AF2560" s="3"/>
      <c r="AG2560" s="3"/>
      <c r="AH2560" s="3"/>
    </row>
    <row r="2561" spans="1:34" ht="14.25" customHeight="1" x14ac:dyDescent="0.25">
      <c r="A2561" s="3"/>
      <c r="B2561" s="3"/>
      <c r="C2561" s="3"/>
      <c r="D2561" s="3"/>
      <c r="E2561" s="3"/>
      <c r="F2561" s="3"/>
      <c r="G2561" s="3"/>
      <c r="H2561" s="11"/>
      <c r="I2561" s="12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14"/>
      <c r="X2561" s="3"/>
      <c r="Y2561" s="14"/>
      <c r="Z2561" s="3"/>
      <c r="AA2561" s="3"/>
      <c r="AB2561" s="3"/>
      <c r="AC2561" s="3"/>
      <c r="AD2561" s="3"/>
      <c r="AE2561" s="3"/>
      <c r="AF2561" s="3"/>
      <c r="AG2561" s="3"/>
      <c r="AH2561" s="3"/>
    </row>
    <row r="2562" spans="1:34" ht="14.25" customHeight="1" x14ac:dyDescent="0.25">
      <c r="A2562" s="3"/>
      <c r="B2562" s="3"/>
      <c r="C2562" s="3"/>
      <c r="D2562" s="3"/>
      <c r="E2562" s="3"/>
      <c r="F2562" s="3"/>
      <c r="G2562" s="14"/>
      <c r="H2562" s="11"/>
      <c r="I2562" s="12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14"/>
      <c r="X2562" s="3"/>
      <c r="Y2562" s="14"/>
      <c r="Z2562" s="3"/>
      <c r="AA2562" s="3"/>
      <c r="AB2562" s="3"/>
      <c r="AC2562" s="3"/>
      <c r="AD2562" s="3"/>
      <c r="AE2562" s="3"/>
      <c r="AF2562" s="3"/>
      <c r="AG2562" s="3"/>
      <c r="AH2562" s="3"/>
    </row>
    <row r="2563" spans="1:34" ht="14.25" customHeight="1" x14ac:dyDescent="0.25">
      <c r="A2563" s="3"/>
      <c r="B2563" s="3"/>
      <c r="C2563" s="3"/>
      <c r="D2563" s="3"/>
      <c r="E2563" s="3"/>
      <c r="F2563" s="3"/>
      <c r="G2563" s="14"/>
      <c r="H2563" s="11"/>
      <c r="I2563" s="12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14"/>
      <c r="X2563" s="3"/>
      <c r="Y2563" s="14"/>
      <c r="Z2563" s="3"/>
      <c r="AA2563" s="3"/>
      <c r="AB2563" s="3"/>
      <c r="AC2563" s="3"/>
      <c r="AD2563" s="3"/>
      <c r="AE2563" s="3"/>
      <c r="AF2563" s="3"/>
      <c r="AG2563" s="3"/>
      <c r="AH2563" s="3"/>
    </row>
    <row r="2564" spans="1:34" ht="14.25" customHeight="1" x14ac:dyDescent="0.25">
      <c r="A2564" s="3"/>
      <c r="B2564" s="3"/>
      <c r="C2564" s="3"/>
      <c r="D2564" s="3"/>
      <c r="E2564" s="3"/>
      <c r="F2564" s="3"/>
      <c r="G2564" s="14"/>
      <c r="H2564" s="11"/>
      <c r="I2564" s="12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14"/>
      <c r="X2564" s="3"/>
      <c r="Y2564" s="14"/>
      <c r="Z2564" s="3"/>
      <c r="AA2564" s="3"/>
      <c r="AB2564" s="3"/>
      <c r="AC2564" s="3"/>
      <c r="AD2564" s="3"/>
      <c r="AE2564" s="3"/>
      <c r="AF2564" s="3"/>
      <c r="AG2564" s="3"/>
      <c r="AH2564" s="3"/>
    </row>
    <row r="2565" spans="1:34" ht="14.25" customHeight="1" x14ac:dyDescent="0.25">
      <c r="A2565" s="3"/>
      <c r="B2565" s="3"/>
      <c r="C2565" s="3"/>
      <c r="D2565" s="3"/>
      <c r="E2565" s="3"/>
      <c r="F2565" s="3"/>
      <c r="G2565" s="14"/>
      <c r="H2565" s="11"/>
      <c r="I2565" s="12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14"/>
      <c r="X2565" s="3"/>
      <c r="Y2565" s="14"/>
      <c r="Z2565" s="3"/>
      <c r="AA2565" s="3"/>
      <c r="AB2565" s="3"/>
      <c r="AC2565" s="3"/>
      <c r="AD2565" s="3"/>
      <c r="AE2565" s="3"/>
      <c r="AF2565" s="3"/>
      <c r="AG2565" s="3"/>
      <c r="AH2565" s="3"/>
    </row>
    <row r="2566" spans="1:34" ht="14.25" customHeight="1" x14ac:dyDescent="0.25">
      <c r="A2566" s="3"/>
      <c r="B2566" s="3"/>
      <c r="C2566" s="3"/>
      <c r="D2566" s="3"/>
      <c r="E2566" s="3"/>
      <c r="F2566" s="3"/>
      <c r="G2566" s="14"/>
      <c r="H2566" s="11"/>
      <c r="I2566" s="12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14"/>
      <c r="X2566" s="3"/>
      <c r="Y2566" s="14"/>
      <c r="Z2566" s="3"/>
      <c r="AA2566" s="3"/>
      <c r="AB2566" s="3"/>
      <c r="AC2566" s="3"/>
      <c r="AD2566" s="3"/>
      <c r="AE2566" s="3"/>
      <c r="AF2566" s="3"/>
      <c r="AG2566" s="3"/>
      <c r="AH2566" s="3"/>
    </row>
    <row r="2567" spans="1:34" ht="14.25" customHeight="1" x14ac:dyDescent="0.25">
      <c r="A2567" s="3"/>
      <c r="B2567" s="3"/>
      <c r="C2567" s="3"/>
      <c r="D2567" s="3"/>
      <c r="E2567" s="3"/>
      <c r="F2567" s="3"/>
      <c r="G2567" s="14"/>
      <c r="H2567" s="11"/>
      <c r="I2567" s="12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14"/>
      <c r="X2567" s="3"/>
      <c r="Y2567" s="14"/>
      <c r="Z2567" s="3"/>
      <c r="AA2567" s="3"/>
      <c r="AB2567" s="3"/>
      <c r="AC2567" s="3"/>
      <c r="AD2567" s="3"/>
      <c r="AE2567" s="3"/>
      <c r="AF2567" s="3"/>
      <c r="AG2567" s="3"/>
      <c r="AH2567" s="3"/>
    </row>
    <row r="2568" spans="1:34" ht="14.25" customHeight="1" x14ac:dyDescent="0.25">
      <c r="A2568" s="3"/>
      <c r="B2568" s="3"/>
      <c r="C2568" s="3"/>
      <c r="D2568" s="3"/>
      <c r="E2568" s="3"/>
      <c r="F2568" s="3"/>
      <c r="G2568" s="14"/>
      <c r="H2568" s="11"/>
      <c r="I2568" s="12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14"/>
      <c r="X2568" s="3"/>
      <c r="Y2568" s="14"/>
      <c r="Z2568" s="3"/>
      <c r="AA2568" s="3"/>
      <c r="AB2568" s="3"/>
      <c r="AC2568" s="3"/>
      <c r="AD2568" s="3"/>
      <c r="AE2568" s="3"/>
      <c r="AF2568" s="3"/>
      <c r="AG2568" s="3"/>
      <c r="AH2568" s="3"/>
    </row>
    <row r="2569" spans="1:34" ht="14.25" customHeight="1" x14ac:dyDescent="0.25">
      <c r="A2569" s="3"/>
      <c r="B2569" s="3"/>
      <c r="C2569" s="3"/>
      <c r="D2569" s="3"/>
      <c r="E2569" s="3"/>
      <c r="F2569" s="3"/>
      <c r="G2569" s="3"/>
      <c r="H2569" s="11"/>
      <c r="I2569" s="12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14"/>
      <c r="X2569" s="3"/>
      <c r="Y2569" s="14"/>
      <c r="Z2569" s="3"/>
      <c r="AA2569" s="3"/>
      <c r="AB2569" s="3"/>
      <c r="AC2569" s="3"/>
      <c r="AD2569" s="3"/>
      <c r="AE2569" s="3"/>
      <c r="AF2569" s="3"/>
      <c r="AG2569" s="3"/>
      <c r="AH2569" s="3"/>
    </row>
    <row r="2570" spans="1:34" ht="14.25" customHeight="1" x14ac:dyDescent="0.25">
      <c r="A2570" s="3"/>
      <c r="B2570" s="3"/>
      <c r="C2570" s="3"/>
      <c r="D2570" s="3"/>
      <c r="E2570" s="3"/>
      <c r="F2570" s="3"/>
      <c r="G2570" s="3"/>
      <c r="H2570" s="11"/>
      <c r="I2570" s="12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14"/>
      <c r="X2570" s="3"/>
      <c r="Y2570" s="14"/>
      <c r="Z2570" s="3"/>
      <c r="AA2570" s="3"/>
      <c r="AB2570" s="3"/>
      <c r="AC2570" s="3"/>
      <c r="AD2570" s="3"/>
      <c r="AE2570" s="3"/>
      <c r="AF2570" s="3"/>
      <c r="AG2570" s="3"/>
      <c r="AH2570" s="3"/>
    </row>
    <row r="2571" spans="1:34" ht="14.25" customHeight="1" x14ac:dyDescent="0.25">
      <c r="A2571" s="3"/>
      <c r="B2571" s="3"/>
      <c r="C2571" s="3"/>
      <c r="D2571" s="3"/>
      <c r="E2571" s="3"/>
      <c r="F2571" s="3"/>
      <c r="G2571" s="14"/>
      <c r="H2571" s="11"/>
      <c r="I2571" s="12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14"/>
      <c r="X2571" s="3"/>
      <c r="Y2571" s="14"/>
      <c r="Z2571" s="3"/>
      <c r="AA2571" s="3"/>
      <c r="AB2571" s="3"/>
      <c r="AC2571" s="3"/>
      <c r="AD2571" s="3"/>
      <c r="AE2571" s="3"/>
      <c r="AF2571" s="3"/>
      <c r="AG2571" s="3"/>
      <c r="AH2571" s="3"/>
    </row>
    <row r="2572" spans="1:34" ht="14.25" customHeight="1" x14ac:dyDescent="0.25">
      <c r="A2572" s="3"/>
      <c r="B2572" s="3"/>
      <c r="C2572" s="3"/>
      <c r="D2572" s="3"/>
      <c r="E2572" s="3"/>
      <c r="F2572" s="3"/>
      <c r="G2572" s="14"/>
      <c r="H2572" s="11"/>
      <c r="I2572" s="12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14"/>
      <c r="X2572" s="3"/>
      <c r="Y2572" s="14"/>
      <c r="Z2572" s="3"/>
      <c r="AA2572" s="3"/>
      <c r="AB2572" s="3"/>
      <c r="AC2572" s="3"/>
      <c r="AD2572" s="3"/>
      <c r="AE2572" s="3"/>
      <c r="AF2572" s="3"/>
      <c r="AG2572" s="3"/>
      <c r="AH2572" s="3"/>
    </row>
    <row r="2573" spans="1:34" ht="14.25" customHeight="1" x14ac:dyDescent="0.25">
      <c r="A2573" s="3"/>
      <c r="B2573" s="3"/>
      <c r="C2573" s="3"/>
      <c r="D2573" s="3"/>
      <c r="E2573" s="3"/>
      <c r="F2573" s="3"/>
      <c r="G2573" s="3"/>
      <c r="H2573" s="11"/>
      <c r="I2573" s="12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14"/>
      <c r="X2573" s="3"/>
      <c r="Y2573" s="14"/>
      <c r="Z2573" s="3"/>
      <c r="AA2573" s="3"/>
      <c r="AB2573" s="3"/>
      <c r="AC2573" s="3"/>
      <c r="AD2573" s="3"/>
      <c r="AE2573" s="3"/>
      <c r="AF2573" s="3"/>
      <c r="AG2573" s="3"/>
      <c r="AH2573" s="3"/>
    </row>
    <row r="2574" spans="1:34" ht="14.25" customHeight="1" x14ac:dyDescent="0.25">
      <c r="A2574" s="3"/>
      <c r="B2574" s="3"/>
      <c r="C2574" s="3"/>
      <c r="D2574" s="3"/>
      <c r="E2574" s="3"/>
      <c r="F2574" s="3"/>
      <c r="G2574" s="3"/>
      <c r="H2574" s="11"/>
      <c r="I2574" s="12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14"/>
      <c r="X2574" s="3"/>
      <c r="Y2574" s="14"/>
      <c r="Z2574" s="3"/>
      <c r="AA2574" s="3"/>
      <c r="AB2574" s="3"/>
      <c r="AC2574" s="3"/>
      <c r="AD2574" s="3"/>
      <c r="AE2574" s="3"/>
      <c r="AF2574" s="3"/>
      <c r="AG2574" s="3"/>
      <c r="AH2574" s="3"/>
    </row>
    <row r="2575" spans="1:34" ht="14.25" customHeight="1" x14ac:dyDescent="0.25">
      <c r="A2575" s="3"/>
      <c r="B2575" s="3"/>
      <c r="C2575" s="3"/>
      <c r="D2575" s="3"/>
      <c r="E2575" s="3"/>
      <c r="F2575" s="3"/>
      <c r="G2575" s="14"/>
      <c r="H2575" s="11"/>
      <c r="I2575" s="12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14"/>
      <c r="X2575" s="3"/>
      <c r="Y2575" s="14"/>
      <c r="Z2575" s="3"/>
      <c r="AA2575" s="3"/>
      <c r="AB2575" s="3"/>
      <c r="AC2575" s="3"/>
      <c r="AD2575" s="3"/>
      <c r="AE2575" s="3"/>
      <c r="AF2575" s="3"/>
      <c r="AG2575" s="3"/>
      <c r="AH2575" s="3"/>
    </row>
    <row r="2576" spans="1:34" ht="14.25" customHeight="1" x14ac:dyDescent="0.25">
      <c r="A2576" s="3"/>
      <c r="B2576" s="3"/>
      <c r="C2576" s="3"/>
      <c r="D2576" s="3"/>
      <c r="E2576" s="3"/>
      <c r="F2576" s="3"/>
      <c r="G2576" s="14"/>
      <c r="H2576" s="11"/>
      <c r="I2576" s="12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14"/>
      <c r="X2576" s="3"/>
      <c r="Y2576" s="14"/>
      <c r="Z2576" s="3"/>
      <c r="AA2576" s="3"/>
      <c r="AB2576" s="3"/>
      <c r="AC2576" s="3"/>
      <c r="AD2576" s="3"/>
      <c r="AE2576" s="3"/>
      <c r="AF2576" s="3"/>
      <c r="AG2576" s="3"/>
      <c r="AH2576" s="3"/>
    </row>
    <row r="2577" spans="1:34" ht="14.25" customHeight="1" x14ac:dyDescent="0.25">
      <c r="A2577" s="3"/>
      <c r="B2577" s="3"/>
      <c r="C2577" s="3"/>
      <c r="D2577" s="3"/>
      <c r="E2577" s="3"/>
      <c r="F2577" s="3"/>
      <c r="G2577" s="3"/>
      <c r="H2577" s="11"/>
      <c r="I2577" s="12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14"/>
      <c r="X2577" s="3"/>
      <c r="Y2577" s="14"/>
      <c r="Z2577" s="3"/>
      <c r="AA2577" s="3"/>
      <c r="AB2577" s="3"/>
      <c r="AC2577" s="3"/>
      <c r="AD2577" s="3"/>
      <c r="AE2577" s="3"/>
      <c r="AF2577" s="3"/>
      <c r="AG2577" s="3"/>
      <c r="AH2577" s="3"/>
    </row>
    <row r="2578" spans="1:34" ht="14.25" customHeight="1" x14ac:dyDescent="0.25">
      <c r="A2578" s="3"/>
      <c r="B2578" s="3"/>
      <c r="C2578" s="3"/>
      <c r="D2578" s="3"/>
      <c r="E2578" s="3"/>
      <c r="F2578" s="3"/>
      <c r="G2578" s="14"/>
      <c r="H2578" s="11"/>
      <c r="I2578" s="12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14"/>
      <c r="X2578" s="3"/>
      <c r="Y2578" s="14"/>
      <c r="Z2578" s="3"/>
      <c r="AA2578" s="3"/>
      <c r="AB2578" s="3"/>
      <c r="AC2578" s="3"/>
      <c r="AD2578" s="3"/>
      <c r="AE2578" s="3"/>
      <c r="AF2578" s="3"/>
      <c r="AG2578" s="3"/>
      <c r="AH2578" s="3"/>
    </row>
    <row r="2579" spans="1:34" ht="14.25" customHeight="1" x14ac:dyDescent="0.25">
      <c r="A2579" s="3"/>
      <c r="B2579" s="3"/>
      <c r="C2579" s="3"/>
      <c r="D2579" s="3"/>
      <c r="E2579" s="3"/>
      <c r="F2579" s="3"/>
      <c r="G2579" s="14"/>
      <c r="H2579" s="11"/>
      <c r="I2579" s="12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14"/>
      <c r="X2579" s="3"/>
      <c r="Y2579" s="14"/>
      <c r="Z2579" s="3"/>
      <c r="AA2579" s="3"/>
      <c r="AB2579" s="3"/>
      <c r="AC2579" s="3"/>
      <c r="AD2579" s="3"/>
      <c r="AE2579" s="3"/>
      <c r="AF2579" s="3"/>
      <c r="AG2579" s="3"/>
      <c r="AH2579" s="3"/>
    </row>
    <row r="2580" spans="1:34" ht="14.25" customHeight="1" x14ac:dyDescent="0.25">
      <c r="A2580" s="3"/>
      <c r="B2580" s="3"/>
      <c r="C2580" s="3"/>
      <c r="D2580" s="3"/>
      <c r="E2580" s="3"/>
      <c r="F2580" s="3"/>
      <c r="G2580" s="3"/>
      <c r="H2580" s="11"/>
      <c r="I2580" s="12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14"/>
      <c r="X2580" s="3"/>
      <c r="Y2580" s="14"/>
      <c r="Z2580" s="3"/>
      <c r="AA2580" s="3"/>
      <c r="AB2580" s="3"/>
      <c r="AC2580" s="3"/>
      <c r="AD2580" s="3"/>
      <c r="AE2580" s="3"/>
      <c r="AF2580" s="3"/>
      <c r="AG2580" s="3"/>
      <c r="AH2580" s="3"/>
    </row>
    <row r="2581" spans="1:34" ht="14.25" customHeight="1" x14ac:dyDescent="0.25">
      <c r="A2581" s="3"/>
      <c r="B2581" s="3"/>
      <c r="C2581" s="3"/>
      <c r="D2581" s="3"/>
      <c r="E2581" s="3"/>
      <c r="F2581" s="3"/>
      <c r="G2581" s="3"/>
      <c r="H2581" s="11"/>
      <c r="I2581" s="12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14"/>
      <c r="X2581" s="3"/>
      <c r="Y2581" s="14"/>
      <c r="Z2581" s="3"/>
      <c r="AA2581" s="3"/>
      <c r="AB2581" s="3"/>
      <c r="AC2581" s="3"/>
      <c r="AD2581" s="3"/>
      <c r="AE2581" s="3"/>
      <c r="AF2581" s="3"/>
      <c r="AG2581" s="3"/>
      <c r="AH2581" s="3"/>
    </row>
    <row r="2582" spans="1:34" ht="14.25" customHeight="1" x14ac:dyDescent="0.25">
      <c r="A2582" s="3"/>
      <c r="B2582" s="3"/>
      <c r="C2582" s="3"/>
      <c r="D2582" s="3"/>
      <c r="E2582" s="3"/>
      <c r="F2582" s="3"/>
      <c r="G2582" s="14"/>
      <c r="H2582" s="11"/>
      <c r="I2582" s="12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14"/>
      <c r="X2582" s="3"/>
      <c r="Y2582" s="14"/>
      <c r="Z2582" s="3"/>
      <c r="AA2582" s="3"/>
      <c r="AB2582" s="3"/>
      <c r="AC2582" s="3"/>
      <c r="AD2582" s="3"/>
      <c r="AE2582" s="3"/>
      <c r="AF2582" s="3"/>
      <c r="AG2582" s="3"/>
      <c r="AH2582" s="3"/>
    </row>
    <row r="2583" spans="1:34" ht="14.25" customHeight="1" x14ac:dyDescent="0.25">
      <c r="A2583" s="3"/>
      <c r="B2583" s="3"/>
      <c r="C2583" s="3"/>
      <c r="D2583" s="3"/>
      <c r="E2583" s="3"/>
      <c r="F2583" s="3"/>
      <c r="G2583" s="14"/>
      <c r="H2583" s="11"/>
      <c r="I2583" s="12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14"/>
      <c r="X2583" s="3"/>
      <c r="Y2583" s="14"/>
      <c r="Z2583" s="3"/>
      <c r="AA2583" s="3"/>
      <c r="AB2583" s="3"/>
      <c r="AC2583" s="3"/>
      <c r="AD2583" s="3"/>
      <c r="AE2583" s="3"/>
      <c r="AF2583" s="3"/>
      <c r="AG2583" s="3"/>
      <c r="AH2583" s="3"/>
    </row>
    <row r="2584" spans="1:34" ht="14.25" customHeight="1" x14ac:dyDescent="0.25">
      <c r="A2584" s="3"/>
      <c r="B2584" s="3"/>
      <c r="C2584" s="3"/>
      <c r="D2584" s="3"/>
      <c r="E2584" s="3"/>
      <c r="F2584" s="3"/>
      <c r="G2584" s="14"/>
      <c r="H2584" s="11"/>
      <c r="I2584" s="12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14"/>
      <c r="X2584" s="3"/>
      <c r="Y2584" s="14"/>
      <c r="Z2584" s="3"/>
      <c r="AA2584" s="3"/>
      <c r="AB2584" s="3"/>
      <c r="AC2584" s="3"/>
      <c r="AD2584" s="3"/>
      <c r="AE2584" s="3"/>
      <c r="AF2584" s="3"/>
      <c r="AG2584" s="3"/>
      <c r="AH2584" s="3"/>
    </row>
    <row r="2585" spans="1:34" ht="14.25" customHeight="1" x14ac:dyDescent="0.25">
      <c r="A2585" s="3"/>
      <c r="B2585" s="3"/>
      <c r="C2585" s="3"/>
      <c r="D2585" s="3"/>
      <c r="E2585" s="3"/>
      <c r="F2585" s="3"/>
      <c r="G2585" s="3"/>
      <c r="H2585" s="11"/>
      <c r="I2585" s="12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14"/>
      <c r="X2585" s="3"/>
      <c r="Y2585" s="14"/>
      <c r="Z2585" s="3"/>
      <c r="AA2585" s="3"/>
      <c r="AB2585" s="3"/>
      <c r="AC2585" s="3"/>
      <c r="AD2585" s="3"/>
      <c r="AE2585" s="3"/>
      <c r="AF2585" s="3"/>
      <c r="AG2585" s="3"/>
      <c r="AH2585" s="3"/>
    </row>
    <row r="2586" spans="1:34" ht="14.25" customHeight="1" x14ac:dyDescent="0.25">
      <c r="A2586" s="3"/>
      <c r="B2586" s="3"/>
      <c r="C2586" s="3"/>
      <c r="D2586" s="3"/>
      <c r="E2586" s="3"/>
      <c r="F2586" s="3"/>
      <c r="G2586" s="3"/>
      <c r="H2586" s="11"/>
      <c r="I2586" s="12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14"/>
      <c r="X2586" s="3"/>
      <c r="Y2586" s="14"/>
      <c r="Z2586" s="3"/>
      <c r="AA2586" s="3"/>
      <c r="AB2586" s="3"/>
      <c r="AC2586" s="3"/>
      <c r="AD2586" s="3"/>
      <c r="AE2586" s="3"/>
      <c r="AF2586" s="3"/>
      <c r="AG2586" s="3"/>
      <c r="AH2586" s="3"/>
    </row>
    <row r="2587" spans="1:34" ht="14.25" customHeight="1" x14ac:dyDescent="0.25">
      <c r="A2587" s="3"/>
      <c r="B2587" s="3"/>
      <c r="C2587" s="3"/>
      <c r="D2587" s="3"/>
      <c r="E2587" s="3"/>
      <c r="F2587" s="3"/>
      <c r="G2587" s="14"/>
      <c r="H2587" s="11"/>
      <c r="I2587" s="12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14"/>
      <c r="X2587" s="3"/>
      <c r="Y2587" s="14"/>
      <c r="Z2587" s="3"/>
      <c r="AA2587" s="3"/>
      <c r="AB2587" s="3"/>
      <c r="AC2587" s="3"/>
      <c r="AD2587" s="3"/>
      <c r="AE2587" s="3"/>
      <c r="AF2587" s="3"/>
      <c r="AG2587" s="3"/>
      <c r="AH2587" s="3"/>
    </row>
    <row r="2588" spans="1:34" ht="14.25" customHeight="1" x14ac:dyDescent="0.25">
      <c r="A2588" s="3"/>
      <c r="B2588" s="3"/>
      <c r="C2588" s="3"/>
      <c r="D2588" s="3"/>
      <c r="E2588" s="3"/>
      <c r="F2588" s="3"/>
      <c r="G2588" s="14"/>
      <c r="H2588" s="11"/>
      <c r="I2588" s="12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14"/>
      <c r="X2588" s="3"/>
      <c r="Y2588" s="14"/>
      <c r="Z2588" s="3"/>
      <c r="AA2588" s="3"/>
      <c r="AB2588" s="3"/>
      <c r="AC2588" s="3"/>
      <c r="AD2588" s="3"/>
      <c r="AE2588" s="3"/>
      <c r="AF2588" s="3"/>
      <c r="AG2588" s="3"/>
      <c r="AH2588" s="3"/>
    </row>
    <row r="2589" spans="1:34" ht="14.25" customHeight="1" x14ac:dyDescent="0.25">
      <c r="A2589" s="3"/>
      <c r="B2589" s="3"/>
      <c r="C2589" s="3"/>
      <c r="D2589" s="3"/>
      <c r="E2589" s="3"/>
      <c r="F2589" s="3"/>
      <c r="G2589" s="14"/>
      <c r="H2589" s="11"/>
      <c r="I2589" s="12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14"/>
      <c r="X2589" s="3"/>
      <c r="Y2589" s="14"/>
      <c r="Z2589" s="3"/>
      <c r="AA2589" s="3"/>
      <c r="AB2589" s="3"/>
      <c r="AC2589" s="3"/>
      <c r="AD2589" s="3"/>
      <c r="AE2589" s="3"/>
      <c r="AF2589" s="3"/>
      <c r="AG2589" s="3"/>
      <c r="AH2589" s="3"/>
    </row>
    <row r="2590" spans="1:34" ht="14.25" customHeight="1" x14ac:dyDescent="0.25">
      <c r="A2590" s="3"/>
      <c r="B2590" s="3"/>
      <c r="C2590" s="3"/>
      <c r="D2590" s="3"/>
      <c r="E2590" s="3"/>
      <c r="F2590" s="3"/>
      <c r="G2590" s="14"/>
      <c r="H2590" s="11"/>
      <c r="I2590" s="12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14"/>
      <c r="X2590" s="3"/>
      <c r="Y2590" s="14"/>
      <c r="Z2590" s="3"/>
      <c r="AA2590" s="3"/>
      <c r="AB2590" s="3"/>
      <c r="AC2590" s="3"/>
      <c r="AD2590" s="3"/>
      <c r="AE2590" s="3"/>
      <c r="AF2590" s="3"/>
      <c r="AG2590" s="3"/>
      <c r="AH2590" s="3"/>
    </row>
    <row r="2591" spans="1:34" ht="14.25" customHeight="1" x14ac:dyDescent="0.25">
      <c r="A2591" s="3"/>
      <c r="B2591" s="3"/>
      <c r="C2591" s="3"/>
      <c r="D2591" s="3"/>
      <c r="E2591" s="3"/>
      <c r="F2591" s="3"/>
      <c r="G2591" s="3"/>
      <c r="H2591" s="11"/>
      <c r="I2591" s="12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14"/>
      <c r="X2591" s="3"/>
      <c r="Y2591" s="14"/>
      <c r="Z2591" s="3"/>
      <c r="AA2591" s="3"/>
      <c r="AB2591" s="3"/>
      <c r="AC2591" s="3"/>
      <c r="AD2591" s="3"/>
      <c r="AE2591" s="3"/>
      <c r="AF2591" s="3"/>
      <c r="AG2591" s="3"/>
      <c r="AH2591" s="3"/>
    </row>
    <row r="2592" spans="1:34" ht="14.25" customHeight="1" x14ac:dyDescent="0.25">
      <c r="A2592" s="3"/>
      <c r="B2592" s="3"/>
      <c r="C2592" s="3"/>
      <c r="D2592" s="3"/>
      <c r="E2592" s="3"/>
      <c r="F2592" s="3"/>
      <c r="G2592" s="3"/>
      <c r="H2592" s="11"/>
      <c r="I2592" s="12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14"/>
      <c r="X2592" s="3"/>
      <c r="Y2592" s="14"/>
      <c r="Z2592" s="3"/>
      <c r="AA2592" s="3"/>
      <c r="AB2592" s="3"/>
      <c r="AC2592" s="3"/>
      <c r="AD2592" s="3"/>
      <c r="AE2592" s="3"/>
      <c r="AF2592" s="3"/>
      <c r="AG2592" s="3"/>
      <c r="AH2592" s="3"/>
    </row>
    <row r="2593" spans="1:34" ht="14.25" customHeight="1" x14ac:dyDescent="0.25">
      <c r="A2593" s="3"/>
      <c r="B2593" s="3"/>
      <c r="C2593" s="3"/>
      <c r="D2593" s="3"/>
      <c r="E2593" s="3"/>
      <c r="F2593" s="3"/>
      <c r="G2593" s="14"/>
      <c r="H2593" s="11"/>
      <c r="I2593" s="12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14"/>
      <c r="X2593" s="3"/>
      <c r="Y2593" s="14"/>
      <c r="Z2593" s="3"/>
      <c r="AA2593" s="3"/>
      <c r="AB2593" s="3"/>
      <c r="AC2593" s="3"/>
      <c r="AD2593" s="3"/>
      <c r="AE2593" s="3"/>
      <c r="AF2593" s="3"/>
      <c r="AG2593" s="3"/>
      <c r="AH2593" s="3"/>
    </row>
    <row r="2594" spans="1:34" ht="14.25" customHeight="1" x14ac:dyDescent="0.25">
      <c r="A2594" s="3"/>
      <c r="B2594" s="3"/>
      <c r="C2594" s="3"/>
      <c r="D2594" s="3"/>
      <c r="E2594" s="3"/>
      <c r="F2594" s="3"/>
      <c r="G2594" s="14"/>
      <c r="H2594" s="11"/>
      <c r="I2594" s="12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14"/>
      <c r="X2594" s="3"/>
      <c r="Y2594" s="14"/>
      <c r="Z2594" s="3"/>
      <c r="AA2594" s="3"/>
      <c r="AB2594" s="3"/>
      <c r="AC2594" s="3"/>
      <c r="AD2594" s="3"/>
      <c r="AE2594" s="3"/>
      <c r="AF2594" s="3"/>
      <c r="AG2594" s="3"/>
      <c r="AH2594" s="3"/>
    </row>
    <row r="2595" spans="1:34" ht="14.25" customHeight="1" x14ac:dyDescent="0.25">
      <c r="A2595" s="3"/>
      <c r="B2595" s="3"/>
      <c r="C2595" s="3"/>
      <c r="D2595" s="3"/>
      <c r="E2595" s="3"/>
      <c r="F2595" s="3"/>
      <c r="G2595" s="14"/>
      <c r="H2595" s="11"/>
      <c r="I2595" s="12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14"/>
      <c r="X2595" s="3"/>
      <c r="Y2595" s="14"/>
      <c r="Z2595" s="3"/>
      <c r="AA2595" s="3"/>
      <c r="AB2595" s="3"/>
      <c r="AC2595" s="3"/>
      <c r="AD2595" s="3"/>
      <c r="AE2595" s="3"/>
      <c r="AF2595" s="3"/>
      <c r="AG2595" s="3"/>
      <c r="AH2595" s="3"/>
    </row>
    <row r="2596" spans="1:34" ht="14.25" customHeight="1" x14ac:dyDescent="0.25">
      <c r="A2596" s="3"/>
      <c r="B2596" s="3"/>
      <c r="C2596" s="3"/>
      <c r="D2596" s="3"/>
      <c r="E2596" s="3"/>
      <c r="F2596" s="3"/>
      <c r="G2596" s="14"/>
      <c r="H2596" s="11"/>
      <c r="I2596" s="12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14"/>
      <c r="X2596" s="3"/>
      <c r="Y2596" s="14"/>
      <c r="Z2596" s="3"/>
      <c r="AA2596" s="3"/>
      <c r="AB2596" s="3"/>
      <c r="AC2596" s="3"/>
      <c r="AD2596" s="3"/>
      <c r="AE2596" s="3"/>
      <c r="AF2596" s="3"/>
      <c r="AG2596" s="3"/>
      <c r="AH2596" s="3"/>
    </row>
    <row r="2597" spans="1:34" ht="14.25" customHeight="1" x14ac:dyDescent="0.25">
      <c r="A2597" s="3"/>
      <c r="B2597" s="3"/>
      <c r="C2597" s="3"/>
      <c r="D2597" s="3"/>
      <c r="E2597" s="3"/>
      <c r="F2597" s="3"/>
      <c r="G2597" s="14"/>
      <c r="H2597" s="11"/>
      <c r="I2597" s="12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14"/>
      <c r="X2597" s="3"/>
      <c r="Y2597" s="14"/>
      <c r="Z2597" s="3"/>
      <c r="AA2597" s="3"/>
      <c r="AB2597" s="3"/>
      <c r="AC2597" s="3"/>
      <c r="AD2597" s="3"/>
      <c r="AE2597" s="3"/>
      <c r="AF2597" s="3"/>
      <c r="AG2597" s="3"/>
      <c r="AH2597" s="3"/>
    </row>
    <row r="2598" spans="1:34" ht="14.25" customHeight="1" x14ac:dyDescent="0.25">
      <c r="A2598" s="3"/>
      <c r="B2598" s="3"/>
      <c r="C2598" s="3"/>
      <c r="D2598" s="3"/>
      <c r="E2598" s="3"/>
      <c r="F2598" s="3"/>
      <c r="G2598" s="3"/>
      <c r="H2598" s="11"/>
      <c r="I2598" s="12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14"/>
      <c r="X2598" s="3"/>
      <c r="Y2598" s="14"/>
      <c r="Z2598" s="3"/>
      <c r="AA2598" s="3"/>
      <c r="AB2598" s="3"/>
      <c r="AC2598" s="3"/>
      <c r="AD2598" s="3"/>
      <c r="AE2598" s="3"/>
      <c r="AF2598" s="3"/>
      <c r="AG2598" s="3"/>
      <c r="AH2598" s="3"/>
    </row>
    <row r="2599" spans="1:34" ht="14.25" customHeight="1" x14ac:dyDescent="0.25">
      <c r="A2599" s="3"/>
      <c r="B2599" s="3"/>
      <c r="C2599" s="3"/>
      <c r="D2599" s="3"/>
      <c r="E2599" s="3"/>
      <c r="F2599" s="3"/>
      <c r="G2599" s="3"/>
      <c r="H2599" s="11"/>
      <c r="I2599" s="12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14"/>
      <c r="X2599" s="3"/>
      <c r="Y2599" s="14"/>
      <c r="Z2599" s="3"/>
      <c r="AA2599" s="3"/>
      <c r="AB2599" s="3"/>
      <c r="AC2599" s="3"/>
      <c r="AD2599" s="3"/>
      <c r="AE2599" s="3"/>
      <c r="AF2599" s="3"/>
      <c r="AG2599" s="3"/>
      <c r="AH2599" s="3"/>
    </row>
    <row r="2600" spans="1:34" ht="14.25" customHeight="1" x14ac:dyDescent="0.25">
      <c r="A2600" s="3"/>
      <c r="B2600" s="3"/>
      <c r="C2600" s="3"/>
      <c r="D2600" s="3"/>
      <c r="E2600" s="3"/>
      <c r="F2600" s="3"/>
      <c r="G2600" s="3"/>
      <c r="H2600" s="11"/>
      <c r="I2600" s="12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14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</row>
    <row r="2601" spans="1:34" ht="14.25" customHeight="1" x14ac:dyDescent="0.25">
      <c r="A2601" s="3"/>
      <c r="B2601" s="3"/>
      <c r="C2601" s="3"/>
      <c r="D2601" s="3"/>
      <c r="E2601" s="3"/>
      <c r="F2601" s="3"/>
      <c r="G2601" s="14"/>
      <c r="H2601" s="11"/>
      <c r="I2601" s="12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14"/>
      <c r="X2601" s="3"/>
      <c r="Y2601" s="14"/>
      <c r="Z2601" s="3"/>
      <c r="AA2601" s="3"/>
      <c r="AB2601" s="3"/>
      <c r="AC2601" s="3"/>
      <c r="AD2601" s="3"/>
      <c r="AE2601" s="3"/>
      <c r="AF2601" s="3"/>
      <c r="AG2601" s="3"/>
      <c r="AH2601" s="3"/>
    </row>
    <row r="2602" spans="1:34" ht="14.25" customHeight="1" x14ac:dyDescent="0.25">
      <c r="A2602" s="3"/>
      <c r="B2602" s="3"/>
      <c r="C2602" s="3"/>
      <c r="D2602" s="3"/>
      <c r="E2602" s="3"/>
      <c r="F2602" s="3"/>
      <c r="G2602" s="14"/>
      <c r="H2602" s="11"/>
      <c r="I2602" s="12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14"/>
      <c r="X2602" s="3"/>
      <c r="Y2602" s="14"/>
      <c r="Z2602" s="3"/>
      <c r="AA2602" s="3"/>
      <c r="AB2602" s="3"/>
      <c r="AC2602" s="3"/>
      <c r="AD2602" s="3"/>
      <c r="AE2602" s="3"/>
      <c r="AF2602" s="3"/>
      <c r="AG2602" s="3"/>
      <c r="AH2602" s="3"/>
    </row>
    <row r="2603" spans="1:34" ht="14.25" customHeight="1" x14ac:dyDescent="0.25">
      <c r="A2603" s="3"/>
      <c r="B2603" s="3"/>
      <c r="C2603" s="3"/>
      <c r="D2603" s="3"/>
      <c r="E2603" s="3"/>
      <c r="F2603" s="3"/>
      <c r="G2603" s="3"/>
      <c r="H2603" s="11"/>
      <c r="I2603" s="12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14"/>
      <c r="X2603" s="3"/>
      <c r="Y2603" s="14"/>
      <c r="Z2603" s="3"/>
      <c r="AA2603" s="3"/>
      <c r="AB2603" s="3"/>
      <c r="AC2603" s="3"/>
      <c r="AD2603" s="3"/>
      <c r="AE2603" s="3"/>
      <c r="AF2603" s="3"/>
      <c r="AG2603" s="3"/>
      <c r="AH2603" s="3"/>
    </row>
    <row r="2604" spans="1:34" ht="14.25" customHeight="1" x14ac:dyDescent="0.25">
      <c r="A2604" s="3"/>
      <c r="B2604" s="3"/>
      <c r="C2604" s="3"/>
      <c r="D2604" s="3"/>
      <c r="E2604" s="3"/>
      <c r="F2604" s="3"/>
      <c r="G2604" s="14"/>
      <c r="H2604" s="11"/>
      <c r="I2604" s="12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14"/>
      <c r="X2604" s="3"/>
      <c r="Y2604" s="14"/>
      <c r="Z2604" s="3"/>
      <c r="AA2604" s="3"/>
      <c r="AB2604" s="3"/>
      <c r="AC2604" s="3"/>
      <c r="AD2604" s="3"/>
      <c r="AE2604" s="3"/>
      <c r="AF2604" s="3"/>
      <c r="AG2604" s="3"/>
      <c r="AH2604" s="3"/>
    </row>
    <row r="2605" spans="1:34" ht="14.25" customHeight="1" x14ac:dyDescent="0.25">
      <c r="A2605" s="3"/>
      <c r="B2605" s="3"/>
      <c r="C2605" s="3"/>
      <c r="D2605" s="3"/>
      <c r="E2605" s="3"/>
      <c r="F2605" s="3"/>
      <c r="G2605" s="14"/>
      <c r="H2605" s="11"/>
      <c r="I2605" s="12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14"/>
      <c r="X2605" s="3"/>
      <c r="Y2605" s="14"/>
      <c r="Z2605" s="3"/>
      <c r="AA2605" s="3"/>
      <c r="AB2605" s="3"/>
      <c r="AC2605" s="3"/>
      <c r="AD2605" s="3"/>
      <c r="AE2605" s="3"/>
      <c r="AF2605" s="3"/>
      <c r="AG2605" s="3"/>
      <c r="AH2605" s="3"/>
    </row>
    <row r="2606" spans="1:34" ht="14.25" customHeight="1" x14ac:dyDescent="0.25">
      <c r="A2606" s="3"/>
      <c r="B2606" s="3"/>
      <c r="C2606" s="3"/>
      <c r="D2606" s="3"/>
      <c r="E2606" s="3"/>
      <c r="F2606" s="3"/>
      <c r="G2606" s="14"/>
      <c r="H2606" s="11"/>
      <c r="I2606" s="12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14"/>
      <c r="X2606" s="3"/>
      <c r="Y2606" s="14"/>
      <c r="Z2606" s="3"/>
      <c r="AA2606" s="3"/>
      <c r="AB2606" s="3"/>
      <c r="AC2606" s="3"/>
      <c r="AD2606" s="3"/>
      <c r="AE2606" s="3"/>
      <c r="AF2606" s="3"/>
      <c r="AG2606" s="3"/>
      <c r="AH2606" s="3"/>
    </row>
    <row r="2607" spans="1:34" ht="14.25" customHeight="1" x14ac:dyDescent="0.25">
      <c r="A2607" s="3"/>
      <c r="B2607" s="3"/>
      <c r="C2607" s="3"/>
      <c r="D2607" s="3"/>
      <c r="E2607" s="3"/>
      <c r="F2607" s="3"/>
      <c r="G2607" s="14"/>
      <c r="H2607" s="11"/>
      <c r="I2607" s="12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14"/>
      <c r="X2607" s="3"/>
      <c r="Y2607" s="14"/>
      <c r="Z2607" s="3"/>
      <c r="AA2607" s="3"/>
      <c r="AB2607" s="3"/>
      <c r="AC2607" s="3"/>
      <c r="AD2607" s="3"/>
      <c r="AE2607" s="3"/>
      <c r="AF2607" s="3"/>
      <c r="AG2607" s="3"/>
      <c r="AH2607" s="3"/>
    </row>
    <row r="2608" spans="1:34" ht="14.25" customHeight="1" x14ac:dyDescent="0.25">
      <c r="A2608" s="3"/>
      <c r="B2608" s="3"/>
      <c r="C2608" s="3"/>
      <c r="D2608" s="3"/>
      <c r="E2608" s="3"/>
      <c r="F2608" s="3"/>
      <c r="G2608" s="14"/>
      <c r="H2608" s="11"/>
      <c r="I2608" s="12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14"/>
      <c r="X2608" s="3"/>
      <c r="Y2608" s="14"/>
      <c r="Z2608" s="3"/>
      <c r="AA2608" s="3"/>
      <c r="AB2608" s="3"/>
      <c r="AC2608" s="3"/>
      <c r="AD2608" s="3"/>
      <c r="AE2608" s="3"/>
      <c r="AF2608" s="3"/>
      <c r="AG2608" s="3"/>
      <c r="AH2608" s="3"/>
    </row>
    <row r="2609" spans="1:34" ht="14.25" customHeight="1" x14ac:dyDescent="0.25">
      <c r="A2609" s="3"/>
      <c r="B2609" s="3"/>
      <c r="C2609" s="3"/>
      <c r="D2609" s="3"/>
      <c r="E2609" s="3"/>
      <c r="F2609" s="3"/>
      <c r="G2609" s="14"/>
      <c r="H2609" s="11"/>
      <c r="I2609" s="12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14"/>
      <c r="X2609" s="3"/>
      <c r="Y2609" s="14"/>
      <c r="Z2609" s="3"/>
      <c r="AA2609" s="3"/>
      <c r="AB2609" s="3"/>
      <c r="AC2609" s="3"/>
      <c r="AD2609" s="3"/>
      <c r="AE2609" s="3"/>
      <c r="AF2609" s="3"/>
      <c r="AG2609" s="3"/>
      <c r="AH2609" s="3"/>
    </row>
    <row r="2610" spans="1:34" ht="14.25" customHeight="1" x14ac:dyDescent="0.25">
      <c r="A2610" s="3"/>
      <c r="B2610" s="3"/>
      <c r="C2610" s="3"/>
      <c r="D2610" s="3"/>
      <c r="E2610" s="3"/>
      <c r="F2610" s="3"/>
      <c r="G2610" s="14"/>
      <c r="H2610" s="11"/>
      <c r="I2610" s="12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14"/>
      <c r="X2610" s="3"/>
      <c r="Y2610" s="14"/>
      <c r="Z2610" s="3"/>
      <c r="AA2610" s="3"/>
      <c r="AB2610" s="3"/>
      <c r="AC2610" s="3"/>
      <c r="AD2610" s="3"/>
      <c r="AE2610" s="3"/>
      <c r="AF2610" s="3"/>
      <c r="AG2610" s="3"/>
      <c r="AH2610" s="3"/>
    </row>
    <row r="2611" spans="1:34" ht="14.25" customHeight="1" x14ac:dyDescent="0.25">
      <c r="A2611" s="3"/>
      <c r="B2611" s="3"/>
      <c r="C2611" s="3"/>
      <c r="D2611" s="3"/>
      <c r="E2611" s="3"/>
      <c r="F2611" s="3"/>
      <c r="G2611" s="14"/>
      <c r="H2611" s="11"/>
      <c r="I2611" s="12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14"/>
      <c r="X2611" s="3"/>
      <c r="Y2611" s="14"/>
      <c r="Z2611" s="3"/>
      <c r="AA2611" s="3"/>
      <c r="AB2611" s="3"/>
      <c r="AC2611" s="3"/>
      <c r="AD2611" s="3"/>
      <c r="AE2611" s="3"/>
      <c r="AF2611" s="3"/>
      <c r="AG2611" s="3"/>
      <c r="AH2611" s="3"/>
    </row>
    <row r="2612" spans="1:34" ht="14.25" customHeight="1" x14ac:dyDescent="0.25">
      <c r="A2612" s="3"/>
      <c r="B2612" s="3"/>
      <c r="C2612" s="3"/>
      <c r="D2612" s="3"/>
      <c r="E2612" s="3"/>
      <c r="F2612" s="3"/>
      <c r="G2612" s="14"/>
      <c r="H2612" s="11"/>
      <c r="I2612" s="12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14"/>
      <c r="X2612" s="3"/>
      <c r="Y2612" s="14"/>
      <c r="Z2612" s="3"/>
      <c r="AA2612" s="3"/>
      <c r="AB2612" s="3"/>
      <c r="AC2612" s="3"/>
      <c r="AD2612" s="3"/>
      <c r="AE2612" s="3"/>
      <c r="AF2612" s="3"/>
      <c r="AG2612" s="3"/>
      <c r="AH2612" s="3"/>
    </row>
    <row r="2613" spans="1:34" ht="14.25" customHeight="1" x14ac:dyDescent="0.25">
      <c r="A2613" s="3"/>
      <c r="B2613" s="3"/>
      <c r="C2613" s="3"/>
      <c r="D2613" s="3"/>
      <c r="E2613" s="3"/>
      <c r="F2613" s="3"/>
      <c r="G2613" s="14"/>
      <c r="H2613" s="11"/>
      <c r="I2613" s="12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14"/>
      <c r="X2613" s="3"/>
      <c r="Y2613" s="14"/>
      <c r="Z2613" s="3"/>
      <c r="AA2613" s="3"/>
      <c r="AB2613" s="3"/>
      <c r="AC2613" s="3"/>
      <c r="AD2613" s="3"/>
      <c r="AE2613" s="3"/>
      <c r="AF2613" s="3"/>
      <c r="AG2613" s="3"/>
      <c r="AH2613" s="3"/>
    </row>
    <row r="2614" spans="1:34" ht="14.25" customHeight="1" x14ac:dyDescent="0.25">
      <c r="A2614" s="3"/>
      <c r="B2614" s="3"/>
      <c r="C2614" s="3"/>
      <c r="D2614" s="3"/>
      <c r="E2614" s="3"/>
      <c r="F2614" s="3"/>
      <c r="G2614" s="3"/>
      <c r="H2614" s="11"/>
      <c r="I2614" s="12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14"/>
      <c r="X2614" s="3"/>
      <c r="Y2614" s="14"/>
      <c r="Z2614" s="3"/>
      <c r="AA2614" s="3"/>
      <c r="AB2614" s="3"/>
      <c r="AC2614" s="3"/>
      <c r="AD2614" s="3"/>
      <c r="AE2614" s="3"/>
      <c r="AF2614" s="3"/>
      <c r="AG2614" s="3"/>
      <c r="AH2614" s="3"/>
    </row>
    <row r="2615" spans="1:34" ht="14.25" customHeight="1" x14ac:dyDescent="0.25">
      <c r="A2615" s="3"/>
      <c r="B2615" s="3"/>
      <c r="C2615" s="3"/>
      <c r="D2615" s="3"/>
      <c r="E2615" s="3"/>
      <c r="F2615" s="3"/>
      <c r="G2615" s="3"/>
      <c r="H2615" s="11"/>
      <c r="I2615" s="12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14"/>
      <c r="X2615" s="3"/>
      <c r="Y2615" s="14"/>
      <c r="Z2615" s="3"/>
      <c r="AA2615" s="3"/>
      <c r="AB2615" s="3"/>
      <c r="AC2615" s="3"/>
      <c r="AD2615" s="3"/>
      <c r="AE2615" s="3"/>
      <c r="AF2615" s="3"/>
      <c r="AG2615" s="3"/>
      <c r="AH2615" s="3"/>
    </row>
    <row r="2616" spans="1:34" ht="14.25" customHeight="1" x14ac:dyDescent="0.25">
      <c r="A2616" s="3"/>
      <c r="B2616" s="3"/>
      <c r="C2616" s="3"/>
      <c r="D2616" s="3"/>
      <c r="E2616" s="3"/>
      <c r="F2616" s="3"/>
      <c r="G2616" s="3"/>
      <c r="H2616" s="11"/>
      <c r="I2616" s="12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14"/>
      <c r="X2616" s="3"/>
      <c r="Y2616" s="14"/>
      <c r="Z2616" s="3"/>
      <c r="AA2616" s="3"/>
      <c r="AB2616" s="3"/>
      <c r="AC2616" s="3"/>
      <c r="AD2616" s="3"/>
      <c r="AE2616" s="3"/>
      <c r="AF2616" s="3"/>
      <c r="AG2616" s="3"/>
      <c r="AH2616" s="3"/>
    </row>
    <row r="2617" spans="1:34" ht="14.25" customHeight="1" x14ac:dyDescent="0.25">
      <c r="A2617" s="3"/>
      <c r="B2617" s="3"/>
      <c r="C2617" s="3"/>
      <c r="D2617" s="3"/>
      <c r="E2617" s="3"/>
      <c r="F2617" s="3"/>
      <c r="G2617" s="14"/>
      <c r="H2617" s="11"/>
      <c r="I2617" s="12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14"/>
      <c r="X2617" s="3"/>
      <c r="Y2617" s="14"/>
      <c r="Z2617" s="3"/>
      <c r="AA2617" s="3"/>
      <c r="AB2617" s="3"/>
      <c r="AC2617" s="3"/>
      <c r="AD2617" s="3"/>
      <c r="AE2617" s="3"/>
      <c r="AF2617" s="3"/>
      <c r="AG2617" s="3"/>
      <c r="AH2617" s="3"/>
    </row>
    <row r="2618" spans="1:34" ht="14.25" customHeight="1" x14ac:dyDescent="0.25">
      <c r="A2618" s="3"/>
      <c r="B2618" s="3"/>
      <c r="C2618" s="3"/>
      <c r="D2618" s="3"/>
      <c r="E2618" s="3"/>
      <c r="F2618" s="3"/>
      <c r="G2618" s="14"/>
      <c r="H2618" s="11"/>
      <c r="I2618" s="12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14"/>
      <c r="X2618" s="3"/>
      <c r="Y2618" s="14"/>
      <c r="Z2618" s="3"/>
      <c r="AA2618" s="3"/>
      <c r="AB2618" s="3"/>
      <c r="AC2618" s="3"/>
      <c r="AD2618" s="3"/>
      <c r="AE2618" s="3"/>
      <c r="AF2618" s="3"/>
      <c r="AG2618" s="3"/>
      <c r="AH2618" s="3"/>
    </row>
    <row r="2619" spans="1:34" ht="14.25" customHeight="1" x14ac:dyDescent="0.25">
      <c r="A2619" s="3"/>
      <c r="B2619" s="3"/>
      <c r="C2619" s="3"/>
      <c r="D2619" s="3"/>
      <c r="E2619" s="3"/>
      <c r="F2619" s="3"/>
      <c r="G2619" s="14"/>
      <c r="H2619" s="11"/>
      <c r="I2619" s="12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14"/>
      <c r="X2619" s="3"/>
      <c r="Y2619" s="14"/>
      <c r="Z2619" s="3"/>
      <c r="AA2619" s="3"/>
      <c r="AB2619" s="3"/>
      <c r="AC2619" s="3"/>
      <c r="AD2619" s="3"/>
      <c r="AE2619" s="3"/>
      <c r="AF2619" s="3"/>
      <c r="AG2619" s="3"/>
      <c r="AH2619" s="3"/>
    </row>
    <row r="2620" spans="1:34" ht="14.25" customHeight="1" x14ac:dyDescent="0.25">
      <c r="A2620" s="3"/>
      <c r="B2620" s="3"/>
      <c r="C2620" s="3"/>
      <c r="D2620" s="3"/>
      <c r="E2620" s="3"/>
      <c r="F2620" s="3"/>
      <c r="G2620" s="14"/>
      <c r="H2620" s="11"/>
      <c r="I2620" s="12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14"/>
      <c r="X2620" s="3"/>
      <c r="Y2620" s="14"/>
      <c r="Z2620" s="3"/>
      <c r="AA2620" s="3"/>
      <c r="AB2620" s="3"/>
      <c r="AC2620" s="3"/>
      <c r="AD2620" s="3"/>
      <c r="AE2620" s="3"/>
      <c r="AF2620" s="3"/>
      <c r="AG2620" s="3"/>
      <c r="AH2620" s="3"/>
    </row>
    <row r="2621" spans="1:34" ht="14.25" customHeight="1" x14ac:dyDescent="0.25">
      <c r="A2621" s="3"/>
      <c r="B2621" s="3"/>
      <c r="C2621" s="3"/>
      <c r="D2621" s="3"/>
      <c r="E2621" s="3"/>
      <c r="F2621" s="3"/>
      <c r="G2621" s="14"/>
      <c r="H2621" s="11"/>
      <c r="I2621" s="12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14"/>
      <c r="X2621" s="3"/>
      <c r="Y2621" s="14"/>
      <c r="Z2621" s="3"/>
      <c r="AA2621" s="3"/>
      <c r="AB2621" s="3"/>
      <c r="AC2621" s="3"/>
      <c r="AD2621" s="3"/>
      <c r="AE2621" s="3"/>
      <c r="AF2621" s="3"/>
      <c r="AG2621" s="3"/>
      <c r="AH2621" s="3"/>
    </row>
    <row r="2622" spans="1:34" ht="14.25" customHeight="1" x14ac:dyDescent="0.25">
      <c r="A2622" s="3"/>
      <c r="B2622" s="3"/>
      <c r="C2622" s="3"/>
      <c r="D2622" s="3"/>
      <c r="E2622" s="3"/>
      <c r="F2622" s="3"/>
      <c r="G2622" s="14"/>
      <c r="H2622" s="11"/>
      <c r="I2622" s="12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14"/>
      <c r="X2622" s="3"/>
      <c r="Y2622" s="14"/>
      <c r="Z2622" s="3"/>
      <c r="AA2622" s="3"/>
      <c r="AB2622" s="3"/>
      <c r="AC2622" s="3"/>
      <c r="AD2622" s="3"/>
      <c r="AE2622" s="3"/>
      <c r="AF2622" s="3"/>
      <c r="AG2622" s="3"/>
      <c r="AH2622" s="3"/>
    </row>
    <row r="2623" spans="1:34" ht="14.25" customHeight="1" x14ac:dyDescent="0.25">
      <c r="A2623" s="3"/>
      <c r="B2623" s="3"/>
      <c r="C2623" s="3"/>
      <c r="D2623" s="3"/>
      <c r="E2623" s="3"/>
      <c r="F2623" s="3"/>
      <c r="G2623" s="14"/>
      <c r="H2623" s="11"/>
      <c r="I2623" s="12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14"/>
      <c r="X2623" s="3"/>
      <c r="Y2623" s="14"/>
      <c r="Z2623" s="3"/>
      <c r="AA2623" s="3"/>
      <c r="AB2623" s="3"/>
      <c r="AC2623" s="3"/>
      <c r="AD2623" s="3"/>
      <c r="AE2623" s="3"/>
      <c r="AF2623" s="3"/>
      <c r="AG2623" s="3"/>
      <c r="AH2623" s="3"/>
    </row>
    <row r="2624" spans="1:34" ht="14.25" customHeight="1" x14ac:dyDescent="0.25">
      <c r="A2624" s="3"/>
      <c r="B2624" s="3"/>
      <c r="C2624" s="3"/>
      <c r="D2624" s="3"/>
      <c r="E2624" s="3"/>
      <c r="F2624" s="3"/>
      <c r="G2624" s="14"/>
      <c r="H2624" s="11"/>
      <c r="I2624" s="12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14"/>
      <c r="X2624" s="3"/>
      <c r="Y2624" s="14"/>
      <c r="Z2624" s="3"/>
      <c r="AA2624" s="3"/>
      <c r="AB2624" s="3"/>
      <c r="AC2624" s="3"/>
      <c r="AD2624" s="3"/>
      <c r="AE2624" s="3"/>
      <c r="AF2624" s="3"/>
      <c r="AG2624" s="3"/>
      <c r="AH2624" s="3"/>
    </row>
    <row r="2625" spans="1:34" ht="14.25" customHeight="1" x14ac:dyDescent="0.25">
      <c r="A2625" s="3"/>
      <c r="B2625" s="3"/>
      <c r="C2625" s="3"/>
      <c r="D2625" s="3"/>
      <c r="E2625" s="3"/>
      <c r="F2625" s="3"/>
      <c r="G2625" s="3"/>
      <c r="H2625" s="11"/>
      <c r="I2625" s="12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14"/>
      <c r="X2625" s="3"/>
      <c r="Y2625" s="14"/>
      <c r="Z2625" s="3"/>
      <c r="AA2625" s="3"/>
      <c r="AB2625" s="3"/>
      <c r="AC2625" s="3"/>
      <c r="AD2625" s="3"/>
      <c r="AE2625" s="3"/>
      <c r="AF2625" s="3"/>
      <c r="AG2625" s="3"/>
      <c r="AH2625" s="3"/>
    </row>
    <row r="2626" spans="1:34" ht="14.25" customHeight="1" x14ac:dyDescent="0.25">
      <c r="A2626" s="3"/>
      <c r="B2626" s="3"/>
      <c r="C2626" s="3"/>
      <c r="D2626" s="3"/>
      <c r="E2626" s="3"/>
      <c r="F2626" s="3"/>
      <c r="G2626" s="3"/>
      <c r="H2626" s="11"/>
      <c r="I2626" s="12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14"/>
      <c r="X2626" s="3"/>
      <c r="Y2626" s="14"/>
      <c r="Z2626" s="3"/>
      <c r="AA2626" s="3"/>
      <c r="AB2626" s="3"/>
      <c r="AC2626" s="3"/>
      <c r="AD2626" s="3"/>
      <c r="AE2626" s="3"/>
      <c r="AF2626" s="3"/>
      <c r="AG2626" s="3"/>
      <c r="AH2626" s="3"/>
    </row>
    <row r="2627" spans="1:34" ht="14.25" customHeight="1" x14ac:dyDescent="0.25">
      <c r="A2627" s="3"/>
      <c r="B2627" s="3"/>
      <c r="C2627" s="3"/>
      <c r="D2627" s="3"/>
      <c r="E2627" s="3"/>
      <c r="F2627" s="3"/>
      <c r="G2627" s="14"/>
      <c r="H2627" s="11"/>
      <c r="I2627" s="12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14"/>
      <c r="X2627" s="3"/>
      <c r="Y2627" s="14"/>
      <c r="Z2627" s="3"/>
      <c r="AA2627" s="3"/>
      <c r="AB2627" s="3"/>
      <c r="AC2627" s="3"/>
      <c r="AD2627" s="3"/>
      <c r="AE2627" s="3"/>
      <c r="AF2627" s="3"/>
      <c r="AG2627" s="3"/>
      <c r="AH2627" s="3"/>
    </row>
    <row r="2628" spans="1:34" ht="14.25" customHeight="1" x14ac:dyDescent="0.25">
      <c r="A2628" s="3"/>
      <c r="B2628" s="3"/>
      <c r="C2628" s="3"/>
      <c r="D2628" s="3"/>
      <c r="E2628" s="3"/>
      <c r="F2628" s="3"/>
      <c r="G2628" s="14"/>
      <c r="H2628" s="11"/>
      <c r="I2628" s="12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14"/>
      <c r="X2628" s="3"/>
      <c r="Y2628" s="14"/>
      <c r="Z2628" s="3"/>
      <c r="AA2628" s="3"/>
      <c r="AB2628" s="3"/>
      <c r="AC2628" s="3"/>
      <c r="AD2628" s="3"/>
      <c r="AE2628" s="3"/>
      <c r="AF2628" s="3"/>
      <c r="AG2628" s="3"/>
      <c r="AH2628" s="3"/>
    </row>
    <row r="2629" spans="1:34" ht="14.25" customHeight="1" x14ac:dyDescent="0.25">
      <c r="A2629" s="3"/>
      <c r="B2629" s="3"/>
      <c r="C2629" s="3"/>
      <c r="D2629" s="3"/>
      <c r="E2629" s="3"/>
      <c r="F2629" s="3"/>
      <c r="G2629" s="14"/>
      <c r="H2629" s="11"/>
      <c r="I2629" s="12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14"/>
      <c r="X2629" s="3"/>
      <c r="Y2629" s="14"/>
      <c r="Z2629" s="3"/>
      <c r="AA2629" s="3"/>
      <c r="AB2629" s="3"/>
      <c r="AC2629" s="3"/>
      <c r="AD2629" s="3"/>
      <c r="AE2629" s="3"/>
      <c r="AF2629" s="3"/>
      <c r="AG2629" s="3"/>
      <c r="AH2629" s="3"/>
    </row>
    <row r="2630" spans="1:34" ht="14.25" customHeight="1" x14ac:dyDescent="0.25">
      <c r="A2630" s="3"/>
      <c r="B2630" s="3"/>
      <c r="C2630" s="3"/>
      <c r="D2630" s="3"/>
      <c r="E2630" s="3"/>
      <c r="F2630" s="3"/>
      <c r="G2630" s="14"/>
      <c r="H2630" s="11"/>
      <c r="I2630" s="12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14"/>
      <c r="X2630" s="3"/>
      <c r="Y2630" s="14"/>
      <c r="Z2630" s="3"/>
      <c r="AA2630" s="3"/>
      <c r="AB2630" s="3"/>
      <c r="AC2630" s="3"/>
      <c r="AD2630" s="3"/>
      <c r="AE2630" s="3"/>
      <c r="AF2630" s="3"/>
      <c r="AG2630" s="3"/>
      <c r="AH2630" s="3"/>
    </row>
    <row r="2631" spans="1:34" ht="14.25" customHeight="1" x14ac:dyDescent="0.25">
      <c r="A2631" s="3"/>
      <c r="B2631" s="3"/>
      <c r="C2631" s="3"/>
      <c r="D2631" s="3"/>
      <c r="E2631" s="3"/>
      <c r="F2631" s="3"/>
      <c r="G2631" s="14"/>
      <c r="H2631" s="11"/>
      <c r="I2631" s="12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14"/>
      <c r="X2631" s="3"/>
      <c r="Y2631" s="14"/>
      <c r="Z2631" s="3"/>
      <c r="AA2631" s="3"/>
      <c r="AB2631" s="3"/>
      <c r="AC2631" s="3"/>
      <c r="AD2631" s="3"/>
      <c r="AE2631" s="3"/>
      <c r="AF2631" s="3"/>
      <c r="AG2631" s="3"/>
      <c r="AH2631" s="3"/>
    </row>
    <row r="2632" spans="1:34" ht="14.25" customHeight="1" x14ac:dyDescent="0.25">
      <c r="A2632" s="3"/>
      <c r="B2632" s="3"/>
      <c r="C2632" s="3"/>
      <c r="D2632" s="3"/>
      <c r="E2632" s="3"/>
      <c r="F2632" s="3"/>
      <c r="G2632" s="14"/>
      <c r="H2632" s="11"/>
      <c r="I2632" s="12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14"/>
      <c r="X2632" s="3"/>
      <c r="Y2632" s="14"/>
      <c r="Z2632" s="3"/>
      <c r="AA2632" s="3"/>
      <c r="AB2632" s="3"/>
      <c r="AC2632" s="3"/>
      <c r="AD2632" s="3"/>
      <c r="AE2632" s="3"/>
      <c r="AF2632" s="3"/>
      <c r="AG2632" s="3"/>
      <c r="AH2632" s="3"/>
    </row>
    <row r="2633" spans="1:34" ht="14.25" customHeight="1" x14ac:dyDescent="0.25">
      <c r="A2633" s="3"/>
      <c r="B2633" s="3"/>
      <c r="C2633" s="3"/>
      <c r="D2633" s="3"/>
      <c r="E2633" s="3"/>
      <c r="F2633" s="3"/>
      <c r="G2633" s="14"/>
      <c r="H2633" s="11"/>
      <c r="I2633" s="12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14"/>
      <c r="X2633" s="3"/>
      <c r="Y2633" s="14"/>
      <c r="Z2633" s="3"/>
      <c r="AA2633" s="3"/>
      <c r="AB2633" s="3"/>
      <c r="AC2633" s="3"/>
      <c r="AD2633" s="3"/>
      <c r="AE2633" s="3"/>
      <c r="AF2633" s="3"/>
      <c r="AG2633" s="3"/>
      <c r="AH2633" s="3"/>
    </row>
    <row r="2634" spans="1:34" ht="14.25" customHeight="1" x14ac:dyDescent="0.25">
      <c r="A2634" s="3"/>
      <c r="B2634" s="3"/>
      <c r="C2634" s="3"/>
      <c r="D2634" s="3"/>
      <c r="E2634" s="3"/>
      <c r="F2634" s="3"/>
      <c r="G2634" s="14"/>
      <c r="H2634" s="11"/>
      <c r="I2634" s="12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14"/>
      <c r="X2634" s="3"/>
      <c r="Y2634" s="14"/>
      <c r="Z2634" s="3"/>
      <c r="AA2634" s="3"/>
      <c r="AB2634" s="3"/>
      <c r="AC2634" s="3"/>
      <c r="AD2634" s="3"/>
      <c r="AE2634" s="3"/>
      <c r="AF2634" s="3"/>
      <c r="AG2634" s="3"/>
      <c r="AH2634" s="3"/>
    </row>
    <row r="2635" spans="1:34" ht="14.25" customHeight="1" x14ac:dyDescent="0.25">
      <c r="A2635" s="3"/>
      <c r="B2635" s="3"/>
      <c r="C2635" s="3"/>
      <c r="D2635" s="3"/>
      <c r="E2635" s="3"/>
      <c r="F2635" s="3"/>
      <c r="G2635" s="14"/>
      <c r="H2635" s="11"/>
      <c r="I2635" s="12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14"/>
      <c r="X2635" s="3"/>
      <c r="Y2635" s="14"/>
      <c r="Z2635" s="3"/>
      <c r="AA2635" s="3"/>
      <c r="AB2635" s="3"/>
      <c r="AC2635" s="3"/>
      <c r="AD2635" s="3"/>
      <c r="AE2635" s="3"/>
      <c r="AF2635" s="3"/>
      <c r="AG2635" s="3"/>
      <c r="AH2635" s="3"/>
    </row>
    <row r="2636" spans="1:34" ht="14.25" customHeight="1" x14ac:dyDescent="0.25">
      <c r="A2636" s="3"/>
      <c r="B2636" s="3"/>
      <c r="C2636" s="3"/>
      <c r="D2636" s="3"/>
      <c r="E2636" s="3"/>
      <c r="F2636" s="3"/>
      <c r="G2636" s="14"/>
      <c r="H2636" s="11"/>
      <c r="I2636" s="12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14"/>
      <c r="X2636" s="3"/>
      <c r="Y2636" s="14"/>
      <c r="Z2636" s="3"/>
      <c r="AA2636" s="3"/>
      <c r="AB2636" s="3"/>
      <c r="AC2636" s="3"/>
      <c r="AD2636" s="3"/>
      <c r="AE2636" s="3"/>
      <c r="AF2636" s="3"/>
      <c r="AG2636" s="3"/>
      <c r="AH2636" s="3"/>
    </row>
    <row r="2637" spans="1:34" ht="14.25" customHeight="1" x14ac:dyDescent="0.25">
      <c r="A2637" s="3"/>
      <c r="B2637" s="3"/>
      <c r="C2637" s="3"/>
      <c r="D2637" s="3"/>
      <c r="E2637" s="3"/>
      <c r="F2637" s="3"/>
      <c r="G2637" s="14"/>
      <c r="H2637" s="11"/>
      <c r="I2637" s="12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14"/>
      <c r="X2637" s="3"/>
      <c r="Y2637" s="14"/>
      <c r="Z2637" s="3"/>
      <c r="AA2637" s="3"/>
      <c r="AB2637" s="3"/>
      <c r="AC2637" s="3"/>
      <c r="AD2637" s="3"/>
      <c r="AE2637" s="3"/>
      <c r="AF2637" s="3"/>
      <c r="AG2637" s="3"/>
      <c r="AH2637" s="3"/>
    </row>
    <row r="2638" spans="1:34" ht="14.25" customHeight="1" x14ac:dyDescent="0.25">
      <c r="A2638" s="3"/>
      <c r="B2638" s="3"/>
      <c r="C2638" s="3"/>
      <c r="D2638" s="3"/>
      <c r="E2638" s="3"/>
      <c r="F2638" s="3"/>
      <c r="G2638" s="14"/>
      <c r="H2638" s="11"/>
      <c r="I2638" s="12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14"/>
      <c r="X2638" s="3"/>
      <c r="Y2638" s="14"/>
      <c r="Z2638" s="3"/>
      <c r="AA2638" s="3"/>
      <c r="AB2638" s="3"/>
      <c r="AC2638" s="3"/>
      <c r="AD2638" s="3"/>
      <c r="AE2638" s="3"/>
      <c r="AF2638" s="3"/>
      <c r="AG2638" s="3"/>
      <c r="AH2638" s="3"/>
    </row>
    <row r="2639" spans="1:34" ht="14.25" customHeight="1" x14ac:dyDescent="0.25">
      <c r="A2639" s="3"/>
      <c r="B2639" s="3"/>
      <c r="C2639" s="3"/>
      <c r="D2639" s="3"/>
      <c r="E2639" s="3"/>
      <c r="F2639" s="3"/>
      <c r="G2639" s="14"/>
      <c r="H2639" s="11"/>
      <c r="I2639" s="12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14"/>
      <c r="X2639" s="3"/>
      <c r="Y2639" s="14"/>
      <c r="Z2639" s="3"/>
      <c r="AA2639" s="3"/>
      <c r="AB2639" s="3"/>
      <c r="AC2639" s="3"/>
      <c r="AD2639" s="3"/>
      <c r="AE2639" s="3"/>
      <c r="AF2639" s="3"/>
      <c r="AG2639" s="3"/>
      <c r="AH2639" s="3"/>
    </row>
    <row r="2640" spans="1:34" ht="14.25" customHeight="1" x14ac:dyDescent="0.25">
      <c r="A2640" s="3"/>
      <c r="B2640" s="3"/>
      <c r="C2640" s="3"/>
      <c r="D2640" s="3"/>
      <c r="E2640" s="3"/>
      <c r="F2640" s="3"/>
      <c r="G2640" s="14"/>
      <c r="H2640" s="11"/>
      <c r="I2640" s="12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14"/>
      <c r="X2640" s="3"/>
      <c r="Y2640" s="14"/>
      <c r="Z2640" s="3"/>
      <c r="AA2640" s="3"/>
      <c r="AB2640" s="3"/>
      <c r="AC2640" s="3"/>
      <c r="AD2640" s="3"/>
      <c r="AE2640" s="3"/>
      <c r="AF2640" s="3"/>
      <c r="AG2640" s="3"/>
      <c r="AH2640" s="3"/>
    </row>
    <row r="2641" spans="1:34" ht="14.25" customHeight="1" x14ac:dyDescent="0.25">
      <c r="A2641" s="3"/>
      <c r="B2641" s="3"/>
      <c r="C2641" s="3"/>
      <c r="D2641" s="3"/>
      <c r="E2641" s="3"/>
      <c r="F2641" s="3"/>
      <c r="G2641" s="3"/>
      <c r="H2641" s="11"/>
      <c r="I2641" s="12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14"/>
      <c r="X2641" s="3"/>
      <c r="Y2641" s="14"/>
      <c r="Z2641" s="3"/>
      <c r="AA2641" s="3"/>
      <c r="AB2641" s="3"/>
      <c r="AC2641" s="3"/>
      <c r="AD2641" s="3"/>
      <c r="AE2641" s="3"/>
      <c r="AF2641" s="3"/>
      <c r="AG2641" s="3"/>
      <c r="AH2641" s="3"/>
    </row>
    <row r="2642" spans="1:34" ht="14.25" customHeight="1" x14ac:dyDescent="0.25">
      <c r="A2642" s="3"/>
      <c r="B2642" s="3"/>
      <c r="C2642" s="3"/>
      <c r="D2642" s="3"/>
      <c r="E2642" s="3"/>
      <c r="F2642" s="3"/>
      <c r="G2642" s="14"/>
      <c r="H2642" s="11"/>
      <c r="I2642" s="12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14"/>
      <c r="X2642" s="3"/>
      <c r="Y2642" s="14"/>
      <c r="Z2642" s="3"/>
      <c r="AA2642" s="3"/>
      <c r="AB2642" s="3"/>
      <c r="AC2642" s="3"/>
      <c r="AD2642" s="3"/>
      <c r="AE2642" s="3"/>
      <c r="AF2642" s="3"/>
      <c r="AG2642" s="3"/>
      <c r="AH2642" s="3"/>
    </row>
    <row r="2643" spans="1:34" ht="14.25" customHeight="1" x14ac:dyDescent="0.25">
      <c r="A2643" s="3"/>
      <c r="B2643" s="3"/>
      <c r="C2643" s="3"/>
      <c r="D2643" s="3"/>
      <c r="E2643" s="3"/>
      <c r="F2643" s="3"/>
      <c r="G2643" s="14"/>
      <c r="H2643" s="11"/>
      <c r="I2643" s="12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14"/>
      <c r="X2643" s="3"/>
      <c r="Y2643" s="14"/>
      <c r="Z2643" s="3"/>
      <c r="AA2643" s="3"/>
      <c r="AB2643" s="3"/>
      <c r="AC2643" s="3"/>
      <c r="AD2643" s="3"/>
      <c r="AE2643" s="3"/>
      <c r="AF2643" s="3"/>
      <c r="AG2643" s="3"/>
      <c r="AH2643" s="3"/>
    </row>
    <row r="2644" spans="1:34" ht="14.25" customHeight="1" x14ac:dyDescent="0.25">
      <c r="A2644" s="3"/>
      <c r="B2644" s="3"/>
      <c r="C2644" s="3"/>
      <c r="D2644" s="3"/>
      <c r="E2644" s="3"/>
      <c r="F2644" s="3"/>
      <c r="G2644" s="14"/>
      <c r="H2644" s="11"/>
      <c r="I2644" s="12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14"/>
      <c r="X2644" s="3"/>
      <c r="Y2644" s="14"/>
      <c r="Z2644" s="3"/>
      <c r="AA2644" s="3"/>
      <c r="AB2644" s="3"/>
      <c r="AC2644" s="3"/>
      <c r="AD2644" s="3"/>
      <c r="AE2644" s="3"/>
      <c r="AF2644" s="3"/>
      <c r="AG2644" s="3"/>
      <c r="AH2644" s="3"/>
    </row>
    <row r="2645" spans="1:34" ht="14.25" customHeight="1" x14ac:dyDescent="0.25">
      <c r="A2645" s="3"/>
      <c r="B2645" s="3"/>
      <c r="C2645" s="3"/>
      <c r="D2645" s="3"/>
      <c r="E2645" s="3"/>
      <c r="F2645" s="3"/>
      <c r="G2645" s="14"/>
      <c r="H2645" s="11"/>
      <c r="I2645" s="12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14"/>
      <c r="X2645" s="3"/>
      <c r="Y2645" s="14"/>
      <c r="Z2645" s="3"/>
      <c r="AA2645" s="3"/>
      <c r="AB2645" s="3"/>
      <c r="AC2645" s="3"/>
      <c r="AD2645" s="3"/>
      <c r="AE2645" s="3"/>
      <c r="AF2645" s="3"/>
      <c r="AG2645" s="3"/>
      <c r="AH2645" s="3"/>
    </row>
    <row r="2646" spans="1:34" ht="14.25" customHeight="1" x14ac:dyDescent="0.25">
      <c r="A2646" s="3"/>
      <c r="B2646" s="3"/>
      <c r="C2646" s="3"/>
      <c r="D2646" s="3"/>
      <c r="E2646" s="3"/>
      <c r="F2646" s="3"/>
      <c r="G2646" s="14"/>
      <c r="H2646" s="11"/>
      <c r="I2646" s="12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14"/>
      <c r="X2646" s="3"/>
      <c r="Y2646" s="14"/>
      <c r="Z2646" s="3"/>
      <c r="AA2646" s="3"/>
      <c r="AB2646" s="3"/>
      <c r="AC2646" s="3"/>
      <c r="AD2646" s="3"/>
      <c r="AE2646" s="3"/>
      <c r="AF2646" s="3"/>
      <c r="AG2646" s="3"/>
      <c r="AH2646" s="3"/>
    </row>
    <row r="2647" spans="1:34" ht="14.25" customHeight="1" x14ac:dyDescent="0.25">
      <c r="A2647" s="3"/>
      <c r="B2647" s="3"/>
      <c r="C2647" s="3"/>
      <c r="D2647" s="3"/>
      <c r="E2647" s="3"/>
      <c r="F2647" s="3"/>
      <c r="G2647" s="3"/>
      <c r="H2647" s="11"/>
      <c r="I2647" s="12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14"/>
      <c r="X2647" s="3"/>
      <c r="Y2647" s="14"/>
      <c r="Z2647" s="3"/>
      <c r="AA2647" s="3"/>
      <c r="AB2647" s="3"/>
      <c r="AC2647" s="3"/>
      <c r="AD2647" s="3"/>
      <c r="AE2647" s="3"/>
      <c r="AF2647" s="3"/>
      <c r="AG2647" s="3"/>
      <c r="AH2647" s="3"/>
    </row>
    <row r="2648" spans="1:34" ht="14.25" customHeight="1" x14ac:dyDescent="0.25">
      <c r="A2648" s="3"/>
      <c r="B2648" s="3"/>
      <c r="C2648" s="3"/>
      <c r="D2648" s="3"/>
      <c r="E2648" s="3"/>
      <c r="F2648" s="3"/>
      <c r="G2648" s="3"/>
      <c r="H2648" s="11"/>
      <c r="I2648" s="12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14"/>
      <c r="X2648" s="3"/>
      <c r="Y2648" s="14"/>
      <c r="Z2648" s="3"/>
      <c r="AA2648" s="3"/>
      <c r="AB2648" s="3"/>
      <c r="AC2648" s="3"/>
      <c r="AD2648" s="3"/>
      <c r="AE2648" s="3"/>
      <c r="AF2648" s="3"/>
      <c r="AG2648" s="3"/>
      <c r="AH2648" s="3"/>
    </row>
    <row r="2649" spans="1:34" ht="14.25" customHeight="1" x14ac:dyDescent="0.25">
      <c r="A2649" s="3"/>
      <c r="B2649" s="3"/>
      <c r="C2649" s="3"/>
      <c r="D2649" s="3"/>
      <c r="E2649" s="3"/>
      <c r="F2649" s="3"/>
      <c r="G2649" s="3"/>
      <c r="H2649" s="11"/>
      <c r="I2649" s="12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14"/>
      <c r="X2649" s="3"/>
      <c r="Y2649" s="14"/>
      <c r="Z2649" s="3"/>
      <c r="AA2649" s="3"/>
      <c r="AB2649" s="3"/>
      <c r="AC2649" s="3"/>
      <c r="AD2649" s="3"/>
      <c r="AE2649" s="3"/>
      <c r="AF2649" s="3"/>
      <c r="AG2649" s="3"/>
      <c r="AH2649" s="3"/>
    </row>
    <row r="2650" spans="1:34" ht="14.25" customHeight="1" x14ac:dyDescent="0.25">
      <c r="A2650" s="3"/>
      <c r="B2650" s="3"/>
      <c r="C2650" s="3"/>
      <c r="D2650" s="3"/>
      <c r="E2650" s="3"/>
      <c r="F2650" s="3"/>
      <c r="G2650" s="14"/>
      <c r="H2650" s="11"/>
      <c r="I2650" s="12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14"/>
      <c r="X2650" s="3"/>
      <c r="Y2650" s="14"/>
      <c r="Z2650" s="3"/>
      <c r="AA2650" s="3"/>
      <c r="AB2650" s="3"/>
      <c r="AC2650" s="3"/>
      <c r="AD2650" s="3"/>
      <c r="AE2650" s="3"/>
      <c r="AF2650" s="3"/>
      <c r="AG2650" s="3"/>
      <c r="AH2650" s="3"/>
    </row>
    <row r="2651" spans="1:34" ht="14.25" customHeight="1" x14ac:dyDescent="0.25">
      <c r="A2651" s="3"/>
      <c r="B2651" s="3"/>
      <c r="C2651" s="3"/>
      <c r="D2651" s="3"/>
      <c r="E2651" s="3"/>
      <c r="F2651" s="3"/>
      <c r="G2651" s="14"/>
      <c r="H2651" s="11"/>
      <c r="I2651" s="12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14"/>
      <c r="X2651" s="3"/>
      <c r="Y2651" s="14"/>
      <c r="Z2651" s="3"/>
      <c r="AA2651" s="3"/>
      <c r="AB2651" s="3"/>
      <c r="AC2651" s="3"/>
      <c r="AD2651" s="3"/>
      <c r="AE2651" s="3"/>
      <c r="AF2651" s="3"/>
      <c r="AG2651" s="3"/>
      <c r="AH2651" s="3"/>
    </row>
    <row r="2652" spans="1:34" ht="14.25" customHeight="1" x14ac:dyDescent="0.25">
      <c r="A2652" s="3"/>
      <c r="B2652" s="3"/>
      <c r="C2652" s="3"/>
      <c r="D2652" s="3"/>
      <c r="E2652" s="3"/>
      <c r="F2652" s="3"/>
      <c r="G2652" s="14"/>
      <c r="H2652" s="11"/>
      <c r="I2652" s="12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14"/>
      <c r="X2652" s="3"/>
      <c r="Y2652" s="14"/>
      <c r="Z2652" s="3"/>
      <c r="AA2652" s="3"/>
      <c r="AB2652" s="3"/>
      <c r="AC2652" s="3"/>
      <c r="AD2652" s="3"/>
      <c r="AE2652" s="3"/>
      <c r="AF2652" s="3"/>
      <c r="AG2652" s="3"/>
      <c r="AH2652" s="3"/>
    </row>
    <row r="2653" spans="1:34" ht="14.25" customHeight="1" x14ac:dyDescent="0.25">
      <c r="A2653" s="3"/>
      <c r="B2653" s="3"/>
      <c r="C2653" s="3"/>
      <c r="D2653" s="3"/>
      <c r="E2653" s="3"/>
      <c r="F2653" s="3"/>
      <c r="G2653" s="3"/>
      <c r="H2653" s="11"/>
      <c r="I2653" s="12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14"/>
      <c r="X2653" s="3"/>
      <c r="Y2653" s="14"/>
      <c r="Z2653" s="3"/>
      <c r="AA2653" s="3"/>
      <c r="AB2653" s="3"/>
      <c r="AC2653" s="3"/>
      <c r="AD2653" s="3"/>
      <c r="AE2653" s="3"/>
      <c r="AF2653" s="3"/>
      <c r="AG2653" s="3"/>
      <c r="AH2653" s="3"/>
    </row>
    <row r="2654" spans="1:34" ht="14.25" customHeight="1" x14ac:dyDescent="0.25">
      <c r="A2654" s="3"/>
      <c r="B2654" s="3"/>
      <c r="C2654" s="3"/>
      <c r="D2654" s="3"/>
      <c r="E2654" s="3"/>
      <c r="F2654" s="3"/>
      <c r="G2654" s="14"/>
      <c r="H2654" s="11"/>
      <c r="I2654" s="12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14"/>
      <c r="X2654" s="3"/>
      <c r="Y2654" s="14"/>
      <c r="Z2654" s="3"/>
      <c r="AA2654" s="3"/>
      <c r="AB2654" s="3"/>
      <c r="AC2654" s="3"/>
      <c r="AD2654" s="3"/>
      <c r="AE2654" s="3"/>
      <c r="AF2654" s="3"/>
      <c r="AG2654" s="3"/>
      <c r="AH2654" s="3"/>
    </row>
    <row r="2655" spans="1:34" ht="14.25" customHeight="1" x14ac:dyDescent="0.25">
      <c r="A2655" s="3"/>
      <c r="B2655" s="3"/>
      <c r="C2655" s="3"/>
      <c r="D2655" s="3"/>
      <c r="E2655" s="3"/>
      <c r="F2655" s="3"/>
      <c r="G2655" s="14"/>
      <c r="H2655" s="11"/>
      <c r="I2655" s="12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14"/>
      <c r="X2655" s="3"/>
      <c r="Y2655" s="14"/>
      <c r="Z2655" s="3"/>
      <c r="AA2655" s="3"/>
      <c r="AB2655" s="3"/>
      <c r="AC2655" s="3"/>
      <c r="AD2655" s="3"/>
      <c r="AE2655" s="3"/>
      <c r="AF2655" s="3"/>
      <c r="AG2655" s="3"/>
      <c r="AH2655" s="3"/>
    </row>
    <row r="2656" spans="1:34" ht="14.25" customHeight="1" x14ac:dyDescent="0.25">
      <c r="A2656" s="3"/>
      <c r="B2656" s="3"/>
      <c r="C2656" s="3"/>
      <c r="D2656" s="3"/>
      <c r="E2656" s="3"/>
      <c r="F2656" s="3"/>
      <c r="G2656" s="14"/>
      <c r="H2656" s="11"/>
      <c r="I2656" s="12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14"/>
      <c r="X2656" s="3"/>
      <c r="Y2656" s="14"/>
      <c r="Z2656" s="3"/>
      <c r="AA2656" s="3"/>
      <c r="AB2656" s="3"/>
      <c r="AC2656" s="3"/>
      <c r="AD2656" s="3"/>
      <c r="AE2656" s="3"/>
      <c r="AF2656" s="3"/>
      <c r="AG2656" s="3"/>
      <c r="AH2656" s="3"/>
    </row>
    <row r="2657" spans="1:34" ht="14.25" customHeight="1" x14ac:dyDescent="0.25">
      <c r="A2657" s="3"/>
      <c r="B2657" s="3"/>
      <c r="C2657" s="3"/>
      <c r="D2657" s="3"/>
      <c r="E2657" s="3"/>
      <c r="F2657" s="3"/>
      <c r="G2657" s="14"/>
      <c r="H2657" s="11"/>
      <c r="I2657" s="12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14"/>
      <c r="X2657" s="3"/>
      <c r="Y2657" s="14"/>
      <c r="Z2657" s="3"/>
      <c r="AA2657" s="3"/>
      <c r="AB2657" s="3"/>
      <c r="AC2657" s="3"/>
      <c r="AD2657" s="3"/>
      <c r="AE2657" s="3"/>
      <c r="AF2657" s="3"/>
      <c r="AG2657" s="3"/>
      <c r="AH2657" s="3"/>
    </row>
    <row r="2658" spans="1:34" ht="14.25" customHeight="1" x14ac:dyDescent="0.25">
      <c r="A2658" s="3"/>
      <c r="B2658" s="3"/>
      <c r="C2658" s="3"/>
      <c r="D2658" s="3"/>
      <c r="E2658" s="3"/>
      <c r="F2658" s="3"/>
      <c r="G2658" s="3"/>
      <c r="H2658" s="11"/>
      <c r="I2658" s="12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14"/>
      <c r="X2658" s="3"/>
      <c r="Y2658" s="14"/>
      <c r="Z2658" s="3"/>
      <c r="AA2658" s="3"/>
      <c r="AB2658" s="3"/>
      <c r="AC2658" s="3"/>
      <c r="AD2658" s="3"/>
      <c r="AE2658" s="3"/>
      <c r="AF2658" s="3"/>
      <c r="AG2658" s="3"/>
      <c r="AH2658" s="3"/>
    </row>
    <row r="2659" spans="1:34" ht="14.25" customHeight="1" x14ac:dyDescent="0.25">
      <c r="A2659" s="3"/>
      <c r="B2659" s="3"/>
      <c r="C2659" s="3"/>
      <c r="D2659" s="3"/>
      <c r="E2659" s="3"/>
      <c r="F2659" s="3"/>
      <c r="G2659" s="14"/>
      <c r="H2659" s="11"/>
      <c r="I2659" s="12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14"/>
      <c r="X2659" s="3"/>
      <c r="Y2659" s="14"/>
      <c r="Z2659" s="3"/>
      <c r="AA2659" s="3"/>
      <c r="AB2659" s="3"/>
      <c r="AC2659" s="3"/>
      <c r="AD2659" s="3"/>
      <c r="AE2659" s="3"/>
      <c r="AF2659" s="3"/>
      <c r="AG2659" s="3"/>
      <c r="AH2659" s="3"/>
    </row>
    <row r="2660" spans="1:34" ht="14.25" customHeight="1" x14ac:dyDescent="0.25">
      <c r="A2660" s="3"/>
      <c r="B2660" s="3"/>
      <c r="C2660" s="3"/>
      <c r="D2660" s="3"/>
      <c r="E2660" s="3"/>
      <c r="F2660" s="3"/>
      <c r="G2660" s="3"/>
      <c r="H2660" s="11"/>
      <c r="I2660" s="12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14"/>
      <c r="X2660" s="3"/>
      <c r="Y2660" s="14"/>
      <c r="Z2660" s="3"/>
      <c r="AA2660" s="3"/>
      <c r="AB2660" s="3"/>
      <c r="AC2660" s="3"/>
      <c r="AD2660" s="3"/>
      <c r="AE2660" s="3"/>
      <c r="AF2660" s="3"/>
      <c r="AG2660" s="3"/>
      <c r="AH2660" s="3"/>
    </row>
    <row r="2661" spans="1:34" ht="14.25" customHeight="1" x14ac:dyDescent="0.25">
      <c r="A2661" s="3"/>
      <c r="B2661" s="3"/>
      <c r="C2661" s="3"/>
      <c r="D2661" s="3"/>
      <c r="E2661" s="3"/>
      <c r="F2661" s="3"/>
      <c r="G2661" s="3"/>
      <c r="H2661" s="11"/>
      <c r="I2661" s="12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14"/>
      <c r="X2661" s="3"/>
      <c r="Y2661" s="14"/>
      <c r="Z2661" s="3"/>
      <c r="AA2661" s="3"/>
      <c r="AB2661" s="3"/>
      <c r="AC2661" s="3"/>
      <c r="AD2661" s="3"/>
      <c r="AE2661" s="3"/>
      <c r="AF2661" s="3"/>
      <c r="AG2661" s="3"/>
      <c r="AH2661" s="3"/>
    </row>
    <row r="2662" spans="1:34" ht="14.25" customHeight="1" x14ac:dyDescent="0.25">
      <c r="A2662" s="3"/>
      <c r="B2662" s="3"/>
      <c r="C2662" s="3"/>
      <c r="D2662" s="3"/>
      <c r="E2662" s="3"/>
      <c r="F2662" s="3"/>
      <c r="G2662" s="14"/>
      <c r="H2662" s="11"/>
      <c r="I2662" s="12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14"/>
      <c r="X2662" s="3"/>
      <c r="Y2662" s="14"/>
      <c r="Z2662" s="3"/>
      <c r="AA2662" s="3"/>
      <c r="AB2662" s="3"/>
      <c r="AC2662" s="3"/>
      <c r="AD2662" s="3"/>
      <c r="AE2662" s="3"/>
      <c r="AF2662" s="3"/>
      <c r="AG2662" s="3"/>
      <c r="AH2662" s="3"/>
    </row>
    <row r="2663" spans="1:34" ht="14.25" customHeight="1" x14ac:dyDescent="0.25">
      <c r="A2663" s="3"/>
      <c r="B2663" s="3"/>
      <c r="C2663" s="3"/>
      <c r="D2663" s="3"/>
      <c r="E2663" s="3"/>
      <c r="F2663" s="3"/>
      <c r="G2663" s="14"/>
      <c r="H2663" s="11"/>
      <c r="I2663" s="12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14"/>
      <c r="X2663" s="3"/>
      <c r="Y2663" s="14"/>
      <c r="Z2663" s="3"/>
      <c r="AA2663" s="3"/>
      <c r="AB2663" s="3"/>
      <c r="AC2663" s="3"/>
      <c r="AD2663" s="3"/>
      <c r="AE2663" s="3"/>
      <c r="AF2663" s="3"/>
      <c r="AG2663" s="3"/>
      <c r="AH2663" s="3"/>
    </row>
    <row r="2664" spans="1:34" ht="14.25" customHeight="1" x14ac:dyDescent="0.25">
      <c r="A2664" s="3"/>
      <c r="B2664" s="3"/>
      <c r="C2664" s="3"/>
      <c r="D2664" s="3"/>
      <c r="E2664" s="3"/>
      <c r="F2664" s="3"/>
      <c r="G2664" s="14"/>
      <c r="H2664" s="11"/>
      <c r="I2664" s="12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14"/>
      <c r="X2664" s="3"/>
      <c r="Y2664" s="14"/>
      <c r="Z2664" s="3"/>
      <c r="AA2664" s="3"/>
      <c r="AB2664" s="3"/>
      <c r="AC2664" s="3"/>
      <c r="AD2664" s="3"/>
      <c r="AE2664" s="3"/>
      <c r="AF2664" s="3"/>
      <c r="AG2664" s="3"/>
      <c r="AH2664" s="3"/>
    </row>
    <row r="2665" spans="1:34" ht="14.25" customHeight="1" x14ac:dyDescent="0.25">
      <c r="A2665" s="3"/>
      <c r="B2665" s="3"/>
      <c r="C2665" s="3"/>
      <c r="D2665" s="3"/>
      <c r="E2665" s="3"/>
      <c r="F2665" s="3"/>
      <c r="G2665" s="3"/>
      <c r="H2665" s="11"/>
      <c r="I2665" s="12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14"/>
      <c r="X2665" s="3"/>
      <c r="Y2665" s="14"/>
      <c r="Z2665" s="3"/>
      <c r="AA2665" s="3"/>
      <c r="AB2665" s="3"/>
      <c r="AC2665" s="3"/>
      <c r="AD2665" s="3"/>
      <c r="AE2665" s="3"/>
      <c r="AF2665" s="3"/>
      <c r="AG2665" s="3"/>
      <c r="AH2665" s="3"/>
    </row>
    <row r="2666" spans="1:34" ht="14.25" customHeight="1" x14ac:dyDescent="0.25">
      <c r="A2666" s="3"/>
      <c r="B2666" s="3"/>
      <c r="C2666" s="3"/>
      <c r="D2666" s="3"/>
      <c r="E2666" s="3"/>
      <c r="F2666" s="3"/>
      <c r="G2666" s="14"/>
      <c r="H2666" s="11"/>
      <c r="I2666" s="12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14"/>
      <c r="X2666" s="3"/>
      <c r="Y2666" s="14"/>
      <c r="Z2666" s="3"/>
      <c r="AA2666" s="3"/>
      <c r="AB2666" s="3"/>
      <c r="AC2666" s="3"/>
      <c r="AD2666" s="3"/>
      <c r="AE2666" s="3"/>
      <c r="AF2666" s="3"/>
      <c r="AG2666" s="3"/>
      <c r="AH2666" s="3"/>
    </row>
    <row r="2667" spans="1:34" ht="14.25" customHeight="1" x14ac:dyDescent="0.25">
      <c r="A2667" s="3"/>
      <c r="B2667" s="3"/>
      <c r="C2667" s="3"/>
      <c r="D2667" s="3"/>
      <c r="E2667" s="3"/>
      <c r="F2667" s="3"/>
      <c r="G2667" s="3"/>
      <c r="H2667" s="11"/>
      <c r="I2667" s="12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14"/>
      <c r="X2667" s="3"/>
      <c r="Y2667" s="14"/>
      <c r="Z2667" s="3"/>
      <c r="AA2667" s="3"/>
      <c r="AB2667" s="3"/>
      <c r="AC2667" s="3"/>
      <c r="AD2667" s="3"/>
      <c r="AE2667" s="3"/>
      <c r="AF2667" s="3"/>
      <c r="AG2667" s="3"/>
      <c r="AH2667" s="3"/>
    </row>
    <row r="2668" spans="1:34" ht="14.25" customHeight="1" x14ac:dyDescent="0.25">
      <c r="A2668" s="3"/>
      <c r="B2668" s="3"/>
      <c r="C2668" s="3"/>
      <c r="D2668" s="3"/>
      <c r="E2668" s="3"/>
      <c r="F2668" s="3"/>
      <c r="G2668" s="14"/>
      <c r="H2668" s="11"/>
      <c r="I2668" s="12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14"/>
      <c r="X2668" s="3"/>
      <c r="Y2668" s="14"/>
      <c r="Z2668" s="3"/>
      <c r="AA2668" s="3"/>
      <c r="AB2668" s="3"/>
      <c r="AC2668" s="3"/>
      <c r="AD2668" s="3"/>
      <c r="AE2668" s="3"/>
      <c r="AF2668" s="3"/>
      <c r="AG2668" s="3"/>
      <c r="AH2668" s="3"/>
    </row>
    <row r="2669" spans="1:34" ht="14.25" customHeight="1" x14ac:dyDescent="0.25">
      <c r="A2669" s="3"/>
      <c r="B2669" s="3"/>
      <c r="C2669" s="3"/>
      <c r="D2669" s="3"/>
      <c r="E2669" s="3"/>
      <c r="F2669" s="3"/>
      <c r="G2669" s="14"/>
      <c r="H2669" s="11"/>
      <c r="I2669" s="12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14"/>
      <c r="X2669" s="3"/>
      <c r="Y2669" s="14"/>
      <c r="Z2669" s="3"/>
      <c r="AA2669" s="3"/>
      <c r="AB2669" s="3"/>
      <c r="AC2669" s="3"/>
      <c r="AD2669" s="3"/>
      <c r="AE2669" s="3"/>
      <c r="AF2669" s="3"/>
      <c r="AG2669" s="3"/>
      <c r="AH2669" s="3"/>
    </row>
    <row r="2670" spans="1:34" ht="14.25" customHeight="1" x14ac:dyDescent="0.25">
      <c r="A2670" s="3"/>
      <c r="B2670" s="3"/>
      <c r="C2670" s="3"/>
      <c r="D2670" s="3"/>
      <c r="E2670" s="3"/>
      <c r="F2670" s="3"/>
      <c r="G2670" s="14"/>
      <c r="H2670" s="11"/>
      <c r="I2670" s="12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14"/>
      <c r="X2670" s="3"/>
      <c r="Y2670" s="14"/>
      <c r="Z2670" s="3"/>
      <c r="AA2670" s="3"/>
      <c r="AB2670" s="3"/>
      <c r="AC2670" s="3"/>
      <c r="AD2670" s="3"/>
      <c r="AE2670" s="3"/>
      <c r="AF2670" s="3"/>
      <c r="AG2670" s="3"/>
      <c r="AH2670" s="3"/>
    </row>
    <row r="2671" spans="1:34" ht="14.25" customHeight="1" x14ac:dyDescent="0.25">
      <c r="A2671" s="3"/>
      <c r="B2671" s="3"/>
      <c r="C2671" s="3"/>
      <c r="D2671" s="3"/>
      <c r="E2671" s="3"/>
      <c r="F2671" s="3"/>
      <c r="G2671" s="14"/>
      <c r="H2671" s="11"/>
      <c r="I2671" s="12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14"/>
      <c r="X2671" s="3"/>
      <c r="Y2671" s="14"/>
      <c r="Z2671" s="3"/>
      <c r="AA2671" s="3"/>
      <c r="AB2671" s="3"/>
      <c r="AC2671" s="3"/>
      <c r="AD2671" s="3"/>
      <c r="AE2671" s="3"/>
      <c r="AF2671" s="3"/>
      <c r="AG2671" s="3"/>
      <c r="AH2671" s="3"/>
    </row>
    <row r="2672" spans="1:34" ht="14.25" customHeight="1" x14ac:dyDescent="0.25">
      <c r="A2672" s="3"/>
      <c r="B2672" s="3"/>
      <c r="C2672" s="3"/>
      <c r="D2672" s="3"/>
      <c r="E2672" s="3"/>
      <c r="F2672" s="3"/>
      <c r="G2672" s="3"/>
      <c r="H2672" s="11"/>
      <c r="I2672" s="12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14"/>
      <c r="X2672" s="3"/>
      <c r="Y2672" s="14"/>
      <c r="Z2672" s="3"/>
      <c r="AA2672" s="3"/>
      <c r="AB2672" s="3"/>
      <c r="AC2672" s="3"/>
      <c r="AD2672" s="3"/>
      <c r="AE2672" s="3"/>
      <c r="AF2672" s="3"/>
      <c r="AG2672" s="3"/>
      <c r="AH2672" s="3"/>
    </row>
    <row r="2673" spans="1:34" ht="14.25" customHeight="1" x14ac:dyDescent="0.25">
      <c r="A2673" s="3"/>
      <c r="B2673" s="3"/>
      <c r="C2673" s="3"/>
      <c r="D2673" s="3"/>
      <c r="E2673" s="3"/>
      <c r="F2673" s="3"/>
      <c r="G2673" s="14"/>
      <c r="H2673" s="11"/>
      <c r="I2673" s="12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14"/>
      <c r="X2673" s="3"/>
      <c r="Y2673" s="14"/>
      <c r="Z2673" s="3"/>
      <c r="AA2673" s="3"/>
      <c r="AB2673" s="3"/>
      <c r="AC2673" s="3"/>
      <c r="AD2673" s="3"/>
      <c r="AE2673" s="3"/>
      <c r="AF2673" s="3"/>
      <c r="AG2673" s="3"/>
      <c r="AH2673" s="3"/>
    </row>
    <row r="2674" spans="1:34" ht="14.25" customHeight="1" x14ac:dyDescent="0.25">
      <c r="A2674" s="3"/>
      <c r="B2674" s="3"/>
      <c r="C2674" s="3"/>
      <c r="D2674" s="3"/>
      <c r="E2674" s="3"/>
      <c r="F2674" s="3"/>
      <c r="G2674" s="3"/>
      <c r="H2674" s="11"/>
      <c r="I2674" s="12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14"/>
      <c r="X2674" s="3"/>
      <c r="Y2674" s="14"/>
      <c r="Z2674" s="3"/>
      <c r="AA2674" s="3"/>
      <c r="AB2674" s="3"/>
      <c r="AC2674" s="3"/>
      <c r="AD2674" s="3"/>
      <c r="AE2674" s="3"/>
      <c r="AF2674" s="3"/>
      <c r="AG2674" s="3"/>
      <c r="AH2674" s="3"/>
    </row>
    <row r="2675" spans="1:34" ht="14.25" customHeight="1" x14ac:dyDescent="0.25">
      <c r="A2675" s="3"/>
      <c r="B2675" s="3"/>
      <c r="C2675" s="3"/>
      <c r="D2675" s="3"/>
      <c r="E2675" s="3"/>
      <c r="F2675" s="3"/>
      <c r="G2675" s="3"/>
      <c r="H2675" s="11"/>
      <c r="I2675" s="12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14"/>
      <c r="X2675" s="3"/>
      <c r="Y2675" s="14"/>
      <c r="Z2675" s="3"/>
      <c r="AA2675" s="3"/>
      <c r="AB2675" s="3"/>
      <c r="AC2675" s="3"/>
      <c r="AD2675" s="3"/>
      <c r="AE2675" s="3"/>
      <c r="AF2675" s="3"/>
      <c r="AG2675" s="3"/>
      <c r="AH2675" s="3"/>
    </row>
    <row r="2676" spans="1:34" ht="14.25" customHeight="1" x14ac:dyDescent="0.25">
      <c r="A2676" s="3"/>
      <c r="B2676" s="3"/>
      <c r="C2676" s="3"/>
      <c r="D2676" s="3"/>
      <c r="E2676" s="3"/>
      <c r="F2676" s="3"/>
      <c r="G2676" s="14"/>
      <c r="H2676" s="11"/>
      <c r="I2676" s="12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14"/>
      <c r="X2676" s="3"/>
      <c r="Y2676" s="14"/>
      <c r="Z2676" s="3"/>
      <c r="AA2676" s="3"/>
      <c r="AB2676" s="3"/>
      <c r="AC2676" s="3"/>
      <c r="AD2676" s="3"/>
      <c r="AE2676" s="3"/>
      <c r="AF2676" s="3"/>
      <c r="AG2676" s="3"/>
      <c r="AH2676" s="3"/>
    </row>
    <row r="2677" spans="1:34" ht="14.25" customHeight="1" x14ac:dyDescent="0.25">
      <c r="A2677" s="3"/>
      <c r="B2677" s="3"/>
      <c r="C2677" s="3"/>
      <c r="D2677" s="3"/>
      <c r="E2677" s="3"/>
      <c r="F2677" s="3"/>
      <c r="G2677" s="14"/>
      <c r="H2677" s="11"/>
      <c r="I2677" s="12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14"/>
      <c r="X2677" s="3"/>
      <c r="Y2677" s="14"/>
      <c r="Z2677" s="3"/>
      <c r="AA2677" s="3"/>
      <c r="AB2677" s="3"/>
      <c r="AC2677" s="3"/>
      <c r="AD2677" s="3"/>
      <c r="AE2677" s="3"/>
      <c r="AF2677" s="3"/>
      <c r="AG2677" s="3"/>
      <c r="AH2677" s="3"/>
    </row>
    <row r="2678" spans="1:34" ht="14.25" customHeight="1" x14ac:dyDescent="0.25">
      <c r="A2678" s="3"/>
      <c r="B2678" s="3"/>
      <c r="C2678" s="3"/>
      <c r="D2678" s="3"/>
      <c r="E2678" s="3"/>
      <c r="F2678" s="3"/>
      <c r="G2678" s="14"/>
      <c r="H2678" s="11"/>
      <c r="I2678" s="12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14"/>
      <c r="X2678" s="3"/>
      <c r="Y2678" s="14"/>
      <c r="Z2678" s="3"/>
      <c r="AA2678" s="3"/>
      <c r="AB2678" s="3"/>
      <c r="AC2678" s="3"/>
      <c r="AD2678" s="3"/>
      <c r="AE2678" s="3"/>
      <c r="AF2678" s="3"/>
      <c r="AG2678" s="3"/>
      <c r="AH2678" s="3"/>
    </row>
    <row r="2679" spans="1:34" ht="14.25" customHeight="1" x14ac:dyDescent="0.25">
      <c r="A2679" s="3"/>
      <c r="B2679" s="3"/>
      <c r="C2679" s="3"/>
      <c r="D2679" s="3"/>
      <c r="E2679" s="3"/>
      <c r="F2679" s="3"/>
      <c r="G2679" s="3"/>
      <c r="H2679" s="11"/>
      <c r="I2679" s="12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14"/>
      <c r="X2679" s="3"/>
      <c r="Y2679" s="14"/>
      <c r="Z2679" s="3"/>
      <c r="AA2679" s="3"/>
      <c r="AB2679" s="3"/>
      <c r="AC2679" s="3"/>
      <c r="AD2679" s="3"/>
      <c r="AE2679" s="3"/>
      <c r="AF2679" s="3"/>
      <c r="AG2679" s="3"/>
      <c r="AH2679" s="3"/>
    </row>
    <row r="2680" spans="1:34" ht="14.25" customHeight="1" x14ac:dyDescent="0.25">
      <c r="A2680" s="3"/>
      <c r="B2680" s="3"/>
      <c r="C2680" s="3"/>
      <c r="D2680" s="3"/>
      <c r="E2680" s="3"/>
      <c r="F2680" s="3"/>
      <c r="G2680" s="14"/>
      <c r="H2680" s="11"/>
      <c r="I2680" s="12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14"/>
      <c r="X2680" s="3"/>
      <c r="Y2680" s="14"/>
      <c r="Z2680" s="3"/>
      <c r="AA2680" s="3"/>
      <c r="AB2680" s="3"/>
      <c r="AC2680" s="3"/>
      <c r="AD2680" s="3"/>
      <c r="AE2680" s="3"/>
      <c r="AF2680" s="3"/>
      <c r="AG2680" s="3"/>
      <c r="AH2680" s="3"/>
    </row>
    <row r="2681" spans="1:34" ht="14.25" customHeight="1" x14ac:dyDescent="0.25">
      <c r="A2681" s="3"/>
      <c r="B2681" s="3"/>
      <c r="C2681" s="3"/>
      <c r="D2681" s="3"/>
      <c r="E2681" s="3"/>
      <c r="F2681" s="3"/>
      <c r="G2681" s="14"/>
      <c r="H2681" s="11"/>
      <c r="I2681" s="12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14"/>
      <c r="X2681" s="3"/>
      <c r="Y2681" s="14"/>
      <c r="Z2681" s="3"/>
      <c r="AA2681" s="3"/>
      <c r="AB2681" s="3"/>
      <c r="AC2681" s="3"/>
      <c r="AD2681" s="3"/>
      <c r="AE2681" s="3"/>
      <c r="AF2681" s="3"/>
      <c r="AG2681" s="3"/>
      <c r="AH2681" s="3"/>
    </row>
    <row r="2682" spans="1:34" ht="14.25" customHeight="1" x14ac:dyDescent="0.25">
      <c r="A2682" s="3"/>
      <c r="B2682" s="3"/>
      <c r="C2682" s="3"/>
      <c r="D2682" s="3"/>
      <c r="E2682" s="3"/>
      <c r="F2682" s="3"/>
      <c r="G2682" s="3"/>
      <c r="H2682" s="11"/>
      <c r="I2682" s="12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14"/>
      <c r="X2682" s="3"/>
      <c r="Y2682" s="14"/>
      <c r="Z2682" s="3"/>
      <c r="AA2682" s="3"/>
      <c r="AB2682" s="3"/>
      <c r="AC2682" s="3"/>
      <c r="AD2682" s="3"/>
      <c r="AE2682" s="3"/>
      <c r="AF2682" s="3"/>
      <c r="AG2682" s="3"/>
      <c r="AH2682" s="3"/>
    </row>
    <row r="2683" spans="1:34" ht="14.25" customHeight="1" x14ac:dyDescent="0.25">
      <c r="A2683" s="3"/>
      <c r="B2683" s="3"/>
      <c r="C2683" s="3"/>
      <c r="D2683" s="3"/>
      <c r="E2683" s="3"/>
      <c r="F2683" s="3"/>
      <c r="G2683" s="14"/>
      <c r="H2683" s="11"/>
      <c r="I2683" s="12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14"/>
      <c r="X2683" s="3"/>
      <c r="Y2683" s="14"/>
      <c r="Z2683" s="3"/>
      <c r="AA2683" s="3"/>
      <c r="AB2683" s="3"/>
      <c r="AC2683" s="3"/>
      <c r="AD2683" s="3"/>
      <c r="AE2683" s="3"/>
      <c r="AF2683" s="3"/>
      <c r="AG2683" s="3"/>
      <c r="AH2683" s="3"/>
    </row>
    <row r="2684" spans="1:34" ht="14.25" customHeight="1" x14ac:dyDescent="0.25">
      <c r="A2684" s="3"/>
      <c r="B2684" s="3"/>
      <c r="C2684" s="3"/>
      <c r="D2684" s="3"/>
      <c r="E2684" s="3"/>
      <c r="F2684" s="3"/>
      <c r="G2684" s="14"/>
      <c r="H2684" s="11"/>
      <c r="I2684" s="12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14"/>
      <c r="X2684" s="3"/>
      <c r="Y2684" s="14"/>
      <c r="Z2684" s="3"/>
      <c r="AA2684" s="3"/>
      <c r="AB2684" s="3"/>
      <c r="AC2684" s="3"/>
      <c r="AD2684" s="3"/>
      <c r="AE2684" s="3"/>
      <c r="AF2684" s="3"/>
      <c r="AG2684" s="3"/>
      <c r="AH2684" s="3"/>
    </row>
    <row r="2685" spans="1:34" ht="14.25" customHeight="1" x14ac:dyDescent="0.25">
      <c r="A2685" s="3"/>
      <c r="B2685" s="3"/>
      <c r="C2685" s="3"/>
      <c r="D2685" s="3"/>
      <c r="E2685" s="3"/>
      <c r="F2685" s="3"/>
      <c r="G2685" s="14"/>
      <c r="H2685" s="11"/>
      <c r="I2685" s="12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14"/>
      <c r="X2685" s="3"/>
      <c r="Y2685" s="14"/>
      <c r="Z2685" s="3"/>
      <c r="AA2685" s="3"/>
      <c r="AB2685" s="3"/>
      <c r="AC2685" s="3"/>
      <c r="AD2685" s="3"/>
      <c r="AE2685" s="3"/>
      <c r="AF2685" s="3"/>
      <c r="AG2685" s="3"/>
      <c r="AH2685" s="3"/>
    </row>
    <row r="2686" spans="1:34" ht="14.25" customHeight="1" x14ac:dyDescent="0.25">
      <c r="A2686" s="3"/>
      <c r="B2686" s="3"/>
      <c r="C2686" s="3"/>
      <c r="D2686" s="3"/>
      <c r="E2686" s="3"/>
      <c r="F2686" s="3"/>
      <c r="G2686" s="14"/>
      <c r="H2686" s="11"/>
      <c r="I2686" s="12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14"/>
      <c r="X2686" s="3"/>
      <c r="Y2686" s="14"/>
      <c r="Z2686" s="3"/>
      <c r="AA2686" s="3"/>
      <c r="AB2686" s="3"/>
      <c r="AC2686" s="3"/>
      <c r="AD2686" s="3"/>
      <c r="AE2686" s="3"/>
      <c r="AF2686" s="3"/>
      <c r="AG2686" s="3"/>
      <c r="AH2686" s="3"/>
    </row>
    <row r="2687" spans="1:34" ht="14.25" customHeight="1" x14ac:dyDescent="0.25">
      <c r="A2687" s="3"/>
      <c r="B2687" s="3"/>
      <c r="C2687" s="3"/>
      <c r="D2687" s="3"/>
      <c r="E2687" s="3"/>
      <c r="F2687" s="3"/>
      <c r="G2687" s="3"/>
      <c r="H2687" s="11"/>
      <c r="I2687" s="12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14"/>
      <c r="X2687" s="3"/>
      <c r="Y2687" s="14"/>
      <c r="Z2687" s="3"/>
      <c r="AA2687" s="3"/>
      <c r="AB2687" s="3"/>
      <c r="AC2687" s="3"/>
      <c r="AD2687" s="3"/>
      <c r="AE2687" s="3"/>
      <c r="AF2687" s="3"/>
      <c r="AG2687" s="3"/>
      <c r="AH2687" s="3"/>
    </row>
    <row r="2688" spans="1:34" ht="14.25" customHeight="1" x14ac:dyDescent="0.25">
      <c r="A2688" s="3"/>
      <c r="B2688" s="3"/>
      <c r="C2688" s="3"/>
      <c r="D2688" s="3"/>
      <c r="E2688" s="3"/>
      <c r="F2688" s="3"/>
      <c r="G2688" s="3"/>
      <c r="H2688" s="11"/>
      <c r="I2688" s="12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14"/>
      <c r="X2688" s="3"/>
      <c r="Y2688" s="14"/>
      <c r="Z2688" s="3"/>
      <c r="AA2688" s="3"/>
      <c r="AB2688" s="3"/>
      <c r="AC2688" s="3"/>
      <c r="AD2688" s="3"/>
      <c r="AE2688" s="3"/>
      <c r="AF2688" s="3"/>
      <c r="AG2688" s="3"/>
      <c r="AH2688" s="3"/>
    </row>
    <row r="2689" spans="1:34" ht="14.25" customHeight="1" x14ac:dyDescent="0.25">
      <c r="A2689" s="3"/>
      <c r="B2689" s="3"/>
      <c r="C2689" s="3"/>
      <c r="D2689" s="3"/>
      <c r="E2689" s="3"/>
      <c r="F2689" s="3"/>
      <c r="G2689" s="3"/>
      <c r="H2689" s="11"/>
      <c r="I2689" s="12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14"/>
      <c r="X2689" s="3"/>
      <c r="Y2689" s="14"/>
      <c r="Z2689" s="3"/>
      <c r="AA2689" s="3"/>
      <c r="AB2689" s="3"/>
      <c r="AC2689" s="3"/>
      <c r="AD2689" s="3"/>
      <c r="AE2689" s="3"/>
      <c r="AF2689" s="3"/>
      <c r="AG2689" s="3"/>
      <c r="AH2689" s="3"/>
    </row>
    <row r="2690" spans="1:34" ht="14.25" customHeight="1" x14ac:dyDescent="0.25">
      <c r="A2690" s="3"/>
      <c r="B2690" s="3"/>
      <c r="C2690" s="3"/>
      <c r="D2690" s="3"/>
      <c r="E2690" s="3"/>
      <c r="F2690" s="3"/>
      <c r="G2690" s="14"/>
      <c r="H2690" s="11"/>
      <c r="I2690" s="12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14"/>
      <c r="X2690" s="3"/>
      <c r="Y2690" s="14"/>
      <c r="Z2690" s="3"/>
      <c r="AA2690" s="3"/>
      <c r="AB2690" s="3"/>
      <c r="AC2690" s="3"/>
      <c r="AD2690" s="3"/>
      <c r="AE2690" s="3"/>
      <c r="AF2690" s="3"/>
      <c r="AG2690" s="3"/>
      <c r="AH2690" s="3"/>
    </row>
    <row r="2691" spans="1:34" ht="14.25" customHeight="1" x14ac:dyDescent="0.25">
      <c r="A2691" s="3"/>
      <c r="B2691" s="3"/>
      <c r="C2691" s="3"/>
      <c r="D2691" s="3"/>
      <c r="E2691" s="3"/>
      <c r="F2691" s="3"/>
      <c r="G2691" s="14"/>
      <c r="H2691" s="11"/>
      <c r="I2691" s="12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14"/>
      <c r="X2691" s="3"/>
      <c r="Y2691" s="14"/>
      <c r="Z2691" s="3"/>
      <c r="AA2691" s="3"/>
      <c r="AB2691" s="3"/>
      <c r="AC2691" s="3"/>
      <c r="AD2691" s="3"/>
      <c r="AE2691" s="3"/>
      <c r="AF2691" s="3"/>
      <c r="AG2691" s="3"/>
      <c r="AH2691" s="3"/>
    </row>
    <row r="2692" spans="1:34" ht="14.25" customHeight="1" x14ac:dyDescent="0.25">
      <c r="A2692" s="3"/>
      <c r="B2692" s="3"/>
      <c r="C2692" s="3"/>
      <c r="D2692" s="3"/>
      <c r="E2692" s="3"/>
      <c r="F2692" s="3"/>
      <c r="G2692" s="14"/>
      <c r="H2692" s="11"/>
      <c r="I2692" s="12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14"/>
      <c r="X2692" s="3"/>
      <c r="Y2692" s="14"/>
      <c r="Z2692" s="3"/>
      <c r="AA2692" s="3"/>
      <c r="AB2692" s="3"/>
      <c r="AC2692" s="3"/>
      <c r="AD2692" s="3"/>
      <c r="AE2692" s="3"/>
      <c r="AF2692" s="3"/>
      <c r="AG2692" s="3"/>
      <c r="AH2692" s="3"/>
    </row>
    <row r="2693" spans="1:34" ht="14.25" customHeight="1" x14ac:dyDescent="0.25">
      <c r="A2693" s="3"/>
      <c r="B2693" s="3"/>
      <c r="C2693" s="3"/>
      <c r="D2693" s="3"/>
      <c r="E2693" s="3"/>
      <c r="F2693" s="3"/>
      <c r="G2693" s="3"/>
      <c r="H2693" s="11"/>
      <c r="I2693" s="12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14"/>
      <c r="X2693" s="3"/>
      <c r="Y2693" s="14"/>
      <c r="Z2693" s="3"/>
      <c r="AA2693" s="3"/>
      <c r="AB2693" s="3"/>
      <c r="AC2693" s="3"/>
      <c r="AD2693" s="3"/>
      <c r="AE2693" s="3"/>
      <c r="AF2693" s="3"/>
      <c r="AG2693" s="3"/>
      <c r="AH2693" s="3"/>
    </row>
    <row r="2694" spans="1:34" ht="14.25" customHeight="1" x14ac:dyDescent="0.25">
      <c r="A2694" s="3"/>
      <c r="B2694" s="3"/>
      <c r="C2694" s="3"/>
      <c r="D2694" s="3"/>
      <c r="E2694" s="3"/>
      <c r="F2694" s="3"/>
      <c r="G2694" s="14"/>
      <c r="H2694" s="11"/>
      <c r="I2694" s="12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14"/>
      <c r="X2694" s="3"/>
      <c r="Y2694" s="14"/>
      <c r="Z2694" s="3"/>
      <c r="AA2694" s="3"/>
      <c r="AB2694" s="3"/>
      <c r="AC2694" s="3"/>
      <c r="AD2694" s="3"/>
      <c r="AE2694" s="3"/>
      <c r="AF2694" s="3"/>
      <c r="AG2694" s="3"/>
      <c r="AH2694" s="3"/>
    </row>
    <row r="2695" spans="1:34" ht="14.25" customHeight="1" x14ac:dyDescent="0.25">
      <c r="A2695" s="3"/>
      <c r="B2695" s="3"/>
      <c r="C2695" s="3"/>
      <c r="D2695" s="3"/>
      <c r="E2695" s="3"/>
      <c r="F2695" s="3"/>
      <c r="G2695" s="14"/>
      <c r="H2695" s="11"/>
      <c r="I2695" s="12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14"/>
      <c r="X2695" s="3"/>
      <c r="Y2695" s="14"/>
      <c r="Z2695" s="3"/>
      <c r="AA2695" s="3"/>
      <c r="AB2695" s="3"/>
      <c r="AC2695" s="3"/>
      <c r="AD2695" s="3"/>
      <c r="AE2695" s="3"/>
      <c r="AF2695" s="3"/>
      <c r="AG2695" s="3"/>
      <c r="AH2695" s="3"/>
    </row>
    <row r="2696" spans="1:34" ht="14.25" customHeight="1" x14ac:dyDescent="0.25">
      <c r="A2696" s="3"/>
      <c r="B2696" s="3"/>
      <c r="C2696" s="3"/>
      <c r="D2696" s="3"/>
      <c r="E2696" s="3"/>
      <c r="F2696" s="3"/>
      <c r="G2696" s="14"/>
      <c r="H2696" s="11"/>
      <c r="I2696" s="12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14"/>
      <c r="X2696" s="3"/>
      <c r="Y2696" s="14"/>
      <c r="Z2696" s="3"/>
      <c r="AA2696" s="3"/>
      <c r="AB2696" s="3"/>
      <c r="AC2696" s="3"/>
      <c r="AD2696" s="3"/>
      <c r="AE2696" s="3"/>
      <c r="AF2696" s="3"/>
      <c r="AG2696" s="3"/>
      <c r="AH2696" s="3"/>
    </row>
    <row r="2697" spans="1:34" ht="14.25" customHeight="1" x14ac:dyDescent="0.25">
      <c r="A2697" s="3"/>
      <c r="B2697" s="3"/>
      <c r="C2697" s="3"/>
      <c r="D2697" s="3"/>
      <c r="E2697" s="3"/>
      <c r="F2697" s="3"/>
      <c r="G2697" s="14"/>
      <c r="H2697" s="11"/>
      <c r="I2697" s="12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14"/>
      <c r="X2697" s="3"/>
      <c r="Y2697" s="14"/>
      <c r="Z2697" s="3"/>
      <c r="AA2697" s="3"/>
      <c r="AB2697" s="3"/>
      <c r="AC2697" s="3"/>
      <c r="AD2697" s="3"/>
      <c r="AE2697" s="3"/>
      <c r="AF2697" s="3"/>
      <c r="AG2697" s="3"/>
      <c r="AH2697" s="3"/>
    </row>
    <row r="2698" spans="1:34" ht="14.25" customHeight="1" x14ac:dyDescent="0.25">
      <c r="A2698" s="3"/>
      <c r="B2698" s="3"/>
      <c r="C2698" s="3"/>
      <c r="D2698" s="3"/>
      <c r="E2698" s="3"/>
      <c r="F2698" s="3"/>
      <c r="G2698" s="14"/>
      <c r="H2698" s="11"/>
      <c r="I2698" s="12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14"/>
      <c r="X2698" s="3"/>
      <c r="Y2698" s="14"/>
      <c r="Z2698" s="3"/>
      <c r="AA2698" s="3"/>
      <c r="AB2698" s="3"/>
      <c r="AC2698" s="3"/>
      <c r="AD2698" s="3"/>
      <c r="AE2698" s="3"/>
      <c r="AF2698" s="3"/>
      <c r="AG2698" s="3"/>
      <c r="AH2698" s="3"/>
    </row>
    <row r="2699" spans="1:34" ht="14.25" customHeight="1" x14ac:dyDescent="0.25">
      <c r="A2699" s="3"/>
      <c r="B2699" s="3"/>
      <c r="C2699" s="3"/>
      <c r="D2699" s="3"/>
      <c r="E2699" s="3"/>
      <c r="F2699" s="3"/>
      <c r="G2699" s="14"/>
      <c r="H2699" s="11"/>
      <c r="I2699" s="12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14"/>
      <c r="X2699" s="3"/>
      <c r="Y2699" s="14"/>
      <c r="Z2699" s="3"/>
      <c r="AA2699" s="3"/>
      <c r="AB2699" s="3"/>
      <c r="AC2699" s="3"/>
      <c r="AD2699" s="3"/>
      <c r="AE2699" s="3"/>
      <c r="AF2699" s="3"/>
      <c r="AG2699" s="3"/>
      <c r="AH2699" s="3"/>
    </row>
    <row r="2700" spans="1:34" ht="14.25" customHeight="1" x14ac:dyDescent="0.25">
      <c r="A2700" s="3"/>
      <c r="B2700" s="3"/>
      <c r="C2700" s="3"/>
      <c r="D2700" s="3"/>
      <c r="E2700" s="3"/>
      <c r="F2700" s="3"/>
      <c r="G2700" s="14"/>
      <c r="H2700" s="11"/>
      <c r="I2700" s="12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14"/>
      <c r="X2700" s="3"/>
      <c r="Y2700" s="14"/>
      <c r="Z2700" s="3"/>
      <c r="AA2700" s="3"/>
      <c r="AB2700" s="3"/>
      <c r="AC2700" s="3"/>
      <c r="AD2700" s="3"/>
      <c r="AE2700" s="3"/>
      <c r="AF2700" s="3"/>
      <c r="AG2700" s="3"/>
      <c r="AH2700" s="3"/>
    </row>
    <row r="2701" spans="1:34" ht="14.25" customHeight="1" x14ac:dyDescent="0.25">
      <c r="A2701" s="3"/>
      <c r="B2701" s="3"/>
      <c r="C2701" s="3"/>
      <c r="D2701" s="3"/>
      <c r="E2701" s="3"/>
      <c r="F2701" s="3"/>
      <c r="G2701" s="14"/>
      <c r="H2701" s="11"/>
      <c r="I2701" s="12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14"/>
      <c r="X2701" s="3"/>
      <c r="Y2701" s="14"/>
      <c r="Z2701" s="3"/>
      <c r="AA2701" s="3"/>
      <c r="AB2701" s="3"/>
      <c r="AC2701" s="3"/>
      <c r="AD2701" s="3"/>
      <c r="AE2701" s="3"/>
      <c r="AF2701" s="3"/>
      <c r="AG2701" s="3"/>
      <c r="AH2701" s="3"/>
    </row>
    <row r="2702" spans="1:34" ht="14.25" customHeight="1" x14ac:dyDescent="0.25">
      <c r="A2702" s="3"/>
      <c r="B2702" s="3"/>
      <c r="C2702" s="3"/>
      <c r="D2702" s="3"/>
      <c r="E2702" s="3"/>
      <c r="F2702" s="3"/>
      <c r="G2702" s="14"/>
      <c r="H2702" s="11"/>
      <c r="I2702" s="12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14"/>
      <c r="X2702" s="3"/>
      <c r="Y2702" s="14"/>
      <c r="Z2702" s="3"/>
      <c r="AA2702" s="3"/>
      <c r="AB2702" s="3"/>
      <c r="AC2702" s="3"/>
      <c r="AD2702" s="3"/>
      <c r="AE2702" s="3"/>
      <c r="AF2702" s="3"/>
      <c r="AG2702" s="3"/>
      <c r="AH2702" s="3"/>
    </row>
    <row r="2703" spans="1:34" ht="14.25" customHeight="1" x14ac:dyDescent="0.25">
      <c r="A2703" s="3"/>
      <c r="B2703" s="3"/>
      <c r="C2703" s="3"/>
      <c r="D2703" s="3"/>
      <c r="E2703" s="3"/>
      <c r="F2703" s="3"/>
      <c r="G2703" s="14"/>
      <c r="H2703" s="11"/>
      <c r="I2703" s="12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14"/>
      <c r="X2703" s="3"/>
      <c r="Y2703" s="14"/>
      <c r="Z2703" s="3"/>
      <c r="AA2703" s="3"/>
      <c r="AB2703" s="3"/>
      <c r="AC2703" s="3"/>
      <c r="AD2703" s="3"/>
      <c r="AE2703" s="3"/>
      <c r="AF2703" s="3"/>
      <c r="AG2703" s="3"/>
      <c r="AH2703" s="3"/>
    </row>
    <row r="2704" spans="1:34" ht="14.25" customHeight="1" x14ac:dyDescent="0.25">
      <c r="A2704" s="3"/>
      <c r="B2704" s="3"/>
      <c r="C2704" s="3"/>
      <c r="D2704" s="3"/>
      <c r="E2704" s="3"/>
      <c r="F2704" s="3"/>
      <c r="G2704" s="14"/>
      <c r="H2704" s="11"/>
      <c r="I2704" s="12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14"/>
      <c r="X2704" s="3"/>
      <c r="Y2704" s="14"/>
      <c r="Z2704" s="3"/>
      <c r="AA2704" s="3"/>
      <c r="AB2704" s="3"/>
      <c r="AC2704" s="3"/>
      <c r="AD2704" s="3"/>
      <c r="AE2704" s="3"/>
      <c r="AF2704" s="3"/>
      <c r="AG2704" s="3"/>
      <c r="AH2704" s="3"/>
    </row>
    <row r="2705" spans="1:34" ht="14.25" customHeight="1" x14ac:dyDescent="0.25">
      <c r="A2705" s="3"/>
      <c r="B2705" s="3"/>
      <c r="C2705" s="3"/>
      <c r="D2705" s="3"/>
      <c r="E2705" s="3"/>
      <c r="F2705" s="3"/>
      <c r="G2705" s="14"/>
      <c r="H2705" s="11"/>
      <c r="I2705" s="12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14"/>
      <c r="X2705" s="3"/>
      <c r="Y2705" s="14"/>
      <c r="Z2705" s="3"/>
      <c r="AA2705" s="3"/>
      <c r="AB2705" s="3"/>
      <c r="AC2705" s="3"/>
      <c r="AD2705" s="3"/>
      <c r="AE2705" s="3"/>
      <c r="AF2705" s="3"/>
      <c r="AG2705" s="3"/>
      <c r="AH2705" s="3"/>
    </row>
    <row r="2706" spans="1:34" ht="14.25" customHeight="1" x14ac:dyDescent="0.25">
      <c r="A2706" s="3"/>
      <c r="B2706" s="3"/>
      <c r="C2706" s="3"/>
      <c r="D2706" s="3"/>
      <c r="E2706" s="3"/>
      <c r="F2706" s="3"/>
      <c r="G2706" s="3"/>
      <c r="H2706" s="11"/>
      <c r="I2706" s="12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14"/>
      <c r="X2706" s="3"/>
      <c r="Y2706" s="14"/>
      <c r="Z2706" s="3"/>
      <c r="AA2706" s="3"/>
      <c r="AB2706" s="3"/>
      <c r="AC2706" s="3"/>
      <c r="AD2706" s="3"/>
      <c r="AE2706" s="3"/>
      <c r="AF2706" s="3"/>
      <c r="AG2706" s="3"/>
      <c r="AH2706" s="3"/>
    </row>
    <row r="2707" spans="1:34" ht="14.25" customHeight="1" x14ac:dyDescent="0.25">
      <c r="A2707" s="3"/>
      <c r="B2707" s="3"/>
      <c r="C2707" s="3"/>
      <c r="D2707" s="3"/>
      <c r="E2707" s="3"/>
      <c r="F2707" s="3"/>
      <c r="G2707" s="14"/>
      <c r="H2707" s="11"/>
      <c r="I2707" s="12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14"/>
      <c r="X2707" s="3"/>
      <c r="Y2707" s="14"/>
      <c r="Z2707" s="3"/>
      <c r="AA2707" s="3"/>
      <c r="AB2707" s="3"/>
      <c r="AC2707" s="3"/>
      <c r="AD2707" s="3"/>
      <c r="AE2707" s="3"/>
      <c r="AF2707" s="3"/>
      <c r="AG2707" s="3"/>
      <c r="AH2707" s="3"/>
    </row>
    <row r="2708" spans="1:34" ht="14.25" customHeight="1" x14ac:dyDescent="0.25">
      <c r="A2708" s="3"/>
      <c r="B2708" s="3"/>
      <c r="C2708" s="3"/>
      <c r="D2708" s="3"/>
      <c r="E2708" s="3"/>
      <c r="F2708" s="3"/>
      <c r="G2708" s="14"/>
      <c r="H2708" s="11"/>
      <c r="I2708" s="12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14"/>
      <c r="X2708" s="3"/>
      <c r="Y2708" s="14"/>
      <c r="Z2708" s="3"/>
      <c r="AA2708" s="3"/>
      <c r="AB2708" s="3"/>
      <c r="AC2708" s="3"/>
      <c r="AD2708" s="3"/>
      <c r="AE2708" s="3"/>
      <c r="AF2708" s="3"/>
      <c r="AG2708" s="3"/>
      <c r="AH2708" s="3"/>
    </row>
    <row r="2709" spans="1:34" ht="14.25" customHeight="1" x14ac:dyDescent="0.25">
      <c r="A2709" s="3"/>
      <c r="B2709" s="3"/>
      <c r="C2709" s="3"/>
      <c r="D2709" s="3"/>
      <c r="E2709" s="3"/>
      <c r="F2709" s="3"/>
      <c r="G2709" s="14"/>
      <c r="H2709" s="11"/>
      <c r="I2709" s="12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14"/>
      <c r="X2709" s="3"/>
      <c r="Y2709" s="14"/>
      <c r="Z2709" s="3"/>
      <c r="AA2709" s="3"/>
      <c r="AB2709" s="3"/>
      <c r="AC2709" s="3"/>
      <c r="AD2709" s="3"/>
      <c r="AE2709" s="3"/>
      <c r="AF2709" s="3"/>
      <c r="AG2709" s="3"/>
      <c r="AH2709" s="3"/>
    </row>
    <row r="2710" spans="1:34" ht="14.25" customHeight="1" x14ac:dyDescent="0.25">
      <c r="A2710" s="3"/>
      <c r="B2710" s="3"/>
      <c r="C2710" s="3"/>
      <c r="D2710" s="3"/>
      <c r="E2710" s="3"/>
      <c r="F2710" s="3"/>
      <c r="G2710" s="14"/>
      <c r="H2710" s="11"/>
      <c r="I2710" s="12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14"/>
      <c r="X2710" s="3"/>
      <c r="Y2710" s="14"/>
      <c r="Z2710" s="3"/>
      <c r="AA2710" s="3"/>
      <c r="AB2710" s="3"/>
      <c r="AC2710" s="3"/>
      <c r="AD2710" s="3"/>
      <c r="AE2710" s="3"/>
      <c r="AF2710" s="3"/>
      <c r="AG2710" s="3"/>
      <c r="AH2710" s="3"/>
    </row>
    <row r="2711" spans="1:34" ht="14.25" customHeight="1" x14ac:dyDescent="0.25">
      <c r="A2711" s="3"/>
      <c r="B2711" s="3"/>
      <c r="C2711" s="3"/>
      <c r="D2711" s="3"/>
      <c r="E2711" s="3"/>
      <c r="F2711" s="3"/>
      <c r="G2711" s="14"/>
      <c r="H2711" s="11"/>
      <c r="I2711" s="12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14"/>
      <c r="X2711" s="3"/>
      <c r="Y2711" s="14"/>
      <c r="Z2711" s="3"/>
      <c r="AA2711" s="3"/>
      <c r="AB2711" s="3"/>
      <c r="AC2711" s="3"/>
      <c r="AD2711" s="3"/>
      <c r="AE2711" s="3"/>
      <c r="AF2711" s="3"/>
      <c r="AG2711" s="3"/>
      <c r="AH2711" s="3"/>
    </row>
    <row r="2712" spans="1:34" ht="14.25" customHeight="1" x14ac:dyDescent="0.25">
      <c r="A2712" s="3"/>
      <c r="B2712" s="3"/>
      <c r="C2712" s="3"/>
      <c r="D2712" s="3"/>
      <c r="E2712" s="3"/>
      <c r="F2712" s="3"/>
      <c r="G2712" s="3"/>
      <c r="H2712" s="11"/>
      <c r="I2712" s="12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14"/>
      <c r="X2712" s="3"/>
      <c r="Y2712" s="14"/>
      <c r="Z2712" s="3"/>
      <c r="AA2712" s="3"/>
      <c r="AB2712" s="3"/>
      <c r="AC2712" s="3"/>
      <c r="AD2712" s="3"/>
      <c r="AE2712" s="3"/>
      <c r="AF2712" s="3"/>
      <c r="AG2712" s="3"/>
      <c r="AH2712" s="3"/>
    </row>
    <row r="2713" spans="1:34" ht="14.25" customHeight="1" x14ac:dyDescent="0.25">
      <c r="A2713" s="3"/>
      <c r="B2713" s="3"/>
      <c r="C2713" s="3"/>
      <c r="D2713" s="3"/>
      <c r="E2713" s="3"/>
      <c r="F2713" s="3"/>
      <c r="G2713" s="3"/>
      <c r="H2713" s="11"/>
      <c r="I2713" s="12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14"/>
      <c r="X2713" s="3"/>
      <c r="Y2713" s="14"/>
      <c r="Z2713" s="3"/>
      <c r="AA2713" s="3"/>
      <c r="AB2713" s="3"/>
      <c r="AC2713" s="3"/>
      <c r="AD2713" s="3"/>
      <c r="AE2713" s="3"/>
      <c r="AF2713" s="3"/>
      <c r="AG2713" s="3"/>
      <c r="AH2713" s="3"/>
    </row>
    <row r="2714" spans="1:34" ht="14.25" customHeight="1" x14ac:dyDescent="0.25">
      <c r="A2714" s="3"/>
      <c r="B2714" s="3"/>
      <c r="C2714" s="3"/>
      <c r="D2714" s="3"/>
      <c r="E2714" s="3"/>
      <c r="F2714" s="3"/>
      <c r="G2714" s="14"/>
      <c r="H2714" s="11"/>
      <c r="I2714" s="12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14"/>
      <c r="X2714" s="3"/>
      <c r="Y2714" s="14"/>
      <c r="Z2714" s="3"/>
      <c r="AA2714" s="3"/>
      <c r="AB2714" s="3"/>
      <c r="AC2714" s="3"/>
      <c r="AD2714" s="3"/>
      <c r="AE2714" s="3"/>
      <c r="AF2714" s="3"/>
      <c r="AG2714" s="3"/>
      <c r="AH2714" s="3"/>
    </row>
    <row r="2715" spans="1:34" ht="14.25" customHeight="1" x14ac:dyDescent="0.25">
      <c r="A2715" s="3"/>
      <c r="B2715" s="3"/>
      <c r="C2715" s="3"/>
      <c r="D2715" s="3"/>
      <c r="E2715" s="3"/>
      <c r="F2715" s="3"/>
      <c r="G2715" s="14"/>
      <c r="H2715" s="11"/>
      <c r="I2715" s="12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14"/>
      <c r="X2715" s="3"/>
      <c r="Y2715" s="14"/>
      <c r="Z2715" s="3"/>
      <c r="AA2715" s="3"/>
      <c r="AB2715" s="3"/>
      <c r="AC2715" s="3"/>
      <c r="AD2715" s="3"/>
      <c r="AE2715" s="3"/>
      <c r="AF2715" s="3"/>
      <c r="AG2715" s="3"/>
      <c r="AH2715" s="3"/>
    </row>
    <row r="2716" spans="1:34" ht="14.25" customHeight="1" x14ac:dyDescent="0.25">
      <c r="A2716" s="3"/>
      <c r="B2716" s="3"/>
      <c r="C2716" s="3"/>
      <c r="D2716" s="3"/>
      <c r="E2716" s="3"/>
      <c r="F2716" s="3"/>
      <c r="G2716" s="14"/>
      <c r="H2716" s="11"/>
      <c r="I2716" s="12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14"/>
      <c r="X2716" s="3"/>
      <c r="Y2716" s="14"/>
      <c r="Z2716" s="3"/>
      <c r="AA2716" s="3"/>
      <c r="AB2716" s="3"/>
      <c r="AC2716" s="3"/>
      <c r="AD2716" s="3"/>
      <c r="AE2716" s="3"/>
      <c r="AF2716" s="3"/>
      <c r="AG2716" s="3"/>
      <c r="AH2716" s="3"/>
    </row>
    <row r="2717" spans="1:34" ht="14.25" customHeight="1" x14ac:dyDescent="0.25">
      <c r="A2717" s="3"/>
      <c r="B2717" s="3"/>
      <c r="C2717" s="3"/>
      <c r="D2717" s="3"/>
      <c r="E2717" s="3"/>
      <c r="F2717" s="3"/>
      <c r="G2717" s="3"/>
      <c r="H2717" s="11"/>
      <c r="I2717" s="12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14"/>
      <c r="X2717" s="3"/>
      <c r="Y2717" s="14"/>
      <c r="Z2717" s="3"/>
      <c r="AA2717" s="3"/>
      <c r="AB2717" s="3"/>
      <c r="AC2717" s="3"/>
      <c r="AD2717" s="3"/>
      <c r="AE2717" s="3"/>
      <c r="AF2717" s="3"/>
      <c r="AG2717" s="3"/>
      <c r="AH2717" s="3"/>
    </row>
    <row r="2718" spans="1:34" ht="14.25" customHeight="1" x14ac:dyDescent="0.25">
      <c r="A2718" s="3"/>
      <c r="B2718" s="3"/>
      <c r="C2718" s="3"/>
      <c r="D2718" s="3"/>
      <c r="E2718" s="3"/>
      <c r="F2718" s="3"/>
      <c r="G2718" s="14"/>
      <c r="H2718" s="11"/>
      <c r="I2718" s="12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14"/>
      <c r="X2718" s="3"/>
      <c r="Y2718" s="14"/>
      <c r="Z2718" s="3"/>
      <c r="AA2718" s="3"/>
      <c r="AB2718" s="3"/>
      <c r="AC2718" s="3"/>
      <c r="AD2718" s="3"/>
      <c r="AE2718" s="3"/>
      <c r="AF2718" s="3"/>
      <c r="AG2718" s="3"/>
      <c r="AH2718" s="3"/>
    </row>
    <row r="2719" spans="1:34" ht="14.25" customHeight="1" x14ac:dyDescent="0.25">
      <c r="A2719" s="3"/>
      <c r="B2719" s="3"/>
      <c r="C2719" s="3"/>
      <c r="D2719" s="3"/>
      <c r="E2719" s="3"/>
      <c r="F2719" s="3"/>
      <c r="G2719" s="14"/>
      <c r="H2719" s="11"/>
      <c r="I2719" s="12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14"/>
      <c r="X2719" s="3"/>
      <c r="Y2719" s="14"/>
      <c r="Z2719" s="3"/>
      <c r="AA2719" s="3"/>
      <c r="AB2719" s="3"/>
      <c r="AC2719" s="3"/>
      <c r="AD2719" s="3"/>
      <c r="AE2719" s="3"/>
      <c r="AF2719" s="3"/>
      <c r="AG2719" s="3"/>
      <c r="AH2719" s="3"/>
    </row>
    <row r="2720" spans="1:34" ht="14.25" customHeight="1" x14ac:dyDescent="0.25">
      <c r="A2720" s="3"/>
      <c r="B2720" s="3"/>
      <c r="C2720" s="3"/>
      <c r="D2720" s="3"/>
      <c r="E2720" s="3"/>
      <c r="F2720" s="3"/>
      <c r="G2720" s="14"/>
      <c r="H2720" s="11"/>
      <c r="I2720" s="12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14"/>
      <c r="X2720" s="3"/>
      <c r="Y2720" s="14"/>
      <c r="Z2720" s="3"/>
      <c r="AA2720" s="3"/>
      <c r="AB2720" s="3"/>
      <c r="AC2720" s="3"/>
      <c r="AD2720" s="3"/>
      <c r="AE2720" s="3"/>
      <c r="AF2720" s="3"/>
      <c r="AG2720" s="3"/>
      <c r="AH2720" s="3"/>
    </row>
    <row r="2721" spans="1:34" ht="14.25" customHeight="1" x14ac:dyDescent="0.25">
      <c r="A2721" s="3"/>
      <c r="B2721" s="3"/>
      <c r="C2721" s="3"/>
      <c r="D2721" s="3"/>
      <c r="E2721" s="3"/>
      <c r="F2721" s="3"/>
      <c r="G2721" s="14"/>
      <c r="H2721" s="11"/>
      <c r="I2721" s="12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14"/>
      <c r="X2721" s="3"/>
      <c r="Y2721" s="14"/>
      <c r="Z2721" s="3"/>
      <c r="AA2721" s="3"/>
      <c r="AB2721" s="3"/>
      <c r="AC2721" s="3"/>
      <c r="AD2721" s="3"/>
      <c r="AE2721" s="3"/>
      <c r="AF2721" s="3"/>
      <c r="AG2721" s="3"/>
      <c r="AH2721" s="3"/>
    </row>
    <row r="2722" spans="1:34" ht="14.25" customHeight="1" x14ac:dyDescent="0.25">
      <c r="A2722" s="3"/>
      <c r="B2722" s="3"/>
      <c r="C2722" s="3"/>
      <c r="D2722" s="3"/>
      <c r="E2722" s="3"/>
      <c r="F2722" s="3"/>
      <c r="G2722" s="14"/>
      <c r="H2722" s="11"/>
      <c r="I2722" s="12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14"/>
      <c r="X2722" s="3"/>
      <c r="Y2722" s="14"/>
      <c r="Z2722" s="3"/>
      <c r="AA2722" s="3"/>
      <c r="AB2722" s="3"/>
      <c r="AC2722" s="3"/>
      <c r="AD2722" s="3"/>
      <c r="AE2722" s="3"/>
      <c r="AF2722" s="3"/>
      <c r="AG2722" s="3"/>
      <c r="AH2722" s="3"/>
    </row>
    <row r="2723" spans="1:34" ht="14.25" customHeight="1" x14ac:dyDescent="0.25">
      <c r="A2723" s="3"/>
      <c r="B2723" s="3"/>
      <c r="C2723" s="3"/>
      <c r="D2723" s="3"/>
      <c r="E2723" s="3"/>
      <c r="F2723" s="3"/>
      <c r="G2723" s="3"/>
      <c r="H2723" s="11"/>
      <c r="I2723" s="12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14"/>
      <c r="X2723" s="3"/>
      <c r="Y2723" s="14"/>
      <c r="Z2723" s="3"/>
      <c r="AA2723" s="3"/>
      <c r="AB2723" s="3"/>
      <c r="AC2723" s="3"/>
      <c r="AD2723" s="3"/>
      <c r="AE2723" s="3"/>
      <c r="AF2723" s="3"/>
      <c r="AG2723" s="3"/>
      <c r="AH2723" s="3"/>
    </row>
    <row r="2724" spans="1:34" ht="14.25" customHeight="1" x14ac:dyDescent="0.25">
      <c r="A2724" s="3"/>
      <c r="B2724" s="3"/>
      <c r="C2724" s="3"/>
      <c r="D2724" s="3"/>
      <c r="E2724" s="3"/>
      <c r="F2724" s="3"/>
      <c r="G2724" s="3"/>
      <c r="H2724" s="11"/>
      <c r="I2724" s="12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14"/>
      <c r="X2724" s="3"/>
      <c r="Y2724" s="14"/>
      <c r="Z2724" s="3"/>
      <c r="AA2724" s="3"/>
      <c r="AB2724" s="3"/>
      <c r="AC2724" s="3"/>
      <c r="AD2724" s="3"/>
      <c r="AE2724" s="3"/>
      <c r="AF2724" s="3"/>
      <c r="AG2724" s="3"/>
      <c r="AH2724" s="3"/>
    </row>
    <row r="2725" spans="1:34" ht="14.25" customHeight="1" x14ac:dyDescent="0.25">
      <c r="A2725" s="3"/>
      <c r="B2725" s="3"/>
      <c r="C2725" s="3"/>
      <c r="D2725" s="3"/>
      <c r="E2725" s="3"/>
      <c r="F2725" s="3"/>
      <c r="G2725" s="14"/>
      <c r="H2725" s="11"/>
      <c r="I2725" s="12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14"/>
      <c r="X2725" s="3"/>
      <c r="Y2725" s="14"/>
      <c r="Z2725" s="3"/>
      <c r="AA2725" s="3"/>
      <c r="AB2725" s="3"/>
      <c r="AC2725" s="3"/>
      <c r="AD2725" s="3"/>
      <c r="AE2725" s="3"/>
      <c r="AF2725" s="3"/>
      <c r="AG2725" s="3"/>
      <c r="AH2725" s="3"/>
    </row>
    <row r="2726" spans="1:34" ht="14.25" customHeight="1" x14ac:dyDescent="0.25">
      <c r="A2726" s="3"/>
      <c r="B2726" s="3"/>
      <c r="C2726" s="3"/>
      <c r="D2726" s="3"/>
      <c r="E2726" s="3"/>
      <c r="F2726" s="3"/>
      <c r="G2726" s="14"/>
      <c r="H2726" s="11"/>
      <c r="I2726" s="12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14"/>
      <c r="X2726" s="3"/>
      <c r="Y2726" s="14"/>
      <c r="Z2726" s="3"/>
      <c r="AA2726" s="3"/>
      <c r="AB2726" s="3"/>
      <c r="AC2726" s="3"/>
      <c r="AD2726" s="3"/>
      <c r="AE2726" s="3"/>
      <c r="AF2726" s="3"/>
      <c r="AG2726" s="3"/>
      <c r="AH2726" s="3"/>
    </row>
    <row r="2727" spans="1:34" ht="14.25" customHeight="1" x14ac:dyDescent="0.25">
      <c r="A2727" s="3"/>
      <c r="B2727" s="3"/>
      <c r="C2727" s="3"/>
      <c r="D2727" s="3"/>
      <c r="E2727" s="3"/>
      <c r="F2727" s="3"/>
      <c r="G2727" s="3"/>
      <c r="H2727" s="11"/>
      <c r="I2727" s="12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14"/>
      <c r="X2727" s="3"/>
      <c r="Y2727" s="14"/>
      <c r="Z2727" s="3"/>
      <c r="AA2727" s="3"/>
      <c r="AB2727" s="3"/>
      <c r="AC2727" s="3"/>
      <c r="AD2727" s="3"/>
      <c r="AE2727" s="3"/>
      <c r="AF2727" s="3"/>
      <c r="AG2727" s="3"/>
      <c r="AH2727" s="3"/>
    </row>
    <row r="2728" spans="1:34" ht="14.25" customHeight="1" x14ac:dyDescent="0.25">
      <c r="A2728" s="3"/>
      <c r="B2728" s="3"/>
      <c r="C2728" s="3"/>
      <c r="D2728" s="3"/>
      <c r="E2728" s="3"/>
      <c r="F2728" s="3"/>
      <c r="G2728" s="14"/>
      <c r="H2728" s="11"/>
      <c r="I2728" s="12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14"/>
      <c r="X2728" s="3"/>
      <c r="Y2728" s="14"/>
      <c r="Z2728" s="3"/>
      <c r="AA2728" s="3"/>
      <c r="AB2728" s="3"/>
      <c r="AC2728" s="3"/>
      <c r="AD2728" s="3"/>
      <c r="AE2728" s="3"/>
      <c r="AF2728" s="3"/>
      <c r="AG2728" s="3"/>
      <c r="AH2728" s="3"/>
    </row>
    <row r="2729" spans="1:34" ht="14.25" customHeight="1" x14ac:dyDescent="0.25">
      <c r="A2729" s="3"/>
      <c r="B2729" s="3"/>
      <c r="C2729" s="3"/>
      <c r="D2729" s="3"/>
      <c r="E2729" s="3"/>
      <c r="F2729" s="3"/>
      <c r="G2729" s="14"/>
      <c r="H2729" s="11"/>
      <c r="I2729" s="12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14"/>
      <c r="X2729" s="3"/>
      <c r="Y2729" s="14"/>
      <c r="Z2729" s="3"/>
      <c r="AA2729" s="3"/>
      <c r="AB2729" s="3"/>
      <c r="AC2729" s="3"/>
      <c r="AD2729" s="3"/>
      <c r="AE2729" s="3"/>
      <c r="AF2729" s="3"/>
      <c r="AG2729" s="3"/>
      <c r="AH2729" s="3"/>
    </row>
    <row r="2730" spans="1:34" ht="14.25" customHeight="1" x14ac:dyDescent="0.25">
      <c r="A2730" s="3"/>
      <c r="B2730" s="3"/>
      <c r="C2730" s="3"/>
      <c r="D2730" s="3"/>
      <c r="E2730" s="3"/>
      <c r="F2730" s="3"/>
      <c r="G2730" s="14"/>
      <c r="H2730" s="11"/>
      <c r="I2730" s="12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14"/>
      <c r="X2730" s="3"/>
      <c r="Y2730" s="14"/>
      <c r="Z2730" s="3"/>
      <c r="AA2730" s="3"/>
      <c r="AB2730" s="3"/>
      <c r="AC2730" s="3"/>
      <c r="AD2730" s="3"/>
      <c r="AE2730" s="3"/>
      <c r="AF2730" s="3"/>
      <c r="AG2730" s="3"/>
      <c r="AH2730" s="3"/>
    </row>
    <row r="2731" spans="1:34" ht="14.25" customHeight="1" x14ac:dyDescent="0.25">
      <c r="A2731" s="3"/>
      <c r="B2731" s="3"/>
      <c r="C2731" s="3"/>
      <c r="D2731" s="3"/>
      <c r="E2731" s="3"/>
      <c r="F2731" s="3"/>
      <c r="G2731" s="14"/>
      <c r="H2731" s="11"/>
      <c r="I2731" s="12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14"/>
      <c r="X2731" s="3"/>
      <c r="Y2731" s="14"/>
      <c r="Z2731" s="3"/>
      <c r="AA2731" s="3"/>
      <c r="AB2731" s="3"/>
      <c r="AC2731" s="3"/>
      <c r="AD2731" s="3"/>
      <c r="AE2731" s="3"/>
      <c r="AF2731" s="3"/>
      <c r="AG2731" s="3"/>
      <c r="AH2731" s="3"/>
    </row>
    <row r="2732" spans="1:34" ht="14.25" customHeight="1" x14ac:dyDescent="0.25">
      <c r="A2732" s="3"/>
      <c r="B2732" s="3"/>
      <c r="C2732" s="3"/>
      <c r="D2732" s="3"/>
      <c r="E2732" s="3"/>
      <c r="F2732" s="3"/>
      <c r="G2732" s="3"/>
      <c r="H2732" s="11"/>
      <c r="I2732" s="12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14"/>
      <c r="X2732" s="3"/>
      <c r="Y2732" s="14"/>
      <c r="Z2732" s="3"/>
      <c r="AA2732" s="3"/>
      <c r="AB2732" s="3"/>
      <c r="AC2732" s="3"/>
      <c r="AD2732" s="3"/>
      <c r="AE2732" s="3"/>
      <c r="AF2732" s="3"/>
      <c r="AG2732" s="3"/>
      <c r="AH2732" s="3"/>
    </row>
    <row r="2733" spans="1:34" ht="14.25" customHeight="1" x14ac:dyDescent="0.25">
      <c r="A2733" s="3"/>
      <c r="B2733" s="3"/>
      <c r="C2733" s="3"/>
      <c r="D2733" s="3"/>
      <c r="E2733" s="3"/>
      <c r="F2733" s="3"/>
      <c r="G2733" s="3"/>
      <c r="H2733" s="11"/>
      <c r="I2733" s="12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14"/>
      <c r="X2733" s="3"/>
      <c r="Y2733" s="14"/>
      <c r="Z2733" s="3"/>
      <c r="AA2733" s="3"/>
      <c r="AB2733" s="3"/>
      <c r="AC2733" s="3"/>
      <c r="AD2733" s="3"/>
      <c r="AE2733" s="3"/>
      <c r="AF2733" s="3"/>
      <c r="AG2733" s="3"/>
      <c r="AH2733" s="3"/>
    </row>
    <row r="2734" spans="1:34" ht="14.25" customHeight="1" x14ac:dyDescent="0.25">
      <c r="A2734" s="3"/>
      <c r="B2734" s="3"/>
      <c r="C2734" s="3"/>
      <c r="D2734" s="3"/>
      <c r="E2734" s="3"/>
      <c r="F2734" s="3"/>
      <c r="G2734" s="3"/>
      <c r="H2734" s="11"/>
      <c r="I2734" s="12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14"/>
      <c r="X2734" s="3"/>
      <c r="Y2734" s="14"/>
      <c r="Z2734" s="3"/>
      <c r="AA2734" s="3"/>
      <c r="AB2734" s="3"/>
      <c r="AC2734" s="3"/>
      <c r="AD2734" s="3"/>
      <c r="AE2734" s="3"/>
      <c r="AF2734" s="3"/>
      <c r="AG2734" s="3"/>
      <c r="AH2734" s="3"/>
    </row>
    <row r="2735" spans="1:34" ht="14.25" customHeight="1" x14ac:dyDescent="0.25">
      <c r="A2735" s="3"/>
      <c r="B2735" s="3"/>
      <c r="C2735" s="3"/>
      <c r="D2735" s="3"/>
      <c r="E2735" s="3"/>
      <c r="F2735" s="3"/>
      <c r="G2735" s="14"/>
      <c r="H2735" s="11"/>
      <c r="I2735" s="12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14"/>
      <c r="X2735" s="3"/>
      <c r="Y2735" s="14"/>
      <c r="Z2735" s="3"/>
      <c r="AA2735" s="3"/>
      <c r="AB2735" s="3"/>
      <c r="AC2735" s="3"/>
      <c r="AD2735" s="3"/>
      <c r="AE2735" s="3"/>
      <c r="AF2735" s="3"/>
      <c r="AG2735" s="3"/>
      <c r="AH2735" s="3"/>
    </row>
    <row r="2736" spans="1:34" ht="14.25" customHeight="1" x14ac:dyDescent="0.25">
      <c r="A2736" s="3"/>
      <c r="B2736" s="3"/>
      <c r="C2736" s="3"/>
      <c r="D2736" s="3"/>
      <c r="E2736" s="3"/>
      <c r="F2736" s="3"/>
      <c r="G2736" s="14"/>
      <c r="H2736" s="11"/>
      <c r="I2736" s="12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14"/>
      <c r="X2736" s="3"/>
      <c r="Y2736" s="14"/>
      <c r="Z2736" s="3"/>
      <c r="AA2736" s="3"/>
      <c r="AB2736" s="3"/>
      <c r="AC2736" s="3"/>
      <c r="AD2736" s="3"/>
      <c r="AE2736" s="3"/>
      <c r="AF2736" s="3"/>
      <c r="AG2736" s="3"/>
      <c r="AH2736" s="3"/>
    </row>
    <row r="2737" spans="1:34" ht="14.25" customHeight="1" x14ac:dyDescent="0.25">
      <c r="A2737" s="3"/>
      <c r="B2737" s="3"/>
      <c r="C2737" s="3"/>
      <c r="D2737" s="3"/>
      <c r="E2737" s="3"/>
      <c r="F2737" s="3"/>
      <c r="G2737" s="3"/>
      <c r="H2737" s="11"/>
      <c r="I2737" s="12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14"/>
      <c r="X2737" s="3"/>
      <c r="Y2737" s="14"/>
      <c r="Z2737" s="3"/>
      <c r="AA2737" s="3"/>
      <c r="AB2737" s="3"/>
      <c r="AC2737" s="3"/>
      <c r="AD2737" s="3"/>
      <c r="AE2737" s="3"/>
      <c r="AF2737" s="3"/>
      <c r="AG2737" s="3"/>
      <c r="AH2737" s="3"/>
    </row>
    <row r="2738" spans="1:34" ht="14.25" customHeight="1" x14ac:dyDescent="0.25">
      <c r="A2738" s="3"/>
      <c r="B2738" s="3"/>
      <c r="C2738" s="3"/>
      <c r="D2738" s="3"/>
      <c r="E2738" s="3"/>
      <c r="F2738" s="3"/>
      <c r="G2738" s="14"/>
      <c r="H2738" s="11"/>
      <c r="I2738" s="12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14"/>
      <c r="X2738" s="3"/>
      <c r="Y2738" s="14"/>
      <c r="Z2738" s="3"/>
      <c r="AA2738" s="3"/>
      <c r="AB2738" s="3"/>
      <c r="AC2738" s="3"/>
      <c r="AD2738" s="3"/>
      <c r="AE2738" s="3"/>
      <c r="AF2738" s="3"/>
      <c r="AG2738" s="3"/>
      <c r="AH2738" s="3"/>
    </row>
    <row r="2739" spans="1:34" ht="14.25" customHeight="1" x14ac:dyDescent="0.25">
      <c r="A2739" s="3"/>
      <c r="B2739" s="3"/>
      <c r="C2739" s="3"/>
      <c r="D2739" s="3"/>
      <c r="E2739" s="3"/>
      <c r="F2739" s="3"/>
      <c r="G2739" s="14"/>
      <c r="H2739" s="11"/>
      <c r="I2739" s="12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14"/>
      <c r="X2739" s="3"/>
      <c r="Y2739" s="14"/>
      <c r="Z2739" s="3"/>
      <c r="AA2739" s="3"/>
      <c r="AB2739" s="3"/>
      <c r="AC2739" s="3"/>
      <c r="AD2739" s="3"/>
      <c r="AE2739" s="3"/>
      <c r="AF2739" s="3"/>
      <c r="AG2739" s="3"/>
      <c r="AH2739" s="3"/>
    </row>
    <row r="2740" spans="1:34" ht="14.25" customHeight="1" x14ac:dyDescent="0.25">
      <c r="A2740" s="3"/>
      <c r="B2740" s="3"/>
      <c r="C2740" s="3"/>
      <c r="D2740" s="3"/>
      <c r="E2740" s="3"/>
      <c r="F2740" s="3"/>
      <c r="G2740" s="14"/>
      <c r="H2740" s="11"/>
      <c r="I2740" s="12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14"/>
      <c r="X2740" s="3"/>
      <c r="Y2740" s="14"/>
      <c r="Z2740" s="3"/>
      <c r="AA2740" s="3"/>
      <c r="AB2740" s="3"/>
      <c r="AC2740" s="3"/>
      <c r="AD2740" s="3"/>
      <c r="AE2740" s="3"/>
      <c r="AF2740" s="3"/>
      <c r="AG2740" s="3"/>
      <c r="AH2740" s="3"/>
    </row>
    <row r="2741" spans="1:34" ht="14.25" customHeight="1" x14ac:dyDescent="0.25">
      <c r="A2741" s="3"/>
      <c r="B2741" s="3"/>
      <c r="C2741" s="3"/>
      <c r="D2741" s="3"/>
      <c r="E2741" s="3"/>
      <c r="F2741" s="3"/>
      <c r="G2741" s="14"/>
      <c r="H2741" s="11"/>
      <c r="I2741" s="12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14"/>
      <c r="X2741" s="3"/>
      <c r="Y2741" s="14"/>
      <c r="Z2741" s="3"/>
      <c r="AA2741" s="3"/>
      <c r="AB2741" s="3"/>
      <c r="AC2741" s="3"/>
      <c r="AD2741" s="3"/>
      <c r="AE2741" s="3"/>
      <c r="AF2741" s="3"/>
      <c r="AG2741" s="3"/>
      <c r="AH2741" s="3"/>
    </row>
    <row r="2742" spans="1:34" ht="14.25" customHeight="1" x14ac:dyDescent="0.25">
      <c r="A2742" s="3"/>
      <c r="B2742" s="3"/>
      <c r="C2742" s="3"/>
      <c r="D2742" s="3"/>
      <c r="E2742" s="3"/>
      <c r="F2742" s="3"/>
      <c r="G2742" s="14"/>
      <c r="H2742" s="11"/>
      <c r="I2742" s="12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14"/>
      <c r="X2742" s="3"/>
      <c r="Y2742" s="14"/>
      <c r="Z2742" s="3"/>
      <c r="AA2742" s="3"/>
      <c r="AB2742" s="3"/>
      <c r="AC2742" s="3"/>
      <c r="AD2742" s="3"/>
      <c r="AE2742" s="3"/>
      <c r="AF2742" s="3"/>
      <c r="AG2742" s="3"/>
      <c r="AH2742" s="3"/>
    </row>
    <row r="2743" spans="1:34" ht="14.25" customHeight="1" x14ac:dyDescent="0.25">
      <c r="A2743" s="3"/>
      <c r="B2743" s="3"/>
      <c r="C2743" s="3"/>
      <c r="D2743" s="3"/>
      <c r="E2743" s="3"/>
      <c r="F2743" s="3"/>
      <c r="G2743" s="14"/>
      <c r="H2743" s="11"/>
      <c r="I2743" s="12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14"/>
      <c r="X2743" s="3"/>
      <c r="Y2743" s="14"/>
      <c r="Z2743" s="3"/>
      <c r="AA2743" s="3"/>
      <c r="AB2743" s="3"/>
      <c r="AC2743" s="3"/>
      <c r="AD2743" s="3"/>
      <c r="AE2743" s="3"/>
      <c r="AF2743" s="3"/>
      <c r="AG2743" s="3"/>
      <c r="AH2743" s="3"/>
    </row>
    <row r="2744" spans="1:34" ht="14.25" customHeight="1" x14ac:dyDescent="0.25">
      <c r="A2744" s="3"/>
      <c r="B2744" s="3"/>
      <c r="C2744" s="3"/>
      <c r="D2744" s="3"/>
      <c r="E2744" s="3"/>
      <c r="F2744" s="3"/>
      <c r="G2744" s="3"/>
      <c r="H2744" s="11"/>
      <c r="I2744" s="12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14"/>
      <c r="X2744" s="3"/>
      <c r="Y2744" s="14"/>
      <c r="Z2744" s="3"/>
      <c r="AA2744" s="3"/>
      <c r="AB2744" s="3"/>
      <c r="AC2744" s="3"/>
      <c r="AD2744" s="3"/>
      <c r="AE2744" s="3"/>
      <c r="AF2744" s="3"/>
      <c r="AG2744" s="3"/>
      <c r="AH2744" s="3"/>
    </row>
    <row r="2745" spans="1:34" ht="14.25" customHeight="1" x14ac:dyDescent="0.25">
      <c r="A2745" s="3"/>
      <c r="B2745" s="3"/>
      <c r="C2745" s="3"/>
      <c r="D2745" s="3"/>
      <c r="E2745" s="3"/>
      <c r="F2745" s="3"/>
      <c r="G2745" s="3"/>
      <c r="H2745" s="11"/>
      <c r="I2745" s="12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14"/>
      <c r="X2745" s="3"/>
      <c r="Y2745" s="14"/>
      <c r="Z2745" s="3"/>
      <c r="AA2745" s="3"/>
      <c r="AB2745" s="3"/>
      <c r="AC2745" s="3"/>
      <c r="AD2745" s="3"/>
      <c r="AE2745" s="3"/>
      <c r="AF2745" s="3"/>
      <c r="AG2745" s="3"/>
      <c r="AH2745" s="3"/>
    </row>
    <row r="2746" spans="1:34" ht="14.25" customHeight="1" x14ac:dyDescent="0.25">
      <c r="A2746" s="3"/>
      <c r="B2746" s="3"/>
      <c r="C2746" s="3"/>
      <c r="D2746" s="3"/>
      <c r="E2746" s="3"/>
      <c r="F2746" s="3"/>
      <c r="G2746" s="3"/>
      <c r="H2746" s="11"/>
      <c r="I2746" s="12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14"/>
      <c r="X2746" s="3"/>
      <c r="Y2746" s="14"/>
      <c r="Z2746" s="3"/>
      <c r="AA2746" s="3"/>
      <c r="AB2746" s="3"/>
      <c r="AC2746" s="3"/>
      <c r="AD2746" s="3"/>
      <c r="AE2746" s="3"/>
      <c r="AF2746" s="3"/>
      <c r="AG2746" s="3"/>
      <c r="AH2746" s="3"/>
    </row>
    <row r="2747" spans="1:34" ht="14.25" customHeight="1" x14ac:dyDescent="0.25">
      <c r="A2747" s="3"/>
      <c r="B2747" s="3"/>
      <c r="C2747" s="3"/>
      <c r="D2747" s="3"/>
      <c r="E2747" s="3"/>
      <c r="F2747" s="3"/>
      <c r="G2747" s="14"/>
      <c r="H2747" s="11"/>
      <c r="I2747" s="12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14"/>
      <c r="X2747" s="3"/>
      <c r="Y2747" s="14"/>
      <c r="Z2747" s="3"/>
      <c r="AA2747" s="3"/>
      <c r="AB2747" s="3"/>
      <c r="AC2747" s="3"/>
      <c r="AD2747" s="3"/>
      <c r="AE2747" s="3"/>
      <c r="AF2747" s="3"/>
      <c r="AG2747" s="3"/>
      <c r="AH2747" s="3"/>
    </row>
    <row r="2748" spans="1:34" ht="14.25" customHeight="1" x14ac:dyDescent="0.25">
      <c r="A2748" s="3"/>
      <c r="B2748" s="3"/>
      <c r="C2748" s="3"/>
      <c r="D2748" s="3"/>
      <c r="E2748" s="3"/>
      <c r="F2748" s="3"/>
      <c r="G2748" s="14"/>
      <c r="H2748" s="11"/>
      <c r="I2748" s="12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14"/>
      <c r="X2748" s="3"/>
      <c r="Y2748" s="14"/>
      <c r="Z2748" s="3"/>
      <c r="AA2748" s="3"/>
      <c r="AB2748" s="3"/>
      <c r="AC2748" s="3"/>
      <c r="AD2748" s="3"/>
      <c r="AE2748" s="3"/>
      <c r="AF2748" s="3"/>
      <c r="AG2748" s="3"/>
      <c r="AH2748" s="3"/>
    </row>
    <row r="2749" spans="1:34" ht="14.25" customHeight="1" x14ac:dyDescent="0.25">
      <c r="A2749" s="3"/>
      <c r="B2749" s="3"/>
      <c r="C2749" s="3"/>
      <c r="D2749" s="3"/>
      <c r="E2749" s="3"/>
      <c r="F2749" s="3"/>
      <c r="G2749" s="14"/>
      <c r="H2749" s="11"/>
      <c r="I2749" s="12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14"/>
      <c r="X2749" s="3"/>
      <c r="Y2749" s="14"/>
      <c r="Z2749" s="3"/>
      <c r="AA2749" s="3"/>
      <c r="AB2749" s="3"/>
      <c r="AC2749" s="3"/>
      <c r="AD2749" s="3"/>
      <c r="AE2749" s="3"/>
      <c r="AF2749" s="3"/>
      <c r="AG2749" s="3"/>
      <c r="AH2749" s="3"/>
    </row>
    <row r="2750" spans="1:34" ht="14.25" customHeight="1" x14ac:dyDescent="0.25">
      <c r="A2750" s="3"/>
      <c r="B2750" s="3"/>
      <c r="C2750" s="3"/>
      <c r="D2750" s="3"/>
      <c r="E2750" s="3"/>
      <c r="F2750" s="3"/>
      <c r="G2750" s="3"/>
      <c r="H2750" s="11"/>
      <c r="I2750" s="12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14"/>
      <c r="X2750" s="3"/>
      <c r="Y2750" s="14"/>
      <c r="Z2750" s="3"/>
      <c r="AA2750" s="3"/>
      <c r="AB2750" s="3"/>
      <c r="AC2750" s="3"/>
      <c r="AD2750" s="3"/>
      <c r="AE2750" s="3"/>
      <c r="AF2750" s="3"/>
      <c r="AG2750" s="3"/>
      <c r="AH2750" s="3"/>
    </row>
    <row r="2751" spans="1:34" ht="14.25" customHeight="1" x14ac:dyDescent="0.25">
      <c r="A2751" s="3"/>
      <c r="B2751" s="3"/>
      <c r="C2751" s="3"/>
      <c r="D2751" s="3"/>
      <c r="E2751" s="3"/>
      <c r="F2751" s="3"/>
      <c r="G2751" s="14"/>
      <c r="H2751" s="11"/>
      <c r="I2751" s="12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14"/>
      <c r="X2751" s="3"/>
      <c r="Y2751" s="14"/>
      <c r="Z2751" s="3"/>
      <c r="AA2751" s="3"/>
      <c r="AB2751" s="3"/>
      <c r="AC2751" s="3"/>
      <c r="AD2751" s="3"/>
      <c r="AE2751" s="3"/>
      <c r="AF2751" s="3"/>
      <c r="AG2751" s="3"/>
      <c r="AH2751" s="3"/>
    </row>
    <row r="2752" spans="1:34" ht="14.25" customHeight="1" x14ac:dyDescent="0.25">
      <c r="A2752" s="3"/>
      <c r="B2752" s="3"/>
      <c r="C2752" s="3"/>
      <c r="D2752" s="3"/>
      <c r="E2752" s="3"/>
      <c r="F2752" s="3"/>
      <c r="G2752" s="14"/>
      <c r="H2752" s="11"/>
      <c r="I2752" s="12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14"/>
      <c r="X2752" s="3"/>
      <c r="Y2752" s="14"/>
      <c r="Z2752" s="3"/>
      <c r="AA2752" s="3"/>
      <c r="AB2752" s="3"/>
      <c r="AC2752" s="3"/>
      <c r="AD2752" s="3"/>
      <c r="AE2752" s="3"/>
      <c r="AF2752" s="3"/>
      <c r="AG2752" s="3"/>
      <c r="AH2752" s="3"/>
    </row>
    <row r="2753" spans="1:34" ht="14.25" customHeight="1" x14ac:dyDescent="0.25">
      <c r="A2753" s="3"/>
      <c r="B2753" s="3"/>
      <c r="C2753" s="3"/>
      <c r="D2753" s="3"/>
      <c r="E2753" s="3"/>
      <c r="F2753" s="3"/>
      <c r="G2753" s="14"/>
      <c r="H2753" s="11"/>
      <c r="I2753" s="12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14"/>
      <c r="X2753" s="3"/>
      <c r="Y2753" s="14"/>
      <c r="Z2753" s="3"/>
      <c r="AA2753" s="3"/>
      <c r="AB2753" s="3"/>
      <c r="AC2753" s="3"/>
      <c r="AD2753" s="3"/>
      <c r="AE2753" s="3"/>
      <c r="AF2753" s="3"/>
      <c r="AG2753" s="3"/>
      <c r="AH2753" s="3"/>
    </row>
    <row r="2754" spans="1:34" ht="14.25" customHeight="1" x14ac:dyDescent="0.25">
      <c r="A2754" s="3"/>
      <c r="B2754" s="3"/>
      <c r="C2754" s="3"/>
      <c r="D2754" s="3"/>
      <c r="E2754" s="3"/>
      <c r="F2754" s="3"/>
      <c r="G2754" s="14"/>
      <c r="H2754" s="11"/>
      <c r="I2754" s="12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14"/>
      <c r="X2754" s="3"/>
      <c r="Y2754" s="14"/>
      <c r="Z2754" s="3"/>
      <c r="AA2754" s="3"/>
      <c r="AB2754" s="3"/>
      <c r="AC2754" s="3"/>
      <c r="AD2754" s="3"/>
      <c r="AE2754" s="3"/>
      <c r="AF2754" s="3"/>
      <c r="AG2754" s="3"/>
      <c r="AH2754" s="3"/>
    </row>
    <row r="2755" spans="1:34" ht="14.25" customHeight="1" x14ac:dyDescent="0.25">
      <c r="A2755" s="3"/>
      <c r="B2755" s="3"/>
      <c r="C2755" s="3"/>
      <c r="D2755" s="3"/>
      <c r="E2755" s="3"/>
      <c r="F2755" s="3"/>
      <c r="G2755" s="14"/>
      <c r="H2755" s="11"/>
      <c r="I2755" s="12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14"/>
      <c r="X2755" s="3"/>
      <c r="Y2755" s="14"/>
      <c r="Z2755" s="3"/>
      <c r="AA2755" s="3"/>
      <c r="AB2755" s="3"/>
      <c r="AC2755" s="3"/>
      <c r="AD2755" s="3"/>
      <c r="AE2755" s="3"/>
      <c r="AF2755" s="3"/>
      <c r="AG2755" s="3"/>
      <c r="AH2755" s="3"/>
    </row>
    <row r="2756" spans="1:34" ht="14.25" customHeight="1" x14ac:dyDescent="0.25">
      <c r="A2756" s="3"/>
      <c r="B2756" s="3"/>
      <c r="C2756" s="3"/>
      <c r="D2756" s="3"/>
      <c r="E2756" s="3"/>
      <c r="F2756" s="3"/>
      <c r="G2756" s="14"/>
      <c r="H2756" s="11"/>
      <c r="I2756" s="12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14"/>
      <c r="X2756" s="3"/>
      <c r="Y2756" s="14"/>
      <c r="Z2756" s="3"/>
      <c r="AA2756" s="3"/>
      <c r="AB2756" s="3"/>
      <c r="AC2756" s="3"/>
      <c r="AD2756" s="3"/>
      <c r="AE2756" s="3"/>
      <c r="AF2756" s="3"/>
      <c r="AG2756" s="3"/>
      <c r="AH2756" s="3"/>
    </row>
    <row r="2757" spans="1:34" ht="14.25" customHeight="1" x14ac:dyDescent="0.25">
      <c r="A2757" s="3"/>
      <c r="B2757" s="3"/>
      <c r="C2757" s="3"/>
      <c r="D2757" s="3"/>
      <c r="E2757" s="3"/>
      <c r="F2757" s="3"/>
      <c r="G2757" s="14"/>
      <c r="H2757" s="11"/>
      <c r="I2757" s="12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14"/>
      <c r="X2757" s="3"/>
      <c r="Y2757" s="14"/>
      <c r="Z2757" s="3"/>
      <c r="AA2757" s="3"/>
      <c r="AB2757" s="3"/>
      <c r="AC2757" s="3"/>
      <c r="AD2757" s="3"/>
      <c r="AE2757" s="3"/>
      <c r="AF2757" s="3"/>
      <c r="AG2757" s="3"/>
      <c r="AH2757" s="3"/>
    </row>
    <row r="2758" spans="1:34" ht="14.25" customHeight="1" x14ac:dyDescent="0.25">
      <c r="A2758" s="3"/>
      <c r="B2758" s="3"/>
      <c r="C2758" s="3"/>
      <c r="D2758" s="3"/>
      <c r="E2758" s="3"/>
      <c r="F2758" s="3"/>
      <c r="G2758" s="14"/>
      <c r="H2758" s="11"/>
      <c r="I2758" s="12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14"/>
      <c r="X2758" s="3"/>
      <c r="Y2758" s="14"/>
      <c r="Z2758" s="3"/>
      <c r="AA2758" s="3"/>
      <c r="AB2758" s="3"/>
      <c r="AC2758" s="3"/>
      <c r="AD2758" s="3"/>
      <c r="AE2758" s="3"/>
      <c r="AF2758" s="3"/>
      <c r="AG2758" s="3"/>
      <c r="AH2758" s="3"/>
    </row>
    <row r="2759" spans="1:34" ht="14.25" customHeight="1" x14ac:dyDescent="0.25">
      <c r="A2759" s="3"/>
      <c r="B2759" s="3"/>
      <c r="C2759" s="3"/>
      <c r="D2759" s="3"/>
      <c r="E2759" s="3"/>
      <c r="F2759" s="3"/>
      <c r="G2759" s="14"/>
      <c r="H2759" s="11"/>
      <c r="I2759" s="12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14"/>
      <c r="X2759" s="3"/>
      <c r="Y2759" s="14"/>
      <c r="Z2759" s="3"/>
      <c r="AA2759" s="3"/>
      <c r="AB2759" s="3"/>
      <c r="AC2759" s="3"/>
      <c r="AD2759" s="3"/>
      <c r="AE2759" s="3"/>
      <c r="AF2759" s="3"/>
      <c r="AG2759" s="3"/>
      <c r="AH2759" s="3"/>
    </row>
    <row r="2760" spans="1:34" ht="14.25" customHeight="1" x14ac:dyDescent="0.25">
      <c r="A2760" s="3"/>
      <c r="B2760" s="3"/>
      <c r="C2760" s="3"/>
      <c r="D2760" s="3"/>
      <c r="E2760" s="3"/>
      <c r="F2760" s="3"/>
      <c r="G2760" s="14"/>
      <c r="H2760" s="11"/>
      <c r="I2760" s="12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14"/>
      <c r="X2760" s="3"/>
      <c r="Y2760" s="14"/>
      <c r="Z2760" s="3"/>
      <c r="AA2760" s="3"/>
      <c r="AB2760" s="3"/>
      <c r="AC2760" s="3"/>
      <c r="AD2760" s="3"/>
      <c r="AE2760" s="3"/>
      <c r="AF2760" s="3"/>
      <c r="AG2760" s="3"/>
      <c r="AH2760" s="3"/>
    </row>
    <row r="2761" spans="1:34" ht="14.25" customHeight="1" x14ac:dyDescent="0.25">
      <c r="A2761" s="3"/>
      <c r="B2761" s="3"/>
      <c r="C2761" s="3"/>
      <c r="D2761" s="3"/>
      <c r="E2761" s="3"/>
      <c r="F2761" s="3"/>
      <c r="G2761" s="3"/>
      <c r="H2761" s="11"/>
      <c r="I2761" s="12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14"/>
      <c r="X2761" s="3"/>
      <c r="Y2761" s="14"/>
      <c r="Z2761" s="3"/>
      <c r="AA2761" s="3"/>
      <c r="AB2761" s="3"/>
      <c r="AC2761" s="3"/>
      <c r="AD2761" s="3"/>
      <c r="AE2761" s="3"/>
      <c r="AF2761" s="3"/>
      <c r="AG2761" s="3"/>
      <c r="AH2761" s="3"/>
    </row>
    <row r="2762" spans="1:34" ht="14.25" customHeight="1" x14ac:dyDescent="0.25">
      <c r="A2762" s="3"/>
      <c r="B2762" s="3"/>
      <c r="C2762" s="3"/>
      <c r="D2762" s="3"/>
      <c r="E2762" s="3"/>
      <c r="F2762" s="3"/>
      <c r="G2762" s="3"/>
      <c r="H2762" s="11"/>
      <c r="I2762" s="12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14"/>
      <c r="X2762" s="3"/>
      <c r="Y2762" s="14"/>
      <c r="Z2762" s="3"/>
      <c r="AA2762" s="3"/>
      <c r="AB2762" s="3"/>
      <c r="AC2762" s="3"/>
      <c r="AD2762" s="3"/>
      <c r="AE2762" s="3"/>
      <c r="AF2762" s="3"/>
      <c r="AG2762" s="3"/>
      <c r="AH2762" s="3"/>
    </row>
    <row r="2763" spans="1:34" ht="14.25" customHeight="1" x14ac:dyDescent="0.25">
      <c r="A2763" s="3"/>
      <c r="B2763" s="3"/>
      <c r="C2763" s="3"/>
      <c r="D2763" s="3"/>
      <c r="E2763" s="3"/>
      <c r="F2763" s="3"/>
      <c r="G2763" s="14"/>
      <c r="H2763" s="11"/>
      <c r="I2763" s="12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14"/>
      <c r="X2763" s="3"/>
      <c r="Y2763" s="14"/>
      <c r="Z2763" s="3"/>
      <c r="AA2763" s="3"/>
      <c r="AB2763" s="3"/>
      <c r="AC2763" s="3"/>
      <c r="AD2763" s="3"/>
      <c r="AE2763" s="3"/>
      <c r="AF2763" s="3"/>
      <c r="AG2763" s="3"/>
      <c r="AH2763" s="3"/>
    </row>
    <row r="2764" spans="1:34" ht="14.25" customHeight="1" x14ac:dyDescent="0.25">
      <c r="A2764" s="3"/>
      <c r="B2764" s="3"/>
      <c r="C2764" s="3"/>
      <c r="D2764" s="3"/>
      <c r="E2764" s="3"/>
      <c r="F2764" s="3"/>
      <c r="G2764" s="14"/>
      <c r="H2764" s="11"/>
      <c r="I2764" s="12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14"/>
      <c r="X2764" s="3"/>
      <c r="Y2764" s="14"/>
      <c r="Z2764" s="3"/>
      <c r="AA2764" s="3"/>
      <c r="AB2764" s="3"/>
      <c r="AC2764" s="3"/>
      <c r="AD2764" s="3"/>
      <c r="AE2764" s="3"/>
      <c r="AF2764" s="3"/>
      <c r="AG2764" s="3"/>
      <c r="AH2764" s="3"/>
    </row>
    <row r="2765" spans="1:34" ht="14.25" customHeight="1" x14ac:dyDescent="0.25">
      <c r="A2765" s="3"/>
      <c r="B2765" s="3"/>
      <c r="C2765" s="3"/>
      <c r="D2765" s="3"/>
      <c r="E2765" s="3"/>
      <c r="F2765" s="3"/>
      <c r="G2765" s="3"/>
      <c r="H2765" s="11"/>
      <c r="I2765" s="12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14"/>
      <c r="X2765" s="3"/>
      <c r="Y2765" s="14"/>
      <c r="Z2765" s="3"/>
      <c r="AA2765" s="3"/>
      <c r="AB2765" s="3"/>
      <c r="AC2765" s="3"/>
      <c r="AD2765" s="3"/>
      <c r="AE2765" s="3"/>
      <c r="AF2765" s="3"/>
      <c r="AG2765" s="3"/>
      <c r="AH2765" s="3"/>
    </row>
    <row r="2766" spans="1:34" ht="14.25" customHeight="1" x14ac:dyDescent="0.25">
      <c r="A2766" s="3"/>
      <c r="B2766" s="3"/>
      <c r="C2766" s="3"/>
      <c r="D2766" s="3"/>
      <c r="E2766" s="3"/>
      <c r="F2766" s="3"/>
      <c r="G2766" s="14"/>
      <c r="H2766" s="11"/>
      <c r="I2766" s="12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14"/>
      <c r="X2766" s="3"/>
      <c r="Y2766" s="14"/>
      <c r="Z2766" s="3"/>
      <c r="AA2766" s="3"/>
      <c r="AB2766" s="3"/>
      <c r="AC2766" s="3"/>
      <c r="AD2766" s="3"/>
      <c r="AE2766" s="3"/>
      <c r="AF2766" s="3"/>
      <c r="AG2766" s="3"/>
      <c r="AH2766" s="3"/>
    </row>
    <row r="2767" spans="1:34" ht="14.25" customHeight="1" x14ac:dyDescent="0.25">
      <c r="A2767" s="3"/>
      <c r="B2767" s="3"/>
      <c r="C2767" s="3"/>
      <c r="D2767" s="3"/>
      <c r="E2767" s="3"/>
      <c r="F2767" s="3"/>
      <c r="G2767" s="14"/>
      <c r="H2767" s="11"/>
      <c r="I2767" s="12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14"/>
      <c r="X2767" s="3"/>
      <c r="Y2767" s="14"/>
      <c r="Z2767" s="3"/>
      <c r="AA2767" s="3"/>
      <c r="AB2767" s="3"/>
      <c r="AC2767" s="3"/>
      <c r="AD2767" s="3"/>
      <c r="AE2767" s="3"/>
      <c r="AF2767" s="3"/>
      <c r="AG2767" s="3"/>
      <c r="AH2767" s="3"/>
    </row>
    <row r="2768" spans="1:34" ht="14.25" customHeight="1" x14ac:dyDescent="0.25">
      <c r="A2768" s="3"/>
      <c r="B2768" s="3"/>
      <c r="C2768" s="3"/>
      <c r="D2768" s="3"/>
      <c r="E2768" s="3"/>
      <c r="F2768" s="3"/>
      <c r="G2768" s="14"/>
      <c r="H2768" s="11"/>
      <c r="I2768" s="12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14"/>
      <c r="X2768" s="3"/>
      <c r="Y2768" s="14"/>
      <c r="Z2768" s="3"/>
      <c r="AA2768" s="3"/>
      <c r="AB2768" s="3"/>
      <c r="AC2768" s="3"/>
      <c r="AD2768" s="3"/>
      <c r="AE2768" s="3"/>
      <c r="AF2768" s="3"/>
      <c r="AG2768" s="3"/>
      <c r="AH2768" s="3"/>
    </row>
    <row r="2769" spans="1:34" ht="14.25" customHeight="1" x14ac:dyDescent="0.25">
      <c r="A2769" s="3"/>
      <c r="B2769" s="3"/>
      <c r="C2769" s="3"/>
      <c r="D2769" s="3"/>
      <c r="E2769" s="3"/>
      <c r="F2769" s="3"/>
      <c r="G2769" s="14"/>
      <c r="H2769" s="11"/>
      <c r="I2769" s="12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14"/>
      <c r="X2769" s="3"/>
      <c r="Y2769" s="14"/>
      <c r="Z2769" s="3"/>
      <c r="AA2769" s="3"/>
      <c r="AB2769" s="3"/>
      <c r="AC2769" s="3"/>
      <c r="AD2769" s="3"/>
      <c r="AE2769" s="3"/>
      <c r="AF2769" s="3"/>
      <c r="AG2769" s="3"/>
      <c r="AH2769" s="3"/>
    </row>
    <row r="2770" spans="1:34" ht="14.25" customHeight="1" x14ac:dyDescent="0.25">
      <c r="A2770" s="3"/>
      <c r="B2770" s="3"/>
      <c r="C2770" s="3"/>
      <c r="D2770" s="3"/>
      <c r="E2770" s="3"/>
      <c r="F2770" s="3"/>
      <c r="G2770" s="14"/>
      <c r="H2770" s="11"/>
      <c r="I2770" s="12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14"/>
      <c r="X2770" s="3"/>
      <c r="Y2770" s="14"/>
      <c r="Z2770" s="3"/>
      <c r="AA2770" s="3"/>
      <c r="AB2770" s="3"/>
      <c r="AC2770" s="3"/>
      <c r="AD2770" s="3"/>
      <c r="AE2770" s="3"/>
      <c r="AF2770" s="3"/>
      <c r="AG2770" s="3"/>
      <c r="AH2770" s="3"/>
    </row>
    <row r="2771" spans="1:34" ht="14.25" customHeight="1" x14ac:dyDescent="0.25">
      <c r="A2771" s="3"/>
      <c r="B2771" s="3"/>
      <c r="C2771" s="3"/>
      <c r="D2771" s="3"/>
      <c r="E2771" s="3"/>
      <c r="F2771" s="3"/>
      <c r="G2771" s="14"/>
      <c r="H2771" s="11"/>
      <c r="I2771" s="12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14"/>
      <c r="X2771" s="3"/>
      <c r="Y2771" s="14"/>
      <c r="Z2771" s="3"/>
      <c r="AA2771" s="3"/>
      <c r="AB2771" s="3"/>
      <c r="AC2771" s="3"/>
      <c r="AD2771" s="3"/>
      <c r="AE2771" s="3"/>
      <c r="AF2771" s="3"/>
      <c r="AG2771" s="3"/>
      <c r="AH2771" s="3"/>
    </row>
    <row r="2772" spans="1:34" ht="14.25" customHeight="1" x14ac:dyDescent="0.25">
      <c r="A2772" s="3"/>
      <c r="B2772" s="3"/>
      <c r="C2772" s="3"/>
      <c r="D2772" s="3"/>
      <c r="E2772" s="3"/>
      <c r="F2772" s="3"/>
      <c r="G2772" s="14"/>
      <c r="H2772" s="11"/>
      <c r="I2772" s="12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14"/>
      <c r="X2772" s="3"/>
      <c r="Y2772" s="14"/>
      <c r="Z2772" s="3"/>
      <c r="AA2772" s="3"/>
      <c r="AB2772" s="3"/>
      <c r="AC2772" s="3"/>
      <c r="AD2772" s="3"/>
      <c r="AE2772" s="3"/>
      <c r="AF2772" s="3"/>
      <c r="AG2772" s="3"/>
      <c r="AH2772" s="3"/>
    </row>
    <row r="2773" spans="1:34" ht="14.25" customHeight="1" x14ac:dyDescent="0.25">
      <c r="A2773" s="3"/>
      <c r="B2773" s="3"/>
      <c r="C2773" s="3"/>
      <c r="D2773" s="3"/>
      <c r="E2773" s="3"/>
      <c r="F2773" s="3"/>
      <c r="G2773" s="14"/>
      <c r="H2773" s="11"/>
      <c r="I2773" s="12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14"/>
      <c r="X2773" s="3"/>
      <c r="Y2773" s="14"/>
      <c r="Z2773" s="3"/>
      <c r="AA2773" s="3"/>
      <c r="AB2773" s="3"/>
      <c r="AC2773" s="3"/>
      <c r="AD2773" s="3"/>
      <c r="AE2773" s="3"/>
      <c r="AF2773" s="3"/>
      <c r="AG2773" s="3"/>
      <c r="AH2773" s="3"/>
    </row>
    <row r="2774" spans="1:34" ht="14.25" customHeight="1" x14ac:dyDescent="0.25">
      <c r="A2774" s="3"/>
      <c r="B2774" s="3"/>
      <c r="C2774" s="3"/>
      <c r="D2774" s="3"/>
      <c r="E2774" s="3"/>
      <c r="F2774" s="3"/>
      <c r="G2774" s="14"/>
      <c r="H2774" s="11"/>
      <c r="I2774" s="12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14"/>
      <c r="X2774" s="3"/>
      <c r="Y2774" s="14"/>
      <c r="Z2774" s="3"/>
      <c r="AA2774" s="3"/>
      <c r="AB2774" s="3"/>
      <c r="AC2774" s="3"/>
      <c r="AD2774" s="3"/>
      <c r="AE2774" s="3"/>
      <c r="AF2774" s="3"/>
      <c r="AG2774" s="3"/>
      <c r="AH2774" s="3"/>
    </row>
    <row r="2775" spans="1:34" ht="14.25" customHeight="1" x14ac:dyDescent="0.25">
      <c r="A2775" s="3"/>
      <c r="B2775" s="3"/>
      <c r="C2775" s="3"/>
      <c r="D2775" s="3"/>
      <c r="E2775" s="3"/>
      <c r="F2775" s="3"/>
      <c r="G2775" s="14"/>
      <c r="H2775" s="11"/>
      <c r="I2775" s="12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14"/>
      <c r="X2775" s="3"/>
      <c r="Y2775" s="14"/>
      <c r="Z2775" s="3"/>
      <c r="AA2775" s="3"/>
      <c r="AB2775" s="3"/>
      <c r="AC2775" s="3"/>
      <c r="AD2775" s="3"/>
      <c r="AE2775" s="3"/>
      <c r="AF2775" s="3"/>
      <c r="AG2775" s="3"/>
      <c r="AH2775" s="3"/>
    </row>
    <row r="2776" spans="1:34" ht="14.25" customHeight="1" x14ac:dyDescent="0.25">
      <c r="A2776" s="3"/>
      <c r="B2776" s="3"/>
      <c r="C2776" s="3"/>
      <c r="D2776" s="3"/>
      <c r="E2776" s="3"/>
      <c r="F2776" s="3"/>
      <c r="G2776" s="14"/>
      <c r="H2776" s="11"/>
      <c r="I2776" s="12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14"/>
      <c r="X2776" s="3"/>
      <c r="Y2776" s="14"/>
      <c r="Z2776" s="3"/>
      <c r="AA2776" s="3"/>
      <c r="AB2776" s="3"/>
      <c r="AC2776" s="3"/>
      <c r="AD2776" s="3"/>
      <c r="AE2776" s="3"/>
      <c r="AF2776" s="3"/>
      <c r="AG2776" s="3"/>
      <c r="AH2776" s="3"/>
    </row>
    <row r="2777" spans="1:34" ht="14.25" customHeight="1" x14ac:dyDescent="0.25">
      <c r="A2777" s="3"/>
      <c r="B2777" s="3"/>
      <c r="C2777" s="3"/>
      <c r="D2777" s="3"/>
      <c r="E2777" s="3"/>
      <c r="F2777" s="3"/>
      <c r="G2777" s="14"/>
      <c r="H2777" s="11"/>
      <c r="I2777" s="12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14"/>
      <c r="X2777" s="3"/>
      <c r="Y2777" s="14"/>
      <c r="Z2777" s="3"/>
      <c r="AA2777" s="3"/>
      <c r="AB2777" s="3"/>
      <c r="AC2777" s="3"/>
      <c r="AD2777" s="3"/>
      <c r="AE2777" s="3"/>
      <c r="AF2777" s="3"/>
      <c r="AG2777" s="3"/>
      <c r="AH2777" s="3"/>
    </row>
    <row r="2778" spans="1:34" ht="14.25" customHeight="1" x14ac:dyDescent="0.25">
      <c r="A2778" s="3"/>
      <c r="B2778" s="3"/>
      <c r="C2778" s="3"/>
      <c r="D2778" s="3"/>
      <c r="E2778" s="3"/>
      <c r="F2778" s="3"/>
      <c r="G2778" s="14"/>
      <c r="H2778" s="11"/>
      <c r="I2778" s="12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14"/>
      <c r="X2778" s="3"/>
      <c r="Y2778" s="14"/>
      <c r="Z2778" s="3"/>
      <c r="AA2778" s="3"/>
      <c r="AB2778" s="3"/>
      <c r="AC2778" s="3"/>
      <c r="AD2778" s="3"/>
      <c r="AE2778" s="3"/>
      <c r="AF2778" s="3"/>
      <c r="AG2778" s="3"/>
      <c r="AH2778" s="3"/>
    </row>
    <row r="2779" spans="1:34" ht="14.25" customHeight="1" x14ac:dyDescent="0.25">
      <c r="A2779" s="3"/>
      <c r="B2779" s="3"/>
      <c r="C2779" s="3"/>
      <c r="D2779" s="3"/>
      <c r="E2779" s="3"/>
      <c r="F2779" s="3"/>
      <c r="G2779" s="14"/>
      <c r="H2779" s="11"/>
      <c r="I2779" s="12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14"/>
      <c r="X2779" s="3"/>
      <c r="Y2779" s="14"/>
      <c r="Z2779" s="3"/>
      <c r="AA2779" s="3"/>
      <c r="AB2779" s="3"/>
      <c r="AC2779" s="3"/>
      <c r="AD2779" s="3"/>
      <c r="AE2779" s="3"/>
      <c r="AF2779" s="3"/>
      <c r="AG2779" s="3"/>
      <c r="AH2779" s="3"/>
    </row>
    <row r="2780" spans="1:34" ht="14.25" customHeight="1" x14ac:dyDescent="0.25">
      <c r="A2780" s="3"/>
      <c r="B2780" s="3"/>
      <c r="C2780" s="3"/>
      <c r="D2780" s="3"/>
      <c r="E2780" s="3"/>
      <c r="F2780" s="3"/>
      <c r="G2780" s="14"/>
      <c r="H2780" s="11"/>
      <c r="I2780" s="12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14"/>
      <c r="X2780" s="3"/>
      <c r="Y2780" s="14"/>
      <c r="Z2780" s="3"/>
      <c r="AA2780" s="3"/>
      <c r="AB2780" s="3"/>
      <c r="AC2780" s="3"/>
      <c r="AD2780" s="3"/>
      <c r="AE2780" s="3"/>
      <c r="AF2780" s="3"/>
      <c r="AG2780" s="3"/>
      <c r="AH2780" s="3"/>
    </row>
    <row r="2781" spans="1:34" ht="14.25" customHeight="1" x14ac:dyDescent="0.25">
      <c r="A2781" s="3"/>
      <c r="B2781" s="3"/>
      <c r="C2781" s="3"/>
      <c r="D2781" s="3"/>
      <c r="E2781" s="3"/>
      <c r="F2781" s="3"/>
      <c r="G2781" s="14"/>
      <c r="H2781" s="11"/>
      <c r="I2781" s="12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14"/>
      <c r="X2781" s="3"/>
      <c r="Y2781" s="14"/>
      <c r="Z2781" s="3"/>
      <c r="AA2781" s="3"/>
      <c r="AB2781" s="3"/>
      <c r="AC2781" s="3"/>
      <c r="AD2781" s="3"/>
      <c r="AE2781" s="3"/>
      <c r="AF2781" s="3"/>
      <c r="AG2781" s="3"/>
      <c r="AH2781" s="3"/>
    </row>
    <row r="2782" spans="1:34" ht="14.25" customHeight="1" x14ac:dyDescent="0.25">
      <c r="A2782" s="3"/>
      <c r="B2782" s="3"/>
      <c r="C2782" s="3"/>
      <c r="D2782" s="3"/>
      <c r="E2782" s="3"/>
      <c r="F2782" s="3"/>
      <c r="G2782" s="14"/>
      <c r="H2782" s="11"/>
      <c r="I2782" s="12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14"/>
      <c r="X2782" s="3"/>
      <c r="Y2782" s="14"/>
      <c r="Z2782" s="3"/>
      <c r="AA2782" s="3"/>
      <c r="AB2782" s="3"/>
      <c r="AC2782" s="3"/>
      <c r="AD2782" s="3"/>
      <c r="AE2782" s="3"/>
      <c r="AF2782" s="3"/>
      <c r="AG2782" s="3"/>
      <c r="AH2782" s="3"/>
    </row>
    <row r="2783" spans="1:34" ht="14.25" customHeight="1" x14ac:dyDescent="0.25">
      <c r="A2783" s="3"/>
      <c r="B2783" s="3"/>
      <c r="C2783" s="3"/>
      <c r="D2783" s="3"/>
      <c r="E2783" s="3"/>
      <c r="F2783" s="3"/>
      <c r="G2783" s="14"/>
      <c r="H2783" s="11"/>
      <c r="I2783" s="12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14"/>
      <c r="X2783" s="3"/>
      <c r="Y2783" s="14"/>
      <c r="Z2783" s="3"/>
      <c r="AA2783" s="3"/>
      <c r="AB2783" s="3"/>
      <c r="AC2783" s="3"/>
      <c r="AD2783" s="3"/>
      <c r="AE2783" s="3"/>
      <c r="AF2783" s="3"/>
      <c r="AG2783" s="3"/>
      <c r="AH2783" s="3"/>
    </row>
    <row r="2784" spans="1:34" ht="14.25" customHeight="1" x14ac:dyDescent="0.25">
      <c r="A2784" s="3"/>
      <c r="B2784" s="3"/>
      <c r="C2784" s="3"/>
      <c r="D2784" s="3"/>
      <c r="E2784" s="3"/>
      <c r="F2784" s="3"/>
      <c r="G2784" s="3"/>
      <c r="H2784" s="11"/>
      <c r="I2784" s="12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14"/>
      <c r="X2784" s="3"/>
      <c r="Y2784" s="14"/>
      <c r="Z2784" s="3"/>
      <c r="AA2784" s="3"/>
      <c r="AB2784" s="3"/>
      <c r="AC2784" s="3"/>
      <c r="AD2784" s="3"/>
      <c r="AE2784" s="3"/>
      <c r="AF2784" s="3"/>
      <c r="AG2784" s="3"/>
      <c r="AH2784" s="3"/>
    </row>
    <row r="2785" spans="1:34" ht="14.25" customHeight="1" x14ac:dyDescent="0.25">
      <c r="A2785" s="3"/>
      <c r="B2785" s="3"/>
      <c r="C2785" s="3"/>
      <c r="D2785" s="3"/>
      <c r="E2785" s="3"/>
      <c r="F2785" s="3"/>
      <c r="G2785" s="14"/>
      <c r="H2785" s="11"/>
      <c r="I2785" s="12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14"/>
      <c r="X2785" s="3"/>
      <c r="Y2785" s="14"/>
      <c r="Z2785" s="3"/>
      <c r="AA2785" s="3"/>
      <c r="AB2785" s="3"/>
      <c r="AC2785" s="3"/>
      <c r="AD2785" s="3"/>
      <c r="AE2785" s="3"/>
      <c r="AF2785" s="3"/>
      <c r="AG2785" s="3"/>
      <c r="AH2785" s="3"/>
    </row>
    <row r="2786" spans="1:34" ht="14.25" customHeight="1" x14ac:dyDescent="0.25">
      <c r="A2786" s="3"/>
      <c r="B2786" s="3"/>
      <c r="C2786" s="3"/>
      <c r="D2786" s="3"/>
      <c r="E2786" s="3"/>
      <c r="F2786" s="3"/>
      <c r="G2786" s="3"/>
      <c r="H2786" s="11"/>
      <c r="I2786" s="12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14"/>
      <c r="X2786" s="3"/>
      <c r="Y2786" s="14"/>
      <c r="Z2786" s="3"/>
      <c r="AA2786" s="3"/>
      <c r="AB2786" s="3"/>
      <c r="AC2786" s="3"/>
      <c r="AD2786" s="3"/>
      <c r="AE2786" s="3"/>
      <c r="AF2786" s="3"/>
      <c r="AG2786" s="3"/>
      <c r="AH2786" s="3"/>
    </row>
    <row r="2787" spans="1:34" ht="14.25" customHeight="1" x14ac:dyDescent="0.25">
      <c r="A2787" s="3"/>
      <c r="B2787" s="3"/>
      <c r="C2787" s="3"/>
      <c r="D2787" s="3"/>
      <c r="E2787" s="3"/>
      <c r="F2787" s="3"/>
      <c r="G2787" s="3"/>
      <c r="H2787" s="11"/>
      <c r="I2787" s="12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14"/>
      <c r="X2787" s="3"/>
      <c r="Y2787" s="14"/>
      <c r="Z2787" s="3"/>
      <c r="AA2787" s="3"/>
      <c r="AB2787" s="3"/>
      <c r="AC2787" s="3"/>
      <c r="AD2787" s="3"/>
      <c r="AE2787" s="3"/>
      <c r="AF2787" s="3"/>
      <c r="AG2787" s="3"/>
      <c r="AH2787" s="3"/>
    </row>
    <row r="2788" spans="1:34" ht="14.25" customHeight="1" x14ac:dyDescent="0.25">
      <c r="A2788" s="3"/>
      <c r="B2788" s="3"/>
      <c r="C2788" s="3"/>
      <c r="D2788" s="3"/>
      <c r="E2788" s="3"/>
      <c r="F2788" s="3"/>
      <c r="G2788" s="3"/>
      <c r="H2788" s="11"/>
      <c r="I2788" s="12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14"/>
      <c r="X2788" s="3"/>
      <c r="Y2788" s="14"/>
      <c r="Z2788" s="3"/>
      <c r="AA2788" s="3"/>
      <c r="AB2788" s="3"/>
      <c r="AC2788" s="3"/>
      <c r="AD2788" s="3"/>
      <c r="AE2788" s="3"/>
      <c r="AF2788" s="3"/>
      <c r="AG2788" s="3"/>
      <c r="AH2788" s="3"/>
    </row>
    <row r="2789" spans="1:34" ht="14.25" customHeight="1" x14ac:dyDescent="0.25">
      <c r="A2789" s="3"/>
      <c r="B2789" s="3"/>
      <c r="C2789" s="3"/>
      <c r="D2789" s="3"/>
      <c r="E2789" s="3"/>
      <c r="F2789" s="3"/>
      <c r="G2789" s="14"/>
      <c r="H2789" s="11"/>
      <c r="I2789" s="12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14"/>
      <c r="X2789" s="3"/>
      <c r="Y2789" s="14"/>
      <c r="Z2789" s="3"/>
      <c r="AA2789" s="3"/>
      <c r="AB2789" s="3"/>
      <c r="AC2789" s="3"/>
      <c r="AD2789" s="3"/>
      <c r="AE2789" s="3"/>
      <c r="AF2789" s="3"/>
      <c r="AG2789" s="3"/>
      <c r="AH2789" s="3"/>
    </row>
    <row r="2790" spans="1:34" ht="14.25" customHeight="1" x14ac:dyDescent="0.25">
      <c r="A2790" s="3"/>
      <c r="B2790" s="3"/>
      <c r="C2790" s="3"/>
      <c r="D2790" s="3"/>
      <c r="E2790" s="3"/>
      <c r="F2790" s="3"/>
      <c r="G2790" s="14"/>
      <c r="H2790" s="11"/>
      <c r="I2790" s="12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14"/>
      <c r="X2790" s="3"/>
      <c r="Y2790" s="14"/>
      <c r="Z2790" s="3"/>
      <c r="AA2790" s="3"/>
      <c r="AB2790" s="3"/>
      <c r="AC2790" s="3"/>
      <c r="AD2790" s="3"/>
      <c r="AE2790" s="3"/>
      <c r="AF2790" s="3"/>
      <c r="AG2790" s="3"/>
      <c r="AH2790" s="3"/>
    </row>
    <row r="2791" spans="1:34" ht="14.25" customHeight="1" x14ac:dyDescent="0.25">
      <c r="A2791" s="3"/>
      <c r="B2791" s="3"/>
      <c r="C2791" s="3"/>
      <c r="D2791" s="3"/>
      <c r="E2791" s="3"/>
      <c r="F2791" s="3"/>
      <c r="G2791" s="14"/>
      <c r="H2791" s="11"/>
      <c r="I2791" s="12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14"/>
      <c r="X2791" s="3"/>
      <c r="Y2791" s="14"/>
      <c r="Z2791" s="3"/>
      <c r="AA2791" s="3"/>
      <c r="AB2791" s="3"/>
      <c r="AC2791" s="3"/>
      <c r="AD2791" s="3"/>
      <c r="AE2791" s="3"/>
      <c r="AF2791" s="3"/>
      <c r="AG2791" s="3"/>
      <c r="AH2791" s="3"/>
    </row>
    <row r="2792" spans="1:34" ht="14.25" customHeight="1" x14ac:dyDescent="0.25">
      <c r="A2792" s="3"/>
      <c r="B2792" s="3"/>
      <c r="C2792" s="3"/>
      <c r="D2792" s="3"/>
      <c r="E2792" s="3"/>
      <c r="F2792" s="3"/>
      <c r="G2792" s="14"/>
      <c r="H2792" s="11"/>
      <c r="I2792" s="12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14"/>
      <c r="X2792" s="3"/>
      <c r="Y2792" s="14"/>
      <c r="Z2792" s="3"/>
      <c r="AA2792" s="3"/>
      <c r="AB2792" s="3"/>
      <c r="AC2792" s="3"/>
      <c r="AD2792" s="3"/>
      <c r="AE2792" s="3"/>
      <c r="AF2792" s="3"/>
      <c r="AG2792" s="3"/>
      <c r="AH2792" s="3"/>
    </row>
    <row r="2793" spans="1:34" ht="14.25" customHeight="1" x14ac:dyDescent="0.25">
      <c r="A2793" s="3"/>
      <c r="B2793" s="3"/>
      <c r="C2793" s="3"/>
      <c r="D2793" s="3"/>
      <c r="E2793" s="3"/>
      <c r="F2793" s="3"/>
      <c r="G2793" s="14"/>
      <c r="H2793" s="11"/>
      <c r="I2793" s="12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14"/>
      <c r="X2793" s="3"/>
      <c r="Y2793" s="14"/>
      <c r="Z2793" s="3"/>
      <c r="AA2793" s="3"/>
      <c r="AB2793" s="3"/>
      <c r="AC2793" s="3"/>
      <c r="AD2793" s="3"/>
      <c r="AE2793" s="3"/>
      <c r="AF2793" s="3"/>
      <c r="AG2793" s="3"/>
      <c r="AH2793" s="3"/>
    </row>
    <row r="2794" spans="1:34" ht="14.25" customHeight="1" x14ac:dyDescent="0.25">
      <c r="A2794" s="3"/>
      <c r="B2794" s="3"/>
      <c r="C2794" s="3"/>
      <c r="D2794" s="3"/>
      <c r="E2794" s="3"/>
      <c r="F2794" s="3"/>
      <c r="G2794" s="14"/>
      <c r="H2794" s="11"/>
      <c r="I2794" s="12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14"/>
      <c r="X2794" s="3"/>
      <c r="Y2794" s="14"/>
      <c r="Z2794" s="3"/>
      <c r="AA2794" s="3"/>
      <c r="AB2794" s="3"/>
      <c r="AC2794" s="3"/>
      <c r="AD2794" s="3"/>
      <c r="AE2794" s="3"/>
      <c r="AF2794" s="3"/>
      <c r="AG2794" s="3"/>
      <c r="AH2794" s="3"/>
    </row>
    <row r="2795" spans="1:34" ht="14.25" customHeight="1" x14ac:dyDescent="0.25">
      <c r="A2795" s="3"/>
      <c r="B2795" s="3"/>
      <c r="C2795" s="3"/>
      <c r="D2795" s="3"/>
      <c r="E2795" s="3"/>
      <c r="F2795" s="3"/>
      <c r="G2795" s="14"/>
      <c r="H2795" s="11"/>
      <c r="I2795" s="12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14"/>
      <c r="X2795" s="3"/>
      <c r="Y2795" s="14"/>
      <c r="Z2795" s="3"/>
      <c r="AA2795" s="3"/>
      <c r="AB2795" s="3"/>
      <c r="AC2795" s="3"/>
      <c r="AD2795" s="3"/>
      <c r="AE2795" s="3"/>
      <c r="AF2795" s="3"/>
      <c r="AG2795" s="3"/>
      <c r="AH2795" s="3"/>
    </row>
    <row r="2796" spans="1:34" ht="14.25" customHeight="1" x14ac:dyDescent="0.25">
      <c r="A2796" s="3"/>
      <c r="B2796" s="3"/>
      <c r="C2796" s="3"/>
      <c r="D2796" s="3"/>
      <c r="E2796" s="3"/>
      <c r="F2796" s="3"/>
      <c r="G2796" s="14"/>
      <c r="H2796" s="11"/>
      <c r="I2796" s="12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14"/>
      <c r="X2796" s="3"/>
      <c r="Y2796" s="14"/>
      <c r="Z2796" s="3"/>
      <c r="AA2796" s="3"/>
      <c r="AB2796" s="3"/>
      <c r="AC2796" s="3"/>
      <c r="AD2796" s="3"/>
      <c r="AE2796" s="3"/>
      <c r="AF2796" s="3"/>
      <c r="AG2796" s="3"/>
      <c r="AH2796" s="3"/>
    </row>
    <row r="2797" spans="1:34" ht="14.25" customHeight="1" x14ac:dyDescent="0.25">
      <c r="A2797" s="3"/>
      <c r="B2797" s="3"/>
      <c r="C2797" s="3"/>
      <c r="D2797" s="3"/>
      <c r="E2797" s="3"/>
      <c r="F2797" s="3"/>
      <c r="G2797" s="14"/>
      <c r="H2797" s="11"/>
      <c r="I2797" s="12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14"/>
      <c r="X2797" s="3"/>
      <c r="Y2797" s="14"/>
      <c r="Z2797" s="3"/>
      <c r="AA2797" s="3"/>
      <c r="AB2797" s="3"/>
      <c r="AC2797" s="3"/>
      <c r="AD2797" s="3"/>
      <c r="AE2797" s="3"/>
      <c r="AF2797" s="3"/>
      <c r="AG2797" s="3"/>
      <c r="AH2797" s="3"/>
    </row>
    <row r="2798" spans="1:34" ht="14.25" customHeight="1" x14ac:dyDescent="0.25">
      <c r="A2798" s="3"/>
      <c r="B2798" s="3"/>
      <c r="C2798" s="3"/>
      <c r="D2798" s="3"/>
      <c r="E2798" s="3"/>
      <c r="F2798" s="3"/>
      <c r="G2798" s="3"/>
      <c r="H2798" s="11"/>
      <c r="I2798" s="12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14"/>
      <c r="X2798" s="3"/>
      <c r="Y2798" s="14"/>
      <c r="Z2798" s="3"/>
      <c r="AA2798" s="3"/>
      <c r="AB2798" s="3"/>
      <c r="AC2798" s="3"/>
      <c r="AD2798" s="3"/>
      <c r="AE2798" s="3"/>
      <c r="AF2798" s="3"/>
      <c r="AG2798" s="3"/>
      <c r="AH2798" s="3"/>
    </row>
    <row r="2799" spans="1:34" ht="14.25" customHeight="1" x14ac:dyDescent="0.25">
      <c r="A2799" s="3"/>
      <c r="B2799" s="3"/>
      <c r="C2799" s="3"/>
      <c r="D2799" s="3"/>
      <c r="E2799" s="3"/>
      <c r="F2799" s="3"/>
      <c r="G2799" s="3"/>
      <c r="H2799" s="11"/>
      <c r="I2799" s="12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14"/>
      <c r="X2799" s="3"/>
      <c r="Y2799" s="14"/>
      <c r="Z2799" s="3"/>
      <c r="AA2799" s="3"/>
      <c r="AB2799" s="3"/>
      <c r="AC2799" s="3"/>
      <c r="AD2799" s="3"/>
      <c r="AE2799" s="3"/>
      <c r="AF2799" s="3"/>
      <c r="AG2799" s="3"/>
      <c r="AH2799" s="3"/>
    </row>
    <row r="2800" spans="1:34" ht="14.25" customHeight="1" x14ac:dyDescent="0.25">
      <c r="A2800" s="3"/>
      <c r="B2800" s="3"/>
      <c r="C2800" s="3"/>
      <c r="D2800" s="3"/>
      <c r="E2800" s="3"/>
      <c r="F2800" s="3"/>
      <c r="G2800" s="3"/>
      <c r="H2800" s="11"/>
      <c r="I2800" s="12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14"/>
      <c r="X2800" s="3"/>
      <c r="Y2800" s="14"/>
      <c r="Z2800" s="3"/>
      <c r="AA2800" s="3"/>
      <c r="AB2800" s="3"/>
      <c r="AC2800" s="3"/>
      <c r="AD2800" s="3"/>
      <c r="AE2800" s="3"/>
      <c r="AF2800" s="3"/>
      <c r="AG2800" s="3"/>
      <c r="AH2800" s="3"/>
    </row>
    <row r="2801" spans="1:34" ht="14.25" customHeight="1" x14ac:dyDescent="0.25">
      <c r="A2801" s="3"/>
      <c r="B2801" s="3"/>
      <c r="C2801" s="3"/>
      <c r="D2801" s="3"/>
      <c r="E2801" s="3"/>
      <c r="F2801" s="3"/>
      <c r="G2801" s="14"/>
      <c r="H2801" s="11"/>
      <c r="I2801" s="12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14"/>
      <c r="X2801" s="3"/>
      <c r="Y2801" s="14"/>
      <c r="Z2801" s="3"/>
      <c r="AA2801" s="3"/>
      <c r="AB2801" s="3"/>
      <c r="AC2801" s="3"/>
      <c r="AD2801" s="3"/>
      <c r="AE2801" s="3"/>
      <c r="AF2801" s="3"/>
      <c r="AG2801" s="3"/>
      <c r="AH2801" s="3"/>
    </row>
    <row r="2802" spans="1:34" ht="14.25" customHeight="1" x14ac:dyDescent="0.25">
      <c r="A2802" s="3"/>
      <c r="B2802" s="3"/>
      <c r="C2802" s="3"/>
      <c r="D2802" s="3"/>
      <c r="E2802" s="3"/>
      <c r="F2802" s="3"/>
      <c r="G2802" s="14"/>
      <c r="H2802" s="11"/>
      <c r="I2802" s="12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14"/>
      <c r="X2802" s="3"/>
      <c r="Y2802" s="14"/>
      <c r="Z2802" s="3"/>
      <c r="AA2802" s="3"/>
      <c r="AB2802" s="3"/>
      <c r="AC2802" s="3"/>
      <c r="AD2802" s="3"/>
      <c r="AE2802" s="3"/>
      <c r="AF2802" s="3"/>
      <c r="AG2802" s="3"/>
      <c r="AH2802" s="3"/>
    </row>
    <row r="2803" spans="1:34" ht="14.25" customHeight="1" x14ac:dyDescent="0.25">
      <c r="A2803" s="3"/>
      <c r="B2803" s="3"/>
      <c r="C2803" s="3"/>
      <c r="D2803" s="3"/>
      <c r="E2803" s="3"/>
      <c r="F2803" s="3"/>
      <c r="G2803" s="14"/>
      <c r="H2803" s="11"/>
      <c r="I2803" s="12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14"/>
      <c r="X2803" s="3"/>
      <c r="Y2803" s="14"/>
      <c r="Z2803" s="3"/>
      <c r="AA2803" s="3"/>
      <c r="AB2803" s="3"/>
      <c r="AC2803" s="3"/>
      <c r="AD2803" s="3"/>
      <c r="AE2803" s="3"/>
      <c r="AF2803" s="3"/>
      <c r="AG2803" s="3"/>
      <c r="AH2803" s="3"/>
    </row>
    <row r="2804" spans="1:34" ht="14.25" customHeight="1" x14ac:dyDescent="0.25">
      <c r="A2804" s="3"/>
      <c r="B2804" s="3"/>
      <c r="C2804" s="3"/>
      <c r="D2804" s="3"/>
      <c r="E2804" s="3"/>
      <c r="F2804" s="3"/>
      <c r="G2804" s="3"/>
      <c r="H2804" s="11"/>
      <c r="I2804" s="12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14"/>
      <c r="X2804" s="3"/>
      <c r="Y2804" s="14"/>
      <c r="Z2804" s="3"/>
      <c r="AA2804" s="3"/>
      <c r="AB2804" s="3"/>
      <c r="AC2804" s="3"/>
      <c r="AD2804" s="3"/>
      <c r="AE2804" s="3"/>
      <c r="AF2804" s="3"/>
      <c r="AG2804" s="3"/>
      <c r="AH2804" s="3"/>
    </row>
    <row r="2805" spans="1:34" ht="14.25" customHeight="1" x14ac:dyDescent="0.25">
      <c r="A2805" s="3"/>
      <c r="B2805" s="3"/>
      <c r="C2805" s="3"/>
      <c r="D2805" s="3"/>
      <c r="E2805" s="3"/>
      <c r="F2805" s="3"/>
      <c r="G2805" s="14"/>
      <c r="H2805" s="11"/>
      <c r="I2805" s="12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14"/>
      <c r="X2805" s="3"/>
      <c r="Y2805" s="14"/>
      <c r="Z2805" s="3"/>
      <c r="AA2805" s="3"/>
      <c r="AB2805" s="3"/>
      <c r="AC2805" s="3"/>
      <c r="AD2805" s="3"/>
      <c r="AE2805" s="3"/>
      <c r="AF2805" s="3"/>
      <c r="AG2805" s="3"/>
      <c r="AH2805" s="3"/>
    </row>
    <row r="2806" spans="1:34" ht="14.25" customHeight="1" x14ac:dyDescent="0.25">
      <c r="A2806" s="3"/>
      <c r="B2806" s="3"/>
      <c r="C2806" s="3"/>
      <c r="D2806" s="3"/>
      <c r="E2806" s="3"/>
      <c r="F2806" s="3"/>
      <c r="G2806" s="14"/>
      <c r="H2806" s="11"/>
      <c r="I2806" s="12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14"/>
      <c r="X2806" s="3"/>
      <c r="Y2806" s="14"/>
      <c r="Z2806" s="3"/>
      <c r="AA2806" s="3"/>
      <c r="AB2806" s="3"/>
      <c r="AC2806" s="3"/>
      <c r="AD2806" s="3"/>
      <c r="AE2806" s="3"/>
      <c r="AF2806" s="3"/>
      <c r="AG2806" s="3"/>
      <c r="AH2806" s="3"/>
    </row>
    <row r="2807" spans="1:34" ht="14.25" customHeight="1" x14ac:dyDescent="0.25">
      <c r="A2807" s="3"/>
      <c r="B2807" s="3"/>
      <c r="C2807" s="3"/>
      <c r="D2807" s="3"/>
      <c r="E2807" s="3"/>
      <c r="F2807" s="3"/>
      <c r="G2807" s="14"/>
      <c r="H2807" s="11"/>
      <c r="I2807" s="12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14"/>
      <c r="X2807" s="3"/>
      <c r="Y2807" s="14"/>
      <c r="Z2807" s="3"/>
      <c r="AA2807" s="3"/>
      <c r="AB2807" s="3"/>
      <c r="AC2807" s="3"/>
      <c r="AD2807" s="3"/>
      <c r="AE2807" s="3"/>
      <c r="AF2807" s="3"/>
      <c r="AG2807" s="3"/>
      <c r="AH2807" s="3"/>
    </row>
    <row r="2808" spans="1:34" ht="14.25" customHeight="1" x14ac:dyDescent="0.25">
      <c r="A2808" s="3"/>
      <c r="B2808" s="3"/>
      <c r="C2808" s="3"/>
      <c r="D2808" s="3"/>
      <c r="E2808" s="3"/>
      <c r="F2808" s="3"/>
      <c r="G2808" s="14"/>
      <c r="H2808" s="11"/>
      <c r="I2808" s="12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14"/>
      <c r="X2808" s="3"/>
      <c r="Y2808" s="14"/>
      <c r="Z2808" s="3"/>
      <c r="AA2808" s="3"/>
      <c r="AB2808" s="3"/>
      <c r="AC2808" s="3"/>
      <c r="AD2808" s="3"/>
      <c r="AE2808" s="3"/>
      <c r="AF2808" s="3"/>
      <c r="AG2808" s="3"/>
      <c r="AH2808" s="3"/>
    </row>
    <row r="2809" spans="1:34" ht="14.25" customHeight="1" x14ac:dyDescent="0.25">
      <c r="A2809" s="3"/>
      <c r="B2809" s="3"/>
      <c r="C2809" s="3"/>
      <c r="D2809" s="3"/>
      <c r="E2809" s="3"/>
      <c r="F2809" s="3"/>
      <c r="G2809" s="14"/>
      <c r="H2809" s="11"/>
      <c r="I2809" s="12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14"/>
      <c r="X2809" s="3"/>
      <c r="Y2809" s="14"/>
      <c r="Z2809" s="3"/>
      <c r="AA2809" s="3"/>
      <c r="AB2809" s="3"/>
      <c r="AC2809" s="3"/>
      <c r="AD2809" s="3"/>
      <c r="AE2809" s="3"/>
      <c r="AF2809" s="3"/>
      <c r="AG2809" s="3"/>
      <c r="AH2809" s="3"/>
    </row>
    <row r="2810" spans="1:34" ht="14.25" customHeight="1" x14ac:dyDescent="0.25">
      <c r="A2810" s="3"/>
      <c r="B2810" s="3"/>
      <c r="C2810" s="3"/>
      <c r="D2810" s="3"/>
      <c r="E2810" s="3"/>
      <c r="F2810" s="3"/>
      <c r="G2810" s="14"/>
      <c r="H2810" s="11"/>
      <c r="I2810" s="12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14"/>
      <c r="X2810" s="3"/>
      <c r="Y2810" s="14"/>
      <c r="Z2810" s="3"/>
      <c r="AA2810" s="3"/>
      <c r="AB2810" s="3"/>
      <c r="AC2810" s="3"/>
      <c r="AD2810" s="3"/>
      <c r="AE2810" s="3"/>
      <c r="AF2810" s="3"/>
      <c r="AG2810" s="3"/>
      <c r="AH2810" s="3"/>
    </row>
    <row r="2811" spans="1:34" ht="14.25" customHeight="1" x14ac:dyDescent="0.25">
      <c r="A2811" s="3"/>
      <c r="B2811" s="3"/>
      <c r="C2811" s="3"/>
      <c r="D2811" s="3"/>
      <c r="E2811" s="3"/>
      <c r="F2811" s="3"/>
      <c r="G2811" s="3"/>
      <c r="H2811" s="11"/>
      <c r="I2811" s="12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14"/>
      <c r="X2811" s="3"/>
      <c r="Y2811" s="14"/>
      <c r="Z2811" s="3"/>
      <c r="AA2811" s="3"/>
      <c r="AB2811" s="3"/>
      <c r="AC2811" s="3"/>
      <c r="AD2811" s="3"/>
      <c r="AE2811" s="3"/>
      <c r="AF2811" s="3"/>
      <c r="AG2811" s="3"/>
      <c r="AH2811" s="3"/>
    </row>
    <row r="2812" spans="1:34" ht="14.25" customHeight="1" x14ac:dyDescent="0.25">
      <c r="A2812" s="3"/>
      <c r="B2812" s="3"/>
      <c r="C2812" s="3"/>
      <c r="D2812" s="3"/>
      <c r="E2812" s="3"/>
      <c r="F2812" s="3"/>
      <c r="G2812" s="3"/>
      <c r="H2812" s="11"/>
      <c r="I2812" s="12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14"/>
      <c r="X2812" s="3"/>
      <c r="Y2812" s="14"/>
      <c r="Z2812" s="3"/>
      <c r="AA2812" s="3"/>
      <c r="AB2812" s="3"/>
      <c r="AC2812" s="3"/>
      <c r="AD2812" s="3"/>
      <c r="AE2812" s="3"/>
      <c r="AF2812" s="3"/>
      <c r="AG2812" s="3"/>
      <c r="AH2812" s="3"/>
    </row>
    <row r="2813" spans="1:34" ht="14.25" customHeight="1" x14ac:dyDescent="0.25">
      <c r="A2813" s="3"/>
      <c r="B2813" s="3"/>
      <c r="C2813" s="3"/>
      <c r="D2813" s="3"/>
      <c r="E2813" s="3"/>
      <c r="F2813" s="3"/>
      <c r="G2813" s="3"/>
      <c r="H2813" s="11"/>
      <c r="I2813" s="12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14"/>
      <c r="X2813" s="3"/>
      <c r="Y2813" s="14"/>
      <c r="Z2813" s="3"/>
      <c r="AA2813" s="3"/>
      <c r="AB2813" s="3"/>
      <c r="AC2813" s="3"/>
      <c r="AD2813" s="3"/>
      <c r="AE2813" s="3"/>
      <c r="AF2813" s="3"/>
      <c r="AG2813" s="3"/>
      <c r="AH2813" s="3"/>
    </row>
    <row r="2814" spans="1:34" ht="14.25" customHeight="1" x14ac:dyDescent="0.25">
      <c r="A2814" s="3"/>
      <c r="B2814" s="3"/>
      <c r="C2814" s="3"/>
      <c r="D2814" s="3"/>
      <c r="E2814" s="3"/>
      <c r="F2814" s="3"/>
      <c r="G2814" s="14"/>
      <c r="H2814" s="11"/>
      <c r="I2814" s="12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14"/>
      <c r="X2814" s="3"/>
      <c r="Y2814" s="14"/>
      <c r="Z2814" s="3"/>
      <c r="AA2814" s="3"/>
      <c r="AB2814" s="3"/>
      <c r="AC2814" s="3"/>
      <c r="AD2814" s="3"/>
      <c r="AE2814" s="3"/>
      <c r="AF2814" s="3"/>
      <c r="AG2814" s="3"/>
      <c r="AH2814" s="3"/>
    </row>
    <row r="2815" spans="1:34" ht="14.25" customHeight="1" x14ac:dyDescent="0.25">
      <c r="A2815" s="3"/>
      <c r="B2815" s="3"/>
      <c r="C2815" s="3"/>
      <c r="D2815" s="3"/>
      <c r="E2815" s="3"/>
      <c r="F2815" s="3"/>
      <c r="G2815" s="14"/>
      <c r="H2815" s="11"/>
      <c r="I2815" s="12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14"/>
      <c r="X2815" s="3"/>
      <c r="Y2815" s="14"/>
      <c r="Z2815" s="3"/>
      <c r="AA2815" s="3"/>
      <c r="AB2815" s="3"/>
      <c r="AC2815" s="3"/>
      <c r="AD2815" s="3"/>
      <c r="AE2815" s="3"/>
      <c r="AF2815" s="3"/>
      <c r="AG2815" s="3"/>
      <c r="AH2815" s="3"/>
    </row>
    <row r="2816" spans="1:34" ht="14.25" customHeight="1" x14ac:dyDescent="0.25">
      <c r="A2816" s="3"/>
      <c r="B2816" s="3"/>
      <c r="C2816" s="3"/>
      <c r="D2816" s="3"/>
      <c r="E2816" s="3"/>
      <c r="F2816" s="3"/>
      <c r="G2816" s="14"/>
      <c r="H2816" s="11"/>
      <c r="I2816" s="12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14"/>
      <c r="X2816" s="3"/>
      <c r="Y2816" s="14"/>
      <c r="Z2816" s="3"/>
      <c r="AA2816" s="3"/>
      <c r="AB2816" s="3"/>
      <c r="AC2816" s="3"/>
      <c r="AD2816" s="3"/>
      <c r="AE2816" s="3"/>
      <c r="AF2816" s="3"/>
      <c r="AG2816" s="3"/>
      <c r="AH2816" s="3"/>
    </row>
    <row r="2817" spans="1:34" ht="14.25" customHeight="1" x14ac:dyDescent="0.25">
      <c r="A2817" s="3"/>
      <c r="B2817" s="3"/>
      <c r="C2817" s="3"/>
      <c r="D2817" s="3"/>
      <c r="E2817" s="3"/>
      <c r="F2817" s="3"/>
      <c r="G2817" s="3"/>
      <c r="H2817" s="11"/>
      <c r="I2817" s="12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14"/>
      <c r="X2817" s="3"/>
      <c r="Y2817" s="14"/>
      <c r="Z2817" s="3"/>
      <c r="AA2817" s="3"/>
      <c r="AB2817" s="3"/>
      <c r="AC2817" s="3"/>
      <c r="AD2817" s="3"/>
      <c r="AE2817" s="3"/>
      <c r="AF2817" s="3"/>
      <c r="AG2817" s="3"/>
      <c r="AH2817" s="3"/>
    </row>
    <row r="2818" spans="1:34" ht="14.25" customHeight="1" x14ac:dyDescent="0.25">
      <c r="A2818" s="3"/>
      <c r="B2818" s="3"/>
      <c r="C2818" s="3"/>
      <c r="D2818" s="3"/>
      <c r="E2818" s="3"/>
      <c r="F2818" s="3"/>
      <c r="G2818" s="14"/>
      <c r="H2818" s="11"/>
      <c r="I2818" s="12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14"/>
      <c r="X2818" s="3"/>
      <c r="Y2818" s="14"/>
      <c r="Z2818" s="3"/>
      <c r="AA2818" s="3"/>
      <c r="AB2818" s="3"/>
      <c r="AC2818" s="3"/>
      <c r="AD2818" s="3"/>
      <c r="AE2818" s="3"/>
      <c r="AF2818" s="3"/>
      <c r="AG2818" s="3"/>
      <c r="AH2818" s="3"/>
    </row>
    <row r="2819" spans="1:34" ht="14.25" customHeight="1" x14ac:dyDescent="0.25">
      <c r="A2819" s="3"/>
      <c r="B2819" s="3"/>
      <c r="C2819" s="3"/>
      <c r="D2819" s="3"/>
      <c r="E2819" s="3"/>
      <c r="F2819" s="3"/>
      <c r="G2819" s="14"/>
      <c r="H2819" s="11"/>
      <c r="I2819" s="12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14"/>
      <c r="X2819" s="3"/>
      <c r="Y2819" s="14"/>
      <c r="Z2819" s="3"/>
      <c r="AA2819" s="3"/>
      <c r="AB2819" s="3"/>
      <c r="AC2819" s="3"/>
      <c r="AD2819" s="3"/>
      <c r="AE2819" s="3"/>
      <c r="AF2819" s="3"/>
      <c r="AG2819" s="3"/>
      <c r="AH2819" s="3"/>
    </row>
    <row r="2820" spans="1:34" ht="14.25" customHeight="1" x14ac:dyDescent="0.25">
      <c r="A2820" s="3"/>
      <c r="B2820" s="3"/>
      <c r="C2820" s="3"/>
      <c r="D2820" s="3"/>
      <c r="E2820" s="3"/>
      <c r="F2820" s="3"/>
      <c r="G2820" s="14"/>
      <c r="H2820" s="11"/>
      <c r="I2820" s="12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14"/>
      <c r="X2820" s="3"/>
      <c r="Y2820" s="14"/>
      <c r="Z2820" s="3"/>
      <c r="AA2820" s="3"/>
      <c r="AB2820" s="3"/>
      <c r="AC2820" s="3"/>
      <c r="AD2820" s="3"/>
      <c r="AE2820" s="3"/>
      <c r="AF2820" s="3"/>
      <c r="AG2820" s="3"/>
      <c r="AH2820" s="3"/>
    </row>
    <row r="2821" spans="1:34" ht="14.25" customHeight="1" x14ac:dyDescent="0.25">
      <c r="A2821" s="3"/>
      <c r="B2821" s="3"/>
      <c r="C2821" s="3"/>
      <c r="D2821" s="3"/>
      <c r="E2821" s="3"/>
      <c r="F2821" s="3"/>
      <c r="G2821" s="14"/>
      <c r="H2821" s="11"/>
      <c r="I2821" s="12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14"/>
      <c r="X2821" s="3"/>
      <c r="Y2821" s="14"/>
      <c r="Z2821" s="3"/>
      <c r="AA2821" s="3"/>
      <c r="AB2821" s="3"/>
      <c r="AC2821" s="3"/>
      <c r="AD2821" s="3"/>
      <c r="AE2821" s="3"/>
      <c r="AF2821" s="3"/>
      <c r="AG2821" s="3"/>
      <c r="AH2821" s="3"/>
    </row>
    <row r="2822" spans="1:34" ht="14.25" customHeight="1" x14ac:dyDescent="0.25">
      <c r="A2822" s="3"/>
      <c r="B2822" s="3"/>
      <c r="C2822" s="3"/>
      <c r="D2822" s="3"/>
      <c r="E2822" s="3"/>
      <c r="F2822" s="3"/>
      <c r="G2822" s="14"/>
      <c r="H2822" s="11"/>
      <c r="I2822" s="12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14"/>
      <c r="X2822" s="3"/>
      <c r="Y2822" s="14"/>
      <c r="Z2822" s="3"/>
      <c r="AA2822" s="3"/>
      <c r="AB2822" s="3"/>
      <c r="AC2822" s="3"/>
      <c r="AD2822" s="3"/>
      <c r="AE2822" s="3"/>
      <c r="AF2822" s="3"/>
      <c r="AG2822" s="3"/>
      <c r="AH2822" s="3"/>
    </row>
    <row r="2823" spans="1:34" ht="14.25" customHeight="1" x14ac:dyDescent="0.25">
      <c r="A2823" s="3"/>
      <c r="B2823" s="3"/>
      <c r="C2823" s="3"/>
      <c r="D2823" s="3"/>
      <c r="E2823" s="3"/>
      <c r="F2823" s="3"/>
      <c r="G2823" s="14"/>
      <c r="H2823" s="11"/>
      <c r="I2823" s="12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14"/>
      <c r="X2823" s="3"/>
      <c r="Y2823" s="14"/>
      <c r="Z2823" s="3"/>
      <c r="AA2823" s="3"/>
      <c r="AB2823" s="3"/>
      <c r="AC2823" s="3"/>
      <c r="AD2823" s="3"/>
      <c r="AE2823" s="3"/>
      <c r="AF2823" s="3"/>
      <c r="AG2823" s="3"/>
      <c r="AH2823" s="3"/>
    </row>
    <row r="2824" spans="1:34" ht="14.25" customHeight="1" x14ac:dyDescent="0.25">
      <c r="A2824" s="3"/>
      <c r="B2824" s="3"/>
      <c r="C2824" s="3"/>
      <c r="D2824" s="3"/>
      <c r="E2824" s="3"/>
      <c r="F2824" s="3"/>
      <c r="G2824" s="14"/>
      <c r="H2824" s="11"/>
      <c r="I2824" s="12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14"/>
      <c r="X2824" s="3"/>
      <c r="Y2824" s="14"/>
      <c r="Z2824" s="3"/>
      <c r="AA2824" s="3"/>
      <c r="AB2824" s="3"/>
      <c r="AC2824" s="3"/>
      <c r="AD2824" s="3"/>
      <c r="AE2824" s="3"/>
      <c r="AF2824" s="3"/>
      <c r="AG2824" s="3"/>
      <c r="AH2824" s="3"/>
    </row>
    <row r="2825" spans="1:34" ht="14.25" customHeight="1" x14ac:dyDescent="0.25">
      <c r="A2825" s="3"/>
      <c r="B2825" s="3"/>
      <c r="C2825" s="3"/>
      <c r="D2825" s="3"/>
      <c r="E2825" s="3"/>
      <c r="F2825" s="3"/>
      <c r="G2825" s="14"/>
      <c r="H2825" s="11"/>
      <c r="I2825" s="12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14"/>
      <c r="X2825" s="3"/>
      <c r="Y2825" s="14"/>
      <c r="Z2825" s="3"/>
      <c r="AA2825" s="3"/>
      <c r="AB2825" s="3"/>
      <c r="AC2825" s="3"/>
      <c r="AD2825" s="3"/>
      <c r="AE2825" s="3"/>
      <c r="AF2825" s="3"/>
      <c r="AG2825" s="3"/>
      <c r="AH2825" s="3"/>
    </row>
    <row r="2826" spans="1:34" ht="14.25" customHeight="1" x14ac:dyDescent="0.25">
      <c r="A2826" s="3"/>
      <c r="B2826" s="3"/>
      <c r="C2826" s="3"/>
      <c r="D2826" s="3"/>
      <c r="E2826" s="3"/>
      <c r="F2826" s="3"/>
      <c r="G2826" s="14"/>
      <c r="H2826" s="11"/>
      <c r="I2826" s="12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14"/>
      <c r="X2826" s="3"/>
      <c r="Y2826" s="14"/>
      <c r="Z2826" s="3"/>
      <c r="AA2826" s="3"/>
      <c r="AB2826" s="3"/>
      <c r="AC2826" s="3"/>
      <c r="AD2826" s="3"/>
      <c r="AE2826" s="3"/>
      <c r="AF2826" s="3"/>
      <c r="AG2826" s="3"/>
      <c r="AH2826" s="3"/>
    </row>
    <row r="2827" spans="1:34" ht="14.25" customHeight="1" x14ac:dyDescent="0.25">
      <c r="A2827" s="3"/>
      <c r="B2827" s="3"/>
      <c r="C2827" s="3"/>
      <c r="D2827" s="3"/>
      <c r="E2827" s="3"/>
      <c r="F2827" s="3"/>
      <c r="G2827" s="14"/>
      <c r="H2827" s="11"/>
      <c r="I2827" s="12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14"/>
      <c r="X2827" s="3"/>
      <c r="Y2827" s="14"/>
      <c r="Z2827" s="3"/>
      <c r="AA2827" s="3"/>
      <c r="AB2827" s="3"/>
      <c r="AC2827" s="3"/>
      <c r="AD2827" s="3"/>
      <c r="AE2827" s="3"/>
      <c r="AF2827" s="3"/>
      <c r="AG2827" s="3"/>
      <c r="AH2827" s="3"/>
    </row>
    <row r="2828" spans="1:34" ht="14.25" customHeight="1" x14ac:dyDescent="0.25">
      <c r="A2828" s="3"/>
      <c r="B2828" s="3"/>
      <c r="C2828" s="3"/>
      <c r="D2828" s="3"/>
      <c r="E2828" s="3"/>
      <c r="F2828" s="3"/>
      <c r="G2828" s="3"/>
      <c r="H2828" s="11"/>
      <c r="I2828" s="12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14"/>
      <c r="X2828" s="3"/>
      <c r="Y2828" s="14"/>
      <c r="Z2828" s="3"/>
      <c r="AA2828" s="3"/>
      <c r="AB2828" s="3"/>
      <c r="AC2828" s="3"/>
      <c r="AD2828" s="3"/>
      <c r="AE2828" s="3"/>
      <c r="AF2828" s="3"/>
      <c r="AG2828" s="3"/>
      <c r="AH2828" s="3"/>
    </row>
    <row r="2829" spans="1:34" ht="14.25" customHeight="1" x14ac:dyDescent="0.25">
      <c r="A2829" s="3"/>
      <c r="B2829" s="3"/>
      <c r="C2829" s="3"/>
      <c r="D2829" s="3"/>
      <c r="E2829" s="3"/>
      <c r="F2829" s="3"/>
      <c r="G2829" s="14"/>
      <c r="H2829" s="11"/>
      <c r="I2829" s="12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14"/>
      <c r="X2829" s="3"/>
      <c r="Y2829" s="14"/>
      <c r="Z2829" s="3"/>
      <c r="AA2829" s="3"/>
      <c r="AB2829" s="3"/>
      <c r="AC2829" s="3"/>
      <c r="AD2829" s="3"/>
      <c r="AE2829" s="3"/>
      <c r="AF2829" s="3"/>
      <c r="AG2829" s="3"/>
      <c r="AH2829" s="3"/>
    </row>
    <row r="2830" spans="1:34" ht="14.25" customHeight="1" x14ac:dyDescent="0.25">
      <c r="A2830" s="3"/>
      <c r="B2830" s="3"/>
      <c r="C2830" s="3"/>
      <c r="D2830" s="3"/>
      <c r="E2830" s="3"/>
      <c r="F2830" s="3"/>
      <c r="G2830" s="14"/>
      <c r="H2830" s="11"/>
      <c r="I2830" s="12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14"/>
      <c r="X2830" s="3"/>
      <c r="Y2830" s="14"/>
      <c r="Z2830" s="3"/>
      <c r="AA2830" s="3"/>
      <c r="AB2830" s="3"/>
      <c r="AC2830" s="3"/>
      <c r="AD2830" s="3"/>
      <c r="AE2830" s="3"/>
      <c r="AF2830" s="3"/>
      <c r="AG2830" s="3"/>
      <c r="AH2830" s="3"/>
    </row>
    <row r="2831" spans="1:34" ht="14.25" customHeight="1" x14ac:dyDescent="0.25">
      <c r="A2831" s="3"/>
      <c r="B2831" s="3"/>
      <c r="C2831" s="3"/>
      <c r="D2831" s="3"/>
      <c r="E2831" s="3"/>
      <c r="F2831" s="3"/>
      <c r="G2831" s="14"/>
      <c r="H2831" s="11"/>
      <c r="I2831" s="12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14"/>
      <c r="X2831" s="3"/>
      <c r="Y2831" s="14"/>
      <c r="Z2831" s="3"/>
      <c r="AA2831" s="3"/>
      <c r="AB2831" s="3"/>
      <c r="AC2831" s="3"/>
      <c r="AD2831" s="3"/>
      <c r="AE2831" s="3"/>
      <c r="AF2831" s="3"/>
      <c r="AG2831" s="3"/>
      <c r="AH2831" s="3"/>
    </row>
    <row r="2832" spans="1:34" ht="14.25" customHeight="1" x14ac:dyDescent="0.25">
      <c r="A2832" s="3"/>
      <c r="B2832" s="3"/>
      <c r="C2832" s="3"/>
      <c r="D2832" s="3"/>
      <c r="E2832" s="3"/>
      <c r="F2832" s="3"/>
      <c r="G2832" s="14"/>
      <c r="H2832" s="11"/>
      <c r="I2832" s="12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14"/>
      <c r="X2832" s="3"/>
      <c r="Y2832" s="14"/>
      <c r="Z2832" s="3"/>
      <c r="AA2832" s="3"/>
      <c r="AB2832" s="3"/>
      <c r="AC2832" s="3"/>
      <c r="AD2832" s="3"/>
      <c r="AE2832" s="3"/>
      <c r="AF2832" s="3"/>
      <c r="AG2832" s="3"/>
      <c r="AH2832" s="3"/>
    </row>
    <row r="2833" spans="1:34" ht="14.25" customHeight="1" x14ac:dyDescent="0.25">
      <c r="A2833" s="3"/>
      <c r="B2833" s="3"/>
      <c r="C2833" s="3"/>
      <c r="D2833" s="3"/>
      <c r="E2833" s="3"/>
      <c r="F2833" s="3"/>
      <c r="G2833" s="14"/>
      <c r="H2833" s="11"/>
      <c r="I2833" s="12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14"/>
      <c r="X2833" s="3"/>
      <c r="Y2833" s="14"/>
      <c r="Z2833" s="3"/>
      <c r="AA2833" s="3"/>
      <c r="AB2833" s="3"/>
      <c r="AC2833" s="3"/>
      <c r="AD2833" s="3"/>
      <c r="AE2833" s="3"/>
      <c r="AF2833" s="3"/>
      <c r="AG2833" s="3"/>
      <c r="AH2833" s="3"/>
    </row>
    <row r="2834" spans="1:34" ht="14.25" customHeight="1" x14ac:dyDescent="0.25">
      <c r="A2834" s="3"/>
      <c r="B2834" s="3"/>
      <c r="C2834" s="3"/>
      <c r="D2834" s="3"/>
      <c r="E2834" s="3"/>
      <c r="F2834" s="3"/>
      <c r="G2834" s="3"/>
      <c r="H2834" s="11"/>
      <c r="I2834" s="12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14"/>
      <c r="X2834" s="3"/>
      <c r="Y2834" s="14"/>
      <c r="Z2834" s="3"/>
      <c r="AA2834" s="3"/>
      <c r="AB2834" s="3"/>
      <c r="AC2834" s="3"/>
      <c r="AD2834" s="3"/>
      <c r="AE2834" s="3"/>
      <c r="AF2834" s="3"/>
      <c r="AG2834" s="3"/>
      <c r="AH2834" s="3"/>
    </row>
    <row r="2835" spans="1:34" ht="14.25" customHeight="1" x14ac:dyDescent="0.25">
      <c r="A2835" s="3"/>
      <c r="B2835" s="3"/>
      <c r="C2835" s="3"/>
      <c r="D2835" s="3"/>
      <c r="E2835" s="3"/>
      <c r="F2835" s="3"/>
      <c r="G2835" s="3"/>
      <c r="H2835" s="11"/>
      <c r="I2835" s="12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14"/>
      <c r="X2835" s="3"/>
      <c r="Y2835" s="14"/>
      <c r="Z2835" s="3"/>
      <c r="AA2835" s="3"/>
      <c r="AB2835" s="3"/>
      <c r="AC2835" s="3"/>
      <c r="AD2835" s="3"/>
      <c r="AE2835" s="3"/>
      <c r="AF2835" s="3"/>
      <c r="AG2835" s="3"/>
      <c r="AH2835" s="3"/>
    </row>
    <row r="2836" spans="1:34" ht="14.25" customHeight="1" x14ac:dyDescent="0.25">
      <c r="A2836" s="3"/>
      <c r="B2836" s="3"/>
      <c r="C2836" s="3"/>
      <c r="D2836" s="3"/>
      <c r="E2836" s="3"/>
      <c r="F2836" s="3"/>
      <c r="G2836" s="14"/>
      <c r="H2836" s="11"/>
      <c r="I2836" s="12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14"/>
      <c r="X2836" s="3"/>
      <c r="Y2836" s="14"/>
      <c r="Z2836" s="3"/>
      <c r="AA2836" s="3"/>
      <c r="AB2836" s="3"/>
      <c r="AC2836" s="3"/>
      <c r="AD2836" s="3"/>
      <c r="AE2836" s="3"/>
      <c r="AF2836" s="3"/>
      <c r="AG2836" s="3"/>
      <c r="AH2836" s="3"/>
    </row>
    <row r="2837" spans="1:34" ht="14.25" customHeight="1" x14ac:dyDescent="0.25">
      <c r="A2837" s="3"/>
      <c r="B2837" s="3"/>
      <c r="C2837" s="3"/>
      <c r="D2837" s="3"/>
      <c r="E2837" s="3"/>
      <c r="F2837" s="3"/>
      <c r="G2837" s="14"/>
      <c r="H2837" s="11"/>
      <c r="I2837" s="12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14"/>
      <c r="X2837" s="3"/>
      <c r="Y2837" s="14"/>
      <c r="Z2837" s="3"/>
      <c r="AA2837" s="3"/>
      <c r="AB2837" s="3"/>
      <c r="AC2837" s="3"/>
      <c r="AD2837" s="3"/>
      <c r="AE2837" s="3"/>
      <c r="AF2837" s="3"/>
      <c r="AG2837" s="3"/>
      <c r="AH2837" s="3"/>
    </row>
    <row r="2838" spans="1:34" ht="14.25" customHeight="1" x14ac:dyDescent="0.25">
      <c r="A2838" s="3"/>
      <c r="B2838" s="3"/>
      <c r="C2838" s="3"/>
      <c r="D2838" s="3"/>
      <c r="E2838" s="3"/>
      <c r="F2838" s="3"/>
      <c r="G2838" s="14"/>
      <c r="H2838" s="11"/>
      <c r="I2838" s="12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14"/>
      <c r="X2838" s="3"/>
      <c r="Y2838" s="14"/>
      <c r="Z2838" s="3"/>
      <c r="AA2838" s="3"/>
      <c r="AB2838" s="3"/>
      <c r="AC2838" s="3"/>
      <c r="AD2838" s="3"/>
      <c r="AE2838" s="3"/>
      <c r="AF2838" s="3"/>
      <c r="AG2838" s="3"/>
      <c r="AH2838" s="3"/>
    </row>
    <row r="2839" spans="1:34" ht="14.25" customHeight="1" x14ac:dyDescent="0.25">
      <c r="A2839" s="3"/>
      <c r="B2839" s="3"/>
      <c r="C2839" s="3"/>
      <c r="D2839" s="3"/>
      <c r="E2839" s="3"/>
      <c r="F2839" s="3"/>
      <c r="G2839" s="3"/>
      <c r="H2839" s="11"/>
      <c r="I2839" s="12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14"/>
      <c r="X2839" s="3"/>
      <c r="Y2839" s="14"/>
      <c r="Z2839" s="3"/>
      <c r="AA2839" s="3"/>
      <c r="AB2839" s="3"/>
      <c r="AC2839" s="3"/>
      <c r="AD2839" s="3"/>
      <c r="AE2839" s="3"/>
      <c r="AF2839" s="3"/>
      <c r="AG2839" s="3"/>
      <c r="AH2839" s="3"/>
    </row>
    <row r="2840" spans="1:34" ht="14.25" customHeight="1" x14ac:dyDescent="0.25">
      <c r="A2840" s="3"/>
      <c r="B2840" s="3"/>
      <c r="C2840" s="3"/>
      <c r="D2840" s="3"/>
      <c r="E2840" s="3"/>
      <c r="F2840" s="3"/>
      <c r="G2840" s="14"/>
      <c r="H2840" s="11"/>
      <c r="I2840" s="12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14"/>
      <c r="X2840" s="3"/>
      <c r="Y2840" s="14"/>
      <c r="Z2840" s="3"/>
      <c r="AA2840" s="3"/>
      <c r="AB2840" s="3"/>
      <c r="AC2840" s="3"/>
      <c r="AD2840" s="3"/>
      <c r="AE2840" s="3"/>
      <c r="AF2840" s="3"/>
      <c r="AG2840" s="3"/>
      <c r="AH2840" s="3"/>
    </row>
    <row r="2841" spans="1:34" ht="14.25" customHeight="1" x14ac:dyDescent="0.25">
      <c r="A2841" s="3"/>
      <c r="B2841" s="3"/>
      <c r="C2841" s="3"/>
      <c r="D2841" s="3"/>
      <c r="E2841" s="3"/>
      <c r="F2841" s="3"/>
      <c r="G2841" s="14"/>
      <c r="H2841" s="11"/>
      <c r="I2841" s="12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14"/>
      <c r="X2841" s="3"/>
      <c r="Y2841" s="14"/>
      <c r="Z2841" s="3"/>
      <c r="AA2841" s="3"/>
      <c r="AB2841" s="3"/>
      <c r="AC2841" s="3"/>
      <c r="AD2841" s="3"/>
      <c r="AE2841" s="3"/>
      <c r="AF2841" s="3"/>
      <c r="AG2841" s="3"/>
      <c r="AH2841" s="3"/>
    </row>
    <row r="2842" spans="1:34" ht="14.25" customHeight="1" x14ac:dyDescent="0.25">
      <c r="A2842" s="3"/>
      <c r="B2842" s="3"/>
      <c r="C2842" s="3"/>
      <c r="D2842" s="3"/>
      <c r="E2842" s="3"/>
      <c r="F2842" s="3"/>
      <c r="G2842" s="14"/>
      <c r="H2842" s="11"/>
      <c r="I2842" s="12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14"/>
      <c r="X2842" s="3"/>
      <c r="Y2842" s="14"/>
      <c r="Z2842" s="3"/>
      <c r="AA2842" s="3"/>
      <c r="AB2842" s="3"/>
      <c r="AC2842" s="3"/>
      <c r="AD2842" s="3"/>
      <c r="AE2842" s="3"/>
      <c r="AF2842" s="3"/>
      <c r="AG2842" s="3"/>
      <c r="AH2842" s="3"/>
    </row>
    <row r="2843" spans="1:34" ht="14.25" customHeight="1" x14ac:dyDescent="0.25">
      <c r="A2843" s="3"/>
      <c r="B2843" s="3"/>
      <c r="C2843" s="3"/>
      <c r="D2843" s="3"/>
      <c r="E2843" s="3"/>
      <c r="F2843" s="3"/>
      <c r="G2843" s="14"/>
      <c r="H2843" s="11"/>
      <c r="I2843" s="12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14"/>
      <c r="X2843" s="3"/>
      <c r="Y2843" s="14"/>
      <c r="Z2843" s="3"/>
      <c r="AA2843" s="3"/>
      <c r="AB2843" s="3"/>
      <c r="AC2843" s="3"/>
      <c r="AD2843" s="3"/>
      <c r="AE2843" s="3"/>
      <c r="AF2843" s="3"/>
      <c r="AG2843" s="3"/>
      <c r="AH2843" s="3"/>
    </row>
    <row r="2844" spans="1:34" ht="14.25" customHeight="1" x14ac:dyDescent="0.25">
      <c r="A2844" s="3"/>
      <c r="B2844" s="3"/>
      <c r="C2844" s="3"/>
      <c r="D2844" s="3"/>
      <c r="E2844" s="3"/>
      <c r="F2844" s="3"/>
      <c r="G2844" s="14"/>
      <c r="H2844" s="11"/>
      <c r="I2844" s="12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14"/>
      <c r="X2844" s="3"/>
      <c r="Y2844" s="14"/>
      <c r="Z2844" s="3"/>
      <c r="AA2844" s="3"/>
      <c r="AB2844" s="3"/>
      <c r="AC2844" s="3"/>
      <c r="AD2844" s="3"/>
      <c r="AE2844" s="3"/>
      <c r="AF2844" s="3"/>
      <c r="AG2844" s="3"/>
      <c r="AH2844" s="3"/>
    </row>
    <row r="2845" spans="1:34" ht="14.25" customHeight="1" x14ac:dyDescent="0.25">
      <c r="A2845" s="3"/>
      <c r="B2845" s="3"/>
      <c r="C2845" s="3"/>
      <c r="D2845" s="3"/>
      <c r="E2845" s="3"/>
      <c r="F2845" s="3"/>
      <c r="G2845" s="3"/>
      <c r="H2845" s="11"/>
      <c r="I2845" s="12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14"/>
      <c r="X2845" s="3"/>
      <c r="Y2845" s="14"/>
      <c r="Z2845" s="3"/>
      <c r="AA2845" s="3"/>
      <c r="AB2845" s="3"/>
      <c r="AC2845" s="3"/>
      <c r="AD2845" s="3"/>
      <c r="AE2845" s="3"/>
      <c r="AF2845" s="3"/>
      <c r="AG2845" s="3"/>
      <c r="AH2845" s="3"/>
    </row>
    <row r="2846" spans="1:34" ht="14.25" customHeight="1" x14ac:dyDescent="0.25">
      <c r="A2846" s="3"/>
      <c r="B2846" s="3"/>
      <c r="C2846" s="3"/>
      <c r="D2846" s="3"/>
      <c r="E2846" s="3"/>
      <c r="F2846" s="3"/>
      <c r="G2846" s="3"/>
      <c r="H2846" s="11"/>
      <c r="I2846" s="12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14"/>
      <c r="X2846" s="3"/>
      <c r="Y2846" s="14"/>
      <c r="Z2846" s="3"/>
      <c r="AA2846" s="3"/>
      <c r="AB2846" s="3"/>
      <c r="AC2846" s="3"/>
      <c r="AD2846" s="3"/>
      <c r="AE2846" s="3"/>
      <c r="AF2846" s="3"/>
      <c r="AG2846" s="3"/>
      <c r="AH2846" s="3"/>
    </row>
    <row r="2847" spans="1:34" ht="14.25" customHeight="1" x14ac:dyDescent="0.25">
      <c r="A2847" s="3"/>
      <c r="B2847" s="3"/>
      <c r="C2847" s="3"/>
      <c r="D2847" s="3"/>
      <c r="E2847" s="3"/>
      <c r="F2847" s="3"/>
      <c r="G2847" s="3"/>
      <c r="H2847" s="11"/>
      <c r="I2847" s="12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14"/>
      <c r="X2847" s="3"/>
      <c r="Y2847" s="14"/>
      <c r="Z2847" s="3"/>
      <c r="AA2847" s="3"/>
      <c r="AB2847" s="3"/>
      <c r="AC2847" s="3"/>
      <c r="AD2847" s="3"/>
      <c r="AE2847" s="3"/>
      <c r="AF2847" s="3"/>
      <c r="AG2847" s="3"/>
      <c r="AH2847" s="3"/>
    </row>
    <row r="2848" spans="1:34" ht="14.25" customHeight="1" x14ac:dyDescent="0.25">
      <c r="A2848" s="3"/>
      <c r="B2848" s="3"/>
      <c r="C2848" s="3"/>
      <c r="D2848" s="3"/>
      <c r="E2848" s="3"/>
      <c r="F2848" s="3"/>
      <c r="G2848" s="14"/>
      <c r="H2848" s="11"/>
      <c r="I2848" s="12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14"/>
      <c r="X2848" s="3"/>
      <c r="Y2848" s="14"/>
      <c r="Z2848" s="3"/>
      <c r="AA2848" s="3"/>
      <c r="AB2848" s="3"/>
      <c r="AC2848" s="3"/>
      <c r="AD2848" s="3"/>
      <c r="AE2848" s="3"/>
      <c r="AF2848" s="3"/>
      <c r="AG2848" s="3"/>
      <c r="AH2848" s="3"/>
    </row>
    <row r="2849" spans="1:34" ht="14.25" customHeight="1" x14ac:dyDescent="0.25">
      <c r="A2849" s="3"/>
      <c r="B2849" s="3"/>
      <c r="C2849" s="3"/>
      <c r="D2849" s="3"/>
      <c r="E2849" s="3"/>
      <c r="F2849" s="3"/>
      <c r="G2849" s="14"/>
      <c r="H2849" s="11"/>
      <c r="I2849" s="12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14"/>
      <c r="X2849" s="3"/>
      <c r="Y2849" s="14"/>
      <c r="Z2849" s="3"/>
      <c r="AA2849" s="3"/>
      <c r="AB2849" s="3"/>
      <c r="AC2849" s="3"/>
      <c r="AD2849" s="3"/>
      <c r="AE2849" s="3"/>
      <c r="AF2849" s="3"/>
      <c r="AG2849" s="3"/>
      <c r="AH2849" s="3"/>
    </row>
    <row r="2850" spans="1:34" ht="14.25" customHeight="1" x14ac:dyDescent="0.25">
      <c r="A2850" s="3"/>
      <c r="B2850" s="3"/>
      <c r="C2850" s="3"/>
      <c r="D2850" s="3"/>
      <c r="E2850" s="3"/>
      <c r="F2850" s="3"/>
      <c r="G2850" s="14"/>
      <c r="H2850" s="11"/>
      <c r="I2850" s="12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14"/>
      <c r="X2850" s="3"/>
      <c r="Y2850" s="14"/>
      <c r="Z2850" s="3"/>
      <c r="AA2850" s="3"/>
      <c r="AB2850" s="3"/>
      <c r="AC2850" s="3"/>
      <c r="AD2850" s="3"/>
      <c r="AE2850" s="3"/>
      <c r="AF2850" s="3"/>
      <c r="AG2850" s="3"/>
      <c r="AH2850" s="3"/>
    </row>
    <row r="2851" spans="1:34" ht="14.25" customHeight="1" x14ac:dyDescent="0.25">
      <c r="A2851" s="3"/>
      <c r="B2851" s="3"/>
      <c r="C2851" s="3"/>
      <c r="D2851" s="3"/>
      <c r="E2851" s="3"/>
      <c r="F2851" s="3"/>
      <c r="G2851" s="14"/>
      <c r="H2851" s="11"/>
      <c r="I2851" s="12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14"/>
      <c r="X2851" s="3"/>
      <c r="Y2851" s="14"/>
      <c r="Z2851" s="3"/>
      <c r="AA2851" s="3"/>
      <c r="AB2851" s="3"/>
      <c r="AC2851" s="3"/>
      <c r="AD2851" s="3"/>
      <c r="AE2851" s="3"/>
      <c r="AF2851" s="3"/>
      <c r="AG2851" s="3"/>
      <c r="AH2851" s="3"/>
    </row>
    <row r="2852" spans="1:34" ht="14.25" customHeight="1" x14ac:dyDescent="0.25">
      <c r="A2852" s="3"/>
      <c r="B2852" s="3"/>
      <c r="C2852" s="3"/>
      <c r="D2852" s="3"/>
      <c r="E2852" s="3"/>
      <c r="F2852" s="3"/>
      <c r="G2852" s="14"/>
      <c r="H2852" s="11"/>
      <c r="I2852" s="12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14"/>
      <c r="X2852" s="3"/>
      <c r="Y2852" s="14"/>
      <c r="Z2852" s="3"/>
      <c r="AA2852" s="3"/>
      <c r="AB2852" s="3"/>
      <c r="AC2852" s="3"/>
      <c r="AD2852" s="3"/>
      <c r="AE2852" s="3"/>
      <c r="AF2852" s="3"/>
      <c r="AG2852" s="3"/>
      <c r="AH2852" s="3"/>
    </row>
    <row r="2853" spans="1:34" ht="14.25" customHeight="1" x14ac:dyDescent="0.25">
      <c r="A2853" s="3"/>
      <c r="B2853" s="3"/>
      <c r="C2853" s="3"/>
      <c r="D2853" s="3"/>
      <c r="E2853" s="3"/>
      <c r="F2853" s="3"/>
      <c r="G2853" s="14"/>
      <c r="H2853" s="11"/>
      <c r="I2853" s="12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14"/>
      <c r="X2853" s="3"/>
      <c r="Y2853" s="14"/>
      <c r="Z2853" s="3"/>
      <c r="AA2853" s="3"/>
      <c r="AB2853" s="3"/>
      <c r="AC2853" s="3"/>
      <c r="AD2853" s="3"/>
      <c r="AE2853" s="3"/>
      <c r="AF2853" s="3"/>
      <c r="AG2853" s="3"/>
      <c r="AH2853" s="3"/>
    </row>
    <row r="2854" spans="1:34" ht="14.25" customHeight="1" x14ac:dyDescent="0.25">
      <c r="A2854" s="3"/>
      <c r="B2854" s="3"/>
      <c r="C2854" s="3"/>
      <c r="D2854" s="3"/>
      <c r="E2854" s="3"/>
      <c r="F2854" s="3"/>
      <c r="G2854" s="14"/>
      <c r="H2854" s="11"/>
      <c r="I2854" s="12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14"/>
      <c r="X2854" s="3"/>
      <c r="Y2854" s="14"/>
      <c r="Z2854" s="3"/>
      <c r="AA2854" s="3"/>
      <c r="AB2854" s="3"/>
      <c r="AC2854" s="3"/>
      <c r="AD2854" s="3"/>
      <c r="AE2854" s="3"/>
      <c r="AF2854" s="3"/>
      <c r="AG2854" s="3"/>
      <c r="AH2854" s="3"/>
    </row>
    <row r="2855" spans="1:34" ht="14.25" customHeight="1" x14ac:dyDescent="0.25">
      <c r="A2855" s="3"/>
      <c r="B2855" s="3"/>
      <c r="C2855" s="3"/>
      <c r="D2855" s="3"/>
      <c r="E2855" s="3"/>
      <c r="F2855" s="3"/>
      <c r="G2855" s="14"/>
      <c r="H2855" s="11"/>
      <c r="I2855" s="12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14"/>
      <c r="X2855" s="3"/>
      <c r="Y2855" s="14"/>
      <c r="Z2855" s="3"/>
      <c r="AA2855" s="3"/>
      <c r="AB2855" s="3"/>
      <c r="AC2855" s="3"/>
      <c r="AD2855" s="3"/>
      <c r="AE2855" s="3"/>
      <c r="AF2855" s="3"/>
      <c r="AG2855" s="3"/>
      <c r="AH2855" s="3"/>
    </row>
    <row r="2856" spans="1:34" ht="14.25" customHeight="1" x14ac:dyDescent="0.25">
      <c r="A2856" s="3"/>
      <c r="B2856" s="3"/>
      <c r="C2856" s="3"/>
      <c r="D2856" s="3"/>
      <c r="E2856" s="3"/>
      <c r="F2856" s="3"/>
      <c r="G2856" s="14"/>
      <c r="H2856" s="11"/>
      <c r="I2856" s="12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14"/>
      <c r="X2856" s="3"/>
      <c r="Y2856" s="14"/>
      <c r="Z2856" s="3"/>
      <c r="AA2856" s="3"/>
      <c r="AB2856" s="3"/>
      <c r="AC2856" s="3"/>
      <c r="AD2856" s="3"/>
      <c r="AE2856" s="3"/>
      <c r="AF2856" s="3"/>
      <c r="AG2856" s="3"/>
      <c r="AH2856" s="3"/>
    </row>
    <row r="2857" spans="1:34" ht="14.25" customHeight="1" x14ac:dyDescent="0.25">
      <c r="A2857" s="3"/>
      <c r="B2857" s="3"/>
      <c r="C2857" s="3"/>
      <c r="D2857" s="3"/>
      <c r="E2857" s="3"/>
      <c r="F2857" s="3"/>
      <c r="G2857" s="14"/>
      <c r="H2857" s="11"/>
      <c r="I2857" s="12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14"/>
      <c r="X2857" s="3"/>
      <c r="Y2857" s="14"/>
      <c r="Z2857" s="3"/>
      <c r="AA2857" s="3"/>
      <c r="AB2857" s="3"/>
      <c r="AC2857" s="3"/>
      <c r="AD2857" s="3"/>
      <c r="AE2857" s="3"/>
      <c r="AF2857" s="3"/>
      <c r="AG2857" s="3"/>
      <c r="AH2857" s="3"/>
    </row>
    <row r="2858" spans="1:34" ht="14.25" customHeight="1" x14ac:dyDescent="0.25">
      <c r="A2858" s="3"/>
      <c r="B2858" s="3"/>
      <c r="C2858" s="3"/>
      <c r="D2858" s="3"/>
      <c r="E2858" s="3"/>
      <c r="F2858" s="3"/>
      <c r="G2858" s="14"/>
      <c r="H2858" s="11"/>
      <c r="I2858" s="12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14"/>
      <c r="X2858" s="3"/>
      <c r="Y2858" s="14"/>
      <c r="Z2858" s="3"/>
      <c r="AA2858" s="3"/>
      <c r="AB2858" s="3"/>
      <c r="AC2858" s="3"/>
      <c r="AD2858" s="3"/>
      <c r="AE2858" s="3"/>
      <c r="AF2858" s="3"/>
      <c r="AG2858" s="3"/>
      <c r="AH2858" s="3"/>
    </row>
    <row r="2859" spans="1:34" ht="14.25" customHeight="1" x14ac:dyDescent="0.25">
      <c r="A2859" s="3"/>
      <c r="B2859" s="3"/>
      <c r="C2859" s="3"/>
      <c r="D2859" s="3"/>
      <c r="E2859" s="3"/>
      <c r="F2859" s="3"/>
      <c r="G2859" s="3"/>
      <c r="H2859" s="11"/>
      <c r="I2859" s="12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14"/>
      <c r="X2859" s="3"/>
      <c r="Y2859" s="14"/>
      <c r="Z2859" s="3"/>
      <c r="AA2859" s="3"/>
      <c r="AB2859" s="3"/>
      <c r="AC2859" s="3"/>
      <c r="AD2859" s="3"/>
      <c r="AE2859" s="3"/>
      <c r="AF2859" s="3"/>
      <c r="AG2859" s="3"/>
      <c r="AH2859" s="3"/>
    </row>
    <row r="2860" spans="1:34" ht="14.25" customHeight="1" x14ac:dyDescent="0.25">
      <c r="A2860" s="3"/>
      <c r="B2860" s="3"/>
      <c r="C2860" s="3"/>
      <c r="D2860" s="3"/>
      <c r="E2860" s="3"/>
      <c r="F2860" s="3"/>
      <c r="G2860" s="3"/>
      <c r="H2860" s="11"/>
      <c r="I2860" s="12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14"/>
      <c r="X2860" s="3"/>
      <c r="Y2860" s="14"/>
      <c r="Z2860" s="3"/>
      <c r="AA2860" s="3"/>
      <c r="AB2860" s="3"/>
      <c r="AC2860" s="3"/>
      <c r="AD2860" s="3"/>
      <c r="AE2860" s="3"/>
      <c r="AF2860" s="3"/>
      <c r="AG2860" s="3"/>
      <c r="AH2860" s="3"/>
    </row>
    <row r="2861" spans="1:34" ht="14.25" customHeight="1" x14ac:dyDescent="0.25">
      <c r="A2861" s="3"/>
      <c r="B2861" s="3"/>
      <c r="C2861" s="3"/>
      <c r="D2861" s="3"/>
      <c r="E2861" s="3"/>
      <c r="F2861" s="3"/>
      <c r="G2861" s="14"/>
      <c r="H2861" s="11"/>
      <c r="I2861" s="12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14"/>
      <c r="X2861" s="3"/>
      <c r="Y2861" s="14"/>
      <c r="Z2861" s="3"/>
      <c r="AA2861" s="3"/>
      <c r="AB2861" s="3"/>
      <c r="AC2861" s="3"/>
      <c r="AD2861" s="3"/>
      <c r="AE2861" s="3"/>
      <c r="AF2861" s="3"/>
      <c r="AG2861" s="3"/>
      <c r="AH2861" s="3"/>
    </row>
    <row r="2862" spans="1:34" ht="14.25" customHeight="1" x14ac:dyDescent="0.25">
      <c r="A2862" s="3"/>
      <c r="B2862" s="3"/>
      <c r="C2862" s="3"/>
      <c r="D2862" s="3"/>
      <c r="E2862" s="3"/>
      <c r="F2862" s="3"/>
      <c r="G2862" s="14"/>
      <c r="H2862" s="11"/>
      <c r="I2862" s="12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14"/>
      <c r="X2862" s="3"/>
      <c r="Y2862" s="14"/>
      <c r="Z2862" s="3"/>
      <c r="AA2862" s="3"/>
      <c r="AB2862" s="3"/>
      <c r="AC2862" s="3"/>
      <c r="AD2862" s="3"/>
      <c r="AE2862" s="3"/>
      <c r="AF2862" s="3"/>
      <c r="AG2862" s="3"/>
      <c r="AH2862" s="3"/>
    </row>
    <row r="2863" spans="1:34" ht="14.25" customHeight="1" x14ac:dyDescent="0.25">
      <c r="A2863" s="3"/>
      <c r="B2863" s="3"/>
      <c r="C2863" s="3"/>
      <c r="D2863" s="3"/>
      <c r="E2863" s="3"/>
      <c r="F2863" s="3"/>
      <c r="G2863" s="3"/>
      <c r="H2863" s="11"/>
      <c r="I2863" s="12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14"/>
      <c r="X2863" s="3"/>
      <c r="Y2863" s="14"/>
      <c r="Z2863" s="3"/>
      <c r="AA2863" s="3"/>
      <c r="AB2863" s="3"/>
      <c r="AC2863" s="3"/>
      <c r="AD2863" s="3"/>
      <c r="AE2863" s="3"/>
      <c r="AF2863" s="3"/>
      <c r="AG2863" s="3"/>
      <c r="AH2863" s="3"/>
    </row>
    <row r="2864" spans="1:34" ht="14.25" customHeight="1" x14ac:dyDescent="0.25">
      <c r="A2864" s="3"/>
      <c r="B2864" s="3"/>
      <c r="C2864" s="3"/>
      <c r="D2864" s="3"/>
      <c r="E2864" s="3"/>
      <c r="F2864" s="3"/>
      <c r="G2864" s="14"/>
      <c r="H2864" s="11"/>
      <c r="I2864" s="12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14"/>
      <c r="X2864" s="3"/>
      <c r="Y2864" s="14"/>
      <c r="Z2864" s="3"/>
      <c r="AA2864" s="3"/>
      <c r="AB2864" s="3"/>
      <c r="AC2864" s="3"/>
      <c r="AD2864" s="3"/>
      <c r="AE2864" s="3"/>
      <c r="AF2864" s="3"/>
      <c r="AG2864" s="3"/>
      <c r="AH2864" s="3"/>
    </row>
    <row r="2865" spans="1:34" ht="14.25" customHeight="1" x14ac:dyDescent="0.25">
      <c r="A2865" s="3"/>
      <c r="B2865" s="3"/>
      <c r="C2865" s="3"/>
      <c r="D2865" s="3"/>
      <c r="E2865" s="3"/>
      <c r="F2865" s="3"/>
      <c r="G2865" s="14"/>
      <c r="H2865" s="11"/>
      <c r="I2865" s="12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14"/>
      <c r="X2865" s="3"/>
      <c r="Y2865" s="14"/>
      <c r="Z2865" s="3"/>
      <c r="AA2865" s="3"/>
      <c r="AB2865" s="3"/>
      <c r="AC2865" s="3"/>
      <c r="AD2865" s="3"/>
      <c r="AE2865" s="3"/>
      <c r="AF2865" s="3"/>
      <c r="AG2865" s="3"/>
      <c r="AH2865" s="3"/>
    </row>
    <row r="2866" spans="1:34" ht="14.25" customHeight="1" x14ac:dyDescent="0.25">
      <c r="A2866" s="3"/>
      <c r="B2866" s="3"/>
      <c r="C2866" s="3"/>
      <c r="D2866" s="3"/>
      <c r="E2866" s="3"/>
      <c r="F2866" s="3"/>
      <c r="G2866" s="14"/>
      <c r="H2866" s="11"/>
      <c r="I2866" s="12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14"/>
      <c r="X2866" s="3"/>
      <c r="Y2866" s="14"/>
      <c r="Z2866" s="3"/>
      <c r="AA2866" s="3"/>
      <c r="AB2866" s="3"/>
      <c r="AC2866" s="3"/>
      <c r="AD2866" s="3"/>
      <c r="AE2866" s="3"/>
      <c r="AF2866" s="3"/>
      <c r="AG2866" s="3"/>
      <c r="AH2866" s="3"/>
    </row>
    <row r="2867" spans="1:34" ht="14.25" customHeight="1" x14ac:dyDescent="0.25">
      <c r="A2867" s="3"/>
      <c r="B2867" s="3"/>
      <c r="C2867" s="3"/>
      <c r="D2867" s="3"/>
      <c r="E2867" s="3"/>
      <c r="F2867" s="3"/>
      <c r="G2867" s="14"/>
      <c r="H2867" s="11"/>
      <c r="I2867" s="12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14"/>
      <c r="X2867" s="3"/>
      <c r="Y2867" s="14"/>
      <c r="Z2867" s="3"/>
      <c r="AA2867" s="3"/>
      <c r="AB2867" s="3"/>
      <c r="AC2867" s="3"/>
      <c r="AD2867" s="3"/>
      <c r="AE2867" s="3"/>
      <c r="AF2867" s="3"/>
      <c r="AG2867" s="3"/>
      <c r="AH2867" s="3"/>
    </row>
    <row r="2868" spans="1:34" ht="14.25" customHeight="1" x14ac:dyDescent="0.25">
      <c r="A2868" s="3"/>
      <c r="B2868" s="3"/>
      <c r="C2868" s="3"/>
      <c r="D2868" s="3"/>
      <c r="E2868" s="3"/>
      <c r="F2868" s="3"/>
      <c r="G2868" s="14"/>
      <c r="H2868" s="11"/>
      <c r="I2868" s="12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14"/>
      <c r="X2868" s="3"/>
      <c r="Y2868" s="14"/>
      <c r="Z2868" s="3"/>
      <c r="AA2868" s="3"/>
      <c r="AB2868" s="3"/>
      <c r="AC2868" s="3"/>
      <c r="AD2868" s="3"/>
      <c r="AE2868" s="3"/>
      <c r="AF2868" s="3"/>
      <c r="AG2868" s="3"/>
      <c r="AH2868" s="3"/>
    </row>
    <row r="2869" spans="1:34" ht="14.25" customHeight="1" x14ac:dyDescent="0.25">
      <c r="A2869" s="3"/>
      <c r="B2869" s="3"/>
      <c r="C2869" s="3"/>
      <c r="D2869" s="3"/>
      <c r="E2869" s="3"/>
      <c r="F2869" s="3"/>
      <c r="G2869" s="14"/>
      <c r="H2869" s="11"/>
      <c r="I2869" s="12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14"/>
      <c r="X2869" s="3"/>
      <c r="Y2869" s="14"/>
      <c r="Z2869" s="3"/>
      <c r="AA2869" s="3"/>
      <c r="AB2869" s="3"/>
      <c r="AC2869" s="3"/>
      <c r="AD2869" s="3"/>
      <c r="AE2869" s="3"/>
      <c r="AF2869" s="3"/>
      <c r="AG2869" s="3"/>
      <c r="AH2869" s="3"/>
    </row>
    <row r="2870" spans="1:34" ht="14.25" customHeight="1" x14ac:dyDescent="0.25">
      <c r="A2870" s="3"/>
      <c r="B2870" s="3"/>
      <c r="C2870" s="3"/>
      <c r="D2870" s="3"/>
      <c r="E2870" s="3"/>
      <c r="F2870" s="3"/>
      <c r="G2870" s="14"/>
      <c r="H2870" s="11"/>
      <c r="I2870" s="12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14"/>
      <c r="X2870" s="3"/>
      <c r="Y2870" s="14"/>
      <c r="Z2870" s="3"/>
      <c r="AA2870" s="3"/>
      <c r="AB2870" s="3"/>
      <c r="AC2870" s="3"/>
      <c r="AD2870" s="3"/>
      <c r="AE2870" s="3"/>
      <c r="AF2870" s="3"/>
      <c r="AG2870" s="3"/>
      <c r="AH2870" s="3"/>
    </row>
    <row r="2871" spans="1:34" ht="14.25" customHeight="1" x14ac:dyDescent="0.25">
      <c r="A2871" s="3"/>
      <c r="B2871" s="3"/>
      <c r="C2871" s="3"/>
      <c r="D2871" s="3"/>
      <c r="E2871" s="3"/>
      <c r="F2871" s="3"/>
      <c r="G2871" s="3"/>
      <c r="H2871" s="11"/>
      <c r="I2871" s="12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14"/>
      <c r="X2871" s="3"/>
      <c r="Y2871" s="14"/>
      <c r="Z2871" s="3"/>
      <c r="AA2871" s="3"/>
      <c r="AB2871" s="3"/>
      <c r="AC2871" s="3"/>
      <c r="AD2871" s="3"/>
      <c r="AE2871" s="3"/>
      <c r="AF2871" s="3"/>
      <c r="AG2871" s="3"/>
      <c r="AH2871" s="3"/>
    </row>
    <row r="2872" spans="1:34" ht="14.25" customHeight="1" x14ac:dyDescent="0.25">
      <c r="A2872" s="3"/>
      <c r="B2872" s="3"/>
      <c r="C2872" s="3"/>
      <c r="D2872" s="3"/>
      <c r="E2872" s="3"/>
      <c r="F2872" s="3"/>
      <c r="G2872" s="3"/>
      <c r="H2872" s="11"/>
      <c r="I2872" s="12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14"/>
      <c r="X2872" s="3"/>
      <c r="Y2872" s="14"/>
      <c r="Z2872" s="3"/>
      <c r="AA2872" s="3"/>
      <c r="AB2872" s="3"/>
      <c r="AC2872" s="3"/>
      <c r="AD2872" s="3"/>
      <c r="AE2872" s="3"/>
      <c r="AF2872" s="3"/>
      <c r="AG2872" s="3"/>
      <c r="AH2872" s="3"/>
    </row>
    <row r="2873" spans="1:34" ht="14.25" customHeight="1" x14ac:dyDescent="0.25">
      <c r="A2873" s="3"/>
      <c r="B2873" s="3"/>
      <c r="C2873" s="3"/>
      <c r="D2873" s="3"/>
      <c r="E2873" s="3"/>
      <c r="F2873" s="3"/>
      <c r="G2873" s="3"/>
      <c r="H2873" s="11"/>
      <c r="I2873" s="12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14"/>
      <c r="X2873" s="3"/>
      <c r="Y2873" s="14"/>
      <c r="Z2873" s="3"/>
      <c r="AA2873" s="3"/>
      <c r="AB2873" s="3"/>
      <c r="AC2873" s="3"/>
      <c r="AD2873" s="3"/>
      <c r="AE2873" s="3"/>
      <c r="AF2873" s="3"/>
      <c r="AG2873" s="3"/>
      <c r="AH2873" s="3"/>
    </row>
    <row r="2874" spans="1:34" ht="14.25" customHeight="1" x14ac:dyDescent="0.25">
      <c r="A2874" s="3"/>
      <c r="B2874" s="3"/>
      <c r="C2874" s="3"/>
      <c r="D2874" s="3"/>
      <c r="E2874" s="3"/>
      <c r="F2874" s="3"/>
      <c r="G2874" s="14"/>
      <c r="H2874" s="11"/>
      <c r="I2874" s="12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14"/>
      <c r="X2874" s="3"/>
      <c r="Y2874" s="14"/>
      <c r="Z2874" s="3"/>
      <c r="AA2874" s="3"/>
      <c r="AB2874" s="3"/>
      <c r="AC2874" s="3"/>
      <c r="AD2874" s="3"/>
      <c r="AE2874" s="3"/>
      <c r="AF2874" s="3"/>
      <c r="AG2874" s="3"/>
      <c r="AH2874" s="3"/>
    </row>
    <row r="2875" spans="1:34" ht="14.25" customHeight="1" x14ac:dyDescent="0.25">
      <c r="A2875" s="3"/>
      <c r="B2875" s="3"/>
      <c r="C2875" s="3"/>
      <c r="D2875" s="3"/>
      <c r="E2875" s="3"/>
      <c r="F2875" s="3"/>
      <c r="G2875" s="14"/>
      <c r="H2875" s="11"/>
      <c r="I2875" s="12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14"/>
      <c r="X2875" s="3"/>
      <c r="Y2875" s="14"/>
      <c r="Z2875" s="3"/>
      <c r="AA2875" s="3"/>
      <c r="AB2875" s="3"/>
      <c r="AC2875" s="3"/>
      <c r="AD2875" s="3"/>
      <c r="AE2875" s="3"/>
      <c r="AF2875" s="3"/>
      <c r="AG2875" s="3"/>
      <c r="AH2875" s="3"/>
    </row>
    <row r="2876" spans="1:34" ht="14.25" customHeight="1" x14ac:dyDescent="0.25">
      <c r="A2876" s="3"/>
      <c r="B2876" s="3"/>
      <c r="C2876" s="3"/>
      <c r="D2876" s="3"/>
      <c r="E2876" s="3"/>
      <c r="F2876" s="3"/>
      <c r="G2876" s="14"/>
      <c r="H2876" s="11"/>
      <c r="I2876" s="12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14"/>
      <c r="X2876" s="3"/>
      <c r="Y2876" s="14"/>
      <c r="Z2876" s="3"/>
      <c r="AA2876" s="3"/>
      <c r="AB2876" s="3"/>
      <c r="AC2876" s="3"/>
      <c r="AD2876" s="3"/>
      <c r="AE2876" s="3"/>
      <c r="AF2876" s="3"/>
      <c r="AG2876" s="3"/>
      <c r="AH2876" s="3"/>
    </row>
    <row r="2877" spans="1:34" ht="14.25" customHeight="1" x14ac:dyDescent="0.25">
      <c r="A2877" s="3"/>
      <c r="B2877" s="3"/>
      <c r="C2877" s="3"/>
      <c r="D2877" s="3"/>
      <c r="E2877" s="3"/>
      <c r="F2877" s="3"/>
      <c r="G2877" s="14"/>
      <c r="H2877" s="11"/>
      <c r="I2877" s="12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14"/>
      <c r="X2877" s="3"/>
      <c r="Y2877" s="14"/>
      <c r="Z2877" s="3"/>
      <c r="AA2877" s="3"/>
      <c r="AB2877" s="3"/>
      <c r="AC2877" s="3"/>
      <c r="AD2877" s="3"/>
      <c r="AE2877" s="3"/>
      <c r="AF2877" s="3"/>
      <c r="AG2877" s="3"/>
      <c r="AH2877" s="3"/>
    </row>
    <row r="2878" spans="1:34" ht="14.25" customHeight="1" x14ac:dyDescent="0.25">
      <c r="A2878" s="3"/>
      <c r="B2878" s="3"/>
      <c r="C2878" s="3"/>
      <c r="D2878" s="3"/>
      <c r="E2878" s="3"/>
      <c r="F2878" s="3"/>
      <c r="G2878" s="14"/>
      <c r="H2878" s="11"/>
      <c r="I2878" s="12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14"/>
      <c r="X2878" s="3"/>
      <c r="Y2878" s="14"/>
      <c r="Z2878" s="3"/>
      <c r="AA2878" s="3"/>
      <c r="AB2878" s="3"/>
      <c r="AC2878" s="3"/>
      <c r="AD2878" s="3"/>
      <c r="AE2878" s="3"/>
      <c r="AF2878" s="3"/>
      <c r="AG2878" s="3"/>
      <c r="AH2878" s="3"/>
    </row>
    <row r="2879" spans="1:34" ht="14.25" customHeight="1" x14ac:dyDescent="0.25">
      <c r="A2879" s="3"/>
      <c r="B2879" s="3"/>
      <c r="C2879" s="3"/>
      <c r="D2879" s="3"/>
      <c r="E2879" s="3"/>
      <c r="F2879" s="3"/>
      <c r="G2879" s="14"/>
      <c r="H2879" s="11"/>
      <c r="I2879" s="12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14"/>
      <c r="X2879" s="3"/>
      <c r="Y2879" s="14"/>
      <c r="Z2879" s="3"/>
      <c r="AA2879" s="3"/>
      <c r="AB2879" s="3"/>
      <c r="AC2879" s="3"/>
      <c r="AD2879" s="3"/>
      <c r="AE2879" s="3"/>
      <c r="AF2879" s="3"/>
      <c r="AG2879" s="3"/>
      <c r="AH2879" s="3"/>
    </row>
    <row r="2880" spans="1:34" ht="14.25" customHeight="1" x14ac:dyDescent="0.25">
      <c r="A2880" s="3"/>
      <c r="B2880" s="3"/>
      <c r="C2880" s="3"/>
      <c r="D2880" s="3"/>
      <c r="E2880" s="3"/>
      <c r="F2880" s="3"/>
      <c r="G2880" s="14"/>
      <c r="H2880" s="11"/>
      <c r="I2880" s="12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14"/>
      <c r="X2880" s="3"/>
      <c r="Y2880" s="14"/>
      <c r="Z2880" s="3"/>
      <c r="AA2880" s="3"/>
      <c r="AB2880" s="3"/>
      <c r="AC2880" s="3"/>
      <c r="AD2880" s="3"/>
      <c r="AE2880" s="3"/>
      <c r="AF2880" s="3"/>
      <c r="AG2880" s="3"/>
      <c r="AH2880" s="3"/>
    </row>
    <row r="2881" spans="1:34" ht="14.25" customHeight="1" x14ac:dyDescent="0.25">
      <c r="A2881" s="3"/>
      <c r="B2881" s="3"/>
      <c r="C2881" s="3"/>
      <c r="D2881" s="3"/>
      <c r="E2881" s="3"/>
      <c r="F2881" s="3"/>
      <c r="G2881" s="14"/>
      <c r="H2881" s="11"/>
      <c r="I2881" s="12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14"/>
      <c r="X2881" s="3"/>
      <c r="Y2881" s="14"/>
      <c r="Z2881" s="3"/>
      <c r="AA2881" s="3"/>
      <c r="AB2881" s="3"/>
      <c r="AC2881" s="3"/>
      <c r="AD2881" s="3"/>
      <c r="AE2881" s="3"/>
      <c r="AF2881" s="3"/>
      <c r="AG2881" s="3"/>
      <c r="AH2881" s="3"/>
    </row>
    <row r="2882" spans="1:34" ht="14.25" customHeight="1" x14ac:dyDescent="0.25">
      <c r="A2882" s="3"/>
      <c r="B2882" s="3"/>
      <c r="C2882" s="3"/>
      <c r="D2882" s="3"/>
      <c r="E2882" s="3"/>
      <c r="F2882" s="3"/>
      <c r="G2882" s="14"/>
      <c r="H2882" s="11"/>
      <c r="I2882" s="12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14"/>
      <c r="X2882" s="3"/>
      <c r="Y2882" s="14"/>
      <c r="Z2882" s="3"/>
      <c r="AA2882" s="3"/>
      <c r="AB2882" s="3"/>
      <c r="AC2882" s="3"/>
      <c r="AD2882" s="3"/>
      <c r="AE2882" s="3"/>
      <c r="AF2882" s="3"/>
      <c r="AG2882" s="3"/>
      <c r="AH2882" s="3"/>
    </row>
    <row r="2883" spans="1:34" ht="14.25" customHeight="1" x14ac:dyDescent="0.25">
      <c r="A2883" s="3"/>
      <c r="B2883" s="3"/>
      <c r="C2883" s="3"/>
      <c r="D2883" s="3"/>
      <c r="E2883" s="3"/>
      <c r="F2883" s="3"/>
      <c r="G2883" s="3"/>
      <c r="H2883" s="11"/>
      <c r="I2883" s="12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14"/>
      <c r="X2883" s="3"/>
      <c r="Y2883" s="14"/>
      <c r="Z2883" s="3"/>
      <c r="AA2883" s="3"/>
      <c r="AB2883" s="3"/>
      <c r="AC2883" s="3"/>
      <c r="AD2883" s="3"/>
      <c r="AE2883" s="3"/>
      <c r="AF2883" s="3"/>
      <c r="AG2883" s="3"/>
      <c r="AH2883" s="3"/>
    </row>
    <row r="2884" spans="1:34" ht="14.25" customHeight="1" x14ac:dyDescent="0.25">
      <c r="A2884" s="3"/>
      <c r="B2884" s="3"/>
      <c r="C2884" s="3"/>
      <c r="D2884" s="3"/>
      <c r="E2884" s="3"/>
      <c r="F2884" s="3"/>
      <c r="G2884" s="14"/>
      <c r="H2884" s="11"/>
      <c r="I2884" s="12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14"/>
      <c r="X2884" s="3"/>
      <c r="Y2884" s="14"/>
      <c r="Z2884" s="3"/>
      <c r="AA2884" s="3"/>
      <c r="AB2884" s="3"/>
      <c r="AC2884" s="3"/>
      <c r="AD2884" s="3"/>
      <c r="AE2884" s="3"/>
      <c r="AF2884" s="3"/>
      <c r="AG2884" s="3"/>
      <c r="AH2884" s="3"/>
    </row>
    <row r="2885" spans="1:34" ht="14.25" customHeight="1" x14ac:dyDescent="0.25">
      <c r="A2885" s="3"/>
      <c r="B2885" s="3"/>
      <c r="C2885" s="3"/>
      <c r="D2885" s="3"/>
      <c r="E2885" s="3"/>
      <c r="F2885" s="3"/>
      <c r="G2885" s="3"/>
      <c r="H2885" s="11"/>
      <c r="I2885" s="12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14"/>
      <c r="X2885" s="3"/>
      <c r="Y2885" s="14"/>
      <c r="Z2885" s="3"/>
      <c r="AA2885" s="3"/>
      <c r="AB2885" s="3"/>
      <c r="AC2885" s="3"/>
      <c r="AD2885" s="3"/>
      <c r="AE2885" s="3"/>
      <c r="AF2885" s="3"/>
      <c r="AG2885" s="3"/>
      <c r="AH2885" s="3"/>
    </row>
    <row r="2886" spans="1:34" ht="14.25" customHeight="1" x14ac:dyDescent="0.25">
      <c r="A2886" s="3"/>
      <c r="B2886" s="3"/>
      <c r="C2886" s="3"/>
      <c r="D2886" s="3"/>
      <c r="E2886" s="3"/>
      <c r="F2886" s="3"/>
      <c r="G2886" s="3"/>
      <c r="H2886" s="11"/>
      <c r="I2886" s="12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14"/>
      <c r="X2886" s="3"/>
      <c r="Y2886" s="14"/>
      <c r="Z2886" s="3"/>
      <c r="AA2886" s="3"/>
      <c r="AB2886" s="3"/>
      <c r="AC2886" s="3"/>
      <c r="AD2886" s="3"/>
      <c r="AE2886" s="3"/>
      <c r="AF2886" s="3"/>
      <c r="AG2886" s="3"/>
      <c r="AH2886" s="3"/>
    </row>
    <row r="2887" spans="1:34" ht="14.25" customHeight="1" x14ac:dyDescent="0.25">
      <c r="A2887" s="3"/>
      <c r="B2887" s="3"/>
      <c r="C2887" s="3"/>
      <c r="D2887" s="3"/>
      <c r="E2887" s="3"/>
      <c r="F2887" s="3"/>
      <c r="G2887" s="14"/>
      <c r="H2887" s="11"/>
      <c r="I2887" s="12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14"/>
      <c r="X2887" s="3"/>
      <c r="Y2887" s="14"/>
      <c r="Z2887" s="3"/>
      <c r="AA2887" s="3"/>
      <c r="AB2887" s="3"/>
      <c r="AC2887" s="3"/>
      <c r="AD2887" s="3"/>
      <c r="AE2887" s="3"/>
      <c r="AF2887" s="3"/>
      <c r="AG2887" s="3"/>
      <c r="AH2887" s="3"/>
    </row>
    <row r="2888" spans="1:34" ht="14.25" customHeight="1" x14ac:dyDescent="0.25">
      <c r="A2888" s="3"/>
      <c r="B2888" s="3"/>
      <c r="C2888" s="3"/>
      <c r="D2888" s="3"/>
      <c r="E2888" s="3"/>
      <c r="F2888" s="3"/>
      <c r="G2888" s="14"/>
      <c r="H2888" s="11"/>
      <c r="I2888" s="12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14"/>
      <c r="X2888" s="3"/>
      <c r="Y2888" s="14"/>
      <c r="Z2888" s="3"/>
      <c r="AA2888" s="3"/>
      <c r="AB2888" s="3"/>
      <c r="AC2888" s="3"/>
      <c r="AD2888" s="3"/>
      <c r="AE2888" s="3"/>
      <c r="AF2888" s="3"/>
      <c r="AG2888" s="3"/>
      <c r="AH2888" s="3"/>
    </row>
    <row r="2889" spans="1:34" ht="14.25" customHeight="1" x14ac:dyDescent="0.25">
      <c r="A2889" s="3"/>
      <c r="B2889" s="3"/>
      <c r="C2889" s="3"/>
      <c r="D2889" s="3"/>
      <c r="E2889" s="3"/>
      <c r="F2889" s="3"/>
      <c r="G2889" s="14"/>
      <c r="H2889" s="11"/>
      <c r="I2889" s="12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14"/>
      <c r="X2889" s="3"/>
      <c r="Y2889" s="14"/>
      <c r="Z2889" s="3"/>
      <c r="AA2889" s="3"/>
      <c r="AB2889" s="3"/>
      <c r="AC2889" s="3"/>
      <c r="AD2889" s="3"/>
      <c r="AE2889" s="3"/>
      <c r="AF2889" s="3"/>
      <c r="AG2889" s="3"/>
      <c r="AH2889" s="3"/>
    </row>
    <row r="2890" spans="1:34" ht="14.25" customHeight="1" x14ac:dyDescent="0.25">
      <c r="A2890" s="3"/>
      <c r="B2890" s="3"/>
      <c r="C2890" s="3"/>
      <c r="D2890" s="3"/>
      <c r="E2890" s="3"/>
      <c r="F2890" s="3"/>
      <c r="G2890" s="14"/>
      <c r="H2890" s="11"/>
      <c r="I2890" s="12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14"/>
      <c r="X2890" s="3"/>
      <c r="Y2890" s="14"/>
      <c r="Z2890" s="3"/>
      <c r="AA2890" s="3"/>
      <c r="AB2890" s="3"/>
      <c r="AC2890" s="3"/>
      <c r="AD2890" s="3"/>
      <c r="AE2890" s="3"/>
      <c r="AF2890" s="3"/>
      <c r="AG2890" s="3"/>
      <c r="AH2890" s="3"/>
    </row>
    <row r="2891" spans="1:34" ht="14.25" customHeight="1" x14ac:dyDescent="0.25">
      <c r="A2891" s="3"/>
      <c r="B2891" s="3"/>
      <c r="C2891" s="3"/>
      <c r="D2891" s="3"/>
      <c r="E2891" s="3"/>
      <c r="F2891" s="3"/>
      <c r="G2891" s="3"/>
      <c r="H2891" s="11"/>
      <c r="I2891" s="12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14"/>
      <c r="X2891" s="3"/>
      <c r="Y2891" s="14"/>
      <c r="Z2891" s="3"/>
      <c r="AA2891" s="3"/>
      <c r="AB2891" s="3"/>
      <c r="AC2891" s="3"/>
      <c r="AD2891" s="3"/>
      <c r="AE2891" s="3"/>
      <c r="AF2891" s="3"/>
      <c r="AG2891" s="3"/>
      <c r="AH2891" s="3"/>
    </row>
    <row r="2892" spans="1:34" ht="14.25" customHeight="1" x14ac:dyDescent="0.25">
      <c r="A2892" s="3"/>
      <c r="B2892" s="3"/>
      <c r="C2892" s="3"/>
      <c r="D2892" s="3"/>
      <c r="E2892" s="3"/>
      <c r="F2892" s="3"/>
      <c r="G2892" s="3"/>
      <c r="H2892" s="11"/>
      <c r="I2892" s="12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14"/>
      <c r="X2892" s="3"/>
      <c r="Y2892" s="14"/>
      <c r="Z2892" s="3"/>
      <c r="AA2892" s="3"/>
      <c r="AB2892" s="3"/>
      <c r="AC2892" s="3"/>
      <c r="AD2892" s="3"/>
      <c r="AE2892" s="3"/>
      <c r="AF2892" s="3"/>
      <c r="AG2892" s="3"/>
      <c r="AH2892" s="3"/>
    </row>
    <row r="2893" spans="1:34" ht="14.25" customHeight="1" x14ac:dyDescent="0.25">
      <c r="A2893" s="3"/>
      <c r="B2893" s="3"/>
      <c r="C2893" s="3"/>
      <c r="D2893" s="3"/>
      <c r="E2893" s="3"/>
      <c r="F2893" s="3"/>
      <c r="G2893" s="3"/>
      <c r="H2893" s="11"/>
      <c r="I2893" s="12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14"/>
      <c r="X2893" s="3"/>
      <c r="Y2893" s="14"/>
      <c r="Z2893" s="3"/>
      <c r="AA2893" s="3"/>
      <c r="AB2893" s="3"/>
      <c r="AC2893" s="3"/>
      <c r="AD2893" s="3"/>
      <c r="AE2893" s="3"/>
      <c r="AF2893" s="3"/>
      <c r="AG2893" s="3"/>
      <c r="AH2893" s="3"/>
    </row>
    <row r="2894" spans="1:34" ht="14.25" customHeight="1" x14ac:dyDescent="0.25">
      <c r="A2894" s="3"/>
      <c r="B2894" s="3"/>
      <c r="C2894" s="3"/>
      <c r="D2894" s="3"/>
      <c r="E2894" s="3"/>
      <c r="F2894" s="3"/>
      <c r="G2894" s="14"/>
      <c r="H2894" s="11"/>
      <c r="I2894" s="12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14"/>
      <c r="X2894" s="3"/>
      <c r="Y2894" s="14"/>
      <c r="Z2894" s="3"/>
      <c r="AA2894" s="3"/>
      <c r="AB2894" s="3"/>
      <c r="AC2894" s="3"/>
      <c r="AD2894" s="3"/>
      <c r="AE2894" s="3"/>
      <c r="AF2894" s="3"/>
      <c r="AG2894" s="3"/>
      <c r="AH2894" s="3"/>
    </row>
    <row r="2895" spans="1:34" ht="14.25" customHeight="1" x14ac:dyDescent="0.25">
      <c r="A2895" s="3"/>
      <c r="B2895" s="3"/>
      <c r="C2895" s="3"/>
      <c r="D2895" s="3"/>
      <c r="E2895" s="3"/>
      <c r="F2895" s="3"/>
      <c r="G2895" s="14"/>
      <c r="H2895" s="11"/>
      <c r="I2895" s="12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14"/>
      <c r="X2895" s="3"/>
      <c r="Y2895" s="14"/>
      <c r="Z2895" s="3"/>
      <c r="AA2895" s="3"/>
      <c r="AB2895" s="3"/>
      <c r="AC2895" s="3"/>
      <c r="AD2895" s="3"/>
      <c r="AE2895" s="3"/>
      <c r="AF2895" s="3"/>
      <c r="AG2895" s="3"/>
      <c r="AH2895" s="3"/>
    </row>
    <row r="2896" spans="1:34" ht="14.25" customHeight="1" x14ac:dyDescent="0.25">
      <c r="A2896" s="3"/>
      <c r="B2896" s="3"/>
      <c r="C2896" s="3"/>
      <c r="D2896" s="3"/>
      <c r="E2896" s="3"/>
      <c r="F2896" s="3"/>
      <c r="G2896" s="14"/>
      <c r="H2896" s="11"/>
      <c r="I2896" s="12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14"/>
      <c r="X2896" s="3"/>
      <c r="Y2896" s="14"/>
      <c r="Z2896" s="3"/>
      <c r="AA2896" s="3"/>
      <c r="AB2896" s="3"/>
      <c r="AC2896" s="3"/>
      <c r="AD2896" s="3"/>
      <c r="AE2896" s="3"/>
      <c r="AF2896" s="3"/>
      <c r="AG2896" s="3"/>
      <c r="AH2896" s="3"/>
    </row>
    <row r="2897" spans="1:34" ht="14.25" customHeight="1" x14ac:dyDescent="0.25">
      <c r="A2897" s="3"/>
      <c r="B2897" s="3"/>
      <c r="C2897" s="3"/>
      <c r="D2897" s="3"/>
      <c r="E2897" s="3"/>
      <c r="F2897" s="3"/>
      <c r="G2897" s="3"/>
      <c r="H2897" s="11"/>
      <c r="I2897" s="12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14"/>
      <c r="X2897" s="3"/>
      <c r="Y2897" s="14"/>
      <c r="Z2897" s="3"/>
      <c r="AA2897" s="3"/>
      <c r="AB2897" s="3"/>
      <c r="AC2897" s="3"/>
      <c r="AD2897" s="3"/>
      <c r="AE2897" s="3"/>
      <c r="AF2897" s="3"/>
      <c r="AG2897" s="3"/>
      <c r="AH2897" s="3"/>
    </row>
    <row r="2898" spans="1:34" ht="14.25" customHeight="1" x14ac:dyDescent="0.25">
      <c r="A2898" s="3"/>
      <c r="B2898" s="3"/>
      <c r="C2898" s="3"/>
      <c r="D2898" s="3"/>
      <c r="E2898" s="3"/>
      <c r="F2898" s="3"/>
      <c r="G2898" s="14"/>
      <c r="H2898" s="11"/>
      <c r="I2898" s="12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14"/>
      <c r="X2898" s="3"/>
      <c r="Y2898" s="14"/>
      <c r="Z2898" s="3"/>
      <c r="AA2898" s="3"/>
      <c r="AB2898" s="3"/>
      <c r="AC2898" s="3"/>
      <c r="AD2898" s="3"/>
      <c r="AE2898" s="3"/>
      <c r="AF2898" s="3"/>
      <c r="AG2898" s="3"/>
      <c r="AH2898" s="3"/>
    </row>
    <row r="2899" spans="1:34" ht="14.25" customHeight="1" x14ac:dyDescent="0.25">
      <c r="A2899" s="3"/>
      <c r="B2899" s="3"/>
      <c r="C2899" s="3"/>
      <c r="D2899" s="3"/>
      <c r="E2899" s="3"/>
      <c r="F2899" s="3"/>
      <c r="G2899" s="14"/>
      <c r="H2899" s="11"/>
      <c r="I2899" s="12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14"/>
      <c r="X2899" s="3"/>
      <c r="Y2899" s="14"/>
      <c r="Z2899" s="3"/>
      <c r="AA2899" s="3"/>
      <c r="AB2899" s="3"/>
      <c r="AC2899" s="3"/>
      <c r="AD2899" s="3"/>
      <c r="AE2899" s="3"/>
      <c r="AF2899" s="3"/>
      <c r="AG2899" s="3"/>
      <c r="AH2899" s="3"/>
    </row>
    <row r="2900" spans="1:34" ht="14.25" customHeight="1" x14ac:dyDescent="0.25">
      <c r="A2900" s="3"/>
      <c r="B2900" s="3"/>
      <c r="C2900" s="3"/>
      <c r="D2900" s="3"/>
      <c r="E2900" s="3"/>
      <c r="F2900" s="3"/>
      <c r="G2900" s="14"/>
      <c r="H2900" s="11"/>
      <c r="I2900" s="12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14"/>
      <c r="X2900" s="3"/>
      <c r="Y2900" s="14"/>
      <c r="Z2900" s="3"/>
      <c r="AA2900" s="3"/>
      <c r="AB2900" s="3"/>
      <c r="AC2900" s="3"/>
      <c r="AD2900" s="3"/>
      <c r="AE2900" s="3"/>
      <c r="AF2900" s="3"/>
      <c r="AG2900" s="3"/>
      <c r="AH2900" s="3"/>
    </row>
    <row r="2901" spans="1:34" ht="14.25" customHeight="1" x14ac:dyDescent="0.25">
      <c r="A2901" s="3"/>
      <c r="B2901" s="3"/>
      <c r="C2901" s="3"/>
      <c r="D2901" s="3"/>
      <c r="E2901" s="3"/>
      <c r="F2901" s="3"/>
      <c r="G2901" s="14"/>
      <c r="H2901" s="11"/>
      <c r="I2901" s="12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14"/>
      <c r="X2901" s="3"/>
      <c r="Y2901" s="14"/>
      <c r="Z2901" s="3"/>
      <c r="AA2901" s="3"/>
      <c r="AB2901" s="3"/>
      <c r="AC2901" s="3"/>
      <c r="AD2901" s="3"/>
      <c r="AE2901" s="3"/>
      <c r="AF2901" s="3"/>
      <c r="AG2901" s="3"/>
      <c r="AH2901" s="3"/>
    </row>
    <row r="2902" spans="1:34" ht="14.25" customHeight="1" x14ac:dyDescent="0.25">
      <c r="A2902" s="3"/>
      <c r="B2902" s="3"/>
      <c r="C2902" s="3"/>
      <c r="D2902" s="3"/>
      <c r="E2902" s="3"/>
      <c r="F2902" s="3"/>
      <c r="G2902" s="14"/>
      <c r="H2902" s="11"/>
      <c r="I2902" s="12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14"/>
      <c r="X2902" s="3"/>
      <c r="Y2902" s="14"/>
      <c r="Z2902" s="3"/>
      <c r="AA2902" s="3"/>
      <c r="AB2902" s="3"/>
      <c r="AC2902" s="3"/>
      <c r="AD2902" s="3"/>
      <c r="AE2902" s="3"/>
      <c r="AF2902" s="3"/>
      <c r="AG2902" s="3"/>
      <c r="AH2902" s="3"/>
    </row>
    <row r="2903" spans="1:34" ht="14.25" customHeight="1" x14ac:dyDescent="0.25">
      <c r="A2903" s="3"/>
      <c r="B2903" s="3"/>
      <c r="C2903" s="3"/>
      <c r="D2903" s="3"/>
      <c r="E2903" s="3"/>
      <c r="F2903" s="3"/>
      <c r="G2903" s="14"/>
      <c r="H2903" s="11"/>
      <c r="I2903" s="12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14"/>
      <c r="X2903" s="3"/>
      <c r="Y2903" s="14"/>
      <c r="Z2903" s="3"/>
      <c r="AA2903" s="3"/>
      <c r="AB2903" s="3"/>
      <c r="AC2903" s="3"/>
      <c r="AD2903" s="3"/>
      <c r="AE2903" s="3"/>
      <c r="AF2903" s="3"/>
      <c r="AG2903" s="3"/>
      <c r="AH2903" s="3"/>
    </row>
    <row r="2904" spans="1:34" ht="14.25" customHeight="1" x14ac:dyDescent="0.25">
      <c r="A2904" s="3"/>
      <c r="B2904" s="3"/>
      <c r="C2904" s="3"/>
      <c r="D2904" s="3"/>
      <c r="E2904" s="3"/>
      <c r="F2904" s="3"/>
      <c r="G2904" s="14"/>
      <c r="H2904" s="11"/>
      <c r="I2904" s="12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14"/>
      <c r="X2904" s="3"/>
      <c r="Y2904" s="14"/>
      <c r="Z2904" s="3"/>
      <c r="AA2904" s="3"/>
      <c r="AB2904" s="3"/>
      <c r="AC2904" s="3"/>
      <c r="AD2904" s="3"/>
      <c r="AE2904" s="3"/>
      <c r="AF2904" s="3"/>
      <c r="AG2904" s="3"/>
      <c r="AH2904" s="3"/>
    </row>
    <row r="2905" spans="1:34" ht="14.25" customHeight="1" x14ac:dyDescent="0.25">
      <c r="A2905" s="3"/>
      <c r="B2905" s="3"/>
      <c r="C2905" s="3"/>
      <c r="D2905" s="3"/>
      <c r="E2905" s="3"/>
      <c r="F2905" s="3"/>
      <c r="G2905" s="14"/>
      <c r="H2905" s="11"/>
      <c r="I2905" s="12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14"/>
      <c r="X2905" s="3"/>
      <c r="Y2905" s="14"/>
      <c r="Z2905" s="3"/>
      <c r="AA2905" s="3"/>
      <c r="AB2905" s="3"/>
      <c r="AC2905" s="3"/>
      <c r="AD2905" s="3"/>
      <c r="AE2905" s="3"/>
      <c r="AF2905" s="3"/>
      <c r="AG2905" s="3"/>
      <c r="AH2905" s="3"/>
    </row>
    <row r="2906" spans="1:34" ht="14.25" customHeight="1" x14ac:dyDescent="0.25">
      <c r="A2906" s="3"/>
      <c r="B2906" s="3"/>
      <c r="C2906" s="3"/>
      <c r="D2906" s="3"/>
      <c r="E2906" s="3"/>
      <c r="F2906" s="3"/>
      <c r="G2906" s="14"/>
      <c r="H2906" s="11"/>
      <c r="I2906" s="12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14"/>
      <c r="X2906" s="3"/>
      <c r="Y2906" s="14"/>
      <c r="Z2906" s="3"/>
      <c r="AA2906" s="3"/>
      <c r="AB2906" s="3"/>
      <c r="AC2906" s="3"/>
      <c r="AD2906" s="3"/>
      <c r="AE2906" s="3"/>
      <c r="AF2906" s="3"/>
      <c r="AG2906" s="3"/>
      <c r="AH2906" s="3"/>
    </row>
    <row r="2907" spans="1:34" ht="14.25" customHeight="1" x14ac:dyDescent="0.25">
      <c r="A2907" s="3"/>
      <c r="B2907" s="3"/>
      <c r="C2907" s="3"/>
      <c r="D2907" s="3"/>
      <c r="E2907" s="3"/>
      <c r="F2907" s="3"/>
      <c r="G2907" s="14"/>
      <c r="H2907" s="11"/>
      <c r="I2907" s="12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14"/>
      <c r="X2907" s="3"/>
      <c r="Y2907" s="14"/>
      <c r="Z2907" s="3"/>
      <c r="AA2907" s="3"/>
      <c r="AB2907" s="3"/>
      <c r="AC2907" s="3"/>
      <c r="AD2907" s="3"/>
      <c r="AE2907" s="3"/>
      <c r="AF2907" s="3"/>
      <c r="AG2907" s="3"/>
      <c r="AH2907" s="3"/>
    </row>
    <row r="2908" spans="1:34" ht="14.25" customHeight="1" x14ac:dyDescent="0.25">
      <c r="A2908" s="3"/>
      <c r="B2908" s="3"/>
      <c r="C2908" s="3"/>
      <c r="D2908" s="3"/>
      <c r="E2908" s="3"/>
      <c r="F2908" s="3"/>
      <c r="G2908" s="14"/>
      <c r="H2908" s="11"/>
      <c r="I2908" s="12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14"/>
      <c r="X2908" s="3"/>
      <c r="Y2908" s="14"/>
      <c r="Z2908" s="3"/>
      <c r="AA2908" s="3"/>
      <c r="AB2908" s="3"/>
      <c r="AC2908" s="3"/>
      <c r="AD2908" s="3"/>
      <c r="AE2908" s="3"/>
      <c r="AF2908" s="3"/>
      <c r="AG2908" s="3"/>
      <c r="AH2908" s="3"/>
    </row>
    <row r="2909" spans="1:34" ht="14.25" customHeight="1" x14ac:dyDescent="0.25">
      <c r="A2909" s="3"/>
      <c r="B2909" s="3"/>
      <c r="C2909" s="3"/>
      <c r="D2909" s="3"/>
      <c r="E2909" s="3"/>
      <c r="F2909" s="3"/>
      <c r="G2909" s="14"/>
      <c r="H2909" s="11"/>
      <c r="I2909" s="12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14"/>
      <c r="X2909" s="3"/>
      <c r="Y2909" s="14"/>
      <c r="Z2909" s="3"/>
      <c r="AA2909" s="3"/>
      <c r="AB2909" s="3"/>
      <c r="AC2909" s="3"/>
      <c r="AD2909" s="3"/>
      <c r="AE2909" s="3"/>
      <c r="AF2909" s="3"/>
      <c r="AG2909" s="3"/>
      <c r="AH2909" s="3"/>
    </row>
    <row r="2910" spans="1:34" ht="14.25" customHeight="1" x14ac:dyDescent="0.25">
      <c r="A2910" s="3"/>
      <c r="B2910" s="3"/>
      <c r="C2910" s="3"/>
      <c r="D2910" s="3"/>
      <c r="E2910" s="3"/>
      <c r="F2910" s="3"/>
      <c r="G2910" s="3"/>
      <c r="H2910" s="11"/>
      <c r="I2910" s="12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14"/>
      <c r="X2910" s="3"/>
      <c r="Y2910" s="14"/>
      <c r="Z2910" s="3"/>
      <c r="AA2910" s="3"/>
      <c r="AB2910" s="3"/>
      <c r="AC2910" s="3"/>
      <c r="AD2910" s="3"/>
      <c r="AE2910" s="3"/>
      <c r="AF2910" s="3"/>
      <c r="AG2910" s="3"/>
      <c r="AH2910" s="3"/>
    </row>
    <row r="2911" spans="1:34" ht="14.25" customHeight="1" x14ac:dyDescent="0.25">
      <c r="A2911" s="3"/>
      <c r="B2911" s="3"/>
      <c r="C2911" s="3"/>
      <c r="D2911" s="3"/>
      <c r="E2911" s="3"/>
      <c r="F2911" s="3"/>
      <c r="G2911" s="3"/>
      <c r="H2911" s="11"/>
      <c r="I2911" s="12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14"/>
      <c r="X2911" s="3"/>
      <c r="Y2911" s="14"/>
      <c r="Z2911" s="3"/>
      <c r="AA2911" s="3"/>
      <c r="AB2911" s="3"/>
      <c r="AC2911" s="3"/>
      <c r="AD2911" s="3"/>
      <c r="AE2911" s="3"/>
      <c r="AF2911" s="3"/>
      <c r="AG2911" s="3"/>
      <c r="AH2911" s="3"/>
    </row>
    <row r="2912" spans="1:34" ht="14.25" customHeight="1" x14ac:dyDescent="0.25">
      <c r="A2912" s="3"/>
      <c r="B2912" s="3"/>
      <c r="C2912" s="3"/>
      <c r="D2912" s="3"/>
      <c r="E2912" s="3"/>
      <c r="F2912" s="3"/>
      <c r="G2912" s="3"/>
      <c r="H2912" s="11"/>
      <c r="I2912" s="12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14"/>
      <c r="X2912" s="3"/>
      <c r="Y2912" s="14"/>
      <c r="Z2912" s="3"/>
      <c r="AA2912" s="3"/>
      <c r="AB2912" s="3"/>
      <c r="AC2912" s="3"/>
      <c r="AD2912" s="3"/>
      <c r="AE2912" s="3"/>
      <c r="AF2912" s="3"/>
      <c r="AG2912" s="3"/>
      <c r="AH2912" s="3"/>
    </row>
    <row r="2913" spans="1:34" ht="14.25" customHeight="1" x14ac:dyDescent="0.25">
      <c r="A2913" s="3"/>
      <c r="B2913" s="3"/>
      <c r="C2913" s="3"/>
      <c r="D2913" s="3"/>
      <c r="E2913" s="3"/>
      <c r="F2913" s="3"/>
      <c r="G2913" s="14"/>
      <c r="H2913" s="11"/>
      <c r="I2913" s="12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14"/>
      <c r="X2913" s="3"/>
      <c r="Y2913" s="14"/>
      <c r="Z2913" s="3"/>
      <c r="AA2913" s="3"/>
      <c r="AB2913" s="3"/>
      <c r="AC2913" s="3"/>
      <c r="AD2913" s="3"/>
      <c r="AE2913" s="3"/>
      <c r="AF2913" s="3"/>
      <c r="AG2913" s="3"/>
      <c r="AH2913" s="3"/>
    </row>
    <row r="2914" spans="1:34" ht="14.25" customHeight="1" x14ac:dyDescent="0.25">
      <c r="A2914" s="3"/>
      <c r="B2914" s="3"/>
      <c r="C2914" s="3"/>
      <c r="D2914" s="3"/>
      <c r="E2914" s="3"/>
      <c r="F2914" s="3"/>
      <c r="G2914" s="14"/>
      <c r="H2914" s="11"/>
      <c r="I2914" s="12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14"/>
      <c r="X2914" s="3"/>
      <c r="Y2914" s="14"/>
      <c r="Z2914" s="3"/>
      <c r="AA2914" s="3"/>
      <c r="AB2914" s="3"/>
      <c r="AC2914" s="3"/>
      <c r="AD2914" s="3"/>
      <c r="AE2914" s="3"/>
      <c r="AF2914" s="3"/>
      <c r="AG2914" s="3"/>
      <c r="AH2914" s="3"/>
    </row>
    <row r="2915" spans="1:34" ht="14.25" customHeight="1" x14ac:dyDescent="0.25">
      <c r="A2915" s="3"/>
      <c r="B2915" s="3"/>
      <c r="C2915" s="3"/>
      <c r="D2915" s="3"/>
      <c r="E2915" s="3"/>
      <c r="F2915" s="3"/>
      <c r="G2915" s="3"/>
      <c r="H2915" s="11"/>
      <c r="I2915" s="12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14"/>
      <c r="X2915" s="3"/>
      <c r="Y2915" s="14"/>
      <c r="Z2915" s="3"/>
      <c r="AA2915" s="3"/>
      <c r="AB2915" s="3"/>
      <c r="AC2915" s="3"/>
      <c r="AD2915" s="3"/>
      <c r="AE2915" s="3"/>
      <c r="AF2915" s="3"/>
      <c r="AG2915" s="3"/>
      <c r="AH2915" s="3"/>
    </row>
    <row r="2916" spans="1:34" ht="14.25" customHeight="1" x14ac:dyDescent="0.25">
      <c r="A2916" s="3"/>
      <c r="B2916" s="3"/>
      <c r="C2916" s="3"/>
      <c r="D2916" s="3"/>
      <c r="E2916" s="3"/>
      <c r="F2916" s="3"/>
      <c r="G2916" s="3"/>
      <c r="H2916" s="11"/>
      <c r="I2916" s="12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14"/>
      <c r="X2916" s="3"/>
      <c r="Y2916" s="14"/>
      <c r="Z2916" s="3"/>
      <c r="AA2916" s="3"/>
      <c r="AB2916" s="3"/>
      <c r="AC2916" s="3"/>
      <c r="AD2916" s="3"/>
      <c r="AE2916" s="3"/>
      <c r="AF2916" s="3"/>
      <c r="AG2916" s="3"/>
      <c r="AH2916" s="3"/>
    </row>
    <row r="2917" spans="1:34" ht="14.25" customHeight="1" x14ac:dyDescent="0.25">
      <c r="A2917" s="3"/>
      <c r="B2917" s="3"/>
      <c r="C2917" s="3"/>
      <c r="D2917" s="3"/>
      <c r="E2917" s="3"/>
      <c r="F2917" s="3"/>
      <c r="G2917" s="14"/>
      <c r="H2917" s="11"/>
      <c r="I2917" s="12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14"/>
      <c r="X2917" s="3"/>
      <c r="Y2917" s="14"/>
      <c r="Z2917" s="3"/>
      <c r="AA2917" s="3"/>
      <c r="AB2917" s="3"/>
      <c r="AC2917" s="3"/>
      <c r="AD2917" s="3"/>
      <c r="AE2917" s="3"/>
      <c r="AF2917" s="3"/>
      <c r="AG2917" s="3"/>
      <c r="AH2917" s="3"/>
    </row>
    <row r="2918" spans="1:34" ht="14.25" customHeight="1" x14ac:dyDescent="0.25">
      <c r="A2918" s="3"/>
      <c r="B2918" s="3"/>
      <c r="C2918" s="3"/>
      <c r="D2918" s="3"/>
      <c r="E2918" s="3"/>
      <c r="F2918" s="3"/>
      <c r="G2918" s="14"/>
      <c r="H2918" s="11"/>
      <c r="I2918" s="12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14"/>
      <c r="X2918" s="3"/>
      <c r="Y2918" s="14"/>
      <c r="Z2918" s="3"/>
      <c r="AA2918" s="3"/>
      <c r="AB2918" s="3"/>
      <c r="AC2918" s="3"/>
      <c r="AD2918" s="3"/>
      <c r="AE2918" s="3"/>
      <c r="AF2918" s="3"/>
      <c r="AG2918" s="3"/>
      <c r="AH2918" s="3"/>
    </row>
    <row r="2919" spans="1:34" ht="14.25" customHeight="1" x14ac:dyDescent="0.25">
      <c r="A2919" s="3"/>
      <c r="B2919" s="3"/>
      <c r="C2919" s="3"/>
      <c r="D2919" s="3"/>
      <c r="E2919" s="3"/>
      <c r="F2919" s="3"/>
      <c r="G2919" s="14"/>
      <c r="H2919" s="11"/>
      <c r="I2919" s="12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14"/>
      <c r="X2919" s="3"/>
      <c r="Y2919" s="14"/>
      <c r="Z2919" s="3"/>
      <c r="AA2919" s="3"/>
      <c r="AB2919" s="3"/>
      <c r="AC2919" s="3"/>
      <c r="AD2919" s="3"/>
      <c r="AE2919" s="3"/>
      <c r="AF2919" s="3"/>
      <c r="AG2919" s="3"/>
      <c r="AH2919" s="3"/>
    </row>
    <row r="2920" spans="1:34" ht="14.25" customHeight="1" x14ac:dyDescent="0.25">
      <c r="A2920" s="3"/>
      <c r="B2920" s="3"/>
      <c r="C2920" s="3"/>
      <c r="D2920" s="3"/>
      <c r="E2920" s="3"/>
      <c r="F2920" s="3"/>
      <c r="G2920" s="14"/>
      <c r="H2920" s="11"/>
      <c r="I2920" s="12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14"/>
      <c r="X2920" s="3"/>
      <c r="Y2920" s="14"/>
      <c r="Z2920" s="3"/>
      <c r="AA2920" s="3"/>
      <c r="AB2920" s="3"/>
      <c r="AC2920" s="3"/>
      <c r="AD2920" s="3"/>
      <c r="AE2920" s="3"/>
      <c r="AF2920" s="3"/>
      <c r="AG2920" s="3"/>
      <c r="AH2920" s="3"/>
    </row>
    <row r="2921" spans="1:34" ht="14.25" customHeight="1" x14ac:dyDescent="0.25">
      <c r="A2921" s="3"/>
      <c r="B2921" s="3"/>
      <c r="C2921" s="3"/>
      <c r="D2921" s="3"/>
      <c r="E2921" s="3"/>
      <c r="F2921" s="3"/>
      <c r="G2921" s="14"/>
      <c r="H2921" s="11"/>
      <c r="I2921" s="12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14"/>
      <c r="X2921" s="3"/>
      <c r="Y2921" s="14"/>
      <c r="Z2921" s="3"/>
      <c r="AA2921" s="3"/>
      <c r="AB2921" s="3"/>
      <c r="AC2921" s="3"/>
      <c r="AD2921" s="3"/>
      <c r="AE2921" s="3"/>
      <c r="AF2921" s="3"/>
      <c r="AG2921" s="3"/>
      <c r="AH2921" s="3"/>
    </row>
    <row r="2922" spans="1:34" ht="14.25" customHeight="1" x14ac:dyDescent="0.25">
      <c r="A2922" s="3"/>
      <c r="B2922" s="3"/>
      <c r="C2922" s="3"/>
      <c r="D2922" s="3"/>
      <c r="E2922" s="3"/>
      <c r="F2922" s="3"/>
      <c r="G2922" s="14"/>
      <c r="H2922" s="11"/>
      <c r="I2922" s="12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14"/>
      <c r="X2922" s="3"/>
      <c r="Y2922" s="14"/>
      <c r="Z2922" s="3"/>
      <c r="AA2922" s="3"/>
      <c r="AB2922" s="3"/>
      <c r="AC2922" s="3"/>
      <c r="AD2922" s="3"/>
      <c r="AE2922" s="3"/>
      <c r="AF2922" s="3"/>
      <c r="AG2922" s="3"/>
      <c r="AH2922" s="3"/>
    </row>
    <row r="2923" spans="1:34" ht="14.25" customHeight="1" x14ac:dyDescent="0.25">
      <c r="A2923" s="3"/>
      <c r="B2923" s="3"/>
      <c r="C2923" s="3"/>
      <c r="D2923" s="3"/>
      <c r="E2923" s="3"/>
      <c r="F2923" s="3"/>
      <c r="G2923" s="14"/>
      <c r="H2923" s="11"/>
      <c r="I2923" s="12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14"/>
      <c r="X2923" s="3"/>
      <c r="Y2923" s="14"/>
      <c r="Z2923" s="3"/>
      <c r="AA2923" s="3"/>
      <c r="AB2923" s="3"/>
      <c r="AC2923" s="3"/>
      <c r="AD2923" s="3"/>
      <c r="AE2923" s="3"/>
      <c r="AF2923" s="3"/>
      <c r="AG2923" s="3"/>
      <c r="AH2923" s="3"/>
    </row>
    <row r="2924" spans="1:34" ht="14.25" customHeight="1" x14ac:dyDescent="0.25">
      <c r="A2924" s="3"/>
      <c r="B2924" s="3"/>
      <c r="C2924" s="3"/>
      <c r="D2924" s="3"/>
      <c r="E2924" s="3"/>
      <c r="F2924" s="3"/>
      <c r="G2924" s="14"/>
      <c r="H2924" s="11"/>
      <c r="I2924" s="12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14"/>
      <c r="X2924" s="3"/>
      <c r="Y2924" s="14"/>
      <c r="Z2924" s="3"/>
      <c r="AA2924" s="3"/>
      <c r="AB2924" s="3"/>
      <c r="AC2924" s="3"/>
      <c r="AD2924" s="3"/>
      <c r="AE2924" s="3"/>
      <c r="AF2924" s="3"/>
      <c r="AG2924" s="3"/>
      <c r="AH2924" s="3"/>
    </row>
    <row r="2925" spans="1:34" ht="14.25" customHeight="1" x14ac:dyDescent="0.25">
      <c r="A2925" s="3"/>
      <c r="B2925" s="3"/>
      <c r="C2925" s="3"/>
      <c r="D2925" s="3"/>
      <c r="E2925" s="3"/>
      <c r="F2925" s="3"/>
      <c r="G2925" s="3"/>
      <c r="H2925" s="11"/>
      <c r="I2925" s="12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14"/>
      <c r="X2925" s="3"/>
      <c r="Y2925" s="14"/>
      <c r="Z2925" s="3"/>
      <c r="AA2925" s="3"/>
      <c r="AB2925" s="3"/>
      <c r="AC2925" s="3"/>
      <c r="AD2925" s="3"/>
      <c r="AE2925" s="3"/>
      <c r="AF2925" s="3"/>
      <c r="AG2925" s="3"/>
      <c r="AH2925" s="3"/>
    </row>
    <row r="2926" spans="1:34" ht="14.25" customHeight="1" x14ac:dyDescent="0.25">
      <c r="A2926" s="3"/>
      <c r="B2926" s="3"/>
      <c r="C2926" s="3"/>
      <c r="D2926" s="3"/>
      <c r="E2926" s="3"/>
      <c r="F2926" s="3"/>
      <c r="G2926" s="14"/>
      <c r="H2926" s="11"/>
      <c r="I2926" s="12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14"/>
      <c r="X2926" s="3"/>
      <c r="Y2926" s="14"/>
      <c r="Z2926" s="3"/>
      <c r="AA2926" s="3"/>
      <c r="AB2926" s="3"/>
      <c r="AC2926" s="3"/>
      <c r="AD2926" s="3"/>
      <c r="AE2926" s="3"/>
      <c r="AF2926" s="3"/>
      <c r="AG2926" s="3"/>
      <c r="AH2926" s="3"/>
    </row>
    <row r="2927" spans="1:34" ht="14.25" customHeight="1" x14ac:dyDescent="0.25">
      <c r="A2927" s="3"/>
      <c r="B2927" s="3"/>
      <c r="C2927" s="3"/>
      <c r="D2927" s="3"/>
      <c r="E2927" s="3"/>
      <c r="F2927" s="3"/>
      <c r="G2927" s="14"/>
      <c r="H2927" s="11"/>
      <c r="I2927" s="12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14"/>
      <c r="X2927" s="3"/>
      <c r="Y2927" s="14"/>
      <c r="Z2927" s="3"/>
      <c r="AA2927" s="3"/>
      <c r="AB2927" s="3"/>
      <c r="AC2927" s="3"/>
      <c r="AD2927" s="3"/>
      <c r="AE2927" s="3"/>
      <c r="AF2927" s="3"/>
      <c r="AG2927" s="3"/>
      <c r="AH2927" s="3"/>
    </row>
    <row r="2928" spans="1:34" ht="14.25" customHeight="1" x14ac:dyDescent="0.25">
      <c r="A2928" s="3"/>
      <c r="B2928" s="3"/>
      <c r="C2928" s="3"/>
      <c r="D2928" s="3"/>
      <c r="E2928" s="3"/>
      <c r="F2928" s="3"/>
      <c r="G2928" s="14"/>
      <c r="H2928" s="11"/>
      <c r="I2928" s="12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14"/>
      <c r="X2928" s="3"/>
      <c r="Y2928" s="14"/>
      <c r="Z2928" s="3"/>
      <c r="AA2928" s="3"/>
      <c r="AB2928" s="3"/>
      <c r="AC2928" s="3"/>
      <c r="AD2928" s="3"/>
      <c r="AE2928" s="3"/>
      <c r="AF2928" s="3"/>
      <c r="AG2928" s="3"/>
      <c r="AH2928" s="3"/>
    </row>
    <row r="2929" spans="1:34" ht="14.25" customHeight="1" x14ac:dyDescent="0.25">
      <c r="A2929" s="3"/>
      <c r="B2929" s="3"/>
      <c r="C2929" s="3"/>
      <c r="D2929" s="3"/>
      <c r="E2929" s="3"/>
      <c r="F2929" s="3"/>
      <c r="G2929" s="14"/>
      <c r="H2929" s="11"/>
      <c r="I2929" s="12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14"/>
      <c r="X2929" s="3"/>
      <c r="Y2929" s="14"/>
      <c r="Z2929" s="3"/>
      <c r="AA2929" s="3"/>
      <c r="AB2929" s="3"/>
      <c r="AC2929" s="3"/>
      <c r="AD2929" s="3"/>
      <c r="AE2929" s="3"/>
      <c r="AF2929" s="3"/>
      <c r="AG2929" s="3"/>
      <c r="AH2929" s="3"/>
    </row>
    <row r="2930" spans="1:34" ht="14.25" customHeight="1" x14ac:dyDescent="0.25">
      <c r="A2930" s="3"/>
      <c r="B2930" s="3"/>
      <c r="C2930" s="3"/>
      <c r="D2930" s="3"/>
      <c r="E2930" s="3"/>
      <c r="F2930" s="3"/>
      <c r="G2930" s="3"/>
      <c r="H2930" s="11"/>
      <c r="I2930" s="12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14"/>
      <c r="X2930" s="3"/>
      <c r="Y2930" s="14"/>
      <c r="Z2930" s="3"/>
      <c r="AA2930" s="3"/>
      <c r="AB2930" s="3"/>
      <c r="AC2930" s="3"/>
      <c r="AD2930" s="3"/>
      <c r="AE2930" s="3"/>
      <c r="AF2930" s="3"/>
      <c r="AG2930" s="3"/>
      <c r="AH2930" s="3"/>
    </row>
    <row r="2931" spans="1:34" ht="14.25" customHeight="1" x14ac:dyDescent="0.25">
      <c r="A2931" s="3"/>
      <c r="B2931" s="3"/>
      <c r="C2931" s="3"/>
      <c r="D2931" s="3"/>
      <c r="E2931" s="3"/>
      <c r="F2931" s="3"/>
      <c r="G2931" s="3"/>
      <c r="H2931" s="11"/>
      <c r="I2931" s="12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14"/>
      <c r="X2931" s="3"/>
      <c r="Y2931" s="14"/>
      <c r="Z2931" s="3"/>
      <c r="AA2931" s="3"/>
      <c r="AB2931" s="3"/>
      <c r="AC2931" s="3"/>
      <c r="AD2931" s="3"/>
      <c r="AE2931" s="3"/>
      <c r="AF2931" s="3"/>
      <c r="AG2931" s="3"/>
      <c r="AH2931" s="3"/>
    </row>
    <row r="2932" spans="1:34" ht="14.25" customHeight="1" x14ac:dyDescent="0.25">
      <c r="A2932" s="3"/>
      <c r="B2932" s="3"/>
      <c r="C2932" s="3"/>
      <c r="D2932" s="3"/>
      <c r="E2932" s="3"/>
      <c r="F2932" s="3"/>
      <c r="G2932" s="3"/>
      <c r="H2932" s="11"/>
      <c r="I2932" s="12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14"/>
      <c r="X2932" s="3"/>
      <c r="Y2932" s="14"/>
      <c r="Z2932" s="3"/>
      <c r="AA2932" s="3"/>
      <c r="AB2932" s="3"/>
      <c r="AC2932" s="3"/>
      <c r="AD2932" s="3"/>
      <c r="AE2932" s="3"/>
      <c r="AF2932" s="3"/>
      <c r="AG2932" s="3"/>
      <c r="AH2932" s="3"/>
    </row>
    <row r="2933" spans="1:34" ht="14.25" customHeight="1" x14ac:dyDescent="0.25">
      <c r="A2933" s="3"/>
      <c r="B2933" s="3"/>
      <c r="C2933" s="3"/>
      <c r="D2933" s="3"/>
      <c r="E2933" s="3"/>
      <c r="F2933" s="3"/>
      <c r="G2933" s="3"/>
      <c r="H2933" s="11"/>
      <c r="I2933" s="12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14"/>
      <c r="X2933" s="3"/>
      <c r="Y2933" s="14"/>
      <c r="Z2933" s="3"/>
      <c r="AA2933" s="3"/>
      <c r="AB2933" s="3"/>
      <c r="AC2933" s="3"/>
      <c r="AD2933" s="3"/>
      <c r="AE2933" s="3"/>
      <c r="AF2933" s="3"/>
      <c r="AG2933" s="3"/>
      <c r="AH2933" s="3"/>
    </row>
    <row r="2934" spans="1:34" ht="14.25" customHeight="1" x14ac:dyDescent="0.25">
      <c r="A2934" s="3"/>
      <c r="B2934" s="3"/>
      <c r="C2934" s="3"/>
      <c r="D2934" s="3"/>
      <c r="E2934" s="3"/>
      <c r="F2934" s="3"/>
      <c r="G2934" s="3"/>
      <c r="H2934" s="11"/>
      <c r="I2934" s="12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14"/>
      <c r="X2934" s="3"/>
      <c r="Y2934" s="14"/>
      <c r="Z2934" s="3"/>
      <c r="AA2934" s="3"/>
      <c r="AB2934" s="3"/>
      <c r="AC2934" s="3"/>
      <c r="AD2934" s="3"/>
      <c r="AE2934" s="3"/>
      <c r="AF2934" s="3"/>
      <c r="AG2934" s="3"/>
      <c r="AH2934" s="3"/>
    </row>
    <row r="2935" spans="1:34" ht="14.25" customHeight="1" x14ac:dyDescent="0.25">
      <c r="A2935" s="3"/>
      <c r="B2935" s="3"/>
      <c r="C2935" s="3"/>
      <c r="D2935" s="3"/>
      <c r="E2935" s="3"/>
      <c r="F2935" s="3"/>
      <c r="G2935" s="14"/>
      <c r="H2935" s="11"/>
      <c r="I2935" s="12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14"/>
      <c r="X2935" s="3"/>
      <c r="Y2935" s="14"/>
      <c r="Z2935" s="3"/>
      <c r="AA2935" s="3"/>
      <c r="AB2935" s="3"/>
      <c r="AC2935" s="3"/>
      <c r="AD2935" s="3"/>
      <c r="AE2935" s="3"/>
      <c r="AF2935" s="3"/>
      <c r="AG2935" s="3"/>
      <c r="AH2935" s="3"/>
    </row>
    <row r="2936" spans="1:34" ht="14.25" customHeight="1" x14ac:dyDescent="0.25">
      <c r="A2936" s="3"/>
      <c r="B2936" s="3"/>
      <c r="C2936" s="3"/>
      <c r="D2936" s="3"/>
      <c r="E2936" s="3"/>
      <c r="F2936" s="3"/>
      <c r="G2936" s="14"/>
      <c r="H2936" s="11"/>
      <c r="I2936" s="12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14"/>
      <c r="X2936" s="3"/>
      <c r="Y2936" s="14"/>
      <c r="Z2936" s="3"/>
      <c r="AA2936" s="3"/>
      <c r="AB2936" s="3"/>
      <c r="AC2936" s="3"/>
      <c r="AD2936" s="3"/>
      <c r="AE2936" s="3"/>
      <c r="AF2936" s="3"/>
      <c r="AG2936" s="3"/>
      <c r="AH2936" s="3"/>
    </row>
    <row r="2937" spans="1:34" ht="14.25" customHeight="1" x14ac:dyDescent="0.25">
      <c r="A2937" s="3"/>
      <c r="B2937" s="3"/>
      <c r="C2937" s="3"/>
      <c r="D2937" s="3"/>
      <c r="E2937" s="3"/>
      <c r="F2937" s="3"/>
      <c r="G2937" s="14"/>
      <c r="H2937" s="11"/>
      <c r="I2937" s="12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14"/>
      <c r="X2937" s="3"/>
      <c r="Y2937" s="14"/>
      <c r="Z2937" s="3"/>
      <c r="AA2937" s="3"/>
      <c r="AB2937" s="3"/>
      <c r="AC2937" s="3"/>
      <c r="AD2937" s="3"/>
      <c r="AE2937" s="3"/>
      <c r="AF2937" s="3"/>
      <c r="AG2937" s="3"/>
      <c r="AH2937" s="3"/>
    </row>
    <row r="2938" spans="1:34" ht="14.25" customHeight="1" x14ac:dyDescent="0.25">
      <c r="A2938" s="3"/>
      <c r="B2938" s="3"/>
      <c r="C2938" s="3"/>
      <c r="D2938" s="3"/>
      <c r="E2938" s="3"/>
      <c r="F2938" s="3"/>
      <c r="G2938" s="3"/>
      <c r="H2938" s="11"/>
      <c r="I2938" s="12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14"/>
      <c r="X2938" s="3"/>
      <c r="Y2938" s="14"/>
      <c r="Z2938" s="3"/>
      <c r="AA2938" s="3"/>
      <c r="AB2938" s="3"/>
      <c r="AC2938" s="3"/>
      <c r="AD2938" s="3"/>
      <c r="AE2938" s="3"/>
      <c r="AF2938" s="3"/>
      <c r="AG2938" s="3"/>
      <c r="AH2938" s="3"/>
    </row>
    <row r="2939" spans="1:34" ht="14.25" customHeight="1" x14ac:dyDescent="0.25">
      <c r="A2939" s="3"/>
      <c r="B2939" s="3"/>
      <c r="C2939" s="3"/>
      <c r="D2939" s="3"/>
      <c r="E2939" s="3"/>
      <c r="F2939" s="3"/>
      <c r="G2939" s="14"/>
      <c r="H2939" s="11"/>
      <c r="I2939" s="12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14"/>
      <c r="X2939" s="3"/>
      <c r="Y2939" s="14"/>
      <c r="Z2939" s="3"/>
      <c r="AA2939" s="3"/>
      <c r="AB2939" s="3"/>
      <c r="AC2939" s="3"/>
      <c r="AD2939" s="3"/>
      <c r="AE2939" s="3"/>
      <c r="AF2939" s="3"/>
      <c r="AG2939" s="3"/>
      <c r="AH2939" s="3"/>
    </row>
    <row r="2940" spans="1:34" ht="14.25" customHeight="1" x14ac:dyDescent="0.25">
      <c r="A2940" s="3"/>
      <c r="B2940" s="3"/>
      <c r="C2940" s="3"/>
      <c r="D2940" s="3"/>
      <c r="E2940" s="3"/>
      <c r="F2940" s="3"/>
      <c r="G2940" s="14"/>
      <c r="H2940" s="11"/>
      <c r="I2940" s="12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14"/>
      <c r="X2940" s="3"/>
      <c r="Y2940" s="14"/>
      <c r="Z2940" s="3"/>
      <c r="AA2940" s="3"/>
      <c r="AB2940" s="3"/>
      <c r="AC2940" s="3"/>
      <c r="AD2940" s="3"/>
      <c r="AE2940" s="3"/>
      <c r="AF2940" s="3"/>
      <c r="AG2940" s="3"/>
      <c r="AH2940" s="3"/>
    </row>
    <row r="2941" spans="1:34" ht="14.25" customHeight="1" x14ac:dyDescent="0.25">
      <c r="A2941" s="3"/>
      <c r="B2941" s="3"/>
      <c r="C2941" s="3"/>
      <c r="D2941" s="3"/>
      <c r="E2941" s="3"/>
      <c r="F2941" s="3"/>
      <c r="G2941" s="14"/>
      <c r="H2941" s="11"/>
      <c r="I2941" s="12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14"/>
      <c r="X2941" s="3"/>
      <c r="Y2941" s="14"/>
      <c r="Z2941" s="3"/>
      <c r="AA2941" s="3"/>
      <c r="AB2941" s="3"/>
      <c r="AC2941" s="3"/>
      <c r="AD2941" s="3"/>
      <c r="AE2941" s="3"/>
      <c r="AF2941" s="3"/>
      <c r="AG2941" s="3"/>
      <c r="AH2941" s="3"/>
    </row>
    <row r="2942" spans="1:34" ht="14.25" customHeight="1" x14ac:dyDescent="0.25">
      <c r="A2942" s="3"/>
      <c r="B2942" s="3"/>
      <c r="C2942" s="3"/>
      <c r="D2942" s="3"/>
      <c r="E2942" s="3"/>
      <c r="F2942" s="3"/>
      <c r="G2942" s="14"/>
      <c r="H2942" s="11"/>
      <c r="I2942" s="12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14"/>
      <c r="X2942" s="3"/>
      <c r="Y2942" s="14"/>
      <c r="Z2942" s="3"/>
      <c r="AA2942" s="3"/>
      <c r="AB2942" s="3"/>
      <c r="AC2942" s="3"/>
      <c r="AD2942" s="3"/>
      <c r="AE2942" s="3"/>
      <c r="AF2942" s="3"/>
      <c r="AG2942" s="3"/>
      <c r="AH2942" s="3"/>
    </row>
    <row r="2943" spans="1:34" ht="14.25" customHeight="1" x14ac:dyDescent="0.25">
      <c r="A2943" s="3"/>
      <c r="B2943" s="3"/>
      <c r="C2943" s="3"/>
      <c r="D2943" s="3"/>
      <c r="E2943" s="3"/>
      <c r="F2943" s="3"/>
      <c r="G2943" s="14"/>
      <c r="H2943" s="11"/>
      <c r="I2943" s="12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14"/>
      <c r="X2943" s="3"/>
      <c r="Y2943" s="14"/>
      <c r="Z2943" s="3"/>
      <c r="AA2943" s="3"/>
      <c r="AB2943" s="3"/>
      <c r="AC2943" s="3"/>
      <c r="AD2943" s="3"/>
      <c r="AE2943" s="3"/>
      <c r="AF2943" s="3"/>
      <c r="AG2943" s="3"/>
      <c r="AH2943" s="3"/>
    </row>
    <row r="2944" spans="1:34" ht="14.25" customHeight="1" x14ac:dyDescent="0.25">
      <c r="A2944" s="3"/>
      <c r="B2944" s="3"/>
      <c r="C2944" s="3"/>
      <c r="D2944" s="3"/>
      <c r="E2944" s="3"/>
      <c r="F2944" s="3"/>
      <c r="G2944" s="3"/>
      <c r="H2944" s="11"/>
      <c r="I2944" s="12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14"/>
      <c r="X2944" s="3"/>
      <c r="Y2944" s="14"/>
      <c r="Z2944" s="3"/>
      <c r="AA2944" s="3"/>
      <c r="AB2944" s="3"/>
      <c r="AC2944" s="3"/>
      <c r="AD2944" s="3"/>
      <c r="AE2944" s="3"/>
      <c r="AF2944" s="3"/>
      <c r="AG2944" s="3"/>
      <c r="AH2944" s="3"/>
    </row>
    <row r="2945" spans="1:34" ht="14.25" customHeight="1" x14ac:dyDescent="0.25">
      <c r="A2945" s="3"/>
      <c r="B2945" s="3"/>
      <c r="C2945" s="3"/>
      <c r="D2945" s="3"/>
      <c r="E2945" s="3"/>
      <c r="F2945" s="3"/>
      <c r="G2945" s="14"/>
      <c r="H2945" s="11"/>
      <c r="I2945" s="12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14"/>
      <c r="X2945" s="3"/>
      <c r="Y2945" s="14"/>
      <c r="Z2945" s="3"/>
      <c r="AA2945" s="3"/>
      <c r="AB2945" s="3"/>
      <c r="AC2945" s="3"/>
      <c r="AD2945" s="3"/>
      <c r="AE2945" s="3"/>
      <c r="AF2945" s="3"/>
      <c r="AG2945" s="3"/>
      <c r="AH2945" s="3"/>
    </row>
    <row r="2946" spans="1:34" ht="14.25" customHeight="1" x14ac:dyDescent="0.25">
      <c r="A2946" s="3"/>
      <c r="B2946" s="3"/>
      <c r="C2946" s="3"/>
      <c r="D2946" s="3"/>
      <c r="E2946" s="3"/>
      <c r="F2946" s="3"/>
      <c r="G2946" s="14"/>
      <c r="H2946" s="11"/>
      <c r="I2946" s="12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14"/>
      <c r="X2946" s="3"/>
      <c r="Y2946" s="14"/>
      <c r="Z2946" s="3"/>
      <c r="AA2946" s="3"/>
      <c r="AB2946" s="3"/>
      <c r="AC2946" s="3"/>
      <c r="AD2946" s="3"/>
      <c r="AE2946" s="3"/>
      <c r="AF2946" s="3"/>
      <c r="AG2946" s="3"/>
      <c r="AH2946" s="3"/>
    </row>
    <row r="2947" spans="1:34" ht="14.25" customHeight="1" x14ac:dyDescent="0.25">
      <c r="A2947" s="3"/>
      <c r="B2947" s="3"/>
      <c r="C2947" s="3"/>
      <c r="D2947" s="3"/>
      <c r="E2947" s="3"/>
      <c r="F2947" s="3"/>
      <c r="G2947" s="14"/>
      <c r="H2947" s="11"/>
      <c r="I2947" s="12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14"/>
      <c r="X2947" s="3"/>
      <c r="Y2947" s="14"/>
      <c r="Z2947" s="3"/>
      <c r="AA2947" s="3"/>
      <c r="AB2947" s="3"/>
      <c r="AC2947" s="3"/>
      <c r="AD2947" s="3"/>
      <c r="AE2947" s="3"/>
      <c r="AF2947" s="3"/>
      <c r="AG2947" s="3"/>
      <c r="AH2947" s="3"/>
    </row>
    <row r="2948" spans="1:34" ht="14.25" customHeight="1" x14ac:dyDescent="0.25">
      <c r="A2948" s="3"/>
      <c r="B2948" s="3"/>
      <c r="C2948" s="3"/>
      <c r="D2948" s="3"/>
      <c r="E2948" s="3"/>
      <c r="F2948" s="3"/>
      <c r="G2948" s="14"/>
      <c r="H2948" s="11"/>
      <c r="I2948" s="12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14"/>
      <c r="X2948" s="3"/>
      <c r="Y2948" s="14"/>
      <c r="Z2948" s="3"/>
      <c r="AA2948" s="3"/>
      <c r="AB2948" s="3"/>
      <c r="AC2948" s="3"/>
      <c r="AD2948" s="3"/>
      <c r="AE2948" s="3"/>
      <c r="AF2948" s="3"/>
      <c r="AG2948" s="3"/>
      <c r="AH2948" s="3"/>
    </row>
    <row r="2949" spans="1:34" ht="14.25" customHeight="1" x14ac:dyDescent="0.25">
      <c r="A2949" s="3"/>
      <c r="B2949" s="3"/>
      <c r="C2949" s="3"/>
      <c r="D2949" s="3"/>
      <c r="E2949" s="3"/>
      <c r="F2949" s="3"/>
      <c r="G2949" s="14"/>
      <c r="H2949" s="11"/>
      <c r="I2949" s="12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14"/>
      <c r="X2949" s="3"/>
      <c r="Y2949" s="14"/>
      <c r="Z2949" s="3"/>
      <c r="AA2949" s="3"/>
      <c r="AB2949" s="3"/>
      <c r="AC2949" s="3"/>
      <c r="AD2949" s="3"/>
      <c r="AE2949" s="3"/>
      <c r="AF2949" s="3"/>
      <c r="AG2949" s="3"/>
      <c r="AH2949" s="3"/>
    </row>
    <row r="2950" spans="1:34" ht="14.25" customHeight="1" x14ac:dyDescent="0.25">
      <c r="A2950" s="3"/>
      <c r="B2950" s="3"/>
      <c r="C2950" s="3"/>
      <c r="D2950" s="3"/>
      <c r="E2950" s="3"/>
      <c r="F2950" s="3"/>
      <c r="G2950" s="14"/>
      <c r="H2950" s="11"/>
      <c r="I2950" s="12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14"/>
      <c r="X2950" s="3"/>
      <c r="Y2950" s="14"/>
      <c r="Z2950" s="3"/>
      <c r="AA2950" s="3"/>
      <c r="AB2950" s="3"/>
      <c r="AC2950" s="3"/>
      <c r="AD2950" s="3"/>
      <c r="AE2950" s="3"/>
      <c r="AF2950" s="3"/>
      <c r="AG2950" s="3"/>
      <c r="AH2950" s="3"/>
    </row>
    <row r="2951" spans="1:34" ht="14.25" customHeight="1" x14ac:dyDescent="0.25">
      <c r="A2951" s="3"/>
      <c r="B2951" s="3"/>
      <c r="C2951" s="3"/>
      <c r="D2951" s="3"/>
      <c r="E2951" s="3"/>
      <c r="F2951" s="3"/>
      <c r="G2951" s="14"/>
      <c r="H2951" s="11"/>
      <c r="I2951" s="12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14"/>
      <c r="X2951" s="3"/>
      <c r="Y2951" s="14"/>
      <c r="Z2951" s="3"/>
      <c r="AA2951" s="3"/>
      <c r="AB2951" s="3"/>
      <c r="AC2951" s="3"/>
      <c r="AD2951" s="3"/>
      <c r="AE2951" s="3"/>
      <c r="AF2951" s="3"/>
      <c r="AG2951" s="3"/>
      <c r="AH2951" s="3"/>
    </row>
    <row r="2952" spans="1:34" ht="14.25" customHeight="1" x14ac:dyDescent="0.25">
      <c r="A2952" s="3"/>
      <c r="B2952" s="3"/>
      <c r="C2952" s="3"/>
      <c r="D2952" s="3"/>
      <c r="E2952" s="3"/>
      <c r="F2952" s="3"/>
      <c r="G2952" s="3"/>
      <c r="H2952" s="11"/>
      <c r="I2952" s="12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14"/>
      <c r="X2952" s="3"/>
      <c r="Y2952" s="14"/>
      <c r="Z2952" s="3"/>
      <c r="AA2952" s="3"/>
      <c r="AB2952" s="3"/>
      <c r="AC2952" s="3"/>
      <c r="AD2952" s="3"/>
      <c r="AE2952" s="3"/>
      <c r="AF2952" s="3"/>
      <c r="AG2952" s="3"/>
      <c r="AH2952" s="3"/>
    </row>
    <row r="2953" spans="1:34" ht="14.25" customHeight="1" x14ac:dyDescent="0.25">
      <c r="A2953" s="3"/>
      <c r="B2953" s="3"/>
      <c r="C2953" s="3"/>
      <c r="D2953" s="3"/>
      <c r="E2953" s="3"/>
      <c r="F2953" s="3"/>
      <c r="G2953" s="3"/>
      <c r="H2953" s="11"/>
      <c r="I2953" s="12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14"/>
      <c r="X2953" s="3"/>
      <c r="Y2953" s="14"/>
      <c r="Z2953" s="3"/>
      <c r="AA2953" s="3"/>
      <c r="AB2953" s="3"/>
      <c r="AC2953" s="3"/>
      <c r="AD2953" s="3"/>
      <c r="AE2953" s="3"/>
      <c r="AF2953" s="3"/>
      <c r="AG2953" s="3"/>
      <c r="AH2953" s="3"/>
    </row>
    <row r="2954" spans="1:34" ht="14.25" customHeight="1" x14ac:dyDescent="0.25">
      <c r="A2954" s="3"/>
      <c r="B2954" s="3"/>
      <c r="C2954" s="3"/>
      <c r="D2954" s="3"/>
      <c r="E2954" s="3"/>
      <c r="F2954" s="3"/>
      <c r="G2954" s="3"/>
      <c r="H2954" s="11"/>
      <c r="I2954" s="12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14"/>
      <c r="X2954" s="3"/>
      <c r="Y2954" s="14"/>
      <c r="Z2954" s="3"/>
      <c r="AA2954" s="3"/>
      <c r="AB2954" s="3"/>
      <c r="AC2954" s="3"/>
      <c r="AD2954" s="3"/>
      <c r="AE2954" s="3"/>
      <c r="AF2954" s="3"/>
      <c r="AG2954" s="3"/>
      <c r="AH2954" s="3"/>
    </row>
    <row r="2955" spans="1:34" ht="14.25" customHeight="1" x14ac:dyDescent="0.25">
      <c r="A2955" s="3"/>
      <c r="B2955" s="3"/>
      <c r="C2955" s="3"/>
      <c r="D2955" s="3"/>
      <c r="E2955" s="3"/>
      <c r="F2955" s="3"/>
      <c r="G2955" s="14"/>
      <c r="H2955" s="11"/>
      <c r="I2955" s="12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14"/>
      <c r="X2955" s="3"/>
      <c r="Y2955" s="14"/>
      <c r="Z2955" s="3"/>
      <c r="AA2955" s="3"/>
      <c r="AB2955" s="3"/>
      <c r="AC2955" s="3"/>
      <c r="AD2955" s="3"/>
      <c r="AE2955" s="3"/>
      <c r="AF2955" s="3"/>
      <c r="AG2955" s="3"/>
      <c r="AH2955" s="3"/>
    </row>
    <row r="2956" spans="1:34" ht="14.25" customHeight="1" x14ac:dyDescent="0.25">
      <c r="A2956" s="3"/>
      <c r="B2956" s="3"/>
      <c r="C2956" s="3"/>
      <c r="D2956" s="3"/>
      <c r="E2956" s="3"/>
      <c r="F2956" s="3"/>
      <c r="G2956" s="14"/>
      <c r="H2956" s="11"/>
      <c r="I2956" s="12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14"/>
      <c r="X2956" s="3"/>
      <c r="Y2956" s="14"/>
      <c r="Z2956" s="3"/>
      <c r="AA2956" s="3"/>
      <c r="AB2956" s="3"/>
      <c r="AC2956" s="3"/>
      <c r="AD2956" s="3"/>
      <c r="AE2956" s="3"/>
      <c r="AF2956" s="3"/>
      <c r="AG2956" s="3"/>
      <c r="AH2956" s="3"/>
    </row>
    <row r="2957" spans="1:34" ht="14.25" customHeight="1" x14ac:dyDescent="0.25">
      <c r="A2957" s="3"/>
      <c r="B2957" s="3"/>
      <c r="C2957" s="3"/>
      <c r="D2957" s="3"/>
      <c r="E2957" s="3"/>
      <c r="F2957" s="3"/>
      <c r="G2957" s="14"/>
      <c r="H2957" s="11"/>
      <c r="I2957" s="12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14"/>
      <c r="X2957" s="3"/>
      <c r="Y2957" s="14"/>
      <c r="Z2957" s="3"/>
      <c r="AA2957" s="3"/>
      <c r="AB2957" s="3"/>
      <c r="AC2957" s="3"/>
      <c r="AD2957" s="3"/>
      <c r="AE2957" s="3"/>
      <c r="AF2957" s="3"/>
      <c r="AG2957" s="3"/>
      <c r="AH2957" s="3"/>
    </row>
    <row r="2958" spans="1:34" ht="14.25" customHeight="1" x14ac:dyDescent="0.25">
      <c r="A2958" s="3"/>
      <c r="B2958" s="3"/>
      <c r="C2958" s="3"/>
      <c r="D2958" s="3"/>
      <c r="E2958" s="3"/>
      <c r="F2958" s="3"/>
      <c r="G2958" s="14"/>
      <c r="H2958" s="11"/>
      <c r="I2958" s="12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14"/>
      <c r="X2958" s="3"/>
      <c r="Y2958" s="14"/>
      <c r="Z2958" s="3"/>
      <c r="AA2958" s="3"/>
      <c r="AB2958" s="3"/>
      <c r="AC2958" s="3"/>
      <c r="AD2958" s="3"/>
      <c r="AE2958" s="3"/>
      <c r="AF2958" s="3"/>
      <c r="AG2958" s="3"/>
      <c r="AH2958" s="3"/>
    </row>
    <row r="2959" spans="1:34" ht="14.25" customHeight="1" x14ac:dyDescent="0.25">
      <c r="A2959" s="3"/>
      <c r="B2959" s="3"/>
      <c r="C2959" s="3"/>
      <c r="D2959" s="3"/>
      <c r="E2959" s="3"/>
      <c r="F2959" s="3"/>
      <c r="G2959" s="14"/>
      <c r="H2959" s="11"/>
      <c r="I2959" s="12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14"/>
      <c r="X2959" s="3"/>
      <c r="Y2959" s="14"/>
      <c r="Z2959" s="3"/>
      <c r="AA2959" s="3"/>
      <c r="AB2959" s="3"/>
      <c r="AC2959" s="3"/>
      <c r="AD2959" s="3"/>
      <c r="AE2959" s="3"/>
      <c r="AF2959" s="3"/>
      <c r="AG2959" s="3"/>
      <c r="AH2959" s="3"/>
    </row>
    <row r="2960" spans="1:34" ht="14.25" customHeight="1" x14ac:dyDescent="0.25">
      <c r="A2960" s="3"/>
      <c r="B2960" s="3"/>
      <c r="C2960" s="3"/>
      <c r="D2960" s="3"/>
      <c r="E2960" s="3"/>
      <c r="F2960" s="3"/>
      <c r="G2960" s="14"/>
      <c r="H2960" s="11"/>
      <c r="I2960" s="12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14"/>
      <c r="X2960" s="3"/>
      <c r="Y2960" s="14"/>
      <c r="Z2960" s="3"/>
      <c r="AA2960" s="3"/>
      <c r="AB2960" s="3"/>
      <c r="AC2960" s="3"/>
      <c r="AD2960" s="3"/>
      <c r="AE2960" s="3"/>
      <c r="AF2960" s="3"/>
      <c r="AG2960" s="3"/>
      <c r="AH2960" s="3"/>
    </row>
    <row r="2961" spans="1:34" ht="14.25" customHeight="1" x14ac:dyDescent="0.25">
      <c r="A2961" s="3"/>
      <c r="B2961" s="3"/>
      <c r="C2961" s="3"/>
      <c r="D2961" s="3"/>
      <c r="E2961" s="3"/>
      <c r="F2961" s="3"/>
      <c r="G2961" s="14"/>
      <c r="H2961" s="11"/>
      <c r="I2961" s="12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14"/>
      <c r="X2961" s="3"/>
      <c r="Y2961" s="14"/>
      <c r="Z2961" s="3"/>
      <c r="AA2961" s="3"/>
      <c r="AB2961" s="3"/>
      <c r="AC2961" s="3"/>
      <c r="AD2961" s="3"/>
      <c r="AE2961" s="3"/>
      <c r="AF2961" s="3"/>
      <c r="AG2961" s="3"/>
      <c r="AH2961" s="3"/>
    </row>
    <row r="2962" spans="1:34" ht="14.25" customHeight="1" x14ac:dyDescent="0.25">
      <c r="A2962" s="3"/>
      <c r="B2962" s="3"/>
      <c r="C2962" s="3"/>
      <c r="D2962" s="3"/>
      <c r="E2962" s="3"/>
      <c r="F2962" s="3"/>
      <c r="G2962" s="14"/>
      <c r="H2962" s="11"/>
      <c r="I2962" s="12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14"/>
      <c r="X2962" s="3"/>
      <c r="Y2962" s="14"/>
      <c r="Z2962" s="3"/>
      <c r="AA2962" s="3"/>
      <c r="AB2962" s="3"/>
      <c r="AC2962" s="3"/>
      <c r="AD2962" s="3"/>
      <c r="AE2962" s="3"/>
      <c r="AF2962" s="3"/>
      <c r="AG2962" s="3"/>
      <c r="AH2962" s="3"/>
    </row>
    <row r="2963" spans="1:34" ht="14.25" customHeight="1" x14ac:dyDescent="0.25">
      <c r="A2963" s="3"/>
      <c r="B2963" s="3"/>
      <c r="C2963" s="3"/>
      <c r="D2963" s="3"/>
      <c r="E2963" s="3"/>
      <c r="F2963" s="3"/>
      <c r="G2963" s="3"/>
      <c r="H2963" s="11"/>
      <c r="I2963" s="12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14"/>
      <c r="X2963" s="3"/>
      <c r="Y2963" s="14"/>
      <c r="Z2963" s="3"/>
      <c r="AA2963" s="3"/>
      <c r="AB2963" s="3"/>
      <c r="AC2963" s="3"/>
      <c r="AD2963" s="3"/>
      <c r="AE2963" s="3"/>
      <c r="AF2963" s="3"/>
      <c r="AG2963" s="3"/>
      <c r="AH2963" s="3"/>
    </row>
    <row r="2964" spans="1:34" ht="14.25" customHeight="1" x14ac:dyDescent="0.25">
      <c r="A2964" s="3"/>
      <c r="B2964" s="3"/>
      <c r="C2964" s="3"/>
      <c r="D2964" s="3"/>
      <c r="E2964" s="3"/>
      <c r="F2964" s="3"/>
      <c r="G2964" s="3"/>
      <c r="H2964" s="11"/>
      <c r="I2964" s="12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14"/>
      <c r="X2964" s="3"/>
      <c r="Y2964" s="14"/>
      <c r="Z2964" s="3"/>
      <c r="AA2964" s="3"/>
      <c r="AB2964" s="3"/>
      <c r="AC2964" s="3"/>
      <c r="AD2964" s="3"/>
      <c r="AE2964" s="3"/>
      <c r="AF2964" s="3"/>
      <c r="AG2964" s="3"/>
      <c r="AH2964" s="3"/>
    </row>
    <row r="2965" spans="1:34" ht="14.25" customHeight="1" x14ac:dyDescent="0.25">
      <c r="A2965" s="3"/>
      <c r="B2965" s="3"/>
      <c r="C2965" s="3"/>
      <c r="D2965" s="3"/>
      <c r="E2965" s="3"/>
      <c r="F2965" s="3"/>
      <c r="G2965" s="3"/>
      <c r="H2965" s="11"/>
      <c r="I2965" s="12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14"/>
      <c r="X2965" s="3"/>
      <c r="Y2965" s="14"/>
      <c r="Z2965" s="3"/>
      <c r="AA2965" s="3"/>
      <c r="AB2965" s="3"/>
      <c r="AC2965" s="3"/>
      <c r="AD2965" s="3"/>
      <c r="AE2965" s="3"/>
      <c r="AF2965" s="3"/>
      <c r="AG2965" s="3"/>
      <c r="AH2965" s="3"/>
    </row>
    <row r="2966" spans="1:34" ht="14.25" customHeight="1" x14ac:dyDescent="0.25">
      <c r="A2966" s="3"/>
      <c r="B2966" s="3"/>
      <c r="C2966" s="3"/>
      <c r="D2966" s="3"/>
      <c r="E2966" s="3"/>
      <c r="F2966" s="3"/>
      <c r="G2966" s="14"/>
      <c r="H2966" s="11"/>
      <c r="I2966" s="12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14"/>
      <c r="X2966" s="3"/>
      <c r="Y2966" s="14"/>
      <c r="Z2966" s="3"/>
      <c r="AA2966" s="3"/>
      <c r="AB2966" s="3"/>
      <c r="AC2966" s="3"/>
      <c r="AD2966" s="3"/>
      <c r="AE2966" s="3"/>
      <c r="AF2966" s="3"/>
      <c r="AG2966" s="3"/>
      <c r="AH2966" s="3"/>
    </row>
    <row r="2967" spans="1:34" ht="14.25" customHeight="1" x14ac:dyDescent="0.25">
      <c r="A2967" s="3"/>
      <c r="B2967" s="3"/>
      <c r="C2967" s="3"/>
      <c r="D2967" s="3"/>
      <c r="E2967" s="3"/>
      <c r="F2967" s="3"/>
      <c r="G2967" s="14"/>
      <c r="H2967" s="11"/>
      <c r="I2967" s="12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14"/>
      <c r="X2967" s="3"/>
      <c r="Y2967" s="14"/>
      <c r="Z2967" s="3"/>
      <c r="AA2967" s="3"/>
      <c r="AB2967" s="3"/>
      <c r="AC2967" s="3"/>
      <c r="AD2967" s="3"/>
      <c r="AE2967" s="3"/>
      <c r="AF2967" s="3"/>
      <c r="AG2967" s="3"/>
      <c r="AH2967" s="3"/>
    </row>
    <row r="2968" spans="1:34" ht="14.25" customHeight="1" x14ac:dyDescent="0.25">
      <c r="A2968" s="3"/>
      <c r="B2968" s="3"/>
      <c r="C2968" s="3"/>
      <c r="D2968" s="3"/>
      <c r="E2968" s="3"/>
      <c r="F2968" s="3"/>
      <c r="G2968" s="14"/>
      <c r="H2968" s="11"/>
      <c r="I2968" s="12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14"/>
      <c r="X2968" s="3"/>
      <c r="Y2968" s="14"/>
      <c r="Z2968" s="3"/>
      <c r="AA2968" s="3"/>
      <c r="AB2968" s="3"/>
      <c r="AC2968" s="3"/>
      <c r="AD2968" s="3"/>
      <c r="AE2968" s="3"/>
      <c r="AF2968" s="3"/>
      <c r="AG2968" s="3"/>
      <c r="AH2968" s="3"/>
    </row>
    <row r="2969" spans="1:34" ht="14.25" customHeight="1" x14ac:dyDescent="0.25">
      <c r="A2969" s="3"/>
      <c r="B2969" s="3"/>
      <c r="C2969" s="3"/>
      <c r="D2969" s="3"/>
      <c r="E2969" s="3"/>
      <c r="F2969" s="3"/>
      <c r="G2969" s="3"/>
      <c r="H2969" s="11"/>
      <c r="I2969" s="12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14"/>
      <c r="X2969" s="3"/>
      <c r="Y2969" s="14"/>
      <c r="Z2969" s="3"/>
      <c r="AA2969" s="3"/>
      <c r="AB2969" s="3"/>
      <c r="AC2969" s="3"/>
      <c r="AD2969" s="3"/>
      <c r="AE2969" s="3"/>
      <c r="AF2969" s="3"/>
      <c r="AG2969" s="3"/>
      <c r="AH2969" s="3"/>
    </row>
    <row r="2970" spans="1:34" ht="14.25" customHeight="1" x14ac:dyDescent="0.25">
      <c r="A2970" s="3"/>
      <c r="B2970" s="3"/>
      <c r="C2970" s="3"/>
      <c r="D2970" s="3"/>
      <c r="E2970" s="3"/>
      <c r="F2970" s="3"/>
      <c r="G2970" s="14"/>
      <c r="H2970" s="11"/>
      <c r="I2970" s="12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14"/>
      <c r="X2970" s="3"/>
      <c r="Y2970" s="14"/>
      <c r="Z2970" s="3"/>
      <c r="AA2970" s="3"/>
      <c r="AB2970" s="3"/>
      <c r="AC2970" s="3"/>
      <c r="AD2970" s="3"/>
      <c r="AE2970" s="3"/>
      <c r="AF2970" s="3"/>
      <c r="AG2970" s="3"/>
      <c r="AH2970" s="3"/>
    </row>
    <row r="2971" spans="1:34" ht="14.25" customHeight="1" x14ac:dyDescent="0.25">
      <c r="A2971" s="3"/>
      <c r="B2971" s="3"/>
      <c r="C2971" s="3"/>
      <c r="D2971" s="3"/>
      <c r="E2971" s="3"/>
      <c r="F2971" s="3"/>
      <c r="G2971" s="14"/>
      <c r="H2971" s="11"/>
      <c r="I2971" s="12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14"/>
      <c r="X2971" s="3"/>
      <c r="Y2971" s="14"/>
      <c r="Z2971" s="3"/>
      <c r="AA2971" s="3"/>
      <c r="AB2971" s="3"/>
      <c r="AC2971" s="3"/>
      <c r="AD2971" s="3"/>
      <c r="AE2971" s="3"/>
      <c r="AF2971" s="3"/>
      <c r="AG2971" s="3"/>
      <c r="AH2971" s="3"/>
    </row>
    <row r="2972" spans="1:34" ht="14.25" customHeight="1" x14ac:dyDescent="0.25">
      <c r="A2972" s="3"/>
      <c r="B2972" s="3"/>
      <c r="C2972" s="3"/>
      <c r="D2972" s="3"/>
      <c r="E2972" s="3"/>
      <c r="F2972" s="3"/>
      <c r="G2972" s="14"/>
      <c r="H2972" s="11"/>
      <c r="I2972" s="12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14"/>
      <c r="X2972" s="3"/>
      <c r="Y2972" s="14"/>
      <c r="Z2972" s="3"/>
      <c r="AA2972" s="3"/>
      <c r="AB2972" s="3"/>
      <c r="AC2972" s="3"/>
      <c r="AD2972" s="3"/>
      <c r="AE2972" s="3"/>
      <c r="AF2972" s="3"/>
      <c r="AG2972" s="3"/>
      <c r="AH2972" s="3"/>
    </row>
    <row r="2973" spans="1:34" ht="14.25" customHeight="1" x14ac:dyDescent="0.25">
      <c r="A2973" s="3"/>
      <c r="B2973" s="3"/>
      <c r="C2973" s="3"/>
      <c r="D2973" s="3"/>
      <c r="E2973" s="3"/>
      <c r="F2973" s="3"/>
      <c r="G2973" s="14"/>
      <c r="H2973" s="11"/>
      <c r="I2973" s="12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14"/>
      <c r="X2973" s="3"/>
      <c r="Y2973" s="14"/>
      <c r="Z2973" s="3"/>
      <c r="AA2973" s="3"/>
      <c r="AB2973" s="3"/>
      <c r="AC2973" s="3"/>
      <c r="AD2973" s="3"/>
      <c r="AE2973" s="3"/>
      <c r="AF2973" s="3"/>
      <c r="AG2973" s="3"/>
      <c r="AH2973" s="3"/>
    </row>
    <row r="2974" spans="1:34" ht="14.25" customHeight="1" x14ac:dyDescent="0.25">
      <c r="A2974" s="3"/>
      <c r="B2974" s="3"/>
      <c r="C2974" s="3"/>
      <c r="D2974" s="3"/>
      <c r="E2974" s="3"/>
      <c r="F2974" s="3"/>
      <c r="G2974" s="14"/>
      <c r="H2974" s="11"/>
      <c r="I2974" s="12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14"/>
      <c r="X2974" s="3"/>
      <c r="Y2974" s="14"/>
      <c r="Z2974" s="3"/>
      <c r="AA2974" s="3"/>
      <c r="AB2974" s="3"/>
      <c r="AC2974" s="3"/>
      <c r="AD2974" s="3"/>
      <c r="AE2974" s="3"/>
      <c r="AF2974" s="3"/>
      <c r="AG2974" s="3"/>
      <c r="AH2974" s="3"/>
    </row>
    <row r="2975" spans="1:34" ht="14.25" customHeight="1" x14ac:dyDescent="0.25">
      <c r="A2975" s="3"/>
      <c r="B2975" s="3"/>
      <c r="C2975" s="3"/>
      <c r="D2975" s="3"/>
      <c r="E2975" s="3"/>
      <c r="F2975" s="3"/>
      <c r="G2975" s="14"/>
      <c r="H2975" s="11"/>
      <c r="I2975" s="12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14"/>
      <c r="X2975" s="3"/>
      <c r="Y2975" s="14"/>
      <c r="Z2975" s="3"/>
      <c r="AA2975" s="3"/>
      <c r="AB2975" s="3"/>
      <c r="AC2975" s="3"/>
      <c r="AD2975" s="3"/>
      <c r="AE2975" s="3"/>
      <c r="AF2975" s="3"/>
      <c r="AG2975" s="3"/>
      <c r="AH2975" s="3"/>
    </row>
    <row r="2976" spans="1:34" ht="14.25" customHeight="1" x14ac:dyDescent="0.25">
      <c r="A2976" s="3"/>
      <c r="B2976" s="3"/>
      <c r="C2976" s="3"/>
      <c r="D2976" s="3"/>
      <c r="E2976" s="3"/>
      <c r="F2976" s="3"/>
      <c r="G2976" s="14"/>
      <c r="H2976" s="11"/>
      <c r="I2976" s="12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14"/>
      <c r="X2976" s="3"/>
      <c r="Y2976" s="14"/>
      <c r="Z2976" s="3"/>
      <c r="AA2976" s="3"/>
      <c r="AB2976" s="3"/>
      <c r="AC2976" s="3"/>
      <c r="AD2976" s="3"/>
      <c r="AE2976" s="3"/>
      <c r="AF2976" s="3"/>
      <c r="AG2976" s="3"/>
      <c r="AH2976" s="3"/>
    </row>
    <row r="2977" spans="1:34" ht="14.25" customHeight="1" x14ac:dyDescent="0.25">
      <c r="A2977" s="3"/>
      <c r="B2977" s="3"/>
      <c r="C2977" s="3"/>
      <c r="D2977" s="3"/>
      <c r="E2977" s="3"/>
      <c r="F2977" s="3"/>
      <c r="G2977" s="14"/>
      <c r="H2977" s="11"/>
      <c r="I2977" s="12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14"/>
      <c r="X2977" s="3"/>
      <c r="Y2977" s="14"/>
      <c r="Z2977" s="3"/>
      <c r="AA2977" s="3"/>
      <c r="AB2977" s="3"/>
      <c r="AC2977" s="3"/>
      <c r="AD2977" s="3"/>
      <c r="AE2977" s="3"/>
      <c r="AF2977" s="3"/>
      <c r="AG2977" s="3"/>
      <c r="AH2977" s="3"/>
    </row>
    <row r="2978" spans="1:34" ht="14.25" customHeight="1" x14ac:dyDescent="0.25">
      <c r="A2978" s="3"/>
      <c r="B2978" s="3"/>
      <c r="C2978" s="3"/>
      <c r="D2978" s="3"/>
      <c r="E2978" s="3"/>
      <c r="F2978" s="3"/>
      <c r="G2978" s="14"/>
      <c r="H2978" s="11"/>
      <c r="I2978" s="12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14"/>
      <c r="X2978" s="3"/>
      <c r="Y2978" s="14"/>
      <c r="Z2978" s="3"/>
      <c r="AA2978" s="3"/>
      <c r="AB2978" s="3"/>
      <c r="AC2978" s="3"/>
      <c r="AD2978" s="3"/>
      <c r="AE2978" s="3"/>
      <c r="AF2978" s="3"/>
      <c r="AG2978" s="3"/>
      <c r="AH2978" s="3"/>
    </row>
    <row r="2979" spans="1:34" ht="14.25" customHeight="1" x14ac:dyDescent="0.25">
      <c r="A2979" s="3"/>
      <c r="B2979" s="3"/>
      <c r="C2979" s="3"/>
      <c r="D2979" s="3"/>
      <c r="E2979" s="3"/>
      <c r="F2979" s="3"/>
      <c r="G2979" s="14"/>
      <c r="H2979" s="11"/>
      <c r="I2979" s="12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14"/>
      <c r="X2979" s="3"/>
      <c r="Y2979" s="14"/>
      <c r="Z2979" s="3"/>
      <c r="AA2979" s="3"/>
      <c r="AB2979" s="3"/>
      <c r="AC2979" s="3"/>
      <c r="AD2979" s="3"/>
      <c r="AE2979" s="3"/>
      <c r="AF2979" s="3"/>
      <c r="AG2979" s="3"/>
      <c r="AH2979" s="3"/>
    </row>
    <row r="2980" spans="1:34" ht="14.25" customHeight="1" x14ac:dyDescent="0.25">
      <c r="A2980" s="3"/>
      <c r="B2980" s="3"/>
      <c r="C2980" s="3"/>
      <c r="D2980" s="3"/>
      <c r="E2980" s="3"/>
      <c r="F2980" s="3"/>
      <c r="G2980" s="14"/>
      <c r="H2980" s="11"/>
      <c r="I2980" s="12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14"/>
      <c r="X2980" s="3"/>
      <c r="Y2980" s="14"/>
      <c r="Z2980" s="3"/>
      <c r="AA2980" s="3"/>
      <c r="AB2980" s="3"/>
      <c r="AC2980" s="3"/>
      <c r="AD2980" s="3"/>
      <c r="AE2980" s="3"/>
      <c r="AF2980" s="3"/>
      <c r="AG2980" s="3"/>
      <c r="AH2980" s="3"/>
    </row>
    <row r="2981" spans="1:34" ht="14.25" customHeight="1" x14ac:dyDescent="0.25">
      <c r="A2981" s="3"/>
      <c r="B2981" s="3"/>
      <c r="C2981" s="3"/>
      <c r="D2981" s="3"/>
      <c r="E2981" s="3"/>
      <c r="F2981" s="3"/>
      <c r="G2981" s="3"/>
      <c r="H2981" s="11"/>
      <c r="I2981" s="12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14"/>
      <c r="X2981" s="3"/>
      <c r="Y2981" s="14"/>
      <c r="Z2981" s="3"/>
      <c r="AA2981" s="3"/>
      <c r="AB2981" s="3"/>
      <c r="AC2981" s="3"/>
      <c r="AD2981" s="3"/>
      <c r="AE2981" s="3"/>
      <c r="AF2981" s="3"/>
      <c r="AG2981" s="3"/>
      <c r="AH2981" s="3"/>
    </row>
    <row r="2982" spans="1:34" ht="14.25" customHeight="1" x14ac:dyDescent="0.25">
      <c r="A2982" s="3"/>
      <c r="B2982" s="3"/>
      <c r="C2982" s="3"/>
      <c r="D2982" s="3"/>
      <c r="E2982" s="3"/>
      <c r="F2982" s="3"/>
      <c r="G2982" s="14"/>
      <c r="H2982" s="11"/>
      <c r="I2982" s="12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14"/>
      <c r="X2982" s="3"/>
      <c r="Y2982" s="14"/>
      <c r="Z2982" s="3"/>
      <c r="AA2982" s="3"/>
      <c r="AB2982" s="3"/>
      <c r="AC2982" s="3"/>
      <c r="AD2982" s="3"/>
      <c r="AE2982" s="3"/>
      <c r="AF2982" s="3"/>
      <c r="AG2982" s="3"/>
      <c r="AH2982" s="3"/>
    </row>
    <row r="2983" spans="1:34" ht="14.25" customHeight="1" x14ac:dyDescent="0.25">
      <c r="A2983" s="3"/>
      <c r="B2983" s="3"/>
      <c r="C2983" s="3"/>
      <c r="D2983" s="3"/>
      <c r="E2983" s="3"/>
      <c r="F2983" s="3"/>
      <c r="G2983" s="14"/>
      <c r="H2983" s="11"/>
      <c r="I2983" s="12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14"/>
      <c r="X2983" s="3"/>
      <c r="Y2983" s="14"/>
      <c r="Z2983" s="3"/>
      <c r="AA2983" s="3"/>
      <c r="AB2983" s="3"/>
      <c r="AC2983" s="3"/>
      <c r="AD2983" s="3"/>
      <c r="AE2983" s="3"/>
      <c r="AF2983" s="3"/>
      <c r="AG2983" s="3"/>
      <c r="AH2983" s="3"/>
    </row>
    <row r="2984" spans="1:34" ht="14.25" customHeight="1" x14ac:dyDescent="0.25">
      <c r="A2984" s="3"/>
      <c r="B2984" s="3"/>
      <c r="C2984" s="3"/>
      <c r="D2984" s="3"/>
      <c r="E2984" s="3"/>
      <c r="F2984" s="3"/>
      <c r="G2984" s="14"/>
      <c r="H2984" s="11"/>
      <c r="I2984" s="12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14"/>
      <c r="X2984" s="3"/>
      <c r="Y2984" s="14"/>
      <c r="Z2984" s="3"/>
      <c r="AA2984" s="3"/>
      <c r="AB2984" s="3"/>
      <c r="AC2984" s="3"/>
      <c r="AD2984" s="3"/>
      <c r="AE2984" s="3"/>
      <c r="AF2984" s="3"/>
      <c r="AG2984" s="3"/>
      <c r="AH2984" s="3"/>
    </row>
    <row r="2985" spans="1:34" ht="14.25" customHeight="1" x14ac:dyDescent="0.25">
      <c r="A2985" s="3"/>
      <c r="B2985" s="3"/>
      <c r="C2985" s="3"/>
      <c r="D2985" s="3"/>
      <c r="E2985" s="3"/>
      <c r="F2985" s="3"/>
      <c r="G2985" s="14"/>
      <c r="H2985" s="11"/>
      <c r="I2985" s="12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14"/>
      <c r="X2985" s="3"/>
      <c r="Y2985" s="14"/>
      <c r="Z2985" s="3"/>
      <c r="AA2985" s="3"/>
      <c r="AB2985" s="3"/>
      <c r="AC2985" s="3"/>
      <c r="AD2985" s="3"/>
      <c r="AE2985" s="3"/>
      <c r="AF2985" s="3"/>
      <c r="AG2985" s="3"/>
      <c r="AH2985" s="3"/>
    </row>
    <row r="2986" spans="1:34" ht="14.25" customHeight="1" x14ac:dyDescent="0.25">
      <c r="A2986" s="3"/>
      <c r="B2986" s="3"/>
      <c r="C2986" s="3"/>
      <c r="D2986" s="3"/>
      <c r="E2986" s="3"/>
      <c r="F2986" s="3"/>
      <c r="G2986" s="14"/>
      <c r="H2986" s="11"/>
      <c r="I2986" s="12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14"/>
      <c r="X2986" s="3"/>
      <c r="Y2986" s="14"/>
      <c r="Z2986" s="3"/>
      <c r="AA2986" s="3"/>
      <c r="AB2986" s="3"/>
      <c r="AC2986" s="3"/>
      <c r="AD2986" s="3"/>
      <c r="AE2986" s="3"/>
      <c r="AF2986" s="3"/>
      <c r="AG2986" s="3"/>
      <c r="AH2986" s="3"/>
    </row>
    <row r="2987" spans="1:34" ht="14.25" customHeight="1" x14ac:dyDescent="0.25">
      <c r="A2987" s="3"/>
      <c r="B2987" s="3"/>
      <c r="C2987" s="3"/>
      <c r="D2987" s="3"/>
      <c r="E2987" s="3"/>
      <c r="F2987" s="3"/>
      <c r="G2987" s="3"/>
      <c r="H2987" s="11"/>
      <c r="I2987" s="12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14"/>
      <c r="X2987" s="3"/>
      <c r="Y2987" s="14"/>
      <c r="Z2987" s="3"/>
      <c r="AA2987" s="3"/>
      <c r="AB2987" s="3"/>
      <c r="AC2987" s="3"/>
      <c r="AD2987" s="3"/>
      <c r="AE2987" s="3"/>
      <c r="AF2987" s="3"/>
      <c r="AG2987" s="3"/>
      <c r="AH2987" s="3"/>
    </row>
    <row r="2988" spans="1:34" ht="14.25" customHeight="1" x14ac:dyDescent="0.25">
      <c r="A2988" s="3"/>
      <c r="B2988" s="3"/>
      <c r="C2988" s="3"/>
      <c r="D2988" s="3"/>
      <c r="E2988" s="3"/>
      <c r="F2988" s="3"/>
      <c r="G2988" s="3"/>
      <c r="H2988" s="11"/>
      <c r="I2988" s="12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14"/>
      <c r="X2988" s="3"/>
      <c r="Y2988" s="14"/>
      <c r="Z2988" s="3"/>
      <c r="AA2988" s="3"/>
      <c r="AB2988" s="3"/>
      <c r="AC2988" s="3"/>
      <c r="AD2988" s="3"/>
      <c r="AE2988" s="3"/>
      <c r="AF2988" s="3"/>
      <c r="AG2988" s="3"/>
      <c r="AH2988" s="3"/>
    </row>
    <row r="2989" spans="1:34" ht="14.25" customHeight="1" x14ac:dyDescent="0.25">
      <c r="A2989" s="3"/>
      <c r="B2989" s="3"/>
      <c r="C2989" s="3"/>
      <c r="D2989" s="3"/>
      <c r="E2989" s="3"/>
      <c r="F2989" s="3"/>
      <c r="G2989" s="3"/>
      <c r="H2989" s="11"/>
      <c r="I2989" s="12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14"/>
      <c r="X2989" s="3"/>
      <c r="Y2989" s="14"/>
      <c r="Z2989" s="3"/>
      <c r="AA2989" s="3"/>
      <c r="AB2989" s="3"/>
      <c r="AC2989" s="3"/>
      <c r="AD2989" s="3"/>
      <c r="AE2989" s="3"/>
      <c r="AF2989" s="3"/>
      <c r="AG2989" s="3"/>
      <c r="AH2989" s="3"/>
    </row>
    <row r="2990" spans="1:34" ht="14.25" customHeight="1" x14ac:dyDescent="0.25">
      <c r="A2990" s="3"/>
      <c r="B2990" s="3"/>
      <c r="C2990" s="3"/>
      <c r="D2990" s="3"/>
      <c r="E2990" s="3"/>
      <c r="F2990" s="3"/>
      <c r="G2990" s="14"/>
      <c r="H2990" s="11"/>
      <c r="I2990" s="12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14"/>
      <c r="X2990" s="3"/>
      <c r="Y2990" s="14"/>
      <c r="Z2990" s="3"/>
      <c r="AA2990" s="3"/>
      <c r="AB2990" s="3"/>
      <c r="AC2990" s="3"/>
      <c r="AD2990" s="3"/>
      <c r="AE2990" s="3"/>
      <c r="AF2990" s="3"/>
      <c r="AG2990" s="3"/>
      <c r="AH2990" s="3"/>
    </row>
    <row r="2991" spans="1:34" ht="14.25" customHeight="1" x14ac:dyDescent="0.25">
      <c r="A2991" s="3"/>
      <c r="B2991" s="3"/>
      <c r="C2991" s="3"/>
      <c r="D2991" s="3"/>
      <c r="E2991" s="3"/>
      <c r="F2991" s="3"/>
      <c r="G2991" s="14"/>
      <c r="H2991" s="11"/>
      <c r="I2991" s="12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14"/>
      <c r="X2991" s="3"/>
      <c r="Y2991" s="14"/>
      <c r="Z2991" s="3"/>
      <c r="AA2991" s="3"/>
      <c r="AB2991" s="3"/>
      <c r="AC2991" s="3"/>
      <c r="AD2991" s="3"/>
      <c r="AE2991" s="3"/>
      <c r="AF2991" s="3"/>
      <c r="AG2991" s="3"/>
      <c r="AH2991" s="3"/>
    </row>
    <row r="2992" spans="1:34" ht="14.25" customHeight="1" x14ac:dyDescent="0.25">
      <c r="A2992" s="3"/>
      <c r="B2992" s="3"/>
      <c r="C2992" s="3"/>
      <c r="D2992" s="3"/>
      <c r="E2992" s="3"/>
      <c r="F2992" s="3"/>
      <c r="G2992" s="14"/>
      <c r="H2992" s="11"/>
      <c r="I2992" s="12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14"/>
      <c r="X2992" s="3"/>
      <c r="Y2992" s="14"/>
      <c r="Z2992" s="3"/>
      <c r="AA2992" s="3"/>
      <c r="AB2992" s="3"/>
      <c r="AC2992" s="3"/>
      <c r="AD2992" s="3"/>
      <c r="AE2992" s="3"/>
      <c r="AF2992" s="3"/>
      <c r="AG2992" s="3"/>
      <c r="AH2992" s="3"/>
    </row>
    <row r="2993" spans="1:34" ht="14.25" customHeight="1" x14ac:dyDescent="0.25">
      <c r="A2993" s="3"/>
      <c r="B2993" s="3"/>
      <c r="C2993" s="3"/>
      <c r="D2993" s="3"/>
      <c r="E2993" s="3"/>
      <c r="F2993" s="3"/>
      <c r="G2993" s="3"/>
      <c r="H2993" s="11"/>
      <c r="I2993" s="12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14"/>
      <c r="X2993" s="3"/>
      <c r="Y2993" s="14"/>
      <c r="Z2993" s="3"/>
      <c r="AA2993" s="3"/>
      <c r="AB2993" s="3"/>
      <c r="AC2993" s="3"/>
      <c r="AD2993" s="3"/>
      <c r="AE2993" s="3"/>
      <c r="AF2993" s="3"/>
      <c r="AG2993" s="3"/>
      <c r="AH2993" s="3"/>
    </row>
    <row r="2994" spans="1:34" ht="14.25" customHeight="1" x14ac:dyDescent="0.25">
      <c r="A2994" s="3"/>
      <c r="B2994" s="3"/>
      <c r="C2994" s="3"/>
      <c r="D2994" s="3"/>
      <c r="E2994" s="3"/>
      <c r="F2994" s="3"/>
      <c r="G2994" s="14"/>
      <c r="H2994" s="11"/>
      <c r="I2994" s="12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14"/>
      <c r="X2994" s="3"/>
      <c r="Y2994" s="14"/>
      <c r="Z2994" s="3"/>
      <c r="AA2994" s="3"/>
      <c r="AB2994" s="3"/>
      <c r="AC2994" s="3"/>
      <c r="AD2994" s="3"/>
      <c r="AE2994" s="3"/>
      <c r="AF2994" s="3"/>
      <c r="AG2994" s="3"/>
      <c r="AH2994" s="3"/>
    </row>
    <row r="2995" spans="1:34" ht="14.25" customHeight="1" x14ac:dyDescent="0.25">
      <c r="A2995" s="3"/>
      <c r="B2995" s="3"/>
      <c r="C2995" s="3"/>
      <c r="D2995" s="3"/>
      <c r="E2995" s="3"/>
      <c r="F2995" s="3"/>
      <c r="G2995" s="14"/>
      <c r="H2995" s="11"/>
      <c r="I2995" s="12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14"/>
      <c r="X2995" s="3"/>
      <c r="Y2995" s="14"/>
      <c r="Z2995" s="3"/>
      <c r="AA2995" s="3"/>
      <c r="AB2995" s="3"/>
      <c r="AC2995" s="3"/>
      <c r="AD2995" s="3"/>
      <c r="AE2995" s="3"/>
      <c r="AF2995" s="3"/>
      <c r="AG2995" s="3"/>
      <c r="AH2995" s="3"/>
    </row>
    <row r="2996" spans="1:34" ht="14.25" customHeight="1" x14ac:dyDescent="0.25">
      <c r="A2996" s="3"/>
      <c r="B2996" s="3"/>
      <c r="C2996" s="3"/>
      <c r="D2996" s="3"/>
      <c r="E2996" s="3"/>
      <c r="F2996" s="3"/>
      <c r="G2996" s="14"/>
      <c r="H2996" s="11"/>
      <c r="I2996" s="12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14"/>
      <c r="X2996" s="3"/>
      <c r="Y2996" s="14"/>
      <c r="Z2996" s="3"/>
      <c r="AA2996" s="3"/>
      <c r="AB2996" s="3"/>
      <c r="AC2996" s="3"/>
      <c r="AD2996" s="3"/>
      <c r="AE2996" s="3"/>
      <c r="AF2996" s="3"/>
      <c r="AG2996" s="3"/>
      <c r="AH2996" s="3"/>
    </row>
    <row r="2997" spans="1:34" ht="14.25" customHeight="1" x14ac:dyDescent="0.25">
      <c r="A2997" s="3"/>
      <c r="B2997" s="3"/>
      <c r="C2997" s="3"/>
      <c r="D2997" s="3"/>
      <c r="E2997" s="3"/>
      <c r="F2997" s="3"/>
      <c r="G2997" s="14"/>
      <c r="H2997" s="11"/>
      <c r="I2997" s="12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14"/>
      <c r="X2997" s="3"/>
      <c r="Y2997" s="14"/>
      <c r="Z2997" s="3"/>
      <c r="AA2997" s="3"/>
      <c r="AB2997" s="3"/>
      <c r="AC2997" s="3"/>
      <c r="AD2997" s="3"/>
      <c r="AE2997" s="3"/>
      <c r="AF2997" s="3"/>
      <c r="AG2997" s="3"/>
      <c r="AH2997" s="3"/>
    </row>
    <row r="2998" spans="1:34" ht="14.25" customHeight="1" x14ac:dyDescent="0.25">
      <c r="A2998" s="3"/>
      <c r="B2998" s="3"/>
      <c r="C2998" s="3"/>
      <c r="D2998" s="3"/>
      <c r="E2998" s="3"/>
      <c r="F2998" s="3"/>
      <c r="G2998" s="14"/>
      <c r="H2998" s="11"/>
      <c r="I2998" s="12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14"/>
      <c r="X2998" s="3"/>
      <c r="Y2998" s="14"/>
      <c r="Z2998" s="3"/>
      <c r="AA2998" s="3"/>
      <c r="AB2998" s="3"/>
      <c r="AC2998" s="3"/>
      <c r="AD2998" s="3"/>
      <c r="AE2998" s="3"/>
      <c r="AF2998" s="3"/>
      <c r="AG2998" s="3"/>
      <c r="AH2998" s="3"/>
    </row>
    <row r="2999" spans="1:34" ht="14.25" customHeight="1" x14ac:dyDescent="0.25">
      <c r="A2999" s="3"/>
      <c r="B2999" s="3"/>
      <c r="C2999" s="3"/>
      <c r="D2999" s="3"/>
      <c r="E2999" s="3"/>
      <c r="F2999" s="3"/>
      <c r="G2999" s="14"/>
      <c r="H2999" s="11"/>
      <c r="I2999" s="12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14"/>
      <c r="X2999" s="3"/>
      <c r="Y2999" s="14"/>
      <c r="Z2999" s="3"/>
      <c r="AA2999" s="3"/>
      <c r="AB2999" s="3"/>
      <c r="AC2999" s="3"/>
      <c r="AD2999" s="3"/>
      <c r="AE2999" s="3"/>
      <c r="AF2999" s="3"/>
      <c r="AG2999" s="3"/>
      <c r="AH2999" s="3"/>
    </row>
    <row r="3000" spans="1:34" ht="14.25" customHeight="1" x14ac:dyDescent="0.25">
      <c r="A3000" s="3"/>
      <c r="B3000" s="3"/>
      <c r="C3000" s="3"/>
      <c r="D3000" s="3"/>
      <c r="E3000" s="3"/>
      <c r="F3000" s="3"/>
      <c r="G3000" s="14"/>
      <c r="H3000" s="11"/>
      <c r="I3000" s="12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14"/>
      <c r="X3000" s="3"/>
      <c r="Y3000" s="14"/>
      <c r="Z3000" s="3"/>
      <c r="AA3000" s="3"/>
      <c r="AB3000" s="3"/>
      <c r="AC3000" s="3"/>
      <c r="AD3000" s="3"/>
      <c r="AE3000" s="3"/>
      <c r="AF3000" s="3"/>
      <c r="AG3000" s="3"/>
      <c r="AH3000" s="3"/>
    </row>
    <row r="3001" spans="1:34" ht="14.25" customHeight="1" x14ac:dyDescent="0.25">
      <c r="A3001" s="3"/>
      <c r="B3001" s="3"/>
      <c r="C3001" s="3"/>
      <c r="D3001" s="3"/>
      <c r="E3001" s="3"/>
      <c r="F3001" s="3"/>
      <c r="G3001" s="3"/>
      <c r="H3001" s="11"/>
      <c r="I3001" s="12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14"/>
      <c r="X3001" s="3"/>
      <c r="Y3001" s="14"/>
      <c r="Z3001" s="3"/>
      <c r="AA3001" s="3"/>
      <c r="AB3001" s="3"/>
      <c r="AC3001" s="3"/>
      <c r="AD3001" s="3"/>
      <c r="AE3001" s="3"/>
      <c r="AF3001" s="3"/>
      <c r="AG3001" s="3"/>
      <c r="AH3001" s="3"/>
    </row>
    <row r="3002" spans="1:34" ht="14.25" customHeight="1" x14ac:dyDescent="0.25">
      <c r="A3002" s="3"/>
      <c r="B3002" s="3"/>
      <c r="C3002" s="3"/>
      <c r="D3002" s="3"/>
      <c r="E3002" s="3"/>
      <c r="F3002" s="3"/>
      <c r="G3002" s="14"/>
      <c r="H3002" s="11"/>
      <c r="I3002" s="12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14"/>
      <c r="X3002" s="3"/>
      <c r="Y3002" s="14"/>
      <c r="Z3002" s="3"/>
      <c r="AA3002" s="3"/>
      <c r="AB3002" s="3"/>
      <c r="AC3002" s="3"/>
      <c r="AD3002" s="3"/>
      <c r="AE3002" s="3"/>
      <c r="AF3002" s="3"/>
      <c r="AG3002" s="3"/>
      <c r="AH3002" s="3"/>
    </row>
    <row r="3003" spans="1:34" ht="14.25" customHeight="1" x14ac:dyDescent="0.25">
      <c r="A3003" s="3"/>
      <c r="B3003" s="3"/>
      <c r="C3003" s="3"/>
      <c r="D3003" s="3"/>
      <c r="E3003" s="3"/>
      <c r="F3003" s="3"/>
      <c r="G3003" s="3"/>
      <c r="H3003" s="11"/>
      <c r="I3003" s="12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14"/>
      <c r="X3003" s="3"/>
      <c r="Y3003" s="14"/>
      <c r="Z3003" s="3"/>
      <c r="AA3003" s="3"/>
      <c r="AB3003" s="3"/>
      <c r="AC3003" s="3"/>
      <c r="AD3003" s="3"/>
      <c r="AE3003" s="3"/>
      <c r="AF3003" s="3"/>
      <c r="AG3003" s="3"/>
      <c r="AH3003" s="3"/>
    </row>
    <row r="3004" spans="1:34" ht="14.25" customHeight="1" x14ac:dyDescent="0.25">
      <c r="A3004" s="3"/>
      <c r="B3004" s="3"/>
      <c r="C3004" s="3"/>
      <c r="D3004" s="3"/>
      <c r="E3004" s="3"/>
      <c r="F3004" s="3"/>
      <c r="G3004" s="14"/>
      <c r="H3004" s="11"/>
      <c r="I3004" s="12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14"/>
      <c r="X3004" s="3"/>
      <c r="Y3004" s="14"/>
      <c r="Z3004" s="3"/>
      <c r="AA3004" s="3"/>
      <c r="AB3004" s="3"/>
      <c r="AC3004" s="3"/>
      <c r="AD3004" s="3"/>
      <c r="AE3004" s="3"/>
      <c r="AF3004" s="3"/>
      <c r="AG3004" s="3"/>
      <c r="AH3004" s="3"/>
    </row>
    <row r="3005" spans="1:34" ht="14.25" customHeight="1" x14ac:dyDescent="0.25">
      <c r="A3005" s="3"/>
      <c r="B3005" s="3"/>
      <c r="C3005" s="3"/>
      <c r="D3005" s="3"/>
      <c r="E3005" s="3"/>
      <c r="F3005" s="3"/>
      <c r="G3005" s="14"/>
      <c r="H3005" s="11"/>
      <c r="I3005" s="12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14"/>
      <c r="X3005" s="3"/>
      <c r="Y3005" s="14"/>
      <c r="Z3005" s="3"/>
      <c r="AA3005" s="3"/>
      <c r="AB3005" s="3"/>
      <c r="AC3005" s="3"/>
      <c r="AD3005" s="3"/>
      <c r="AE3005" s="3"/>
      <c r="AF3005" s="3"/>
      <c r="AG3005" s="3"/>
      <c r="AH3005" s="3"/>
    </row>
    <row r="3006" spans="1:34" ht="14.25" customHeight="1" x14ac:dyDescent="0.25">
      <c r="A3006" s="3"/>
      <c r="B3006" s="3"/>
      <c r="C3006" s="3"/>
      <c r="D3006" s="3"/>
      <c r="E3006" s="3"/>
      <c r="F3006" s="3"/>
      <c r="G3006" s="14"/>
      <c r="H3006" s="11"/>
      <c r="I3006" s="12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14"/>
      <c r="X3006" s="3"/>
      <c r="Y3006" s="14"/>
      <c r="Z3006" s="3"/>
      <c r="AA3006" s="3"/>
      <c r="AB3006" s="3"/>
      <c r="AC3006" s="3"/>
      <c r="AD3006" s="3"/>
      <c r="AE3006" s="3"/>
      <c r="AF3006" s="3"/>
      <c r="AG3006" s="3"/>
      <c r="AH3006" s="3"/>
    </row>
    <row r="3007" spans="1:34" ht="14.25" customHeight="1" x14ac:dyDescent="0.25">
      <c r="A3007" s="3"/>
      <c r="B3007" s="3"/>
      <c r="C3007" s="3"/>
      <c r="D3007" s="3"/>
      <c r="E3007" s="3"/>
      <c r="F3007" s="3"/>
      <c r="G3007" s="14"/>
      <c r="H3007" s="11"/>
      <c r="I3007" s="12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14"/>
      <c r="X3007" s="3"/>
      <c r="Y3007" s="14"/>
      <c r="Z3007" s="3"/>
      <c r="AA3007" s="3"/>
      <c r="AB3007" s="3"/>
      <c r="AC3007" s="3"/>
      <c r="AD3007" s="3"/>
      <c r="AE3007" s="3"/>
      <c r="AF3007" s="3"/>
      <c r="AG3007" s="3"/>
      <c r="AH3007" s="3"/>
    </row>
    <row r="3008" spans="1:34" ht="14.25" customHeight="1" x14ac:dyDescent="0.25">
      <c r="A3008" s="3"/>
      <c r="B3008" s="3"/>
      <c r="C3008" s="3"/>
      <c r="D3008" s="3"/>
      <c r="E3008" s="3"/>
      <c r="F3008" s="3"/>
      <c r="G3008" s="14"/>
      <c r="H3008" s="11"/>
      <c r="I3008" s="12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14"/>
      <c r="X3008" s="3"/>
      <c r="Y3008" s="14"/>
      <c r="Z3008" s="3"/>
      <c r="AA3008" s="3"/>
      <c r="AB3008" s="3"/>
      <c r="AC3008" s="3"/>
      <c r="AD3008" s="3"/>
      <c r="AE3008" s="3"/>
      <c r="AF3008" s="3"/>
      <c r="AG3008" s="3"/>
      <c r="AH3008" s="3"/>
    </row>
    <row r="3009" spans="1:34" ht="14.25" customHeight="1" x14ac:dyDescent="0.25">
      <c r="A3009" s="3"/>
      <c r="B3009" s="3"/>
      <c r="C3009" s="3"/>
      <c r="D3009" s="3"/>
      <c r="E3009" s="3"/>
      <c r="F3009" s="3"/>
      <c r="G3009" s="3"/>
      <c r="H3009" s="11"/>
      <c r="I3009" s="12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14"/>
      <c r="X3009" s="3"/>
      <c r="Y3009" s="14"/>
      <c r="Z3009" s="3"/>
      <c r="AA3009" s="3"/>
      <c r="AB3009" s="3"/>
      <c r="AC3009" s="3"/>
      <c r="AD3009" s="3"/>
      <c r="AE3009" s="3"/>
      <c r="AF3009" s="3"/>
      <c r="AG3009" s="3"/>
      <c r="AH3009" s="3"/>
    </row>
    <row r="3010" spans="1:34" ht="14.25" customHeight="1" x14ac:dyDescent="0.25">
      <c r="A3010" s="3"/>
      <c r="B3010" s="3"/>
      <c r="C3010" s="3"/>
      <c r="D3010" s="3"/>
      <c r="E3010" s="3"/>
      <c r="F3010" s="3"/>
      <c r="G3010" s="3"/>
      <c r="H3010" s="11"/>
      <c r="I3010" s="12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14"/>
      <c r="X3010" s="3"/>
      <c r="Y3010" s="14"/>
      <c r="Z3010" s="3"/>
      <c r="AA3010" s="3"/>
      <c r="AB3010" s="3"/>
      <c r="AC3010" s="3"/>
      <c r="AD3010" s="3"/>
      <c r="AE3010" s="3"/>
      <c r="AF3010" s="3"/>
      <c r="AG3010" s="3"/>
      <c r="AH3010" s="3"/>
    </row>
    <row r="3011" spans="1:34" ht="14.25" customHeight="1" x14ac:dyDescent="0.25">
      <c r="A3011" s="3"/>
      <c r="B3011" s="3"/>
      <c r="C3011" s="3"/>
      <c r="D3011" s="3"/>
      <c r="E3011" s="3"/>
      <c r="F3011" s="3"/>
      <c r="G3011" s="14"/>
      <c r="H3011" s="11"/>
      <c r="I3011" s="12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14"/>
      <c r="X3011" s="3"/>
      <c r="Y3011" s="14"/>
      <c r="Z3011" s="3"/>
      <c r="AA3011" s="3"/>
      <c r="AB3011" s="3"/>
      <c r="AC3011" s="3"/>
      <c r="AD3011" s="3"/>
      <c r="AE3011" s="3"/>
      <c r="AF3011" s="3"/>
      <c r="AG3011" s="3"/>
      <c r="AH3011" s="3"/>
    </row>
    <row r="3012" spans="1:34" ht="14.25" customHeight="1" x14ac:dyDescent="0.25">
      <c r="A3012" s="3"/>
      <c r="B3012" s="3"/>
      <c r="C3012" s="3"/>
      <c r="D3012" s="3"/>
      <c r="E3012" s="3"/>
      <c r="F3012" s="3"/>
      <c r="G3012" s="3"/>
      <c r="H3012" s="11"/>
      <c r="I3012" s="12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14"/>
      <c r="X3012" s="3"/>
      <c r="Y3012" s="14"/>
      <c r="Z3012" s="3"/>
      <c r="AA3012" s="3"/>
      <c r="AB3012" s="3"/>
      <c r="AC3012" s="3"/>
      <c r="AD3012" s="3"/>
      <c r="AE3012" s="3"/>
      <c r="AF3012" s="3"/>
      <c r="AG3012" s="3"/>
      <c r="AH3012" s="3"/>
    </row>
    <row r="3013" spans="1:34" ht="14.25" customHeight="1" x14ac:dyDescent="0.25">
      <c r="A3013" s="3"/>
      <c r="B3013" s="3"/>
      <c r="C3013" s="3"/>
      <c r="D3013" s="3"/>
      <c r="E3013" s="3"/>
      <c r="F3013" s="3"/>
      <c r="G3013" s="14"/>
      <c r="H3013" s="11"/>
      <c r="I3013" s="12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14"/>
      <c r="X3013" s="3"/>
      <c r="Y3013" s="14"/>
      <c r="Z3013" s="3"/>
      <c r="AA3013" s="3"/>
      <c r="AB3013" s="3"/>
      <c r="AC3013" s="3"/>
      <c r="AD3013" s="3"/>
      <c r="AE3013" s="3"/>
      <c r="AF3013" s="3"/>
      <c r="AG3013" s="3"/>
      <c r="AH3013" s="3"/>
    </row>
    <row r="3014" spans="1:34" ht="14.25" customHeight="1" x14ac:dyDescent="0.25">
      <c r="A3014" s="3"/>
      <c r="B3014" s="3"/>
      <c r="C3014" s="3"/>
      <c r="D3014" s="3"/>
      <c r="E3014" s="3"/>
      <c r="F3014" s="3"/>
      <c r="G3014" s="14"/>
      <c r="H3014" s="11"/>
      <c r="I3014" s="12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14"/>
      <c r="X3014" s="3"/>
      <c r="Y3014" s="14"/>
      <c r="Z3014" s="3"/>
      <c r="AA3014" s="3"/>
      <c r="AB3014" s="3"/>
      <c r="AC3014" s="3"/>
      <c r="AD3014" s="3"/>
      <c r="AE3014" s="3"/>
      <c r="AF3014" s="3"/>
      <c r="AG3014" s="3"/>
      <c r="AH3014" s="3"/>
    </row>
    <row r="3015" spans="1:34" ht="14.25" customHeight="1" x14ac:dyDescent="0.25">
      <c r="A3015" s="3"/>
      <c r="B3015" s="3"/>
      <c r="C3015" s="3"/>
      <c r="D3015" s="3"/>
      <c r="E3015" s="3"/>
      <c r="F3015" s="3"/>
      <c r="G3015" s="14"/>
      <c r="H3015" s="11"/>
      <c r="I3015" s="12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14"/>
      <c r="X3015" s="3"/>
      <c r="Y3015" s="14"/>
      <c r="Z3015" s="3"/>
      <c r="AA3015" s="3"/>
      <c r="AB3015" s="3"/>
      <c r="AC3015" s="3"/>
      <c r="AD3015" s="3"/>
      <c r="AE3015" s="3"/>
      <c r="AF3015" s="3"/>
      <c r="AG3015" s="3"/>
      <c r="AH3015" s="3"/>
    </row>
    <row r="3016" spans="1:34" ht="14.25" customHeight="1" x14ac:dyDescent="0.25">
      <c r="A3016" s="3"/>
      <c r="B3016" s="3"/>
      <c r="C3016" s="3"/>
      <c r="D3016" s="3"/>
      <c r="E3016" s="3"/>
      <c r="F3016" s="3"/>
      <c r="G3016" s="14"/>
      <c r="H3016" s="11"/>
      <c r="I3016" s="12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14"/>
      <c r="X3016" s="3"/>
      <c r="Y3016" s="14"/>
      <c r="Z3016" s="3"/>
      <c r="AA3016" s="3"/>
      <c r="AB3016" s="3"/>
      <c r="AC3016" s="3"/>
      <c r="AD3016" s="3"/>
      <c r="AE3016" s="3"/>
      <c r="AF3016" s="3"/>
      <c r="AG3016" s="3"/>
      <c r="AH3016" s="3"/>
    </row>
    <row r="3017" spans="1:34" ht="14.25" customHeight="1" x14ac:dyDescent="0.25">
      <c r="A3017" s="3"/>
      <c r="B3017" s="3"/>
      <c r="C3017" s="3"/>
      <c r="D3017" s="3"/>
      <c r="E3017" s="3"/>
      <c r="F3017" s="3"/>
      <c r="G3017" s="14"/>
      <c r="H3017" s="11"/>
      <c r="I3017" s="12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14"/>
      <c r="X3017" s="3"/>
      <c r="Y3017" s="14"/>
      <c r="Z3017" s="3"/>
      <c r="AA3017" s="3"/>
      <c r="AB3017" s="3"/>
      <c r="AC3017" s="3"/>
      <c r="AD3017" s="3"/>
      <c r="AE3017" s="3"/>
      <c r="AF3017" s="3"/>
      <c r="AG3017" s="3"/>
      <c r="AH3017" s="3"/>
    </row>
    <row r="3018" spans="1:34" ht="14.25" customHeight="1" x14ac:dyDescent="0.25">
      <c r="A3018" s="3"/>
      <c r="B3018" s="3"/>
      <c r="C3018" s="3"/>
      <c r="D3018" s="3"/>
      <c r="E3018" s="3"/>
      <c r="F3018" s="3"/>
      <c r="G3018" s="14"/>
      <c r="H3018" s="11"/>
      <c r="I3018" s="12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14"/>
      <c r="X3018" s="3"/>
      <c r="Y3018" s="14"/>
      <c r="Z3018" s="3"/>
      <c r="AA3018" s="3"/>
      <c r="AB3018" s="3"/>
      <c r="AC3018" s="3"/>
      <c r="AD3018" s="3"/>
      <c r="AE3018" s="3"/>
      <c r="AF3018" s="3"/>
      <c r="AG3018" s="3"/>
      <c r="AH3018" s="3"/>
    </row>
    <row r="3019" spans="1:34" ht="14.25" customHeight="1" x14ac:dyDescent="0.25">
      <c r="A3019" s="3"/>
      <c r="B3019" s="3"/>
      <c r="C3019" s="3"/>
      <c r="D3019" s="3"/>
      <c r="E3019" s="3"/>
      <c r="F3019" s="3"/>
      <c r="G3019" s="3"/>
      <c r="H3019" s="11"/>
      <c r="I3019" s="12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14"/>
      <c r="X3019" s="3"/>
      <c r="Y3019" s="14"/>
      <c r="Z3019" s="3"/>
      <c r="AA3019" s="3"/>
      <c r="AB3019" s="3"/>
      <c r="AC3019" s="3"/>
      <c r="AD3019" s="3"/>
      <c r="AE3019" s="3"/>
      <c r="AF3019" s="3"/>
      <c r="AG3019" s="3"/>
      <c r="AH3019" s="3"/>
    </row>
    <row r="3020" spans="1:34" ht="14.25" customHeight="1" x14ac:dyDescent="0.25">
      <c r="A3020" s="3"/>
      <c r="B3020" s="3"/>
      <c r="C3020" s="3"/>
      <c r="D3020" s="3"/>
      <c r="E3020" s="3"/>
      <c r="F3020" s="3"/>
      <c r="G3020" s="14"/>
      <c r="H3020" s="11"/>
      <c r="I3020" s="12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14"/>
      <c r="X3020" s="3"/>
      <c r="Y3020" s="14"/>
      <c r="Z3020" s="3"/>
      <c r="AA3020" s="3"/>
      <c r="AB3020" s="3"/>
      <c r="AC3020" s="3"/>
      <c r="AD3020" s="3"/>
      <c r="AE3020" s="3"/>
      <c r="AF3020" s="3"/>
      <c r="AG3020" s="3"/>
      <c r="AH3020" s="3"/>
    </row>
    <row r="3021" spans="1:34" ht="14.25" customHeight="1" x14ac:dyDescent="0.25">
      <c r="A3021" s="3"/>
      <c r="B3021" s="3"/>
      <c r="C3021" s="3"/>
      <c r="D3021" s="3"/>
      <c r="E3021" s="3"/>
      <c r="F3021" s="3"/>
      <c r="G3021" s="3"/>
      <c r="H3021" s="11"/>
      <c r="I3021" s="12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14"/>
      <c r="X3021" s="3"/>
      <c r="Y3021" s="14"/>
      <c r="Z3021" s="3"/>
      <c r="AA3021" s="3"/>
      <c r="AB3021" s="3"/>
      <c r="AC3021" s="3"/>
      <c r="AD3021" s="3"/>
      <c r="AE3021" s="3"/>
      <c r="AF3021" s="3"/>
      <c r="AG3021" s="3"/>
      <c r="AH3021" s="3"/>
    </row>
    <row r="3022" spans="1:34" ht="14.25" customHeight="1" x14ac:dyDescent="0.25">
      <c r="A3022" s="3"/>
      <c r="B3022" s="3"/>
      <c r="C3022" s="3"/>
      <c r="D3022" s="3"/>
      <c r="E3022" s="3"/>
      <c r="F3022" s="3"/>
      <c r="G3022" s="3"/>
      <c r="H3022" s="11"/>
      <c r="I3022" s="12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14"/>
      <c r="X3022" s="3"/>
      <c r="Y3022" s="14"/>
      <c r="Z3022" s="3"/>
      <c r="AA3022" s="3"/>
      <c r="AB3022" s="3"/>
      <c r="AC3022" s="3"/>
      <c r="AD3022" s="3"/>
      <c r="AE3022" s="3"/>
      <c r="AF3022" s="3"/>
      <c r="AG3022" s="3"/>
      <c r="AH3022" s="3"/>
    </row>
    <row r="3023" spans="1:34" ht="14.25" customHeight="1" x14ac:dyDescent="0.25">
      <c r="A3023" s="3"/>
      <c r="B3023" s="3"/>
      <c r="C3023" s="3"/>
      <c r="D3023" s="3"/>
      <c r="E3023" s="3"/>
      <c r="F3023" s="3"/>
      <c r="G3023" s="3"/>
      <c r="H3023" s="11"/>
      <c r="I3023" s="12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14"/>
      <c r="X3023" s="3"/>
      <c r="Y3023" s="14"/>
      <c r="Z3023" s="3"/>
      <c r="AA3023" s="3"/>
      <c r="AB3023" s="3"/>
      <c r="AC3023" s="3"/>
      <c r="AD3023" s="3"/>
      <c r="AE3023" s="3"/>
      <c r="AF3023" s="3"/>
      <c r="AG3023" s="3"/>
      <c r="AH3023" s="3"/>
    </row>
    <row r="3024" spans="1:34" ht="14.25" customHeight="1" x14ac:dyDescent="0.25">
      <c r="A3024" s="3"/>
      <c r="B3024" s="3"/>
      <c r="C3024" s="3"/>
      <c r="D3024" s="3"/>
      <c r="E3024" s="3"/>
      <c r="F3024" s="3"/>
      <c r="G3024" s="14"/>
      <c r="H3024" s="11"/>
      <c r="I3024" s="12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14"/>
      <c r="X3024" s="3"/>
      <c r="Y3024" s="14"/>
      <c r="Z3024" s="3"/>
      <c r="AA3024" s="3"/>
      <c r="AB3024" s="3"/>
      <c r="AC3024" s="3"/>
      <c r="AD3024" s="3"/>
      <c r="AE3024" s="3"/>
      <c r="AF3024" s="3"/>
      <c r="AG3024" s="3"/>
      <c r="AH3024" s="3"/>
    </row>
    <row r="3025" spans="1:34" ht="14.25" customHeight="1" x14ac:dyDescent="0.25">
      <c r="A3025" s="3"/>
      <c r="B3025" s="3"/>
      <c r="C3025" s="3"/>
      <c r="D3025" s="3"/>
      <c r="E3025" s="3"/>
      <c r="F3025" s="3"/>
      <c r="G3025" s="14"/>
      <c r="H3025" s="11"/>
      <c r="I3025" s="12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14"/>
      <c r="X3025" s="3"/>
      <c r="Y3025" s="14"/>
      <c r="Z3025" s="3"/>
      <c r="AA3025" s="3"/>
      <c r="AB3025" s="3"/>
      <c r="AC3025" s="3"/>
      <c r="AD3025" s="3"/>
      <c r="AE3025" s="3"/>
      <c r="AF3025" s="3"/>
      <c r="AG3025" s="3"/>
      <c r="AH3025" s="3"/>
    </row>
    <row r="3026" spans="1:34" ht="14.25" customHeight="1" x14ac:dyDescent="0.25">
      <c r="A3026" s="3"/>
      <c r="B3026" s="3"/>
      <c r="C3026" s="3"/>
      <c r="D3026" s="3"/>
      <c r="E3026" s="3"/>
      <c r="F3026" s="3"/>
      <c r="G3026" s="14"/>
      <c r="H3026" s="11"/>
      <c r="I3026" s="12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14"/>
      <c r="X3026" s="3"/>
      <c r="Y3026" s="14"/>
      <c r="Z3026" s="3"/>
      <c r="AA3026" s="3"/>
      <c r="AB3026" s="3"/>
      <c r="AC3026" s="3"/>
      <c r="AD3026" s="3"/>
      <c r="AE3026" s="3"/>
      <c r="AF3026" s="3"/>
      <c r="AG3026" s="3"/>
      <c r="AH3026" s="3"/>
    </row>
    <row r="3027" spans="1:34" ht="14.25" customHeight="1" x14ac:dyDescent="0.25">
      <c r="A3027" s="3"/>
      <c r="B3027" s="3"/>
      <c r="C3027" s="3"/>
      <c r="D3027" s="3"/>
      <c r="E3027" s="3"/>
      <c r="F3027" s="3"/>
      <c r="G3027" s="14"/>
      <c r="H3027" s="11"/>
      <c r="I3027" s="12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14"/>
      <c r="X3027" s="3"/>
      <c r="Y3027" s="14"/>
      <c r="Z3027" s="3"/>
      <c r="AA3027" s="3"/>
      <c r="AB3027" s="3"/>
      <c r="AC3027" s="3"/>
      <c r="AD3027" s="3"/>
      <c r="AE3027" s="3"/>
      <c r="AF3027" s="3"/>
      <c r="AG3027" s="3"/>
      <c r="AH3027" s="3"/>
    </row>
    <row r="3028" spans="1:34" ht="14.25" customHeight="1" x14ac:dyDescent="0.25">
      <c r="A3028" s="3"/>
      <c r="B3028" s="3"/>
      <c r="C3028" s="3"/>
      <c r="D3028" s="3"/>
      <c r="E3028" s="3"/>
      <c r="F3028" s="3"/>
      <c r="G3028" s="14"/>
      <c r="H3028" s="11"/>
      <c r="I3028" s="12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14"/>
      <c r="X3028" s="3"/>
      <c r="Y3028" s="14"/>
      <c r="Z3028" s="3"/>
      <c r="AA3028" s="3"/>
      <c r="AB3028" s="3"/>
      <c r="AC3028" s="3"/>
      <c r="AD3028" s="3"/>
      <c r="AE3028" s="3"/>
      <c r="AF3028" s="3"/>
      <c r="AG3028" s="3"/>
      <c r="AH3028" s="3"/>
    </row>
    <row r="3029" spans="1:34" ht="14.25" customHeight="1" x14ac:dyDescent="0.25">
      <c r="A3029" s="3"/>
      <c r="B3029" s="3"/>
      <c r="C3029" s="3"/>
      <c r="D3029" s="3"/>
      <c r="E3029" s="3"/>
      <c r="F3029" s="3"/>
      <c r="G3029" s="14"/>
      <c r="H3029" s="11"/>
      <c r="I3029" s="12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14"/>
      <c r="X3029" s="3"/>
      <c r="Y3029" s="14"/>
      <c r="Z3029" s="3"/>
      <c r="AA3029" s="3"/>
      <c r="AB3029" s="3"/>
      <c r="AC3029" s="3"/>
      <c r="AD3029" s="3"/>
      <c r="AE3029" s="3"/>
      <c r="AF3029" s="3"/>
      <c r="AG3029" s="3"/>
      <c r="AH3029" s="3"/>
    </row>
    <row r="3030" spans="1:34" ht="14.25" customHeight="1" x14ac:dyDescent="0.25">
      <c r="A3030" s="3"/>
      <c r="B3030" s="3"/>
      <c r="C3030" s="3"/>
      <c r="D3030" s="3"/>
      <c r="E3030" s="3"/>
      <c r="F3030" s="3"/>
      <c r="G3030" s="14"/>
      <c r="H3030" s="11"/>
      <c r="I3030" s="12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14"/>
      <c r="X3030" s="3"/>
      <c r="Y3030" s="14"/>
      <c r="Z3030" s="3"/>
      <c r="AA3030" s="3"/>
      <c r="AB3030" s="3"/>
      <c r="AC3030" s="3"/>
      <c r="AD3030" s="3"/>
      <c r="AE3030" s="3"/>
      <c r="AF3030" s="3"/>
      <c r="AG3030" s="3"/>
      <c r="AH3030" s="3"/>
    </row>
    <row r="3031" spans="1:34" ht="14.25" customHeight="1" x14ac:dyDescent="0.25">
      <c r="A3031" s="3"/>
      <c r="B3031" s="3"/>
      <c r="C3031" s="3"/>
      <c r="D3031" s="3"/>
      <c r="E3031" s="3"/>
      <c r="F3031" s="3"/>
      <c r="G3031" s="3"/>
      <c r="H3031" s="11"/>
      <c r="I3031" s="12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14"/>
      <c r="X3031" s="3"/>
      <c r="Y3031" s="14"/>
      <c r="Z3031" s="3"/>
      <c r="AA3031" s="3"/>
      <c r="AB3031" s="3"/>
      <c r="AC3031" s="3"/>
      <c r="AD3031" s="3"/>
      <c r="AE3031" s="3"/>
      <c r="AF3031" s="3"/>
      <c r="AG3031" s="3"/>
      <c r="AH3031" s="3"/>
    </row>
    <row r="3032" spans="1:34" ht="14.25" customHeight="1" x14ac:dyDescent="0.25">
      <c r="A3032" s="3"/>
      <c r="B3032" s="3"/>
      <c r="C3032" s="3"/>
      <c r="D3032" s="3"/>
      <c r="E3032" s="3"/>
      <c r="F3032" s="3"/>
      <c r="G3032" s="3"/>
      <c r="H3032" s="11"/>
      <c r="I3032" s="12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14"/>
      <c r="X3032" s="3"/>
      <c r="Y3032" s="14"/>
      <c r="Z3032" s="3"/>
      <c r="AA3032" s="3"/>
      <c r="AB3032" s="3"/>
      <c r="AC3032" s="3"/>
      <c r="AD3032" s="3"/>
      <c r="AE3032" s="3"/>
      <c r="AF3032" s="3"/>
      <c r="AG3032" s="3"/>
      <c r="AH3032" s="3"/>
    </row>
    <row r="3033" spans="1:34" ht="14.25" customHeight="1" x14ac:dyDescent="0.25">
      <c r="A3033" s="3"/>
      <c r="B3033" s="3"/>
      <c r="C3033" s="3"/>
      <c r="D3033" s="3"/>
      <c r="E3033" s="3"/>
      <c r="F3033" s="3"/>
      <c r="G3033" s="3"/>
      <c r="H3033" s="11"/>
      <c r="I3033" s="12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14"/>
      <c r="X3033" s="3"/>
      <c r="Y3033" s="14"/>
      <c r="Z3033" s="3"/>
      <c r="AA3033" s="3"/>
      <c r="AB3033" s="3"/>
      <c r="AC3033" s="3"/>
      <c r="AD3033" s="3"/>
      <c r="AE3033" s="3"/>
      <c r="AF3033" s="3"/>
      <c r="AG3033" s="3"/>
      <c r="AH3033" s="3"/>
    </row>
    <row r="3034" spans="1:34" ht="14.25" customHeight="1" x14ac:dyDescent="0.25">
      <c r="A3034" s="3"/>
      <c r="B3034" s="3"/>
      <c r="C3034" s="3"/>
      <c r="D3034" s="3"/>
      <c r="E3034" s="3"/>
      <c r="F3034" s="3"/>
      <c r="G3034" s="14"/>
      <c r="H3034" s="11"/>
      <c r="I3034" s="12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14"/>
      <c r="X3034" s="3"/>
      <c r="Y3034" s="14"/>
      <c r="Z3034" s="3"/>
      <c r="AA3034" s="3"/>
      <c r="AB3034" s="3"/>
      <c r="AC3034" s="3"/>
      <c r="AD3034" s="3"/>
      <c r="AE3034" s="3"/>
      <c r="AF3034" s="3"/>
      <c r="AG3034" s="3"/>
      <c r="AH3034" s="3"/>
    </row>
    <row r="3035" spans="1:34" ht="14.25" customHeight="1" x14ac:dyDescent="0.25">
      <c r="A3035" s="3"/>
      <c r="B3035" s="3"/>
      <c r="C3035" s="3"/>
      <c r="D3035" s="3"/>
      <c r="E3035" s="3"/>
      <c r="F3035" s="3"/>
      <c r="G3035" s="3"/>
      <c r="H3035" s="11"/>
      <c r="I3035" s="12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14"/>
      <c r="X3035" s="3"/>
      <c r="Y3035" s="14"/>
      <c r="Z3035" s="3"/>
      <c r="AA3035" s="3"/>
      <c r="AB3035" s="3"/>
      <c r="AC3035" s="3"/>
      <c r="AD3035" s="3"/>
      <c r="AE3035" s="3"/>
      <c r="AF3035" s="3"/>
      <c r="AG3035" s="3"/>
      <c r="AH3035" s="3"/>
    </row>
    <row r="3036" spans="1:34" ht="14.25" customHeight="1" x14ac:dyDescent="0.25">
      <c r="A3036" s="3"/>
      <c r="B3036" s="3"/>
      <c r="C3036" s="3"/>
      <c r="D3036" s="3"/>
      <c r="E3036" s="3"/>
      <c r="F3036" s="3"/>
      <c r="G3036" s="3"/>
      <c r="H3036" s="11"/>
      <c r="I3036" s="12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14"/>
      <c r="X3036" s="3"/>
      <c r="Y3036" s="14"/>
      <c r="Z3036" s="3"/>
      <c r="AA3036" s="3"/>
      <c r="AB3036" s="3"/>
      <c r="AC3036" s="3"/>
      <c r="AD3036" s="3"/>
      <c r="AE3036" s="3"/>
      <c r="AF3036" s="3"/>
      <c r="AG3036" s="3"/>
      <c r="AH3036" s="3"/>
    </row>
    <row r="3037" spans="1:34" ht="14.25" customHeight="1" x14ac:dyDescent="0.25">
      <c r="A3037" s="3"/>
      <c r="B3037" s="3"/>
      <c r="C3037" s="3"/>
      <c r="D3037" s="3"/>
      <c r="E3037" s="3"/>
      <c r="F3037" s="3"/>
      <c r="G3037" s="3"/>
      <c r="H3037" s="11"/>
      <c r="I3037" s="12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14"/>
      <c r="X3037" s="3"/>
      <c r="Y3037" s="14"/>
      <c r="Z3037" s="3"/>
      <c r="AA3037" s="3"/>
      <c r="AB3037" s="3"/>
      <c r="AC3037" s="3"/>
      <c r="AD3037" s="3"/>
      <c r="AE3037" s="3"/>
      <c r="AF3037" s="3"/>
      <c r="AG3037" s="3"/>
      <c r="AH3037" s="3"/>
    </row>
    <row r="3038" spans="1:34" ht="14.25" customHeight="1" x14ac:dyDescent="0.25">
      <c r="A3038" s="3"/>
      <c r="B3038" s="3"/>
      <c r="C3038" s="3"/>
      <c r="D3038" s="3"/>
      <c r="E3038" s="3"/>
      <c r="F3038" s="3"/>
      <c r="G3038" s="3"/>
      <c r="H3038" s="11"/>
      <c r="I3038" s="12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14"/>
      <c r="X3038" s="3"/>
      <c r="Y3038" s="14"/>
      <c r="Z3038" s="3"/>
      <c r="AA3038" s="3"/>
      <c r="AB3038" s="3"/>
      <c r="AC3038" s="3"/>
      <c r="AD3038" s="3"/>
      <c r="AE3038" s="3"/>
      <c r="AF3038" s="3"/>
      <c r="AG3038" s="3"/>
      <c r="AH3038" s="3"/>
    </row>
    <row r="3039" spans="1:34" ht="14.25" customHeight="1" x14ac:dyDescent="0.25">
      <c r="A3039" s="3"/>
      <c r="B3039" s="3"/>
      <c r="C3039" s="3"/>
      <c r="D3039" s="3"/>
      <c r="E3039" s="3"/>
      <c r="F3039" s="3"/>
      <c r="G3039" s="14"/>
      <c r="H3039" s="11"/>
      <c r="I3039" s="12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14"/>
      <c r="X3039" s="3"/>
      <c r="Y3039" s="14"/>
      <c r="Z3039" s="3"/>
      <c r="AA3039" s="3"/>
      <c r="AB3039" s="3"/>
      <c r="AC3039" s="3"/>
      <c r="AD3039" s="3"/>
      <c r="AE3039" s="3"/>
      <c r="AF3039" s="3"/>
      <c r="AG3039" s="3"/>
      <c r="AH3039" s="3"/>
    </row>
    <row r="3040" spans="1:34" ht="14.25" customHeight="1" x14ac:dyDescent="0.25">
      <c r="A3040" s="3"/>
      <c r="B3040" s="3"/>
      <c r="C3040" s="3"/>
      <c r="D3040" s="3"/>
      <c r="E3040" s="3"/>
      <c r="F3040" s="3"/>
      <c r="G3040" s="14"/>
      <c r="H3040" s="11"/>
      <c r="I3040" s="12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14"/>
      <c r="X3040" s="3"/>
      <c r="Y3040" s="14"/>
      <c r="Z3040" s="3"/>
      <c r="AA3040" s="3"/>
      <c r="AB3040" s="3"/>
      <c r="AC3040" s="3"/>
      <c r="AD3040" s="3"/>
      <c r="AE3040" s="3"/>
      <c r="AF3040" s="3"/>
      <c r="AG3040" s="3"/>
      <c r="AH3040" s="3"/>
    </row>
    <row r="3041" spans="1:34" ht="14.25" customHeight="1" x14ac:dyDescent="0.25">
      <c r="A3041" s="3"/>
      <c r="B3041" s="3"/>
      <c r="C3041" s="3"/>
      <c r="D3041" s="3"/>
      <c r="E3041" s="3"/>
      <c r="F3041" s="3"/>
      <c r="G3041" s="3"/>
      <c r="H3041" s="11"/>
      <c r="I3041" s="12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14"/>
      <c r="X3041" s="3"/>
      <c r="Y3041" s="14"/>
      <c r="Z3041" s="3"/>
      <c r="AA3041" s="3"/>
      <c r="AB3041" s="3"/>
      <c r="AC3041" s="3"/>
      <c r="AD3041" s="3"/>
      <c r="AE3041" s="3"/>
      <c r="AF3041" s="3"/>
      <c r="AG3041" s="3"/>
      <c r="AH3041" s="3"/>
    </row>
    <row r="3042" spans="1:34" ht="14.25" customHeight="1" x14ac:dyDescent="0.25">
      <c r="A3042" s="3"/>
      <c r="B3042" s="3"/>
      <c r="C3042" s="3"/>
      <c r="D3042" s="3"/>
      <c r="E3042" s="3"/>
      <c r="F3042" s="3"/>
      <c r="G3042" s="14"/>
      <c r="H3042" s="11"/>
      <c r="I3042" s="12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14"/>
      <c r="X3042" s="3"/>
      <c r="Y3042" s="14"/>
      <c r="Z3042" s="3"/>
      <c r="AA3042" s="3"/>
      <c r="AB3042" s="3"/>
      <c r="AC3042" s="3"/>
      <c r="AD3042" s="3"/>
      <c r="AE3042" s="3"/>
      <c r="AF3042" s="3"/>
      <c r="AG3042" s="3"/>
      <c r="AH3042" s="3"/>
    </row>
    <row r="3043" spans="1:34" ht="14.25" customHeight="1" x14ac:dyDescent="0.25">
      <c r="A3043" s="3"/>
      <c r="B3043" s="3"/>
      <c r="C3043" s="3"/>
      <c r="D3043" s="3"/>
      <c r="E3043" s="3"/>
      <c r="F3043" s="3"/>
      <c r="G3043" s="14"/>
      <c r="H3043" s="11"/>
      <c r="I3043" s="12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14"/>
      <c r="X3043" s="3"/>
      <c r="Y3043" s="14"/>
      <c r="Z3043" s="3"/>
      <c r="AA3043" s="3"/>
      <c r="AB3043" s="3"/>
      <c r="AC3043" s="3"/>
      <c r="AD3043" s="3"/>
      <c r="AE3043" s="3"/>
      <c r="AF3043" s="3"/>
      <c r="AG3043" s="3"/>
      <c r="AH3043" s="3"/>
    </row>
    <row r="3044" spans="1:34" ht="14.25" customHeight="1" x14ac:dyDescent="0.25">
      <c r="A3044" s="3"/>
      <c r="B3044" s="3"/>
      <c r="C3044" s="3"/>
      <c r="D3044" s="3"/>
      <c r="E3044" s="3"/>
      <c r="F3044" s="3"/>
      <c r="G3044" s="14"/>
      <c r="H3044" s="11"/>
      <c r="I3044" s="12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14"/>
      <c r="X3044" s="3"/>
      <c r="Y3044" s="14"/>
      <c r="Z3044" s="3"/>
      <c r="AA3044" s="3"/>
      <c r="AB3044" s="3"/>
      <c r="AC3044" s="3"/>
      <c r="AD3044" s="3"/>
      <c r="AE3044" s="3"/>
      <c r="AF3044" s="3"/>
      <c r="AG3044" s="3"/>
      <c r="AH3044" s="3"/>
    </row>
    <row r="3045" spans="1:34" ht="14.25" customHeight="1" x14ac:dyDescent="0.25">
      <c r="A3045" s="3"/>
      <c r="B3045" s="3"/>
      <c r="C3045" s="3"/>
      <c r="D3045" s="3"/>
      <c r="E3045" s="3"/>
      <c r="F3045" s="3"/>
      <c r="G3045" s="14"/>
      <c r="H3045" s="11"/>
      <c r="I3045" s="12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14"/>
      <c r="X3045" s="3"/>
      <c r="Y3045" s="14"/>
      <c r="Z3045" s="3"/>
      <c r="AA3045" s="3"/>
      <c r="AB3045" s="3"/>
      <c r="AC3045" s="3"/>
      <c r="AD3045" s="3"/>
      <c r="AE3045" s="3"/>
      <c r="AF3045" s="3"/>
      <c r="AG3045" s="3"/>
      <c r="AH3045" s="3"/>
    </row>
    <row r="3046" spans="1:34" ht="14.25" customHeight="1" x14ac:dyDescent="0.25">
      <c r="A3046" s="3"/>
      <c r="B3046" s="3"/>
      <c r="C3046" s="3"/>
      <c r="D3046" s="3"/>
      <c r="E3046" s="3"/>
      <c r="F3046" s="3"/>
      <c r="G3046" s="14"/>
      <c r="H3046" s="11"/>
      <c r="I3046" s="12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14"/>
      <c r="X3046" s="3"/>
      <c r="Y3046" s="14"/>
      <c r="Z3046" s="3"/>
      <c r="AA3046" s="3"/>
      <c r="AB3046" s="3"/>
      <c r="AC3046" s="3"/>
      <c r="AD3046" s="3"/>
      <c r="AE3046" s="3"/>
      <c r="AF3046" s="3"/>
      <c r="AG3046" s="3"/>
      <c r="AH3046" s="3"/>
    </row>
    <row r="3047" spans="1:34" ht="14.25" customHeight="1" x14ac:dyDescent="0.25">
      <c r="A3047" s="3"/>
      <c r="B3047" s="3"/>
      <c r="C3047" s="3"/>
      <c r="D3047" s="3"/>
      <c r="E3047" s="3"/>
      <c r="F3047" s="3"/>
      <c r="G3047" s="14"/>
      <c r="H3047" s="11"/>
      <c r="I3047" s="12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14"/>
      <c r="X3047" s="3"/>
      <c r="Y3047" s="14"/>
      <c r="Z3047" s="3"/>
      <c r="AA3047" s="3"/>
      <c r="AB3047" s="3"/>
      <c r="AC3047" s="3"/>
      <c r="AD3047" s="3"/>
      <c r="AE3047" s="3"/>
      <c r="AF3047" s="3"/>
      <c r="AG3047" s="3"/>
      <c r="AH3047" s="3"/>
    </row>
    <row r="3048" spans="1:34" ht="14.25" customHeight="1" x14ac:dyDescent="0.25">
      <c r="A3048" s="3"/>
      <c r="B3048" s="3"/>
      <c r="C3048" s="3"/>
      <c r="D3048" s="3"/>
      <c r="E3048" s="3"/>
      <c r="F3048" s="3"/>
      <c r="G3048" s="3"/>
      <c r="H3048" s="11"/>
      <c r="I3048" s="12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14"/>
      <c r="X3048" s="3"/>
      <c r="Y3048" s="14"/>
      <c r="Z3048" s="3"/>
      <c r="AA3048" s="3"/>
      <c r="AB3048" s="3"/>
      <c r="AC3048" s="3"/>
      <c r="AD3048" s="3"/>
      <c r="AE3048" s="3"/>
      <c r="AF3048" s="3"/>
      <c r="AG3048" s="3"/>
      <c r="AH3048" s="3"/>
    </row>
    <row r="3049" spans="1:34" ht="14.25" customHeight="1" x14ac:dyDescent="0.25">
      <c r="A3049" s="3"/>
      <c r="B3049" s="3"/>
      <c r="C3049" s="3"/>
      <c r="D3049" s="3"/>
      <c r="E3049" s="3"/>
      <c r="F3049" s="3"/>
      <c r="G3049" s="14"/>
      <c r="H3049" s="11"/>
      <c r="I3049" s="12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14"/>
      <c r="X3049" s="3"/>
      <c r="Y3049" s="14"/>
      <c r="Z3049" s="3"/>
      <c r="AA3049" s="3"/>
      <c r="AB3049" s="3"/>
      <c r="AC3049" s="3"/>
      <c r="AD3049" s="3"/>
      <c r="AE3049" s="3"/>
      <c r="AF3049" s="3"/>
      <c r="AG3049" s="3"/>
      <c r="AH3049" s="3"/>
    </row>
    <row r="3050" spans="1:34" ht="14.25" customHeight="1" x14ac:dyDescent="0.25">
      <c r="A3050" s="3"/>
      <c r="B3050" s="3"/>
      <c r="C3050" s="3"/>
      <c r="D3050" s="3"/>
      <c r="E3050" s="3"/>
      <c r="F3050" s="3"/>
      <c r="G3050" s="14"/>
      <c r="H3050" s="11"/>
      <c r="I3050" s="12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14"/>
      <c r="X3050" s="3"/>
      <c r="Y3050" s="14"/>
      <c r="Z3050" s="3"/>
      <c r="AA3050" s="3"/>
      <c r="AB3050" s="3"/>
      <c r="AC3050" s="3"/>
      <c r="AD3050" s="3"/>
      <c r="AE3050" s="3"/>
      <c r="AF3050" s="3"/>
      <c r="AG3050" s="3"/>
      <c r="AH3050" s="3"/>
    </row>
    <row r="3051" spans="1:34" ht="14.25" customHeight="1" x14ac:dyDescent="0.25">
      <c r="A3051" s="3"/>
      <c r="B3051" s="3"/>
      <c r="C3051" s="3"/>
      <c r="D3051" s="3"/>
      <c r="E3051" s="3"/>
      <c r="F3051" s="3"/>
      <c r="G3051" s="14"/>
      <c r="H3051" s="11"/>
      <c r="I3051" s="12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14"/>
      <c r="X3051" s="3"/>
      <c r="Y3051" s="14"/>
      <c r="Z3051" s="3"/>
      <c r="AA3051" s="3"/>
      <c r="AB3051" s="3"/>
      <c r="AC3051" s="3"/>
      <c r="AD3051" s="3"/>
      <c r="AE3051" s="3"/>
      <c r="AF3051" s="3"/>
      <c r="AG3051" s="3"/>
      <c r="AH3051" s="3"/>
    </row>
    <row r="3052" spans="1:34" ht="14.25" customHeight="1" x14ac:dyDescent="0.25">
      <c r="A3052" s="3"/>
      <c r="B3052" s="3"/>
      <c r="C3052" s="3"/>
      <c r="D3052" s="3"/>
      <c r="E3052" s="3"/>
      <c r="F3052" s="3"/>
      <c r="G3052" s="3"/>
      <c r="H3052" s="11"/>
      <c r="I3052" s="12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14"/>
      <c r="X3052" s="3"/>
      <c r="Y3052" s="14"/>
      <c r="Z3052" s="3"/>
      <c r="AA3052" s="3"/>
      <c r="AB3052" s="3"/>
      <c r="AC3052" s="3"/>
      <c r="AD3052" s="3"/>
      <c r="AE3052" s="3"/>
      <c r="AF3052" s="3"/>
      <c r="AG3052" s="3"/>
      <c r="AH3052" s="3"/>
    </row>
    <row r="3053" spans="1:34" ht="14.25" customHeight="1" x14ac:dyDescent="0.25">
      <c r="A3053" s="3"/>
      <c r="B3053" s="3"/>
      <c r="C3053" s="3"/>
      <c r="D3053" s="3"/>
      <c r="E3053" s="3"/>
      <c r="F3053" s="3"/>
      <c r="G3053" s="14"/>
      <c r="H3053" s="11"/>
      <c r="I3053" s="12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14"/>
      <c r="X3053" s="3"/>
      <c r="Y3053" s="14"/>
      <c r="Z3053" s="3"/>
      <c r="AA3053" s="3"/>
      <c r="AB3053" s="3"/>
      <c r="AC3053" s="3"/>
      <c r="AD3053" s="3"/>
      <c r="AE3053" s="3"/>
      <c r="AF3053" s="3"/>
      <c r="AG3053" s="3"/>
      <c r="AH3053" s="3"/>
    </row>
    <row r="3054" spans="1:34" ht="14.25" customHeight="1" x14ac:dyDescent="0.25">
      <c r="A3054" s="3"/>
      <c r="B3054" s="3"/>
      <c r="C3054" s="3"/>
      <c r="D3054" s="3"/>
      <c r="E3054" s="3"/>
      <c r="F3054" s="3"/>
      <c r="G3054" s="3"/>
      <c r="H3054" s="11"/>
      <c r="I3054" s="12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14"/>
      <c r="X3054" s="3"/>
      <c r="Y3054" s="14"/>
      <c r="Z3054" s="3"/>
      <c r="AA3054" s="3"/>
      <c r="AB3054" s="3"/>
      <c r="AC3054" s="3"/>
      <c r="AD3054" s="3"/>
      <c r="AE3054" s="3"/>
      <c r="AF3054" s="3"/>
      <c r="AG3054" s="3"/>
      <c r="AH3054" s="3"/>
    </row>
    <row r="3055" spans="1:34" ht="14.25" customHeight="1" x14ac:dyDescent="0.25">
      <c r="A3055" s="3"/>
      <c r="B3055" s="3"/>
      <c r="C3055" s="3"/>
      <c r="D3055" s="3"/>
      <c r="E3055" s="3"/>
      <c r="F3055" s="3"/>
      <c r="G3055" s="3"/>
      <c r="H3055" s="11"/>
      <c r="I3055" s="12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14"/>
      <c r="X3055" s="3"/>
      <c r="Y3055" s="14"/>
      <c r="Z3055" s="3"/>
      <c r="AA3055" s="3"/>
      <c r="AB3055" s="3"/>
      <c r="AC3055" s="3"/>
      <c r="AD3055" s="3"/>
      <c r="AE3055" s="3"/>
      <c r="AF3055" s="3"/>
      <c r="AG3055" s="3"/>
      <c r="AH3055" s="3"/>
    </row>
    <row r="3056" spans="1:34" ht="14.25" customHeight="1" x14ac:dyDescent="0.25">
      <c r="A3056" s="3"/>
      <c r="B3056" s="3"/>
      <c r="C3056" s="3"/>
      <c r="D3056" s="3"/>
      <c r="E3056" s="3"/>
      <c r="F3056" s="3"/>
      <c r="G3056" s="14"/>
      <c r="H3056" s="11"/>
      <c r="I3056" s="12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14"/>
      <c r="X3056" s="3"/>
      <c r="Y3056" s="14"/>
      <c r="Z3056" s="3"/>
      <c r="AA3056" s="3"/>
      <c r="AB3056" s="3"/>
      <c r="AC3056" s="3"/>
      <c r="AD3056" s="3"/>
      <c r="AE3056" s="3"/>
      <c r="AF3056" s="3"/>
      <c r="AG3056" s="3"/>
      <c r="AH3056" s="3"/>
    </row>
    <row r="3057" spans="1:34" ht="14.25" customHeight="1" x14ac:dyDescent="0.25">
      <c r="A3057" s="3"/>
      <c r="B3057" s="3"/>
      <c r="C3057" s="3"/>
      <c r="D3057" s="3"/>
      <c r="E3057" s="3"/>
      <c r="F3057" s="3"/>
      <c r="G3057" s="14"/>
      <c r="H3057" s="11"/>
      <c r="I3057" s="12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14"/>
      <c r="X3057" s="3"/>
      <c r="Y3057" s="14"/>
      <c r="Z3057" s="3"/>
      <c r="AA3057" s="3"/>
      <c r="AB3057" s="3"/>
      <c r="AC3057" s="3"/>
      <c r="AD3057" s="3"/>
      <c r="AE3057" s="3"/>
      <c r="AF3057" s="3"/>
      <c r="AG3057" s="3"/>
      <c r="AH3057" s="3"/>
    </row>
    <row r="3058" spans="1:34" ht="14.25" customHeight="1" x14ac:dyDescent="0.25">
      <c r="A3058" s="3"/>
      <c r="B3058" s="3"/>
      <c r="C3058" s="3"/>
      <c r="D3058" s="3"/>
      <c r="E3058" s="3"/>
      <c r="F3058" s="3"/>
      <c r="G3058" s="14"/>
      <c r="H3058" s="11"/>
      <c r="I3058" s="12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14"/>
      <c r="X3058" s="3"/>
      <c r="Y3058" s="14"/>
      <c r="Z3058" s="3"/>
      <c r="AA3058" s="3"/>
      <c r="AB3058" s="3"/>
      <c r="AC3058" s="3"/>
      <c r="AD3058" s="3"/>
      <c r="AE3058" s="3"/>
      <c r="AF3058" s="3"/>
      <c r="AG3058" s="3"/>
      <c r="AH3058" s="3"/>
    </row>
    <row r="3059" spans="1:34" ht="14.25" customHeight="1" x14ac:dyDescent="0.25">
      <c r="A3059" s="3"/>
      <c r="B3059" s="3"/>
      <c r="C3059" s="3"/>
      <c r="D3059" s="3"/>
      <c r="E3059" s="3"/>
      <c r="F3059" s="3"/>
      <c r="G3059" s="3"/>
      <c r="H3059" s="11"/>
      <c r="I3059" s="12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14"/>
      <c r="X3059" s="3"/>
      <c r="Y3059" s="14"/>
      <c r="Z3059" s="3"/>
      <c r="AA3059" s="3"/>
      <c r="AB3059" s="3"/>
      <c r="AC3059" s="3"/>
      <c r="AD3059" s="3"/>
      <c r="AE3059" s="3"/>
      <c r="AF3059" s="3"/>
      <c r="AG3059" s="3"/>
      <c r="AH3059" s="3"/>
    </row>
    <row r="3060" spans="1:34" ht="14.25" customHeight="1" x14ac:dyDescent="0.25">
      <c r="A3060" s="3"/>
      <c r="B3060" s="3"/>
      <c r="C3060" s="3"/>
      <c r="D3060" s="3"/>
      <c r="E3060" s="3"/>
      <c r="F3060" s="3"/>
      <c r="G3060" s="14"/>
      <c r="H3060" s="11"/>
      <c r="I3060" s="12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14"/>
      <c r="X3060" s="3"/>
      <c r="Y3060" s="14"/>
      <c r="Z3060" s="3"/>
      <c r="AA3060" s="3"/>
      <c r="AB3060" s="3"/>
      <c r="AC3060" s="3"/>
      <c r="AD3060" s="3"/>
      <c r="AE3060" s="3"/>
      <c r="AF3060" s="3"/>
      <c r="AG3060" s="3"/>
      <c r="AH3060" s="3"/>
    </row>
    <row r="3061" spans="1:34" ht="14.25" customHeight="1" x14ac:dyDescent="0.25">
      <c r="A3061" s="3"/>
      <c r="B3061" s="3"/>
      <c r="C3061" s="3"/>
      <c r="D3061" s="3"/>
      <c r="E3061" s="3"/>
      <c r="F3061" s="3"/>
      <c r="G3061" s="14"/>
      <c r="H3061" s="11"/>
      <c r="I3061" s="12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14"/>
      <c r="X3061" s="3"/>
      <c r="Y3061" s="14"/>
      <c r="Z3061" s="3"/>
      <c r="AA3061" s="3"/>
      <c r="AB3061" s="3"/>
      <c r="AC3061" s="3"/>
      <c r="AD3061" s="3"/>
      <c r="AE3061" s="3"/>
      <c r="AF3061" s="3"/>
      <c r="AG3061" s="3"/>
      <c r="AH3061" s="3"/>
    </row>
    <row r="3062" spans="1:34" ht="14.25" customHeight="1" x14ac:dyDescent="0.25">
      <c r="A3062" s="3"/>
      <c r="B3062" s="3"/>
      <c r="C3062" s="3"/>
      <c r="D3062" s="3"/>
      <c r="E3062" s="3"/>
      <c r="F3062" s="3"/>
      <c r="G3062" s="14"/>
      <c r="H3062" s="11"/>
      <c r="I3062" s="12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14"/>
      <c r="X3062" s="3"/>
      <c r="Y3062" s="14"/>
      <c r="Z3062" s="3"/>
      <c r="AA3062" s="3"/>
      <c r="AB3062" s="3"/>
      <c r="AC3062" s="3"/>
      <c r="AD3062" s="3"/>
      <c r="AE3062" s="3"/>
      <c r="AF3062" s="3"/>
      <c r="AG3062" s="3"/>
      <c r="AH3062" s="3"/>
    </row>
    <row r="3063" spans="1:34" ht="14.25" customHeight="1" x14ac:dyDescent="0.25">
      <c r="A3063" s="3"/>
      <c r="B3063" s="3"/>
      <c r="C3063" s="3"/>
      <c r="D3063" s="3"/>
      <c r="E3063" s="3"/>
      <c r="F3063" s="3"/>
      <c r="G3063" s="3"/>
      <c r="H3063" s="11"/>
      <c r="I3063" s="12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14"/>
      <c r="X3063" s="3"/>
      <c r="Y3063" s="14"/>
      <c r="Z3063" s="3"/>
      <c r="AA3063" s="3"/>
      <c r="AB3063" s="3"/>
      <c r="AC3063" s="3"/>
      <c r="AD3063" s="3"/>
      <c r="AE3063" s="3"/>
      <c r="AF3063" s="3"/>
      <c r="AG3063" s="3"/>
      <c r="AH3063" s="3"/>
    </row>
    <row r="3064" spans="1:34" ht="14.25" customHeight="1" x14ac:dyDescent="0.25">
      <c r="A3064" s="3"/>
      <c r="B3064" s="3"/>
      <c r="C3064" s="3"/>
      <c r="D3064" s="3"/>
      <c r="E3064" s="3"/>
      <c r="F3064" s="3"/>
      <c r="G3064" s="14"/>
      <c r="H3064" s="11"/>
      <c r="I3064" s="12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14"/>
      <c r="X3064" s="3"/>
      <c r="Y3064" s="14"/>
      <c r="Z3064" s="3"/>
      <c r="AA3064" s="3"/>
      <c r="AB3064" s="3"/>
      <c r="AC3064" s="3"/>
      <c r="AD3064" s="3"/>
      <c r="AE3064" s="3"/>
      <c r="AF3064" s="3"/>
      <c r="AG3064" s="3"/>
      <c r="AH3064" s="3"/>
    </row>
    <row r="3065" spans="1:34" ht="14.25" customHeight="1" x14ac:dyDescent="0.25">
      <c r="A3065" s="3"/>
      <c r="B3065" s="3"/>
      <c r="C3065" s="3"/>
      <c r="D3065" s="3"/>
      <c r="E3065" s="3"/>
      <c r="F3065" s="3"/>
      <c r="G3065" s="14"/>
      <c r="H3065" s="11"/>
      <c r="I3065" s="12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14"/>
      <c r="X3065" s="3"/>
      <c r="Y3065" s="14"/>
      <c r="Z3065" s="3"/>
      <c r="AA3065" s="3"/>
      <c r="AB3065" s="3"/>
      <c r="AC3065" s="3"/>
      <c r="AD3065" s="3"/>
      <c r="AE3065" s="3"/>
      <c r="AF3065" s="3"/>
      <c r="AG3065" s="3"/>
      <c r="AH3065" s="3"/>
    </row>
    <row r="3066" spans="1:34" ht="14.25" customHeight="1" x14ac:dyDescent="0.25">
      <c r="A3066" s="3"/>
      <c r="B3066" s="3"/>
      <c r="C3066" s="3"/>
      <c r="D3066" s="3"/>
      <c r="E3066" s="3"/>
      <c r="F3066" s="3"/>
      <c r="G3066" s="14"/>
      <c r="H3066" s="11"/>
      <c r="I3066" s="12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14"/>
      <c r="X3066" s="3"/>
      <c r="Y3066" s="14"/>
      <c r="Z3066" s="3"/>
      <c r="AA3066" s="3"/>
      <c r="AB3066" s="3"/>
      <c r="AC3066" s="3"/>
      <c r="AD3066" s="3"/>
      <c r="AE3066" s="3"/>
      <c r="AF3066" s="3"/>
      <c r="AG3066" s="3"/>
      <c r="AH3066" s="3"/>
    </row>
    <row r="3067" spans="1:34" ht="14.25" customHeight="1" x14ac:dyDescent="0.25">
      <c r="A3067" s="3"/>
      <c r="B3067" s="3"/>
      <c r="C3067" s="3"/>
      <c r="D3067" s="3"/>
      <c r="E3067" s="3"/>
      <c r="F3067" s="3"/>
      <c r="G3067" s="14"/>
      <c r="H3067" s="11"/>
      <c r="I3067" s="12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14"/>
      <c r="X3067" s="3"/>
      <c r="Y3067" s="14"/>
      <c r="Z3067" s="3"/>
      <c r="AA3067" s="3"/>
      <c r="AB3067" s="3"/>
      <c r="AC3067" s="3"/>
      <c r="AD3067" s="3"/>
      <c r="AE3067" s="3"/>
      <c r="AF3067" s="3"/>
      <c r="AG3067" s="3"/>
      <c r="AH3067" s="3"/>
    </row>
    <row r="3068" spans="1:34" ht="14.25" customHeight="1" x14ac:dyDescent="0.25">
      <c r="A3068" s="3"/>
      <c r="B3068" s="3"/>
      <c r="C3068" s="3"/>
      <c r="D3068" s="3"/>
      <c r="E3068" s="3"/>
      <c r="F3068" s="3"/>
      <c r="G3068" s="14"/>
      <c r="H3068" s="11"/>
      <c r="I3068" s="12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14"/>
      <c r="X3068" s="3"/>
      <c r="Y3068" s="14"/>
      <c r="Z3068" s="3"/>
      <c r="AA3068" s="3"/>
      <c r="AB3068" s="3"/>
      <c r="AC3068" s="3"/>
      <c r="AD3068" s="3"/>
      <c r="AE3068" s="3"/>
      <c r="AF3068" s="3"/>
      <c r="AG3068" s="3"/>
      <c r="AH3068" s="3"/>
    </row>
    <row r="3069" spans="1:34" ht="14.25" customHeight="1" x14ac:dyDescent="0.25">
      <c r="A3069" s="3"/>
      <c r="B3069" s="3"/>
      <c r="C3069" s="3"/>
      <c r="D3069" s="3"/>
      <c r="E3069" s="3"/>
      <c r="F3069" s="3"/>
      <c r="G3069" s="3"/>
      <c r="H3069" s="11"/>
      <c r="I3069" s="12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14"/>
      <c r="X3069" s="3"/>
      <c r="Y3069" s="14"/>
      <c r="Z3069" s="3"/>
      <c r="AA3069" s="3"/>
      <c r="AB3069" s="3"/>
      <c r="AC3069" s="3"/>
      <c r="AD3069" s="3"/>
      <c r="AE3069" s="3"/>
      <c r="AF3069" s="3"/>
      <c r="AG3069" s="3"/>
      <c r="AH3069" s="3"/>
    </row>
    <row r="3070" spans="1:34" ht="14.25" customHeight="1" x14ac:dyDescent="0.25">
      <c r="A3070" s="3"/>
      <c r="B3070" s="3"/>
      <c r="C3070" s="3"/>
      <c r="D3070" s="3"/>
      <c r="E3070" s="3"/>
      <c r="F3070" s="3"/>
      <c r="G3070" s="14"/>
      <c r="H3070" s="11"/>
      <c r="I3070" s="12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14"/>
      <c r="X3070" s="3"/>
      <c r="Y3070" s="14"/>
      <c r="Z3070" s="3"/>
      <c r="AA3070" s="3"/>
      <c r="AB3070" s="3"/>
      <c r="AC3070" s="3"/>
      <c r="AD3070" s="3"/>
      <c r="AE3070" s="3"/>
      <c r="AF3070" s="3"/>
      <c r="AG3070" s="3"/>
      <c r="AH3070" s="3"/>
    </row>
    <row r="3071" spans="1:34" ht="14.25" customHeight="1" x14ac:dyDescent="0.25">
      <c r="A3071" s="3"/>
      <c r="B3071" s="3"/>
      <c r="C3071" s="3"/>
      <c r="D3071" s="3"/>
      <c r="E3071" s="3"/>
      <c r="F3071" s="3"/>
      <c r="G3071" s="14"/>
      <c r="H3071" s="11"/>
      <c r="I3071" s="12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14"/>
      <c r="X3071" s="3"/>
      <c r="Y3071" s="14"/>
      <c r="Z3071" s="3"/>
      <c r="AA3071" s="3"/>
      <c r="AB3071" s="3"/>
      <c r="AC3071" s="3"/>
      <c r="AD3071" s="3"/>
      <c r="AE3071" s="3"/>
      <c r="AF3071" s="3"/>
      <c r="AG3071" s="3"/>
      <c r="AH3071" s="3"/>
    </row>
    <row r="3072" spans="1:34" ht="14.25" customHeight="1" x14ac:dyDescent="0.25">
      <c r="A3072" s="3"/>
      <c r="B3072" s="3"/>
      <c r="C3072" s="3"/>
      <c r="D3072" s="3"/>
      <c r="E3072" s="3"/>
      <c r="F3072" s="3"/>
      <c r="G3072" s="3"/>
      <c r="H3072" s="11"/>
      <c r="I3072" s="12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14"/>
      <c r="X3072" s="3"/>
      <c r="Y3072" s="14"/>
      <c r="Z3072" s="3"/>
      <c r="AA3072" s="3"/>
      <c r="AB3072" s="3"/>
      <c r="AC3072" s="3"/>
      <c r="AD3072" s="3"/>
      <c r="AE3072" s="3"/>
      <c r="AF3072" s="3"/>
      <c r="AG3072" s="3"/>
      <c r="AH3072" s="3"/>
    </row>
    <row r="3073" spans="1:34" ht="14.25" customHeight="1" x14ac:dyDescent="0.25">
      <c r="A3073" s="3"/>
      <c r="B3073" s="3"/>
      <c r="C3073" s="3"/>
      <c r="D3073" s="3"/>
      <c r="E3073" s="3"/>
      <c r="F3073" s="3"/>
      <c r="G3073" s="3"/>
      <c r="H3073" s="11"/>
      <c r="I3073" s="12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14"/>
      <c r="X3073" s="3"/>
      <c r="Y3073" s="14"/>
      <c r="Z3073" s="3"/>
      <c r="AA3073" s="3"/>
      <c r="AB3073" s="3"/>
      <c r="AC3073" s="3"/>
      <c r="AD3073" s="3"/>
      <c r="AE3073" s="3"/>
      <c r="AF3073" s="3"/>
      <c r="AG3073" s="3"/>
      <c r="AH3073" s="3"/>
    </row>
    <row r="3074" spans="1:34" ht="14.25" customHeight="1" x14ac:dyDescent="0.25">
      <c r="A3074" s="3"/>
      <c r="B3074" s="3"/>
      <c r="C3074" s="3"/>
      <c r="D3074" s="3"/>
      <c r="E3074" s="3"/>
      <c r="F3074" s="3"/>
      <c r="G3074" s="14"/>
      <c r="H3074" s="11"/>
      <c r="I3074" s="12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14"/>
      <c r="X3074" s="3"/>
      <c r="Y3074" s="14"/>
      <c r="Z3074" s="3"/>
      <c r="AA3074" s="3"/>
      <c r="AB3074" s="3"/>
      <c r="AC3074" s="3"/>
      <c r="AD3074" s="3"/>
      <c r="AE3074" s="3"/>
      <c r="AF3074" s="3"/>
      <c r="AG3074" s="3"/>
      <c r="AH3074" s="3"/>
    </row>
    <row r="3075" spans="1:34" ht="14.25" customHeight="1" x14ac:dyDescent="0.25">
      <c r="A3075" s="3"/>
      <c r="B3075" s="3"/>
      <c r="C3075" s="3"/>
      <c r="D3075" s="3"/>
      <c r="E3075" s="3"/>
      <c r="F3075" s="3"/>
      <c r="G3075" s="14"/>
      <c r="H3075" s="11"/>
      <c r="I3075" s="12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14"/>
      <c r="X3075" s="3"/>
      <c r="Y3075" s="14"/>
      <c r="Z3075" s="3"/>
      <c r="AA3075" s="3"/>
      <c r="AB3075" s="3"/>
      <c r="AC3075" s="3"/>
      <c r="AD3075" s="3"/>
      <c r="AE3075" s="3"/>
      <c r="AF3075" s="3"/>
      <c r="AG3075" s="3"/>
      <c r="AH3075" s="3"/>
    </row>
    <row r="3076" spans="1:34" ht="14.25" customHeight="1" x14ac:dyDescent="0.25">
      <c r="A3076" s="3"/>
      <c r="B3076" s="3"/>
      <c r="C3076" s="3"/>
      <c r="D3076" s="3"/>
      <c r="E3076" s="3"/>
      <c r="F3076" s="3"/>
      <c r="G3076" s="14"/>
      <c r="H3076" s="11"/>
      <c r="I3076" s="12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14"/>
      <c r="X3076" s="3"/>
      <c r="Y3076" s="14"/>
      <c r="Z3076" s="3"/>
      <c r="AA3076" s="3"/>
      <c r="AB3076" s="3"/>
      <c r="AC3076" s="3"/>
      <c r="AD3076" s="3"/>
      <c r="AE3076" s="3"/>
      <c r="AF3076" s="3"/>
      <c r="AG3076" s="3"/>
      <c r="AH3076" s="3"/>
    </row>
    <row r="3077" spans="1:34" ht="14.25" customHeight="1" x14ac:dyDescent="0.25">
      <c r="A3077" s="3"/>
      <c r="B3077" s="3"/>
      <c r="C3077" s="3"/>
      <c r="D3077" s="3"/>
      <c r="E3077" s="3"/>
      <c r="F3077" s="3"/>
      <c r="G3077" s="14"/>
      <c r="H3077" s="11"/>
      <c r="I3077" s="12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14"/>
      <c r="X3077" s="3"/>
      <c r="Y3077" s="14"/>
      <c r="Z3077" s="3"/>
      <c r="AA3077" s="3"/>
      <c r="AB3077" s="3"/>
      <c r="AC3077" s="3"/>
      <c r="AD3077" s="3"/>
      <c r="AE3077" s="3"/>
      <c r="AF3077" s="3"/>
      <c r="AG3077" s="3"/>
      <c r="AH3077" s="3"/>
    </row>
    <row r="3078" spans="1:34" ht="14.25" customHeight="1" x14ac:dyDescent="0.25">
      <c r="A3078" s="3"/>
      <c r="B3078" s="3"/>
      <c r="C3078" s="3"/>
      <c r="D3078" s="3"/>
      <c r="E3078" s="3"/>
      <c r="F3078" s="3"/>
      <c r="G3078" s="14"/>
      <c r="H3078" s="11"/>
      <c r="I3078" s="12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14"/>
      <c r="X3078" s="3"/>
      <c r="Y3078" s="14"/>
      <c r="Z3078" s="3"/>
      <c r="AA3078" s="3"/>
      <c r="AB3078" s="3"/>
      <c r="AC3078" s="3"/>
      <c r="AD3078" s="3"/>
      <c r="AE3078" s="3"/>
      <c r="AF3078" s="3"/>
      <c r="AG3078" s="3"/>
      <c r="AH3078" s="3"/>
    </row>
    <row r="3079" spans="1:34" ht="14.25" customHeight="1" x14ac:dyDescent="0.25">
      <c r="A3079" s="3"/>
      <c r="B3079" s="3"/>
      <c r="C3079" s="3"/>
      <c r="D3079" s="3"/>
      <c r="E3079" s="3"/>
      <c r="F3079" s="3"/>
      <c r="G3079" s="14"/>
      <c r="H3079" s="11"/>
      <c r="I3079" s="12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14"/>
      <c r="X3079" s="3"/>
      <c r="Y3079" s="14"/>
      <c r="Z3079" s="3"/>
      <c r="AA3079" s="3"/>
      <c r="AB3079" s="3"/>
      <c r="AC3079" s="3"/>
      <c r="AD3079" s="3"/>
      <c r="AE3079" s="3"/>
      <c r="AF3079" s="3"/>
      <c r="AG3079" s="3"/>
      <c r="AH3079" s="3"/>
    </row>
    <row r="3080" spans="1:34" ht="14.25" customHeight="1" x14ac:dyDescent="0.25">
      <c r="A3080" s="3"/>
      <c r="B3080" s="3"/>
      <c r="C3080" s="3"/>
      <c r="D3080" s="3"/>
      <c r="E3080" s="3"/>
      <c r="F3080" s="3"/>
      <c r="G3080" s="14"/>
      <c r="H3080" s="11"/>
      <c r="I3080" s="12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14"/>
      <c r="X3080" s="3"/>
      <c r="Y3080" s="14"/>
      <c r="Z3080" s="3"/>
      <c r="AA3080" s="3"/>
      <c r="AB3080" s="3"/>
      <c r="AC3080" s="3"/>
      <c r="AD3080" s="3"/>
      <c r="AE3080" s="3"/>
      <c r="AF3080" s="3"/>
      <c r="AG3080" s="3"/>
      <c r="AH3080" s="3"/>
    </row>
    <row r="3081" spans="1:34" ht="14.25" customHeight="1" x14ac:dyDescent="0.25">
      <c r="A3081" s="3"/>
      <c r="B3081" s="3"/>
      <c r="C3081" s="3"/>
      <c r="D3081" s="3"/>
      <c r="E3081" s="3"/>
      <c r="F3081" s="3"/>
      <c r="G3081" s="3"/>
      <c r="H3081" s="11"/>
      <c r="I3081" s="12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14"/>
      <c r="X3081" s="3"/>
      <c r="Y3081" s="14"/>
      <c r="Z3081" s="3"/>
      <c r="AA3081" s="3"/>
      <c r="AB3081" s="3"/>
      <c r="AC3081" s="3"/>
      <c r="AD3081" s="3"/>
      <c r="AE3081" s="3"/>
      <c r="AF3081" s="3"/>
      <c r="AG3081" s="3"/>
      <c r="AH3081" s="3"/>
    </row>
    <row r="3082" spans="1:34" ht="14.25" customHeight="1" x14ac:dyDescent="0.25">
      <c r="A3082" s="3"/>
      <c r="B3082" s="3"/>
      <c r="C3082" s="3"/>
      <c r="D3082" s="3"/>
      <c r="E3082" s="3"/>
      <c r="F3082" s="3"/>
      <c r="G3082" s="3"/>
      <c r="H3082" s="11"/>
      <c r="I3082" s="12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14"/>
      <c r="X3082" s="3"/>
      <c r="Y3082" s="14"/>
      <c r="Z3082" s="3"/>
      <c r="AA3082" s="3"/>
      <c r="AB3082" s="3"/>
      <c r="AC3082" s="3"/>
      <c r="AD3082" s="3"/>
      <c r="AE3082" s="3"/>
      <c r="AF3082" s="3"/>
      <c r="AG3082" s="3"/>
      <c r="AH3082" s="3"/>
    </row>
    <row r="3083" spans="1:34" ht="14.25" customHeight="1" x14ac:dyDescent="0.25">
      <c r="A3083" s="3"/>
      <c r="B3083" s="3"/>
      <c r="C3083" s="3"/>
      <c r="D3083" s="3"/>
      <c r="E3083" s="3"/>
      <c r="F3083" s="3"/>
      <c r="G3083" s="14"/>
      <c r="H3083" s="11"/>
      <c r="I3083" s="12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14"/>
      <c r="X3083" s="3"/>
      <c r="Y3083" s="14"/>
      <c r="Z3083" s="3"/>
      <c r="AA3083" s="3"/>
      <c r="AB3083" s="3"/>
      <c r="AC3083" s="3"/>
      <c r="AD3083" s="3"/>
      <c r="AE3083" s="3"/>
      <c r="AF3083" s="3"/>
      <c r="AG3083" s="3"/>
      <c r="AH3083" s="3"/>
    </row>
    <row r="3084" spans="1:34" ht="14.25" customHeight="1" x14ac:dyDescent="0.25">
      <c r="A3084" s="3"/>
      <c r="B3084" s="3"/>
      <c r="C3084" s="3"/>
      <c r="D3084" s="3"/>
      <c r="E3084" s="3"/>
      <c r="F3084" s="3"/>
      <c r="G3084" s="14"/>
      <c r="H3084" s="11"/>
      <c r="I3084" s="12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14"/>
      <c r="X3084" s="3"/>
      <c r="Y3084" s="14"/>
      <c r="Z3084" s="3"/>
      <c r="AA3084" s="3"/>
      <c r="AB3084" s="3"/>
      <c r="AC3084" s="3"/>
      <c r="AD3084" s="3"/>
      <c r="AE3084" s="3"/>
      <c r="AF3084" s="3"/>
      <c r="AG3084" s="3"/>
      <c r="AH3084" s="3"/>
    </row>
    <row r="3085" spans="1:34" ht="14.25" customHeight="1" x14ac:dyDescent="0.25">
      <c r="A3085" s="3"/>
      <c r="B3085" s="3"/>
      <c r="C3085" s="3"/>
      <c r="D3085" s="3"/>
      <c r="E3085" s="3"/>
      <c r="F3085" s="3"/>
      <c r="G3085" s="14"/>
      <c r="H3085" s="11"/>
      <c r="I3085" s="12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14"/>
      <c r="X3085" s="3"/>
      <c r="Y3085" s="14"/>
      <c r="Z3085" s="3"/>
      <c r="AA3085" s="3"/>
      <c r="AB3085" s="3"/>
      <c r="AC3085" s="3"/>
      <c r="AD3085" s="3"/>
      <c r="AE3085" s="3"/>
      <c r="AF3085" s="3"/>
      <c r="AG3085" s="3"/>
      <c r="AH3085" s="3"/>
    </row>
    <row r="3086" spans="1:34" ht="14.25" customHeight="1" x14ac:dyDescent="0.25">
      <c r="A3086" s="3"/>
      <c r="B3086" s="3"/>
      <c r="C3086" s="3"/>
      <c r="D3086" s="3"/>
      <c r="E3086" s="3"/>
      <c r="F3086" s="3"/>
      <c r="G3086" s="14"/>
      <c r="H3086" s="11"/>
      <c r="I3086" s="12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14"/>
      <c r="X3086" s="3"/>
      <c r="Y3086" s="14"/>
      <c r="Z3086" s="3"/>
      <c r="AA3086" s="3"/>
      <c r="AB3086" s="3"/>
      <c r="AC3086" s="3"/>
      <c r="AD3086" s="3"/>
      <c r="AE3086" s="3"/>
      <c r="AF3086" s="3"/>
      <c r="AG3086" s="3"/>
      <c r="AH3086" s="3"/>
    </row>
    <row r="3087" spans="1:34" ht="14.25" customHeight="1" x14ac:dyDescent="0.25">
      <c r="A3087" s="3"/>
      <c r="B3087" s="3"/>
      <c r="C3087" s="3"/>
      <c r="D3087" s="3"/>
      <c r="E3087" s="3"/>
      <c r="F3087" s="3"/>
      <c r="G3087" s="14"/>
      <c r="H3087" s="11"/>
      <c r="I3087" s="12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14"/>
      <c r="X3087" s="3"/>
      <c r="Y3087" s="14"/>
      <c r="Z3087" s="3"/>
      <c r="AA3087" s="3"/>
      <c r="AB3087" s="3"/>
      <c r="AC3087" s="3"/>
      <c r="AD3087" s="3"/>
      <c r="AE3087" s="3"/>
      <c r="AF3087" s="3"/>
      <c r="AG3087" s="3"/>
      <c r="AH3087" s="3"/>
    </row>
    <row r="3088" spans="1:34" ht="14.25" customHeight="1" x14ac:dyDescent="0.25">
      <c r="A3088" s="3"/>
      <c r="B3088" s="3"/>
      <c r="C3088" s="3"/>
      <c r="D3088" s="3"/>
      <c r="E3088" s="3"/>
      <c r="F3088" s="3"/>
      <c r="G3088" s="3"/>
      <c r="H3088" s="11"/>
      <c r="I3088" s="12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14"/>
      <c r="X3088" s="3"/>
      <c r="Y3088" s="14"/>
      <c r="Z3088" s="3"/>
      <c r="AA3088" s="3"/>
      <c r="AB3088" s="3"/>
      <c r="AC3088" s="3"/>
      <c r="AD3088" s="3"/>
      <c r="AE3088" s="3"/>
      <c r="AF3088" s="3"/>
      <c r="AG3088" s="3"/>
      <c r="AH3088" s="3"/>
    </row>
    <row r="3089" spans="1:34" ht="14.25" customHeight="1" x14ac:dyDescent="0.25">
      <c r="A3089" s="3"/>
      <c r="B3089" s="3"/>
      <c r="C3089" s="3"/>
      <c r="D3089" s="3"/>
      <c r="E3089" s="3"/>
      <c r="F3089" s="3"/>
      <c r="G3089" s="14"/>
      <c r="H3089" s="11"/>
      <c r="I3089" s="12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14"/>
      <c r="X3089" s="3"/>
      <c r="Y3089" s="14"/>
      <c r="Z3089" s="3"/>
      <c r="AA3089" s="3"/>
      <c r="AB3089" s="3"/>
      <c r="AC3089" s="3"/>
      <c r="AD3089" s="3"/>
      <c r="AE3089" s="3"/>
      <c r="AF3089" s="3"/>
      <c r="AG3089" s="3"/>
      <c r="AH3089" s="3"/>
    </row>
    <row r="3090" spans="1:34" ht="14.25" customHeight="1" x14ac:dyDescent="0.25">
      <c r="A3090" s="3"/>
      <c r="B3090" s="3"/>
      <c r="C3090" s="3"/>
      <c r="D3090" s="3"/>
      <c r="E3090" s="3"/>
      <c r="F3090" s="3"/>
      <c r="G3090" s="14"/>
      <c r="H3090" s="11"/>
      <c r="I3090" s="12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14"/>
      <c r="X3090" s="3"/>
      <c r="Y3090" s="14"/>
      <c r="Z3090" s="3"/>
      <c r="AA3090" s="3"/>
      <c r="AB3090" s="3"/>
      <c r="AC3090" s="3"/>
      <c r="AD3090" s="3"/>
      <c r="AE3090" s="3"/>
      <c r="AF3090" s="3"/>
      <c r="AG3090" s="3"/>
      <c r="AH3090" s="3"/>
    </row>
    <row r="3091" spans="1:34" ht="14.25" customHeight="1" x14ac:dyDescent="0.25">
      <c r="A3091" s="3"/>
      <c r="B3091" s="3"/>
      <c r="C3091" s="3"/>
      <c r="D3091" s="3"/>
      <c r="E3091" s="3"/>
      <c r="F3091" s="3"/>
      <c r="G3091" s="3"/>
      <c r="H3091" s="11"/>
      <c r="I3091" s="12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14"/>
      <c r="X3091" s="3"/>
      <c r="Y3091" s="14"/>
      <c r="Z3091" s="3"/>
      <c r="AA3091" s="3"/>
      <c r="AB3091" s="3"/>
      <c r="AC3091" s="3"/>
      <c r="AD3091" s="3"/>
      <c r="AE3091" s="3"/>
      <c r="AF3091" s="3"/>
      <c r="AG3091" s="3"/>
      <c r="AH3091" s="3"/>
    </row>
    <row r="3092" spans="1:34" ht="14.25" customHeight="1" x14ac:dyDescent="0.25">
      <c r="A3092" s="3"/>
      <c r="B3092" s="3"/>
      <c r="C3092" s="3"/>
      <c r="D3092" s="3"/>
      <c r="E3092" s="3"/>
      <c r="F3092" s="3"/>
      <c r="G3092" s="3"/>
      <c r="H3092" s="11"/>
      <c r="I3092" s="12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14"/>
      <c r="X3092" s="3"/>
      <c r="Y3092" s="14"/>
      <c r="Z3092" s="3"/>
      <c r="AA3092" s="3"/>
      <c r="AB3092" s="3"/>
      <c r="AC3092" s="3"/>
      <c r="AD3092" s="3"/>
      <c r="AE3092" s="3"/>
      <c r="AF3092" s="3"/>
      <c r="AG3092" s="3"/>
      <c r="AH3092" s="3"/>
    </row>
    <row r="3093" spans="1:34" ht="14.25" customHeight="1" x14ac:dyDescent="0.25">
      <c r="A3093" s="3"/>
      <c r="B3093" s="3"/>
      <c r="C3093" s="3"/>
      <c r="D3093" s="3"/>
      <c r="E3093" s="3"/>
      <c r="F3093" s="3"/>
      <c r="G3093" s="3"/>
      <c r="H3093" s="11"/>
      <c r="I3093" s="12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14"/>
      <c r="X3093" s="3"/>
      <c r="Y3093" s="14"/>
      <c r="Z3093" s="3"/>
      <c r="AA3093" s="3"/>
      <c r="AB3093" s="3"/>
      <c r="AC3093" s="3"/>
      <c r="AD3093" s="3"/>
      <c r="AE3093" s="3"/>
      <c r="AF3093" s="3"/>
      <c r="AG3093" s="3"/>
      <c r="AH3093" s="3"/>
    </row>
    <row r="3094" spans="1:34" ht="14.25" customHeight="1" x14ac:dyDescent="0.25">
      <c r="A3094" s="3"/>
      <c r="B3094" s="3"/>
      <c r="C3094" s="3"/>
      <c r="D3094" s="3"/>
      <c r="E3094" s="3"/>
      <c r="F3094" s="3"/>
      <c r="G3094" s="3"/>
      <c r="H3094" s="11"/>
      <c r="I3094" s="12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14"/>
      <c r="X3094" s="3"/>
      <c r="Y3094" s="14"/>
      <c r="Z3094" s="3"/>
      <c r="AA3094" s="3"/>
      <c r="AB3094" s="3"/>
      <c r="AC3094" s="3"/>
      <c r="AD3094" s="3"/>
      <c r="AE3094" s="3"/>
      <c r="AF3094" s="3"/>
      <c r="AG3094" s="3"/>
      <c r="AH3094" s="3"/>
    </row>
    <row r="3095" spans="1:34" ht="14.25" customHeight="1" x14ac:dyDescent="0.25">
      <c r="A3095" s="3"/>
      <c r="B3095" s="3"/>
      <c r="C3095" s="3"/>
      <c r="D3095" s="3"/>
      <c r="E3095" s="3"/>
      <c r="F3095" s="3"/>
      <c r="G3095" s="14"/>
      <c r="H3095" s="11"/>
      <c r="I3095" s="12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14"/>
      <c r="X3095" s="3"/>
      <c r="Y3095" s="14"/>
      <c r="Z3095" s="3"/>
      <c r="AA3095" s="3"/>
      <c r="AB3095" s="3"/>
      <c r="AC3095" s="3"/>
      <c r="AD3095" s="3"/>
      <c r="AE3095" s="3"/>
      <c r="AF3095" s="3"/>
      <c r="AG3095" s="3"/>
      <c r="AH3095" s="3"/>
    </row>
    <row r="3096" spans="1:34" ht="14.25" customHeight="1" x14ac:dyDescent="0.25">
      <c r="A3096" s="3"/>
      <c r="B3096" s="3"/>
      <c r="C3096" s="3"/>
      <c r="D3096" s="3"/>
      <c r="E3096" s="3"/>
      <c r="F3096" s="3"/>
      <c r="G3096" s="3"/>
      <c r="H3096" s="11"/>
      <c r="I3096" s="12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14"/>
      <c r="X3096" s="3"/>
      <c r="Y3096" s="14"/>
      <c r="Z3096" s="3"/>
      <c r="AA3096" s="3"/>
      <c r="AB3096" s="3"/>
      <c r="AC3096" s="3"/>
      <c r="AD3096" s="3"/>
      <c r="AE3096" s="3"/>
      <c r="AF3096" s="3"/>
      <c r="AG3096" s="3"/>
      <c r="AH3096" s="3"/>
    </row>
    <row r="3097" spans="1:34" ht="14.25" customHeight="1" x14ac:dyDescent="0.25">
      <c r="A3097" s="3"/>
      <c r="B3097" s="3"/>
      <c r="C3097" s="3"/>
      <c r="D3097" s="3"/>
      <c r="E3097" s="3"/>
      <c r="F3097" s="3"/>
      <c r="G3097" s="14"/>
      <c r="H3097" s="11"/>
      <c r="I3097" s="12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14"/>
      <c r="X3097" s="3"/>
      <c r="Y3097" s="14"/>
      <c r="Z3097" s="3"/>
      <c r="AA3097" s="3"/>
      <c r="AB3097" s="3"/>
      <c r="AC3097" s="3"/>
      <c r="AD3097" s="3"/>
      <c r="AE3097" s="3"/>
      <c r="AF3097" s="3"/>
      <c r="AG3097" s="3"/>
      <c r="AH3097" s="3"/>
    </row>
    <row r="3098" spans="1:34" ht="14.25" customHeight="1" x14ac:dyDescent="0.25">
      <c r="A3098" s="3"/>
      <c r="B3098" s="3"/>
      <c r="C3098" s="3"/>
      <c r="D3098" s="3"/>
      <c r="E3098" s="3"/>
      <c r="F3098" s="3"/>
      <c r="G3098" s="14"/>
      <c r="H3098" s="11"/>
      <c r="I3098" s="12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14"/>
      <c r="X3098" s="3"/>
      <c r="Y3098" s="14"/>
      <c r="Z3098" s="3"/>
      <c r="AA3098" s="3"/>
      <c r="AB3098" s="3"/>
      <c r="AC3098" s="3"/>
      <c r="AD3098" s="3"/>
      <c r="AE3098" s="3"/>
      <c r="AF3098" s="3"/>
      <c r="AG3098" s="3"/>
      <c r="AH3098" s="3"/>
    </row>
    <row r="3099" spans="1:34" ht="14.25" customHeight="1" x14ac:dyDescent="0.25">
      <c r="A3099" s="3"/>
      <c r="B3099" s="3"/>
      <c r="C3099" s="3"/>
      <c r="D3099" s="3"/>
      <c r="E3099" s="3"/>
      <c r="F3099" s="3"/>
      <c r="G3099" s="14"/>
      <c r="H3099" s="11"/>
      <c r="I3099" s="12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14"/>
      <c r="X3099" s="3"/>
      <c r="Y3099" s="14"/>
      <c r="Z3099" s="3"/>
      <c r="AA3099" s="3"/>
      <c r="AB3099" s="3"/>
      <c r="AC3099" s="3"/>
      <c r="AD3099" s="3"/>
      <c r="AE3099" s="3"/>
      <c r="AF3099" s="3"/>
      <c r="AG3099" s="3"/>
      <c r="AH3099" s="3"/>
    </row>
    <row r="3100" spans="1:34" ht="14.25" customHeight="1" x14ac:dyDescent="0.25">
      <c r="A3100" s="3"/>
      <c r="B3100" s="3"/>
      <c r="C3100" s="3"/>
      <c r="D3100" s="3"/>
      <c r="E3100" s="3"/>
      <c r="F3100" s="3"/>
      <c r="G3100" s="3"/>
      <c r="H3100" s="11"/>
      <c r="I3100" s="12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14"/>
      <c r="X3100" s="3"/>
      <c r="Y3100" s="14"/>
      <c r="Z3100" s="3"/>
      <c r="AA3100" s="3"/>
      <c r="AB3100" s="3"/>
      <c r="AC3100" s="3"/>
      <c r="AD3100" s="3"/>
      <c r="AE3100" s="3"/>
      <c r="AF3100" s="3"/>
      <c r="AG3100" s="3"/>
      <c r="AH3100" s="3"/>
    </row>
    <row r="3101" spans="1:34" ht="14.25" customHeight="1" x14ac:dyDescent="0.25">
      <c r="A3101" s="3"/>
      <c r="B3101" s="3"/>
      <c r="C3101" s="3"/>
      <c r="D3101" s="3"/>
      <c r="E3101" s="3"/>
      <c r="F3101" s="3"/>
      <c r="G3101" s="14"/>
      <c r="H3101" s="11"/>
      <c r="I3101" s="12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14"/>
      <c r="X3101" s="3"/>
      <c r="Y3101" s="14"/>
      <c r="Z3101" s="3"/>
      <c r="AA3101" s="3"/>
      <c r="AB3101" s="3"/>
      <c r="AC3101" s="3"/>
      <c r="AD3101" s="3"/>
      <c r="AE3101" s="3"/>
      <c r="AF3101" s="3"/>
      <c r="AG3101" s="3"/>
      <c r="AH3101" s="3"/>
    </row>
    <row r="3102" spans="1:34" ht="14.25" customHeight="1" x14ac:dyDescent="0.25">
      <c r="A3102" s="3"/>
      <c r="B3102" s="3"/>
      <c r="C3102" s="3"/>
      <c r="D3102" s="3"/>
      <c r="E3102" s="3"/>
      <c r="F3102" s="3"/>
      <c r="G3102" s="3"/>
      <c r="H3102" s="11"/>
      <c r="I3102" s="12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14"/>
      <c r="X3102" s="3"/>
      <c r="Y3102" s="14"/>
      <c r="Z3102" s="3"/>
      <c r="AA3102" s="3"/>
      <c r="AB3102" s="3"/>
      <c r="AC3102" s="3"/>
      <c r="AD3102" s="3"/>
      <c r="AE3102" s="3"/>
      <c r="AF3102" s="3"/>
      <c r="AG3102" s="3"/>
      <c r="AH3102" s="3"/>
    </row>
    <row r="3103" spans="1:34" ht="14.25" customHeight="1" x14ac:dyDescent="0.25">
      <c r="A3103" s="3"/>
      <c r="B3103" s="3"/>
      <c r="C3103" s="3"/>
      <c r="D3103" s="3"/>
      <c r="E3103" s="3"/>
      <c r="F3103" s="3"/>
      <c r="G3103" s="14"/>
      <c r="H3103" s="11"/>
      <c r="I3103" s="12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14"/>
      <c r="X3103" s="3"/>
      <c r="Y3103" s="14"/>
      <c r="Z3103" s="3"/>
      <c r="AA3103" s="3"/>
      <c r="AB3103" s="3"/>
      <c r="AC3103" s="3"/>
      <c r="AD3103" s="3"/>
      <c r="AE3103" s="3"/>
      <c r="AF3103" s="3"/>
      <c r="AG3103" s="3"/>
      <c r="AH3103" s="3"/>
    </row>
    <row r="3104" spans="1:34" ht="14.25" customHeight="1" x14ac:dyDescent="0.25">
      <c r="A3104" s="3"/>
      <c r="B3104" s="3"/>
      <c r="C3104" s="3"/>
      <c r="D3104" s="3"/>
      <c r="E3104" s="3"/>
      <c r="F3104" s="3"/>
      <c r="G3104" s="14"/>
      <c r="H3104" s="11"/>
      <c r="I3104" s="12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14"/>
      <c r="X3104" s="3"/>
      <c r="Y3104" s="14"/>
      <c r="Z3104" s="3"/>
      <c r="AA3104" s="3"/>
      <c r="AB3104" s="3"/>
      <c r="AC3104" s="3"/>
      <c r="AD3104" s="3"/>
      <c r="AE3104" s="3"/>
      <c r="AF3104" s="3"/>
      <c r="AG3104" s="3"/>
      <c r="AH3104" s="3"/>
    </row>
    <row r="3105" spans="1:34" ht="14.25" customHeight="1" x14ac:dyDescent="0.25">
      <c r="A3105" s="3"/>
      <c r="B3105" s="3"/>
      <c r="C3105" s="3"/>
      <c r="D3105" s="3"/>
      <c r="E3105" s="3"/>
      <c r="F3105" s="3"/>
      <c r="G3105" s="14"/>
      <c r="H3105" s="11"/>
      <c r="I3105" s="12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14"/>
      <c r="X3105" s="3"/>
      <c r="Y3105" s="14"/>
      <c r="Z3105" s="3"/>
      <c r="AA3105" s="3"/>
      <c r="AB3105" s="3"/>
      <c r="AC3105" s="3"/>
      <c r="AD3105" s="3"/>
      <c r="AE3105" s="3"/>
      <c r="AF3105" s="3"/>
      <c r="AG3105" s="3"/>
      <c r="AH3105" s="3"/>
    </row>
    <row r="3106" spans="1:34" ht="14.25" customHeight="1" x14ac:dyDescent="0.25">
      <c r="A3106" s="3"/>
      <c r="B3106" s="3"/>
      <c r="C3106" s="3"/>
      <c r="D3106" s="3"/>
      <c r="E3106" s="3"/>
      <c r="F3106" s="3"/>
      <c r="G3106" s="3"/>
      <c r="H3106" s="11"/>
      <c r="I3106" s="12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14"/>
      <c r="X3106" s="3"/>
      <c r="Y3106" s="14"/>
      <c r="Z3106" s="3"/>
      <c r="AA3106" s="3"/>
      <c r="AB3106" s="3"/>
      <c r="AC3106" s="3"/>
      <c r="AD3106" s="3"/>
      <c r="AE3106" s="3"/>
      <c r="AF3106" s="3"/>
      <c r="AG3106" s="3"/>
      <c r="AH3106" s="3"/>
    </row>
    <row r="3107" spans="1:34" ht="14.25" customHeight="1" x14ac:dyDescent="0.25">
      <c r="A3107" s="3"/>
      <c r="B3107" s="3"/>
      <c r="C3107" s="3"/>
      <c r="D3107" s="3"/>
      <c r="E3107" s="3"/>
      <c r="F3107" s="3"/>
      <c r="G3107" s="3"/>
      <c r="H3107" s="11"/>
      <c r="I3107" s="12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14"/>
      <c r="X3107" s="3"/>
      <c r="Y3107" s="14"/>
      <c r="Z3107" s="3"/>
      <c r="AA3107" s="3"/>
      <c r="AB3107" s="3"/>
      <c r="AC3107" s="3"/>
      <c r="AD3107" s="3"/>
      <c r="AE3107" s="3"/>
      <c r="AF3107" s="3"/>
      <c r="AG3107" s="3"/>
      <c r="AH3107" s="3"/>
    </row>
    <row r="3108" spans="1:34" ht="14.25" customHeight="1" x14ac:dyDescent="0.25">
      <c r="A3108" s="3"/>
      <c r="B3108" s="3"/>
      <c r="C3108" s="3"/>
      <c r="D3108" s="3"/>
      <c r="E3108" s="3"/>
      <c r="F3108" s="3"/>
      <c r="G3108" s="3"/>
      <c r="H3108" s="11"/>
      <c r="I3108" s="12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14"/>
      <c r="X3108" s="3"/>
      <c r="Y3108" s="14"/>
      <c r="Z3108" s="3"/>
      <c r="AA3108" s="3"/>
      <c r="AB3108" s="3"/>
      <c r="AC3108" s="3"/>
      <c r="AD3108" s="3"/>
      <c r="AE3108" s="3"/>
      <c r="AF3108" s="3"/>
      <c r="AG3108" s="3"/>
      <c r="AH3108" s="3"/>
    </row>
    <row r="3109" spans="1:34" ht="14.25" customHeight="1" x14ac:dyDescent="0.25">
      <c r="A3109" s="3"/>
      <c r="B3109" s="3"/>
      <c r="C3109" s="3"/>
      <c r="D3109" s="3"/>
      <c r="E3109" s="3"/>
      <c r="F3109" s="3"/>
      <c r="G3109" s="14"/>
      <c r="H3109" s="11"/>
      <c r="I3109" s="12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14"/>
      <c r="X3109" s="3"/>
      <c r="Y3109" s="14"/>
      <c r="Z3109" s="3"/>
      <c r="AA3109" s="3"/>
      <c r="AB3109" s="3"/>
      <c r="AC3109" s="3"/>
      <c r="AD3109" s="3"/>
      <c r="AE3109" s="3"/>
      <c r="AF3109" s="3"/>
      <c r="AG3109" s="3"/>
      <c r="AH3109" s="3"/>
    </row>
    <row r="3110" spans="1:34" ht="14.25" customHeight="1" x14ac:dyDescent="0.25">
      <c r="A3110" s="3"/>
      <c r="B3110" s="3"/>
      <c r="C3110" s="3"/>
      <c r="D3110" s="3"/>
      <c r="E3110" s="3"/>
      <c r="F3110" s="3"/>
      <c r="G3110" s="14"/>
      <c r="H3110" s="11"/>
      <c r="I3110" s="12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14"/>
      <c r="X3110" s="3"/>
      <c r="Y3110" s="14"/>
      <c r="Z3110" s="3"/>
      <c r="AA3110" s="3"/>
      <c r="AB3110" s="3"/>
      <c r="AC3110" s="3"/>
      <c r="AD3110" s="3"/>
      <c r="AE3110" s="3"/>
      <c r="AF3110" s="3"/>
      <c r="AG3110" s="3"/>
      <c r="AH3110" s="3"/>
    </row>
    <row r="3111" spans="1:34" ht="14.25" customHeight="1" x14ac:dyDescent="0.25">
      <c r="A3111" s="3"/>
      <c r="B3111" s="3"/>
      <c r="C3111" s="3"/>
      <c r="D3111" s="3"/>
      <c r="E3111" s="3"/>
      <c r="F3111" s="3"/>
      <c r="G3111" s="3"/>
      <c r="H3111" s="11"/>
      <c r="I3111" s="12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14"/>
      <c r="X3111" s="3"/>
      <c r="Y3111" s="14"/>
      <c r="Z3111" s="3"/>
      <c r="AA3111" s="3"/>
      <c r="AB3111" s="3"/>
      <c r="AC3111" s="3"/>
      <c r="AD3111" s="3"/>
      <c r="AE3111" s="3"/>
      <c r="AF3111" s="3"/>
      <c r="AG3111" s="3"/>
      <c r="AH3111" s="3"/>
    </row>
    <row r="3112" spans="1:34" ht="14.25" customHeight="1" x14ac:dyDescent="0.25">
      <c r="A3112" s="3"/>
      <c r="B3112" s="3"/>
      <c r="C3112" s="3"/>
      <c r="D3112" s="3"/>
      <c r="E3112" s="3"/>
      <c r="F3112" s="3"/>
      <c r="G3112" s="14"/>
      <c r="H3112" s="11"/>
      <c r="I3112" s="12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14"/>
      <c r="X3112" s="3"/>
      <c r="Y3112" s="14"/>
      <c r="Z3112" s="3"/>
      <c r="AA3112" s="3"/>
      <c r="AB3112" s="3"/>
      <c r="AC3112" s="3"/>
      <c r="AD3112" s="3"/>
      <c r="AE3112" s="3"/>
      <c r="AF3112" s="3"/>
      <c r="AG3112" s="3"/>
      <c r="AH3112" s="3"/>
    </row>
    <row r="3113" spans="1:34" ht="14.25" customHeight="1" x14ac:dyDescent="0.25">
      <c r="A3113" s="3"/>
      <c r="B3113" s="3"/>
      <c r="C3113" s="3"/>
      <c r="D3113" s="3"/>
      <c r="E3113" s="3"/>
      <c r="F3113" s="3"/>
      <c r="G3113" s="14"/>
      <c r="H3113" s="11"/>
      <c r="I3113" s="12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14"/>
      <c r="X3113" s="3"/>
      <c r="Y3113" s="14"/>
      <c r="Z3113" s="3"/>
      <c r="AA3113" s="3"/>
      <c r="AB3113" s="3"/>
      <c r="AC3113" s="3"/>
      <c r="AD3113" s="3"/>
      <c r="AE3113" s="3"/>
      <c r="AF3113" s="3"/>
      <c r="AG3113" s="3"/>
      <c r="AH3113" s="3"/>
    </row>
    <row r="3114" spans="1:34" ht="14.25" customHeight="1" x14ac:dyDescent="0.25">
      <c r="A3114" s="3"/>
      <c r="B3114" s="3"/>
      <c r="C3114" s="3"/>
      <c r="D3114" s="3"/>
      <c r="E3114" s="3"/>
      <c r="F3114" s="3"/>
      <c r="G3114" s="14"/>
      <c r="H3114" s="11"/>
      <c r="I3114" s="12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14"/>
      <c r="X3114" s="3"/>
      <c r="Y3114" s="14"/>
      <c r="Z3114" s="3"/>
      <c r="AA3114" s="3"/>
      <c r="AB3114" s="3"/>
      <c r="AC3114" s="3"/>
      <c r="AD3114" s="3"/>
      <c r="AE3114" s="3"/>
      <c r="AF3114" s="3"/>
      <c r="AG3114" s="3"/>
      <c r="AH3114" s="3"/>
    </row>
    <row r="3115" spans="1:34" ht="14.25" customHeight="1" x14ac:dyDescent="0.25">
      <c r="A3115" s="3"/>
      <c r="B3115" s="3"/>
      <c r="C3115" s="3"/>
      <c r="D3115" s="3"/>
      <c r="E3115" s="3"/>
      <c r="F3115" s="3"/>
      <c r="G3115" s="3"/>
      <c r="H3115" s="11"/>
      <c r="I3115" s="12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14"/>
      <c r="X3115" s="3"/>
      <c r="Y3115" s="14"/>
      <c r="Z3115" s="3"/>
      <c r="AA3115" s="3"/>
      <c r="AB3115" s="3"/>
      <c r="AC3115" s="3"/>
      <c r="AD3115" s="3"/>
      <c r="AE3115" s="3"/>
      <c r="AF3115" s="3"/>
      <c r="AG3115" s="3"/>
      <c r="AH3115" s="3"/>
    </row>
    <row r="3116" spans="1:34" ht="14.25" customHeight="1" x14ac:dyDescent="0.25">
      <c r="A3116" s="3"/>
      <c r="B3116" s="3"/>
      <c r="C3116" s="3"/>
      <c r="D3116" s="3"/>
      <c r="E3116" s="3"/>
      <c r="F3116" s="3"/>
      <c r="G3116" s="14"/>
      <c r="H3116" s="11"/>
      <c r="I3116" s="12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14"/>
      <c r="X3116" s="3"/>
      <c r="Y3116" s="14"/>
      <c r="Z3116" s="3"/>
      <c r="AA3116" s="3"/>
      <c r="AB3116" s="3"/>
      <c r="AC3116" s="3"/>
      <c r="AD3116" s="3"/>
      <c r="AE3116" s="3"/>
      <c r="AF3116" s="3"/>
      <c r="AG3116" s="3"/>
      <c r="AH3116" s="3"/>
    </row>
    <row r="3117" spans="1:34" ht="14.25" customHeight="1" x14ac:dyDescent="0.25">
      <c r="A3117" s="3"/>
      <c r="B3117" s="3"/>
      <c r="C3117" s="3"/>
      <c r="D3117" s="3"/>
      <c r="E3117" s="3"/>
      <c r="F3117" s="3"/>
      <c r="G3117" s="3"/>
      <c r="H3117" s="11"/>
      <c r="I3117" s="12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14"/>
      <c r="X3117" s="3"/>
      <c r="Y3117" s="14"/>
      <c r="Z3117" s="3"/>
      <c r="AA3117" s="3"/>
      <c r="AB3117" s="3"/>
      <c r="AC3117" s="3"/>
      <c r="AD3117" s="3"/>
      <c r="AE3117" s="3"/>
      <c r="AF3117" s="3"/>
      <c r="AG3117" s="3"/>
      <c r="AH3117" s="3"/>
    </row>
    <row r="3118" spans="1:34" ht="14.25" customHeight="1" x14ac:dyDescent="0.25">
      <c r="A3118" s="3"/>
      <c r="B3118" s="3"/>
      <c r="C3118" s="3"/>
      <c r="D3118" s="3"/>
      <c r="E3118" s="3"/>
      <c r="F3118" s="3"/>
      <c r="G3118" s="3"/>
      <c r="H3118" s="11"/>
      <c r="I3118" s="12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14"/>
      <c r="X3118" s="3"/>
      <c r="Y3118" s="14"/>
      <c r="Z3118" s="3"/>
      <c r="AA3118" s="3"/>
      <c r="AB3118" s="3"/>
      <c r="AC3118" s="3"/>
      <c r="AD3118" s="3"/>
      <c r="AE3118" s="3"/>
      <c r="AF3118" s="3"/>
      <c r="AG3118" s="3"/>
      <c r="AH3118" s="3"/>
    </row>
    <row r="3119" spans="1:34" ht="14.25" customHeight="1" x14ac:dyDescent="0.25">
      <c r="A3119" s="3"/>
      <c r="B3119" s="3"/>
      <c r="C3119" s="3"/>
      <c r="D3119" s="3"/>
      <c r="E3119" s="3"/>
      <c r="F3119" s="3"/>
      <c r="G3119" s="3"/>
      <c r="H3119" s="11"/>
      <c r="I3119" s="12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14"/>
      <c r="X3119" s="3"/>
      <c r="Y3119" s="14"/>
      <c r="Z3119" s="3"/>
      <c r="AA3119" s="3"/>
      <c r="AB3119" s="3"/>
      <c r="AC3119" s="3"/>
      <c r="AD3119" s="3"/>
      <c r="AE3119" s="3"/>
      <c r="AF3119" s="3"/>
      <c r="AG3119" s="3"/>
      <c r="AH3119" s="3"/>
    </row>
    <row r="3120" spans="1:34" ht="14.25" customHeight="1" x14ac:dyDescent="0.25">
      <c r="A3120" s="3"/>
      <c r="B3120" s="3"/>
      <c r="C3120" s="3"/>
      <c r="D3120" s="3"/>
      <c r="E3120" s="3"/>
      <c r="F3120" s="3"/>
      <c r="G3120" s="14"/>
      <c r="H3120" s="11"/>
      <c r="I3120" s="12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14"/>
      <c r="X3120" s="3"/>
      <c r="Y3120" s="14"/>
      <c r="Z3120" s="3"/>
      <c r="AA3120" s="3"/>
      <c r="AB3120" s="3"/>
      <c r="AC3120" s="3"/>
      <c r="AD3120" s="3"/>
      <c r="AE3120" s="3"/>
      <c r="AF3120" s="3"/>
      <c r="AG3120" s="3"/>
      <c r="AH3120" s="3"/>
    </row>
    <row r="3121" spans="1:34" ht="14.25" customHeight="1" x14ac:dyDescent="0.25">
      <c r="A3121" s="3"/>
      <c r="B3121" s="3"/>
      <c r="C3121" s="3"/>
      <c r="D3121" s="3"/>
      <c r="E3121" s="3"/>
      <c r="F3121" s="3"/>
      <c r="G3121" s="14"/>
      <c r="H3121" s="11"/>
      <c r="I3121" s="12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14"/>
      <c r="X3121" s="3"/>
      <c r="Y3121" s="14"/>
      <c r="Z3121" s="3"/>
      <c r="AA3121" s="3"/>
      <c r="AB3121" s="3"/>
      <c r="AC3121" s="3"/>
      <c r="AD3121" s="3"/>
      <c r="AE3121" s="3"/>
      <c r="AF3121" s="3"/>
      <c r="AG3121" s="3"/>
      <c r="AH3121" s="3"/>
    </row>
    <row r="3122" spans="1:34" ht="14.25" customHeight="1" x14ac:dyDescent="0.25">
      <c r="A3122" s="3"/>
      <c r="B3122" s="3"/>
      <c r="C3122" s="3"/>
      <c r="D3122" s="3"/>
      <c r="E3122" s="3"/>
      <c r="F3122" s="3"/>
      <c r="G3122" s="3"/>
      <c r="H3122" s="11"/>
      <c r="I3122" s="12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14"/>
      <c r="X3122" s="3"/>
      <c r="Y3122" s="14"/>
      <c r="Z3122" s="3"/>
      <c r="AA3122" s="3"/>
      <c r="AB3122" s="3"/>
      <c r="AC3122" s="3"/>
      <c r="AD3122" s="3"/>
      <c r="AE3122" s="3"/>
      <c r="AF3122" s="3"/>
      <c r="AG3122" s="3"/>
      <c r="AH3122" s="3"/>
    </row>
    <row r="3123" spans="1:34" ht="14.25" customHeight="1" x14ac:dyDescent="0.25">
      <c r="A3123" s="3"/>
      <c r="B3123" s="3"/>
      <c r="C3123" s="3"/>
      <c r="D3123" s="3"/>
      <c r="E3123" s="3"/>
      <c r="F3123" s="3"/>
      <c r="G3123" s="14"/>
      <c r="H3123" s="11"/>
      <c r="I3123" s="12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14"/>
      <c r="X3123" s="3"/>
      <c r="Y3123" s="14"/>
      <c r="Z3123" s="3"/>
      <c r="AA3123" s="3"/>
      <c r="AB3123" s="3"/>
      <c r="AC3123" s="3"/>
      <c r="AD3123" s="3"/>
      <c r="AE3123" s="3"/>
      <c r="AF3123" s="3"/>
      <c r="AG3123" s="3"/>
      <c r="AH3123" s="3"/>
    </row>
    <row r="3124" spans="1:34" ht="14.25" customHeight="1" x14ac:dyDescent="0.25">
      <c r="A3124" s="3"/>
      <c r="B3124" s="3"/>
      <c r="C3124" s="3"/>
      <c r="D3124" s="3"/>
      <c r="E3124" s="3"/>
      <c r="F3124" s="3"/>
      <c r="G3124" s="14"/>
      <c r="H3124" s="11"/>
      <c r="I3124" s="12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14"/>
      <c r="X3124" s="3"/>
      <c r="Y3124" s="14"/>
      <c r="Z3124" s="3"/>
      <c r="AA3124" s="3"/>
      <c r="AB3124" s="3"/>
      <c r="AC3124" s="3"/>
      <c r="AD3124" s="3"/>
      <c r="AE3124" s="3"/>
      <c r="AF3124" s="3"/>
      <c r="AG3124" s="3"/>
      <c r="AH3124" s="3"/>
    </row>
    <row r="3125" spans="1:34" ht="14.25" customHeight="1" x14ac:dyDescent="0.25">
      <c r="A3125" s="3"/>
      <c r="B3125" s="3"/>
      <c r="C3125" s="3"/>
      <c r="D3125" s="3"/>
      <c r="E3125" s="3"/>
      <c r="F3125" s="3"/>
      <c r="G3125" s="14"/>
      <c r="H3125" s="11"/>
      <c r="I3125" s="12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14"/>
      <c r="X3125" s="3"/>
      <c r="Y3125" s="14"/>
      <c r="Z3125" s="3"/>
      <c r="AA3125" s="3"/>
      <c r="AB3125" s="3"/>
      <c r="AC3125" s="3"/>
      <c r="AD3125" s="3"/>
      <c r="AE3125" s="3"/>
      <c r="AF3125" s="3"/>
      <c r="AG3125" s="3"/>
      <c r="AH3125" s="3"/>
    </row>
    <row r="3126" spans="1:34" ht="14.25" customHeight="1" x14ac:dyDescent="0.25">
      <c r="A3126" s="3"/>
      <c r="B3126" s="3"/>
      <c r="C3126" s="3"/>
      <c r="D3126" s="3"/>
      <c r="E3126" s="3"/>
      <c r="F3126" s="3"/>
      <c r="G3126" s="14"/>
      <c r="H3126" s="11"/>
      <c r="I3126" s="12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14"/>
      <c r="X3126" s="3"/>
      <c r="Y3126" s="14"/>
      <c r="Z3126" s="3"/>
      <c r="AA3126" s="3"/>
      <c r="AB3126" s="3"/>
      <c r="AC3126" s="3"/>
      <c r="AD3126" s="3"/>
      <c r="AE3126" s="3"/>
      <c r="AF3126" s="3"/>
      <c r="AG3126" s="3"/>
      <c r="AH3126" s="3"/>
    </row>
    <row r="3127" spans="1:34" ht="14.25" customHeight="1" x14ac:dyDescent="0.25">
      <c r="A3127" s="3"/>
      <c r="B3127" s="3"/>
      <c r="C3127" s="3"/>
      <c r="D3127" s="3"/>
      <c r="E3127" s="3"/>
      <c r="F3127" s="3"/>
      <c r="G3127" s="3"/>
      <c r="H3127" s="11"/>
      <c r="I3127" s="12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14"/>
      <c r="X3127" s="3"/>
      <c r="Y3127" s="14"/>
      <c r="Z3127" s="3"/>
      <c r="AA3127" s="3"/>
      <c r="AB3127" s="3"/>
      <c r="AC3127" s="3"/>
      <c r="AD3127" s="3"/>
      <c r="AE3127" s="3"/>
      <c r="AF3127" s="3"/>
      <c r="AG3127" s="3"/>
      <c r="AH3127" s="3"/>
    </row>
    <row r="3128" spans="1:34" ht="14.25" customHeight="1" x14ac:dyDescent="0.25">
      <c r="A3128" s="3"/>
      <c r="B3128" s="3"/>
      <c r="C3128" s="3"/>
      <c r="D3128" s="3"/>
      <c r="E3128" s="3"/>
      <c r="F3128" s="3"/>
      <c r="G3128" s="14"/>
      <c r="H3128" s="11"/>
      <c r="I3128" s="12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14"/>
      <c r="X3128" s="3"/>
      <c r="Y3128" s="14"/>
      <c r="Z3128" s="3"/>
      <c r="AA3128" s="3"/>
      <c r="AB3128" s="3"/>
      <c r="AC3128" s="3"/>
      <c r="AD3128" s="3"/>
      <c r="AE3128" s="3"/>
      <c r="AF3128" s="3"/>
      <c r="AG3128" s="3"/>
      <c r="AH3128" s="3"/>
    </row>
    <row r="3129" spans="1:34" ht="14.25" customHeight="1" x14ac:dyDescent="0.25">
      <c r="A3129" s="3"/>
      <c r="B3129" s="3"/>
      <c r="C3129" s="3"/>
      <c r="D3129" s="3"/>
      <c r="E3129" s="3"/>
      <c r="F3129" s="3"/>
      <c r="G3129" s="14"/>
      <c r="H3129" s="11"/>
      <c r="I3129" s="12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14"/>
      <c r="X3129" s="3"/>
      <c r="Y3129" s="14"/>
      <c r="Z3129" s="3"/>
      <c r="AA3129" s="3"/>
      <c r="AB3129" s="3"/>
      <c r="AC3129" s="3"/>
      <c r="AD3129" s="3"/>
      <c r="AE3129" s="3"/>
      <c r="AF3129" s="3"/>
      <c r="AG3129" s="3"/>
      <c r="AH3129" s="3"/>
    </row>
    <row r="3130" spans="1:34" ht="14.25" customHeight="1" x14ac:dyDescent="0.25">
      <c r="A3130" s="3"/>
      <c r="B3130" s="3"/>
      <c r="C3130" s="3"/>
      <c r="D3130" s="3"/>
      <c r="E3130" s="3"/>
      <c r="F3130" s="3"/>
      <c r="G3130" s="14"/>
      <c r="H3130" s="11"/>
      <c r="I3130" s="12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14"/>
      <c r="X3130" s="3"/>
      <c r="Y3130" s="14"/>
      <c r="Z3130" s="3"/>
      <c r="AA3130" s="3"/>
      <c r="AB3130" s="3"/>
      <c r="AC3130" s="3"/>
      <c r="AD3130" s="3"/>
      <c r="AE3130" s="3"/>
      <c r="AF3130" s="3"/>
      <c r="AG3130" s="3"/>
      <c r="AH3130" s="3"/>
    </row>
    <row r="3131" spans="1:34" ht="14.25" customHeight="1" x14ac:dyDescent="0.25">
      <c r="A3131" s="3"/>
      <c r="B3131" s="3"/>
      <c r="C3131" s="3"/>
      <c r="D3131" s="3"/>
      <c r="E3131" s="3"/>
      <c r="F3131" s="3"/>
      <c r="G3131" s="3"/>
      <c r="H3131" s="11"/>
      <c r="I3131" s="12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14"/>
      <c r="X3131" s="3"/>
      <c r="Y3131" s="14"/>
      <c r="Z3131" s="3"/>
      <c r="AA3131" s="3"/>
      <c r="AB3131" s="3"/>
      <c r="AC3131" s="3"/>
      <c r="AD3131" s="3"/>
      <c r="AE3131" s="3"/>
      <c r="AF3131" s="3"/>
      <c r="AG3131" s="3"/>
      <c r="AH3131" s="3"/>
    </row>
    <row r="3132" spans="1:34" ht="14.25" customHeight="1" x14ac:dyDescent="0.25">
      <c r="A3132" s="3"/>
      <c r="B3132" s="3"/>
      <c r="C3132" s="3"/>
      <c r="D3132" s="3"/>
      <c r="E3132" s="3"/>
      <c r="F3132" s="3"/>
      <c r="G3132" s="3"/>
      <c r="H3132" s="11"/>
      <c r="I3132" s="12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14"/>
      <c r="X3132" s="3"/>
      <c r="Y3132" s="14"/>
      <c r="Z3132" s="3"/>
      <c r="AA3132" s="3"/>
      <c r="AB3132" s="3"/>
      <c r="AC3132" s="3"/>
      <c r="AD3132" s="3"/>
      <c r="AE3132" s="3"/>
      <c r="AF3132" s="3"/>
      <c r="AG3132" s="3"/>
      <c r="AH3132" s="3"/>
    </row>
    <row r="3133" spans="1:34" ht="14.25" customHeight="1" x14ac:dyDescent="0.25">
      <c r="A3133" s="3"/>
      <c r="B3133" s="3"/>
      <c r="C3133" s="3"/>
      <c r="D3133" s="3"/>
      <c r="E3133" s="3"/>
      <c r="F3133" s="3"/>
      <c r="G3133" s="3"/>
      <c r="H3133" s="11"/>
      <c r="I3133" s="12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14"/>
      <c r="X3133" s="3"/>
      <c r="Y3133" s="14"/>
      <c r="Z3133" s="3"/>
      <c r="AA3133" s="3"/>
      <c r="AB3133" s="3"/>
      <c r="AC3133" s="3"/>
      <c r="AD3133" s="3"/>
      <c r="AE3133" s="3"/>
      <c r="AF3133" s="3"/>
      <c r="AG3133" s="3"/>
      <c r="AH3133" s="3"/>
    </row>
    <row r="3134" spans="1:34" ht="14.25" customHeight="1" x14ac:dyDescent="0.25">
      <c r="A3134" s="3"/>
      <c r="B3134" s="3"/>
      <c r="C3134" s="3"/>
      <c r="D3134" s="3"/>
      <c r="E3134" s="3"/>
      <c r="F3134" s="3"/>
      <c r="G3134" s="14"/>
      <c r="H3134" s="11"/>
      <c r="I3134" s="12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14"/>
      <c r="X3134" s="3"/>
      <c r="Y3134" s="14"/>
      <c r="Z3134" s="3"/>
      <c r="AA3134" s="3"/>
      <c r="AB3134" s="3"/>
      <c r="AC3134" s="3"/>
      <c r="AD3134" s="3"/>
      <c r="AE3134" s="3"/>
      <c r="AF3134" s="3"/>
      <c r="AG3134" s="3"/>
      <c r="AH3134" s="3"/>
    </row>
    <row r="3135" spans="1:34" ht="14.25" customHeight="1" x14ac:dyDescent="0.25">
      <c r="A3135" s="3"/>
      <c r="B3135" s="3"/>
      <c r="C3135" s="3"/>
      <c r="D3135" s="3"/>
      <c r="E3135" s="3"/>
      <c r="F3135" s="3"/>
      <c r="G3135" s="14"/>
      <c r="H3135" s="11"/>
      <c r="I3135" s="12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14"/>
      <c r="X3135" s="3"/>
      <c r="Y3135" s="14"/>
      <c r="Z3135" s="3"/>
      <c r="AA3135" s="3"/>
      <c r="AB3135" s="3"/>
      <c r="AC3135" s="3"/>
      <c r="AD3135" s="3"/>
      <c r="AE3135" s="3"/>
      <c r="AF3135" s="3"/>
      <c r="AG3135" s="3"/>
      <c r="AH3135" s="3"/>
    </row>
    <row r="3136" spans="1:34" ht="14.25" customHeight="1" x14ac:dyDescent="0.25">
      <c r="A3136" s="3"/>
      <c r="B3136" s="3"/>
      <c r="C3136" s="3"/>
      <c r="D3136" s="3"/>
      <c r="E3136" s="3"/>
      <c r="F3136" s="3"/>
      <c r="G3136" s="3"/>
      <c r="H3136" s="11"/>
      <c r="I3136" s="12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14"/>
      <c r="X3136" s="3"/>
      <c r="Y3136" s="14"/>
      <c r="Z3136" s="3"/>
      <c r="AA3136" s="3"/>
      <c r="AB3136" s="3"/>
      <c r="AC3136" s="3"/>
      <c r="AD3136" s="3"/>
      <c r="AE3136" s="3"/>
      <c r="AF3136" s="3"/>
      <c r="AG3136" s="3"/>
      <c r="AH3136" s="3"/>
    </row>
    <row r="3137" spans="1:34" ht="14.25" customHeight="1" x14ac:dyDescent="0.25">
      <c r="A3137" s="3"/>
      <c r="B3137" s="3"/>
      <c r="C3137" s="3"/>
      <c r="D3137" s="3"/>
      <c r="E3137" s="3"/>
      <c r="F3137" s="3"/>
      <c r="G3137" s="14"/>
      <c r="H3137" s="11"/>
      <c r="I3137" s="12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14"/>
      <c r="X3137" s="3"/>
      <c r="Y3137" s="14"/>
      <c r="Z3137" s="3"/>
      <c r="AA3137" s="3"/>
      <c r="AB3137" s="3"/>
      <c r="AC3137" s="3"/>
      <c r="AD3137" s="3"/>
      <c r="AE3137" s="3"/>
      <c r="AF3137" s="3"/>
      <c r="AG3137" s="3"/>
      <c r="AH3137" s="3"/>
    </row>
    <row r="3138" spans="1:34" ht="14.25" customHeight="1" x14ac:dyDescent="0.25">
      <c r="A3138" s="3"/>
      <c r="B3138" s="3"/>
      <c r="C3138" s="3"/>
      <c r="D3138" s="3"/>
      <c r="E3138" s="3"/>
      <c r="F3138" s="3"/>
      <c r="G3138" s="14"/>
      <c r="H3138" s="11"/>
      <c r="I3138" s="12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14"/>
      <c r="X3138" s="3"/>
      <c r="Y3138" s="14"/>
      <c r="Z3138" s="3"/>
      <c r="AA3138" s="3"/>
      <c r="AB3138" s="3"/>
      <c r="AC3138" s="3"/>
      <c r="AD3138" s="3"/>
      <c r="AE3138" s="3"/>
      <c r="AF3138" s="3"/>
      <c r="AG3138" s="3"/>
      <c r="AH3138" s="3"/>
    </row>
    <row r="3139" spans="1:34" ht="14.25" customHeight="1" x14ac:dyDescent="0.25">
      <c r="A3139" s="3"/>
      <c r="B3139" s="3"/>
      <c r="C3139" s="3"/>
      <c r="D3139" s="3"/>
      <c r="E3139" s="3"/>
      <c r="F3139" s="3"/>
      <c r="G3139" s="14"/>
      <c r="H3139" s="11"/>
      <c r="I3139" s="12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14"/>
      <c r="X3139" s="3"/>
      <c r="Y3139" s="14"/>
      <c r="Z3139" s="3"/>
      <c r="AA3139" s="3"/>
      <c r="AB3139" s="3"/>
      <c r="AC3139" s="3"/>
      <c r="AD3139" s="3"/>
      <c r="AE3139" s="3"/>
      <c r="AF3139" s="3"/>
      <c r="AG3139" s="3"/>
      <c r="AH3139" s="3"/>
    </row>
    <row r="3140" spans="1:34" ht="14.25" customHeight="1" x14ac:dyDescent="0.25">
      <c r="A3140" s="3"/>
      <c r="B3140" s="3"/>
      <c r="C3140" s="3"/>
      <c r="D3140" s="3"/>
      <c r="E3140" s="3"/>
      <c r="F3140" s="3"/>
      <c r="G3140" s="14"/>
      <c r="H3140" s="11"/>
      <c r="I3140" s="12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14"/>
      <c r="X3140" s="3"/>
      <c r="Y3140" s="14"/>
      <c r="Z3140" s="3"/>
      <c r="AA3140" s="3"/>
      <c r="AB3140" s="3"/>
      <c r="AC3140" s="3"/>
      <c r="AD3140" s="3"/>
      <c r="AE3140" s="3"/>
      <c r="AF3140" s="3"/>
      <c r="AG3140" s="3"/>
      <c r="AH3140" s="3"/>
    </row>
    <row r="3141" spans="1:34" ht="14.25" customHeight="1" x14ac:dyDescent="0.25">
      <c r="A3141" s="3"/>
      <c r="B3141" s="3"/>
      <c r="C3141" s="3"/>
      <c r="D3141" s="3"/>
      <c r="E3141" s="3"/>
      <c r="F3141" s="3"/>
      <c r="G3141" s="14"/>
      <c r="H3141" s="11"/>
      <c r="I3141" s="12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14"/>
      <c r="X3141" s="3"/>
      <c r="Y3141" s="14"/>
      <c r="Z3141" s="3"/>
      <c r="AA3141" s="3"/>
      <c r="AB3141" s="3"/>
      <c r="AC3141" s="3"/>
      <c r="AD3141" s="3"/>
      <c r="AE3141" s="3"/>
      <c r="AF3141" s="3"/>
      <c r="AG3141" s="3"/>
      <c r="AH3141" s="3"/>
    </row>
    <row r="3142" spans="1:34" ht="14.25" customHeight="1" x14ac:dyDescent="0.25">
      <c r="A3142" s="3"/>
      <c r="B3142" s="3"/>
      <c r="C3142" s="3"/>
      <c r="D3142" s="3"/>
      <c r="E3142" s="3"/>
      <c r="F3142" s="3"/>
      <c r="G3142" s="3"/>
      <c r="H3142" s="11"/>
      <c r="I3142" s="12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14"/>
      <c r="X3142" s="3"/>
      <c r="Y3142" s="14"/>
      <c r="Z3142" s="3"/>
      <c r="AA3142" s="3"/>
      <c r="AB3142" s="3"/>
      <c r="AC3142" s="3"/>
      <c r="AD3142" s="3"/>
      <c r="AE3142" s="3"/>
      <c r="AF3142" s="3"/>
      <c r="AG3142" s="3"/>
      <c r="AH3142" s="3"/>
    </row>
    <row r="3143" spans="1:34" ht="14.25" customHeight="1" x14ac:dyDescent="0.25">
      <c r="A3143" s="3"/>
      <c r="B3143" s="3"/>
      <c r="C3143" s="3"/>
      <c r="D3143" s="3"/>
      <c r="E3143" s="3"/>
      <c r="F3143" s="3"/>
      <c r="G3143" s="14"/>
      <c r="H3143" s="11"/>
      <c r="I3143" s="12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14"/>
      <c r="X3143" s="3"/>
      <c r="Y3143" s="14"/>
      <c r="Z3143" s="3"/>
      <c r="AA3143" s="3"/>
      <c r="AB3143" s="3"/>
      <c r="AC3143" s="3"/>
      <c r="AD3143" s="3"/>
      <c r="AE3143" s="3"/>
      <c r="AF3143" s="3"/>
      <c r="AG3143" s="3"/>
      <c r="AH3143" s="3"/>
    </row>
    <row r="3144" spans="1:34" ht="14.25" customHeight="1" x14ac:dyDescent="0.25">
      <c r="A3144" s="3"/>
      <c r="B3144" s="3"/>
      <c r="C3144" s="3"/>
      <c r="D3144" s="3"/>
      <c r="E3144" s="3"/>
      <c r="F3144" s="3"/>
      <c r="G3144" s="3"/>
      <c r="H3144" s="11"/>
      <c r="I3144" s="12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14"/>
      <c r="X3144" s="3"/>
      <c r="Y3144" s="14"/>
      <c r="Z3144" s="3"/>
      <c r="AA3144" s="3"/>
      <c r="AB3144" s="3"/>
      <c r="AC3144" s="3"/>
      <c r="AD3144" s="3"/>
      <c r="AE3144" s="3"/>
      <c r="AF3144" s="3"/>
      <c r="AG3144" s="3"/>
      <c r="AH3144" s="3"/>
    </row>
    <row r="3145" spans="1:34" ht="14.25" customHeight="1" x14ac:dyDescent="0.25">
      <c r="A3145" s="3"/>
      <c r="B3145" s="3"/>
      <c r="C3145" s="3"/>
      <c r="D3145" s="3"/>
      <c r="E3145" s="3"/>
      <c r="F3145" s="3"/>
      <c r="G3145" s="3"/>
      <c r="H3145" s="11"/>
      <c r="I3145" s="12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14"/>
      <c r="X3145" s="3"/>
      <c r="Y3145" s="14"/>
      <c r="Z3145" s="3"/>
      <c r="AA3145" s="3"/>
      <c r="AB3145" s="3"/>
      <c r="AC3145" s="3"/>
      <c r="AD3145" s="3"/>
      <c r="AE3145" s="3"/>
      <c r="AF3145" s="3"/>
      <c r="AG3145" s="3"/>
      <c r="AH3145" s="3"/>
    </row>
    <row r="3146" spans="1:34" ht="14.25" customHeight="1" x14ac:dyDescent="0.25">
      <c r="A3146" s="3"/>
      <c r="B3146" s="3"/>
      <c r="C3146" s="3"/>
      <c r="D3146" s="3"/>
      <c r="E3146" s="3"/>
      <c r="F3146" s="3"/>
      <c r="G3146" s="3"/>
      <c r="H3146" s="11"/>
      <c r="I3146" s="12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14"/>
      <c r="X3146" s="3"/>
      <c r="Y3146" s="14"/>
      <c r="Z3146" s="3"/>
      <c r="AA3146" s="3"/>
      <c r="AB3146" s="3"/>
      <c r="AC3146" s="3"/>
      <c r="AD3146" s="3"/>
      <c r="AE3146" s="3"/>
      <c r="AF3146" s="3"/>
      <c r="AG3146" s="3"/>
      <c r="AH3146" s="3"/>
    </row>
    <row r="3147" spans="1:34" ht="14.25" customHeight="1" x14ac:dyDescent="0.25">
      <c r="A3147" s="3"/>
      <c r="B3147" s="3"/>
      <c r="C3147" s="3"/>
      <c r="D3147" s="3"/>
      <c r="E3147" s="3"/>
      <c r="F3147" s="3"/>
      <c r="G3147" s="3"/>
      <c r="H3147" s="11"/>
      <c r="I3147" s="12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14"/>
      <c r="X3147" s="3"/>
      <c r="Y3147" s="14"/>
      <c r="Z3147" s="3"/>
      <c r="AA3147" s="3"/>
      <c r="AB3147" s="3"/>
      <c r="AC3147" s="3"/>
      <c r="AD3147" s="3"/>
      <c r="AE3147" s="3"/>
      <c r="AF3147" s="3"/>
      <c r="AG3147" s="3"/>
      <c r="AH3147" s="3"/>
    </row>
    <row r="3148" spans="1:34" ht="14.25" customHeight="1" x14ac:dyDescent="0.25">
      <c r="A3148" s="3"/>
      <c r="B3148" s="3"/>
      <c r="C3148" s="3"/>
      <c r="D3148" s="3"/>
      <c r="E3148" s="3"/>
      <c r="F3148" s="3"/>
      <c r="G3148" s="3"/>
      <c r="H3148" s="11"/>
      <c r="I3148" s="12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14"/>
      <c r="X3148" s="3"/>
      <c r="Y3148" s="14"/>
      <c r="Z3148" s="3"/>
      <c r="AA3148" s="3"/>
      <c r="AB3148" s="3"/>
      <c r="AC3148" s="3"/>
      <c r="AD3148" s="3"/>
      <c r="AE3148" s="3"/>
      <c r="AF3148" s="3"/>
      <c r="AG3148" s="3"/>
      <c r="AH3148" s="3"/>
    </row>
    <row r="3149" spans="1:34" ht="14.25" customHeight="1" x14ac:dyDescent="0.25">
      <c r="A3149" s="3"/>
      <c r="B3149" s="3"/>
      <c r="C3149" s="3"/>
      <c r="D3149" s="3"/>
      <c r="E3149" s="3"/>
      <c r="F3149" s="3"/>
      <c r="G3149" s="3"/>
      <c r="H3149" s="11"/>
      <c r="I3149" s="12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14"/>
      <c r="X3149" s="3"/>
      <c r="Y3149" s="14"/>
      <c r="Z3149" s="3"/>
      <c r="AA3149" s="3"/>
      <c r="AB3149" s="3"/>
      <c r="AC3149" s="3"/>
      <c r="AD3149" s="3"/>
      <c r="AE3149" s="3"/>
      <c r="AF3149" s="3"/>
      <c r="AG3149" s="3"/>
      <c r="AH3149" s="3"/>
    </row>
    <row r="3150" spans="1:34" ht="14.25" customHeight="1" x14ac:dyDescent="0.25">
      <c r="A3150" s="3"/>
      <c r="B3150" s="3"/>
      <c r="C3150" s="3"/>
      <c r="D3150" s="3"/>
      <c r="E3150" s="3"/>
      <c r="F3150" s="3"/>
      <c r="G3150" s="3"/>
      <c r="H3150" s="11"/>
      <c r="I3150" s="12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14"/>
      <c r="X3150" s="3"/>
      <c r="Y3150" s="14"/>
      <c r="Z3150" s="3"/>
      <c r="AA3150" s="3"/>
      <c r="AB3150" s="3"/>
      <c r="AC3150" s="3"/>
      <c r="AD3150" s="3"/>
      <c r="AE3150" s="3"/>
      <c r="AF3150" s="3"/>
      <c r="AG3150" s="3"/>
      <c r="AH3150" s="3"/>
    </row>
    <row r="3151" spans="1:34" ht="14.25" customHeight="1" x14ac:dyDescent="0.25">
      <c r="A3151" s="3"/>
      <c r="B3151" s="3"/>
      <c r="C3151" s="3"/>
      <c r="D3151" s="3"/>
      <c r="E3151" s="3"/>
      <c r="F3151" s="3"/>
      <c r="G3151" s="3"/>
      <c r="H3151" s="11"/>
      <c r="I3151" s="12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14"/>
      <c r="X3151" s="3"/>
      <c r="Y3151" s="14"/>
      <c r="Z3151" s="3"/>
      <c r="AA3151" s="3"/>
      <c r="AB3151" s="3"/>
      <c r="AC3151" s="3"/>
      <c r="AD3151" s="3"/>
      <c r="AE3151" s="3"/>
      <c r="AF3151" s="3"/>
      <c r="AG3151" s="3"/>
      <c r="AH3151" s="3"/>
    </row>
    <row r="3152" spans="1:34" ht="14.25" customHeight="1" x14ac:dyDescent="0.25">
      <c r="A3152" s="3"/>
      <c r="B3152" s="3"/>
      <c r="C3152" s="3"/>
      <c r="D3152" s="3"/>
      <c r="E3152" s="3"/>
      <c r="F3152" s="3"/>
      <c r="G3152" s="3"/>
      <c r="H3152" s="11"/>
      <c r="I3152" s="12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14"/>
      <c r="X3152" s="3"/>
      <c r="Y3152" s="14"/>
      <c r="Z3152" s="3"/>
      <c r="AA3152" s="3"/>
      <c r="AB3152" s="3"/>
      <c r="AC3152" s="3"/>
      <c r="AD3152" s="3"/>
      <c r="AE3152" s="3"/>
      <c r="AF3152" s="3"/>
      <c r="AG3152" s="3"/>
      <c r="AH3152" s="3"/>
    </row>
    <row r="3153" spans="1:34" ht="14.25" customHeight="1" x14ac:dyDescent="0.25">
      <c r="A3153" s="3"/>
      <c r="B3153" s="3"/>
      <c r="C3153" s="3"/>
      <c r="D3153" s="3"/>
      <c r="E3153" s="3"/>
      <c r="F3153" s="3"/>
      <c r="G3153" s="3"/>
      <c r="H3153" s="11"/>
      <c r="I3153" s="12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14"/>
      <c r="X3153" s="3"/>
      <c r="Y3153" s="14"/>
      <c r="Z3153" s="3"/>
      <c r="AA3153" s="3"/>
      <c r="AB3153" s="3"/>
      <c r="AC3153" s="3"/>
      <c r="AD3153" s="3"/>
      <c r="AE3153" s="3"/>
      <c r="AF3153" s="3"/>
      <c r="AG3153" s="3"/>
      <c r="AH3153" s="3"/>
    </row>
    <row r="3154" spans="1:34" ht="14.25" customHeight="1" x14ac:dyDescent="0.25">
      <c r="A3154" s="3"/>
      <c r="B3154" s="3"/>
      <c r="C3154" s="3"/>
      <c r="D3154" s="3"/>
      <c r="E3154" s="3"/>
      <c r="F3154" s="3"/>
      <c r="G3154" s="3"/>
      <c r="H3154" s="11"/>
      <c r="I3154" s="12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14"/>
      <c r="X3154" s="3"/>
      <c r="Y3154" s="14"/>
      <c r="Z3154" s="3"/>
      <c r="AA3154" s="3"/>
      <c r="AB3154" s="3"/>
      <c r="AC3154" s="3"/>
      <c r="AD3154" s="3"/>
      <c r="AE3154" s="3"/>
      <c r="AF3154" s="3"/>
      <c r="AG3154" s="3"/>
      <c r="AH3154" s="3"/>
    </row>
    <row r="3155" spans="1:34" ht="14.25" customHeight="1" x14ac:dyDescent="0.25">
      <c r="A3155" s="3"/>
      <c r="B3155" s="3"/>
      <c r="C3155" s="3"/>
      <c r="D3155" s="3"/>
      <c r="E3155" s="3"/>
      <c r="F3155" s="3"/>
      <c r="G3155" s="3"/>
      <c r="H3155" s="11"/>
      <c r="I3155" s="12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14"/>
      <c r="X3155" s="3"/>
      <c r="Y3155" s="14"/>
      <c r="Z3155" s="3"/>
      <c r="AA3155" s="3"/>
      <c r="AB3155" s="3"/>
      <c r="AC3155" s="3"/>
      <c r="AD3155" s="3"/>
      <c r="AE3155" s="3"/>
      <c r="AF3155" s="3"/>
      <c r="AG3155" s="3"/>
      <c r="AH3155" s="3"/>
    </row>
    <row r="3156" spans="1:34" ht="14.25" customHeight="1" x14ac:dyDescent="0.25">
      <c r="A3156" s="3"/>
      <c r="B3156" s="3"/>
      <c r="C3156" s="3"/>
      <c r="D3156" s="3"/>
      <c r="E3156" s="3"/>
      <c r="F3156" s="3"/>
      <c r="G3156" s="3"/>
      <c r="H3156" s="11"/>
      <c r="I3156" s="12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14"/>
      <c r="X3156" s="3"/>
      <c r="Y3156" s="14"/>
      <c r="Z3156" s="3"/>
      <c r="AA3156" s="3"/>
      <c r="AB3156" s="3"/>
      <c r="AC3156" s="3"/>
      <c r="AD3156" s="3"/>
      <c r="AE3156" s="3"/>
      <c r="AF3156" s="3"/>
      <c r="AG3156" s="3"/>
      <c r="AH3156" s="3"/>
    </row>
    <row r="3157" spans="1:34" ht="14.25" customHeight="1" x14ac:dyDescent="0.25">
      <c r="A3157" s="3"/>
      <c r="B3157" s="3"/>
      <c r="C3157" s="3"/>
      <c r="D3157" s="3"/>
      <c r="E3157" s="3"/>
      <c r="F3157" s="3"/>
      <c r="G3157" s="14"/>
      <c r="H3157" s="11"/>
      <c r="I3157" s="12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14"/>
      <c r="X3157" s="3"/>
      <c r="Y3157" s="14"/>
      <c r="Z3157" s="3"/>
      <c r="AA3157" s="3"/>
      <c r="AB3157" s="3"/>
      <c r="AC3157" s="3"/>
      <c r="AD3157" s="3"/>
      <c r="AE3157" s="3"/>
      <c r="AF3157" s="3"/>
      <c r="AG3157" s="3"/>
      <c r="AH3157" s="3"/>
    </row>
    <row r="3158" spans="1:34" ht="14.25" customHeight="1" x14ac:dyDescent="0.25">
      <c r="A3158" s="3"/>
      <c r="B3158" s="3"/>
      <c r="C3158" s="3"/>
      <c r="D3158" s="3"/>
      <c r="E3158" s="3"/>
      <c r="F3158" s="3"/>
      <c r="G3158" s="3"/>
      <c r="H3158" s="11"/>
      <c r="I3158" s="12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14"/>
      <c r="X3158" s="3"/>
      <c r="Y3158" s="14"/>
      <c r="Z3158" s="3"/>
      <c r="AA3158" s="3"/>
      <c r="AB3158" s="3"/>
      <c r="AC3158" s="3"/>
      <c r="AD3158" s="3"/>
      <c r="AE3158" s="3"/>
      <c r="AF3158" s="3"/>
      <c r="AG3158" s="3"/>
      <c r="AH3158" s="3"/>
    </row>
    <row r="3159" spans="1:34" ht="14.25" customHeight="1" x14ac:dyDescent="0.25">
      <c r="A3159" s="3"/>
      <c r="B3159" s="3"/>
      <c r="C3159" s="3"/>
      <c r="D3159" s="3"/>
      <c r="E3159" s="3"/>
      <c r="F3159" s="3"/>
      <c r="G3159" s="3"/>
      <c r="H3159" s="11"/>
      <c r="I3159" s="12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14"/>
      <c r="X3159" s="3"/>
      <c r="Y3159" s="14"/>
      <c r="Z3159" s="3"/>
      <c r="AA3159" s="3"/>
      <c r="AB3159" s="3"/>
      <c r="AC3159" s="3"/>
      <c r="AD3159" s="3"/>
      <c r="AE3159" s="3"/>
      <c r="AF3159" s="3"/>
      <c r="AG3159" s="3"/>
      <c r="AH3159" s="3"/>
    </row>
    <row r="3160" spans="1:34" ht="14.25" customHeight="1" x14ac:dyDescent="0.25">
      <c r="A3160" s="3"/>
      <c r="B3160" s="3"/>
      <c r="C3160" s="3"/>
      <c r="D3160" s="3"/>
      <c r="E3160" s="3"/>
      <c r="F3160" s="3"/>
      <c r="G3160" s="3"/>
      <c r="H3160" s="11"/>
      <c r="I3160" s="12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14"/>
      <c r="X3160" s="3"/>
      <c r="Y3160" s="14"/>
      <c r="Z3160" s="3"/>
      <c r="AA3160" s="3"/>
      <c r="AB3160" s="3"/>
      <c r="AC3160" s="3"/>
      <c r="AD3160" s="3"/>
      <c r="AE3160" s="3"/>
      <c r="AF3160" s="3"/>
      <c r="AG3160" s="3"/>
      <c r="AH3160" s="3"/>
    </row>
    <row r="3161" spans="1:34" ht="14.25" customHeight="1" x14ac:dyDescent="0.25">
      <c r="A3161" s="3"/>
      <c r="B3161" s="3"/>
      <c r="C3161" s="3"/>
      <c r="D3161" s="3"/>
      <c r="E3161" s="3"/>
      <c r="F3161" s="3"/>
      <c r="G3161" s="3"/>
      <c r="H3161" s="11"/>
      <c r="I3161" s="12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14"/>
      <c r="X3161" s="3"/>
      <c r="Y3161" s="14"/>
      <c r="Z3161" s="3"/>
      <c r="AA3161" s="3"/>
      <c r="AB3161" s="3"/>
      <c r="AC3161" s="3"/>
      <c r="AD3161" s="3"/>
      <c r="AE3161" s="3"/>
      <c r="AF3161" s="3"/>
      <c r="AG3161" s="3"/>
      <c r="AH3161" s="3"/>
    </row>
    <row r="3162" spans="1:34" ht="14.25" customHeight="1" x14ac:dyDescent="0.25">
      <c r="A3162" s="3"/>
      <c r="B3162" s="3"/>
      <c r="C3162" s="3"/>
      <c r="D3162" s="3"/>
      <c r="E3162" s="3"/>
      <c r="F3162" s="3"/>
      <c r="G3162" s="3"/>
      <c r="H3162" s="11"/>
      <c r="I3162" s="12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14"/>
      <c r="X3162" s="3"/>
      <c r="Y3162" s="14"/>
      <c r="Z3162" s="3"/>
      <c r="AA3162" s="3"/>
      <c r="AB3162" s="3"/>
      <c r="AC3162" s="3"/>
      <c r="AD3162" s="3"/>
      <c r="AE3162" s="3"/>
      <c r="AF3162" s="3"/>
      <c r="AG3162" s="3"/>
      <c r="AH3162" s="3"/>
    </row>
    <row r="3163" spans="1:34" ht="14.25" customHeight="1" x14ac:dyDescent="0.25">
      <c r="A3163" s="3"/>
      <c r="B3163" s="3"/>
      <c r="C3163" s="3"/>
      <c r="D3163" s="3"/>
      <c r="E3163" s="3"/>
      <c r="F3163" s="3"/>
      <c r="G3163" s="3"/>
      <c r="H3163" s="11"/>
      <c r="I3163" s="12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14"/>
      <c r="X3163" s="3"/>
      <c r="Y3163" s="14"/>
      <c r="Z3163" s="3"/>
      <c r="AA3163" s="3"/>
      <c r="AB3163" s="3"/>
      <c r="AC3163" s="3"/>
      <c r="AD3163" s="3"/>
      <c r="AE3163" s="3"/>
      <c r="AF3163" s="3"/>
      <c r="AG3163" s="3"/>
      <c r="AH3163" s="3"/>
    </row>
    <row r="3164" spans="1:34" ht="14.25" customHeight="1" x14ac:dyDescent="0.25">
      <c r="A3164" s="3"/>
      <c r="B3164" s="3"/>
      <c r="C3164" s="3"/>
      <c r="D3164" s="3"/>
      <c r="E3164" s="3"/>
      <c r="F3164" s="3"/>
      <c r="G3164" s="3"/>
      <c r="H3164" s="11"/>
      <c r="I3164" s="12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14"/>
      <c r="X3164" s="3"/>
      <c r="Y3164" s="14"/>
      <c r="Z3164" s="3"/>
      <c r="AA3164" s="3"/>
      <c r="AB3164" s="3"/>
      <c r="AC3164" s="3"/>
      <c r="AD3164" s="3"/>
      <c r="AE3164" s="3"/>
      <c r="AF3164" s="3"/>
      <c r="AG3164" s="3"/>
      <c r="AH3164" s="3"/>
    </row>
    <row r="3165" spans="1:34" ht="14.25" customHeight="1" x14ac:dyDescent="0.25">
      <c r="A3165" s="3"/>
      <c r="B3165" s="3"/>
      <c r="C3165" s="3"/>
      <c r="D3165" s="3"/>
      <c r="E3165" s="3"/>
      <c r="F3165" s="3"/>
      <c r="G3165" s="3"/>
      <c r="H3165" s="11"/>
      <c r="I3165" s="12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14"/>
      <c r="X3165" s="3"/>
      <c r="Y3165" s="14"/>
      <c r="Z3165" s="3"/>
      <c r="AA3165" s="3"/>
      <c r="AB3165" s="3"/>
      <c r="AC3165" s="3"/>
      <c r="AD3165" s="3"/>
      <c r="AE3165" s="3"/>
      <c r="AF3165" s="3"/>
      <c r="AG3165" s="3"/>
      <c r="AH3165" s="3"/>
    </row>
    <row r="3166" spans="1:34" ht="14.25" customHeight="1" x14ac:dyDescent="0.25">
      <c r="A3166" s="3"/>
      <c r="B3166" s="3"/>
      <c r="C3166" s="3"/>
      <c r="D3166" s="3"/>
      <c r="E3166" s="3"/>
      <c r="F3166" s="3"/>
      <c r="G3166" s="14"/>
      <c r="H3166" s="11"/>
      <c r="I3166" s="12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14"/>
      <c r="X3166" s="3"/>
      <c r="Y3166" s="14"/>
      <c r="Z3166" s="3"/>
      <c r="AA3166" s="3"/>
      <c r="AB3166" s="3"/>
      <c r="AC3166" s="3"/>
      <c r="AD3166" s="3"/>
      <c r="AE3166" s="3"/>
      <c r="AF3166" s="3"/>
      <c r="AG3166" s="3"/>
      <c r="AH3166" s="3"/>
    </row>
    <row r="3167" spans="1:34" ht="14.25" customHeight="1" x14ac:dyDescent="0.25">
      <c r="A3167" s="3"/>
      <c r="B3167" s="3"/>
      <c r="C3167" s="3"/>
      <c r="D3167" s="3"/>
      <c r="E3167" s="3"/>
      <c r="F3167" s="3"/>
      <c r="G3167" s="14"/>
      <c r="H3167" s="11"/>
      <c r="I3167" s="12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14"/>
      <c r="X3167" s="3"/>
      <c r="Y3167" s="14"/>
      <c r="Z3167" s="3"/>
      <c r="AA3167" s="3"/>
      <c r="AB3167" s="3"/>
      <c r="AC3167" s="3"/>
      <c r="AD3167" s="3"/>
      <c r="AE3167" s="3"/>
      <c r="AF3167" s="3"/>
      <c r="AG3167" s="3"/>
      <c r="AH3167" s="3"/>
    </row>
    <row r="3168" spans="1:34" ht="14.25" customHeight="1" x14ac:dyDescent="0.25">
      <c r="A3168" s="3"/>
      <c r="B3168" s="3"/>
      <c r="C3168" s="3"/>
      <c r="D3168" s="3"/>
      <c r="E3168" s="3"/>
      <c r="F3168" s="3"/>
      <c r="G3168" s="3"/>
      <c r="H3168" s="11"/>
      <c r="I3168" s="12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14"/>
      <c r="X3168" s="3"/>
      <c r="Y3168" s="14"/>
      <c r="Z3168" s="3"/>
      <c r="AA3168" s="3"/>
      <c r="AB3168" s="3"/>
      <c r="AC3168" s="3"/>
      <c r="AD3168" s="3"/>
      <c r="AE3168" s="3"/>
      <c r="AF3168" s="3"/>
      <c r="AG3168" s="3"/>
      <c r="AH3168" s="3"/>
    </row>
    <row r="3169" spans="1:34" ht="14.25" customHeight="1" x14ac:dyDescent="0.25">
      <c r="A3169" s="3"/>
      <c r="B3169" s="3"/>
      <c r="C3169" s="3"/>
      <c r="D3169" s="3"/>
      <c r="E3169" s="3"/>
      <c r="F3169" s="3"/>
      <c r="G3169" s="3"/>
      <c r="H3169" s="11"/>
      <c r="I3169" s="12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14"/>
      <c r="X3169" s="3"/>
      <c r="Y3169" s="14"/>
      <c r="Z3169" s="3"/>
      <c r="AA3169" s="3"/>
      <c r="AB3169" s="3"/>
      <c r="AC3169" s="3"/>
      <c r="AD3169" s="3"/>
      <c r="AE3169" s="3"/>
      <c r="AF3169" s="3"/>
      <c r="AG3169" s="3"/>
      <c r="AH3169" s="3"/>
    </row>
    <row r="3170" spans="1:34" ht="14.25" customHeight="1" x14ac:dyDescent="0.25">
      <c r="A3170" s="3"/>
      <c r="B3170" s="3"/>
      <c r="C3170" s="3"/>
      <c r="D3170" s="3"/>
      <c r="E3170" s="3"/>
      <c r="F3170" s="3"/>
      <c r="G3170" s="3"/>
      <c r="H3170" s="11"/>
      <c r="I3170" s="12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14"/>
      <c r="X3170" s="3"/>
      <c r="Y3170" s="14"/>
      <c r="Z3170" s="3"/>
      <c r="AA3170" s="3"/>
      <c r="AB3170" s="3"/>
      <c r="AC3170" s="3"/>
      <c r="AD3170" s="3"/>
      <c r="AE3170" s="3"/>
      <c r="AF3170" s="3"/>
      <c r="AG3170" s="3"/>
      <c r="AH3170" s="3"/>
    </row>
    <row r="3171" spans="1:34" ht="14.25" customHeight="1" x14ac:dyDescent="0.25">
      <c r="A3171" s="3"/>
      <c r="B3171" s="3"/>
      <c r="C3171" s="3"/>
      <c r="D3171" s="3"/>
      <c r="E3171" s="3"/>
      <c r="F3171" s="3"/>
      <c r="G3171" s="3"/>
      <c r="H3171" s="11"/>
      <c r="I3171" s="12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14"/>
      <c r="X3171" s="3"/>
      <c r="Y3171" s="14"/>
      <c r="Z3171" s="3"/>
      <c r="AA3171" s="3"/>
      <c r="AB3171" s="3"/>
      <c r="AC3171" s="3"/>
      <c r="AD3171" s="3"/>
      <c r="AE3171" s="3"/>
      <c r="AF3171" s="3"/>
      <c r="AG3171" s="3"/>
      <c r="AH3171" s="3"/>
    </row>
    <row r="3172" spans="1:34" ht="14.25" customHeight="1" x14ac:dyDescent="0.25">
      <c r="A3172" s="3"/>
      <c r="B3172" s="3"/>
      <c r="C3172" s="3"/>
      <c r="D3172" s="3"/>
      <c r="E3172" s="3"/>
      <c r="F3172" s="3"/>
      <c r="G3172" s="3"/>
      <c r="H3172" s="11"/>
      <c r="I3172" s="12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14"/>
      <c r="X3172" s="3"/>
      <c r="Y3172" s="14"/>
      <c r="Z3172" s="3"/>
      <c r="AA3172" s="3"/>
      <c r="AB3172" s="3"/>
      <c r="AC3172" s="3"/>
      <c r="AD3172" s="3"/>
      <c r="AE3172" s="3"/>
      <c r="AF3172" s="3"/>
      <c r="AG3172" s="3"/>
      <c r="AH3172" s="3"/>
    </row>
    <row r="3173" spans="1:34" ht="14.25" customHeight="1" x14ac:dyDescent="0.25">
      <c r="A3173" s="3"/>
      <c r="B3173" s="3"/>
      <c r="C3173" s="3"/>
      <c r="D3173" s="3"/>
      <c r="E3173" s="3"/>
      <c r="F3173" s="3"/>
      <c r="G3173" s="3"/>
      <c r="H3173" s="11"/>
      <c r="I3173" s="12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14"/>
      <c r="X3173" s="3"/>
      <c r="Y3173" s="14"/>
      <c r="Z3173" s="3"/>
      <c r="AA3173" s="3"/>
      <c r="AB3173" s="3"/>
      <c r="AC3173" s="3"/>
      <c r="AD3173" s="3"/>
      <c r="AE3173" s="3"/>
      <c r="AF3173" s="3"/>
      <c r="AG3173" s="3"/>
      <c r="AH3173" s="3"/>
    </row>
    <row r="3174" spans="1:34" ht="14.25" customHeight="1" x14ac:dyDescent="0.25">
      <c r="A3174" s="3"/>
      <c r="B3174" s="3"/>
      <c r="C3174" s="3"/>
      <c r="D3174" s="3"/>
      <c r="E3174" s="3"/>
      <c r="F3174" s="3"/>
      <c r="G3174" s="3"/>
      <c r="H3174" s="11"/>
      <c r="I3174" s="12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14"/>
      <c r="X3174" s="3"/>
      <c r="Y3174" s="14"/>
      <c r="Z3174" s="3"/>
      <c r="AA3174" s="3"/>
      <c r="AB3174" s="3"/>
      <c r="AC3174" s="3"/>
      <c r="AD3174" s="3"/>
      <c r="AE3174" s="3"/>
      <c r="AF3174" s="3"/>
      <c r="AG3174" s="3"/>
      <c r="AH3174" s="3"/>
    </row>
    <row r="3175" spans="1:34" ht="14.25" customHeight="1" x14ac:dyDescent="0.25">
      <c r="A3175" s="3"/>
      <c r="B3175" s="3"/>
      <c r="C3175" s="3"/>
      <c r="D3175" s="3"/>
      <c r="E3175" s="3"/>
      <c r="F3175" s="3"/>
      <c r="G3175" s="3"/>
      <c r="H3175" s="11"/>
      <c r="I3175" s="12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14"/>
      <c r="X3175" s="3"/>
      <c r="Y3175" s="14"/>
      <c r="Z3175" s="3"/>
      <c r="AA3175" s="3"/>
      <c r="AB3175" s="3"/>
      <c r="AC3175" s="3"/>
      <c r="AD3175" s="3"/>
      <c r="AE3175" s="3"/>
      <c r="AF3175" s="3"/>
      <c r="AG3175" s="3"/>
      <c r="AH3175" s="3"/>
    </row>
    <row r="3176" spans="1:34" ht="14.25" customHeight="1" x14ac:dyDescent="0.25">
      <c r="A3176" s="3"/>
      <c r="B3176" s="3"/>
      <c r="C3176" s="3"/>
      <c r="D3176" s="3"/>
      <c r="E3176" s="3"/>
      <c r="F3176" s="3"/>
      <c r="G3176" s="3"/>
      <c r="H3176" s="11"/>
      <c r="I3176" s="12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14"/>
      <c r="X3176" s="3"/>
      <c r="Y3176" s="14"/>
      <c r="Z3176" s="3"/>
      <c r="AA3176" s="3"/>
      <c r="AB3176" s="3"/>
      <c r="AC3176" s="3"/>
      <c r="AD3176" s="3"/>
      <c r="AE3176" s="3"/>
      <c r="AF3176" s="3"/>
      <c r="AG3176" s="3"/>
      <c r="AH3176" s="3"/>
    </row>
    <row r="3177" spans="1:34" ht="14.25" customHeight="1" x14ac:dyDescent="0.25">
      <c r="A3177" s="3"/>
      <c r="B3177" s="3"/>
      <c r="C3177" s="3"/>
      <c r="D3177" s="3"/>
      <c r="E3177" s="3"/>
      <c r="F3177" s="3"/>
      <c r="G3177" s="3"/>
      <c r="H3177" s="11"/>
      <c r="I3177" s="12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14"/>
      <c r="X3177" s="3"/>
      <c r="Y3177" s="14"/>
      <c r="Z3177" s="3"/>
      <c r="AA3177" s="3"/>
      <c r="AB3177" s="3"/>
      <c r="AC3177" s="3"/>
      <c r="AD3177" s="3"/>
      <c r="AE3177" s="3"/>
      <c r="AF3177" s="3"/>
      <c r="AG3177" s="3"/>
      <c r="AH3177" s="3"/>
    </row>
    <row r="3178" spans="1:34" ht="14.25" customHeight="1" x14ac:dyDescent="0.25">
      <c r="A3178" s="3"/>
      <c r="B3178" s="3"/>
      <c r="C3178" s="3"/>
      <c r="D3178" s="3"/>
      <c r="E3178" s="3"/>
      <c r="F3178" s="3"/>
      <c r="G3178" s="3"/>
      <c r="H3178" s="11"/>
      <c r="I3178" s="12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14"/>
      <c r="X3178" s="3"/>
      <c r="Y3178" s="14"/>
      <c r="Z3178" s="3"/>
      <c r="AA3178" s="3"/>
      <c r="AB3178" s="3"/>
      <c r="AC3178" s="3"/>
      <c r="AD3178" s="3"/>
      <c r="AE3178" s="3"/>
      <c r="AF3178" s="3"/>
      <c r="AG3178" s="3"/>
      <c r="AH3178" s="3"/>
    </row>
    <row r="3179" spans="1:34" ht="14.25" customHeight="1" x14ac:dyDescent="0.25">
      <c r="A3179" s="3"/>
      <c r="B3179" s="3"/>
      <c r="C3179" s="3"/>
      <c r="D3179" s="3"/>
      <c r="E3179" s="3"/>
      <c r="F3179" s="3"/>
      <c r="G3179" s="3"/>
      <c r="H3179" s="11"/>
      <c r="I3179" s="12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14"/>
      <c r="X3179" s="3"/>
      <c r="Y3179" s="14"/>
      <c r="Z3179" s="3"/>
      <c r="AA3179" s="3"/>
      <c r="AB3179" s="3"/>
      <c r="AC3179" s="3"/>
      <c r="AD3179" s="3"/>
      <c r="AE3179" s="3"/>
      <c r="AF3179" s="3"/>
      <c r="AG3179" s="3"/>
      <c r="AH3179" s="3"/>
    </row>
    <row r="3180" spans="1:34" ht="14.25" customHeight="1" x14ac:dyDescent="0.25">
      <c r="A3180" s="3"/>
      <c r="B3180" s="3"/>
      <c r="C3180" s="3"/>
      <c r="D3180" s="3"/>
      <c r="E3180" s="3"/>
      <c r="F3180" s="3"/>
      <c r="G3180" s="3"/>
      <c r="H3180" s="11"/>
      <c r="I3180" s="12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14"/>
      <c r="X3180" s="3"/>
      <c r="Y3180" s="14"/>
      <c r="Z3180" s="3"/>
      <c r="AA3180" s="3"/>
      <c r="AB3180" s="3"/>
      <c r="AC3180" s="3"/>
      <c r="AD3180" s="3"/>
      <c r="AE3180" s="3"/>
      <c r="AF3180" s="3"/>
      <c r="AG3180" s="3"/>
      <c r="AH3180" s="3"/>
    </row>
    <row r="3181" spans="1:34" ht="14.25" customHeight="1" x14ac:dyDescent="0.25">
      <c r="A3181" s="3"/>
      <c r="B3181" s="3"/>
      <c r="C3181" s="3"/>
      <c r="D3181" s="3"/>
      <c r="E3181" s="3"/>
      <c r="F3181" s="3"/>
      <c r="G3181" s="14"/>
      <c r="H3181" s="11"/>
      <c r="I3181" s="12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14"/>
      <c r="X3181" s="3"/>
      <c r="Y3181" s="14"/>
      <c r="Z3181" s="3"/>
      <c r="AA3181" s="3"/>
      <c r="AB3181" s="3"/>
      <c r="AC3181" s="3"/>
      <c r="AD3181" s="3"/>
      <c r="AE3181" s="3"/>
      <c r="AF3181" s="3"/>
      <c r="AG3181" s="3"/>
      <c r="AH3181" s="3"/>
    </row>
    <row r="3182" spans="1:34" ht="14.25" customHeight="1" x14ac:dyDescent="0.25">
      <c r="A3182" s="3"/>
      <c r="B3182" s="3"/>
      <c r="C3182" s="3"/>
      <c r="D3182" s="3"/>
      <c r="E3182" s="3"/>
      <c r="F3182" s="3"/>
      <c r="G3182" s="14"/>
      <c r="H3182" s="11"/>
      <c r="I3182" s="12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14"/>
      <c r="X3182" s="3"/>
      <c r="Y3182" s="14"/>
      <c r="Z3182" s="3"/>
      <c r="AA3182" s="3"/>
      <c r="AB3182" s="3"/>
      <c r="AC3182" s="3"/>
      <c r="AD3182" s="3"/>
      <c r="AE3182" s="3"/>
      <c r="AF3182" s="3"/>
      <c r="AG3182" s="3"/>
      <c r="AH3182" s="3"/>
    </row>
    <row r="3183" spans="1:34" ht="14.25" customHeight="1" x14ac:dyDescent="0.25">
      <c r="A3183" s="3"/>
      <c r="B3183" s="3"/>
      <c r="C3183" s="3"/>
      <c r="D3183" s="3"/>
      <c r="E3183" s="3"/>
      <c r="F3183" s="3"/>
      <c r="G3183" s="3"/>
      <c r="H3183" s="11"/>
      <c r="I3183" s="12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14"/>
      <c r="X3183" s="3"/>
      <c r="Y3183" s="14"/>
      <c r="Z3183" s="3"/>
      <c r="AA3183" s="3"/>
      <c r="AB3183" s="3"/>
      <c r="AC3183" s="3"/>
      <c r="AD3183" s="3"/>
      <c r="AE3183" s="3"/>
      <c r="AF3183" s="3"/>
      <c r="AG3183" s="3"/>
      <c r="AH3183" s="3"/>
    </row>
    <row r="3184" spans="1:34" ht="14.25" customHeight="1" x14ac:dyDescent="0.25">
      <c r="A3184" s="3"/>
      <c r="B3184" s="3"/>
      <c r="C3184" s="3"/>
      <c r="D3184" s="3"/>
      <c r="E3184" s="3"/>
      <c r="F3184" s="3"/>
      <c r="G3184" s="3"/>
      <c r="H3184" s="11"/>
      <c r="I3184" s="12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14"/>
      <c r="X3184" s="3"/>
      <c r="Y3184" s="14"/>
      <c r="Z3184" s="3"/>
      <c r="AA3184" s="3"/>
      <c r="AB3184" s="3"/>
      <c r="AC3184" s="3"/>
      <c r="AD3184" s="3"/>
      <c r="AE3184" s="3"/>
      <c r="AF3184" s="3"/>
      <c r="AG3184" s="3"/>
      <c r="AH3184" s="3"/>
    </row>
    <row r="3185" spans="1:34" ht="14.25" customHeight="1" x14ac:dyDescent="0.25">
      <c r="A3185" s="3"/>
      <c r="B3185" s="3"/>
      <c r="C3185" s="3"/>
      <c r="D3185" s="3"/>
      <c r="E3185" s="3"/>
      <c r="F3185" s="3"/>
      <c r="G3185" s="3"/>
      <c r="H3185" s="11"/>
      <c r="I3185" s="12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14"/>
      <c r="X3185" s="3"/>
      <c r="Y3185" s="14"/>
      <c r="Z3185" s="3"/>
      <c r="AA3185" s="3"/>
      <c r="AB3185" s="3"/>
      <c r="AC3185" s="3"/>
      <c r="AD3185" s="3"/>
      <c r="AE3185" s="3"/>
      <c r="AF3185" s="3"/>
      <c r="AG3185" s="3"/>
      <c r="AH3185" s="3"/>
    </row>
    <row r="3186" spans="1:34" ht="14.25" customHeight="1" x14ac:dyDescent="0.25">
      <c r="A3186" s="3"/>
      <c r="B3186" s="3"/>
      <c r="C3186" s="3"/>
      <c r="D3186" s="3"/>
      <c r="E3186" s="3"/>
      <c r="F3186" s="3"/>
      <c r="G3186" s="3"/>
      <c r="H3186" s="11"/>
      <c r="I3186" s="12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14"/>
      <c r="X3186" s="3"/>
      <c r="Y3186" s="14"/>
      <c r="Z3186" s="3"/>
      <c r="AA3186" s="3"/>
      <c r="AB3186" s="3"/>
      <c r="AC3186" s="3"/>
      <c r="AD3186" s="3"/>
      <c r="AE3186" s="3"/>
      <c r="AF3186" s="3"/>
      <c r="AG3186" s="3"/>
      <c r="AH3186" s="3"/>
    </row>
    <row r="3187" spans="1:34" ht="14.25" customHeight="1" x14ac:dyDescent="0.25">
      <c r="A3187" s="3"/>
      <c r="B3187" s="3"/>
      <c r="C3187" s="3"/>
      <c r="D3187" s="3"/>
      <c r="E3187" s="3"/>
      <c r="F3187" s="3"/>
      <c r="G3187" s="3"/>
      <c r="H3187" s="11"/>
      <c r="I3187" s="12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14"/>
      <c r="X3187" s="3"/>
      <c r="Y3187" s="14"/>
      <c r="Z3187" s="3"/>
      <c r="AA3187" s="3"/>
      <c r="AB3187" s="3"/>
      <c r="AC3187" s="3"/>
      <c r="AD3187" s="3"/>
      <c r="AE3187" s="3"/>
      <c r="AF3187" s="3"/>
      <c r="AG3187" s="3"/>
      <c r="AH3187" s="3"/>
    </row>
    <row r="3188" spans="1:34" ht="14.25" customHeight="1" x14ac:dyDescent="0.25">
      <c r="A3188" s="3"/>
      <c r="B3188" s="3"/>
      <c r="C3188" s="3"/>
      <c r="D3188" s="3"/>
      <c r="E3188" s="3"/>
      <c r="F3188" s="3"/>
      <c r="G3188" s="3"/>
      <c r="H3188" s="11"/>
      <c r="I3188" s="12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14"/>
      <c r="X3188" s="3"/>
      <c r="Y3188" s="14"/>
      <c r="Z3188" s="3"/>
      <c r="AA3188" s="3"/>
      <c r="AB3188" s="3"/>
      <c r="AC3188" s="3"/>
      <c r="AD3188" s="3"/>
      <c r="AE3188" s="3"/>
      <c r="AF3188" s="3"/>
      <c r="AG3188" s="3"/>
      <c r="AH3188" s="3"/>
    </row>
    <row r="3189" spans="1:34" ht="14.25" customHeight="1" x14ac:dyDescent="0.25">
      <c r="A3189" s="3"/>
      <c r="B3189" s="3"/>
      <c r="C3189" s="3"/>
      <c r="D3189" s="3"/>
      <c r="E3189" s="3"/>
      <c r="F3189" s="3"/>
      <c r="G3189" s="3"/>
      <c r="H3189" s="11"/>
      <c r="I3189" s="12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14"/>
      <c r="X3189" s="3"/>
      <c r="Y3189" s="14"/>
      <c r="Z3189" s="3"/>
      <c r="AA3189" s="3"/>
      <c r="AB3189" s="3"/>
      <c r="AC3189" s="3"/>
      <c r="AD3189" s="3"/>
      <c r="AE3189" s="3"/>
      <c r="AF3189" s="3"/>
      <c r="AG3189" s="3"/>
      <c r="AH3189" s="3"/>
    </row>
    <row r="3190" spans="1:34" ht="14.25" customHeight="1" x14ac:dyDescent="0.25">
      <c r="A3190" s="3"/>
      <c r="B3190" s="3"/>
      <c r="C3190" s="3"/>
      <c r="D3190" s="3"/>
      <c r="E3190" s="3"/>
      <c r="F3190" s="3"/>
      <c r="G3190" s="3"/>
      <c r="H3190" s="11"/>
      <c r="I3190" s="12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14"/>
      <c r="X3190" s="3"/>
      <c r="Y3190" s="14"/>
      <c r="Z3190" s="3"/>
      <c r="AA3190" s="3"/>
      <c r="AB3190" s="3"/>
      <c r="AC3190" s="3"/>
      <c r="AD3190" s="3"/>
      <c r="AE3190" s="3"/>
      <c r="AF3190" s="3"/>
      <c r="AG3190" s="3"/>
      <c r="AH3190" s="3"/>
    </row>
    <row r="3191" spans="1:34" ht="14.25" customHeight="1" x14ac:dyDescent="0.25">
      <c r="A3191" s="3"/>
      <c r="B3191" s="3"/>
      <c r="C3191" s="3"/>
      <c r="D3191" s="3"/>
      <c r="E3191" s="3"/>
      <c r="F3191" s="3"/>
      <c r="G3191" s="3"/>
      <c r="H3191" s="11"/>
      <c r="I3191" s="12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14"/>
      <c r="X3191" s="3"/>
      <c r="Y3191" s="14"/>
      <c r="Z3191" s="3"/>
      <c r="AA3191" s="3"/>
      <c r="AB3191" s="3"/>
      <c r="AC3191" s="3"/>
      <c r="AD3191" s="3"/>
      <c r="AE3191" s="3"/>
      <c r="AF3191" s="3"/>
      <c r="AG3191" s="3"/>
      <c r="AH3191" s="3"/>
    </row>
    <row r="3192" spans="1:34" ht="14.25" customHeight="1" x14ac:dyDescent="0.25">
      <c r="A3192" s="3"/>
      <c r="B3192" s="3"/>
      <c r="C3192" s="3"/>
      <c r="D3192" s="3"/>
      <c r="E3192" s="3"/>
      <c r="F3192" s="3"/>
      <c r="G3192" s="3"/>
      <c r="H3192" s="11"/>
      <c r="I3192" s="12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14"/>
      <c r="X3192" s="3"/>
      <c r="Y3192" s="14"/>
      <c r="Z3192" s="3"/>
      <c r="AA3192" s="3"/>
      <c r="AB3192" s="3"/>
      <c r="AC3192" s="3"/>
      <c r="AD3192" s="3"/>
      <c r="AE3192" s="3"/>
      <c r="AF3192" s="3"/>
      <c r="AG3192" s="3"/>
      <c r="AH3192" s="3"/>
    </row>
    <row r="3193" spans="1:34" ht="14.25" customHeight="1" x14ac:dyDescent="0.25">
      <c r="A3193" s="3"/>
      <c r="B3193" s="3"/>
      <c r="C3193" s="3"/>
      <c r="D3193" s="3"/>
      <c r="E3193" s="3"/>
      <c r="F3193" s="3"/>
      <c r="G3193" s="3"/>
      <c r="H3193" s="11"/>
      <c r="I3193" s="12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14"/>
      <c r="X3193" s="3"/>
      <c r="Y3193" s="14"/>
      <c r="Z3193" s="3"/>
      <c r="AA3193" s="3"/>
      <c r="AB3193" s="3"/>
      <c r="AC3193" s="3"/>
      <c r="AD3193" s="3"/>
      <c r="AE3193" s="3"/>
      <c r="AF3193" s="3"/>
      <c r="AG3193" s="3"/>
      <c r="AH3193" s="3"/>
    </row>
    <row r="3194" spans="1:34" ht="14.25" customHeight="1" x14ac:dyDescent="0.25">
      <c r="A3194" s="3"/>
      <c r="B3194" s="3"/>
      <c r="C3194" s="3"/>
      <c r="D3194" s="3"/>
      <c r="E3194" s="3"/>
      <c r="F3194" s="3"/>
      <c r="G3194" s="3"/>
      <c r="H3194" s="11"/>
      <c r="I3194" s="12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14"/>
      <c r="X3194" s="3"/>
      <c r="Y3194" s="14"/>
      <c r="Z3194" s="3"/>
      <c r="AA3194" s="3"/>
      <c r="AB3194" s="3"/>
      <c r="AC3194" s="3"/>
      <c r="AD3194" s="3"/>
      <c r="AE3194" s="3"/>
      <c r="AF3194" s="3"/>
      <c r="AG3194" s="3"/>
      <c r="AH3194" s="3"/>
    </row>
    <row r="3195" spans="1:34" ht="14.25" customHeight="1" x14ac:dyDescent="0.25">
      <c r="A3195" s="3"/>
      <c r="B3195" s="3"/>
      <c r="C3195" s="3"/>
      <c r="D3195" s="3"/>
      <c r="E3195" s="3"/>
      <c r="F3195" s="3"/>
      <c r="G3195" s="3"/>
      <c r="H3195" s="11"/>
      <c r="I3195" s="12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14"/>
      <c r="X3195" s="3"/>
      <c r="Y3195" s="14"/>
      <c r="Z3195" s="3"/>
      <c r="AA3195" s="3"/>
      <c r="AB3195" s="3"/>
      <c r="AC3195" s="3"/>
      <c r="AD3195" s="3"/>
      <c r="AE3195" s="3"/>
      <c r="AF3195" s="3"/>
      <c r="AG3195" s="3"/>
      <c r="AH3195" s="3"/>
    </row>
    <row r="3196" spans="1:34" ht="14.25" customHeight="1" x14ac:dyDescent="0.25">
      <c r="A3196" s="3"/>
      <c r="B3196" s="3"/>
      <c r="C3196" s="3"/>
      <c r="D3196" s="3"/>
      <c r="E3196" s="3"/>
      <c r="F3196" s="3"/>
      <c r="G3196" s="3"/>
      <c r="H3196" s="11"/>
      <c r="I3196" s="12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14"/>
      <c r="X3196" s="3"/>
      <c r="Y3196" s="14"/>
      <c r="Z3196" s="3"/>
      <c r="AA3196" s="3"/>
      <c r="AB3196" s="3"/>
      <c r="AC3196" s="3"/>
      <c r="AD3196" s="3"/>
      <c r="AE3196" s="3"/>
      <c r="AF3196" s="3"/>
      <c r="AG3196" s="3"/>
      <c r="AH3196" s="3"/>
    </row>
    <row r="3197" spans="1:34" ht="14.25" customHeight="1" x14ac:dyDescent="0.25">
      <c r="A3197" s="3"/>
      <c r="B3197" s="3"/>
      <c r="C3197" s="3"/>
      <c r="D3197" s="3"/>
      <c r="E3197" s="3"/>
      <c r="F3197" s="3"/>
      <c r="G3197" s="3"/>
      <c r="H3197" s="11"/>
      <c r="I3197" s="12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14"/>
      <c r="X3197" s="3"/>
      <c r="Y3197" s="14"/>
      <c r="Z3197" s="3"/>
      <c r="AA3197" s="3"/>
      <c r="AB3197" s="3"/>
      <c r="AC3197" s="3"/>
      <c r="AD3197" s="3"/>
      <c r="AE3197" s="3"/>
      <c r="AF3197" s="3"/>
      <c r="AG3197" s="3"/>
      <c r="AH3197" s="3"/>
    </row>
    <row r="3198" spans="1:34" ht="14.25" customHeight="1" x14ac:dyDescent="0.25">
      <c r="A3198" s="3"/>
      <c r="B3198" s="3"/>
      <c r="C3198" s="3"/>
      <c r="D3198" s="3"/>
      <c r="E3198" s="3"/>
      <c r="F3198" s="3"/>
      <c r="G3198" s="3"/>
      <c r="H3198" s="11"/>
      <c r="I3198" s="12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14"/>
      <c r="X3198" s="3"/>
      <c r="Y3198" s="14"/>
      <c r="Z3198" s="3"/>
      <c r="AA3198" s="3"/>
      <c r="AB3198" s="3"/>
      <c r="AC3198" s="3"/>
      <c r="AD3198" s="3"/>
      <c r="AE3198" s="3"/>
      <c r="AF3198" s="3"/>
      <c r="AG3198" s="3"/>
      <c r="AH3198" s="3"/>
    </row>
    <row r="3199" spans="1:34" ht="14.25" customHeight="1" x14ac:dyDescent="0.25">
      <c r="A3199" s="3"/>
      <c r="B3199" s="3"/>
      <c r="C3199" s="3"/>
      <c r="D3199" s="3"/>
      <c r="E3199" s="3"/>
      <c r="F3199" s="3"/>
      <c r="G3199" s="3"/>
      <c r="H3199" s="11"/>
      <c r="I3199" s="12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14"/>
      <c r="X3199" s="3"/>
      <c r="Y3199" s="14"/>
      <c r="Z3199" s="3"/>
      <c r="AA3199" s="3"/>
      <c r="AB3199" s="3"/>
      <c r="AC3199" s="3"/>
      <c r="AD3199" s="3"/>
      <c r="AE3199" s="3"/>
      <c r="AF3199" s="3"/>
      <c r="AG3199" s="3"/>
      <c r="AH3199" s="3"/>
    </row>
    <row r="3200" spans="1:34" ht="14.25" customHeight="1" x14ac:dyDescent="0.25">
      <c r="A3200" s="3"/>
      <c r="B3200" s="3"/>
      <c r="C3200" s="3"/>
      <c r="D3200" s="3"/>
      <c r="E3200" s="3"/>
      <c r="F3200" s="3"/>
      <c r="G3200" s="3"/>
      <c r="H3200" s="11"/>
      <c r="I3200" s="12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14"/>
      <c r="X3200" s="3"/>
      <c r="Y3200" s="14"/>
      <c r="Z3200" s="3"/>
      <c r="AA3200" s="3"/>
      <c r="AB3200" s="3"/>
      <c r="AC3200" s="3"/>
      <c r="AD3200" s="3"/>
      <c r="AE3200" s="3"/>
      <c r="AF3200" s="3"/>
      <c r="AG3200" s="3"/>
      <c r="AH3200" s="3"/>
    </row>
    <row r="3201" spans="1:34" ht="14.25" customHeight="1" x14ac:dyDescent="0.25">
      <c r="A3201" s="3"/>
      <c r="B3201" s="3"/>
      <c r="C3201" s="3"/>
      <c r="D3201" s="3"/>
      <c r="E3201" s="3"/>
      <c r="F3201" s="3"/>
      <c r="G3201" s="3"/>
      <c r="H3201" s="11"/>
      <c r="I3201" s="12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14"/>
      <c r="X3201" s="3"/>
      <c r="Y3201" s="14"/>
      <c r="Z3201" s="3"/>
      <c r="AA3201" s="3"/>
      <c r="AB3201" s="3"/>
      <c r="AC3201" s="3"/>
      <c r="AD3201" s="3"/>
      <c r="AE3201" s="3"/>
      <c r="AF3201" s="3"/>
      <c r="AG3201" s="3"/>
      <c r="AH3201" s="3"/>
    </row>
    <row r="3202" spans="1:34" ht="14.25" customHeight="1" x14ac:dyDescent="0.25">
      <c r="A3202" s="3"/>
      <c r="B3202" s="3"/>
      <c r="C3202" s="3"/>
      <c r="D3202" s="3"/>
      <c r="E3202" s="3"/>
      <c r="F3202" s="3"/>
      <c r="G3202" s="3"/>
      <c r="H3202" s="11"/>
      <c r="I3202" s="12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14"/>
      <c r="X3202" s="3"/>
      <c r="Y3202" s="14"/>
      <c r="Z3202" s="3"/>
      <c r="AA3202" s="3"/>
      <c r="AB3202" s="3"/>
      <c r="AC3202" s="3"/>
      <c r="AD3202" s="3"/>
      <c r="AE3202" s="3"/>
      <c r="AF3202" s="3"/>
      <c r="AG3202" s="3"/>
      <c r="AH3202" s="3"/>
    </row>
    <row r="3203" spans="1:34" ht="14.25" customHeight="1" x14ac:dyDescent="0.25">
      <c r="A3203" s="3"/>
      <c r="B3203" s="3"/>
      <c r="C3203" s="3"/>
      <c r="D3203" s="3"/>
      <c r="E3203" s="3"/>
      <c r="F3203" s="3"/>
      <c r="G3203" s="3"/>
      <c r="H3203" s="11"/>
      <c r="I3203" s="12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14"/>
      <c r="X3203" s="3"/>
      <c r="Y3203" s="14"/>
      <c r="Z3203" s="3"/>
      <c r="AA3203" s="3"/>
      <c r="AB3203" s="3"/>
      <c r="AC3203" s="3"/>
      <c r="AD3203" s="3"/>
      <c r="AE3203" s="3"/>
      <c r="AF3203" s="3"/>
      <c r="AG3203" s="3"/>
      <c r="AH3203" s="3"/>
    </row>
    <row r="3204" spans="1:34" ht="14.25" customHeight="1" x14ac:dyDescent="0.25">
      <c r="A3204" s="3"/>
      <c r="B3204" s="3"/>
      <c r="C3204" s="3"/>
      <c r="D3204" s="3"/>
      <c r="E3204" s="3"/>
      <c r="F3204" s="3"/>
      <c r="G3204" s="3"/>
      <c r="H3204" s="11"/>
      <c r="I3204" s="12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14"/>
      <c r="X3204" s="3"/>
      <c r="Y3204" s="14"/>
      <c r="Z3204" s="3"/>
      <c r="AA3204" s="3"/>
      <c r="AB3204" s="3"/>
      <c r="AC3204" s="3"/>
      <c r="AD3204" s="3"/>
      <c r="AE3204" s="3"/>
      <c r="AF3204" s="3"/>
      <c r="AG3204" s="3"/>
      <c r="AH3204" s="3"/>
    </row>
    <row r="3205" spans="1:34" ht="14.25" customHeight="1" x14ac:dyDescent="0.25">
      <c r="A3205" s="3"/>
      <c r="B3205" s="3"/>
      <c r="C3205" s="3"/>
      <c r="D3205" s="3"/>
      <c r="E3205" s="3"/>
      <c r="F3205" s="3"/>
      <c r="G3205" s="3"/>
      <c r="H3205" s="11"/>
      <c r="I3205" s="12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14"/>
      <c r="X3205" s="3"/>
      <c r="Y3205" s="14"/>
      <c r="Z3205" s="3"/>
      <c r="AA3205" s="3"/>
      <c r="AB3205" s="3"/>
      <c r="AC3205" s="3"/>
      <c r="AD3205" s="3"/>
      <c r="AE3205" s="3"/>
      <c r="AF3205" s="3"/>
      <c r="AG3205" s="3"/>
      <c r="AH3205" s="3"/>
    </row>
    <row r="3206" spans="1:34" ht="14.25" customHeight="1" x14ac:dyDescent="0.25">
      <c r="A3206" s="3"/>
      <c r="B3206" s="3"/>
      <c r="C3206" s="3"/>
      <c r="D3206" s="3"/>
      <c r="E3206" s="3"/>
      <c r="F3206" s="3"/>
      <c r="G3206" s="3"/>
      <c r="H3206" s="11"/>
      <c r="I3206" s="12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14"/>
      <c r="X3206" s="3"/>
      <c r="Y3206" s="14"/>
      <c r="Z3206" s="3"/>
      <c r="AA3206" s="3"/>
      <c r="AB3206" s="3"/>
      <c r="AC3206" s="3"/>
      <c r="AD3206" s="3"/>
      <c r="AE3206" s="3"/>
      <c r="AF3206" s="3"/>
      <c r="AG3206" s="3"/>
      <c r="AH3206" s="3"/>
    </row>
    <row r="3207" spans="1:34" ht="14.25" customHeight="1" x14ac:dyDescent="0.25">
      <c r="A3207" s="3"/>
      <c r="B3207" s="3"/>
      <c r="C3207" s="3"/>
      <c r="D3207" s="3"/>
      <c r="E3207" s="3"/>
      <c r="F3207" s="3"/>
      <c r="G3207" s="3"/>
      <c r="H3207" s="11"/>
      <c r="I3207" s="12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14"/>
      <c r="X3207" s="3"/>
      <c r="Y3207" s="14"/>
      <c r="Z3207" s="3"/>
      <c r="AA3207" s="3"/>
      <c r="AB3207" s="3"/>
      <c r="AC3207" s="3"/>
      <c r="AD3207" s="3"/>
      <c r="AE3207" s="3"/>
      <c r="AF3207" s="3"/>
      <c r="AG3207" s="3"/>
      <c r="AH3207" s="3"/>
    </row>
    <row r="3208" spans="1:34" ht="14.25" customHeight="1" x14ac:dyDescent="0.25">
      <c r="A3208" s="3"/>
      <c r="B3208" s="3"/>
      <c r="C3208" s="3"/>
      <c r="D3208" s="3"/>
      <c r="E3208" s="3"/>
      <c r="F3208" s="3"/>
      <c r="G3208" s="3"/>
      <c r="H3208" s="11"/>
      <c r="I3208" s="12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14"/>
      <c r="X3208" s="3"/>
      <c r="Y3208" s="14"/>
      <c r="Z3208" s="3"/>
      <c r="AA3208" s="3"/>
      <c r="AB3208" s="3"/>
      <c r="AC3208" s="3"/>
      <c r="AD3208" s="3"/>
      <c r="AE3208" s="3"/>
      <c r="AF3208" s="3"/>
      <c r="AG3208" s="3"/>
      <c r="AH3208" s="3"/>
    </row>
    <row r="3209" spans="1:34" ht="14.25" customHeight="1" x14ac:dyDescent="0.25">
      <c r="A3209" s="3"/>
      <c r="B3209" s="3"/>
      <c r="C3209" s="3"/>
      <c r="D3209" s="3"/>
      <c r="E3209" s="3"/>
      <c r="F3209" s="3"/>
      <c r="G3209" s="3"/>
      <c r="H3209" s="11"/>
      <c r="I3209" s="12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14"/>
      <c r="X3209" s="3"/>
      <c r="Y3209" s="14"/>
      <c r="Z3209" s="3"/>
      <c r="AA3209" s="3"/>
      <c r="AB3209" s="3"/>
      <c r="AC3209" s="3"/>
      <c r="AD3209" s="3"/>
      <c r="AE3209" s="3"/>
      <c r="AF3209" s="3"/>
      <c r="AG3209" s="3"/>
      <c r="AH3209" s="3"/>
    </row>
    <row r="3210" spans="1:34" ht="14.25" customHeight="1" x14ac:dyDescent="0.25">
      <c r="A3210" s="3"/>
      <c r="B3210" s="3"/>
      <c r="C3210" s="3"/>
      <c r="D3210" s="3"/>
      <c r="E3210" s="3"/>
      <c r="F3210" s="3"/>
      <c r="G3210" s="3"/>
      <c r="H3210" s="11"/>
      <c r="I3210" s="12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14"/>
      <c r="X3210" s="3"/>
      <c r="Y3210" s="14"/>
      <c r="Z3210" s="3"/>
      <c r="AA3210" s="3"/>
      <c r="AB3210" s="3"/>
      <c r="AC3210" s="3"/>
      <c r="AD3210" s="3"/>
      <c r="AE3210" s="3"/>
      <c r="AF3210" s="3"/>
      <c r="AG3210" s="3"/>
      <c r="AH3210" s="3"/>
    </row>
    <row r="3211" spans="1:34" ht="14.25" customHeight="1" x14ac:dyDescent="0.25">
      <c r="A3211" s="3"/>
      <c r="B3211" s="3"/>
      <c r="C3211" s="3"/>
      <c r="D3211" s="3"/>
      <c r="E3211" s="3"/>
      <c r="F3211" s="3"/>
      <c r="G3211" s="3"/>
      <c r="H3211" s="11"/>
      <c r="I3211" s="12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14"/>
      <c r="X3211" s="3"/>
      <c r="Y3211" s="14"/>
      <c r="Z3211" s="3"/>
      <c r="AA3211" s="3"/>
      <c r="AB3211" s="3"/>
      <c r="AC3211" s="3"/>
      <c r="AD3211" s="3"/>
      <c r="AE3211" s="3"/>
      <c r="AF3211" s="3"/>
      <c r="AG3211" s="3"/>
      <c r="AH3211" s="3"/>
    </row>
    <row r="3212" spans="1:34" ht="14.25" customHeight="1" x14ac:dyDescent="0.25">
      <c r="A3212" s="3"/>
      <c r="B3212" s="3"/>
      <c r="C3212" s="3"/>
      <c r="D3212" s="3"/>
      <c r="E3212" s="3"/>
      <c r="F3212" s="3"/>
      <c r="G3212" s="3"/>
      <c r="H3212" s="11"/>
      <c r="I3212" s="12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14"/>
      <c r="X3212" s="3"/>
      <c r="Y3212" s="14"/>
      <c r="Z3212" s="3"/>
      <c r="AA3212" s="3"/>
      <c r="AB3212" s="3"/>
      <c r="AC3212" s="3"/>
      <c r="AD3212" s="3"/>
      <c r="AE3212" s="3"/>
      <c r="AF3212" s="3"/>
      <c r="AG3212" s="3"/>
      <c r="AH3212" s="3"/>
    </row>
    <row r="3213" spans="1:34" ht="14.25" customHeight="1" x14ac:dyDescent="0.25">
      <c r="A3213" s="3"/>
      <c r="B3213" s="3"/>
      <c r="C3213" s="3"/>
      <c r="D3213" s="3"/>
      <c r="E3213" s="3"/>
      <c r="F3213" s="3"/>
      <c r="G3213" s="3"/>
      <c r="H3213" s="11"/>
      <c r="I3213" s="12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14"/>
      <c r="X3213" s="3"/>
      <c r="Y3213" s="14"/>
      <c r="Z3213" s="3"/>
      <c r="AA3213" s="3"/>
      <c r="AB3213" s="3"/>
      <c r="AC3213" s="3"/>
      <c r="AD3213" s="3"/>
      <c r="AE3213" s="3"/>
      <c r="AF3213" s="3"/>
      <c r="AG3213" s="3"/>
      <c r="AH3213" s="3"/>
    </row>
    <row r="3214" spans="1:34" ht="14.25" customHeight="1" x14ac:dyDescent="0.25">
      <c r="A3214" s="3"/>
      <c r="B3214" s="3"/>
      <c r="C3214" s="3"/>
      <c r="D3214" s="3"/>
      <c r="E3214" s="3"/>
      <c r="F3214" s="3"/>
      <c r="G3214" s="3"/>
      <c r="H3214" s="11"/>
      <c r="I3214" s="12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14"/>
      <c r="X3214" s="3"/>
      <c r="Y3214" s="14"/>
      <c r="Z3214" s="3"/>
      <c r="AA3214" s="3"/>
      <c r="AB3214" s="3"/>
      <c r="AC3214" s="3"/>
      <c r="AD3214" s="3"/>
      <c r="AE3214" s="3"/>
      <c r="AF3214" s="3"/>
      <c r="AG3214" s="3"/>
      <c r="AH3214" s="3"/>
    </row>
    <row r="3215" spans="1:34" ht="14.25" customHeight="1" x14ac:dyDescent="0.25">
      <c r="A3215" s="3"/>
      <c r="B3215" s="3"/>
      <c r="C3215" s="3"/>
      <c r="D3215" s="3"/>
      <c r="E3215" s="3"/>
      <c r="F3215" s="3"/>
      <c r="G3215" s="3"/>
      <c r="H3215" s="11"/>
      <c r="I3215" s="12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14"/>
      <c r="X3215" s="3"/>
      <c r="Y3215" s="14"/>
      <c r="Z3215" s="3"/>
      <c r="AA3215" s="3"/>
      <c r="AB3215" s="3"/>
      <c r="AC3215" s="3"/>
      <c r="AD3215" s="3"/>
      <c r="AE3215" s="3"/>
      <c r="AF3215" s="3"/>
      <c r="AG3215" s="3"/>
      <c r="AH3215" s="3"/>
    </row>
    <row r="3216" spans="1:34" ht="14.25" customHeight="1" x14ac:dyDescent="0.25">
      <c r="A3216" s="3"/>
      <c r="B3216" s="3"/>
      <c r="C3216" s="3"/>
      <c r="D3216" s="3"/>
      <c r="E3216" s="3"/>
      <c r="F3216" s="3"/>
      <c r="G3216" s="3"/>
      <c r="H3216" s="11"/>
      <c r="I3216" s="12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14"/>
      <c r="X3216" s="3"/>
      <c r="Y3216" s="14"/>
      <c r="Z3216" s="3"/>
      <c r="AA3216" s="3"/>
      <c r="AB3216" s="3"/>
      <c r="AC3216" s="3"/>
      <c r="AD3216" s="3"/>
      <c r="AE3216" s="3"/>
      <c r="AF3216" s="3"/>
      <c r="AG3216" s="3"/>
      <c r="AH3216" s="3"/>
    </row>
    <row r="3217" spans="1:34" ht="14.25" customHeight="1" x14ac:dyDescent="0.25">
      <c r="A3217" s="3"/>
      <c r="B3217" s="3"/>
      <c r="C3217" s="3"/>
      <c r="D3217" s="3"/>
      <c r="E3217" s="3"/>
      <c r="F3217" s="3"/>
      <c r="G3217" s="3"/>
      <c r="H3217" s="11"/>
      <c r="I3217" s="12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14"/>
      <c r="X3217" s="3"/>
      <c r="Y3217" s="14"/>
      <c r="Z3217" s="3"/>
      <c r="AA3217" s="3"/>
      <c r="AB3217" s="3"/>
      <c r="AC3217" s="3"/>
      <c r="AD3217" s="3"/>
      <c r="AE3217" s="3"/>
      <c r="AF3217" s="3"/>
      <c r="AG3217" s="3"/>
      <c r="AH3217" s="3"/>
    </row>
    <row r="3218" spans="1:34" ht="14.25" customHeight="1" x14ac:dyDescent="0.25">
      <c r="A3218" s="3"/>
      <c r="B3218" s="3"/>
      <c r="C3218" s="3"/>
      <c r="D3218" s="3"/>
      <c r="E3218" s="3"/>
      <c r="F3218" s="3"/>
      <c r="G3218" s="3"/>
      <c r="H3218" s="11"/>
      <c r="I3218" s="12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14"/>
      <c r="X3218" s="3"/>
      <c r="Y3218" s="14"/>
      <c r="Z3218" s="3"/>
      <c r="AA3218" s="3"/>
      <c r="AB3218" s="3"/>
      <c r="AC3218" s="3"/>
      <c r="AD3218" s="3"/>
      <c r="AE3218" s="3"/>
      <c r="AF3218" s="3"/>
      <c r="AG3218" s="3"/>
      <c r="AH3218" s="3"/>
    </row>
    <row r="3219" spans="1:34" ht="14.25" customHeight="1" x14ac:dyDescent="0.25">
      <c r="A3219" s="3"/>
      <c r="B3219" s="3"/>
      <c r="C3219" s="3"/>
      <c r="D3219" s="3"/>
      <c r="E3219" s="3"/>
      <c r="F3219" s="3"/>
      <c r="G3219" s="3"/>
      <c r="H3219" s="11"/>
      <c r="I3219" s="12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14"/>
      <c r="X3219" s="3"/>
      <c r="Y3219" s="14"/>
      <c r="Z3219" s="3"/>
      <c r="AA3219" s="3"/>
      <c r="AB3219" s="3"/>
      <c r="AC3219" s="3"/>
      <c r="AD3219" s="3"/>
      <c r="AE3219" s="3"/>
      <c r="AF3219" s="3"/>
      <c r="AG3219" s="3"/>
      <c r="AH3219" s="3"/>
    </row>
    <row r="3220" spans="1:34" ht="14.25" customHeight="1" x14ac:dyDescent="0.25">
      <c r="A3220" s="3"/>
      <c r="B3220" s="3"/>
      <c r="C3220" s="3"/>
      <c r="D3220" s="3"/>
      <c r="E3220" s="3"/>
      <c r="F3220" s="3"/>
      <c r="G3220" s="3"/>
      <c r="H3220" s="11"/>
      <c r="I3220" s="12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14"/>
      <c r="X3220" s="3"/>
      <c r="Y3220" s="14"/>
      <c r="Z3220" s="3"/>
      <c r="AA3220" s="3"/>
      <c r="AB3220" s="3"/>
      <c r="AC3220" s="3"/>
      <c r="AD3220" s="3"/>
      <c r="AE3220" s="3"/>
      <c r="AF3220" s="3"/>
      <c r="AG3220" s="3"/>
      <c r="AH3220" s="3"/>
    </row>
    <row r="3221" spans="1:34" ht="14.25" customHeight="1" x14ac:dyDescent="0.25">
      <c r="A3221" s="3"/>
      <c r="B3221" s="3"/>
      <c r="C3221" s="3"/>
      <c r="D3221" s="3"/>
      <c r="E3221" s="3"/>
      <c r="F3221" s="3"/>
      <c r="G3221" s="3"/>
      <c r="H3221" s="11"/>
      <c r="I3221" s="12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14"/>
      <c r="X3221" s="3"/>
      <c r="Y3221" s="14"/>
      <c r="Z3221" s="3"/>
      <c r="AA3221" s="3"/>
      <c r="AB3221" s="3"/>
      <c r="AC3221" s="3"/>
      <c r="AD3221" s="3"/>
      <c r="AE3221" s="3"/>
      <c r="AF3221" s="3"/>
      <c r="AG3221" s="3"/>
      <c r="AH3221" s="3"/>
    </row>
    <row r="3222" spans="1:34" ht="14.25" customHeight="1" x14ac:dyDescent="0.25">
      <c r="A3222" s="3"/>
      <c r="B3222" s="3"/>
      <c r="C3222" s="3"/>
      <c r="D3222" s="3"/>
      <c r="E3222" s="3"/>
      <c r="F3222" s="3"/>
      <c r="G3222" s="3"/>
      <c r="H3222" s="11"/>
      <c r="I3222" s="12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14"/>
      <c r="X3222" s="3"/>
      <c r="Y3222" s="14"/>
      <c r="Z3222" s="3"/>
      <c r="AA3222" s="3"/>
      <c r="AB3222" s="3"/>
      <c r="AC3222" s="3"/>
      <c r="AD3222" s="3"/>
      <c r="AE3222" s="3"/>
      <c r="AF3222" s="3"/>
      <c r="AG3222" s="3"/>
      <c r="AH3222" s="3"/>
    </row>
    <row r="3223" spans="1:34" ht="14.25" customHeight="1" x14ac:dyDescent="0.25">
      <c r="A3223" s="3"/>
      <c r="B3223" s="3"/>
      <c r="C3223" s="3"/>
      <c r="D3223" s="3"/>
      <c r="E3223" s="3"/>
      <c r="F3223" s="3"/>
      <c r="G3223" s="3"/>
      <c r="H3223" s="11"/>
      <c r="I3223" s="12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14"/>
      <c r="X3223" s="3"/>
      <c r="Y3223" s="14"/>
      <c r="Z3223" s="3"/>
      <c r="AA3223" s="3"/>
      <c r="AB3223" s="3"/>
      <c r="AC3223" s="3"/>
      <c r="AD3223" s="3"/>
      <c r="AE3223" s="3"/>
      <c r="AF3223" s="3"/>
      <c r="AG3223" s="3"/>
      <c r="AH3223" s="3"/>
    </row>
    <row r="3224" spans="1:34" ht="14.25" customHeight="1" x14ac:dyDescent="0.25">
      <c r="A3224" s="3"/>
      <c r="B3224" s="3"/>
      <c r="C3224" s="3"/>
      <c r="D3224" s="3"/>
      <c r="E3224" s="3"/>
      <c r="F3224" s="3"/>
      <c r="G3224" s="3"/>
      <c r="H3224" s="11"/>
      <c r="I3224" s="12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14"/>
      <c r="X3224" s="3"/>
      <c r="Y3224" s="14"/>
      <c r="Z3224" s="3"/>
      <c r="AA3224" s="3"/>
      <c r="AB3224" s="3"/>
      <c r="AC3224" s="3"/>
      <c r="AD3224" s="3"/>
      <c r="AE3224" s="3"/>
      <c r="AF3224" s="3"/>
      <c r="AG3224" s="3"/>
      <c r="AH3224" s="3"/>
    </row>
    <row r="3225" spans="1:34" ht="14.25" customHeight="1" x14ac:dyDescent="0.25">
      <c r="A3225" s="3"/>
      <c r="B3225" s="3"/>
      <c r="C3225" s="3"/>
      <c r="D3225" s="3"/>
      <c r="E3225" s="3"/>
      <c r="F3225" s="3"/>
      <c r="G3225" s="3"/>
      <c r="H3225" s="11"/>
      <c r="I3225" s="12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14"/>
      <c r="X3225" s="3"/>
      <c r="Y3225" s="14"/>
      <c r="Z3225" s="3"/>
      <c r="AA3225" s="3"/>
      <c r="AB3225" s="3"/>
      <c r="AC3225" s="3"/>
      <c r="AD3225" s="3"/>
      <c r="AE3225" s="3"/>
      <c r="AF3225" s="3"/>
      <c r="AG3225" s="3"/>
      <c r="AH3225" s="3"/>
    </row>
    <row r="3226" spans="1:34" ht="14.25" customHeight="1" x14ac:dyDescent="0.25">
      <c r="A3226" s="3"/>
      <c r="B3226" s="3"/>
      <c r="C3226" s="3"/>
      <c r="D3226" s="3"/>
      <c r="E3226" s="3"/>
      <c r="F3226" s="3"/>
      <c r="G3226" s="3"/>
      <c r="H3226" s="11"/>
      <c r="I3226" s="12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14"/>
      <c r="X3226" s="3"/>
      <c r="Y3226" s="14"/>
      <c r="Z3226" s="3"/>
      <c r="AA3226" s="3"/>
      <c r="AB3226" s="3"/>
      <c r="AC3226" s="3"/>
      <c r="AD3226" s="3"/>
      <c r="AE3226" s="3"/>
      <c r="AF3226" s="3"/>
      <c r="AG3226" s="3"/>
      <c r="AH3226" s="3"/>
    </row>
    <row r="3227" spans="1:34" ht="14.25" customHeight="1" x14ac:dyDescent="0.25">
      <c r="A3227" s="3"/>
      <c r="B3227" s="3"/>
      <c r="C3227" s="3"/>
      <c r="D3227" s="3"/>
      <c r="E3227" s="3"/>
      <c r="F3227" s="3"/>
      <c r="G3227" s="3"/>
      <c r="H3227" s="11"/>
      <c r="I3227" s="12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14"/>
      <c r="X3227" s="3"/>
      <c r="Y3227" s="14"/>
      <c r="Z3227" s="3"/>
      <c r="AA3227" s="3"/>
      <c r="AB3227" s="3"/>
      <c r="AC3227" s="3"/>
      <c r="AD3227" s="3"/>
      <c r="AE3227" s="3"/>
      <c r="AF3227" s="3"/>
      <c r="AG3227" s="3"/>
      <c r="AH3227" s="3"/>
    </row>
    <row r="3228" spans="1:34" ht="14.25" customHeight="1" x14ac:dyDescent="0.25">
      <c r="A3228" s="3"/>
      <c r="B3228" s="3"/>
      <c r="C3228" s="3"/>
      <c r="D3228" s="3"/>
      <c r="E3228" s="3"/>
      <c r="F3228" s="3"/>
      <c r="G3228" s="3"/>
      <c r="H3228" s="11"/>
      <c r="I3228" s="12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14"/>
      <c r="X3228" s="3"/>
      <c r="Y3228" s="14"/>
      <c r="Z3228" s="3"/>
      <c r="AA3228" s="3"/>
      <c r="AB3228" s="3"/>
      <c r="AC3228" s="3"/>
      <c r="AD3228" s="3"/>
      <c r="AE3228" s="3"/>
      <c r="AF3228" s="3"/>
      <c r="AG3228" s="3"/>
      <c r="AH3228" s="3"/>
    </row>
    <row r="3229" spans="1:34" ht="14.25" customHeight="1" x14ac:dyDescent="0.25">
      <c r="A3229" s="3"/>
      <c r="B3229" s="3"/>
      <c r="C3229" s="3"/>
      <c r="D3229" s="3"/>
      <c r="E3229" s="3"/>
      <c r="F3229" s="3"/>
      <c r="G3229" s="3"/>
      <c r="H3229" s="11"/>
      <c r="I3229" s="12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14"/>
      <c r="X3229" s="3"/>
      <c r="Y3229" s="14"/>
      <c r="Z3229" s="3"/>
      <c r="AA3229" s="3"/>
      <c r="AB3229" s="3"/>
      <c r="AC3229" s="3"/>
      <c r="AD3229" s="3"/>
      <c r="AE3229" s="3"/>
      <c r="AF3229" s="3"/>
      <c r="AG3229" s="3"/>
      <c r="AH3229" s="3"/>
    </row>
    <row r="3230" spans="1:34" ht="14.25" customHeight="1" x14ac:dyDescent="0.25">
      <c r="A3230" s="3"/>
      <c r="B3230" s="3"/>
      <c r="C3230" s="3"/>
      <c r="D3230" s="3"/>
      <c r="E3230" s="3"/>
      <c r="F3230" s="3"/>
      <c r="G3230" s="3"/>
      <c r="H3230" s="11"/>
      <c r="I3230" s="12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14"/>
      <c r="X3230" s="3"/>
      <c r="Y3230" s="14"/>
      <c r="Z3230" s="3"/>
      <c r="AA3230" s="3"/>
      <c r="AB3230" s="3"/>
      <c r="AC3230" s="3"/>
      <c r="AD3230" s="3"/>
      <c r="AE3230" s="3"/>
      <c r="AF3230" s="3"/>
      <c r="AG3230" s="3"/>
      <c r="AH3230" s="3"/>
    </row>
    <row r="3231" spans="1:34" ht="14.25" customHeight="1" x14ac:dyDescent="0.25">
      <c r="A3231" s="3"/>
      <c r="B3231" s="3"/>
      <c r="C3231" s="3"/>
      <c r="D3231" s="3"/>
      <c r="E3231" s="3"/>
      <c r="F3231" s="3"/>
      <c r="G3231" s="3"/>
      <c r="H3231" s="11"/>
      <c r="I3231" s="12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14"/>
      <c r="X3231" s="3"/>
      <c r="Y3231" s="14"/>
      <c r="Z3231" s="3"/>
      <c r="AA3231" s="3"/>
      <c r="AB3231" s="3"/>
      <c r="AC3231" s="3"/>
      <c r="AD3231" s="3"/>
      <c r="AE3231" s="3"/>
      <c r="AF3231" s="3"/>
      <c r="AG3231" s="3"/>
      <c r="AH3231" s="3"/>
    </row>
    <row r="3232" spans="1:34" ht="14.25" customHeight="1" x14ac:dyDescent="0.25">
      <c r="A3232" s="3"/>
      <c r="B3232" s="3"/>
      <c r="C3232" s="3"/>
      <c r="D3232" s="3"/>
      <c r="E3232" s="3"/>
      <c r="F3232" s="3"/>
      <c r="G3232" s="3"/>
      <c r="H3232" s="11"/>
      <c r="I3232" s="12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14"/>
      <c r="X3232" s="3"/>
      <c r="Y3232" s="14"/>
      <c r="Z3232" s="3"/>
      <c r="AA3232" s="3"/>
      <c r="AB3232" s="3"/>
      <c r="AC3232" s="3"/>
      <c r="AD3232" s="3"/>
      <c r="AE3232" s="3"/>
      <c r="AF3232" s="3"/>
      <c r="AG3232" s="3"/>
      <c r="AH3232" s="3"/>
    </row>
    <row r="3233" spans="1:34" ht="14.25" customHeight="1" x14ac:dyDescent="0.25">
      <c r="A3233" s="3"/>
      <c r="B3233" s="3"/>
      <c r="C3233" s="3"/>
      <c r="D3233" s="3"/>
      <c r="E3233" s="3"/>
      <c r="F3233" s="3"/>
      <c r="G3233" s="3"/>
      <c r="H3233" s="11"/>
      <c r="I3233" s="12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14"/>
      <c r="X3233" s="3"/>
      <c r="Y3233" s="14"/>
      <c r="Z3233" s="3"/>
      <c r="AA3233" s="3"/>
      <c r="AB3233" s="3"/>
      <c r="AC3233" s="3"/>
      <c r="AD3233" s="3"/>
      <c r="AE3233" s="3"/>
      <c r="AF3233" s="3"/>
      <c r="AG3233" s="3"/>
      <c r="AH3233" s="3"/>
    </row>
    <row r="3234" spans="1:34" ht="14.25" customHeight="1" x14ac:dyDescent="0.25">
      <c r="A3234" s="3"/>
      <c r="B3234" s="3"/>
      <c r="C3234" s="3"/>
      <c r="D3234" s="3"/>
      <c r="E3234" s="3"/>
      <c r="F3234" s="3"/>
      <c r="G3234" s="3"/>
      <c r="H3234" s="11"/>
      <c r="I3234" s="12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14"/>
      <c r="X3234" s="3"/>
      <c r="Y3234" s="14"/>
      <c r="Z3234" s="3"/>
      <c r="AA3234" s="3"/>
      <c r="AB3234" s="3"/>
      <c r="AC3234" s="3"/>
      <c r="AD3234" s="3"/>
      <c r="AE3234" s="3"/>
      <c r="AF3234" s="3"/>
      <c r="AG3234" s="3"/>
      <c r="AH3234" s="3"/>
    </row>
    <row r="3235" spans="1:34" ht="14.25" customHeight="1" x14ac:dyDescent="0.25">
      <c r="A3235" s="3"/>
      <c r="B3235" s="3"/>
      <c r="C3235" s="3"/>
      <c r="D3235" s="3"/>
      <c r="E3235" s="3"/>
      <c r="F3235" s="3"/>
      <c r="G3235" s="3"/>
      <c r="H3235" s="11"/>
      <c r="I3235" s="12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14"/>
      <c r="X3235" s="3"/>
      <c r="Y3235" s="14"/>
      <c r="Z3235" s="3"/>
      <c r="AA3235" s="3"/>
      <c r="AB3235" s="3"/>
      <c r="AC3235" s="3"/>
      <c r="AD3235" s="3"/>
      <c r="AE3235" s="3"/>
      <c r="AF3235" s="3"/>
      <c r="AG3235" s="3"/>
      <c r="AH3235" s="3"/>
    </row>
    <row r="3236" spans="1:34" ht="14.25" customHeight="1" x14ac:dyDescent="0.25">
      <c r="A3236" s="3"/>
      <c r="B3236" s="3"/>
      <c r="C3236" s="3"/>
      <c r="D3236" s="3"/>
      <c r="E3236" s="3"/>
      <c r="F3236" s="3"/>
      <c r="G3236" s="3"/>
      <c r="H3236" s="11"/>
      <c r="I3236" s="12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14"/>
      <c r="X3236" s="3"/>
      <c r="Y3236" s="14"/>
      <c r="Z3236" s="3"/>
      <c r="AA3236" s="3"/>
      <c r="AB3236" s="3"/>
      <c r="AC3236" s="3"/>
      <c r="AD3236" s="3"/>
      <c r="AE3236" s="3"/>
      <c r="AF3236" s="3"/>
      <c r="AG3236" s="3"/>
      <c r="AH3236" s="3"/>
    </row>
    <row r="3237" spans="1:34" ht="14.25" customHeight="1" x14ac:dyDescent="0.25">
      <c r="A3237" s="3"/>
      <c r="B3237" s="3"/>
      <c r="C3237" s="3"/>
      <c r="D3237" s="3"/>
      <c r="E3237" s="3"/>
      <c r="F3237" s="3"/>
      <c r="G3237" s="3"/>
      <c r="H3237" s="11"/>
      <c r="I3237" s="12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14"/>
      <c r="X3237" s="3"/>
      <c r="Y3237" s="14"/>
      <c r="Z3237" s="3"/>
      <c r="AA3237" s="3"/>
      <c r="AB3237" s="3"/>
      <c r="AC3237" s="3"/>
      <c r="AD3237" s="3"/>
      <c r="AE3237" s="3"/>
      <c r="AF3237" s="3"/>
      <c r="AG3237" s="3"/>
      <c r="AH3237" s="3"/>
    </row>
    <row r="3238" spans="1:34" ht="14.25" customHeight="1" x14ac:dyDescent="0.25">
      <c r="A3238" s="3"/>
      <c r="B3238" s="3"/>
      <c r="C3238" s="3"/>
      <c r="D3238" s="3"/>
      <c r="E3238" s="3"/>
      <c r="F3238" s="3"/>
      <c r="G3238" s="3"/>
      <c r="H3238" s="11"/>
      <c r="I3238" s="12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14"/>
      <c r="X3238" s="3"/>
      <c r="Y3238" s="14"/>
      <c r="Z3238" s="3"/>
      <c r="AA3238" s="3"/>
      <c r="AB3238" s="3"/>
      <c r="AC3238" s="3"/>
      <c r="AD3238" s="3"/>
      <c r="AE3238" s="3"/>
      <c r="AF3238" s="3"/>
      <c r="AG3238" s="3"/>
      <c r="AH3238" s="3"/>
    </row>
    <row r="3239" spans="1:34" ht="14.25" customHeight="1" x14ac:dyDescent="0.25">
      <c r="A3239" s="3"/>
      <c r="B3239" s="3"/>
      <c r="C3239" s="3"/>
      <c r="D3239" s="3"/>
      <c r="E3239" s="3"/>
      <c r="F3239" s="3"/>
      <c r="G3239" s="3"/>
      <c r="H3239" s="11"/>
      <c r="I3239" s="12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14"/>
      <c r="X3239" s="3"/>
      <c r="Y3239" s="14"/>
      <c r="Z3239" s="3"/>
      <c r="AA3239" s="3"/>
      <c r="AB3239" s="3"/>
      <c r="AC3239" s="3"/>
      <c r="AD3239" s="3"/>
      <c r="AE3239" s="3"/>
      <c r="AF3239" s="3"/>
      <c r="AG3239" s="3"/>
      <c r="AH3239" s="3"/>
    </row>
    <row r="3240" spans="1:34" ht="14.25" customHeight="1" x14ac:dyDescent="0.25">
      <c r="A3240" s="3"/>
      <c r="B3240" s="3"/>
      <c r="C3240" s="3"/>
      <c r="D3240" s="3"/>
      <c r="E3240" s="3"/>
      <c r="F3240" s="3"/>
      <c r="G3240" s="3"/>
      <c r="H3240" s="11"/>
      <c r="I3240" s="12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14"/>
      <c r="X3240" s="3"/>
      <c r="Y3240" s="14"/>
      <c r="Z3240" s="3"/>
      <c r="AA3240" s="3"/>
      <c r="AB3240" s="3"/>
      <c r="AC3240" s="3"/>
      <c r="AD3240" s="3"/>
      <c r="AE3240" s="3"/>
      <c r="AF3240" s="3"/>
      <c r="AG3240" s="3"/>
      <c r="AH3240" s="3"/>
    </row>
    <row r="3241" spans="1:34" ht="14.25" customHeight="1" x14ac:dyDescent="0.25">
      <c r="A3241" s="3"/>
      <c r="B3241" s="3"/>
      <c r="C3241" s="3"/>
      <c r="D3241" s="3"/>
      <c r="E3241" s="3"/>
      <c r="F3241" s="3"/>
      <c r="G3241" s="3"/>
      <c r="H3241" s="11"/>
      <c r="I3241" s="12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14"/>
      <c r="X3241" s="3"/>
      <c r="Y3241" s="14"/>
      <c r="Z3241" s="3"/>
      <c r="AA3241" s="3"/>
      <c r="AB3241" s="3"/>
      <c r="AC3241" s="3"/>
      <c r="AD3241" s="3"/>
      <c r="AE3241" s="3"/>
      <c r="AF3241" s="3"/>
      <c r="AG3241" s="3"/>
      <c r="AH3241" s="3"/>
    </row>
    <row r="3242" spans="1:34" ht="14.25" customHeight="1" x14ac:dyDescent="0.25">
      <c r="A3242" s="3"/>
      <c r="B3242" s="3"/>
      <c r="C3242" s="3"/>
      <c r="D3242" s="3"/>
      <c r="E3242" s="3"/>
      <c r="F3242" s="3"/>
      <c r="G3242" s="3"/>
      <c r="H3242" s="11"/>
      <c r="I3242" s="12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14"/>
      <c r="X3242" s="3"/>
      <c r="Y3242" s="14"/>
      <c r="Z3242" s="3"/>
      <c r="AA3242" s="3"/>
      <c r="AB3242" s="3"/>
      <c r="AC3242" s="3"/>
      <c r="AD3242" s="3"/>
      <c r="AE3242" s="3"/>
      <c r="AF3242" s="3"/>
      <c r="AG3242" s="3"/>
      <c r="AH3242" s="3"/>
    </row>
    <row r="3243" spans="1:34" ht="14.25" customHeight="1" x14ac:dyDescent="0.25">
      <c r="A3243" s="3"/>
      <c r="B3243" s="3"/>
      <c r="C3243" s="3"/>
      <c r="D3243" s="3"/>
      <c r="E3243" s="3"/>
      <c r="F3243" s="3"/>
      <c r="G3243" s="3"/>
      <c r="H3243" s="11"/>
      <c r="I3243" s="12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14"/>
      <c r="X3243" s="3"/>
      <c r="Y3243" s="14"/>
      <c r="Z3243" s="3"/>
      <c r="AA3243" s="3"/>
      <c r="AB3243" s="3"/>
      <c r="AC3243" s="3"/>
      <c r="AD3243" s="3"/>
      <c r="AE3243" s="3"/>
      <c r="AF3243" s="3"/>
      <c r="AG3243" s="3"/>
      <c r="AH3243" s="3"/>
    </row>
    <row r="3244" spans="1:34" ht="14.25" customHeight="1" x14ac:dyDescent="0.25">
      <c r="A3244" s="3"/>
      <c r="B3244" s="3"/>
      <c r="C3244" s="3"/>
      <c r="D3244" s="3"/>
      <c r="E3244" s="3"/>
      <c r="F3244" s="3"/>
      <c r="G3244" s="3"/>
      <c r="H3244" s="11"/>
      <c r="I3244" s="12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14"/>
      <c r="X3244" s="3"/>
      <c r="Y3244" s="14"/>
      <c r="Z3244" s="3"/>
      <c r="AA3244" s="3"/>
      <c r="AB3244" s="3"/>
      <c r="AC3244" s="3"/>
      <c r="AD3244" s="3"/>
      <c r="AE3244" s="3"/>
      <c r="AF3244" s="3"/>
      <c r="AG3244" s="3"/>
      <c r="AH3244" s="3"/>
    </row>
    <row r="3245" spans="1:34" ht="14.25" customHeight="1" x14ac:dyDescent="0.25">
      <c r="A3245" s="3"/>
      <c r="B3245" s="3"/>
      <c r="C3245" s="3"/>
      <c r="D3245" s="3"/>
      <c r="E3245" s="3"/>
      <c r="F3245" s="3"/>
      <c r="G3245" s="3"/>
      <c r="H3245" s="11"/>
      <c r="I3245" s="12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14"/>
      <c r="X3245" s="3"/>
      <c r="Y3245" s="14"/>
      <c r="Z3245" s="3"/>
      <c r="AA3245" s="3"/>
      <c r="AB3245" s="3"/>
      <c r="AC3245" s="3"/>
      <c r="AD3245" s="3"/>
      <c r="AE3245" s="3"/>
      <c r="AF3245" s="3"/>
      <c r="AG3245" s="3"/>
      <c r="AH3245" s="3"/>
    </row>
    <row r="3246" spans="1:34" ht="14.25" customHeight="1" x14ac:dyDescent="0.25">
      <c r="A3246" s="3"/>
      <c r="B3246" s="3"/>
      <c r="C3246" s="3"/>
      <c r="D3246" s="3"/>
      <c r="E3246" s="3"/>
      <c r="F3246" s="3"/>
      <c r="G3246" s="3"/>
      <c r="H3246" s="11"/>
      <c r="I3246" s="12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14"/>
      <c r="X3246" s="3"/>
      <c r="Y3246" s="14"/>
      <c r="Z3246" s="3"/>
      <c r="AA3246" s="3"/>
      <c r="AB3246" s="3"/>
      <c r="AC3246" s="3"/>
      <c r="AD3246" s="3"/>
      <c r="AE3246" s="3"/>
      <c r="AF3246" s="3"/>
      <c r="AG3246" s="3"/>
      <c r="AH3246" s="3"/>
    </row>
    <row r="3247" spans="1:34" ht="14.25" customHeight="1" x14ac:dyDescent="0.25">
      <c r="A3247" s="3"/>
      <c r="B3247" s="3"/>
      <c r="C3247" s="3"/>
      <c r="D3247" s="3"/>
      <c r="E3247" s="3"/>
      <c r="F3247" s="3"/>
      <c r="G3247" s="3"/>
      <c r="H3247" s="11"/>
      <c r="I3247" s="12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14"/>
      <c r="X3247" s="3"/>
      <c r="Y3247" s="14"/>
      <c r="Z3247" s="3"/>
      <c r="AA3247" s="3"/>
      <c r="AB3247" s="3"/>
      <c r="AC3247" s="3"/>
      <c r="AD3247" s="3"/>
      <c r="AE3247" s="3"/>
      <c r="AF3247" s="3"/>
      <c r="AG3247" s="3"/>
      <c r="AH3247" s="3"/>
    </row>
    <row r="3248" spans="1:34" ht="14.25" customHeight="1" x14ac:dyDescent="0.25">
      <c r="A3248" s="3"/>
      <c r="B3248" s="3"/>
      <c r="C3248" s="3"/>
      <c r="D3248" s="3"/>
      <c r="E3248" s="3"/>
      <c r="F3248" s="3"/>
      <c r="G3248" s="3"/>
      <c r="H3248" s="11"/>
      <c r="I3248" s="12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14"/>
      <c r="X3248" s="3"/>
      <c r="Y3248" s="14"/>
      <c r="Z3248" s="3"/>
      <c r="AA3248" s="3"/>
      <c r="AB3248" s="3"/>
      <c r="AC3248" s="3"/>
      <c r="AD3248" s="3"/>
      <c r="AE3248" s="3"/>
      <c r="AF3248" s="3"/>
      <c r="AG3248" s="3"/>
      <c r="AH3248" s="3"/>
    </row>
    <row r="3249" spans="1:34" ht="14.25" customHeight="1" x14ac:dyDescent="0.25">
      <c r="A3249" s="3"/>
      <c r="B3249" s="3"/>
      <c r="C3249" s="3"/>
      <c r="D3249" s="3"/>
      <c r="E3249" s="3"/>
      <c r="F3249" s="3"/>
      <c r="G3249" s="3"/>
      <c r="H3249" s="11"/>
      <c r="I3249" s="12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14"/>
      <c r="X3249" s="3"/>
      <c r="Y3249" s="14"/>
      <c r="Z3249" s="3"/>
      <c r="AA3249" s="3"/>
      <c r="AB3249" s="3"/>
      <c r="AC3249" s="3"/>
      <c r="AD3249" s="3"/>
      <c r="AE3249" s="3"/>
      <c r="AF3249" s="3"/>
      <c r="AG3249" s="3"/>
      <c r="AH3249" s="3"/>
    </row>
    <row r="3250" spans="1:34" ht="14.25" customHeight="1" x14ac:dyDescent="0.25">
      <c r="A3250" s="3"/>
      <c r="B3250" s="3"/>
      <c r="C3250" s="3"/>
      <c r="D3250" s="3"/>
      <c r="E3250" s="3"/>
      <c r="F3250" s="3"/>
      <c r="G3250" s="3"/>
      <c r="H3250" s="11"/>
      <c r="I3250" s="12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14"/>
      <c r="X3250" s="3"/>
      <c r="Y3250" s="14"/>
      <c r="Z3250" s="3"/>
      <c r="AA3250" s="3"/>
      <c r="AB3250" s="3"/>
      <c r="AC3250" s="3"/>
      <c r="AD3250" s="3"/>
      <c r="AE3250" s="3"/>
      <c r="AF3250" s="3"/>
      <c r="AG3250" s="3"/>
      <c r="AH3250" s="3"/>
    </row>
    <row r="3251" spans="1:34" ht="14.25" customHeight="1" x14ac:dyDescent="0.25">
      <c r="A3251" s="3"/>
      <c r="B3251" s="3"/>
      <c r="C3251" s="3"/>
      <c r="D3251" s="3"/>
      <c r="E3251" s="3"/>
      <c r="F3251" s="3"/>
      <c r="G3251" s="3"/>
      <c r="H3251" s="11"/>
      <c r="I3251" s="12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14"/>
      <c r="X3251" s="3"/>
      <c r="Y3251" s="14"/>
      <c r="Z3251" s="3"/>
      <c r="AA3251" s="3"/>
      <c r="AB3251" s="3"/>
      <c r="AC3251" s="3"/>
      <c r="AD3251" s="3"/>
      <c r="AE3251" s="3"/>
      <c r="AF3251" s="3"/>
      <c r="AG3251" s="3"/>
      <c r="AH3251" s="3"/>
    </row>
    <row r="3252" spans="1:34" ht="14.25" customHeight="1" x14ac:dyDescent="0.25">
      <c r="A3252" s="3"/>
      <c r="B3252" s="3"/>
      <c r="C3252" s="3"/>
      <c r="D3252" s="3"/>
      <c r="E3252" s="3"/>
      <c r="F3252" s="3"/>
      <c r="G3252" s="3"/>
      <c r="H3252" s="11"/>
      <c r="I3252" s="12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14"/>
      <c r="X3252" s="3"/>
      <c r="Y3252" s="14"/>
      <c r="Z3252" s="3"/>
      <c r="AA3252" s="3"/>
      <c r="AB3252" s="3"/>
      <c r="AC3252" s="3"/>
      <c r="AD3252" s="3"/>
      <c r="AE3252" s="3"/>
      <c r="AF3252" s="3"/>
      <c r="AG3252" s="3"/>
      <c r="AH3252" s="3"/>
    </row>
    <row r="3253" spans="1:34" ht="14.25" customHeight="1" x14ac:dyDescent="0.25">
      <c r="A3253" s="3"/>
      <c r="B3253" s="3"/>
      <c r="C3253" s="3"/>
      <c r="D3253" s="3"/>
      <c r="E3253" s="3"/>
      <c r="F3253" s="3"/>
      <c r="G3253" s="3"/>
      <c r="H3253" s="11"/>
      <c r="I3253" s="12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14"/>
      <c r="X3253" s="3"/>
      <c r="Y3253" s="14"/>
      <c r="Z3253" s="3"/>
      <c r="AA3253" s="3"/>
      <c r="AB3253" s="3"/>
      <c r="AC3253" s="3"/>
      <c r="AD3253" s="3"/>
      <c r="AE3253" s="3"/>
      <c r="AF3253" s="3"/>
      <c r="AG3253" s="3"/>
      <c r="AH3253" s="3"/>
    </row>
    <row r="3254" spans="1:34" ht="14.25" customHeight="1" x14ac:dyDescent="0.25">
      <c r="A3254" s="3"/>
      <c r="B3254" s="3"/>
      <c r="C3254" s="3"/>
      <c r="D3254" s="3"/>
      <c r="E3254" s="3"/>
      <c r="F3254" s="3"/>
      <c r="G3254" s="3"/>
      <c r="H3254" s="11"/>
      <c r="I3254" s="12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14"/>
      <c r="X3254" s="3"/>
      <c r="Y3254" s="14"/>
      <c r="Z3254" s="3"/>
      <c r="AA3254" s="3"/>
      <c r="AB3254" s="3"/>
      <c r="AC3254" s="3"/>
      <c r="AD3254" s="3"/>
      <c r="AE3254" s="3"/>
      <c r="AF3254" s="3"/>
      <c r="AG3254" s="3"/>
      <c r="AH3254" s="3"/>
    </row>
    <row r="3255" spans="1:34" ht="14.25" customHeight="1" x14ac:dyDescent="0.25">
      <c r="A3255" s="3"/>
      <c r="B3255" s="3"/>
      <c r="C3255" s="3"/>
      <c r="D3255" s="3"/>
      <c r="E3255" s="3"/>
      <c r="F3255" s="3"/>
      <c r="G3255" s="3"/>
      <c r="H3255" s="11"/>
      <c r="I3255" s="12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14"/>
      <c r="X3255" s="3"/>
      <c r="Y3255" s="14"/>
      <c r="Z3255" s="3"/>
      <c r="AA3255" s="3"/>
      <c r="AB3255" s="3"/>
      <c r="AC3255" s="3"/>
      <c r="AD3255" s="3"/>
      <c r="AE3255" s="3"/>
      <c r="AF3255" s="3"/>
      <c r="AG3255" s="3"/>
      <c r="AH3255" s="3"/>
    </row>
    <row r="3256" spans="1:34" ht="14.25" customHeight="1" x14ac:dyDescent="0.25">
      <c r="A3256" s="3"/>
      <c r="B3256" s="3"/>
      <c r="C3256" s="3"/>
      <c r="D3256" s="3"/>
      <c r="E3256" s="3"/>
      <c r="F3256" s="3"/>
      <c r="G3256" s="3"/>
      <c r="H3256" s="11"/>
      <c r="I3256" s="12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14"/>
      <c r="X3256" s="3"/>
      <c r="Y3256" s="14"/>
      <c r="Z3256" s="3"/>
      <c r="AA3256" s="3"/>
      <c r="AB3256" s="3"/>
      <c r="AC3256" s="3"/>
      <c r="AD3256" s="3"/>
      <c r="AE3256" s="3"/>
      <c r="AF3256" s="3"/>
      <c r="AG3256" s="3"/>
      <c r="AH3256" s="3"/>
    </row>
    <row r="3257" spans="1:34" ht="14.25" customHeight="1" x14ac:dyDescent="0.25">
      <c r="A3257" s="3"/>
      <c r="B3257" s="3"/>
      <c r="C3257" s="3"/>
      <c r="D3257" s="3"/>
      <c r="E3257" s="3"/>
      <c r="F3257" s="3"/>
      <c r="G3257" s="3"/>
      <c r="H3257" s="11"/>
      <c r="I3257" s="12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14"/>
      <c r="X3257" s="3"/>
      <c r="Y3257" s="14"/>
      <c r="Z3257" s="3"/>
      <c r="AA3257" s="3"/>
      <c r="AB3257" s="3"/>
      <c r="AC3257" s="3"/>
      <c r="AD3257" s="3"/>
      <c r="AE3257" s="3"/>
      <c r="AF3257" s="3"/>
      <c r="AG3257" s="3"/>
      <c r="AH3257" s="3"/>
    </row>
    <row r="3258" spans="1:34" ht="14.25" customHeight="1" x14ac:dyDescent="0.25">
      <c r="A3258" s="3"/>
      <c r="B3258" s="3"/>
      <c r="C3258" s="3"/>
      <c r="D3258" s="3"/>
      <c r="E3258" s="3"/>
      <c r="F3258" s="3"/>
      <c r="G3258" s="3"/>
      <c r="H3258" s="11"/>
      <c r="I3258" s="12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14"/>
      <c r="X3258" s="3"/>
      <c r="Y3258" s="14"/>
      <c r="Z3258" s="3"/>
      <c r="AA3258" s="3"/>
      <c r="AB3258" s="3"/>
      <c r="AC3258" s="3"/>
      <c r="AD3258" s="3"/>
      <c r="AE3258" s="3"/>
      <c r="AF3258" s="3"/>
      <c r="AG3258" s="3"/>
      <c r="AH3258" s="3"/>
    </row>
    <row r="3259" spans="1:34" ht="14.25" customHeight="1" x14ac:dyDescent="0.25">
      <c r="A3259" s="3"/>
      <c r="B3259" s="3"/>
      <c r="C3259" s="3"/>
      <c r="D3259" s="3"/>
      <c r="E3259" s="3"/>
      <c r="F3259" s="3"/>
      <c r="G3259" s="3"/>
      <c r="H3259" s="11"/>
      <c r="I3259" s="12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14"/>
      <c r="X3259" s="3"/>
      <c r="Y3259" s="14"/>
      <c r="Z3259" s="3"/>
      <c r="AA3259" s="3"/>
      <c r="AB3259" s="3"/>
      <c r="AC3259" s="3"/>
      <c r="AD3259" s="3"/>
      <c r="AE3259" s="3"/>
      <c r="AF3259" s="3"/>
      <c r="AG3259" s="3"/>
      <c r="AH3259" s="3"/>
    </row>
    <row r="3260" spans="1:34" ht="14.25" customHeight="1" x14ac:dyDescent="0.25">
      <c r="A3260" s="3"/>
      <c r="B3260" s="3"/>
      <c r="C3260" s="3"/>
      <c r="D3260" s="3"/>
      <c r="E3260" s="3"/>
      <c r="F3260" s="3"/>
      <c r="G3260" s="3"/>
      <c r="H3260" s="11"/>
      <c r="I3260" s="12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14"/>
      <c r="X3260" s="3"/>
      <c r="Y3260" s="14"/>
      <c r="Z3260" s="3"/>
      <c r="AA3260" s="3"/>
      <c r="AB3260" s="3"/>
      <c r="AC3260" s="3"/>
      <c r="AD3260" s="3"/>
      <c r="AE3260" s="3"/>
      <c r="AF3260" s="3"/>
      <c r="AG3260" s="3"/>
      <c r="AH3260" s="3"/>
    </row>
    <row r="3261" spans="1:34" ht="14.25" customHeight="1" x14ac:dyDescent="0.25">
      <c r="A3261" s="3"/>
      <c r="B3261" s="3"/>
      <c r="C3261" s="3"/>
      <c r="D3261" s="3"/>
      <c r="E3261" s="3"/>
      <c r="F3261" s="3"/>
      <c r="G3261" s="3"/>
      <c r="H3261" s="11"/>
      <c r="I3261" s="12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14"/>
      <c r="X3261" s="3"/>
      <c r="Y3261" s="14"/>
      <c r="Z3261" s="3"/>
      <c r="AA3261" s="3"/>
      <c r="AB3261" s="3"/>
      <c r="AC3261" s="3"/>
      <c r="AD3261" s="3"/>
      <c r="AE3261" s="3"/>
      <c r="AF3261" s="3"/>
      <c r="AG3261" s="3"/>
      <c r="AH3261" s="3"/>
    </row>
    <row r="3262" spans="1:34" ht="14.25" customHeight="1" x14ac:dyDescent="0.25">
      <c r="A3262" s="3"/>
      <c r="B3262" s="3"/>
      <c r="C3262" s="3"/>
      <c r="D3262" s="3"/>
      <c r="E3262" s="3"/>
      <c r="F3262" s="3"/>
      <c r="G3262" s="3"/>
      <c r="H3262" s="11"/>
      <c r="I3262" s="12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14"/>
      <c r="X3262" s="3"/>
      <c r="Y3262" s="14"/>
      <c r="Z3262" s="3"/>
      <c r="AA3262" s="3"/>
      <c r="AB3262" s="3"/>
      <c r="AC3262" s="3"/>
      <c r="AD3262" s="3"/>
      <c r="AE3262" s="3"/>
      <c r="AF3262" s="3"/>
      <c r="AG3262" s="3"/>
      <c r="AH3262" s="3"/>
    </row>
    <row r="3263" spans="1:34" ht="14.25" customHeight="1" x14ac:dyDescent="0.25">
      <c r="A3263" s="3"/>
      <c r="B3263" s="3"/>
      <c r="C3263" s="3"/>
      <c r="D3263" s="3"/>
      <c r="E3263" s="3"/>
      <c r="F3263" s="3"/>
      <c r="G3263" s="3"/>
      <c r="H3263" s="11"/>
      <c r="I3263" s="12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14"/>
      <c r="X3263" s="3"/>
      <c r="Y3263" s="14"/>
      <c r="Z3263" s="3"/>
      <c r="AA3263" s="3"/>
      <c r="AB3263" s="3"/>
      <c r="AC3263" s="3"/>
      <c r="AD3263" s="3"/>
      <c r="AE3263" s="3"/>
      <c r="AF3263" s="3"/>
      <c r="AG3263" s="3"/>
      <c r="AH3263" s="3"/>
    </row>
    <row r="3264" spans="1:34" ht="14.25" customHeight="1" x14ac:dyDescent="0.25">
      <c r="A3264" s="3"/>
      <c r="B3264" s="3"/>
      <c r="C3264" s="3"/>
      <c r="D3264" s="3"/>
      <c r="E3264" s="3"/>
      <c r="F3264" s="3"/>
      <c r="G3264" s="3"/>
      <c r="H3264" s="11"/>
      <c r="I3264" s="12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14"/>
      <c r="X3264" s="3"/>
      <c r="Y3264" s="14"/>
      <c r="Z3264" s="3"/>
      <c r="AA3264" s="3"/>
      <c r="AB3264" s="3"/>
      <c r="AC3264" s="3"/>
      <c r="AD3264" s="3"/>
      <c r="AE3264" s="3"/>
      <c r="AF3264" s="3"/>
      <c r="AG3264" s="3"/>
      <c r="AH3264" s="3"/>
    </row>
    <row r="3265" spans="1:34" ht="14.25" customHeight="1" x14ac:dyDescent="0.25">
      <c r="A3265" s="3"/>
      <c r="B3265" s="3"/>
      <c r="C3265" s="3"/>
      <c r="D3265" s="3"/>
      <c r="E3265" s="3"/>
      <c r="F3265" s="3"/>
      <c r="G3265" s="3"/>
      <c r="H3265" s="11"/>
      <c r="I3265" s="12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14"/>
      <c r="X3265" s="3"/>
      <c r="Y3265" s="14"/>
      <c r="Z3265" s="3"/>
      <c r="AA3265" s="3"/>
      <c r="AB3265" s="3"/>
      <c r="AC3265" s="3"/>
      <c r="AD3265" s="3"/>
      <c r="AE3265" s="3"/>
      <c r="AF3265" s="3"/>
      <c r="AG3265" s="3"/>
      <c r="AH3265" s="3"/>
    </row>
    <row r="3266" spans="1:34" ht="14.25" customHeight="1" x14ac:dyDescent="0.25">
      <c r="A3266" s="3"/>
      <c r="B3266" s="3"/>
      <c r="C3266" s="3"/>
      <c r="D3266" s="3"/>
      <c r="E3266" s="3"/>
      <c r="F3266" s="3"/>
      <c r="G3266" s="3"/>
      <c r="H3266" s="11"/>
      <c r="I3266" s="12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14"/>
      <c r="X3266" s="3"/>
      <c r="Y3266" s="14"/>
      <c r="Z3266" s="3"/>
      <c r="AA3266" s="3"/>
      <c r="AB3266" s="3"/>
      <c r="AC3266" s="3"/>
      <c r="AD3266" s="3"/>
      <c r="AE3266" s="3"/>
      <c r="AF3266" s="3"/>
      <c r="AG3266" s="3"/>
      <c r="AH3266" s="3"/>
    </row>
    <row r="3267" spans="1:34" ht="14.25" customHeight="1" x14ac:dyDescent="0.25">
      <c r="A3267" s="3"/>
      <c r="B3267" s="3"/>
      <c r="C3267" s="3"/>
      <c r="D3267" s="3"/>
      <c r="E3267" s="3"/>
      <c r="F3267" s="3"/>
      <c r="G3267" s="3"/>
      <c r="H3267" s="11"/>
      <c r="I3267" s="12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14"/>
      <c r="X3267" s="3"/>
      <c r="Y3267" s="14"/>
      <c r="Z3267" s="3"/>
      <c r="AA3267" s="3"/>
      <c r="AB3267" s="3"/>
      <c r="AC3267" s="3"/>
      <c r="AD3267" s="3"/>
      <c r="AE3267" s="3"/>
      <c r="AF3267" s="3"/>
      <c r="AG3267" s="3"/>
      <c r="AH3267" s="3"/>
    </row>
    <row r="3268" spans="1:34" ht="14.25" customHeight="1" x14ac:dyDescent="0.25">
      <c r="A3268" s="3"/>
      <c r="B3268" s="3"/>
      <c r="C3268" s="3"/>
      <c r="D3268" s="3"/>
      <c r="E3268" s="3"/>
      <c r="F3268" s="3"/>
      <c r="G3268" s="3"/>
      <c r="H3268" s="11"/>
      <c r="I3268" s="12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14"/>
      <c r="X3268" s="3"/>
      <c r="Y3268" s="14"/>
      <c r="Z3268" s="3"/>
      <c r="AA3268" s="3"/>
      <c r="AB3268" s="3"/>
      <c r="AC3268" s="3"/>
      <c r="AD3268" s="3"/>
      <c r="AE3268" s="3"/>
      <c r="AF3268" s="3"/>
      <c r="AG3268" s="3"/>
      <c r="AH3268" s="3"/>
    </row>
    <row r="3269" spans="1:34" ht="14.25" customHeight="1" x14ac:dyDescent="0.25">
      <c r="A3269" s="3"/>
      <c r="B3269" s="3"/>
      <c r="C3269" s="3"/>
      <c r="D3269" s="3"/>
      <c r="E3269" s="3"/>
      <c r="F3269" s="3"/>
      <c r="G3269" s="3"/>
      <c r="H3269" s="11"/>
      <c r="I3269" s="12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14"/>
      <c r="X3269" s="3"/>
      <c r="Y3269" s="14"/>
      <c r="Z3269" s="3"/>
      <c r="AA3269" s="3"/>
      <c r="AB3269" s="3"/>
      <c r="AC3269" s="3"/>
      <c r="AD3269" s="3"/>
      <c r="AE3269" s="3"/>
      <c r="AF3269" s="3"/>
      <c r="AG3269" s="3"/>
      <c r="AH3269" s="3"/>
    </row>
    <row r="3270" spans="1:34" ht="14.25" customHeight="1" x14ac:dyDescent="0.25">
      <c r="A3270" s="3"/>
      <c r="B3270" s="3"/>
      <c r="C3270" s="3"/>
      <c r="D3270" s="3"/>
      <c r="E3270" s="3"/>
      <c r="F3270" s="3"/>
      <c r="G3270" s="3"/>
      <c r="H3270" s="11"/>
      <c r="I3270" s="12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14"/>
      <c r="X3270" s="3"/>
      <c r="Y3270" s="14"/>
      <c r="Z3270" s="3"/>
      <c r="AA3270" s="3"/>
      <c r="AB3270" s="3"/>
      <c r="AC3270" s="3"/>
      <c r="AD3270" s="3"/>
      <c r="AE3270" s="3"/>
      <c r="AF3270" s="3"/>
      <c r="AG3270" s="3"/>
      <c r="AH3270" s="3"/>
    </row>
    <row r="3271" spans="1:34" ht="14.25" customHeight="1" x14ac:dyDescent="0.25">
      <c r="A3271" s="3"/>
      <c r="B3271" s="3"/>
      <c r="C3271" s="3"/>
      <c r="D3271" s="3"/>
      <c r="E3271" s="3"/>
      <c r="F3271" s="3"/>
      <c r="G3271" s="3"/>
      <c r="H3271" s="11"/>
      <c r="I3271" s="12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14"/>
      <c r="X3271" s="3"/>
      <c r="Y3271" s="14"/>
      <c r="Z3271" s="3"/>
      <c r="AA3271" s="3"/>
      <c r="AB3271" s="3"/>
      <c r="AC3271" s="3"/>
      <c r="AD3271" s="3"/>
      <c r="AE3271" s="3"/>
      <c r="AF3271" s="3"/>
      <c r="AG3271" s="3"/>
      <c r="AH3271" s="3"/>
    </row>
    <row r="3272" spans="1:34" ht="14.25" customHeight="1" x14ac:dyDescent="0.25">
      <c r="A3272" s="3"/>
      <c r="B3272" s="3"/>
      <c r="C3272" s="3"/>
      <c r="D3272" s="3"/>
      <c r="E3272" s="3"/>
      <c r="F3272" s="3"/>
      <c r="G3272" s="3"/>
      <c r="H3272" s="11"/>
      <c r="I3272" s="12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14"/>
      <c r="X3272" s="3"/>
      <c r="Y3272" s="14"/>
      <c r="Z3272" s="3"/>
      <c r="AA3272" s="3"/>
      <c r="AB3272" s="3"/>
      <c r="AC3272" s="3"/>
      <c r="AD3272" s="3"/>
      <c r="AE3272" s="3"/>
      <c r="AF3272" s="3"/>
      <c r="AG3272" s="3"/>
      <c r="AH3272" s="3"/>
    </row>
    <row r="3273" spans="1:34" ht="14.25" customHeight="1" x14ac:dyDescent="0.25">
      <c r="A3273" s="3"/>
      <c r="B3273" s="3"/>
      <c r="C3273" s="3"/>
      <c r="D3273" s="3"/>
      <c r="E3273" s="3"/>
      <c r="F3273" s="3"/>
      <c r="G3273" s="3"/>
      <c r="H3273" s="11"/>
      <c r="I3273" s="12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14"/>
      <c r="X3273" s="3"/>
      <c r="Y3273" s="14"/>
      <c r="Z3273" s="3"/>
      <c r="AA3273" s="3"/>
      <c r="AB3273" s="3"/>
      <c r="AC3273" s="3"/>
      <c r="AD3273" s="3"/>
      <c r="AE3273" s="3"/>
      <c r="AF3273" s="3"/>
      <c r="AG3273" s="3"/>
      <c r="AH3273" s="3"/>
    </row>
    <row r="3274" spans="1:34" ht="14.25" customHeight="1" x14ac:dyDescent="0.25">
      <c r="A3274" s="3"/>
      <c r="B3274" s="3"/>
      <c r="C3274" s="3"/>
      <c r="D3274" s="3"/>
      <c r="E3274" s="3"/>
      <c r="F3274" s="3"/>
      <c r="G3274" s="3"/>
      <c r="H3274" s="11"/>
      <c r="I3274" s="12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14"/>
      <c r="X3274" s="3"/>
      <c r="Y3274" s="14"/>
      <c r="Z3274" s="3"/>
      <c r="AA3274" s="3"/>
      <c r="AB3274" s="3"/>
      <c r="AC3274" s="3"/>
      <c r="AD3274" s="3"/>
      <c r="AE3274" s="3"/>
      <c r="AF3274" s="3"/>
      <c r="AG3274" s="3"/>
      <c r="AH3274" s="3"/>
    </row>
    <row r="3275" spans="1:34" ht="14.25" customHeight="1" x14ac:dyDescent="0.25">
      <c r="A3275" s="3"/>
      <c r="B3275" s="3"/>
      <c r="C3275" s="3"/>
      <c r="D3275" s="3"/>
      <c r="E3275" s="3"/>
      <c r="F3275" s="3"/>
      <c r="G3275" s="3"/>
      <c r="H3275" s="11"/>
      <c r="I3275" s="12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14"/>
      <c r="X3275" s="3"/>
      <c r="Y3275" s="14"/>
      <c r="Z3275" s="3"/>
      <c r="AA3275" s="3"/>
      <c r="AB3275" s="3"/>
      <c r="AC3275" s="3"/>
      <c r="AD3275" s="3"/>
      <c r="AE3275" s="3"/>
      <c r="AF3275" s="3"/>
      <c r="AG3275" s="3"/>
      <c r="AH3275" s="3"/>
    </row>
    <row r="3276" spans="1:34" ht="14.25" customHeight="1" x14ac:dyDescent="0.25">
      <c r="A3276" s="3"/>
      <c r="B3276" s="3"/>
      <c r="C3276" s="3"/>
      <c r="D3276" s="3"/>
      <c r="E3276" s="3"/>
      <c r="F3276" s="3"/>
      <c r="G3276" s="3"/>
      <c r="H3276" s="11"/>
      <c r="I3276" s="12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14"/>
      <c r="X3276" s="3"/>
      <c r="Y3276" s="14"/>
      <c r="Z3276" s="3"/>
      <c r="AA3276" s="3"/>
      <c r="AB3276" s="3"/>
      <c r="AC3276" s="3"/>
      <c r="AD3276" s="3"/>
      <c r="AE3276" s="3"/>
      <c r="AF3276" s="3"/>
      <c r="AG3276" s="3"/>
      <c r="AH3276" s="3"/>
    </row>
    <row r="3277" spans="1:34" ht="14.25" customHeight="1" x14ac:dyDescent="0.25">
      <c r="A3277" s="3"/>
      <c r="B3277" s="3"/>
      <c r="C3277" s="3"/>
      <c r="D3277" s="3"/>
      <c r="E3277" s="3"/>
      <c r="F3277" s="3"/>
      <c r="G3277" s="3"/>
      <c r="H3277" s="11"/>
      <c r="I3277" s="12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14"/>
      <c r="X3277" s="3"/>
      <c r="Y3277" s="14"/>
      <c r="Z3277" s="3"/>
      <c r="AA3277" s="3"/>
      <c r="AB3277" s="3"/>
      <c r="AC3277" s="3"/>
      <c r="AD3277" s="3"/>
      <c r="AE3277" s="3"/>
      <c r="AF3277" s="3"/>
      <c r="AG3277" s="3"/>
      <c r="AH3277" s="3"/>
    </row>
    <row r="3278" spans="1:34" ht="14.25" customHeight="1" x14ac:dyDescent="0.25">
      <c r="A3278" s="3"/>
      <c r="B3278" s="3"/>
      <c r="C3278" s="3"/>
      <c r="D3278" s="3"/>
      <c r="E3278" s="3"/>
      <c r="F3278" s="3"/>
      <c r="G3278" s="3"/>
      <c r="H3278" s="11"/>
      <c r="I3278" s="12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14"/>
      <c r="X3278" s="3"/>
      <c r="Y3278" s="14"/>
      <c r="Z3278" s="3"/>
      <c r="AA3278" s="3"/>
      <c r="AB3278" s="3"/>
      <c r="AC3278" s="3"/>
      <c r="AD3278" s="3"/>
      <c r="AE3278" s="3"/>
      <c r="AF3278" s="3"/>
      <c r="AG3278" s="3"/>
      <c r="AH3278" s="3"/>
    </row>
    <row r="3279" spans="1:34" ht="14.25" customHeight="1" x14ac:dyDescent="0.25">
      <c r="A3279" s="3"/>
      <c r="B3279" s="3"/>
      <c r="C3279" s="3"/>
      <c r="D3279" s="3"/>
      <c r="E3279" s="3"/>
      <c r="F3279" s="3"/>
      <c r="G3279" s="3"/>
      <c r="H3279" s="11"/>
      <c r="I3279" s="12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14"/>
      <c r="X3279" s="3"/>
      <c r="Y3279" s="14"/>
      <c r="Z3279" s="3"/>
      <c r="AA3279" s="3"/>
      <c r="AB3279" s="3"/>
      <c r="AC3279" s="3"/>
      <c r="AD3279" s="3"/>
      <c r="AE3279" s="3"/>
      <c r="AF3279" s="3"/>
      <c r="AG3279" s="3"/>
      <c r="AH3279" s="3"/>
    </row>
    <row r="3280" spans="1:34" ht="14.25" customHeight="1" x14ac:dyDescent="0.25">
      <c r="A3280" s="3"/>
      <c r="B3280" s="3"/>
      <c r="C3280" s="3"/>
      <c r="D3280" s="3"/>
      <c r="E3280" s="3"/>
      <c r="F3280" s="3"/>
      <c r="G3280" s="3"/>
      <c r="H3280" s="11"/>
      <c r="I3280" s="12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14"/>
      <c r="X3280" s="3"/>
      <c r="Y3280" s="14"/>
      <c r="Z3280" s="3"/>
      <c r="AA3280" s="3"/>
      <c r="AB3280" s="3"/>
      <c r="AC3280" s="3"/>
      <c r="AD3280" s="3"/>
      <c r="AE3280" s="3"/>
      <c r="AF3280" s="3"/>
      <c r="AG3280" s="3"/>
      <c r="AH3280" s="3"/>
    </row>
    <row r="3281" spans="1:34" ht="14.25" customHeight="1" x14ac:dyDescent="0.25">
      <c r="A3281" s="3"/>
      <c r="B3281" s="3"/>
      <c r="C3281" s="3"/>
      <c r="D3281" s="3"/>
      <c r="E3281" s="3"/>
      <c r="F3281" s="3"/>
      <c r="G3281" s="3"/>
      <c r="H3281" s="11"/>
      <c r="I3281" s="12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14"/>
      <c r="X3281" s="3"/>
      <c r="Y3281" s="14"/>
      <c r="Z3281" s="3"/>
      <c r="AA3281" s="3"/>
      <c r="AB3281" s="3"/>
      <c r="AC3281" s="3"/>
      <c r="AD3281" s="3"/>
      <c r="AE3281" s="3"/>
      <c r="AF3281" s="3"/>
      <c r="AG3281" s="3"/>
      <c r="AH3281" s="3"/>
    </row>
    <row r="3282" spans="1:34" ht="14.25" customHeight="1" x14ac:dyDescent="0.25">
      <c r="A3282" s="3"/>
      <c r="B3282" s="3"/>
      <c r="C3282" s="3"/>
      <c r="D3282" s="3"/>
      <c r="E3282" s="3"/>
      <c r="F3282" s="3"/>
      <c r="G3282" s="3"/>
      <c r="H3282" s="11"/>
      <c r="I3282" s="12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14"/>
      <c r="X3282" s="3"/>
      <c r="Y3282" s="14"/>
      <c r="Z3282" s="3"/>
      <c r="AA3282" s="3"/>
      <c r="AB3282" s="3"/>
      <c r="AC3282" s="3"/>
      <c r="AD3282" s="3"/>
      <c r="AE3282" s="3"/>
      <c r="AF3282" s="3"/>
      <c r="AG3282" s="3"/>
      <c r="AH3282" s="3"/>
    </row>
    <row r="3283" spans="1:34" ht="14.25" customHeight="1" x14ac:dyDescent="0.25">
      <c r="A3283" s="3"/>
      <c r="B3283" s="3"/>
      <c r="C3283" s="3"/>
      <c r="D3283" s="3"/>
      <c r="E3283" s="3"/>
      <c r="F3283" s="3"/>
      <c r="G3283" s="3"/>
      <c r="H3283" s="11"/>
      <c r="I3283" s="12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14"/>
      <c r="X3283" s="3"/>
      <c r="Y3283" s="14"/>
      <c r="Z3283" s="3"/>
      <c r="AA3283" s="3"/>
      <c r="AB3283" s="3"/>
      <c r="AC3283" s="3"/>
      <c r="AD3283" s="3"/>
      <c r="AE3283" s="3"/>
      <c r="AF3283" s="3"/>
      <c r="AG3283" s="3"/>
      <c r="AH3283" s="3"/>
    </row>
    <row r="3284" spans="1:34" ht="14.25" customHeight="1" x14ac:dyDescent="0.25">
      <c r="A3284" s="3"/>
      <c r="B3284" s="3"/>
      <c r="C3284" s="3"/>
      <c r="D3284" s="3"/>
      <c r="E3284" s="3"/>
      <c r="F3284" s="3"/>
      <c r="G3284" s="3"/>
      <c r="H3284" s="11"/>
      <c r="I3284" s="12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14"/>
      <c r="X3284" s="3"/>
      <c r="Y3284" s="14"/>
      <c r="Z3284" s="3"/>
      <c r="AA3284" s="3"/>
      <c r="AB3284" s="3"/>
      <c r="AC3284" s="3"/>
      <c r="AD3284" s="3"/>
      <c r="AE3284" s="3"/>
      <c r="AF3284" s="3"/>
      <c r="AG3284" s="3"/>
      <c r="AH3284" s="3"/>
    </row>
    <row r="3285" spans="1:34" ht="14.25" customHeight="1" x14ac:dyDescent="0.25">
      <c r="A3285" s="3"/>
      <c r="B3285" s="3"/>
      <c r="C3285" s="3"/>
      <c r="D3285" s="3"/>
      <c r="E3285" s="3"/>
      <c r="F3285" s="3"/>
      <c r="G3285" s="3"/>
      <c r="H3285" s="11"/>
      <c r="I3285" s="12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14"/>
      <c r="X3285" s="3"/>
      <c r="Y3285" s="14"/>
      <c r="Z3285" s="3"/>
      <c r="AA3285" s="3"/>
      <c r="AB3285" s="3"/>
      <c r="AC3285" s="3"/>
      <c r="AD3285" s="3"/>
      <c r="AE3285" s="3"/>
      <c r="AF3285" s="3"/>
      <c r="AG3285" s="3"/>
      <c r="AH3285" s="3"/>
    </row>
    <row r="3286" spans="1:34" ht="14.25" customHeight="1" x14ac:dyDescent="0.25">
      <c r="A3286" s="3"/>
      <c r="B3286" s="3"/>
      <c r="C3286" s="3"/>
      <c r="D3286" s="3"/>
      <c r="E3286" s="3"/>
      <c r="F3286" s="3"/>
      <c r="G3286" s="3"/>
      <c r="H3286" s="11"/>
      <c r="I3286" s="12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14"/>
      <c r="X3286" s="3"/>
      <c r="Y3286" s="14"/>
      <c r="Z3286" s="3"/>
      <c r="AA3286" s="3"/>
      <c r="AB3286" s="3"/>
      <c r="AC3286" s="3"/>
      <c r="AD3286" s="3"/>
      <c r="AE3286" s="3"/>
      <c r="AF3286" s="3"/>
      <c r="AG3286" s="3"/>
      <c r="AH3286" s="3"/>
    </row>
    <row r="3287" spans="1:34" ht="14.25" customHeight="1" x14ac:dyDescent="0.25">
      <c r="A3287" s="3"/>
      <c r="B3287" s="3"/>
      <c r="C3287" s="3"/>
      <c r="D3287" s="3"/>
      <c r="E3287" s="3"/>
      <c r="F3287" s="3"/>
      <c r="G3287" s="3"/>
      <c r="H3287" s="11"/>
      <c r="I3287" s="12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14"/>
      <c r="X3287" s="3"/>
      <c r="Y3287" s="14"/>
      <c r="Z3287" s="3"/>
      <c r="AA3287" s="3"/>
      <c r="AB3287" s="3"/>
      <c r="AC3287" s="3"/>
      <c r="AD3287" s="3"/>
      <c r="AE3287" s="3"/>
      <c r="AF3287" s="3"/>
      <c r="AG3287" s="3"/>
      <c r="AH3287" s="3"/>
    </row>
    <row r="3288" spans="1:34" ht="14.25" customHeight="1" x14ac:dyDescent="0.25">
      <c r="A3288" s="3"/>
      <c r="B3288" s="3"/>
      <c r="C3288" s="3"/>
      <c r="D3288" s="3"/>
      <c r="E3288" s="3"/>
      <c r="F3288" s="3"/>
      <c r="G3288" s="3"/>
      <c r="H3288" s="11"/>
      <c r="I3288" s="12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14"/>
      <c r="X3288" s="3"/>
      <c r="Y3288" s="14"/>
      <c r="Z3288" s="3"/>
      <c r="AA3288" s="3"/>
      <c r="AB3288" s="3"/>
      <c r="AC3288" s="3"/>
      <c r="AD3288" s="3"/>
      <c r="AE3288" s="3"/>
      <c r="AF3288" s="3"/>
      <c r="AG3288" s="3"/>
      <c r="AH3288" s="3"/>
    </row>
    <row r="3289" spans="1:34" ht="14.25" customHeight="1" x14ac:dyDescent="0.25">
      <c r="A3289" s="3"/>
      <c r="B3289" s="3"/>
      <c r="C3289" s="3"/>
      <c r="D3289" s="3"/>
      <c r="E3289" s="3"/>
      <c r="F3289" s="3"/>
      <c r="G3289" s="3"/>
      <c r="H3289" s="11"/>
      <c r="I3289" s="12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14"/>
      <c r="X3289" s="3"/>
      <c r="Y3289" s="14"/>
      <c r="Z3289" s="3"/>
      <c r="AA3289" s="3"/>
      <c r="AB3289" s="3"/>
      <c r="AC3289" s="3"/>
      <c r="AD3289" s="3"/>
      <c r="AE3289" s="3"/>
      <c r="AF3289" s="3"/>
      <c r="AG3289" s="3"/>
      <c r="AH3289" s="3"/>
    </row>
    <row r="3290" spans="1:34" ht="14.25" customHeight="1" x14ac:dyDescent="0.25">
      <c r="A3290" s="3"/>
      <c r="B3290" s="3"/>
      <c r="C3290" s="3"/>
      <c r="D3290" s="3"/>
      <c r="E3290" s="3"/>
      <c r="F3290" s="3"/>
      <c r="G3290" s="3"/>
      <c r="H3290" s="11"/>
      <c r="I3290" s="12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14"/>
      <c r="X3290" s="3"/>
      <c r="Y3290" s="14"/>
      <c r="Z3290" s="3"/>
      <c r="AA3290" s="3"/>
      <c r="AB3290" s="3"/>
      <c r="AC3290" s="3"/>
      <c r="AD3290" s="3"/>
      <c r="AE3290" s="3"/>
      <c r="AF3290" s="3"/>
      <c r="AG3290" s="3"/>
      <c r="AH3290" s="3"/>
    </row>
    <row r="3291" spans="1:34" ht="14.25" customHeight="1" x14ac:dyDescent="0.25">
      <c r="A3291" s="3"/>
      <c r="B3291" s="3"/>
      <c r="C3291" s="3"/>
      <c r="D3291" s="3"/>
      <c r="E3291" s="3"/>
      <c r="F3291" s="3"/>
      <c r="G3291" s="3"/>
      <c r="H3291" s="11"/>
      <c r="I3291" s="12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14"/>
      <c r="X3291" s="3"/>
      <c r="Y3291" s="14"/>
      <c r="Z3291" s="3"/>
      <c r="AA3291" s="3"/>
      <c r="AB3291" s="3"/>
      <c r="AC3291" s="3"/>
      <c r="AD3291" s="3"/>
      <c r="AE3291" s="3"/>
      <c r="AF3291" s="3"/>
      <c r="AG3291" s="3"/>
      <c r="AH3291" s="3"/>
    </row>
    <row r="3292" spans="1:34" ht="14.25" customHeight="1" x14ac:dyDescent="0.25">
      <c r="A3292" s="3"/>
      <c r="B3292" s="3"/>
      <c r="C3292" s="3"/>
      <c r="D3292" s="3"/>
      <c r="E3292" s="3"/>
      <c r="F3292" s="3"/>
      <c r="G3292" s="3"/>
      <c r="H3292" s="11"/>
      <c r="I3292" s="12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14"/>
      <c r="X3292" s="3"/>
      <c r="Y3292" s="14"/>
      <c r="Z3292" s="3"/>
      <c r="AA3292" s="3"/>
      <c r="AB3292" s="3"/>
      <c r="AC3292" s="3"/>
      <c r="AD3292" s="3"/>
      <c r="AE3292" s="3"/>
      <c r="AF3292" s="3"/>
      <c r="AG3292" s="3"/>
      <c r="AH3292" s="3"/>
    </row>
    <row r="3293" spans="1:34" ht="14.25" customHeight="1" x14ac:dyDescent="0.25">
      <c r="A3293" s="3"/>
      <c r="B3293" s="3"/>
      <c r="C3293" s="3"/>
      <c r="D3293" s="3"/>
      <c r="E3293" s="3"/>
      <c r="F3293" s="3"/>
      <c r="G3293" s="3"/>
      <c r="H3293" s="11"/>
      <c r="I3293" s="12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14"/>
      <c r="X3293" s="3"/>
      <c r="Y3293" s="14"/>
      <c r="Z3293" s="3"/>
      <c r="AA3293" s="3"/>
      <c r="AB3293" s="3"/>
      <c r="AC3293" s="3"/>
      <c r="AD3293" s="3"/>
      <c r="AE3293" s="3"/>
      <c r="AF3293" s="3"/>
      <c r="AG3293" s="3"/>
      <c r="AH3293" s="3"/>
    </row>
    <row r="3294" spans="1:34" ht="14.25" customHeight="1" x14ac:dyDescent="0.25">
      <c r="A3294" s="3"/>
      <c r="B3294" s="3"/>
      <c r="C3294" s="3"/>
      <c r="D3294" s="3"/>
      <c r="E3294" s="3"/>
      <c r="F3294" s="3"/>
      <c r="G3294" s="3"/>
      <c r="H3294" s="11"/>
      <c r="I3294" s="12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14"/>
      <c r="X3294" s="3"/>
      <c r="Y3294" s="14"/>
      <c r="Z3294" s="3"/>
      <c r="AA3294" s="3"/>
      <c r="AB3294" s="3"/>
      <c r="AC3294" s="3"/>
      <c r="AD3294" s="3"/>
      <c r="AE3294" s="3"/>
      <c r="AF3294" s="3"/>
      <c r="AG3294" s="3"/>
      <c r="AH3294" s="3"/>
    </row>
    <row r="3295" spans="1:34" ht="14.25" customHeight="1" x14ac:dyDescent="0.25">
      <c r="A3295" s="3"/>
      <c r="B3295" s="3"/>
      <c r="C3295" s="3"/>
      <c r="D3295" s="3"/>
      <c r="E3295" s="3"/>
      <c r="F3295" s="3"/>
      <c r="G3295" s="3"/>
      <c r="H3295" s="11"/>
      <c r="I3295" s="12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14"/>
      <c r="X3295" s="3"/>
      <c r="Y3295" s="14"/>
      <c r="Z3295" s="3"/>
      <c r="AA3295" s="3"/>
      <c r="AB3295" s="3"/>
      <c r="AC3295" s="3"/>
      <c r="AD3295" s="3"/>
      <c r="AE3295" s="3"/>
      <c r="AF3295" s="3"/>
      <c r="AG3295" s="3"/>
      <c r="AH3295" s="3"/>
    </row>
    <row r="3296" spans="1:34" ht="14.25" customHeight="1" x14ac:dyDescent="0.25">
      <c r="A3296" s="3"/>
      <c r="B3296" s="3"/>
      <c r="C3296" s="3"/>
      <c r="D3296" s="3"/>
      <c r="E3296" s="3"/>
      <c r="F3296" s="3"/>
      <c r="G3296" s="3"/>
      <c r="H3296" s="11"/>
      <c r="I3296" s="12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14"/>
      <c r="X3296" s="3"/>
      <c r="Y3296" s="14"/>
      <c r="Z3296" s="3"/>
      <c r="AA3296" s="3"/>
      <c r="AB3296" s="3"/>
      <c r="AC3296" s="3"/>
      <c r="AD3296" s="3"/>
      <c r="AE3296" s="3"/>
      <c r="AF3296" s="3"/>
      <c r="AG3296" s="3"/>
      <c r="AH3296" s="3"/>
    </row>
    <row r="3297" spans="1:34" ht="14.25" customHeight="1" x14ac:dyDescent="0.25">
      <c r="A3297" s="3"/>
      <c r="B3297" s="3"/>
      <c r="C3297" s="3"/>
      <c r="D3297" s="3"/>
      <c r="E3297" s="3"/>
      <c r="F3297" s="3"/>
      <c r="G3297" s="3"/>
      <c r="H3297" s="11"/>
      <c r="I3297" s="12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14"/>
      <c r="X3297" s="3"/>
      <c r="Y3297" s="14"/>
      <c r="Z3297" s="3"/>
      <c r="AA3297" s="3"/>
      <c r="AB3297" s="3"/>
      <c r="AC3297" s="3"/>
      <c r="AD3297" s="3"/>
      <c r="AE3297" s="3"/>
      <c r="AF3297" s="3"/>
      <c r="AG3297" s="3"/>
      <c r="AH3297" s="3"/>
    </row>
    <row r="3298" spans="1:34" ht="14.25" customHeight="1" x14ac:dyDescent="0.25">
      <c r="A3298" s="3"/>
      <c r="B3298" s="3"/>
      <c r="C3298" s="3"/>
      <c r="D3298" s="3"/>
      <c r="E3298" s="3"/>
      <c r="F3298" s="3"/>
      <c r="G3298" s="3"/>
      <c r="H3298" s="11"/>
      <c r="I3298" s="12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14"/>
      <c r="X3298" s="3"/>
      <c r="Y3298" s="14"/>
      <c r="Z3298" s="3"/>
      <c r="AA3298" s="3"/>
      <c r="AB3298" s="3"/>
      <c r="AC3298" s="3"/>
      <c r="AD3298" s="3"/>
      <c r="AE3298" s="3"/>
      <c r="AF3298" s="3"/>
      <c r="AG3298" s="3"/>
      <c r="AH3298" s="3"/>
    </row>
    <row r="3299" spans="1:34" ht="14.25" customHeight="1" x14ac:dyDescent="0.25">
      <c r="A3299" s="3"/>
      <c r="B3299" s="3"/>
      <c r="C3299" s="3"/>
      <c r="D3299" s="3"/>
      <c r="E3299" s="3"/>
      <c r="F3299" s="3"/>
      <c r="G3299" s="3"/>
      <c r="H3299" s="11"/>
      <c r="I3299" s="12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14"/>
      <c r="X3299" s="3"/>
      <c r="Y3299" s="14"/>
      <c r="Z3299" s="3"/>
      <c r="AA3299" s="3"/>
      <c r="AB3299" s="3"/>
      <c r="AC3299" s="3"/>
      <c r="AD3299" s="3"/>
      <c r="AE3299" s="3"/>
      <c r="AF3299" s="3"/>
      <c r="AG3299" s="3"/>
      <c r="AH3299" s="3"/>
    </row>
    <row r="3300" spans="1:34" ht="14.25" customHeight="1" x14ac:dyDescent="0.25">
      <c r="A3300" s="3"/>
      <c r="B3300" s="3"/>
      <c r="C3300" s="3"/>
      <c r="D3300" s="3"/>
      <c r="E3300" s="3"/>
      <c r="F3300" s="3"/>
      <c r="G3300" s="3"/>
      <c r="H3300" s="11"/>
      <c r="I3300" s="12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14"/>
      <c r="X3300" s="3"/>
      <c r="Y3300" s="14"/>
      <c r="Z3300" s="3"/>
      <c r="AA3300" s="3"/>
      <c r="AB3300" s="3"/>
      <c r="AC3300" s="3"/>
      <c r="AD3300" s="3"/>
      <c r="AE3300" s="3"/>
      <c r="AF3300" s="3"/>
      <c r="AG3300" s="3"/>
      <c r="AH3300" s="3"/>
    </row>
    <row r="3301" spans="1:34" ht="14.25" customHeight="1" x14ac:dyDescent="0.25">
      <c r="A3301" s="3"/>
      <c r="B3301" s="3"/>
      <c r="C3301" s="3"/>
      <c r="D3301" s="3"/>
      <c r="E3301" s="3"/>
      <c r="F3301" s="3"/>
      <c r="G3301" s="3"/>
      <c r="H3301" s="11"/>
      <c r="I3301" s="12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14"/>
      <c r="X3301" s="3"/>
      <c r="Y3301" s="14"/>
      <c r="Z3301" s="3"/>
      <c r="AA3301" s="3"/>
      <c r="AB3301" s="3"/>
      <c r="AC3301" s="3"/>
      <c r="AD3301" s="3"/>
      <c r="AE3301" s="3"/>
      <c r="AF3301" s="3"/>
      <c r="AG3301" s="3"/>
      <c r="AH3301" s="3"/>
    </row>
    <row r="3302" spans="1:34" ht="14.25" customHeight="1" x14ac:dyDescent="0.25">
      <c r="A3302" s="3"/>
      <c r="B3302" s="3"/>
      <c r="C3302" s="3"/>
      <c r="D3302" s="3"/>
      <c r="E3302" s="3"/>
      <c r="F3302" s="3"/>
      <c r="G3302" s="3"/>
      <c r="H3302" s="11"/>
      <c r="I3302" s="12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14"/>
      <c r="X3302" s="3"/>
      <c r="Y3302" s="14"/>
      <c r="Z3302" s="3"/>
      <c r="AA3302" s="3"/>
      <c r="AB3302" s="3"/>
      <c r="AC3302" s="3"/>
      <c r="AD3302" s="3"/>
      <c r="AE3302" s="3"/>
      <c r="AF3302" s="3"/>
      <c r="AG3302" s="3"/>
      <c r="AH3302" s="3"/>
    </row>
    <row r="3303" spans="1:34" ht="14.25" customHeight="1" x14ac:dyDescent="0.25">
      <c r="A3303" s="3"/>
      <c r="B3303" s="3"/>
      <c r="C3303" s="3"/>
      <c r="D3303" s="3"/>
      <c r="E3303" s="3"/>
      <c r="F3303" s="3"/>
      <c r="G3303" s="3"/>
      <c r="H3303" s="11"/>
      <c r="I3303" s="12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14"/>
      <c r="X3303" s="3"/>
      <c r="Y3303" s="14"/>
      <c r="Z3303" s="3"/>
      <c r="AA3303" s="3"/>
      <c r="AB3303" s="3"/>
      <c r="AC3303" s="3"/>
      <c r="AD3303" s="3"/>
      <c r="AE3303" s="3"/>
      <c r="AF3303" s="3"/>
      <c r="AG3303" s="3"/>
      <c r="AH3303" s="3"/>
    </row>
    <row r="3304" spans="1:34" ht="14.25" customHeight="1" x14ac:dyDescent="0.25">
      <c r="A3304" s="3"/>
      <c r="B3304" s="3"/>
      <c r="C3304" s="3"/>
      <c r="D3304" s="3"/>
      <c r="E3304" s="3"/>
      <c r="F3304" s="3"/>
      <c r="G3304" s="3"/>
      <c r="H3304" s="11"/>
      <c r="I3304" s="12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14"/>
      <c r="X3304" s="3"/>
      <c r="Y3304" s="14"/>
      <c r="Z3304" s="3"/>
      <c r="AA3304" s="3"/>
      <c r="AB3304" s="3"/>
      <c r="AC3304" s="3"/>
      <c r="AD3304" s="3"/>
      <c r="AE3304" s="3"/>
      <c r="AF3304" s="3"/>
      <c r="AG3304" s="3"/>
      <c r="AH3304" s="3"/>
    </row>
    <row r="3305" spans="1:34" ht="14.25" customHeight="1" x14ac:dyDescent="0.25">
      <c r="A3305" s="3"/>
      <c r="B3305" s="3"/>
      <c r="C3305" s="3"/>
      <c r="D3305" s="3"/>
      <c r="E3305" s="3"/>
      <c r="F3305" s="3"/>
      <c r="G3305" s="3"/>
      <c r="H3305" s="11"/>
      <c r="I3305" s="12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14"/>
      <c r="X3305" s="3"/>
      <c r="Y3305" s="14"/>
      <c r="Z3305" s="3"/>
      <c r="AA3305" s="3"/>
      <c r="AB3305" s="3"/>
      <c r="AC3305" s="3"/>
      <c r="AD3305" s="3"/>
      <c r="AE3305" s="3"/>
      <c r="AF3305" s="3"/>
      <c r="AG3305" s="3"/>
      <c r="AH3305" s="3"/>
    </row>
    <row r="3306" spans="1:34" ht="14.25" customHeight="1" x14ac:dyDescent="0.25">
      <c r="A3306" s="3"/>
      <c r="B3306" s="3"/>
      <c r="C3306" s="3"/>
      <c r="D3306" s="3"/>
      <c r="E3306" s="3"/>
      <c r="F3306" s="3"/>
      <c r="G3306" s="3"/>
      <c r="H3306" s="11"/>
      <c r="I3306" s="12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14"/>
      <c r="X3306" s="3"/>
      <c r="Y3306" s="14"/>
      <c r="Z3306" s="3"/>
      <c r="AA3306" s="3"/>
      <c r="AB3306" s="3"/>
      <c r="AC3306" s="3"/>
      <c r="AD3306" s="3"/>
      <c r="AE3306" s="3"/>
      <c r="AF3306" s="3"/>
      <c r="AG3306" s="3"/>
      <c r="AH3306" s="3"/>
    </row>
    <row r="3307" spans="1:34" ht="14.25" customHeight="1" x14ac:dyDescent="0.25">
      <c r="A3307" s="3"/>
      <c r="B3307" s="3"/>
      <c r="C3307" s="3"/>
      <c r="D3307" s="3"/>
      <c r="E3307" s="3"/>
      <c r="F3307" s="3"/>
      <c r="G3307" s="3"/>
      <c r="H3307" s="11"/>
      <c r="I3307" s="12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14"/>
      <c r="X3307" s="3"/>
      <c r="Y3307" s="14"/>
      <c r="Z3307" s="3"/>
      <c r="AA3307" s="3"/>
      <c r="AB3307" s="3"/>
      <c r="AC3307" s="3"/>
      <c r="AD3307" s="3"/>
      <c r="AE3307" s="3"/>
      <c r="AF3307" s="3"/>
      <c r="AG3307" s="3"/>
      <c r="AH3307" s="3"/>
    </row>
    <row r="3308" spans="1:34" ht="14.25" customHeight="1" x14ac:dyDescent="0.25">
      <c r="A3308" s="3"/>
      <c r="B3308" s="3"/>
      <c r="C3308" s="3"/>
      <c r="D3308" s="3"/>
      <c r="E3308" s="3"/>
      <c r="F3308" s="3"/>
      <c r="G3308" s="3"/>
      <c r="H3308" s="11"/>
      <c r="I3308" s="12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14"/>
      <c r="X3308" s="3"/>
      <c r="Y3308" s="14"/>
      <c r="Z3308" s="3"/>
      <c r="AA3308" s="3"/>
      <c r="AB3308" s="3"/>
      <c r="AC3308" s="3"/>
      <c r="AD3308" s="3"/>
      <c r="AE3308" s="3"/>
      <c r="AF3308" s="3"/>
      <c r="AG3308" s="3"/>
      <c r="AH3308" s="3"/>
    </row>
    <row r="3309" spans="1:34" ht="14.25" customHeight="1" x14ac:dyDescent="0.25">
      <c r="A3309" s="3"/>
      <c r="B3309" s="3"/>
      <c r="C3309" s="3"/>
      <c r="D3309" s="3"/>
      <c r="E3309" s="3"/>
      <c r="F3309" s="3"/>
      <c r="G3309" s="3"/>
      <c r="H3309" s="11"/>
      <c r="I3309" s="12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14"/>
      <c r="X3309" s="3"/>
      <c r="Y3309" s="14"/>
      <c r="Z3309" s="3"/>
      <c r="AA3309" s="3"/>
      <c r="AB3309" s="3"/>
      <c r="AC3309" s="3"/>
      <c r="AD3309" s="3"/>
      <c r="AE3309" s="3"/>
      <c r="AF3309" s="3"/>
      <c r="AG3309" s="3"/>
      <c r="AH3309" s="3"/>
    </row>
    <row r="3310" spans="1:34" ht="14.25" customHeight="1" x14ac:dyDescent="0.25">
      <c r="A3310" s="3"/>
      <c r="B3310" s="3"/>
      <c r="C3310" s="3"/>
      <c r="D3310" s="3"/>
      <c r="E3310" s="3"/>
      <c r="F3310" s="3"/>
      <c r="G3310" s="3"/>
      <c r="H3310" s="11"/>
      <c r="I3310" s="12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14"/>
      <c r="X3310" s="3"/>
      <c r="Y3310" s="14"/>
      <c r="Z3310" s="3"/>
      <c r="AA3310" s="3"/>
      <c r="AB3310" s="3"/>
      <c r="AC3310" s="3"/>
      <c r="AD3310" s="3"/>
      <c r="AE3310" s="3"/>
      <c r="AF3310" s="3"/>
      <c r="AG3310" s="3"/>
      <c r="AH3310" s="3"/>
    </row>
    <row r="3311" spans="1:34" ht="14.25" customHeight="1" x14ac:dyDescent="0.25">
      <c r="A3311" s="3"/>
      <c r="B3311" s="3"/>
      <c r="C3311" s="3"/>
      <c r="D3311" s="3"/>
      <c r="E3311" s="3"/>
      <c r="F3311" s="3"/>
      <c r="G3311" s="3"/>
      <c r="H3311" s="11"/>
      <c r="I3311" s="12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14"/>
      <c r="X3311" s="3"/>
      <c r="Y3311" s="14"/>
      <c r="Z3311" s="3"/>
      <c r="AA3311" s="3"/>
      <c r="AB3311" s="3"/>
      <c r="AC3311" s="3"/>
      <c r="AD3311" s="3"/>
      <c r="AE3311" s="3"/>
      <c r="AF3311" s="3"/>
      <c r="AG3311" s="3"/>
      <c r="AH3311" s="3"/>
    </row>
    <row r="3312" spans="1:34" ht="14.25" customHeight="1" x14ac:dyDescent="0.25">
      <c r="A3312" s="3"/>
      <c r="B3312" s="3"/>
      <c r="C3312" s="3"/>
      <c r="D3312" s="3"/>
      <c r="E3312" s="3"/>
      <c r="F3312" s="3"/>
      <c r="G3312" s="3"/>
      <c r="H3312" s="11"/>
      <c r="I3312" s="12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14"/>
      <c r="X3312" s="3"/>
      <c r="Y3312" s="14"/>
      <c r="Z3312" s="3"/>
      <c r="AA3312" s="3"/>
      <c r="AB3312" s="3"/>
      <c r="AC3312" s="3"/>
      <c r="AD3312" s="3"/>
      <c r="AE3312" s="3"/>
      <c r="AF3312" s="3"/>
      <c r="AG3312" s="3"/>
      <c r="AH3312" s="3"/>
    </row>
    <row r="3313" spans="1:34" ht="14.25" customHeight="1" x14ac:dyDescent="0.25">
      <c r="A3313" s="3"/>
      <c r="B3313" s="3"/>
      <c r="C3313" s="3"/>
      <c r="D3313" s="3"/>
      <c r="E3313" s="3"/>
      <c r="F3313" s="3"/>
      <c r="G3313" s="3"/>
      <c r="H3313" s="11"/>
      <c r="I3313" s="12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14"/>
      <c r="X3313" s="3"/>
      <c r="Y3313" s="14"/>
      <c r="Z3313" s="3"/>
      <c r="AA3313" s="3"/>
      <c r="AB3313" s="3"/>
      <c r="AC3313" s="3"/>
      <c r="AD3313" s="3"/>
      <c r="AE3313" s="3"/>
      <c r="AF3313" s="3"/>
      <c r="AG3313" s="3"/>
      <c r="AH3313" s="3"/>
    </row>
    <row r="3314" spans="1:34" ht="14.25" customHeight="1" x14ac:dyDescent="0.25">
      <c r="A3314" s="3"/>
      <c r="B3314" s="3"/>
      <c r="C3314" s="3"/>
      <c r="D3314" s="3"/>
      <c r="E3314" s="3"/>
      <c r="F3314" s="3"/>
      <c r="G3314" s="3"/>
      <c r="H3314" s="11"/>
      <c r="I3314" s="12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14"/>
      <c r="X3314" s="3"/>
      <c r="Y3314" s="14"/>
      <c r="Z3314" s="3"/>
      <c r="AA3314" s="3"/>
      <c r="AB3314" s="3"/>
      <c r="AC3314" s="3"/>
      <c r="AD3314" s="3"/>
      <c r="AE3314" s="3"/>
      <c r="AF3314" s="3"/>
      <c r="AG3314" s="3"/>
      <c r="AH3314" s="3"/>
    </row>
    <row r="3315" spans="1:34" ht="14.25" customHeight="1" x14ac:dyDescent="0.25">
      <c r="A3315" s="3"/>
      <c r="B3315" s="3"/>
      <c r="C3315" s="3"/>
      <c r="D3315" s="3"/>
      <c r="E3315" s="3"/>
      <c r="F3315" s="3"/>
      <c r="G3315" s="3"/>
      <c r="H3315" s="11"/>
      <c r="I3315" s="12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14"/>
      <c r="X3315" s="3"/>
      <c r="Y3315" s="14"/>
      <c r="Z3315" s="3"/>
      <c r="AA3315" s="3"/>
      <c r="AB3315" s="3"/>
      <c r="AC3315" s="3"/>
      <c r="AD3315" s="3"/>
      <c r="AE3315" s="3"/>
      <c r="AF3315" s="3"/>
      <c r="AG3315" s="3"/>
      <c r="AH3315" s="3"/>
    </row>
    <row r="3316" spans="1:34" ht="14.25" customHeight="1" x14ac:dyDescent="0.25">
      <c r="A3316" s="3"/>
      <c r="B3316" s="3"/>
      <c r="C3316" s="3"/>
      <c r="D3316" s="3"/>
      <c r="E3316" s="3"/>
      <c r="F3316" s="3"/>
      <c r="G3316" s="3"/>
      <c r="H3316" s="11"/>
      <c r="I3316" s="12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14"/>
      <c r="X3316" s="3"/>
      <c r="Y3316" s="14"/>
      <c r="Z3316" s="3"/>
      <c r="AA3316" s="3"/>
      <c r="AB3316" s="3"/>
      <c r="AC3316" s="3"/>
      <c r="AD3316" s="3"/>
      <c r="AE3316" s="3"/>
      <c r="AF3316" s="3"/>
      <c r="AG3316" s="3"/>
      <c r="AH3316" s="3"/>
    </row>
    <row r="3317" spans="1:34" ht="14.25" customHeight="1" x14ac:dyDescent="0.25">
      <c r="A3317" s="3"/>
      <c r="B3317" s="3"/>
      <c r="C3317" s="3"/>
      <c r="D3317" s="3"/>
      <c r="E3317" s="3"/>
      <c r="F3317" s="3"/>
      <c r="G3317" s="3"/>
      <c r="H3317" s="11"/>
      <c r="I3317" s="12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14"/>
      <c r="X3317" s="3"/>
      <c r="Y3317" s="14"/>
      <c r="Z3317" s="3"/>
      <c r="AA3317" s="3"/>
      <c r="AB3317" s="3"/>
      <c r="AC3317" s="3"/>
      <c r="AD3317" s="3"/>
      <c r="AE3317" s="3"/>
      <c r="AF3317" s="3"/>
      <c r="AG3317" s="3"/>
      <c r="AH3317" s="3"/>
    </row>
    <row r="3318" spans="1:34" ht="14.25" customHeight="1" x14ac:dyDescent="0.25">
      <c r="A3318" s="3"/>
      <c r="B3318" s="3"/>
      <c r="C3318" s="3"/>
      <c r="D3318" s="3"/>
      <c r="E3318" s="3"/>
      <c r="F3318" s="3"/>
      <c r="G3318" s="3"/>
      <c r="H3318" s="11"/>
      <c r="I3318" s="12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14"/>
      <c r="X3318" s="3"/>
      <c r="Y3318" s="14"/>
      <c r="Z3318" s="3"/>
      <c r="AA3318" s="3"/>
      <c r="AB3318" s="3"/>
      <c r="AC3318" s="3"/>
      <c r="AD3318" s="3"/>
      <c r="AE3318" s="3"/>
      <c r="AF3318" s="3"/>
      <c r="AG3318" s="3"/>
      <c r="AH3318" s="3"/>
    </row>
    <row r="3319" spans="1:34" ht="14.25" customHeight="1" x14ac:dyDescent="0.25">
      <c r="A3319" s="3"/>
      <c r="B3319" s="3"/>
      <c r="C3319" s="3"/>
      <c r="D3319" s="3"/>
      <c r="E3319" s="3"/>
      <c r="F3319" s="3"/>
      <c r="G3319" s="3"/>
      <c r="H3319" s="11"/>
      <c r="I3319" s="12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14"/>
      <c r="X3319" s="3"/>
      <c r="Y3319" s="14"/>
      <c r="Z3319" s="3"/>
      <c r="AA3319" s="3"/>
      <c r="AB3319" s="3"/>
      <c r="AC3319" s="3"/>
      <c r="AD3319" s="3"/>
      <c r="AE3319" s="3"/>
      <c r="AF3319" s="3"/>
      <c r="AG3319" s="3"/>
      <c r="AH3319" s="3"/>
    </row>
    <row r="3320" spans="1:34" ht="14.25" customHeight="1" x14ac:dyDescent="0.25">
      <c r="A3320" s="3"/>
      <c r="B3320" s="3"/>
      <c r="C3320" s="3"/>
      <c r="D3320" s="3"/>
      <c r="E3320" s="3"/>
      <c r="F3320" s="3"/>
      <c r="G3320" s="3"/>
      <c r="H3320" s="11"/>
      <c r="I3320" s="12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14"/>
      <c r="X3320" s="3"/>
      <c r="Y3320" s="14"/>
      <c r="Z3320" s="3"/>
      <c r="AA3320" s="3"/>
      <c r="AB3320" s="3"/>
      <c r="AC3320" s="3"/>
      <c r="AD3320" s="3"/>
      <c r="AE3320" s="3"/>
      <c r="AF3320" s="3"/>
      <c r="AG3320" s="3"/>
      <c r="AH3320" s="3"/>
    </row>
    <row r="3321" spans="1:34" ht="14.25" customHeight="1" x14ac:dyDescent="0.25">
      <c r="A3321" s="3"/>
      <c r="B3321" s="3"/>
      <c r="C3321" s="3"/>
      <c r="D3321" s="3"/>
      <c r="E3321" s="3"/>
      <c r="F3321" s="3"/>
      <c r="G3321" s="3"/>
      <c r="H3321" s="11"/>
      <c r="I3321" s="12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14"/>
      <c r="X3321" s="3"/>
      <c r="Y3321" s="14"/>
      <c r="Z3321" s="3"/>
      <c r="AA3321" s="3"/>
      <c r="AB3321" s="3"/>
      <c r="AC3321" s="3"/>
      <c r="AD3321" s="3"/>
      <c r="AE3321" s="3"/>
      <c r="AF3321" s="3"/>
      <c r="AG3321" s="3"/>
      <c r="AH3321" s="3"/>
    </row>
    <row r="3322" spans="1:34" ht="14.25" customHeight="1" x14ac:dyDescent="0.25">
      <c r="A3322" s="3"/>
      <c r="B3322" s="3"/>
      <c r="C3322" s="3"/>
      <c r="D3322" s="3"/>
      <c r="E3322" s="3"/>
      <c r="F3322" s="3"/>
      <c r="G3322" s="3"/>
      <c r="H3322" s="11"/>
      <c r="I3322" s="12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14"/>
      <c r="X3322" s="3"/>
      <c r="Y3322" s="14"/>
      <c r="Z3322" s="3"/>
      <c r="AA3322" s="3"/>
      <c r="AB3322" s="3"/>
      <c r="AC3322" s="3"/>
      <c r="AD3322" s="3"/>
      <c r="AE3322" s="3"/>
      <c r="AF3322" s="3"/>
      <c r="AG3322" s="3"/>
      <c r="AH3322" s="3"/>
    </row>
    <row r="3323" spans="1:34" ht="14.25" customHeight="1" x14ac:dyDescent="0.25">
      <c r="A3323" s="3"/>
      <c r="B3323" s="3"/>
      <c r="C3323" s="3"/>
      <c r="D3323" s="3"/>
      <c r="E3323" s="3"/>
      <c r="F3323" s="3"/>
      <c r="G3323" s="3"/>
      <c r="H3323" s="11"/>
      <c r="I3323" s="12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14"/>
      <c r="X3323" s="3"/>
      <c r="Y3323" s="14"/>
      <c r="Z3323" s="3"/>
      <c r="AA3323" s="3"/>
      <c r="AB3323" s="3"/>
      <c r="AC3323" s="3"/>
      <c r="AD3323" s="3"/>
      <c r="AE3323" s="3"/>
      <c r="AF3323" s="3"/>
      <c r="AG3323" s="3"/>
      <c r="AH3323" s="3"/>
    </row>
    <row r="3324" spans="1:34" ht="14.25" customHeight="1" x14ac:dyDescent="0.25">
      <c r="A3324" s="3"/>
      <c r="B3324" s="3"/>
      <c r="C3324" s="3"/>
      <c r="D3324" s="3"/>
      <c r="E3324" s="3"/>
      <c r="F3324" s="3"/>
      <c r="G3324" s="3"/>
      <c r="H3324" s="11"/>
      <c r="I3324" s="12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14"/>
      <c r="X3324" s="3"/>
      <c r="Y3324" s="14"/>
      <c r="Z3324" s="3"/>
      <c r="AA3324" s="3"/>
      <c r="AB3324" s="3"/>
      <c r="AC3324" s="3"/>
      <c r="AD3324" s="3"/>
      <c r="AE3324" s="3"/>
      <c r="AF3324" s="3"/>
      <c r="AG3324" s="3"/>
      <c r="AH3324" s="3"/>
    </row>
    <row r="3325" spans="1:34" ht="14.25" customHeight="1" x14ac:dyDescent="0.25">
      <c r="A3325" s="3"/>
      <c r="B3325" s="3"/>
      <c r="C3325" s="3"/>
      <c r="D3325" s="3"/>
      <c r="E3325" s="3"/>
      <c r="F3325" s="3"/>
      <c r="G3325" s="3"/>
      <c r="H3325" s="11"/>
      <c r="I3325" s="12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14"/>
      <c r="X3325" s="3"/>
      <c r="Y3325" s="14"/>
      <c r="Z3325" s="3"/>
      <c r="AA3325" s="3"/>
      <c r="AB3325" s="3"/>
      <c r="AC3325" s="3"/>
      <c r="AD3325" s="3"/>
      <c r="AE3325" s="3"/>
      <c r="AF3325" s="3"/>
      <c r="AG3325" s="3"/>
      <c r="AH3325" s="3"/>
    </row>
    <row r="3326" spans="1:34" ht="14.25" customHeight="1" x14ac:dyDescent="0.25">
      <c r="A3326" s="3"/>
      <c r="B3326" s="3"/>
      <c r="C3326" s="3"/>
      <c r="D3326" s="3"/>
      <c r="E3326" s="3"/>
      <c r="F3326" s="3"/>
      <c r="G3326" s="3"/>
      <c r="H3326" s="11"/>
      <c r="I3326" s="12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14"/>
      <c r="X3326" s="3"/>
      <c r="Y3326" s="14"/>
      <c r="Z3326" s="3"/>
      <c r="AA3326" s="3"/>
      <c r="AB3326" s="3"/>
      <c r="AC3326" s="3"/>
      <c r="AD3326" s="3"/>
      <c r="AE3326" s="3"/>
      <c r="AF3326" s="3"/>
      <c r="AG3326" s="3"/>
      <c r="AH3326" s="3"/>
    </row>
    <row r="3327" spans="1:34" ht="14.25" customHeight="1" x14ac:dyDescent="0.25">
      <c r="A3327" s="3"/>
      <c r="B3327" s="3"/>
      <c r="C3327" s="3"/>
      <c r="D3327" s="3"/>
      <c r="E3327" s="3"/>
      <c r="F3327" s="3"/>
      <c r="G3327" s="3"/>
      <c r="H3327" s="11"/>
      <c r="I3327" s="12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14"/>
      <c r="X3327" s="3"/>
      <c r="Y3327" s="14"/>
      <c r="Z3327" s="3"/>
      <c r="AA3327" s="3"/>
      <c r="AB3327" s="3"/>
      <c r="AC3327" s="3"/>
      <c r="AD3327" s="3"/>
      <c r="AE3327" s="3"/>
      <c r="AF3327" s="3"/>
      <c r="AG3327" s="3"/>
      <c r="AH3327" s="3"/>
    </row>
    <row r="3328" spans="1:34" ht="14.25" customHeight="1" x14ac:dyDescent="0.25">
      <c r="A3328" s="3"/>
      <c r="B3328" s="3"/>
      <c r="C3328" s="3"/>
      <c r="D3328" s="3"/>
      <c r="E3328" s="3"/>
      <c r="F3328" s="3"/>
      <c r="G3328" s="3"/>
      <c r="H3328" s="11"/>
      <c r="I3328" s="12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14"/>
      <c r="X3328" s="3"/>
      <c r="Y3328" s="14"/>
      <c r="Z3328" s="3"/>
      <c r="AA3328" s="3"/>
      <c r="AB3328" s="3"/>
      <c r="AC3328" s="3"/>
      <c r="AD3328" s="3"/>
      <c r="AE3328" s="3"/>
      <c r="AF3328" s="3"/>
      <c r="AG3328" s="3"/>
      <c r="AH3328" s="3"/>
    </row>
    <row r="3329" spans="1:34" ht="14.25" customHeight="1" x14ac:dyDescent="0.25">
      <c r="A3329" s="3"/>
      <c r="B3329" s="3"/>
      <c r="C3329" s="3"/>
      <c r="D3329" s="3"/>
      <c r="E3329" s="3"/>
      <c r="F3329" s="3"/>
      <c r="G3329" s="3"/>
      <c r="H3329" s="11"/>
      <c r="I3329" s="12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14"/>
      <c r="X3329" s="3"/>
      <c r="Y3329" s="14"/>
      <c r="Z3329" s="3"/>
      <c r="AA3329" s="3"/>
      <c r="AB3329" s="3"/>
      <c r="AC3329" s="3"/>
      <c r="AD3329" s="3"/>
      <c r="AE3329" s="3"/>
      <c r="AF3329" s="3"/>
      <c r="AG3329" s="3"/>
      <c r="AH3329" s="3"/>
    </row>
    <row r="3330" spans="1:34" ht="14.25" customHeight="1" x14ac:dyDescent="0.25">
      <c r="A3330" s="3"/>
      <c r="B3330" s="3"/>
      <c r="C3330" s="3"/>
      <c r="D3330" s="3"/>
      <c r="E3330" s="3"/>
      <c r="F3330" s="3"/>
      <c r="G3330" s="3"/>
      <c r="H3330" s="11"/>
      <c r="I3330" s="12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14"/>
      <c r="X3330" s="3"/>
      <c r="Y3330" s="14"/>
      <c r="Z3330" s="3"/>
      <c r="AA3330" s="3"/>
      <c r="AB3330" s="3"/>
      <c r="AC3330" s="3"/>
      <c r="AD3330" s="3"/>
      <c r="AE3330" s="3"/>
      <c r="AF3330" s="3"/>
      <c r="AG3330" s="3"/>
      <c r="AH3330" s="3"/>
    </row>
    <row r="3331" spans="1:34" ht="14.25" customHeight="1" x14ac:dyDescent="0.25">
      <c r="A3331" s="3"/>
      <c r="B3331" s="3"/>
      <c r="C3331" s="3"/>
      <c r="D3331" s="3"/>
      <c r="E3331" s="3"/>
      <c r="F3331" s="3"/>
      <c r="G3331" s="3"/>
      <c r="H3331" s="11"/>
      <c r="I3331" s="12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14"/>
      <c r="X3331" s="3"/>
      <c r="Y3331" s="14"/>
      <c r="Z3331" s="3"/>
      <c r="AA3331" s="3"/>
      <c r="AB3331" s="3"/>
      <c r="AC3331" s="3"/>
      <c r="AD3331" s="3"/>
      <c r="AE3331" s="3"/>
      <c r="AF3331" s="3"/>
      <c r="AG3331" s="3"/>
      <c r="AH3331" s="3"/>
    </row>
    <row r="3332" spans="1:34" ht="14.25" customHeight="1" x14ac:dyDescent="0.25">
      <c r="A3332" s="3"/>
      <c r="B3332" s="3"/>
      <c r="C3332" s="3"/>
      <c r="D3332" s="3"/>
      <c r="E3332" s="3"/>
      <c r="F3332" s="3"/>
      <c r="G3332" s="3"/>
      <c r="H3332" s="11"/>
      <c r="I3332" s="12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14"/>
      <c r="X3332" s="3"/>
      <c r="Y3332" s="14"/>
      <c r="Z3332" s="3"/>
      <c r="AA3332" s="3"/>
      <c r="AB3332" s="3"/>
      <c r="AC3332" s="3"/>
      <c r="AD3332" s="3"/>
      <c r="AE3332" s="3"/>
      <c r="AF3332" s="3"/>
      <c r="AG3332" s="3"/>
      <c r="AH3332" s="3"/>
    </row>
    <row r="3333" spans="1:34" ht="14.25" customHeight="1" x14ac:dyDescent="0.25">
      <c r="A3333" s="3"/>
      <c r="B3333" s="3"/>
      <c r="C3333" s="3"/>
      <c r="D3333" s="3"/>
      <c r="E3333" s="3"/>
      <c r="F3333" s="3"/>
      <c r="G3333" s="3"/>
      <c r="H3333" s="11"/>
      <c r="I3333" s="12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14"/>
      <c r="X3333" s="3"/>
      <c r="Y3333" s="14"/>
      <c r="Z3333" s="3"/>
      <c r="AA3333" s="3"/>
      <c r="AB3333" s="3"/>
      <c r="AC3333" s="3"/>
      <c r="AD3333" s="3"/>
      <c r="AE3333" s="3"/>
      <c r="AF3333" s="3"/>
      <c r="AG3333" s="3"/>
      <c r="AH3333" s="3"/>
    </row>
    <row r="3334" spans="1:34" ht="14.25" customHeight="1" x14ac:dyDescent="0.25">
      <c r="A3334" s="3"/>
      <c r="B3334" s="3"/>
      <c r="C3334" s="3"/>
      <c r="D3334" s="3"/>
      <c r="E3334" s="3"/>
      <c r="F3334" s="3"/>
      <c r="G3334" s="3"/>
      <c r="H3334" s="11"/>
      <c r="I3334" s="12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14"/>
      <c r="X3334" s="3"/>
      <c r="Y3334" s="14"/>
      <c r="Z3334" s="3"/>
      <c r="AA3334" s="3"/>
      <c r="AB3334" s="3"/>
      <c r="AC3334" s="3"/>
      <c r="AD3334" s="3"/>
      <c r="AE3334" s="3"/>
      <c r="AF3334" s="3"/>
      <c r="AG3334" s="3"/>
      <c r="AH3334" s="3"/>
    </row>
    <row r="3335" spans="1:34" ht="14.25" customHeight="1" x14ac:dyDescent="0.25">
      <c r="A3335" s="3"/>
      <c r="B3335" s="3"/>
      <c r="C3335" s="3"/>
      <c r="D3335" s="3"/>
      <c r="E3335" s="3"/>
      <c r="F3335" s="3"/>
      <c r="G3335" s="3"/>
      <c r="H3335" s="11"/>
      <c r="I3335" s="12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14"/>
      <c r="X3335" s="3"/>
      <c r="Y3335" s="14"/>
      <c r="Z3335" s="3"/>
      <c r="AA3335" s="3"/>
      <c r="AB3335" s="3"/>
      <c r="AC3335" s="3"/>
      <c r="AD3335" s="3"/>
      <c r="AE3335" s="3"/>
      <c r="AF3335" s="3"/>
      <c r="AG3335" s="3"/>
      <c r="AH3335" s="3"/>
    </row>
    <row r="3336" spans="1:34" ht="14.25" customHeight="1" x14ac:dyDescent="0.25">
      <c r="A3336" s="3"/>
      <c r="B3336" s="3"/>
      <c r="C3336" s="3"/>
      <c r="D3336" s="3"/>
      <c r="E3336" s="3"/>
      <c r="F3336" s="3"/>
      <c r="G3336" s="3"/>
      <c r="H3336" s="11"/>
      <c r="I3336" s="12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14"/>
      <c r="X3336" s="3"/>
      <c r="Y3336" s="14"/>
      <c r="Z3336" s="3"/>
      <c r="AA3336" s="3"/>
      <c r="AB3336" s="3"/>
      <c r="AC3336" s="3"/>
      <c r="AD3336" s="3"/>
      <c r="AE3336" s="3"/>
      <c r="AF3336" s="3"/>
      <c r="AG3336" s="3"/>
      <c r="AH3336" s="3"/>
    </row>
    <row r="3337" spans="1:34" ht="14.25" customHeight="1" x14ac:dyDescent="0.25">
      <c r="A3337" s="3"/>
      <c r="B3337" s="3"/>
      <c r="C3337" s="3"/>
      <c r="D3337" s="3"/>
      <c r="E3337" s="3"/>
      <c r="F3337" s="3"/>
      <c r="G3337" s="3"/>
      <c r="H3337" s="11"/>
      <c r="I3337" s="12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14"/>
      <c r="X3337" s="3"/>
      <c r="Y3337" s="14"/>
      <c r="Z3337" s="3"/>
      <c r="AA3337" s="3"/>
      <c r="AB3337" s="3"/>
      <c r="AC3337" s="3"/>
      <c r="AD3337" s="3"/>
      <c r="AE3337" s="3"/>
      <c r="AF3337" s="3"/>
      <c r="AG3337" s="3"/>
      <c r="AH3337" s="3"/>
    </row>
    <row r="3338" spans="1:34" ht="14.25" customHeight="1" x14ac:dyDescent="0.25">
      <c r="A3338" s="3"/>
      <c r="B3338" s="3"/>
      <c r="C3338" s="3"/>
      <c r="D3338" s="3"/>
      <c r="E3338" s="3"/>
      <c r="F3338" s="3"/>
      <c r="G3338" s="3"/>
      <c r="H3338" s="11"/>
      <c r="I3338" s="12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14"/>
      <c r="X3338" s="3"/>
      <c r="Y3338" s="14"/>
      <c r="Z3338" s="3"/>
      <c r="AA3338" s="3"/>
      <c r="AB3338" s="3"/>
      <c r="AC3338" s="3"/>
      <c r="AD3338" s="3"/>
      <c r="AE3338" s="3"/>
      <c r="AF3338" s="3"/>
      <c r="AG3338" s="3"/>
      <c r="AH3338" s="3"/>
    </row>
    <row r="3339" spans="1:34" ht="14.25" customHeight="1" x14ac:dyDescent="0.25">
      <c r="A3339" s="3"/>
      <c r="B3339" s="3"/>
      <c r="C3339" s="3"/>
      <c r="D3339" s="3"/>
      <c r="E3339" s="3"/>
      <c r="F3339" s="3"/>
      <c r="G3339" s="3"/>
      <c r="H3339" s="11"/>
      <c r="I3339" s="12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14"/>
      <c r="X3339" s="3"/>
      <c r="Y3339" s="14"/>
      <c r="Z3339" s="3"/>
      <c r="AA3339" s="3"/>
      <c r="AB3339" s="3"/>
      <c r="AC3339" s="3"/>
      <c r="AD3339" s="3"/>
      <c r="AE3339" s="3"/>
      <c r="AF3339" s="3"/>
      <c r="AG3339" s="3"/>
      <c r="AH3339" s="3"/>
    </row>
    <row r="3340" spans="1:34" ht="14.25" customHeight="1" x14ac:dyDescent="0.25">
      <c r="A3340" s="3"/>
      <c r="B3340" s="3"/>
      <c r="C3340" s="3"/>
      <c r="D3340" s="3"/>
      <c r="E3340" s="3"/>
      <c r="F3340" s="3"/>
      <c r="G3340" s="3"/>
      <c r="H3340" s="11"/>
      <c r="I3340" s="12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14"/>
      <c r="Z3340" s="3"/>
      <c r="AA3340" s="3"/>
      <c r="AB3340" s="3"/>
      <c r="AC3340" s="3"/>
      <c r="AD3340" s="3"/>
      <c r="AE3340" s="3"/>
      <c r="AF3340" s="3"/>
      <c r="AG3340" s="3"/>
      <c r="AH3340" s="3"/>
    </row>
    <row r="3341" spans="1:34" ht="14.25" customHeight="1" x14ac:dyDescent="0.25">
      <c r="A3341" s="3"/>
      <c r="B3341" s="3"/>
      <c r="C3341" s="3"/>
      <c r="D3341" s="3"/>
      <c r="E3341" s="3"/>
      <c r="F3341" s="3"/>
      <c r="G3341" s="3"/>
      <c r="H3341" s="11"/>
      <c r="I3341" s="12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14"/>
      <c r="Z3341" s="3"/>
      <c r="AA3341" s="3"/>
      <c r="AB3341" s="3"/>
      <c r="AC3341" s="3"/>
      <c r="AD3341" s="3"/>
      <c r="AE3341" s="3"/>
      <c r="AF3341" s="3"/>
      <c r="AG3341" s="3"/>
      <c r="AH3341" s="3"/>
    </row>
    <row r="3342" spans="1:34" ht="14.25" customHeight="1" x14ac:dyDescent="0.25">
      <c r="A3342" s="3"/>
      <c r="B3342" s="3"/>
      <c r="C3342" s="3"/>
      <c r="D3342" s="3"/>
      <c r="E3342" s="3"/>
      <c r="F3342" s="3"/>
      <c r="G3342" s="3"/>
      <c r="H3342" s="11"/>
      <c r="I3342" s="12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14"/>
      <c r="Z3342" s="3"/>
      <c r="AA3342" s="3"/>
      <c r="AB3342" s="3"/>
      <c r="AC3342" s="3"/>
      <c r="AD3342" s="3"/>
      <c r="AE3342" s="3"/>
      <c r="AF3342" s="3"/>
      <c r="AG3342" s="3"/>
      <c r="AH3342" s="3"/>
    </row>
    <row r="3343" spans="1:34" ht="14.25" customHeight="1" x14ac:dyDescent="0.25">
      <c r="A3343" s="3"/>
      <c r="B3343" s="3"/>
      <c r="C3343" s="3"/>
      <c r="D3343" s="3"/>
      <c r="E3343" s="3"/>
      <c r="F3343" s="3"/>
      <c r="G3343" s="3"/>
      <c r="H3343" s="11"/>
      <c r="I3343" s="12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14"/>
      <c r="Z3343" s="3"/>
      <c r="AA3343" s="3"/>
      <c r="AB3343" s="3"/>
      <c r="AC3343" s="3"/>
      <c r="AD3343" s="3"/>
      <c r="AE3343" s="3"/>
      <c r="AF3343" s="3"/>
      <c r="AG3343" s="3"/>
      <c r="AH3343" s="3"/>
    </row>
    <row r="3344" spans="1:34" ht="14.25" customHeight="1" x14ac:dyDescent="0.25">
      <c r="A3344" s="3"/>
      <c r="B3344" s="3"/>
      <c r="C3344" s="3"/>
      <c r="D3344" s="3"/>
      <c r="E3344" s="3"/>
      <c r="F3344" s="3"/>
      <c r="G3344" s="14"/>
      <c r="H3344" s="11"/>
      <c r="I3344" s="12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14"/>
      <c r="Z3344" s="3"/>
      <c r="AA3344" s="3"/>
      <c r="AB3344" s="3"/>
      <c r="AC3344" s="3"/>
      <c r="AD3344" s="3"/>
      <c r="AE3344" s="3"/>
      <c r="AF3344" s="3"/>
      <c r="AG3344" s="3"/>
      <c r="AH3344" s="3"/>
    </row>
    <row r="3345" spans="1:34" ht="14.25" customHeight="1" x14ac:dyDescent="0.25">
      <c r="A3345" s="3"/>
      <c r="B3345" s="3"/>
      <c r="C3345" s="3"/>
      <c r="D3345" s="3"/>
      <c r="E3345" s="3"/>
      <c r="F3345" s="3"/>
      <c r="G3345" s="14"/>
      <c r="H3345" s="11"/>
      <c r="I3345" s="12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14"/>
      <c r="Z3345" s="3"/>
      <c r="AA3345" s="3"/>
      <c r="AB3345" s="3"/>
      <c r="AC3345" s="3"/>
      <c r="AD3345" s="3"/>
      <c r="AE3345" s="3"/>
      <c r="AF3345" s="3"/>
      <c r="AG3345" s="3"/>
      <c r="AH3345" s="3"/>
    </row>
    <row r="3346" spans="1:34" ht="14.25" customHeight="1" x14ac:dyDescent="0.25">
      <c r="A3346" s="3"/>
      <c r="B3346" s="3"/>
      <c r="C3346" s="3"/>
      <c r="D3346" s="3"/>
      <c r="E3346" s="3"/>
      <c r="F3346" s="3"/>
      <c r="G3346" s="3"/>
      <c r="H3346" s="11"/>
      <c r="I3346" s="12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14"/>
      <c r="Z3346" s="3"/>
      <c r="AA3346" s="3"/>
      <c r="AB3346" s="3"/>
      <c r="AC3346" s="3"/>
      <c r="AD3346" s="3"/>
      <c r="AE3346" s="3"/>
      <c r="AF3346" s="3"/>
      <c r="AG3346" s="3"/>
      <c r="AH3346" s="3"/>
    </row>
    <row r="3347" spans="1:34" ht="14.25" customHeight="1" x14ac:dyDescent="0.25">
      <c r="A3347" s="3"/>
      <c r="B3347" s="3"/>
      <c r="C3347" s="3"/>
      <c r="D3347" s="3"/>
      <c r="E3347" s="3"/>
      <c r="F3347" s="3"/>
      <c r="G3347" s="14"/>
      <c r="H3347" s="11"/>
      <c r="I3347" s="12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14"/>
      <c r="Z3347" s="3"/>
      <c r="AA3347" s="3"/>
      <c r="AB3347" s="3"/>
      <c r="AC3347" s="3"/>
      <c r="AD3347" s="3"/>
      <c r="AE3347" s="3"/>
      <c r="AF3347" s="3"/>
      <c r="AG3347" s="3"/>
      <c r="AH3347" s="3"/>
    </row>
    <row r="3348" spans="1:34" ht="14.25" customHeight="1" x14ac:dyDescent="0.25">
      <c r="A3348" s="3"/>
      <c r="B3348" s="3"/>
      <c r="C3348" s="3"/>
      <c r="D3348" s="3"/>
      <c r="E3348" s="3"/>
      <c r="F3348" s="3"/>
      <c r="G3348" s="14"/>
      <c r="H3348" s="11"/>
      <c r="I3348" s="12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14"/>
      <c r="Z3348" s="3"/>
      <c r="AA3348" s="3"/>
      <c r="AB3348" s="3"/>
      <c r="AC3348" s="3"/>
      <c r="AD3348" s="3"/>
      <c r="AE3348" s="3"/>
      <c r="AF3348" s="3"/>
      <c r="AG3348" s="3"/>
      <c r="AH3348" s="3"/>
    </row>
    <row r="3349" spans="1:34" ht="14.25" customHeight="1" x14ac:dyDescent="0.25">
      <c r="A3349" s="3"/>
      <c r="B3349" s="3"/>
      <c r="C3349" s="3"/>
      <c r="D3349" s="3"/>
      <c r="E3349" s="3"/>
      <c r="F3349" s="3"/>
      <c r="G3349" s="14"/>
      <c r="H3349" s="11"/>
      <c r="I3349" s="12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14"/>
      <c r="Z3349" s="3"/>
      <c r="AA3349" s="3"/>
      <c r="AB3349" s="3"/>
      <c r="AC3349" s="3"/>
      <c r="AD3349" s="3"/>
      <c r="AE3349" s="3"/>
      <c r="AF3349" s="3"/>
      <c r="AG3349" s="3"/>
      <c r="AH3349" s="3"/>
    </row>
    <row r="3350" spans="1:34" ht="14.25" customHeight="1" x14ac:dyDescent="0.25">
      <c r="A3350" s="3"/>
      <c r="B3350" s="3"/>
      <c r="C3350" s="3"/>
      <c r="D3350" s="3"/>
      <c r="E3350" s="3"/>
      <c r="F3350" s="3"/>
      <c r="G3350" s="3"/>
      <c r="H3350" s="11"/>
      <c r="I3350" s="12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14"/>
      <c r="Z3350" s="3"/>
      <c r="AA3350" s="3"/>
      <c r="AB3350" s="3"/>
      <c r="AC3350" s="3"/>
      <c r="AD3350" s="3"/>
      <c r="AE3350" s="3"/>
      <c r="AF3350" s="3"/>
      <c r="AG3350" s="3"/>
      <c r="AH3350" s="3"/>
    </row>
    <row r="3351" spans="1:34" ht="14.25" customHeight="1" x14ac:dyDescent="0.25">
      <c r="A3351" s="3"/>
      <c r="B3351" s="3"/>
      <c r="C3351" s="3"/>
      <c r="D3351" s="3"/>
      <c r="E3351" s="3"/>
      <c r="F3351" s="3"/>
      <c r="G3351" s="14"/>
      <c r="H3351" s="11"/>
      <c r="I3351" s="12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14"/>
      <c r="Z3351" s="3"/>
      <c r="AA3351" s="3"/>
      <c r="AB3351" s="3"/>
      <c r="AC3351" s="3"/>
      <c r="AD3351" s="3"/>
      <c r="AE3351" s="3"/>
      <c r="AF3351" s="3"/>
      <c r="AG3351" s="3"/>
      <c r="AH3351" s="3"/>
    </row>
    <row r="3352" spans="1:34" ht="14.25" customHeight="1" x14ac:dyDescent="0.25">
      <c r="A3352" s="3"/>
      <c r="B3352" s="3"/>
      <c r="C3352" s="3"/>
      <c r="D3352" s="3"/>
      <c r="E3352" s="3"/>
      <c r="F3352" s="3"/>
      <c r="G3352" s="14"/>
      <c r="H3352" s="11"/>
      <c r="I3352" s="12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14"/>
      <c r="Z3352" s="3"/>
      <c r="AA3352" s="3"/>
      <c r="AB3352" s="3"/>
      <c r="AC3352" s="3"/>
      <c r="AD3352" s="3"/>
      <c r="AE3352" s="3"/>
      <c r="AF3352" s="3"/>
      <c r="AG3352" s="3"/>
      <c r="AH3352" s="3"/>
    </row>
    <row r="3353" spans="1:34" ht="14.25" customHeight="1" x14ac:dyDescent="0.25">
      <c r="A3353" s="3"/>
      <c r="B3353" s="3"/>
      <c r="C3353" s="3"/>
      <c r="D3353" s="3"/>
      <c r="E3353" s="3"/>
      <c r="F3353" s="3"/>
      <c r="G3353" s="14"/>
      <c r="H3353" s="11"/>
      <c r="I3353" s="12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14"/>
      <c r="Z3353" s="3"/>
      <c r="AA3353" s="3"/>
      <c r="AB3353" s="3"/>
      <c r="AC3353" s="3"/>
      <c r="AD3353" s="3"/>
      <c r="AE3353" s="3"/>
      <c r="AF3353" s="3"/>
      <c r="AG3353" s="3"/>
      <c r="AH3353" s="3"/>
    </row>
    <row r="3354" spans="1:34" ht="14.25" customHeight="1" x14ac:dyDescent="0.25">
      <c r="A3354" s="3"/>
      <c r="B3354" s="3"/>
      <c r="C3354" s="3"/>
      <c r="D3354" s="3"/>
      <c r="E3354" s="3"/>
      <c r="F3354" s="3"/>
      <c r="G3354" s="14"/>
      <c r="H3354" s="11"/>
      <c r="I3354" s="12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14"/>
      <c r="Z3354" s="3"/>
      <c r="AA3354" s="3"/>
      <c r="AB3354" s="3"/>
      <c r="AC3354" s="3"/>
      <c r="AD3354" s="3"/>
      <c r="AE3354" s="3"/>
      <c r="AF3354" s="3"/>
      <c r="AG3354" s="3"/>
      <c r="AH3354" s="3"/>
    </row>
    <row r="3355" spans="1:34" ht="14.25" customHeight="1" x14ac:dyDescent="0.25">
      <c r="A3355" s="3"/>
      <c r="B3355" s="3"/>
      <c r="C3355" s="3"/>
      <c r="D3355" s="3"/>
      <c r="E3355" s="3"/>
      <c r="F3355" s="3"/>
      <c r="G3355" s="3"/>
      <c r="H3355" s="11"/>
      <c r="I3355" s="12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14"/>
      <c r="Z3355" s="3"/>
      <c r="AA3355" s="3"/>
      <c r="AB3355" s="3"/>
      <c r="AC3355" s="3"/>
      <c r="AD3355" s="3"/>
      <c r="AE3355" s="3"/>
      <c r="AF3355" s="3"/>
      <c r="AG3355" s="3"/>
      <c r="AH3355" s="3"/>
    </row>
    <row r="3356" spans="1:34" ht="14.25" customHeight="1" x14ac:dyDescent="0.25">
      <c r="A3356" s="3"/>
      <c r="B3356" s="3"/>
      <c r="C3356" s="3"/>
      <c r="D3356" s="3"/>
      <c r="E3356" s="3"/>
      <c r="F3356" s="3"/>
      <c r="G3356" s="3"/>
      <c r="H3356" s="11"/>
      <c r="I3356" s="12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14"/>
      <c r="Z3356" s="3"/>
      <c r="AA3356" s="3"/>
      <c r="AB3356" s="3"/>
      <c r="AC3356" s="3"/>
      <c r="AD3356" s="3"/>
      <c r="AE3356" s="3"/>
      <c r="AF3356" s="3"/>
      <c r="AG3356" s="3"/>
      <c r="AH3356" s="3"/>
    </row>
    <row r="3357" spans="1:34" ht="14.25" customHeight="1" x14ac:dyDescent="0.25">
      <c r="A3357" s="3"/>
      <c r="B3357" s="3"/>
      <c r="C3357" s="3"/>
      <c r="D3357" s="3"/>
      <c r="E3357" s="3"/>
      <c r="F3357" s="3"/>
      <c r="G3357" s="14"/>
      <c r="H3357" s="11"/>
      <c r="I3357" s="12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14"/>
      <c r="Z3357" s="3"/>
      <c r="AA3357" s="3"/>
      <c r="AB3357" s="3"/>
      <c r="AC3357" s="3"/>
      <c r="AD3357" s="3"/>
      <c r="AE3357" s="3"/>
      <c r="AF3357" s="3"/>
      <c r="AG3357" s="3"/>
      <c r="AH3357" s="3"/>
    </row>
    <row r="3358" spans="1:34" ht="14.25" customHeight="1" x14ac:dyDescent="0.25">
      <c r="A3358" s="3"/>
      <c r="B3358" s="3"/>
      <c r="C3358" s="3"/>
      <c r="D3358" s="3"/>
      <c r="E3358" s="3"/>
      <c r="F3358" s="3"/>
      <c r="G3358" s="14"/>
      <c r="H3358" s="11"/>
      <c r="I3358" s="12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14"/>
      <c r="Z3358" s="3"/>
      <c r="AA3358" s="3"/>
      <c r="AB3358" s="3"/>
      <c r="AC3358" s="3"/>
      <c r="AD3358" s="3"/>
      <c r="AE3358" s="3"/>
      <c r="AF3358" s="3"/>
      <c r="AG3358" s="3"/>
      <c r="AH3358" s="3"/>
    </row>
    <row r="3359" spans="1:34" ht="14.25" customHeight="1" x14ac:dyDescent="0.25">
      <c r="A3359" s="3"/>
      <c r="B3359" s="3"/>
      <c r="C3359" s="3"/>
      <c r="D3359" s="3"/>
      <c r="E3359" s="3"/>
      <c r="F3359" s="3"/>
      <c r="G3359" s="3"/>
      <c r="H3359" s="11"/>
      <c r="I3359" s="12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14"/>
      <c r="Z3359" s="3"/>
      <c r="AA3359" s="3"/>
      <c r="AB3359" s="3"/>
      <c r="AC3359" s="3"/>
      <c r="AD3359" s="3"/>
      <c r="AE3359" s="3"/>
      <c r="AF3359" s="3"/>
      <c r="AG3359" s="3"/>
      <c r="AH3359" s="3"/>
    </row>
    <row r="3360" spans="1:34" ht="14.25" customHeight="1" x14ac:dyDescent="0.25">
      <c r="A3360" s="3"/>
      <c r="B3360" s="3"/>
      <c r="C3360" s="3"/>
      <c r="D3360" s="3"/>
      <c r="E3360" s="3"/>
      <c r="F3360" s="3"/>
      <c r="G3360" s="3"/>
      <c r="H3360" s="11"/>
      <c r="I3360" s="12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14"/>
      <c r="Z3360" s="3"/>
      <c r="AA3360" s="3"/>
      <c r="AB3360" s="3"/>
      <c r="AC3360" s="3"/>
      <c r="AD3360" s="3"/>
      <c r="AE3360" s="3"/>
      <c r="AF3360" s="3"/>
      <c r="AG3360" s="3"/>
      <c r="AH3360" s="3"/>
    </row>
    <row r="3361" spans="1:34" ht="14.25" customHeight="1" x14ac:dyDescent="0.25">
      <c r="A3361" s="3"/>
      <c r="B3361" s="3"/>
      <c r="C3361" s="3"/>
      <c r="D3361" s="3"/>
      <c r="E3361" s="3"/>
      <c r="F3361" s="3"/>
      <c r="G3361" s="14"/>
      <c r="H3361" s="11"/>
      <c r="I3361" s="12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14"/>
      <c r="Z3361" s="3"/>
      <c r="AA3361" s="3"/>
      <c r="AB3361" s="3"/>
      <c r="AC3361" s="3"/>
      <c r="AD3361" s="3"/>
      <c r="AE3361" s="3"/>
      <c r="AF3361" s="3"/>
      <c r="AG3361" s="3"/>
      <c r="AH3361" s="3"/>
    </row>
    <row r="3362" spans="1:34" ht="14.25" customHeight="1" x14ac:dyDescent="0.25">
      <c r="A3362" s="3"/>
      <c r="B3362" s="3"/>
      <c r="C3362" s="3"/>
      <c r="D3362" s="3"/>
      <c r="E3362" s="3"/>
      <c r="F3362" s="3"/>
      <c r="G3362" s="14"/>
      <c r="H3362" s="11"/>
      <c r="I3362" s="12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14"/>
      <c r="Z3362" s="3"/>
      <c r="AA3362" s="3"/>
      <c r="AB3362" s="3"/>
      <c r="AC3362" s="3"/>
      <c r="AD3362" s="3"/>
      <c r="AE3362" s="3"/>
      <c r="AF3362" s="3"/>
      <c r="AG3362" s="3"/>
      <c r="AH3362" s="3"/>
    </row>
    <row r="3363" spans="1:34" ht="14.25" customHeight="1" x14ac:dyDescent="0.25">
      <c r="A3363" s="3"/>
      <c r="B3363" s="3"/>
      <c r="C3363" s="3"/>
      <c r="D3363" s="3"/>
      <c r="E3363" s="3"/>
      <c r="F3363" s="3"/>
      <c r="G3363" s="14"/>
      <c r="H3363" s="11"/>
      <c r="I3363" s="12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14"/>
      <c r="Z3363" s="3"/>
      <c r="AA3363" s="3"/>
      <c r="AB3363" s="3"/>
      <c r="AC3363" s="3"/>
      <c r="AD3363" s="3"/>
      <c r="AE3363" s="3"/>
      <c r="AF3363" s="3"/>
      <c r="AG3363" s="3"/>
      <c r="AH3363" s="3"/>
    </row>
    <row r="3364" spans="1:34" ht="14.25" customHeight="1" x14ac:dyDescent="0.25">
      <c r="A3364" s="3"/>
      <c r="B3364" s="3"/>
      <c r="C3364" s="3"/>
      <c r="D3364" s="3"/>
      <c r="E3364" s="3"/>
      <c r="F3364" s="3"/>
      <c r="G3364" s="3"/>
      <c r="H3364" s="11"/>
      <c r="I3364" s="12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14"/>
      <c r="Z3364" s="3"/>
      <c r="AA3364" s="3"/>
      <c r="AB3364" s="3"/>
      <c r="AC3364" s="3"/>
      <c r="AD3364" s="3"/>
      <c r="AE3364" s="3"/>
      <c r="AF3364" s="3"/>
      <c r="AG3364" s="3"/>
      <c r="AH3364" s="3"/>
    </row>
    <row r="3365" spans="1:34" ht="14.25" customHeight="1" x14ac:dyDescent="0.25">
      <c r="A3365" s="3"/>
      <c r="B3365" s="3"/>
      <c r="C3365" s="3"/>
      <c r="D3365" s="3"/>
      <c r="E3365" s="3"/>
      <c r="F3365" s="3"/>
      <c r="G3365" s="3"/>
      <c r="H3365" s="11"/>
      <c r="I3365" s="12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14"/>
      <c r="Z3365" s="3"/>
      <c r="AA3365" s="3"/>
      <c r="AB3365" s="3"/>
      <c r="AC3365" s="3"/>
      <c r="AD3365" s="3"/>
      <c r="AE3365" s="3"/>
      <c r="AF3365" s="3"/>
      <c r="AG3365" s="3"/>
      <c r="AH3365" s="3"/>
    </row>
    <row r="3366" spans="1:34" ht="14.25" customHeight="1" x14ac:dyDescent="0.25">
      <c r="A3366" s="3"/>
      <c r="B3366" s="3"/>
      <c r="C3366" s="3"/>
      <c r="D3366" s="3"/>
      <c r="E3366" s="3"/>
      <c r="F3366" s="3"/>
      <c r="G3366" s="14"/>
      <c r="H3366" s="11"/>
      <c r="I3366" s="12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14"/>
      <c r="Z3366" s="3"/>
      <c r="AA3366" s="3"/>
      <c r="AB3366" s="3"/>
      <c r="AC3366" s="3"/>
      <c r="AD3366" s="3"/>
      <c r="AE3366" s="3"/>
      <c r="AF3366" s="3"/>
      <c r="AG3366" s="3"/>
      <c r="AH3366" s="3"/>
    </row>
    <row r="3367" spans="1:34" ht="14.25" customHeight="1" x14ac:dyDescent="0.25">
      <c r="A3367" s="3"/>
      <c r="B3367" s="3"/>
      <c r="C3367" s="3"/>
      <c r="D3367" s="3"/>
      <c r="E3367" s="3"/>
      <c r="F3367" s="3"/>
      <c r="G3367" s="14"/>
      <c r="H3367" s="11"/>
      <c r="I3367" s="12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14"/>
      <c r="Z3367" s="3"/>
      <c r="AA3367" s="3"/>
      <c r="AB3367" s="3"/>
      <c r="AC3367" s="3"/>
      <c r="AD3367" s="3"/>
      <c r="AE3367" s="3"/>
      <c r="AF3367" s="3"/>
      <c r="AG3367" s="3"/>
      <c r="AH3367" s="3"/>
    </row>
    <row r="3368" spans="1:34" ht="14.25" customHeight="1" x14ac:dyDescent="0.25">
      <c r="A3368" s="3"/>
      <c r="B3368" s="3"/>
      <c r="C3368" s="3"/>
      <c r="D3368" s="3"/>
      <c r="E3368" s="3"/>
      <c r="F3368" s="3"/>
      <c r="G3368" s="14"/>
      <c r="H3368" s="11"/>
      <c r="I3368" s="12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14"/>
      <c r="Z3368" s="3"/>
      <c r="AA3368" s="3"/>
      <c r="AB3368" s="3"/>
      <c r="AC3368" s="3"/>
      <c r="AD3368" s="3"/>
      <c r="AE3368" s="3"/>
      <c r="AF3368" s="3"/>
      <c r="AG3368" s="3"/>
      <c r="AH3368" s="3"/>
    </row>
    <row r="3369" spans="1:34" ht="14.25" customHeight="1" x14ac:dyDescent="0.25">
      <c r="A3369" s="3"/>
      <c r="B3369" s="3"/>
      <c r="C3369" s="3"/>
      <c r="D3369" s="3"/>
      <c r="E3369" s="3"/>
      <c r="F3369" s="3"/>
      <c r="G3369" s="14"/>
      <c r="H3369" s="11"/>
      <c r="I3369" s="12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14"/>
      <c r="Z3369" s="3"/>
      <c r="AA3369" s="3"/>
      <c r="AB3369" s="3"/>
      <c r="AC3369" s="3"/>
      <c r="AD3369" s="3"/>
      <c r="AE3369" s="3"/>
      <c r="AF3369" s="3"/>
      <c r="AG3369" s="3"/>
      <c r="AH3369" s="3"/>
    </row>
    <row r="3370" spans="1:34" ht="14.25" customHeight="1" x14ac:dyDescent="0.25">
      <c r="A3370" s="3"/>
      <c r="B3370" s="3"/>
      <c r="C3370" s="3"/>
      <c r="D3370" s="3"/>
      <c r="E3370" s="3"/>
      <c r="F3370" s="3"/>
      <c r="G3370" s="14"/>
      <c r="H3370" s="11"/>
      <c r="I3370" s="12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14"/>
      <c r="Z3370" s="3"/>
      <c r="AA3370" s="3"/>
      <c r="AB3370" s="3"/>
      <c r="AC3370" s="3"/>
      <c r="AD3370" s="3"/>
      <c r="AE3370" s="3"/>
      <c r="AF3370" s="3"/>
      <c r="AG3370" s="3"/>
      <c r="AH3370" s="3"/>
    </row>
    <row r="3371" spans="1:34" ht="14.25" customHeight="1" x14ac:dyDescent="0.25">
      <c r="A3371" s="3"/>
      <c r="B3371" s="3"/>
      <c r="C3371" s="3"/>
      <c r="D3371" s="3"/>
      <c r="E3371" s="3"/>
      <c r="F3371" s="3"/>
      <c r="G3371" s="14"/>
      <c r="H3371" s="11"/>
      <c r="I3371" s="12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14"/>
      <c r="Z3371" s="3"/>
      <c r="AA3371" s="3"/>
      <c r="AB3371" s="3"/>
      <c r="AC3371" s="3"/>
      <c r="AD3371" s="3"/>
      <c r="AE3371" s="3"/>
      <c r="AF3371" s="3"/>
      <c r="AG3371" s="3"/>
      <c r="AH3371" s="3"/>
    </row>
    <row r="3372" spans="1:34" ht="14.25" customHeight="1" x14ac:dyDescent="0.25">
      <c r="A3372" s="3"/>
      <c r="B3372" s="3"/>
      <c r="C3372" s="3"/>
      <c r="D3372" s="3"/>
      <c r="E3372" s="3"/>
      <c r="F3372" s="3"/>
      <c r="G3372" s="14"/>
      <c r="H3372" s="11"/>
      <c r="I3372" s="12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14"/>
      <c r="Z3372" s="3"/>
      <c r="AA3372" s="3"/>
      <c r="AB3372" s="3"/>
      <c r="AC3372" s="3"/>
      <c r="AD3372" s="3"/>
      <c r="AE3372" s="3"/>
      <c r="AF3372" s="3"/>
      <c r="AG3372" s="3"/>
      <c r="AH3372" s="3"/>
    </row>
    <row r="3373" spans="1:34" ht="14.25" customHeight="1" x14ac:dyDescent="0.25">
      <c r="A3373" s="3"/>
      <c r="B3373" s="3"/>
      <c r="C3373" s="3"/>
      <c r="D3373" s="3"/>
      <c r="E3373" s="3"/>
      <c r="F3373" s="3"/>
      <c r="G3373" s="14"/>
      <c r="H3373" s="11"/>
      <c r="I3373" s="12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14"/>
      <c r="Z3373" s="3"/>
      <c r="AA3373" s="3"/>
      <c r="AB3373" s="3"/>
      <c r="AC3373" s="3"/>
      <c r="AD3373" s="3"/>
      <c r="AE3373" s="3"/>
      <c r="AF3373" s="3"/>
      <c r="AG3373" s="3"/>
      <c r="AH3373" s="3"/>
    </row>
    <row r="3374" spans="1:34" ht="14.25" customHeight="1" x14ac:dyDescent="0.25">
      <c r="A3374" s="3"/>
      <c r="B3374" s="3"/>
      <c r="C3374" s="3"/>
      <c r="D3374" s="3"/>
      <c r="E3374" s="3"/>
      <c r="F3374" s="3"/>
      <c r="G3374" s="14"/>
      <c r="H3374" s="11"/>
      <c r="I3374" s="12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14"/>
      <c r="Z3374" s="3"/>
      <c r="AA3374" s="3"/>
      <c r="AB3374" s="3"/>
      <c r="AC3374" s="3"/>
      <c r="AD3374" s="3"/>
      <c r="AE3374" s="3"/>
      <c r="AF3374" s="3"/>
      <c r="AG3374" s="3"/>
      <c r="AH3374" s="3"/>
    </row>
    <row r="3375" spans="1:34" ht="14.25" customHeight="1" x14ac:dyDescent="0.25">
      <c r="A3375" s="3"/>
      <c r="B3375" s="3"/>
      <c r="C3375" s="3"/>
      <c r="D3375" s="3"/>
      <c r="E3375" s="3"/>
      <c r="F3375" s="3"/>
      <c r="G3375" s="14"/>
      <c r="H3375" s="11"/>
      <c r="I3375" s="12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14"/>
      <c r="Z3375" s="3"/>
      <c r="AA3375" s="3"/>
      <c r="AB3375" s="3"/>
      <c r="AC3375" s="3"/>
      <c r="AD3375" s="3"/>
      <c r="AE3375" s="3"/>
      <c r="AF3375" s="3"/>
      <c r="AG3375" s="3"/>
      <c r="AH3375" s="3"/>
    </row>
    <row r="3376" spans="1:34" ht="14.25" customHeight="1" x14ac:dyDescent="0.25">
      <c r="A3376" s="3"/>
      <c r="B3376" s="3"/>
      <c r="C3376" s="3"/>
      <c r="D3376" s="3"/>
      <c r="E3376" s="3"/>
      <c r="F3376" s="3"/>
      <c r="G3376" s="3"/>
      <c r="H3376" s="11"/>
      <c r="I3376" s="12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14"/>
      <c r="Z3376" s="3"/>
      <c r="AA3376" s="3"/>
      <c r="AB3376" s="3"/>
      <c r="AC3376" s="3"/>
      <c r="AD3376" s="3"/>
      <c r="AE3376" s="3"/>
      <c r="AF3376" s="3"/>
      <c r="AG3376" s="3"/>
      <c r="AH3376" s="3"/>
    </row>
    <row r="3377" spans="1:34" ht="14.25" customHeight="1" x14ac:dyDescent="0.25">
      <c r="A3377" s="3"/>
      <c r="B3377" s="3"/>
      <c r="C3377" s="3"/>
      <c r="D3377" s="3"/>
      <c r="E3377" s="3"/>
      <c r="F3377" s="3"/>
      <c r="G3377" s="14"/>
      <c r="H3377" s="11"/>
      <c r="I3377" s="12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14"/>
      <c r="Z3377" s="3"/>
      <c r="AA3377" s="3"/>
      <c r="AB3377" s="3"/>
      <c r="AC3377" s="3"/>
      <c r="AD3377" s="3"/>
      <c r="AE3377" s="3"/>
      <c r="AF3377" s="3"/>
      <c r="AG3377" s="3"/>
      <c r="AH3377" s="3"/>
    </row>
    <row r="3378" spans="1:34" ht="14.25" customHeight="1" x14ac:dyDescent="0.25">
      <c r="A3378" s="3"/>
      <c r="B3378" s="3"/>
      <c r="C3378" s="3"/>
      <c r="D3378" s="3"/>
      <c r="E3378" s="3"/>
      <c r="F3378" s="3"/>
      <c r="G3378" s="14"/>
      <c r="H3378" s="11"/>
      <c r="I3378" s="12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14"/>
      <c r="Z3378" s="3"/>
      <c r="AA3378" s="3"/>
      <c r="AB3378" s="3"/>
      <c r="AC3378" s="3"/>
      <c r="AD3378" s="3"/>
      <c r="AE3378" s="3"/>
      <c r="AF3378" s="3"/>
      <c r="AG3378" s="3"/>
      <c r="AH3378" s="3"/>
    </row>
    <row r="3379" spans="1:34" ht="14.25" customHeight="1" x14ac:dyDescent="0.25">
      <c r="A3379" s="3"/>
      <c r="B3379" s="3"/>
      <c r="C3379" s="3"/>
      <c r="D3379" s="3"/>
      <c r="E3379" s="3"/>
      <c r="F3379" s="3"/>
      <c r="G3379" s="3"/>
      <c r="H3379" s="11"/>
      <c r="I3379" s="12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14"/>
      <c r="Z3379" s="3"/>
      <c r="AA3379" s="3"/>
      <c r="AB3379" s="3"/>
      <c r="AC3379" s="3"/>
      <c r="AD3379" s="3"/>
      <c r="AE3379" s="3"/>
      <c r="AF3379" s="3"/>
      <c r="AG3379" s="3"/>
      <c r="AH3379" s="3"/>
    </row>
    <row r="3380" spans="1:34" ht="14.25" customHeight="1" x14ac:dyDescent="0.25">
      <c r="A3380" s="3"/>
      <c r="B3380" s="3"/>
      <c r="C3380" s="3"/>
      <c r="D3380" s="3"/>
      <c r="E3380" s="3"/>
      <c r="F3380" s="3"/>
      <c r="G3380" s="3"/>
      <c r="H3380" s="11"/>
      <c r="I3380" s="12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14"/>
      <c r="Z3380" s="3"/>
      <c r="AA3380" s="3"/>
      <c r="AB3380" s="3"/>
      <c r="AC3380" s="3"/>
      <c r="AD3380" s="3"/>
      <c r="AE3380" s="3"/>
      <c r="AF3380" s="3"/>
      <c r="AG3380" s="3"/>
      <c r="AH3380" s="3"/>
    </row>
    <row r="3381" spans="1:34" ht="14.25" customHeight="1" x14ac:dyDescent="0.25">
      <c r="A3381" s="3"/>
      <c r="B3381" s="3"/>
      <c r="C3381" s="3"/>
      <c r="D3381" s="3"/>
      <c r="E3381" s="3"/>
      <c r="F3381" s="3"/>
      <c r="G3381" s="3"/>
      <c r="H3381" s="11"/>
      <c r="I3381" s="12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14"/>
      <c r="Z3381" s="3"/>
      <c r="AA3381" s="3"/>
      <c r="AB3381" s="3"/>
      <c r="AC3381" s="3"/>
      <c r="AD3381" s="3"/>
      <c r="AE3381" s="3"/>
      <c r="AF3381" s="3"/>
      <c r="AG3381" s="3"/>
      <c r="AH3381" s="3"/>
    </row>
    <row r="3382" spans="1:34" ht="14.25" customHeight="1" x14ac:dyDescent="0.25">
      <c r="A3382" s="3"/>
      <c r="B3382" s="3"/>
      <c r="C3382" s="3"/>
      <c r="D3382" s="3"/>
      <c r="E3382" s="3"/>
      <c r="F3382" s="3"/>
      <c r="G3382" s="3"/>
      <c r="H3382" s="11"/>
      <c r="I3382" s="12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14"/>
      <c r="Z3382" s="3"/>
      <c r="AA3382" s="3"/>
      <c r="AB3382" s="3"/>
      <c r="AC3382" s="3"/>
      <c r="AD3382" s="3"/>
      <c r="AE3382" s="3"/>
      <c r="AF3382" s="3"/>
      <c r="AG3382" s="3"/>
      <c r="AH3382" s="3"/>
    </row>
    <row r="3383" spans="1:34" ht="14.25" customHeight="1" x14ac:dyDescent="0.25">
      <c r="A3383" s="3"/>
      <c r="B3383" s="3"/>
      <c r="C3383" s="3"/>
      <c r="D3383" s="3"/>
      <c r="E3383" s="3"/>
      <c r="F3383" s="3"/>
      <c r="G3383" s="3"/>
      <c r="H3383" s="11"/>
      <c r="I3383" s="12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14"/>
      <c r="Z3383" s="3"/>
      <c r="AA3383" s="3"/>
      <c r="AB3383" s="3"/>
      <c r="AC3383" s="3"/>
      <c r="AD3383" s="3"/>
      <c r="AE3383" s="3"/>
      <c r="AF3383" s="3"/>
      <c r="AG3383" s="3"/>
      <c r="AH3383" s="3"/>
    </row>
    <row r="3384" spans="1:34" ht="14.25" customHeight="1" x14ac:dyDescent="0.25">
      <c r="A3384" s="3"/>
      <c r="B3384" s="3"/>
      <c r="C3384" s="3"/>
      <c r="D3384" s="3"/>
      <c r="E3384" s="3"/>
      <c r="F3384" s="3"/>
      <c r="G3384" s="3"/>
      <c r="H3384" s="11"/>
      <c r="I3384" s="12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14"/>
      <c r="Z3384" s="3"/>
      <c r="AA3384" s="3"/>
      <c r="AB3384" s="3"/>
      <c r="AC3384" s="3"/>
      <c r="AD3384" s="3"/>
      <c r="AE3384" s="3"/>
      <c r="AF3384" s="3"/>
      <c r="AG3384" s="3"/>
      <c r="AH3384" s="3"/>
    </row>
    <row r="3385" spans="1:34" ht="14.25" customHeight="1" x14ac:dyDescent="0.25">
      <c r="A3385" s="3"/>
      <c r="B3385" s="3"/>
      <c r="C3385" s="3"/>
      <c r="D3385" s="3"/>
      <c r="E3385" s="3"/>
      <c r="F3385" s="3"/>
      <c r="G3385" s="3"/>
      <c r="H3385" s="11"/>
      <c r="I3385" s="12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14"/>
      <c r="Z3385" s="3"/>
      <c r="AA3385" s="3"/>
      <c r="AB3385" s="3"/>
      <c r="AC3385" s="3"/>
      <c r="AD3385" s="3"/>
      <c r="AE3385" s="3"/>
      <c r="AF3385" s="3"/>
      <c r="AG3385" s="3"/>
      <c r="AH3385" s="3"/>
    </row>
    <row r="3386" spans="1:34" ht="14.25" customHeight="1" x14ac:dyDescent="0.25">
      <c r="A3386" s="3"/>
      <c r="B3386" s="3"/>
      <c r="C3386" s="3"/>
      <c r="D3386" s="3"/>
      <c r="E3386" s="3"/>
      <c r="F3386" s="3"/>
      <c r="G3386" s="3"/>
      <c r="H3386" s="11"/>
      <c r="I3386" s="12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14"/>
      <c r="Z3386" s="3"/>
      <c r="AA3386" s="3"/>
      <c r="AB3386" s="3"/>
      <c r="AC3386" s="3"/>
      <c r="AD3386" s="3"/>
      <c r="AE3386" s="3"/>
      <c r="AF3386" s="3"/>
      <c r="AG3386" s="3"/>
      <c r="AH3386" s="3"/>
    </row>
    <row r="3387" spans="1:34" ht="14.25" customHeight="1" x14ac:dyDescent="0.25">
      <c r="A3387" s="3"/>
      <c r="B3387" s="3"/>
      <c r="C3387" s="3"/>
      <c r="D3387" s="3"/>
      <c r="E3387" s="3"/>
      <c r="F3387" s="3"/>
      <c r="G3387" s="3"/>
      <c r="H3387" s="11"/>
      <c r="I3387" s="12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14"/>
      <c r="Z3387" s="3"/>
      <c r="AA3387" s="3"/>
      <c r="AB3387" s="3"/>
      <c r="AC3387" s="3"/>
      <c r="AD3387" s="3"/>
      <c r="AE3387" s="3"/>
      <c r="AF3387" s="3"/>
      <c r="AG3387" s="3"/>
      <c r="AH3387" s="3"/>
    </row>
    <row r="3388" spans="1:34" ht="14.25" customHeight="1" x14ac:dyDescent="0.25">
      <c r="A3388" s="3"/>
      <c r="B3388" s="3"/>
      <c r="C3388" s="3"/>
      <c r="D3388" s="3"/>
      <c r="E3388" s="3"/>
      <c r="F3388" s="3"/>
      <c r="G3388" s="3"/>
      <c r="H3388" s="11"/>
      <c r="I3388" s="12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14"/>
      <c r="Z3388" s="3"/>
      <c r="AA3388" s="3"/>
      <c r="AB3388" s="3"/>
      <c r="AC3388" s="3"/>
      <c r="AD3388" s="3"/>
      <c r="AE3388" s="3"/>
      <c r="AF3388" s="3"/>
      <c r="AG3388" s="3"/>
      <c r="AH3388" s="3"/>
    </row>
    <row r="3389" spans="1:34" ht="14.25" customHeight="1" x14ac:dyDescent="0.25">
      <c r="A3389" s="3"/>
      <c r="B3389" s="3"/>
      <c r="C3389" s="3"/>
      <c r="D3389" s="3"/>
      <c r="E3389" s="3"/>
      <c r="F3389" s="3"/>
      <c r="G3389" s="3"/>
      <c r="H3389" s="11"/>
      <c r="I3389" s="12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14"/>
      <c r="Z3389" s="3"/>
      <c r="AA3389" s="3"/>
      <c r="AB3389" s="3"/>
      <c r="AC3389" s="3"/>
      <c r="AD3389" s="3"/>
      <c r="AE3389" s="3"/>
      <c r="AF3389" s="3"/>
      <c r="AG3389" s="3"/>
      <c r="AH3389" s="3"/>
    </row>
    <row r="3390" spans="1:34" ht="14.25" customHeight="1" x14ac:dyDescent="0.25">
      <c r="A3390" s="3"/>
      <c r="B3390" s="3"/>
      <c r="C3390" s="3"/>
      <c r="D3390" s="3"/>
      <c r="E3390" s="3"/>
      <c r="F3390" s="3"/>
      <c r="G3390" s="3"/>
      <c r="H3390" s="11"/>
      <c r="I3390" s="12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14"/>
      <c r="Z3390" s="3"/>
      <c r="AA3390" s="3"/>
      <c r="AB3390" s="3"/>
      <c r="AC3390" s="3"/>
      <c r="AD3390" s="3"/>
      <c r="AE3390" s="3"/>
      <c r="AF3390" s="3"/>
      <c r="AG3390" s="3"/>
      <c r="AH3390" s="3"/>
    </row>
    <row r="3391" spans="1:34" ht="14.25" customHeight="1" x14ac:dyDescent="0.25">
      <c r="A3391" s="3"/>
      <c r="B3391" s="3"/>
      <c r="C3391" s="3"/>
      <c r="D3391" s="3"/>
      <c r="E3391" s="3"/>
      <c r="F3391" s="3"/>
      <c r="G3391" s="3"/>
      <c r="H3391" s="11"/>
      <c r="I3391" s="12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14"/>
      <c r="Z3391" s="3"/>
      <c r="AA3391" s="3"/>
      <c r="AB3391" s="3"/>
      <c r="AC3391" s="3"/>
      <c r="AD3391" s="3"/>
      <c r="AE3391" s="3"/>
      <c r="AF3391" s="3"/>
      <c r="AG3391" s="3"/>
      <c r="AH3391" s="3"/>
    </row>
    <row r="3392" spans="1:34" ht="14.25" customHeight="1" x14ac:dyDescent="0.25">
      <c r="A3392" s="3"/>
      <c r="B3392" s="3"/>
      <c r="C3392" s="3"/>
      <c r="D3392" s="3"/>
      <c r="E3392" s="3"/>
      <c r="F3392" s="3"/>
      <c r="G3392" s="3"/>
      <c r="H3392" s="11"/>
      <c r="I3392" s="12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14"/>
      <c r="Z3392" s="3"/>
      <c r="AA3392" s="3"/>
      <c r="AB3392" s="3"/>
      <c r="AC3392" s="3"/>
      <c r="AD3392" s="3"/>
      <c r="AE3392" s="3"/>
      <c r="AF3392" s="3"/>
      <c r="AG3392" s="3"/>
      <c r="AH3392" s="3"/>
    </row>
    <row r="3393" spans="1:34" ht="14.25" customHeight="1" x14ac:dyDescent="0.25">
      <c r="A3393" s="3"/>
      <c r="B3393" s="3"/>
      <c r="C3393" s="3"/>
      <c r="D3393" s="3"/>
      <c r="E3393" s="3"/>
      <c r="F3393" s="3"/>
      <c r="G3393" s="3"/>
      <c r="H3393" s="11"/>
      <c r="I3393" s="12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14"/>
      <c r="Z3393" s="3"/>
      <c r="AA3393" s="3"/>
      <c r="AB3393" s="3"/>
      <c r="AC3393" s="3"/>
      <c r="AD3393" s="3"/>
      <c r="AE3393" s="3"/>
      <c r="AF3393" s="3"/>
      <c r="AG3393" s="3"/>
      <c r="AH3393" s="3"/>
    </row>
    <row r="3394" spans="1:34" ht="14.25" customHeight="1" x14ac:dyDescent="0.25">
      <c r="A3394" s="3"/>
      <c r="B3394" s="3"/>
      <c r="C3394" s="3"/>
      <c r="D3394" s="3"/>
      <c r="E3394" s="3"/>
      <c r="F3394" s="3"/>
      <c r="G3394" s="3"/>
      <c r="H3394" s="11"/>
      <c r="I3394" s="12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14"/>
      <c r="Z3394" s="3"/>
      <c r="AA3394" s="3"/>
      <c r="AB3394" s="3"/>
      <c r="AC3394" s="3"/>
      <c r="AD3394" s="3"/>
      <c r="AE3394" s="3"/>
      <c r="AF3394" s="3"/>
      <c r="AG3394" s="3"/>
      <c r="AH3394" s="3"/>
    </row>
    <row r="3395" spans="1:34" ht="14.25" customHeight="1" x14ac:dyDescent="0.25">
      <c r="A3395" s="3"/>
      <c r="B3395" s="3"/>
      <c r="C3395" s="3"/>
      <c r="D3395" s="3"/>
      <c r="E3395" s="3"/>
      <c r="F3395" s="3"/>
      <c r="G3395" s="3"/>
      <c r="H3395" s="11"/>
      <c r="I3395" s="12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14"/>
      <c r="Z3395" s="3"/>
      <c r="AA3395" s="3"/>
      <c r="AB3395" s="3"/>
      <c r="AC3395" s="3"/>
      <c r="AD3395" s="3"/>
      <c r="AE3395" s="3"/>
      <c r="AF3395" s="3"/>
      <c r="AG3395" s="3"/>
      <c r="AH3395" s="3"/>
    </row>
    <row r="3396" spans="1:34" ht="14.25" customHeight="1" x14ac:dyDescent="0.25">
      <c r="A3396" s="3"/>
      <c r="B3396" s="3"/>
      <c r="C3396" s="3"/>
      <c r="D3396" s="3"/>
      <c r="E3396" s="3"/>
      <c r="F3396" s="3"/>
      <c r="G3396" s="14"/>
      <c r="H3396" s="11"/>
      <c r="I3396" s="12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14"/>
      <c r="Z3396" s="3"/>
      <c r="AA3396" s="3"/>
      <c r="AB3396" s="3"/>
      <c r="AC3396" s="3"/>
      <c r="AD3396" s="3"/>
      <c r="AE3396" s="3"/>
      <c r="AF3396" s="3"/>
      <c r="AG3396" s="3"/>
      <c r="AH3396" s="3"/>
    </row>
    <row r="3397" spans="1:34" ht="14.25" customHeight="1" x14ac:dyDescent="0.25">
      <c r="A3397" s="3"/>
      <c r="B3397" s="3"/>
      <c r="C3397" s="3"/>
      <c r="D3397" s="3"/>
      <c r="E3397" s="3"/>
      <c r="F3397" s="3"/>
      <c r="G3397" s="3"/>
      <c r="H3397" s="11"/>
      <c r="I3397" s="12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14"/>
      <c r="Z3397" s="3"/>
      <c r="AA3397" s="3"/>
      <c r="AB3397" s="3"/>
      <c r="AC3397" s="3"/>
      <c r="AD3397" s="3"/>
      <c r="AE3397" s="3"/>
      <c r="AF3397" s="3"/>
      <c r="AG3397" s="3"/>
      <c r="AH3397" s="3"/>
    </row>
    <row r="3398" spans="1:34" ht="14.25" customHeight="1" x14ac:dyDescent="0.25">
      <c r="A3398" s="3"/>
      <c r="B3398" s="3"/>
      <c r="C3398" s="3"/>
      <c r="D3398" s="3"/>
      <c r="E3398" s="3"/>
      <c r="F3398" s="3"/>
      <c r="G3398" s="3"/>
      <c r="H3398" s="11"/>
      <c r="I3398" s="12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14"/>
      <c r="Z3398" s="3"/>
      <c r="AA3398" s="3"/>
      <c r="AB3398" s="3"/>
      <c r="AC3398" s="3"/>
      <c r="AD3398" s="3"/>
      <c r="AE3398" s="3"/>
      <c r="AF3398" s="3"/>
      <c r="AG3398" s="3"/>
      <c r="AH3398" s="3"/>
    </row>
    <row r="3399" spans="1:34" ht="14.25" customHeight="1" x14ac:dyDescent="0.25">
      <c r="A3399" s="3"/>
      <c r="B3399" s="3"/>
      <c r="C3399" s="3"/>
      <c r="D3399" s="3"/>
      <c r="E3399" s="3"/>
      <c r="F3399" s="3"/>
      <c r="G3399" s="3"/>
      <c r="H3399" s="11"/>
      <c r="I3399" s="12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14"/>
      <c r="Z3399" s="3"/>
      <c r="AA3399" s="3"/>
      <c r="AB3399" s="3"/>
      <c r="AC3399" s="3"/>
      <c r="AD3399" s="3"/>
      <c r="AE3399" s="3"/>
      <c r="AF3399" s="3"/>
      <c r="AG3399" s="3"/>
      <c r="AH3399" s="3"/>
    </row>
    <row r="3400" spans="1:34" ht="14.25" customHeight="1" x14ac:dyDescent="0.25">
      <c r="A3400" s="3"/>
      <c r="B3400" s="3"/>
      <c r="C3400" s="3"/>
      <c r="D3400" s="3"/>
      <c r="E3400" s="3"/>
      <c r="F3400" s="3"/>
      <c r="G3400" s="3"/>
      <c r="H3400" s="11"/>
      <c r="I3400" s="12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14"/>
      <c r="Z3400" s="3"/>
      <c r="AA3400" s="3"/>
      <c r="AB3400" s="3"/>
      <c r="AC3400" s="3"/>
      <c r="AD3400" s="3"/>
      <c r="AE3400" s="3"/>
      <c r="AF3400" s="3"/>
      <c r="AG3400" s="3"/>
      <c r="AH3400" s="3"/>
    </row>
    <row r="3401" spans="1:34" ht="14.25" customHeight="1" x14ac:dyDescent="0.25">
      <c r="A3401" s="3"/>
      <c r="B3401" s="3"/>
      <c r="C3401" s="3"/>
      <c r="D3401" s="3"/>
      <c r="E3401" s="3"/>
      <c r="F3401" s="3"/>
      <c r="G3401" s="3"/>
      <c r="H3401" s="11"/>
      <c r="I3401" s="12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14"/>
      <c r="Z3401" s="3"/>
      <c r="AA3401" s="3"/>
      <c r="AB3401" s="3"/>
      <c r="AC3401" s="3"/>
      <c r="AD3401" s="3"/>
      <c r="AE3401" s="3"/>
      <c r="AF3401" s="3"/>
      <c r="AG3401" s="3"/>
      <c r="AH3401" s="3"/>
    </row>
    <row r="3402" spans="1:34" ht="14.25" customHeight="1" x14ac:dyDescent="0.25">
      <c r="A3402" s="3"/>
      <c r="B3402" s="3"/>
      <c r="C3402" s="3"/>
      <c r="D3402" s="3"/>
      <c r="E3402" s="3"/>
      <c r="F3402" s="3"/>
      <c r="G3402" s="3"/>
      <c r="H3402" s="11"/>
      <c r="I3402" s="12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14"/>
      <c r="Z3402" s="3"/>
      <c r="AA3402" s="3"/>
      <c r="AB3402" s="3"/>
      <c r="AC3402" s="3"/>
      <c r="AD3402" s="3"/>
      <c r="AE3402" s="3"/>
      <c r="AF3402" s="3"/>
      <c r="AG3402" s="3"/>
      <c r="AH3402" s="3"/>
    </row>
    <row r="3403" spans="1:34" ht="14.25" customHeight="1" x14ac:dyDescent="0.25">
      <c r="A3403" s="3"/>
      <c r="B3403" s="3"/>
      <c r="C3403" s="3"/>
      <c r="D3403" s="3"/>
      <c r="E3403" s="3"/>
      <c r="F3403" s="3"/>
      <c r="G3403" s="3"/>
      <c r="H3403" s="11"/>
      <c r="I3403" s="12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14"/>
      <c r="Z3403" s="3"/>
      <c r="AA3403" s="3"/>
      <c r="AB3403" s="3"/>
      <c r="AC3403" s="3"/>
      <c r="AD3403" s="3"/>
      <c r="AE3403" s="3"/>
      <c r="AF3403" s="3"/>
      <c r="AG3403" s="3"/>
      <c r="AH3403" s="3"/>
    </row>
    <row r="3404" spans="1:34" ht="14.25" customHeight="1" x14ac:dyDescent="0.25">
      <c r="A3404" s="3"/>
      <c r="B3404" s="3"/>
      <c r="C3404" s="3"/>
      <c r="D3404" s="3"/>
      <c r="E3404" s="3"/>
      <c r="F3404" s="3"/>
      <c r="G3404" s="3"/>
      <c r="H3404" s="11"/>
      <c r="I3404" s="12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14"/>
      <c r="Z3404" s="3"/>
      <c r="AA3404" s="3"/>
      <c r="AB3404" s="3"/>
      <c r="AC3404" s="3"/>
      <c r="AD3404" s="3"/>
      <c r="AE3404" s="3"/>
      <c r="AF3404" s="3"/>
      <c r="AG3404" s="3"/>
      <c r="AH3404" s="3"/>
    </row>
    <row r="3405" spans="1:34" ht="14.25" customHeight="1" x14ac:dyDescent="0.25">
      <c r="A3405" s="3"/>
      <c r="B3405" s="3"/>
      <c r="C3405" s="3"/>
      <c r="D3405" s="3"/>
      <c r="E3405" s="3"/>
      <c r="F3405" s="3"/>
      <c r="G3405" s="3"/>
      <c r="H3405" s="11"/>
      <c r="I3405" s="12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14"/>
      <c r="Z3405" s="3"/>
      <c r="AA3405" s="3"/>
      <c r="AB3405" s="3"/>
      <c r="AC3405" s="3"/>
      <c r="AD3405" s="3"/>
      <c r="AE3405" s="3"/>
      <c r="AF3405" s="3"/>
      <c r="AG3405" s="3"/>
      <c r="AH3405" s="3"/>
    </row>
    <row r="3406" spans="1:34" ht="14.25" customHeight="1" x14ac:dyDescent="0.25">
      <c r="A3406" s="3"/>
      <c r="B3406" s="3"/>
      <c r="C3406" s="3"/>
      <c r="D3406" s="3"/>
      <c r="E3406" s="3"/>
      <c r="F3406" s="3"/>
      <c r="G3406" s="14"/>
      <c r="H3406" s="11"/>
      <c r="I3406" s="12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14"/>
      <c r="Z3406" s="3"/>
      <c r="AA3406" s="3"/>
      <c r="AB3406" s="3"/>
      <c r="AC3406" s="3"/>
      <c r="AD3406" s="3"/>
      <c r="AE3406" s="3"/>
      <c r="AF3406" s="3"/>
      <c r="AG3406" s="3"/>
      <c r="AH3406" s="3"/>
    </row>
    <row r="3407" spans="1:34" ht="14.25" customHeight="1" x14ac:dyDescent="0.25">
      <c r="A3407" s="3"/>
      <c r="B3407" s="3"/>
      <c r="C3407" s="3"/>
      <c r="D3407" s="3"/>
      <c r="E3407" s="3"/>
      <c r="F3407" s="3"/>
      <c r="G3407" s="3"/>
      <c r="H3407" s="11"/>
      <c r="I3407" s="12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14"/>
      <c r="Z3407" s="3"/>
      <c r="AA3407" s="3"/>
      <c r="AB3407" s="3"/>
      <c r="AC3407" s="3"/>
      <c r="AD3407" s="3"/>
      <c r="AE3407" s="3"/>
      <c r="AF3407" s="3"/>
      <c r="AG3407" s="3"/>
      <c r="AH3407" s="3"/>
    </row>
    <row r="3408" spans="1:34" ht="14.25" customHeight="1" x14ac:dyDescent="0.25">
      <c r="A3408" s="3"/>
      <c r="B3408" s="3"/>
      <c r="C3408" s="3"/>
      <c r="D3408" s="3"/>
      <c r="E3408" s="3"/>
      <c r="F3408" s="3"/>
      <c r="G3408" s="3"/>
      <c r="H3408" s="11"/>
      <c r="I3408" s="12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14"/>
      <c r="Z3408" s="3"/>
      <c r="AA3408" s="3"/>
      <c r="AB3408" s="3"/>
      <c r="AC3408" s="3"/>
      <c r="AD3408" s="3"/>
      <c r="AE3408" s="3"/>
      <c r="AF3408" s="3"/>
      <c r="AG3408" s="3"/>
      <c r="AH3408" s="3"/>
    </row>
    <row r="3409" spans="1:34" ht="14.25" customHeight="1" x14ac:dyDescent="0.25">
      <c r="A3409" s="3"/>
      <c r="B3409" s="3"/>
      <c r="C3409" s="3"/>
      <c r="D3409" s="3"/>
      <c r="E3409" s="3"/>
      <c r="F3409" s="3"/>
      <c r="G3409" s="3"/>
      <c r="H3409" s="11"/>
      <c r="I3409" s="12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14"/>
      <c r="Z3409" s="3"/>
      <c r="AA3409" s="3"/>
      <c r="AB3409" s="3"/>
      <c r="AC3409" s="3"/>
      <c r="AD3409" s="3"/>
      <c r="AE3409" s="3"/>
      <c r="AF3409" s="3"/>
      <c r="AG3409" s="3"/>
      <c r="AH3409" s="3"/>
    </row>
    <row r="3410" spans="1:34" ht="14.25" customHeight="1" x14ac:dyDescent="0.25">
      <c r="A3410" s="3"/>
      <c r="B3410" s="3"/>
      <c r="C3410" s="3"/>
      <c r="D3410" s="3"/>
      <c r="E3410" s="3"/>
      <c r="F3410" s="3"/>
      <c r="G3410" s="14"/>
      <c r="H3410" s="11"/>
      <c r="I3410" s="12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14"/>
      <c r="Z3410" s="3"/>
      <c r="AA3410" s="3"/>
      <c r="AB3410" s="3"/>
      <c r="AC3410" s="3"/>
      <c r="AD3410" s="3"/>
      <c r="AE3410" s="3"/>
      <c r="AF3410" s="3"/>
      <c r="AG3410" s="3"/>
      <c r="AH3410" s="3"/>
    </row>
    <row r="3411" spans="1:34" ht="14.25" customHeight="1" x14ac:dyDescent="0.25">
      <c r="A3411" s="3"/>
      <c r="B3411" s="3"/>
      <c r="C3411" s="3"/>
      <c r="D3411" s="3"/>
      <c r="E3411" s="3"/>
      <c r="F3411" s="3"/>
      <c r="G3411" s="14"/>
      <c r="H3411" s="11"/>
      <c r="I3411" s="12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14"/>
      <c r="Z3411" s="3"/>
      <c r="AA3411" s="3"/>
      <c r="AB3411" s="3"/>
      <c r="AC3411" s="3"/>
      <c r="AD3411" s="3"/>
      <c r="AE3411" s="3"/>
      <c r="AF3411" s="3"/>
      <c r="AG3411" s="3"/>
      <c r="AH3411" s="3"/>
    </row>
    <row r="3412" spans="1:34" ht="14.25" customHeight="1" x14ac:dyDescent="0.25">
      <c r="A3412" s="3"/>
      <c r="B3412" s="3"/>
      <c r="C3412" s="3"/>
      <c r="D3412" s="3"/>
      <c r="E3412" s="3"/>
      <c r="F3412" s="3"/>
      <c r="G3412" s="14"/>
      <c r="H3412" s="11"/>
      <c r="I3412" s="12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14"/>
      <c r="Z3412" s="3"/>
      <c r="AA3412" s="3"/>
      <c r="AB3412" s="3"/>
      <c r="AC3412" s="3"/>
      <c r="AD3412" s="3"/>
      <c r="AE3412" s="3"/>
      <c r="AF3412" s="3"/>
      <c r="AG3412" s="3"/>
      <c r="AH3412" s="3"/>
    </row>
    <row r="3413" spans="1:34" ht="14.25" customHeight="1" x14ac:dyDescent="0.25">
      <c r="A3413" s="3"/>
      <c r="B3413" s="3"/>
      <c r="C3413" s="3"/>
      <c r="D3413" s="3"/>
      <c r="E3413" s="3"/>
      <c r="F3413" s="3"/>
      <c r="G3413" s="14"/>
      <c r="H3413" s="11"/>
      <c r="I3413" s="12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14"/>
      <c r="Z3413" s="3"/>
      <c r="AA3413" s="3"/>
      <c r="AB3413" s="3"/>
      <c r="AC3413" s="3"/>
      <c r="AD3413" s="3"/>
      <c r="AE3413" s="3"/>
      <c r="AF3413" s="3"/>
      <c r="AG3413" s="3"/>
      <c r="AH3413" s="3"/>
    </row>
    <row r="3414" spans="1:34" ht="14.25" customHeight="1" x14ac:dyDescent="0.25">
      <c r="A3414" s="3"/>
      <c r="B3414" s="3"/>
      <c r="C3414" s="3"/>
      <c r="D3414" s="3"/>
      <c r="E3414" s="3"/>
      <c r="F3414" s="3"/>
      <c r="G3414" s="14"/>
      <c r="H3414" s="11"/>
      <c r="I3414" s="12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</row>
    <row r="3415" spans="1:34" ht="14.25" customHeight="1" x14ac:dyDescent="0.25">
      <c r="A3415" s="3"/>
      <c r="B3415" s="3"/>
      <c r="C3415" s="3"/>
      <c r="D3415" s="3"/>
      <c r="E3415" s="3"/>
      <c r="F3415" s="3"/>
      <c r="G3415" s="3"/>
      <c r="H3415" s="11"/>
      <c r="I3415" s="12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14"/>
      <c r="Z3415" s="3"/>
      <c r="AA3415" s="3"/>
      <c r="AB3415" s="3"/>
      <c r="AC3415" s="3"/>
      <c r="AD3415" s="3"/>
      <c r="AE3415" s="3"/>
      <c r="AF3415" s="3"/>
      <c r="AG3415" s="3"/>
      <c r="AH3415" s="3"/>
    </row>
    <row r="3416" spans="1:34" ht="14.25" customHeight="1" x14ac:dyDescent="0.25">
      <c r="A3416" s="3"/>
      <c r="B3416" s="3"/>
      <c r="C3416" s="3"/>
      <c r="D3416" s="3"/>
      <c r="E3416" s="3"/>
      <c r="F3416" s="3"/>
      <c r="G3416" s="3"/>
      <c r="H3416" s="11"/>
      <c r="I3416" s="12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14"/>
      <c r="Z3416" s="3"/>
      <c r="AA3416" s="3"/>
      <c r="AB3416" s="3"/>
      <c r="AC3416" s="3"/>
      <c r="AD3416" s="3"/>
      <c r="AE3416" s="3"/>
      <c r="AF3416" s="3"/>
      <c r="AG3416" s="3"/>
      <c r="AH3416" s="3"/>
    </row>
    <row r="3417" spans="1:34" ht="14.25" customHeight="1" x14ac:dyDescent="0.25">
      <c r="A3417" s="3"/>
      <c r="B3417" s="3"/>
      <c r="C3417" s="3"/>
      <c r="D3417" s="3"/>
      <c r="E3417" s="3"/>
      <c r="F3417" s="3"/>
      <c r="G3417" s="3"/>
      <c r="H3417" s="11"/>
      <c r="I3417" s="12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14"/>
      <c r="Z3417" s="3"/>
      <c r="AA3417" s="3"/>
      <c r="AB3417" s="3"/>
      <c r="AC3417" s="3"/>
      <c r="AD3417" s="3"/>
      <c r="AE3417" s="3"/>
      <c r="AF3417" s="3"/>
      <c r="AG3417" s="3"/>
      <c r="AH3417" s="3"/>
    </row>
    <row r="3418" spans="1:34" ht="14.25" customHeight="1" x14ac:dyDescent="0.25">
      <c r="A3418" s="3"/>
      <c r="B3418" s="3"/>
      <c r="C3418" s="3"/>
      <c r="D3418" s="3"/>
      <c r="E3418" s="3"/>
      <c r="F3418" s="3"/>
      <c r="G3418" s="3"/>
      <c r="H3418" s="11"/>
      <c r="I3418" s="12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14"/>
      <c r="Z3418" s="3"/>
      <c r="AA3418" s="3"/>
      <c r="AB3418" s="3"/>
      <c r="AC3418" s="3"/>
      <c r="AD3418" s="3"/>
      <c r="AE3418" s="3"/>
      <c r="AF3418" s="3"/>
      <c r="AG3418" s="3"/>
      <c r="AH3418" s="3"/>
    </row>
    <row r="3419" spans="1:34" ht="14.25" customHeight="1" x14ac:dyDescent="0.25">
      <c r="A3419" s="3"/>
      <c r="B3419" s="3"/>
      <c r="C3419" s="3"/>
      <c r="D3419" s="3"/>
      <c r="E3419" s="3"/>
      <c r="F3419" s="3"/>
      <c r="G3419" s="3"/>
      <c r="H3419" s="11"/>
      <c r="I3419" s="12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14"/>
      <c r="Z3419" s="3"/>
      <c r="AA3419" s="3"/>
      <c r="AB3419" s="3"/>
      <c r="AC3419" s="3"/>
      <c r="AD3419" s="3"/>
      <c r="AE3419" s="3"/>
      <c r="AF3419" s="3"/>
      <c r="AG3419" s="3"/>
      <c r="AH3419" s="3"/>
    </row>
    <row r="3420" spans="1:34" ht="14.25" customHeight="1" x14ac:dyDescent="0.25">
      <c r="A3420" s="3"/>
      <c r="B3420" s="3"/>
      <c r="C3420" s="3"/>
      <c r="D3420" s="3"/>
      <c r="E3420" s="3"/>
      <c r="F3420" s="3"/>
      <c r="G3420" s="3"/>
      <c r="H3420" s="11"/>
      <c r="I3420" s="12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14"/>
      <c r="Z3420" s="3"/>
      <c r="AA3420" s="3"/>
      <c r="AB3420" s="3"/>
      <c r="AC3420" s="3"/>
      <c r="AD3420" s="3"/>
      <c r="AE3420" s="3"/>
      <c r="AF3420" s="3"/>
      <c r="AG3420" s="3"/>
      <c r="AH3420" s="3"/>
    </row>
    <row r="3421" spans="1:34" ht="14.25" customHeight="1" x14ac:dyDescent="0.25">
      <c r="A3421" s="3"/>
      <c r="B3421" s="3"/>
      <c r="C3421" s="3"/>
      <c r="D3421" s="3"/>
      <c r="E3421" s="3"/>
      <c r="F3421" s="3"/>
      <c r="G3421" s="3"/>
      <c r="H3421" s="11"/>
      <c r="I3421" s="12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14"/>
      <c r="Z3421" s="3"/>
      <c r="AA3421" s="3"/>
      <c r="AB3421" s="3"/>
      <c r="AC3421" s="3"/>
      <c r="AD3421" s="3"/>
      <c r="AE3421" s="3"/>
      <c r="AF3421" s="3"/>
      <c r="AG3421" s="3"/>
      <c r="AH3421" s="3"/>
    </row>
    <row r="3422" spans="1:34" ht="14.25" customHeight="1" x14ac:dyDescent="0.25">
      <c r="A3422" s="3"/>
      <c r="B3422" s="3"/>
      <c r="C3422" s="3"/>
      <c r="D3422" s="3"/>
      <c r="E3422" s="3"/>
      <c r="F3422" s="3"/>
      <c r="G3422" s="3"/>
      <c r="H3422" s="11"/>
      <c r="I3422" s="12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14"/>
      <c r="Z3422" s="3"/>
      <c r="AA3422" s="3"/>
      <c r="AB3422" s="3"/>
      <c r="AC3422" s="3"/>
      <c r="AD3422" s="3"/>
      <c r="AE3422" s="3"/>
      <c r="AF3422" s="3"/>
      <c r="AG3422" s="3"/>
      <c r="AH3422" s="3"/>
    </row>
    <row r="3423" spans="1:34" ht="14.25" customHeight="1" x14ac:dyDescent="0.25">
      <c r="A3423" s="3"/>
      <c r="B3423" s="3"/>
      <c r="C3423" s="3"/>
      <c r="D3423" s="3"/>
      <c r="E3423" s="3"/>
      <c r="F3423" s="3"/>
      <c r="G3423" s="3"/>
      <c r="H3423" s="11"/>
      <c r="I3423" s="12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14"/>
      <c r="Z3423" s="3"/>
      <c r="AA3423" s="3"/>
      <c r="AB3423" s="3"/>
      <c r="AC3423" s="3"/>
      <c r="AD3423" s="3"/>
      <c r="AE3423" s="3"/>
      <c r="AF3423" s="3"/>
      <c r="AG3423" s="3"/>
      <c r="AH3423" s="3"/>
    </row>
    <row r="3424" spans="1:34" ht="14.25" customHeight="1" x14ac:dyDescent="0.25">
      <c r="A3424" s="3"/>
      <c r="B3424" s="3"/>
      <c r="C3424" s="3"/>
      <c r="D3424" s="3"/>
      <c r="E3424" s="3"/>
      <c r="F3424" s="3"/>
      <c r="G3424" s="3"/>
      <c r="H3424" s="11"/>
      <c r="I3424" s="12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14"/>
      <c r="Z3424" s="3"/>
      <c r="AA3424" s="3"/>
      <c r="AB3424" s="3"/>
      <c r="AC3424" s="3"/>
      <c r="AD3424" s="3"/>
      <c r="AE3424" s="3"/>
      <c r="AF3424" s="3"/>
      <c r="AG3424" s="3"/>
      <c r="AH3424" s="3"/>
    </row>
    <row r="3425" spans="1:34" ht="14.25" customHeight="1" x14ac:dyDescent="0.25">
      <c r="A3425" s="3"/>
      <c r="B3425" s="3"/>
      <c r="C3425" s="3"/>
      <c r="D3425" s="3"/>
      <c r="E3425" s="3"/>
      <c r="F3425" s="3"/>
      <c r="G3425" s="3"/>
      <c r="H3425" s="11"/>
      <c r="I3425" s="12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14"/>
      <c r="Z3425" s="3"/>
      <c r="AA3425" s="3"/>
      <c r="AB3425" s="3"/>
      <c r="AC3425" s="3"/>
      <c r="AD3425" s="3"/>
      <c r="AE3425" s="3"/>
      <c r="AF3425" s="3"/>
      <c r="AG3425" s="3"/>
      <c r="AH3425" s="3"/>
    </row>
    <row r="3426" spans="1:34" ht="14.25" customHeight="1" x14ac:dyDescent="0.25">
      <c r="A3426" s="3"/>
      <c r="B3426" s="3"/>
      <c r="C3426" s="3"/>
      <c r="D3426" s="3"/>
      <c r="E3426" s="3"/>
      <c r="F3426" s="3"/>
      <c r="G3426" s="3"/>
      <c r="H3426" s="11"/>
      <c r="I3426" s="12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14"/>
      <c r="Z3426" s="3"/>
      <c r="AA3426" s="3"/>
      <c r="AB3426" s="3"/>
      <c r="AC3426" s="3"/>
      <c r="AD3426" s="3"/>
      <c r="AE3426" s="3"/>
      <c r="AF3426" s="3"/>
      <c r="AG3426" s="3"/>
      <c r="AH3426" s="3"/>
    </row>
    <row r="3427" spans="1:34" ht="14.25" customHeight="1" x14ac:dyDescent="0.25">
      <c r="A3427" s="3"/>
      <c r="B3427" s="3"/>
      <c r="C3427" s="3"/>
      <c r="D3427" s="3"/>
      <c r="E3427" s="3"/>
      <c r="F3427" s="3"/>
      <c r="G3427" s="3"/>
      <c r="H3427" s="11"/>
      <c r="I3427" s="12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14"/>
      <c r="Z3427" s="3"/>
      <c r="AA3427" s="3"/>
      <c r="AB3427" s="3"/>
      <c r="AC3427" s="3"/>
      <c r="AD3427" s="3"/>
      <c r="AE3427" s="3"/>
      <c r="AF3427" s="3"/>
      <c r="AG3427" s="3"/>
      <c r="AH3427" s="3"/>
    </row>
    <row r="3428" spans="1:34" ht="14.25" customHeight="1" x14ac:dyDescent="0.25">
      <c r="A3428" s="3"/>
      <c r="B3428" s="3"/>
      <c r="C3428" s="3"/>
      <c r="D3428" s="3"/>
      <c r="E3428" s="3"/>
      <c r="F3428" s="3"/>
      <c r="G3428" s="14"/>
      <c r="H3428" s="11"/>
      <c r="I3428" s="12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14"/>
      <c r="Z3428" s="3"/>
      <c r="AA3428" s="3"/>
      <c r="AB3428" s="3"/>
      <c r="AC3428" s="3"/>
      <c r="AD3428" s="3"/>
      <c r="AE3428" s="3"/>
      <c r="AF3428" s="3"/>
      <c r="AG3428" s="3"/>
      <c r="AH3428" s="3"/>
    </row>
    <row r="3429" spans="1:34" ht="14.25" customHeight="1" x14ac:dyDescent="0.25">
      <c r="A3429" s="3"/>
      <c r="B3429" s="3"/>
      <c r="C3429" s="3"/>
      <c r="D3429" s="3"/>
      <c r="E3429" s="3"/>
      <c r="F3429" s="3"/>
      <c r="G3429" s="14"/>
      <c r="H3429" s="11"/>
      <c r="I3429" s="12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14"/>
      <c r="Z3429" s="3"/>
      <c r="AA3429" s="3"/>
      <c r="AB3429" s="3"/>
      <c r="AC3429" s="3"/>
      <c r="AD3429" s="3"/>
      <c r="AE3429" s="3"/>
      <c r="AF3429" s="3"/>
      <c r="AG3429" s="3"/>
      <c r="AH3429" s="3"/>
    </row>
    <row r="3430" spans="1:34" ht="14.25" customHeight="1" x14ac:dyDescent="0.25">
      <c r="A3430" s="3"/>
      <c r="B3430" s="3"/>
      <c r="C3430" s="3"/>
      <c r="D3430" s="3"/>
      <c r="E3430" s="3"/>
      <c r="F3430" s="3"/>
      <c r="G3430" s="14"/>
      <c r="H3430" s="11"/>
      <c r="I3430" s="12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14"/>
      <c r="Z3430" s="3"/>
      <c r="AA3430" s="3"/>
      <c r="AB3430" s="3"/>
      <c r="AC3430" s="3"/>
      <c r="AD3430" s="3"/>
      <c r="AE3430" s="3"/>
      <c r="AF3430" s="3"/>
      <c r="AG3430" s="3"/>
      <c r="AH3430" s="3"/>
    </row>
    <row r="3431" spans="1:34" ht="14.25" customHeight="1" x14ac:dyDescent="0.25">
      <c r="A3431" s="3"/>
      <c r="B3431" s="3"/>
      <c r="C3431" s="3"/>
      <c r="D3431" s="3"/>
      <c r="E3431" s="3"/>
      <c r="F3431" s="3"/>
      <c r="G3431" s="3"/>
      <c r="H3431" s="11"/>
      <c r="I3431" s="12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14"/>
      <c r="Z3431" s="3"/>
      <c r="AA3431" s="3"/>
      <c r="AB3431" s="3"/>
      <c r="AC3431" s="3"/>
      <c r="AD3431" s="3"/>
      <c r="AE3431" s="3"/>
      <c r="AF3431" s="3"/>
      <c r="AG3431" s="3"/>
      <c r="AH3431" s="3"/>
    </row>
    <row r="3432" spans="1:34" ht="14.25" customHeight="1" x14ac:dyDescent="0.25">
      <c r="A3432" s="3"/>
      <c r="B3432" s="3"/>
      <c r="C3432" s="3"/>
      <c r="D3432" s="3"/>
      <c r="E3432" s="3"/>
      <c r="F3432" s="3"/>
      <c r="G3432" s="3"/>
      <c r="H3432" s="11"/>
      <c r="I3432" s="12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14"/>
      <c r="Z3432" s="3"/>
      <c r="AA3432" s="3"/>
      <c r="AB3432" s="3"/>
      <c r="AC3432" s="3"/>
      <c r="AD3432" s="3"/>
      <c r="AE3432" s="3"/>
      <c r="AF3432" s="3"/>
      <c r="AG3432" s="3"/>
      <c r="AH3432" s="3"/>
    </row>
    <row r="3433" spans="1:34" ht="14.25" customHeight="1" x14ac:dyDescent="0.25">
      <c r="A3433" s="3"/>
      <c r="B3433" s="3"/>
      <c r="C3433" s="3"/>
      <c r="D3433" s="3"/>
      <c r="E3433" s="3"/>
      <c r="F3433" s="3"/>
      <c r="G3433" s="3"/>
      <c r="H3433" s="11"/>
      <c r="I3433" s="12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14"/>
      <c r="Z3433" s="3"/>
      <c r="AA3433" s="3"/>
      <c r="AB3433" s="3"/>
      <c r="AC3433" s="3"/>
      <c r="AD3433" s="3"/>
      <c r="AE3433" s="3"/>
      <c r="AF3433" s="3"/>
      <c r="AG3433" s="3"/>
      <c r="AH3433" s="3"/>
    </row>
    <row r="3434" spans="1:34" ht="14.25" customHeight="1" x14ac:dyDescent="0.25">
      <c r="A3434" s="3"/>
      <c r="B3434" s="3"/>
      <c r="C3434" s="3"/>
      <c r="D3434" s="3"/>
      <c r="E3434" s="3"/>
      <c r="F3434" s="3"/>
      <c r="G3434" s="3"/>
      <c r="H3434" s="11"/>
      <c r="I3434" s="12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14"/>
      <c r="Z3434" s="3"/>
      <c r="AA3434" s="3"/>
      <c r="AB3434" s="3"/>
      <c r="AC3434" s="3"/>
      <c r="AD3434" s="3"/>
      <c r="AE3434" s="3"/>
      <c r="AF3434" s="3"/>
      <c r="AG3434" s="3"/>
      <c r="AH3434" s="3"/>
    </row>
    <row r="3435" spans="1:34" ht="14.25" customHeight="1" x14ac:dyDescent="0.25">
      <c r="A3435" s="3"/>
      <c r="B3435" s="3"/>
      <c r="C3435" s="3"/>
      <c r="D3435" s="3"/>
      <c r="E3435" s="3"/>
      <c r="F3435" s="3"/>
      <c r="G3435" s="3"/>
      <c r="H3435" s="11"/>
      <c r="I3435" s="12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14"/>
      <c r="Z3435" s="3"/>
      <c r="AA3435" s="3"/>
      <c r="AB3435" s="3"/>
      <c r="AC3435" s="3"/>
      <c r="AD3435" s="3"/>
      <c r="AE3435" s="3"/>
      <c r="AF3435" s="3"/>
      <c r="AG3435" s="3"/>
      <c r="AH3435" s="3"/>
    </row>
    <row r="3436" spans="1:34" ht="14.25" customHeight="1" x14ac:dyDescent="0.25">
      <c r="A3436" s="3"/>
      <c r="B3436" s="3"/>
      <c r="C3436" s="3"/>
      <c r="D3436" s="3"/>
      <c r="E3436" s="3"/>
      <c r="F3436" s="3"/>
      <c r="G3436" s="3"/>
      <c r="H3436" s="11"/>
      <c r="I3436" s="12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14"/>
      <c r="Z3436" s="3"/>
      <c r="AA3436" s="3"/>
      <c r="AB3436" s="3"/>
      <c r="AC3436" s="3"/>
      <c r="AD3436" s="3"/>
      <c r="AE3436" s="3"/>
      <c r="AF3436" s="3"/>
      <c r="AG3436" s="3"/>
      <c r="AH3436" s="3"/>
    </row>
    <row r="3437" spans="1:34" ht="14.25" customHeight="1" x14ac:dyDescent="0.25">
      <c r="A3437" s="3"/>
      <c r="B3437" s="3"/>
      <c r="C3437" s="3"/>
      <c r="D3437" s="3"/>
      <c r="E3437" s="3"/>
      <c r="F3437" s="3"/>
      <c r="G3437" s="3"/>
      <c r="H3437" s="11"/>
      <c r="I3437" s="12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14"/>
      <c r="Z3437" s="3"/>
      <c r="AA3437" s="3"/>
      <c r="AB3437" s="3"/>
      <c r="AC3437" s="3"/>
      <c r="AD3437" s="3"/>
      <c r="AE3437" s="3"/>
      <c r="AF3437" s="3"/>
      <c r="AG3437" s="3"/>
      <c r="AH3437" s="3"/>
    </row>
    <row r="3438" spans="1:34" ht="14.25" customHeight="1" x14ac:dyDescent="0.25">
      <c r="A3438" s="3"/>
      <c r="B3438" s="3"/>
      <c r="C3438" s="3"/>
      <c r="D3438" s="3"/>
      <c r="E3438" s="3"/>
      <c r="F3438" s="3"/>
      <c r="G3438" s="3"/>
      <c r="H3438" s="11"/>
      <c r="I3438" s="12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14"/>
      <c r="Z3438" s="3"/>
      <c r="AA3438" s="3"/>
      <c r="AB3438" s="3"/>
      <c r="AC3438" s="3"/>
      <c r="AD3438" s="3"/>
      <c r="AE3438" s="3"/>
      <c r="AF3438" s="3"/>
      <c r="AG3438" s="3"/>
      <c r="AH3438" s="3"/>
    </row>
    <row r="3439" spans="1:34" ht="14.25" customHeight="1" x14ac:dyDescent="0.25">
      <c r="A3439" s="3"/>
      <c r="B3439" s="3"/>
      <c r="C3439" s="3"/>
      <c r="D3439" s="3"/>
      <c r="E3439" s="3"/>
      <c r="F3439" s="3"/>
      <c r="G3439" s="3"/>
      <c r="H3439" s="11"/>
      <c r="I3439" s="12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14"/>
      <c r="Z3439" s="3"/>
      <c r="AA3439" s="3"/>
      <c r="AB3439" s="3"/>
      <c r="AC3439" s="3"/>
      <c r="AD3439" s="3"/>
      <c r="AE3439" s="3"/>
      <c r="AF3439" s="3"/>
      <c r="AG3439" s="3"/>
      <c r="AH3439" s="3"/>
    </row>
    <row r="3440" spans="1:34" ht="14.25" customHeight="1" x14ac:dyDescent="0.25">
      <c r="A3440" s="3"/>
      <c r="B3440" s="3"/>
      <c r="C3440" s="3"/>
      <c r="D3440" s="3"/>
      <c r="E3440" s="3"/>
      <c r="F3440" s="3"/>
      <c r="G3440" s="3"/>
      <c r="H3440" s="11"/>
      <c r="I3440" s="12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14"/>
      <c r="Z3440" s="3"/>
      <c r="AA3440" s="3"/>
      <c r="AB3440" s="3"/>
      <c r="AC3440" s="3"/>
      <c r="AD3440" s="3"/>
      <c r="AE3440" s="3"/>
      <c r="AF3440" s="3"/>
      <c r="AG3440" s="3"/>
      <c r="AH3440" s="3"/>
    </row>
    <row r="3441" spans="1:34" ht="14.25" customHeight="1" x14ac:dyDescent="0.25">
      <c r="A3441" s="3"/>
      <c r="B3441" s="3"/>
      <c r="C3441" s="3"/>
      <c r="D3441" s="3"/>
      <c r="E3441" s="3"/>
      <c r="F3441" s="3"/>
      <c r="G3441" s="3"/>
      <c r="H3441" s="11"/>
      <c r="I3441" s="12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14"/>
      <c r="Z3441" s="3"/>
      <c r="AA3441" s="3"/>
      <c r="AB3441" s="3"/>
      <c r="AC3441" s="3"/>
      <c r="AD3441" s="3"/>
      <c r="AE3441" s="3"/>
      <c r="AF3441" s="3"/>
      <c r="AG3441" s="3"/>
      <c r="AH3441" s="3"/>
    </row>
    <row r="3442" spans="1:34" ht="14.25" customHeight="1" x14ac:dyDescent="0.25">
      <c r="A3442" s="3"/>
      <c r="B3442" s="3"/>
      <c r="C3442" s="3"/>
      <c r="D3442" s="3"/>
      <c r="E3442" s="3"/>
      <c r="F3442" s="3"/>
      <c r="G3442" s="3"/>
      <c r="H3442" s="11"/>
      <c r="I3442" s="12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14"/>
      <c r="Z3442" s="3"/>
      <c r="AA3442" s="3"/>
      <c r="AB3442" s="3"/>
      <c r="AC3442" s="3"/>
      <c r="AD3442" s="3"/>
      <c r="AE3442" s="3"/>
      <c r="AF3442" s="3"/>
      <c r="AG3442" s="3"/>
      <c r="AH3442" s="3"/>
    </row>
    <row r="3443" spans="1:34" ht="14.25" customHeight="1" x14ac:dyDescent="0.25">
      <c r="A3443" s="3"/>
      <c r="B3443" s="3"/>
      <c r="C3443" s="3"/>
      <c r="D3443" s="3"/>
      <c r="E3443" s="3"/>
      <c r="F3443" s="3"/>
      <c r="G3443" s="3"/>
      <c r="H3443" s="11"/>
      <c r="I3443" s="12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14"/>
      <c r="Z3443" s="3"/>
      <c r="AA3443" s="3"/>
      <c r="AB3443" s="3"/>
      <c r="AC3443" s="3"/>
      <c r="AD3443" s="3"/>
      <c r="AE3443" s="3"/>
      <c r="AF3443" s="3"/>
      <c r="AG3443" s="3"/>
      <c r="AH3443" s="3"/>
    </row>
    <row r="3444" spans="1:34" ht="14.25" customHeight="1" x14ac:dyDescent="0.25">
      <c r="A3444" s="3"/>
      <c r="B3444" s="3"/>
      <c r="C3444" s="3"/>
      <c r="D3444" s="3"/>
      <c r="E3444" s="3"/>
      <c r="F3444" s="3"/>
      <c r="G3444" s="3"/>
      <c r="H3444" s="11"/>
      <c r="I3444" s="12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14"/>
      <c r="Z3444" s="3"/>
      <c r="AA3444" s="3"/>
      <c r="AB3444" s="3"/>
      <c r="AC3444" s="3"/>
      <c r="AD3444" s="3"/>
      <c r="AE3444" s="3"/>
      <c r="AF3444" s="3"/>
      <c r="AG3444" s="3"/>
      <c r="AH3444" s="3"/>
    </row>
    <row r="3445" spans="1:34" ht="14.25" customHeight="1" x14ac:dyDescent="0.25">
      <c r="A3445" s="3"/>
      <c r="B3445" s="3"/>
      <c r="C3445" s="3"/>
      <c r="D3445" s="3"/>
      <c r="E3445" s="3"/>
      <c r="F3445" s="3"/>
      <c r="G3445" s="3"/>
      <c r="H3445" s="11"/>
      <c r="I3445" s="12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14"/>
      <c r="Z3445" s="3"/>
      <c r="AA3445" s="3"/>
      <c r="AB3445" s="3"/>
      <c r="AC3445" s="3"/>
      <c r="AD3445" s="3"/>
      <c r="AE3445" s="3"/>
      <c r="AF3445" s="3"/>
      <c r="AG3445" s="3"/>
      <c r="AH3445" s="3"/>
    </row>
    <row r="3446" spans="1:34" ht="14.25" customHeight="1" x14ac:dyDescent="0.25">
      <c r="A3446" s="3"/>
      <c r="B3446" s="3"/>
      <c r="C3446" s="3"/>
      <c r="D3446" s="3"/>
      <c r="E3446" s="3"/>
      <c r="F3446" s="3"/>
      <c r="G3446" s="3"/>
      <c r="H3446" s="11"/>
      <c r="I3446" s="12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14"/>
      <c r="Z3446" s="3"/>
      <c r="AA3446" s="3"/>
      <c r="AB3446" s="3"/>
      <c r="AC3446" s="3"/>
      <c r="AD3446" s="3"/>
      <c r="AE3446" s="3"/>
      <c r="AF3446" s="3"/>
      <c r="AG3446" s="3"/>
      <c r="AH3446" s="3"/>
    </row>
    <row r="3447" spans="1:34" ht="14.25" customHeight="1" x14ac:dyDescent="0.25">
      <c r="A3447" s="3"/>
      <c r="B3447" s="3"/>
      <c r="C3447" s="3"/>
      <c r="D3447" s="3"/>
      <c r="E3447" s="3"/>
      <c r="F3447" s="3"/>
      <c r="G3447" s="3"/>
      <c r="H3447" s="11"/>
      <c r="I3447" s="12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14"/>
      <c r="Z3447" s="3"/>
      <c r="AA3447" s="3"/>
      <c r="AB3447" s="3"/>
      <c r="AC3447" s="3"/>
      <c r="AD3447" s="3"/>
      <c r="AE3447" s="3"/>
      <c r="AF3447" s="3"/>
      <c r="AG3447" s="3"/>
      <c r="AH3447" s="3"/>
    </row>
    <row r="3448" spans="1:34" ht="14.25" customHeight="1" x14ac:dyDescent="0.25">
      <c r="A3448" s="3"/>
      <c r="B3448" s="3"/>
      <c r="C3448" s="3"/>
      <c r="D3448" s="3"/>
      <c r="E3448" s="3"/>
      <c r="F3448" s="3"/>
      <c r="G3448" s="3"/>
      <c r="H3448" s="11"/>
      <c r="I3448" s="12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14"/>
      <c r="Z3448" s="3"/>
      <c r="AA3448" s="3"/>
      <c r="AB3448" s="3"/>
      <c r="AC3448" s="3"/>
      <c r="AD3448" s="3"/>
      <c r="AE3448" s="3"/>
      <c r="AF3448" s="3"/>
      <c r="AG3448" s="3"/>
      <c r="AH3448" s="3"/>
    </row>
    <row r="3449" spans="1:34" ht="14.25" customHeight="1" x14ac:dyDescent="0.25">
      <c r="A3449" s="3"/>
      <c r="B3449" s="3"/>
      <c r="C3449" s="3"/>
      <c r="D3449" s="3"/>
      <c r="E3449" s="3"/>
      <c r="F3449" s="3"/>
      <c r="G3449" s="3"/>
      <c r="H3449" s="11"/>
      <c r="I3449" s="12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14"/>
      <c r="Z3449" s="3"/>
      <c r="AA3449" s="3"/>
      <c r="AB3449" s="3"/>
      <c r="AC3449" s="3"/>
      <c r="AD3449" s="3"/>
      <c r="AE3449" s="3"/>
      <c r="AF3449" s="3"/>
      <c r="AG3449" s="3"/>
      <c r="AH3449" s="3"/>
    </row>
    <row r="3450" spans="1:34" ht="14.25" customHeight="1" x14ac:dyDescent="0.25">
      <c r="A3450" s="3"/>
      <c r="B3450" s="3"/>
      <c r="C3450" s="3"/>
      <c r="D3450" s="3"/>
      <c r="E3450" s="3"/>
      <c r="F3450" s="3"/>
      <c r="G3450" s="3"/>
      <c r="H3450" s="11"/>
      <c r="I3450" s="12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14"/>
      <c r="X3450" s="3"/>
      <c r="Y3450" s="14"/>
      <c r="Z3450" s="3"/>
      <c r="AA3450" s="3"/>
      <c r="AB3450" s="3"/>
      <c r="AC3450" s="3"/>
      <c r="AD3450" s="3"/>
      <c r="AE3450" s="3"/>
      <c r="AF3450" s="3"/>
      <c r="AG3450" s="3"/>
      <c r="AH3450" s="3"/>
    </row>
    <row r="3451" spans="1:34" ht="14.25" customHeight="1" x14ac:dyDescent="0.25">
      <c r="A3451" s="3"/>
      <c r="B3451" s="3"/>
      <c r="C3451" s="3"/>
      <c r="D3451" s="3"/>
      <c r="E3451" s="3"/>
      <c r="F3451" s="3"/>
      <c r="G3451" s="3"/>
      <c r="H3451" s="11"/>
      <c r="I3451" s="12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14"/>
      <c r="Z3451" s="3"/>
      <c r="AA3451" s="3"/>
      <c r="AB3451" s="3"/>
      <c r="AC3451" s="3"/>
      <c r="AD3451" s="3"/>
      <c r="AE3451" s="3"/>
      <c r="AF3451" s="3"/>
      <c r="AG3451" s="3"/>
      <c r="AH3451" s="3"/>
    </row>
    <row r="3452" spans="1:34" ht="14.25" customHeight="1" x14ac:dyDescent="0.25">
      <c r="A3452" s="3"/>
      <c r="B3452" s="3"/>
      <c r="C3452" s="3"/>
      <c r="D3452" s="3"/>
      <c r="E3452" s="3"/>
      <c r="F3452" s="3"/>
      <c r="G3452" s="3"/>
      <c r="H3452" s="11"/>
      <c r="I3452" s="12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14"/>
      <c r="X3452" s="3"/>
      <c r="Y3452" s="14"/>
      <c r="Z3452" s="3"/>
      <c r="AA3452" s="3"/>
      <c r="AB3452" s="3"/>
      <c r="AC3452" s="3"/>
      <c r="AD3452" s="3"/>
      <c r="AE3452" s="3"/>
      <c r="AF3452" s="3"/>
      <c r="AG3452" s="3"/>
      <c r="AH3452" s="3"/>
    </row>
    <row r="3453" spans="1:34" ht="14.25" customHeight="1" x14ac:dyDescent="0.25">
      <c r="A3453" s="3"/>
      <c r="B3453" s="3"/>
      <c r="C3453" s="3"/>
      <c r="D3453" s="3"/>
      <c r="E3453" s="3"/>
      <c r="F3453" s="3"/>
      <c r="G3453" s="3"/>
      <c r="H3453" s="11"/>
      <c r="I3453" s="12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14"/>
      <c r="Z3453" s="3"/>
      <c r="AA3453" s="3"/>
      <c r="AB3453" s="3"/>
      <c r="AC3453" s="3"/>
      <c r="AD3453" s="3"/>
      <c r="AE3453" s="3"/>
      <c r="AF3453" s="3"/>
      <c r="AG3453" s="3"/>
      <c r="AH3453" s="3"/>
    </row>
    <row r="3454" spans="1:34" ht="14.25" customHeight="1" x14ac:dyDescent="0.25">
      <c r="A3454" s="3"/>
      <c r="B3454" s="3"/>
      <c r="C3454" s="3"/>
      <c r="D3454" s="3"/>
      <c r="E3454" s="3"/>
      <c r="F3454" s="3"/>
      <c r="G3454" s="3"/>
      <c r="H3454" s="11"/>
      <c r="I3454" s="12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14"/>
      <c r="Z3454" s="3"/>
      <c r="AA3454" s="3"/>
      <c r="AB3454" s="3"/>
      <c r="AC3454" s="3"/>
      <c r="AD3454" s="3"/>
      <c r="AE3454" s="3"/>
      <c r="AF3454" s="3"/>
      <c r="AG3454" s="3"/>
      <c r="AH3454" s="3"/>
    </row>
    <row r="3455" spans="1:34" ht="14.25" customHeight="1" x14ac:dyDescent="0.25">
      <c r="A3455" s="3"/>
      <c r="B3455" s="3"/>
      <c r="C3455" s="3"/>
      <c r="D3455" s="3"/>
      <c r="E3455" s="3"/>
      <c r="F3455" s="3"/>
      <c r="G3455" s="3"/>
      <c r="H3455" s="11"/>
      <c r="I3455" s="12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14"/>
      <c r="Z3455" s="3"/>
      <c r="AA3455" s="3"/>
      <c r="AB3455" s="3"/>
      <c r="AC3455" s="3"/>
      <c r="AD3455" s="3"/>
      <c r="AE3455" s="3"/>
      <c r="AF3455" s="3"/>
      <c r="AG3455" s="3"/>
      <c r="AH3455" s="3"/>
    </row>
    <row r="3456" spans="1:34" ht="14.25" customHeight="1" x14ac:dyDescent="0.25">
      <c r="A3456" s="3"/>
      <c r="B3456" s="3"/>
      <c r="C3456" s="3"/>
      <c r="D3456" s="3"/>
      <c r="E3456" s="3"/>
      <c r="F3456" s="3"/>
      <c r="G3456" s="14"/>
      <c r="H3456" s="11"/>
      <c r="I3456" s="12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14"/>
      <c r="Z3456" s="3"/>
      <c r="AA3456" s="3"/>
      <c r="AB3456" s="3"/>
      <c r="AC3456" s="3"/>
      <c r="AD3456" s="3"/>
      <c r="AE3456" s="3"/>
      <c r="AF3456" s="3"/>
      <c r="AG3456" s="3"/>
      <c r="AH3456" s="3"/>
    </row>
    <row r="3457" spans="1:34" ht="14.25" customHeight="1" x14ac:dyDescent="0.25">
      <c r="A3457" s="3"/>
      <c r="B3457" s="3"/>
      <c r="C3457" s="3"/>
      <c r="D3457" s="3"/>
      <c r="E3457" s="3"/>
      <c r="F3457" s="3"/>
      <c r="G3457" s="3"/>
      <c r="H3457" s="11"/>
      <c r="I3457" s="12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14"/>
      <c r="Z3457" s="3"/>
      <c r="AA3457" s="3"/>
      <c r="AB3457" s="3"/>
      <c r="AC3457" s="3"/>
      <c r="AD3457" s="3"/>
      <c r="AE3457" s="3"/>
      <c r="AF3457" s="3"/>
      <c r="AG3457" s="3"/>
      <c r="AH3457" s="3"/>
    </row>
    <row r="3458" spans="1:34" ht="14.25" customHeight="1" x14ac:dyDescent="0.25">
      <c r="A3458" s="3"/>
      <c r="B3458" s="3"/>
      <c r="C3458" s="3"/>
      <c r="D3458" s="3"/>
      <c r="E3458" s="3"/>
      <c r="F3458" s="3"/>
      <c r="G3458" s="3"/>
      <c r="H3458" s="11"/>
      <c r="I3458" s="12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14"/>
      <c r="Z3458" s="3"/>
      <c r="AA3458" s="3"/>
      <c r="AB3458" s="3"/>
      <c r="AC3458" s="3"/>
      <c r="AD3458" s="3"/>
      <c r="AE3458" s="3"/>
      <c r="AF3458" s="3"/>
      <c r="AG3458" s="3"/>
      <c r="AH3458" s="3"/>
    </row>
    <row r="3459" spans="1:34" ht="14.25" customHeight="1" x14ac:dyDescent="0.25">
      <c r="A3459" s="3"/>
      <c r="B3459" s="3"/>
      <c r="C3459" s="3"/>
      <c r="D3459" s="3"/>
      <c r="E3459" s="3"/>
      <c r="F3459" s="3"/>
      <c r="G3459" s="3"/>
      <c r="H3459" s="11"/>
      <c r="I3459" s="12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14"/>
      <c r="Z3459" s="3"/>
      <c r="AA3459" s="3"/>
      <c r="AB3459" s="3"/>
      <c r="AC3459" s="3"/>
      <c r="AD3459" s="3"/>
      <c r="AE3459" s="3"/>
      <c r="AF3459" s="3"/>
      <c r="AG3459" s="3"/>
      <c r="AH3459" s="3"/>
    </row>
    <row r="3460" spans="1:34" ht="14.25" customHeight="1" x14ac:dyDescent="0.25">
      <c r="A3460" s="3"/>
      <c r="B3460" s="3"/>
      <c r="C3460" s="3"/>
      <c r="D3460" s="3"/>
      <c r="E3460" s="3"/>
      <c r="F3460" s="3"/>
      <c r="G3460" s="3"/>
      <c r="H3460" s="11"/>
      <c r="I3460" s="12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14"/>
      <c r="Z3460" s="3"/>
      <c r="AA3460" s="3"/>
      <c r="AB3460" s="3"/>
      <c r="AC3460" s="3"/>
      <c r="AD3460" s="3"/>
      <c r="AE3460" s="3"/>
      <c r="AF3460" s="3"/>
      <c r="AG3460" s="3"/>
      <c r="AH3460" s="3"/>
    </row>
    <row r="3461" spans="1:34" ht="14.25" customHeight="1" x14ac:dyDescent="0.25">
      <c r="A3461" s="3"/>
      <c r="B3461" s="3"/>
      <c r="C3461" s="3"/>
      <c r="D3461" s="3"/>
      <c r="E3461" s="3"/>
      <c r="F3461" s="3"/>
      <c r="G3461" s="3"/>
      <c r="H3461" s="11"/>
      <c r="I3461" s="12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14"/>
      <c r="Z3461" s="3"/>
      <c r="AA3461" s="3"/>
      <c r="AB3461" s="3"/>
      <c r="AC3461" s="3"/>
      <c r="AD3461" s="3"/>
      <c r="AE3461" s="3"/>
      <c r="AF3461" s="3"/>
      <c r="AG3461" s="3"/>
      <c r="AH3461" s="3"/>
    </row>
    <row r="3462" spans="1:34" ht="14.25" customHeight="1" x14ac:dyDescent="0.25">
      <c r="A3462" s="3"/>
      <c r="B3462" s="3"/>
      <c r="C3462" s="3"/>
      <c r="D3462" s="3"/>
      <c r="E3462" s="3"/>
      <c r="F3462" s="3"/>
      <c r="G3462" s="3"/>
      <c r="H3462" s="11"/>
      <c r="I3462" s="12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14"/>
      <c r="Z3462" s="3"/>
      <c r="AA3462" s="3"/>
      <c r="AB3462" s="3"/>
      <c r="AC3462" s="3"/>
      <c r="AD3462" s="3"/>
      <c r="AE3462" s="3"/>
      <c r="AF3462" s="3"/>
      <c r="AG3462" s="3"/>
      <c r="AH3462" s="3"/>
    </row>
    <row r="3463" spans="1:34" ht="14.25" customHeight="1" x14ac:dyDescent="0.25">
      <c r="A3463" s="3"/>
      <c r="B3463" s="3"/>
      <c r="C3463" s="3"/>
      <c r="D3463" s="3"/>
      <c r="E3463" s="3"/>
      <c r="F3463" s="3"/>
      <c r="G3463" s="3"/>
      <c r="H3463" s="11"/>
      <c r="I3463" s="12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14"/>
      <c r="Z3463" s="3"/>
      <c r="AA3463" s="3"/>
      <c r="AB3463" s="3"/>
      <c r="AC3463" s="3"/>
      <c r="AD3463" s="3"/>
      <c r="AE3463" s="3"/>
      <c r="AF3463" s="3"/>
      <c r="AG3463" s="3"/>
      <c r="AH3463" s="3"/>
    </row>
    <row r="3464" spans="1:34" ht="14.25" customHeight="1" x14ac:dyDescent="0.25">
      <c r="A3464" s="3"/>
      <c r="B3464" s="3"/>
      <c r="C3464" s="3"/>
      <c r="D3464" s="3"/>
      <c r="E3464" s="3"/>
      <c r="F3464" s="3"/>
      <c r="G3464" s="3"/>
      <c r="H3464" s="11"/>
      <c r="I3464" s="12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14"/>
      <c r="Z3464" s="3"/>
      <c r="AA3464" s="3"/>
      <c r="AB3464" s="3"/>
      <c r="AC3464" s="3"/>
      <c r="AD3464" s="3"/>
      <c r="AE3464" s="3"/>
      <c r="AF3464" s="3"/>
      <c r="AG3464" s="3"/>
      <c r="AH3464" s="3"/>
    </row>
    <row r="3465" spans="1:34" ht="14.25" customHeight="1" x14ac:dyDescent="0.25">
      <c r="A3465" s="3"/>
      <c r="B3465" s="3"/>
      <c r="C3465" s="3"/>
      <c r="D3465" s="3"/>
      <c r="E3465" s="3"/>
      <c r="F3465" s="3"/>
      <c r="G3465" s="3"/>
      <c r="H3465" s="11"/>
      <c r="I3465" s="12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14"/>
      <c r="Z3465" s="3"/>
      <c r="AA3465" s="3"/>
      <c r="AB3465" s="3"/>
      <c r="AC3465" s="3"/>
      <c r="AD3465" s="3"/>
      <c r="AE3465" s="3"/>
      <c r="AF3465" s="3"/>
      <c r="AG3465" s="3"/>
      <c r="AH3465" s="3"/>
    </row>
    <row r="3466" spans="1:34" ht="14.25" customHeight="1" x14ac:dyDescent="0.25">
      <c r="A3466" s="3"/>
      <c r="B3466" s="3"/>
      <c r="C3466" s="3"/>
      <c r="D3466" s="3"/>
      <c r="E3466" s="3"/>
      <c r="F3466" s="3"/>
      <c r="G3466" s="3"/>
      <c r="H3466" s="11"/>
      <c r="I3466" s="12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14"/>
      <c r="Z3466" s="3"/>
      <c r="AA3466" s="3"/>
      <c r="AB3466" s="3"/>
      <c r="AC3466" s="3"/>
      <c r="AD3466" s="3"/>
      <c r="AE3466" s="3"/>
      <c r="AF3466" s="3"/>
      <c r="AG3466" s="3"/>
      <c r="AH3466" s="3"/>
    </row>
    <row r="3467" spans="1:34" ht="14.25" customHeight="1" x14ac:dyDescent="0.25">
      <c r="A3467" s="3"/>
      <c r="B3467" s="3"/>
      <c r="C3467" s="3"/>
      <c r="D3467" s="3"/>
      <c r="E3467" s="3"/>
      <c r="F3467" s="3"/>
      <c r="G3467" s="3"/>
      <c r="H3467" s="11"/>
      <c r="I3467" s="12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14"/>
      <c r="Z3467" s="3"/>
      <c r="AA3467" s="3"/>
      <c r="AB3467" s="3"/>
      <c r="AC3467" s="3"/>
      <c r="AD3467" s="3"/>
      <c r="AE3467" s="3"/>
      <c r="AF3467" s="3"/>
      <c r="AG3467" s="3"/>
      <c r="AH3467" s="3"/>
    </row>
    <row r="3468" spans="1:34" ht="14.25" customHeight="1" x14ac:dyDescent="0.25">
      <c r="A3468" s="3"/>
      <c r="B3468" s="3"/>
      <c r="C3468" s="3"/>
      <c r="D3468" s="3"/>
      <c r="E3468" s="3"/>
      <c r="F3468" s="3"/>
      <c r="G3468" s="3"/>
      <c r="H3468" s="11"/>
      <c r="I3468" s="12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14"/>
      <c r="Z3468" s="3"/>
      <c r="AA3468" s="3"/>
      <c r="AB3468" s="3"/>
      <c r="AC3468" s="3"/>
      <c r="AD3468" s="3"/>
      <c r="AE3468" s="3"/>
      <c r="AF3468" s="3"/>
      <c r="AG3468" s="3"/>
      <c r="AH3468" s="3"/>
    </row>
    <row r="3469" spans="1:34" ht="14.25" customHeight="1" x14ac:dyDescent="0.25">
      <c r="A3469" s="3"/>
      <c r="B3469" s="3"/>
      <c r="C3469" s="3"/>
      <c r="D3469" s="3"/>
      <c r="E3469" s="3"/>
      <c r="F3469" s="3"/>
      <c r="G3469" s="3"/>
      <c r="H3469" s="11"/>
      <c r="I3469" s="12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14"/>
      <c r="Z3469" s="3"/>
      <c r="AA3469" s="3"/>
      <c r="AB3469" s="3"/>
      <c r="AC3469" s="3"/>
      <c r="AD3469" s="3"/>
      <c r="AE3469" s="3"/>
      <c r="AF3469" s="3"/>
      <c r="AG3469" s="3"/>
      <c r="AH3469" s="3"/>
    </row>
    <row r="3470" spans="1:34" ht="14.25" customHeight="1" x14ac:dyDescent="0.25">
      <c r="A3470" s="3"/>
      <c r="B3470" s="3"/>
      <c r="C3470" s="3"/>
      <c r="D3470" s="3"/>
      <c r="E3470" s="3"/>
      <c r="F3470" s="3"/>
      <c r="G3470" s="3"/>
      <c r="H3470" s="11"/>
      <c r="I3470" s="12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14"/>
      <c r="Z3470" s="3"/>
      <c r="AA3470" s="3"/>
      <c r="AB3470" s="3"/>
      <c r="AC3470" s="3"/>
      <c r="AD3470" s="3"/>
      <c r="AE3470" s="3"/>
      <c r="AF3470" s="3"/>
      <c r="AG3470" s="3"/>
      <c r="AH3470" s="3"/>
    </row>
    <row r="3471" spans="1:34" ht="14.25" customHeight="1" x14ac:dyDescent="0.25">
      <c r="A3471" s="3"/>
      <c r="B3471" s="3"/>
      <c r="C3471" s="3"/>
      <c r="D3471" s="3"/>
      <c r="E3471" s="3"/>
      <c r="F3471" s="3"/>
      <c r="G3471" s="3"/>
      <c r="H3471" s="11"/>
      <c r="I3471" s="12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14"/>
      <c r="Z3471" s="3"/>
      <c r="AA3471" s="3"/>
      <c r="AB3471" s="3"/>
      <c r="AC3471" s="3"/>
      <c r="AD3471" s="3"/>
      <c r="AE3471" s="3"/>
      <c r="AF3471" s="3"/>
      <c r="AG3471" s="3"/>
      <c r="AH3471" s="3"/>
    </row>
    <row r="3472" spans="1:34" ht="14.25" customHeight="1" x14ac:dyDescent="0.25">
      <c r="A3472" s="3"/>
      <c r="B3472" s="3"/>
      <c r="C3472" s="3"/>
      <c r="D3472" s="3"/>
      <c r="E3472" s="3"/>
      <c r="F3472" s="3"/>
      <c r="G3472" s="3"/>
      <c r="H3472" s="11"/>
      <c r="I3472" s="12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14"/>
      <c r="Z3472" s="3"/>
      <c r="AA3472" s="3"/>
      <c r="AB3472" s="3"/>
      <c r="AC3472" s="3"/>
      <c r="AD3472" s="3"/>
      <c r="AE3472" s="3"/>
      <c r="AF3472" s="3"/>
      <c r="AG3472" s="3"/>
      <c r="AH3472" s="3"/>
    </row>
    <row r="3473" spans="1:34" ht="14.25" customHeight="1" x14ac:dyDescent="0.25">
      <c r="A3473" s="3"/>
      <c r="B3473" s="3"/>
      <c r="C3473" s="3"/>
      <c r="D3473" s="3"/>
      <c r="E3473" s="3"/>
      <c r="F3473" s="3"/>
      <c r="G3473" s="3"/>
      <c r="H3473" s="11"/>
      <c r="I3473" s="12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14"/>
      <c r="Z3473" s="3"/>
      <c r="AA3473" s="3"/>
      <c r="AB3473" s="3"/>
      <c r="AC3473" s="3"/>
      <c r="AD3473" s="3"/>
      <c r="AE3473" s="3"/>
      <c r="AF3473" s="3"/>
      <c r="AG3473" s="3"/>
      <c r="AH3473" s="3"/>
    </row>
    <row r="3474" spans="1:34" ht="14.25" customHeight="1" x14ac:dyDescent="0.25">
      <c r="A3474" s="3"/>
      <c r="B3474" s="3"/>
      <c r="C3474" s="3"/>
      <c r="D3474" s="3"/>
      <c r="E3474" s="3"/>
      <c r="F3474" s="3"/>
      <c r="G3474" s="3"/>
      <c r="H3474" s="11"/>
      <c r="I3474" s="12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14"/>
      <c r="Z3474" s="3"/>
      <c r="AA3474" s="3"/>
      <c r="AB3474" s="3"/>
      <c r="AC3474" s="3"/>
      <c r="AD3474" s="3"/>
      <c r="AE3474" s="3"/>
      <c r="AF3474" s="3"/>
      <c r="AG3474" s="3"/>
      <c r="AH3474" s="3"/>
    </row>
    <row r="3475" spans="1:34" ht="14.25" customHeight="1" x14ac:dyDescent="0.25">
      <c r="A3475" s="3"/>
      <c r="B3475" s="3"/>
      <c r="C3475" s="3"/>
      <c r="D3475" s="3"/>
      <c r="E3475" s="3"/>
      <c r="F3475" s="3"/>
      <c r="G3475" s="3"/>
      <c r="H3475" s="11"/>
      <c r="I3475" s="12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14"/>
      <c r="Z3475" s="3"/>
      <c r="AA3475" s="3"/>
      <c r="AB3475" s="3"/>
      <c r="AC3475" s="3"/>
      <c r="AD3475" s="3"/>
      <c r="AE3475" s="3"/>
      <c r="AF3475" s="3"/>
      <c r="AG3475" s="3"/>
      <c r="AH3475" s="3"/>
    </row>
    <row r="3476" spans="1:34" ht="14.25" customHeight="1" x14ac:dyDescent="0.25">
      <c r="A3476" s="3"/>
      <c r="B3476" s="3"/>
      <c r="C3476" s="3"/>
      <c r="D3476" s="3"/>
      <c r="E3476" s="3"/>
      <c r="F3476" s="3"/>
      <c r="G3476" s="3"/>
      <c r="H3476" s="11"/>
      <c r="I3476" s="12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14"/>
      <c r="Z3476" s="3"/>
      <c r="AA3476" s="3"/>
      <c r="AB3476" s="3"/>
      <c r="AC3476" s="3"/>
      <c r="AD3476" s="3"/>
      <c r="AE3476" s="3"/>
      <c r="AF3476" s="3"/>
      <c r="AG3476" s="3"/>
      <c r="AH3476" s="3"/>
    </row>
    <row r="3477" spans="1:34" ht="14.25" customHeight="1" x14ac:dyDescent="0.25">
      <c r="A3477" s="3"/>
      <c r="B3477" s="3"/>
      <c r="C3477" s="3"/>
      <c r="D3477" s="3"/>
      <c r="E3477" s="3"/>
      <c r="F3477" s="3"/>
      <c r="G3477" s="3"/>
      <c r="H3477" s="11"/>
      <c r="I3477" s="12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14"/>
      <c r="Z3477" s="3"/>
      <c r="AA3477" s="3"/>
      <c r="AB3477" s="3"/>
      <c r="AC3477" s="3"/>
      <c r="AD3477" s="3"/>
      <c r="AE3477" s="3"/>
      <c r="AF3477" s="3"/>
      <c r="AG3477" s="3"/>
      <c r="AH3477" s="3"/>
    </row>
    <row r="3478" spans="1:34" ht="14.25" customHeight="1" x14ac:dyDescent="0.25">
      <c r="A3478" s="3"/>
      <c r="B3478" s="3"/>
      <c r="C3478" s="3"/>
      <c r="D3478" s="3"/>
      <c r="E3478" s="3"/>
      <c r="F3478" s="3"/>
      <c r="G3478" s="3"/>
      <c r="H3478" s="11"/>
      <c r="I3478" s="12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14"/>
      <c r="Z3478" s="3"/>
      <c r="AA3478" s="3"/>
      <c r="AB3478" s="3"/>
      <c r="AC3478" s="3"/>
      <c r="AD3478" s="3"/>
      <c r="AE3478" s="3"/>
      <c r="AF3478" s="3"/>
      <c r="AG3478" s="3"/>
      <c r="AH3478" s="3"/>
    </row>
    <row r="3479" spans="1:34" ht="14.25" customHeight="1" x14ac:dyDescent="0.25">
      <c r="A3479" s="3"/>
      <c r="B3479" s="3"/>
      <c r="C3479" s="3"/>
      <c r="D3479" s="3"/>
      <c r="E3479" s="3"/>
      <c r="F3479" s="3"/>
      <c r="G3479" s="3"/>
      <c r="H3479" s="11"/>
      <c r="I3479" s="12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14"/>
      <c r="Z3479" s="3"/>
      <c r="AA3479" s="3"/>
      <c r="AB3479" s="3"/>
      <c r="AC3479" s="3"/>
      <c r="AD3479" s="3"/>
      <c r="AE3479" s="3"/>
      <c r="AF3479" s="3"/>
      <c r="AG3479" s="3"/>
      <c r="AH3479" s="3"/>
    </row>
    <row r="3480" spans="1:34" ht="14.25" customHeight="1" x14ac:dyDescent="0.25">
      <c r="A3480" s="3"/>
      <c r="B3480" s="3"/>
      <c r="C3480" s="3"/>
      <c r="D3480" s="3"/>
      <c r="E3480" s="3"/>
      <c r="F3480" s="3"/>
      <c r="G3480" s="3"/>
      <c r="H3480" s="11"/>
      <c r="I3480" s="12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14"/>
      <c r="Z3480" s="3"/>
      <c r="AA3480" s="3"/>
      <c r="AB3480" s="3"/>
      <c r="AC3480" s="3"/>
      <c r="AD3480" s="3"/>
      <c r="AE3480" s="3"/>
      <c r="AF3480" s="3"/>
      <c r="AG3480" s="3"/>
      <c r="AH3480" s="3"/>
    </row>
    <row r="3481" spans="1:34" ht="14.25" customHeight="1" x14ac:dyDescent="0.25">
      <c r="A3481" s="3"/>
      <c r="B3481" s="3"/>
      <c r="C3481" s="3"/>
      <c r="D3481" s="3"/>
      <c r="E3481" s="3"/>
      <c r="F3481" s="3"/>
      <c r="G3481" s="3"/>
      <c r="H3481" s="11"/>
      <c r="I3481" s="12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14"/>
      <c r="Z3481" s="3"/>
      <c r="AA3481" s="3"/>
      <c r="AB3481" s="3"/>
      <c r="AC3481" s="3"/>
      <c r="AD3481" s="3"/>
      <c r="AE3481" s="3"/>
      <c r="AF3481" s="3"/>
      <c r="AG3481" s="3"/>
      <c r="AH3481" s="3"/>
    </row>
    <row r="3482" spans="1:34" ht="14.25" customHeight="1" x14ac:dyDescent="0.25">
      <c r="A3482" s="3"/>
      <c r="B3482" s="3"/>
      <c r="C3482" s="3"/>
      <c r="D3482" s="3"/>
      <c r="E3482" s="3"/>
      <c r="F3482" s="3"/>
      <c r="G3482" s="3"/>
      <c r="H3482" s="11"/>
      <c r="I3482" s="12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14"/>
      <c r="Z3482" s="3"/>
      <c r="AA3482" s="3"/>
      <c r="AB3482" s="3"/>
      <c r="AC3482" s="3"/>
      <c r="AD3482" s="3"/>
      <c r="AE3482" s="3"/>
      <c r="AF3482" s="3"/>
      <c r="AG3482" s="3"/>
      <c r="AH3482" s="3"/>
    </row>
    <row r="3483" spans="1:34" ht="14.25" customHeight="1" x14ac:dyDescent="0.25">
      <c r="A3483" s="3"/>
      <c r="B3483" s="3"/>
      <c r="C3483" s="3"/>
      <c r="D3483" s="3"/>
      <c r="E3483" s="3"/>
      <c r="F3483" s="3"/>
      <c r="G3483" s="3"/>
      <c r="H3483" s="11"/>
      <c r="I3483" s="12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14"/>
      <c r="Z3483" s="3"/>
      <c r="AA3483" s="3"/>
      <c r="AB3483" s="3"/>
      <c r="AC3483" s="3"/>
      <c r="AD3483" s="3"/>
      <c r="AE3483" s="3"/>
      <c r="AF3483" s="3"/>
      <c r="AG3483" s="3"/>
      <c r="AH3483" s="3"/>
    </row>
    <row r="3484" spans="1:34" ht="14.25" customHeight="1" x14ac:dyDescent="0.25">
      <c r="A3484" s="3"/>
      <c r="B3484" s="3"/>
      <c r="C3484" s="3"/>
      <c r="D3484" s="3"/>
      <c r="E3484" s="3"/>
      <c r="F3484" s="3"/>
      <c r="G3484" s="3"/>
      <c r="H3484" s="11"/>
      <c r="I3484" s="12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14"/>
      <c r="Z3484" s="3"/>
      <c r="AA3484" s="3"/>
      <c r="AB3484" s="3"/>
      <c r="AC3484" s="3"/>
      <c r="AD3484" s="3"/>
      <c r="AE3484" s="3"/>
      <c r="AF3484" s="3"/>
      <c r="AG3484" s="3"/>
      <c r="AH3484" s="3"/>
    </row>
    <row r="3485" spans="1:34" ht="14.25" customHeight="1" x14ac:dyDescent="0.25">
      <c r="A3485" s="3"/>
      <c r="B3485" s="3"/>
      <c r="C3485" s="3"/>
      <c r="D3485" s="3"/>
      <c r="E3485" s="3"/>
      <c r="F3485" s="3"/>
      <c r="G3485" s="3"/>
      <c r="H3485" s="11"/>
      <c r="I3485" s="12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14"/>
      <c r="Z3485" s="3"/>
      <c r="AA3485" s="3"/>
      <c r="AB3485" s="3"/>
      <c r="AC3485" s="3"/>
      <c r="AD3485" s="3"/>
      <c r="AE3485" s="3"/>
      <c r="AF3485" s="3"/>
      <c r="AG3485" s="3"/>
      <c r="AH3485" s="3"/>
    </row>
    <row r="3486" spans="1:34" ht="14.25" customHeight="1" x14ac:dyDescent="0.25">
      <c r="A3486" s="3"/>
      <c r="B3486" s="3"/>
      <c r="C3486" s="3"/>
      <c r="D3486" s="3"/>
      <c r="E3486" s="3"/>
      <c r="F3486" s="3"/>
      <c r="G3486" s="3"/>
      <c r="H3486" s="11"/>
      <c r="I3486" s="12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14"/>
      <c r="Z3486" s="3"/>
      <c r="AA3486" s="3"/>
      <c r="AB3486" s="3"/>
      <c r="AC3486" s="3"/>
      <c r="AD3486" s="3"/>
      <c r="AE3486" s="3"/>
      <c r="AF3486" s="3"/>
      <c r="AG3486" s="3"/>
      <c r="AH3486" s="3"/>
    </row>
    <row r="3487" spans="1:34" ht="14.25" customHeight="1" x14ac:dyDescent="0.25">
      <c r="A3487" s="3"/>
      <c r="B3487" s="3"/>
      <c r="C3487" s="3"/>
      <c r="D3487" s="3"/>
      <c r="E3487" s="3"/>
      <c r="F3487" s="3"/>
      <c r="G3487" s="3"/>
      <c r="H3487" s="11"/>
      <c r="I3487" s="12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14"/>
      <c r="Z3487" s="3"/>
      <c r="AA3487" s="3"/>
      <c r="AB3487" s="3"/>
      <c r="AC3487" s="3"/>
      <c r="AD3487" s="3"/>
      <c r="AE3487" s="3"/>
      <c r="AF3487" s="3"/>
      <c r="AG3487" s="3"/>
      <c r="AH3487" s="3"/>
    </row>
    <row r="3488" spans="1:34" ht="14.25" customHeight="1" x14ac:dyDescent="0.25">
      <c r="A3488" s="3"/>
      <c r="B3488" s="3"/>
      <c r="C3488" s="3"/>
      <c r="D3488" s="3"/>
      <c r="E3488" s="3"/>
      <c r="F3488" s="3"/>
      <c r="G3488" s="3"/>
      <c r="H3488" s="11"/>
      <c r="I3488" s="12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14"/>
      <c r="Z3488" s="3"/>
      <c r="AA3488" s="3"/>
      <c r="AB3488" s="3"/>
      <c r="AC3488" s="3"/>
      <c r="AD3488" s="3"/>
      <c r="AE3488" s="3"/>
      <c r="AF3488" s="3"/>
      <c r="AG3488" s="3"/>
      <c r="AH3488" s="3"/>
    </row>
    <row r="3489" spans="1:34" ht="14.25" customHeight="1" x14ac:dyDescent="0.25">
      <c r="A3489" s="3"/>
      <c r="B3489" s="3"/>
      <c r="C3489" s="3"/>
      <c r="D3489" s="3"/>
      <c r="E3489" s="3"/>
      <c r="F3489" s="3"/>
      <c r="G3489" s="3"/>
      <c r="H3489" s="11"/>
      <c r="I3489" s="12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14"/>
      <c r="Z3489" s="3"/>
      <c r="AA3489" s="3"/>
      <c r="AB3489" s="3"/>
      <c r="AC3489" s="3"/>
      <c r="AD3489" s="3"/>
      <c r="AE3489" s="3"/>
      <c r="AF3489" s="3"/>
      <c r="AG3489" s="3"/>
      <c r="AH3489" s="3"/>
    </row>
    <row r="3490" spans="1:34" ht="14.25" customHeight="1" x14ac:dyDescent="0.25">
      <c r="A3490" s="3"/>
      <c r="B3490" s="3"/>
      <c r="C3490" s="3"/>
      <c r="D3490" s="3"/>
      <c r="E3490" s="3"/>
      <c r="F3490" s="3"/>
      <c r="G3490" s="3"/>
      <c r="H3490" s="11"/>
      <c r="I3490" s="12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14"/>
      <c r="Z3490" s="3"/>
      <c r="AA3490" s="3"/>
      <c r="AB3490" s="3"/>
      <c r="AC3490" s="3"/>
      <c r="AD3490" s="3"/>
      <c r="AE3490" s="3"/>
      <c r="AF3490" s="3"/>
      <c r="AG3490" s="3"/>
      <c r="AH3490" s="3"/>
    </row>
    <row r="3491" spans="1:34" ht="14.25" customHeight="1" x14ac:dyDescent="0.25">
      <c r="A3491" s="3"/>
      <c r="B3491" s="3"/>
      <c r="C3491" s="3"/>
      <c r="D3491" s="3"/>
      <c r="E3491" s="3"/>
      <c r="F3491" s="3"/>
      <c r="G3491" s="3"/>
      <c r="H3491" s="11"/>
      <c r="I3491" s="12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14"/>
      <c r="Z3491" s="3"/>
      <c r="AA3491" s="3"/>
      <c r="AB3491" s="3"/>
      <c r="AC3491" s="3"/>
      <c r="AD3491" s="3"/>
      <c r="AE3491" s="3"/>
      <c r="AF3491" s="3"/>
      <c r="AG3491" s="3"/>
      <c r="AH3491" s="3"/>
    </row>
    <row r="3492" spans="1:34" ht="14.25" customHeight="1" x14ac:dyDescent="0.25">
      <c r="A3492" s="3"/>
      <c r="B3492" s="3"/>
      <c r="C3492" s="3"/>
      <c r="D3492" s="3"/>
      <c r="E3492" s="3"/>
      <c r="F3492" s="3"/>
      <c r="G3492" s="3"/>
      <c r="H3492" s="11"/>
      <c r="I3492" s="12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14"/>
      <c r="Z3492" s="3"/>
      <c r="AA3492" s="3"/>
      <c r="AB3492" s="3"/>
      <c r="AC3492" s="3"/>
      <c r="AD3492" s="3"/>
      <c r="AE3492" s="3"/>
      <c r="AF3492" s="3"/>
      <c r="AG3492" s="3"/>
      <c r="AH3492" s="3"/>
    </row>
    <row r="3493" spans="1:34" ht="14.25" customHeight="1" x14ac:dyDescent="0.25">
      <c r="A3493" s="3"/>
      <c r="B3493" s="3"/>
      <c r="C3493" s="3"/>
      <c r="D3493" s="3"/>
      <c r="E3493" s="3"/>
      <c r="F3493" s="3"/>
      <c r="G3493" s="3"/>
      <c r="H3493" s="11"/>
      <c r="I3493" s="12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14"/>
      <c r="Z3493" s="3"/>
      <c r="AA3493" s="3"/>
      <c r="AB3493" s="3"/>
      <c r="AC3493" s="3"/>
      <c r="AD3493" s="3"/>
      <c r="AE3493" s="3"/>
      <c r="AF3493" s="3"/>
      <c r="AG3493" s="3"/>
      <c r="AH3493" s="3"/>
    </row>
    <row r="3494" spans="1:34" ht="15.75" customHeight="1" x14ac:dyDescent="0.25">
      <c r="A3494" s="3"/>
      <c r="B3494" s="3"/>
      <c r="C3494" s="3"/>
      <c r="D3494" s="3"/>
      <c r="E3494" s="3"/>
      <c r="F3494" s="3"/>
      <c r="G3494" s="3"/>
      <c r="H3494" s="11"/>
      <c r="I3494" s="12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14"/>
      <c r="Z3494" s="3"/>
      <c r="AA3494" s="3"/>
      <c r="AB3494" s="3"/>
      <c r="AC3494" s="3"/>
      <c r="AD3494" s="3"/>
      <c r="AE3494" s="3"/>
      <c r="AF3494" s="3"/>
      <c r="AG3494" s="3"/>
      <c r="AH3494" s="3"/>
    </row>
    <row r="3495" spans="1:34" ht="15.75" customHeight="1" x14ac:dyDescent="0.25">
      <c r="A3495" s="3"/>
      <c r="B3495" s="3"/>
      <c r="C3495" s="3"/>
      <c r="D3495" s="3"/>
      <c r="E3495" s="3"/>
      <c r="F3495" s="3"/>
      <c r="G3495" s="3"/>
      <c r="H3495" s="11"/>
      <c r="I3495" s="12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14"/>
      <c r="Z3495" s="3"/>
      <c r="AA3495" s="3"/>
      <c r="AB3495" s="3"/>
      <c r="AC3495" s="3"/>
      <c r="AD3495" s="3"/>
      <c r="AE3495" s="3"/>
      <c r="AF3495" s="3"/>
      <c r="AG3495" s="3"/>
      <c r="AH3495" s="3"/>
    </row>
    <row r="3496" spans="1:34" ht="15.75" customHeight="1" x14ac:dyDescent="0.25">
      <c r="A3496" s="3"/>
      <c r="B3496" s="3"/>
      <c r="C3496" s="3"/>
      <c r="D3496" s="3"/>
      <c r="E3496" s="3"/>
      <c r="F3496" s="3"/>
      <c r="G3496" s="3"/>
      <c r="H3496" s="11"/>
      <c r="I3496" s="12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14"/>
      <c r="Z3496" s="3"/>
      <c r="AA3496" s="3"/>
      <c r="AB3496" s="3"/>
      <c r="AC3496" s="3"/>
      <c r="AD3496" s="3"/>
      <c r="AE3496" s="3"/>
      <c r="AF3496" s="3"/>
      <c r="AG3496" s="3"/>
      <c r="AH3496" s="3"/>
    </row>
    <row r="3497" spans="1:34" ht="15.75" customHeight="1" x14ac:dyDescent="0.25">
      <c r="A3497" s="3"/>
      <c r="B3497" s="3"/>
      <c r="C3497" s="3"/>
      <c r="D3497" s="3"/>
      <c r="E3497" s="3"/>
      <c r="F3497" s="3"/>
      <c r="G3497" s="3"/>
      <c r="H3497" s="11"/>
      <c r="I3497" s="12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14"/>
      <c r="Z3497" s="3"/>
      <c r="AA3497" s="3"/>
      <c r="AB3497" s="3"/>
      <c r="AC3497" s="3"/>
      <c r="AD3497" s="3"/>
      <c r="AE3497" s="3"/>
      <c r="AF3497" s="3"/>
      <c r="AG3497" s="3"/>
      <c r="AH3497" s="3"/>
    </row>
    <row r="3498" spans="1:34" ht="15.75" customHeight="1" x14ac:dyDescent="0.25">
      <c r="A3498" s="3"/>
      <c r="B3498" s="3"/>
      <c r="C3498" s="3"/>
      <c r="D3498" s="3"/>
      <c r="E3498" s="3"/>
      <c r="F3498" s="3"/>
      <c r="G3498" s="3"/>
      <c r="H3498" s="11"/>
      <c r="I3498" s="12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14"/>
      <c r="Z3498" s="3"/>
      <c r="AA3498" s="3"/>
      <c r="AB3498" s="3"/>
      <c r="AC3498" s="3"/>
      <c r="AD3498" s="3"/>
      <c r="AE3498" s="3"/>
      <c r="AF3498" s="3"/>
      <c r="AG3498" s="3"/>
      <c r="AH3498" s="3"/>
    </row>
    <row r="3499" spans="1:34" ht="15.75" customHeight="1" x14ac:dyDescent="0.25">
      <c r="A3499" s="3"/>
      <c r="B3499" s="3"/>
      <c r="C3499" s="3"/>
      <c r="D3499" s="3"/>
      <c r="E3499" s="3"/>
      <c r="F3499" s="3"/>
      <c r="G3499" s="3"/>
      <c r="H3499" s="11"/>
      <c r="I3499" s="12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14"/>
      <c r="Z3499" s="3"/>
      <c r="AA3499" s="3"/>
      <c r="AB3499" s="3"/>
      <c r="AC3499" s="3"/>
      <c r="AD3499" s="3"/>
      <c r="AE3499" s="3"/>
      <c r="AF3499" s="3"/>
      <c r="AG3499" s="3"/>
      <c r="AH3499" s="3"/>
    </row>
    <row r="3500" spans="1:34" ht="15.75" customHeight="1" x14ac:dyDescent="0.25">
      <c r="A3500" s="3"/>
      <c r="B3500" s="3"/>
      <c r="C3500" s="3"/>
      <c r="D3500" s="3"/>
      <c r="E3500" s="3"/>
      <c r="F3500" s="3"/>
      <c r="G3500" s="3"/>
      <c r="H3500" s="11"/>
      <c r="I3500" s="12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14"/>
      <c r="Z3500" s="3"/>
      <c r="AA3500" s="3"/>
      <c r="AB3500" s="3"/>
      <c r="AC3500" s="3"/>
      <c r="AD3500" s="3"/>
      <c r="AE3500" s="3"/>
      <c r="AF3500" s="3"/>
      <c r="AG3500" s="3"/>
      <c r="AH3500" s="3"/>
    </row>
    <row r="3501" spans="1:34" ht="15.75" customHeight="1" x14ac:dyDescent="0.25">
      <c r="A3501" s="3"/>
      <c r="B3501" s="3"/>
      <c r="C3501" s="3"/>
      <c r="D3501" s="3"/>
      <c r="E3501" s="3"/>
      <c r="F3501" s="3"/>
      <c r="G3501" s="3"/>
      <c r="H3501" s="11"/>
      <c r="I3501" s="12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14"/>
      <c r="Z3501" s="3"/>
      <c r="AA3501" s="3"/>
      <c r="AB3501" s="3"/>
      <c r="AC3501" s="3"/>
      <c r="AD3501" s="3"/>
      <c r="AE3501" s="3"/>
      <c r="AF3501" s="3"/>
      <c r="AG3501" s="3"/>
      <c r="AH3501" s="3"/>
    </row>
    <row r="3502" spans="1:34" ht="14.25" customHeight="1" x14ac:dyDescent="0.25">
      <c r="A3502" s="3"/>
      <c r="B3502" s="3"/>
      <c r="C3502" s="3"/>
      <c r="D3502" s="3"/>
      <c r="E3502" s="3"/>
      <c r="F3502" s="3"/>
      <c r="G3502" s="3"/>
      <c r="H3502" s="11"/>
      <c r="I3502" s="12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14"/>
      <c r="Z3502" s="3"/>
      <c r="AA3502" s="3"/>
      <c r="AB3502" s="3"/>
      <c r="AC3502" s="3"/>
      <c r="AD3502" s="3"/>
      <c r="AE3502" s="3"/>
      <c r="AF3502" s="3"/>
      <c r="AG3502" s="3"/>
      <c r="AH3502" s="3"/>
    </row>
    <row r="3503" spans="1:34" ht="15.75" customHeight="1" x14ac:dyDescent="0.25">
      <c r="A3503" s="3"/>
      <c r="B3503" s="3"/>
      <c r="C3503" s="3"/>
      <c r="D3503" s="3"/>
      <c r="E3503" s="3"/>
      <c r="F3503" s="3"/>
      <c r="G3503" s="3"/>
      <c r="H3503" s="11"/>
      <c r="I3503" s="12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14"/>
      <c r="X3503" s="3"/>
      <c r="Y3503" s="14"/>
      <c r="Z3503" s="3"/>
      <c r="AA3503" s="3"/>
      <c r="AB3503" s="3"/>
      <c r="AC3503" s="3"/>
      <c r="AD3503" s="3"/>
      <c r="AE3503" s="3"/>
      <c r="AF3503" s="3"/>
      <c r="AG3503" s="3"/>
      <c r="AH3503" s="3"/>
    </row>
    <row r="3504" spans="1:34" ht="14.25" customHeight="1" x14ac:dyDescent="0.25">
      <c r="A3504" s="3"/>
      <c r="B3504" s="3"/>
      <c r="C3504" s="3"/>
      <c r="D3504" s="3"/>
      <c r="E3504" s="3"/>
      <c r="F3504" s="3"/>
      <c r="G3504" s="3"/>
      <c r="H3504" s="11"/>
      <c r="I3504" s="12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14"/>
      <c r="Z3504" s="3"/>
      <c r="AA3504" s="3"/>
      <c r="AB3504" s="3"/>
      <c r="AC3504" s="3"/>
      <c r="AD3504" s="3"/>
      <c r="AE3504" s="3"/>
      <c r="AF3504" s="3"/>
      <c r="AG3504" s="3"/>
      <c r="AH3504" s="3"/>
    </row>
    <row r="3505" spans="1:34" ht="14.25" customHeight="1" x14ac:dyDescent="0.25">
      <c r="A3505" s="3"/>
      <c r="B3505" s="3"/>
      <c r="C3505" s="3"/>
      <c r="D3505" s="3"/>
      <c r="E3505" s="3"/>
      <c r="F3505" s="3"/>
      <c r="G3505" s="3"/>
      <c r="H3505" s="11"/>
      <c r="I3505" s="12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14"/>
      <c r="Z3505" s="3"/>
      <c r="AA3505" s="3"/>
      <c r="AB3505" s="3"/>
      <c r="AC3505" s="3"/>
      <c r="AD3505" s="3"/>
      <c r="AE3505" s="3"/>
      <c r="AF3505" s="3"/>
      <c r="AG3505" s="3"/>
      <c r="AH3505" s="3"/>
    </row>
    <row r="3506" spans="1:34" ht="14.25" customHeight="1" x14ac:dyDescent="0.25">
      <c r="A3506" s="3"/>
      <c r="B3506" s="3"/>
      <c r="C3506" s="3"/>
      <c r="D3506" s="3"/>
      <c r="E3506" s="3"/>
      <c r="F3506" s="3"/>
      <c r="G3506" s="3"/>
      <c r="H3506" s="11"/>
      <c r="I3506" s="12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14"/>
      <c r="Z3506" s="3"/>
      <c r="AA3506" s="3"/>
      <c r="AB3506" s="3"/>
      <c r="AC3506" s="3"/>
      <c r="AD3506" s="3"/>
      <c r="AE3506" s="3"/>
      <c r="AF3506" s="3"/>
      <c r="AG3506" s="3"/>
      <c r="AH3506" s="3"/>
    </row>
    <row r="3507" spans="1:34" ht="14.25" customHeight="1" x14ac:dyDescent="0.25">
      <c r="A3507" s="3"/>
      <c r="B3507" s="3"/>
      <c r="C3507" s="3"/>
      <c r="D3507" s="3"/>
      <c r="E3507" s="3"/>
      <c r="F3507" s="3"/>
      <c r="G3507" s="3"/>
      <c r="H3507" s="11"/>
      <c r="I3507" s="12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14"/>
      <c r="Z3507" s="3"/>
      <c r="AA3507" s="3"/>
      <c r="AB3507" s="3"/>
      <c r="AC3507" s="3"/>
      <c r="AD3507" s="3"/>
      <c r="AE3507" s="3"/>
      <c r="AF3507" s="3"/>
      <c r="AG3507" s="3"/>
      <c r="AH3507" s="3"/>
    </row>
    <row r="3508" spans="1:34" ht="14.25" customHeight="1" x14ac:dyDescent="0.25">
      <c r="A3508" s="3"/>
      <c r="B3508" s="3"/>
      <c r="C3508" s="3"/>
      <c r="D3508" s="3"/>
      <c r="E3508" s="3"/>
      <c r="F3508" s="3"/>
      <c r="G3508" s="3"/>
      <c r="H3508" s="11"/>
      <c r="I3508" s="12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14"/>
      <c r="Z3508" s="3"/>
      <c r="AA3508" s="3"/>
      <c r="AB3508" s="3"/>
      <c r="AC3508" s="3"/>
      <c r="AD3508" s="3"/>
      <c r="AE3508" s="3"/>
      <c r="AF3508" s="3"/>
      <c r="AG3508" s="3"/>
      <c r="AH3508" s="3"/>
    </row>
    <row r="3509" spans="1:34" ht="14.25" customHeight="1" x14ac:dyDescent="0.25">
      <c r="A3509" s="3"/>
      <c r="B3509" s="3"/>
      <c r="C3509" s="3"/>
      <c r="D3509" s="3"/>
      <c r="E3509" s="3"/>
      <c r="F3509" s="3"/>
      <c r="G3509" s="3"/>
      <c r="H3509" s="11"/>
      <c r="I3509" s="12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14"/>
      <c r="Z3509" s="3"/>
      <c r="AA3509" s="3"/>
      <c r="AB3509" s="3"/>
      <c r="AC3509" s="3"/>
      <c r="AD3509" s="3"/>
      <c r="AE3509" s="3"/>
      <c r="AF3509" s="3"/>
      <c r="AG3509" s="3"/>
      <c r="AH3509" s="3"/>
    </row>
    <row r="3510" spans="1:34" ht="14.25" customHeight="1" x14ac:dyDescent="0.25">
      <c r="A3510" s="3"/>
      <c r="B3510" s="3"/>
      <c r="C3510" s="3"/>
      <c r="D3510" s="3"/>
      <c r="E3510" s="3"/>
      <c r="F3510" s="3"/>
      <c r="G3510" s="3"/>
      <c r="H3510" s="11"/>
      <c r="I3510" s="12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14"/>
      <c r="Z3510" s="3"/>
      <c r="AA3510" s="3"/>
      <c r="AB3510" s="3"/>
      <c r="AC3510" s="3"/>
      <c r="AD3510" s="3"/>
      <c r="AE3510" s="3"/>
      <c r="AF3510" s="3"/>
      <c r="AG3510" s="3"/>
      <c r="AH3510" s="3"/>
    </row>
    <row r="3511" spans="1:34" ht="14.25" customHeight="1" x14ac:dyDescent="0.25">
      <c r="A3511" s="3"/>
      <c r="B3511" s="3"/>
      <c r="C3511" s="3"/>
      <c r="D3511" s="3"/>
      <c r="E3511" s="3"/>
      <c r="F3511" s="3"/>
      <c r="G3511" s="3"/>
      <c r="H3511" s="11"/>
      <c r="I3511" s="12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14"/>
      <c r="Z3511" s="3"/>
      <c r="AA3511" s="3"/>
      <c r="AB3511" s="3"/>
      <c r="AC3511" s="3"/>
      <c r="AD3511" s="3"/>
      <c r="AE3511" s="3"/>
      <c r="AF3511" s="3"/>
      <c r="AG3511" s="3"/>
      <c r="AH3511" s="3"/>
    </row>
    <row r="3512" spans="1:34" ht="14.25" customHeight="1" x14ac:dyDescent="0.25">
      <c r="A3512" s="3"/>
      <c r="B3512" s="3"/>
      <c r="C3512" s="3"/>
      <c r="D3512" s="3"/>
      <c r="E3512" s="3"/>
      <c r="F3512" s="3"/>
      <c r="G3512" s="3"/>
      <c r="H3512" s="11"/>
      <c r="I3512" s="12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14"/>
      <c r="Z3512" s="3"/>
      <c r="AA3512" s="3"/>
      <c r="AB3512" s="3"/>
      <c r="AC3512" s="3"/>
      <c r="AD3512" s="3"/>
      <c r="AE3512" s="3"/>
      <c r="AF3512" s="3"/>
      <c r="AG3512" s="3"/>
      <c r="AH3512" s="3"/>
    </row>
    <row r="3513" spans="1:34" ht="14.25" customHeight="1" x14ac:dyDescent="0.25">
      <c r="A3513" s="3"/>
      <c r="B3513" s="3"/>
      <c r="C3513" s="3"/>
      <c r="D3513" s="3"/>
      <c r="E3513" s="3"/>
      <c r="F3513" s="3"/>
      <c r="G3513" s="3"/>
      <c r="H3513" s="11"/>
      <c r="I3513" s="12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14"/>
      <c r="Z3513" s="3"/>
      <c r="AA3513" s="3"/>
      <c r="AB3513" s="3"/>
      <c r="AC3513" s="3"/>
      <c r="AD3513" s="3"/>
      <c r="AE3513" s="3"/>
      <c r="AF3513" s="3"/>
      <c r="AG3513" s="3"/>
      <c r="AH3513" s="3"/>
    </row>
    <row r="3514" spans="1:34" ht="14.25" customHeight="1" x14ac:dyDescent="0.25">
      <c r="A3514" s="3"/>
      <c r="B3514" s="3"/>
      <c r="C3514" s="3"/>
      <c r="D3514" s="3"/>
      <c r="E3514" s="3"/>
      <c r="F3514" s="3"/>
      <c r="G3514" s="3"/>
      <c r="H3514" s="11"/>
      <c r="I3514" s="12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14"/>
      <c r="Z3514" s="3"/>
      <c r="AA3514" s="3"/>
      <c r="AB3514" s="3"/>
      <c r="AC3514" s="3"/>
      <c r="AD3514" s="3"/>
      <c r="AE3514" s="3"/>
      <c r="AF3514" s="3"/>
      <c r="AG3514" s="3"/>
      <c r="AH3514" s="3"/>
    </row>
    <row r="3515" spans="1:34" ht="14.25" customHeight="1" x14ac:dyDescent="0.25">
      <c r="A3515" s="3"/>
      <c r="B3515" s="3"/>
      <c r="C3515" s="3"/>
      <c r="D3515" s="3"/>
      <c r="E3515" s="3"/>
      <c r="F3515" s="3"/>
      <c r="G3515" s="3"/>
      <c r="H3515" s="11"/>
      <c r="I3515" s="12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14"/>
      <c r="Z3515" s="3"/>
      <c r="AA3515" s="3"/>
      <c r="AB3515" s="3"/>
      <c r="AC3515" s="3"/>
      <c r="AD3515" s="3"/>
      <c r="AE3515" s="3"/>
      <c r="AF3515" s="3"/>
      <c r="AG3515" s="3"/>
      <c r="AH3515" s="3"/>
    </row>
    <row r="3516" spans="1:34" ht="14.25" customHeight="1" x14ac:dyDescent="0.25">
      <c r="A3516" s="3"/>
      <c r="B3516" s="3"/>
      <c r="C3516" s="3"/>
      <c r="D3516" s="3"/>
      <c r="E3516" s="3"/>
      <c r="F3516" s="3"/>
      <c r="G3516" s="3"/>
      <c r="H3516" s="11"/>
      <c r="I3516" s="12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14"/>
      <c r="Z3516" s="3"/>
      <c r="AA3516" s="3"/>
      <c r="AB3516" s="3"/>
      <c r="AC3516" s="3"/>
      <c r="AD3516" s="3"/>
      <c r="AE3516" s="3"/>
      <c r="AF3516" s="3"/>
      <c r="AG3516" s="3"/>
      <c r="AH3516" s="3"/>
    </row>
    <row r="3517" spans="1:34" ht="14.25" customHeight="1" x14ac:dyDescent="0.25">
      <c r="A3517" s="3"/>
      <c r="B3517" s="3"/>
      <c r="C3517" s="3"/>
      <c r="D3517" s="3"/>
      <c r="E3517" s="3"/>
      <c r="F3517" s="3"/>
      <c r="G3517" s="3"/>
      <c r="H3517" s="11"/>
      <c r="I3517" s="12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14"/>
      <c r="Z3517" s="3"/>
      <c r="AA3517" s="3"/>
      <c r="AB3517" s="3"/>
      <c r="AC3517" s="3"/>
      <c r="AD3517" s="3"/>
      <c r="AE3517" s="3"/>
      <c r="AF3517" s="3"/>
      <c r="AG3517" s="3"/>
      <c r="AH3517" s="3"/>
    </row>
    <row r="3518" spans="1:34" ht="14.25" customHeight="1" x14ac:dyDescent="0.25">
      <c r="A3518" s="3"/>
      <c r="B3518" s="3"/>
      <c r="C3518" s="3"/>
      <c r="D3518" s="3"/>
      <c r="E3518" s="3"/>
      <c r="F3518" s="3"/>
      <c r="G3518" s="3"/>
      <c r="H3518" s="11"/>
      <c r="I3518" s="12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14"/>
      <c r="Z3518" s="3"/>
      <c r="AA3518" s="3"/>
      <c r="AB3518" s="3"/>
      <c r="AC3518" s="3"/>
      <c r="AD3518" s="3"/>
      <c r="AE3518" s="3"/>
      <c r="AF3518" s="3"/>
      <c r="AG3518" s="3"/>
      <c r="AH3518" s="3"/>
    </row>
    <row r="3519" spans="1:34" ht="14.25" customHeight="1" x14ac:dyDescent="0.25">
      <c r="A3519" s="3"/>
      <c r="B3519" s="3"/>
      <c r="C3519" s="3"/>
      <c r="D3519" s="3"/>
      <c r="E3519" s="3"/>
      <c r="F3519" s="3"/>
      <c r="G3519" s="3"/>
      <c r="H3519" s="11"/>
      <c r="I3519" s="12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14"/>
      <c r="Z3519" s="3"/>
      <c r="AA3519" s="3"/>
      <c r="AB3519" s="3"/>
      <c r="AC3519" s="3"/>
      <c r="AD3519" s="3"/>
      <c r="AE3519" s="3"/>
      <c r="AF3519" s="3"/>
      <c r="AG3519" s="3"/>
      <c r="AH3519" s="3"/>
    </row>
    <row r="3520" spans="1:34" ht="14.25" customHeight="1" x14ac:dyDescent="0.25">
      <c r="A3520" s="3"/>
      <c r="B3520" s="3"/>
      <c r="C3520" s="3"/>
      <c r="D3520" s="3"/>
      <c r="E3520" s="3"/>
      <c r="F3520" s="3"/>
      <c r="G3520" s="3"/>
      <c r="H3520" s="11"/>
      <c r="I3520" s="12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14"/>
      <c r="Z3520" s="3"/>
      <c r="AA3520" s="3"/>
      <c r="AB3520" s="3"/>
      <c r="AC3520" s="3"/>
      <c r="AD3520" s="3"/>
      <c r="AE3520" s="3"/>
      <c r="AF3520" s="3"/>
      <c r="AG3520" s="3"/>
      <c r="AH3520" s="3"/>
    </row>
    <row r="3521" spans="1:34" ht="14.25" customHeight="1" x14ac:dyDescent="0.25">
      <c r="A3521" s="3"/>
      <c r="B3521" s="3"/>
      <c r="C3521" s="3"/>
      <c r="D3521" s="3"/>
      <c r="E3521" s="3"/>
      <c r="F3521" s="3"/>
      <c r="G3521" s="3"/>
      <c r="H3521" s="11"/>
      <c r="I3521" s="12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14"/>
      <c r="Z3521" s="3"/>
      <c r="AA3521" s="3"/>
      <c r="AB3521" s="3"/>
      <c r="AC3521" s="3"/>
      <c r="AD3521" s="3"/>
      <c r="AE3521" s="3"/>
      <c r="AF3521" s="3"/>
      <c r="AG3521" s="3"/>
      <c r="AH3521" s="3"/>
    </row>
    <row r="3522" spans="1:34" ht="14.25" customHeight="1" x14ac:dyDescent="0.25">
      <c r="A3522" s="3"/>
      <c r="B3522" s="3"/>
      <c r="C3522" s="3"/>
      <c r="D3522" s="3"/>
      <c r="E3522" s="3"/>
      <c r="F3522" s="3"/>
      <c r="G3522" s="3"/>
      <c r="H3522" s="11"/>
      <c r="I3522" s="12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14"/>
      <c r="Z3522" s="3"/>
      <c r="AA3522" s="3"/>
      <c r="AB3522" s="3"/>
      <c r="AC3522" s="3"/>
      <c r="AD3522" s="3"/>
      <c r="AE3522" s="3"/>
      <c r="AF3522" s="3"/>
      <c r="AG3522" s="3"/>
      <c r="AH3522" s="3"/>
    </row>
    <row r="3523" spans="1:34" ht="14.25" customHeight="1" x14ac:dyDescent="0.25">
      <c r="A3523" s="3"/>
      <c r="B3523" s="3"/>
      <c r="C3523" s="3"/>
      <c r="D3523" s="3"/>
      <c r="E3523" s="3"/>
      <c r="F3523" s="3"/>
      <c r="G3523" s="3"/>
      <c r="H3523" s="11"/>
      <c r="I3523" s="12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14"/>
      <c r="Z3523" s="3"/>
      <c r="AA3523" s="3"/>
      <c r="AB3523" s="3"/>
      <c r="AC3523" s="3"/>
      <c r="AD3523" s="3"/>
      <c r="AE3523" s="3"/>
      <c r="AF3523" s="3"/>
      <c r="AG3523" s="3"/>
      <c r="AH3523" s="3"/>
    </row>
    <row r="3524" spans="1:34" ht="14.25" customHeight="1" x14ac:dyDescent="0.25">
      <c r="A3524" s="3"/>
      <c r="B3524" s="3"/>
      <c r="C3524" s="3"/>
      <c r="D3524" s="3"/>
      <c r="E3524" s="3"/>
      <c r="F3524" s="3"/>
      <c r="G3524" s="3"/>
      <c r="H3524" s="11"/>
      <c r="I3524" s="12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14"/>
      <c r="Z3524" s="3"/>
      <c r="AA3524" s="3"/>
      <c r="AB3524" s="3"/>
      <c r="AC3524" s="3"/>
      <c r="AD3524" s="3"/>
      <c r="AE3524" s="3"/>
      <c r="AF3524" s="3"/>
      <c r="AG3524" s="3"/>
      <c r="AH3524" s="3"/>
    </row>
    <row r="3525" spans="1:34" ht="14.25" customHeight="1" x14ac:dyDescent="0.25">
      <c r="A3525" s="3"/>
      <c r="B3525" s="3"/>
      <c r="C3525" s="3"/>
      <c r="D3525" s="3"/>
      <c r="E3525" s="3"/>
      <c r="F3525" s="3"/>
      <c r="G3525" s="3"/>
      <c r="H3525" s="11"/>
      <c r="I3525" s="12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14"/>
      <c r="Z3525" s="3"/>
      <c r="AA3525" s="3"/>
      <c r="AB3525" s="3"/>
      <c r="AC3525" s="3"/>
      <c r="AD3525" s="3"/>
      <c r="AE3525" s="3"/>
      <c r="AF3525" s="3"/>
      <c r="AG3525" s="3"/>
      <c r="AH3525" s="3"/>
    </row>
    <row r="3526" spans="1:34" ht="14.25" customHeight="1" x14ac:dyDescent="0.25">
      <c r="A3526" s="3"/>
      <c r="B3526" s="3"/>
      <c r="C3526" s="3"/>
      <c r="D3526" s="3"/>
      <c r="E3526" s="3"/>
      <c r="F3526" s="3"/>
      <c r="G3526" s="3"/>
      <c r="H3526" s="11"/>
      <c r="I3526" s="12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14"/>
      <c r="Z3526" s="3"/>
      <c r="AA3526" s="3"/>
      <c r="AB3526" s="3"/>
      <c r="AC3526" s="3"/>
      <c r="AD3526" s="3"/>
      <c r="AE3526" s="3"/>
      <c r="AF3526" s="3"/>
      <c r="AG3526" s="3"/>
      <c r="AH3526" s="3"/>
    </row>
    <row r="3527" spans="1:34" ht="14.25" customHeight="1" x14ac:dyDescent="0.25">
      <c r="A3527" s="3"/>
      <c r="B3527" s="3"/>
      <c r="C3527" s="3"/>
      <c r="D3527" s="3"/>
      <c r="E3527" s="3"/>
      <c r="F3527" s="3"/>
      <c r="G3527" s="3"/>
      <c r="H3527" s="11"/>
      <c r="I3527" s="12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14"/>
      <c r="Z3527" s="3"/>
      <c r="AA3527" s="3"/>
      <c r="AB3527" s="3"/>
      <c r="AC3527" s="3"/>
      <c r="AD3527" s="3"/>
      <c r="AE3527" s="3"/>
      <c r="AF3527" s="3"/>
      <c r="AG3527" s="3"/>
      <c r="AH3527" s="3"/>
    </row>
    <row r="3528" spans="1:34" ht="14.25" customHeight="1" x14ac:dyDescent="0.25">
      <c r="A3528" s="3"/>
      <c r="B3528" s="3"/>
      <c r="C3528" s="3"/>
      <c r="D3528" s="3"/>
      <c r="E3528" s="3"/>
      <c r="F3528" s="3"/>
      <c r="G3528" s="3"/>
      <c r="H3528" s="11"/>
      <c r="I3528" s="12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14"/>
      <c r="Z3528" s="3"/>
      <c r="AA3528" s="3"/>
      <c r="AB3528" s="3"/>
      <c r="AC3528" s="3"/>
      <c r="AD3528" s="3"/>
      <c r="AE3528" s="3"/>
      <c r="AF3528" s="3"/>
      <c r="AG3528" s="3"/>
      <c r="AH3528" s="3"/>
    </row>
    <row r="3529" spans="1:34" ht="14.25" customHeight="1" x14ac:dyDescent="0.25">
      <c r="A3529" s="3"/>
      <c r="B3529" s="3"/>
      <c r="C3529" s="3"/>
      <c r="D3529" s="3"/>
      <c r="E3529" s="3"/>
      <c r="F3529" s="3"/>
      <c r="G3529" s="3"/>
      <c r="H3529" s="11"/>
      <c r="I3529" s="12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14"/>
      <c r="Z3529" s="3"/>
      <c r="AA3529" s="3"/>
      <c r="AB3529" s="3"/>
      <c r="AC3529" s="3"/>
      <c r="AD3529" s="3"/>
      <c r="AE3529" s="3"/>
      <c r="AF3529" s="3"/>
      <c r="AG3529" s="3"/>
      <c r="AH3529" s="3"/>
    </row>
    <row r="3530" spans="1:34" ht="14.25" customHeight="1" x14ac:dyDescent="0.25">
      <c r="A3530" s="3"/>
      <c r="B3530" s="3"/>
      <c r="C3530" s="3"/>
      <c r="D3530" s="3"/>
      <c r="E3530" s="3"/>
      <c r="F3530" s="3"/>
      <c r="G3530" s="3"/>
      <c r="H3530" s="11"/>
      <c r="I3530" s="12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14"/>
      <c r="Z3530" s="3"/>
      <c r="AA3530" s="3"/>
      <c r="AB3530" s="3"/>
      <c r="AC3530" s="3"/>
      <c r="AD3530" s="3"/>
      <c r="AE3530" s="3"/>
      <c r="AF3530" s="3"/>
      <c r="AG3530" s="3"/>
      <c r="AH3530" s="3"/>
    </row>
    <row r="3531" spans="1:34" ht="14.25" customHeight="1" x14ac:dyDescent="0.25">
      <c r="A3531" s="3"/>
      <c r="B3531" s="3"/>
      <c r="C3531" s="3"/>
      <c r="D3531" s="3"/>
      <c r="E3531" s="3"/>
      <c r="F3531" s="3"/>
      <c r="G3531" s="3"/>
      <c r="H3531" s="11"/>
      <c r="I3531" s="12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14"/>
      <c r="Z3531" s="3"/>
      <c r="AA3531" s="3"/>
      <c r="AB3531" s="3"/>
      <c r="AC3531" s="3"/>
      <c r="AD3531" s="3"/>
      <c r="AE3531" s="3"/>
      <c r="AF3531" s="3"/>
      <c r="AG3531" s="3"/>
      <c r="AH3531" s="3"/>
    </row>
    <row r="3532" spans="1:34" ht="14.25" customHeight="1" x14ac:dyDescent="0.25">
      <c r="A3532" s="3"/>
      <c r="B3532" s="3"/>
      <c r="C3532" s="3"/>
      <c r="D3532" s="3"/>
      <c r="E3532" s="3"/>
      <c r="F3532" s="3"/>
      <c r="G3532" s="3"/>
      <c r="H3532" s="11"/>
      <c r="I3532" s="12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14"/>
      <c r="Z3532" s="3"/>
      <c r="AA3532" s="3"/>
      <c r="AB3532" s="3"/>
      <c r="AC3532" s="3"/>
      <c r="AD3532" s="3"/>
      <c r="AE3532" s="3"/>
      <c r="AF3532" s="3"/>
      <c r="AG3532" s="3"/>
      <c r="AH3532" s="3"/>
    </row>
    <row r="3533" spans="1:34" ht="14.25" customHeight="1" x14ac:dyDescent="0.25">
      <c r="A3533" s="3"/>
      <c r="B3533" s="3"/>
      <c r="C3533" s="3"/>
      <c r="D3533" s="3"/>
      <c r="E3533" s="3"/>
      <c r="F3533" s="3"/>
      <c r="G3533" s="3"/>
      <c r="H3533" s="11"/>
      <c r="I3533" s="12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14"/>
      <c r="Z3533" s="3"/>
      <c r="AA3533" s="3"/>
      <c r="AB3533" s="3"/>
      <c r="AC3533" s="3"/>
      <c r="AD3533" s="3"/>
      <c r="AE3533" s="3"/>
      <c r="AF3533" s="3"/>
      <c r="AG3533" s="3"/>
      <c r="AH3533" s="3"/>
    </row>
    <row r="3534" spans="1:34" ht="14.25" customHeight="1" x14ac:dyDescent="0.25">
      <c r="A3534" s="3"/>
      <c r="B3534" s="3"/>
      <c r="C3534" s="3"/>
      <c r="D3534" s="3"/>
      <c r="E3534" s="3"/>
      <c r="F3534" s="3"/>
      <c r="G3534" s="3"/>
      <c r="H3534" s="11"/>
      <c r="I3534" s="12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14"/>
      <c r="Z3534" s="3"/>
      <c r="AA3534" s="3"/>
      <c r="AB3534" s="3"/>
      <c r="AC3534" s="3"/>
      <c r="AD3534" s="3"/>
      <c r="AE3534" s="3"/>
      <c r="AF3534" s="3"/>
      <c r="AG3534" s="3"/>
      <c r="AH3534" s="3"/>
    </row>
    <row r="3535" spans="1:34" ht="14.25" customHeight="1" x14ac:dyDescent="0.25">
      <c r="A3535" s="3"/>
      <c r="B3535" s="3"/>
      <c r="C3535" s="3"/>
      <c r="D3535" s="3"/>
      <c r="E3535" s="3"/>
      <c r="F3535" s="3"/>
      <c r="G3535" s="3"/>
      <c r="H3535" s="11"/>
      <c r="I3535" s="12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14"/>
      <c r="Z3535" s="3"/>
      <c r="AA3535" s="3"/>
      <c r="AB3535" s="3"/>
      <c r="AC3535" s="3"/>
      <c r="AD3535" s="3"/>
      <c r="AE3535" s="3"/>
      <c r="AF3535" s="3"/>
      <c r="AG3535" s="3"/>
      <c r="AH3535" s="3"/>
    </row>
    <row r="3536" spans="1:34" ht="14.25" customHeight="1" x14ac:dyDescent="0.25">
      <c r="A3536" s="3"/>
      <c r="B3536" s="3"/>
      <c r="C3536" s="3"/>
      <c r="D3536" s="3"/>
      <c r="E3536" s="3"/>
      <c r="F3536" s="3"/>
      <c r="G3536" s="3"/>
      <c r="H3536" s="11"/>
      <c r="I3536" s="12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14"/>
      <c r="Z3536" s="3"/>
      <c r="AA3536" s="3"/>
      <c r="AB3536" s="3"/>
      <c r="AC3536" s="3"/>
      <c r="AD3536" s="3"/>
      <c r="AE3536" s="3"/>
      <c r="AF3536" s="3"/>
      <c r="AG3536" s="3"/>
      <c r="AH3536" s="3"/>
    </row>
    <row r="3537" spans="1:34" ht="14.25" customHeight="1" x14ac:dyDescent="0.25">
      <c r="A3537" s="3"/>
      <c r="B3537" s="3"/>
      <c r="C3537" s="3"/>
      <c r="D3537" s="3"/>
      <c r="E3537" s="3"/>
      <c r="F3537" s="3"/>
      <c r="G3537" s="3"/>
      <c r="H3537" s="11"/>
      <c r="I3537" s="12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14"/>
      <c r="Z3537" s="3"/>
      <c r="AA3537" s="3"/>
      <c r="AB3537" s="3"/>
      <c r="AC3537" s="3"/>
      <c r="AD3537" s="3"/>
      <c r="AE3537" s="3"/>
      <c r="AF3537" s="3"/>
      <c r="AG3537" s="3"/>
      <c r="AH3537" s="3"/>
    </row>
    <row r="3538" spans="1:34" ht="14.25" customHeight="1" x14ac:dyDescent="0.25">
      <c r="A3538" s="3"/>
      <c r="B3538" s="3"/>
      <c r="C3538" s="3"/>
      <c r="D3538" s="3"/>
      <c r="E3538" s="3"/>
      <c r="F3538" s="3"/>
      <c r="G3538" s="3"/>
      <c r="H3538" s="11"/>
      <c r="I3538" s="12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14"/>
      <c r="Z3538" s="3"/>
      <c r="AA3538" s="3"/>
      <c r="AB3538" s="3"/>
      <c r="AC3538" s="3"/>
      <c r="AD3538" s="3"/>
      <c r="AE3538" s="3"/>
      <c r="AF3538" s="3"/>
      <c r="AG3538" s="3"/>
      <c r="AH3538" s="3"/>
    </row>
    <row r="3539" spans="1:34" ht="14.25" customHeight="1" x14ac:dyDescent="0.25">
      <c r="A3539" s="3"/>
      <c r="B3539" s="3"/>
      <c r="C3539" s="3"/>
      <c r="D3539" s="3"/>
      <c r="E3539" s="3"/>
      <c r="F3539" s="3"/>
      <c r="G3539" s="3"/>
      <c r="H3539" s="11"/>
      <c r="I3539" s="12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14"/>
      <c r="Z3539" s="3"/>
      <c r="AA3539" s="3"/>
      <c r="AB3539" s="3"/>
      <c r="AC3539" s="3"/>
      <c r="AD3539" s="3"/>
      <c r="AE3539" s="3"/>
      <c r="AF3539" s="3"/>
      <c r="AG3539" s="3"/>
      <c r="AH3539" s="3"/>
    </row>
    <row r="3540" spans="1:34" ht="14.25" customHeight="1" x14ac:dyDescent="0.25">
      <c r="A3540" s="3"/>
      <c r="B3540" s="3"/>
      <c r="C3540" s="3"/>
      <c r="D3540" s="3"/>
      <c r="E3540" s="3"/>
      <c r="F3540" s="3"/>
      <c r="G3540" s="14"/>
      <c r="H3540" s="11"/>
      <c r="I3540" s="12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14"/>
      <c r="Z3540" s="3"/>
      <c r="AA3540" s="3"/>
      <c r="AB3540" s="3"/>
      <c r="AC3540" s="3"/>
      <c r="AD3540" s="3"/>
      <c r="AE3540" s="3"/>
      <c r="AF3540" s="3"/>
      <c r="AG3540" s="3"/>
      <c r="AH3540" s="3"/>
    </row>
    <row r="3541" spans="1:34" ht="14.25" customHeight="1" x14ac:dyDescent="0.25">
      <c r="A3541" s="3"/>
      <c r="B3541" s="3"/>
      <c r="C3541" s="3"/>
      <c r="D3541" s="3"/>
      <c r="E3541" s="3"/>
      <c r="F3541" s="3"/>
      <c r="G3541" s="3"/>
      <c r="H3541" s="11"/>
      <c r="I3541" s="12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14"/>
      <c r="Z3541" s="3"/>
      <c r="AA3541" s="3"/>
      <c r="AB3541" s="3"/>
      <c r="AC3541" s="3"/>
      <c r="AD3541" s="3"/>
      <c r="AE3541" s="3"/>
      <c r="AF3541" s="3"/>
      <c r="AG3541" s="3"/>
      <c r="AH3541" s="3"/>
    </row>
    <row r="3542" spans="1:34" ht="14.25" customHeight="1" x14ac:dyDescent="0.25">
      <c r="A3542" s="3"/>
      <c r="B3542" s="3"/>
      <c r="C3542" s="3"/>
      <c r="D3542" s="3"/>
      <c r="E3542" s="3"/>
      <c r="F3542" s="3"/>
      <c r="G3542" s="3"/>
      <c r="H3542" s="11"/>
      <c r="I3542" s="12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14"/>
      <c r="Z3542" s="3"/>
      <c r="AA3542" s="3"/>
      <c r="AB3542" s="3"/>
      <c r="AC3542" s="3"/>
      <c r="AD3542" s="3"/>
      <c r="AE3542" s="3"/>
      <c r="AF3542" s="3"/>
      <c r="AG3542" s="3"/>
      <c r="AH3542" s="3"/>
    </row>
    <row r="3543" spans="1:34" ht="14.25" customHeight="1" x14ac:dyDescent="0.25">
      <c r="A3543" s="3"/>
      <c r="B3543" s="3"/>
      <c r="C3543" s="3"/>
      <c r="D3543" s="3"/>
      <c r="E3543" s="3"/>
      <c r="F3543" s="3"/>
      <c r="G3543" s="3"/>
      <c r="H3543" s="11"/>
      <c r="I3543" s="12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14"/>
      <c r="Z3543" s="3"/>
      <c r="AA3543" s="3"/>
      <c r="AB3543" s="3"/>
      <c r="AC3543" s="3"/>
      <c r="AD3543" s="3"/>
      <c r="AE3543" s="3"/>
      <c r="AF3543" s="3"/>
      <c r="AG3543" s="3"/>
      <c r="AH3543" s="3"/>
    </row>
    <row r="3544" spans="1:34" ht="14.25" customHeight="1" x14ac:dyDescent="0.25">
      <c r="A3544" s="3"/>
      <c r="B3544" s="3"/>
      <c r="C3544" s="3"/>
      <c r="D3544" s="3"/>
      <c r="E3544" s="3"/>
      <c r="F3544" s="3"/>
      <c r="G3544" s="3"/>
      <c r="H3544" s="11"/>
      <c r="I3544" s="12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14"/>
      <c r="Z3544" s="3"/>
      <c r="AA3544" s="3"/>
      <c r="AB3544" s="3"/>
      <c r="AC3544" s="3"/>
      <c r="AD3544" s="3"/>
      <c r="AE3544" s="3"/>
      <c r="AF3544" s="3"/>
      <c r="AG3544" s="3"/>
      <c r="AH3544" s="3"/>
    </row>
    <row r="3545" spans="1:34" ht="14.25" customHeight="1" x14ac:dyDescent="0.25">
      <c r="A3545" s="3"/>
      <c r="B3545" s="3"/>
      <c r="C3545" s="3"/>
      <c r="D3545" s="3"/>
      <c r="E3545" s="3"/>
      <c r="F3545" s="3"/>
      <c r="G3545" s="3"/>
      <c r="H3545" s="11"/>
      <c r="I3545" s="12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14"/>
      <c r="Z3545" s="3"/>
      <c r="AA3545" s="3"/>
      <c r="AB3545" s="3"/>
      <c r="AC3545" s="3"/>
      <c r="AD3545" s="3"/>
      <c r="AE3545" s="3"/>
      <c r="AF3545" s="3"/>
      <c r="AG3545" s="3"/>
      <c r="AH3545" s="3"/>
    </row>
    <row r="3546" spans="1:34" ht="14.25" customHeight="1" x14ac:dyDescent="0.25">
      <c r="A3546" s="3"/>
      <c r="B3546" s="3"/>
      <c r="C3546" s="3"/>
      <c r="D3546" s="3"/>
      <c r="E3546" s="3"/>
      <c r="F3546" s="3"/>
      <c r="G3546" s="3"/>
      <c r="H3546" s="11"/>
      <c r="I3546" s="12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14"/>
      <c r="Z3546" s="3"/>
      <c r="AA3546" s="3"/>
      <c r="AB3546" s="3"/>
      <c r="AC3546" s="3"/>
      <c r="AD3546" s="3"/>
      <c r="AE3546" s="3"/>
      <c r="AF3546" s="3"/>
      <c r="AG3546" s="3"/>
      <c r="AH3546" s="3"/>
    </row>
    <row r="3547" spans="1:34" ht="14.25" customHeight="1" x14ac:dyDescent="0.25">
      <c r="A3547" s="3"/>
      <c r="B3547" s="3"/>
      <c r="C3547" s="3"/>
      <c r="D3547" s="3"/>
      <c r="E3547" s="3"/>
      <c r="F3547" s="3"/>
      <c r="G3547" s="3"/>
      <c r="H3547" s="11"/>
      <c r="I3547" s="12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14"/>
      <c r="Z3547" s="3"/>
      <c r="AA3547" s="3"/>
      <c r="AB3547" s="3"/>
      <c r="AC3547" s="3"/>
      <c r="AD3547" s="3"/>
      <c r="AE3547" s="3"/>
      <c r="AF3547" s="3"/>
      <c r="AG3547" s="3"/>
      <c r="AH3547" s="3"/>
    </row>
    <row r="3548" spans="1:34" ht="14.25" customHeight="1" x14ac:dyDescent="0.25">
      <c r="A3548" s="3"/>
      <c r="B3548" s="3"/>
      <c r="C3548" s="3"/>
      <c r="D3548" s="3"/>
      <c r="E3548" s="3"/>
      <c r="F3548" s="3"/>
      <c r="G3548" s="3"/>
      <c r="H3548" s="11"/>
      <c r="I3548" s="12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14"/>
      <c r="Z3548" s="3"/>
      <c r="AA3548" s="3"/>
      <c r="AB3548" s="3"/>
      <c r="AC3548" s="3"/>
      <c r="AD3548" s="3"/>
      <c r="AE3548" s="3"/>
      <c r="AF3548" s="3"/>
      <c r="AG3548" s="3"/>
      <c r="AH3548" s="3"/>
    </row>
    <row r="3549" spans="1:34" ht="14.25" customHeight="1" x14ac:dyDescent="0.25">
      <c r="A3549" s="3"/>
      <c r="B3549" s="3"/>
      <c r="C3549" s="3"/>
      <c r="D3549" s="3"/>
      <c r="E3549" s="3"/>
      <c r="F3549" s="3"/>
      <c r="G3549" s="3"/>
      <c r="H3549" s="11"/>
      <c r="I3549" s="12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14"/>
      <c r="Z3549" s="3"/>
      <c r="AA3549" s="3"/>
      <c r="AB3549" s="3"/>
      <c r="AC3549" s="3"/>
      <c r="AD3549" s="3"/>
      <c r="AE3549" s="3"/>
      <c r="AF3549" s="3"/>
      <c r="AG3549" s="3"/>
      <c r="AH3549" s="3"/>
    </row>
    <row r="3550" spans="1:34" ht="14.25" customHeight="1" x14ac:dyDescent="0.25">
      <c r="A3550" s="3"/>
      <c r="B3550" s="3"/>
      <c r="C3550" s="3"/>
      <c r="D3550" s="3"/>
      <c r="E3550" s="3"/>
      <c r="F3550" s="3"/>
      <c r="G3550" s="3"/>
      <c r="H3550" s="11"/>
      <c r="I3550" s="12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14"/>
      <c r="Z3550" s="3"/>
      <c r="AA3550" s="3"/>
      <c r="AB3550" s="3"/>
      <c r="AC3550" s="3"/>
      <c r="AD3550" s="3"/>
      <c r="AE3550" s="3"/>
      <c r="AF3550" s="3"/>
      <c r="AG3550" s="3"/>
      <c r="AH3550" s="3"/>
    </row>
    <row r="3551" spans="1:34" ht="14.25" customHeight="1" x14ac:dyDescent="0.25">
      <c r="A3551" s="3"/>
      <c r="B3551" s="3"/>
      <c r="C3551" s="3"/>
      <c r="D3551" s="3"/>
      <c r="E3551" s="3"/>
      <c r="F3551" s="3"/>
      <c r="G3551" s="3"/>
      <c r="H3551" s="11"/>
      <c r="I3551" s="12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14"/>
      <c r="Z3551" s="3"/>
      <c r="AA3551" s="3"/>
      <c r="AB3551" s="3"/>
      <c r="AC3551" s="3"/>
      <c r="AD3551" s="3"/>
      <c r="AE3551" s="3"/>
      <c r="AF3551" s="3"/>
      <c r="AG3551" s="3"/>
      <c r="AH3551" s="3"/>
    </row>
    <row r="3552" spans="1:34" ht="14.25" customHeight="1" x14ac:dyDescent="0.25">
      <c r="A3552" s="3"/>
      <c r="B3552" s="3"/>
      <c r="C3552" s="3"/>
      <c r="D3552" s="3"/>
      <c r="E3552" s="3"/>
      <c r="F3552" s="3"/>
      <c r="G3552" s="3"/>
      <c r="H3552" s="11"/>
      <c r="I3552" s="12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14"/>
      <c r="Z3552" s="3"/>
      <c r="AA3552" s="3"/>
      <c r="AB3552" s="3"/>
      <c r="AC3552" s="3"/>
      <c r="AD3552" s="3"/>
      <c r="AE3552" s="3"/>
      <c r="AF3552" s="3"/>
      <c r="AG3552" s="3"/>
      <c r="AH3552" s="3"/>
    </row>
    <row r="3553" spans="1:34" ht="14.25" customHeight="1" x14ac:dyDescent="0.25">
      <c r="A3553" s="3"/>
      <c r="B3553" s="3"/>
      <c r="C3553" s="3"/>
      <c r="D3553" s="3"/>
      <c r="E3553" s="3"/>
      <c r="F3553" s="3"/>
      <c r="G3553" s="3"/>
      <c r="H3553" s="11"/>
      <c r="I3553" s="12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14"/>
      <c r="Z3553" s="3"/>
      <c r="AA3553" s="3"/>
      <c r="AB3553" s="3"/>
      <c r="AC3553" s="3"/>
      <c r="AD3553" s="3"/>
      <c r="AE3553" s="3"/>
      <c r="AF3553" s="3"/>
      <c r="AG3553" s="3"/>
      <c r="AH3553" s="3"/>
    </row>
    <row r="3554" spans="1:34" ht="14.25" customHeight="1" x14ac:dyDescent="0.25">
      <c r="A3554" s="3"/>
      <c r="B3554" s="3"/>
      <c r="C3554" s="3"/>
      <c r="D3554" s="3"/>
      <c r="E3554" s="3"/>
      <c r="F3554" s="3"/>
      <c r="G3554" s="3"/>
      <c r="H3554" s="11"/>
      <c r="I3554" s="12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14"/>
      <c r="Z3554" s="3"/>
      <c r="AA3554" s="3"/>
      <c r="AB3554" s="3"/>
      <c r="AC3554" s="3"/>
      <c r="AD3554" s="3"/>
      <c r="AE3554" s="3"/>
      <c r="AF3554" s="3"/>
      <c r="AG3554" s="3"/>
      <c r="AH3554" s="3"/>
    </row>
    <row r="3555" spans="1:34" ht="14.25" customHeight="1" x14ac:dyDescent="0.25">
      <c r="A3555" s="3"/>
      <c r="B3555" s="3"/>
      <c r="C3555" s="3"/>
      <c r="D3555" s="3"/>
      <c r="E3555" s="3"/>
      <c r="F3555" s="3"/>
      <c r="G3555" s="3"/>
      <c r="H3555" s="11"/>
      <c r="I3555" s="12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14"/>
      <c r="Z3555" s="3"/>
      <c r="AA3555" s="3"/>
      <c r="AB3555" s="3"/>
      <c r="AC3555" s="3"/>
      <c r="AD3555" s="3"/>
      <c r="AE3555" s="3"/>
      <c r="AF3555" s="3"/>
      <c r="AG3555" s="3"/>
      <c r="AH3555" s="3"/>
    </row>
    <row r="3556" spans="1:34" ht="14.25" customHeight="1" x14ac:dyDescent="0.25">
      <c r="A3556" s="3"/>
      <c r="B3556" s="3"/>
      <c r="C3556" s="3"/>
      <c r="D3556" s="3"/>
      <c r="E3556" s="3"/>
      <c r="F3556" s="3"/>
      <c r="G3556" s="3"/>
      <c r="H3556" s="11"/>
      <c r="I3556" s="12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14"/>
      <c r="Z3556" s="3"/>
      <c r="AA3556" s="3"/>
      <c r="AB3556" s="3"/>
      <c r="AC3556" s="3"/>
      <c r="AD3556" s="3"/>
      <c r="AE3556" s="3"/>
      <c r="AF3556" s="3"/>
      <c r="AG3556" s="3"/>
      <c r="AH3556" s="3"/>
    </row>
    <row r="3557" spans="1:34" ht="14.25" customHeight="1" x14ac:dyDescent="0.25">
      <c r="A3557" s="3"/>
      <c r="B3557" s="3"/>
      <c r="C3557" s="3"/>
      <c r="D3557" s="3"/>
      <c r="E3557" s="3"/>
      <c r="F3557" s="3"/>
      <c r="G3557" s="3"/>
      <c r="H3557" s="11"/>
      <c r="I3557" s="12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14"/>
      <c r="Z3557" s="3"/>
      <c r="AA3557" s="3"/>
      <c r="AB3557" s="3"/>
      <c r="AC3557" s="3"/>
      <c r="AD3557" s="3"/>
      <c r="AE3557" s="3"/>
      <c r="AF3557" s="3"/>
      <c r="AG3557" s="3"/>
      <c r="AH3557" s="3"/>
    </row>
    <row r="3558" spans="1:34" ht="14.25" customHeight="1" x14ac:dyDescent="0.25">
      <c r="A3558" s="3"/>
      <c r="B3558" s="3"/>
      <c r="C3558" s="3"/>
      <c r="D3558" s="3"/>
      <c r="E3558" s="3"/>
      <c r="F3558" s="3"/>
      <c r="G3558" s="3"/>
      <c r="H3558" s="11"/>
      <c r="I3558" s="12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14"/>
      <c r="Z3558" s="3"/>
      <c r="AA3558" s="3"/>
      <c r="AB3558" s="3"/>
      <c r="AC3558" s="3"/>
      <c r="AD3558" s="3"/>
      <c r="AE3558" s="3"/>
      <c r="AF3558" s="3"/>
      <c r="AG3558" s="3"/>
      <c r="AH3558" s="3"/>
    </row>
    <row r="3559" spans="1:34" ht="14.25" customHeight="1" x14ac:dyDescent="0.25">
      <c r="A3559" s="3"/>
      <c r="B3559" s="3"/>
      <c r="C3559" s="3"/>
      <c r="D3559" s="3"/>
      <c r="E3559" s="3"/>
      <c r="F3559" s="3"/>
      <c r="G3559" s="3"/>
      <c r="H3559" s="11"/>
      <c r="I3559" s="12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14"/>
      <c r="Z3559" s="3"/>
      <c r="AA3559" s="3"/>
      <c r="AB3559" s="3"/>
      <c r="AC3559" s="3"/>
      <c r="AD3559" s="3"/>
      <c r="AE3559" s="3"/>
      <c r="AF3559" s="3"/>
      <c r="AG3559" s="3"/>
      <c r="AH3559" s="3"/>
    </row>
    <row r="3560" spans="1:34" ht="14.25" customHeight="1" x14ac:dyDescent="0.25">
      <c r="A3560" s="3"/>
      <c r="B3560" s="3"/>
      <c r="C3560" s="3"/>
      <c r="D3560" s="3"/>
      <c r="E3560" s="3"/>
      <c r="F3560" s="3"/>
      <c r="G3560" s="3"/>
      <c r="H3560" s="11"/>
      <c r="I3560" s="12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14"/>
      <c r="Z3560" s="3"/>
      <c r="AA3560" s="3"/>
      <c r="AB3560" s="3"/>
      <c r="AC3560" s="3"/>
      <c r="AD3560" s="3"/>
      <c r="AE3560" s="3"/>
      <c r="AF3560" s="3"/>
      <c r="AG3560" s="3"/>
      <c r="AH3560" s="3"/>
    </row>
    <row r="3561" spans="1:34" ht="14.25" customHeight="1" x14ac:dyDescent="0.25">
      <c r="A3561" s="3"/>
      <c r="B3561" s="3"/>
      <c r="C3561" s="3"/>
      <c r="D3561" s="3"/>
      <c r="E3561" s="3"/>
      <c r="F3561" s="3"/>
      <c r="G3561" s="3"/>
      <c r="H3561" s="11"/>
      <c r="I3561" s="12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14"/>
      <c r="Z3561" s="3"/>
      <c r="AA3561" s="3"/>
      <c r="AB3561" s="3"/>
      <c r="AC3561" s="3"/>
      <c r="AD3561" s="3"/>
      <c r="AE3561" s="3"/>
      <c r="AF3561" s="3"/>
      <c r="AG3561" s="3"/>
      <c r="AH3561" s="3"/>
    </row>
    <row r="3562" spans="1:34" ht="14.25" customHeight="1" x14ac:dyDescent="0.25">
      <c r="A3562" s="3"/>
      <c r="B3562" s="3"/>
      <c r="C3562" s="3"/>
      <c r="D3562" s="3"/>
      <c r="E3562" s="3"/>
      <c r="F3562" s="3"/>
      <c r="G3562" s="3"/>
      <c r="H3562" s="11"/>
      <c r="I3562" s="12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14"/>
      <c r="Z3562" s="3"/>
      <c r="AA3562" s="3"/>
      <c r="AB3562" s="3"/>
      <c r="AC3562" s="3"/>
      <c r="AD3562" s="3"/>
      <c r="AE3562" s="3"/>
      <c r="AF3562" s="3"/>
      <c r="AG3562" s="3"/>
      <c r="AH3562" s="3"/>
    </row>
    <row r="3563" spans="1:34" ht="14.25" customHeight="1" x14ac:dyDescent="0.25">
      <c r="A3563" s="3"/>
      <c r="B3563" s="3"/>
      <c r="C3563" s="3"/>
      <c r="D3563" s="3"/>
      <c r="E3563" s="3"/>
      <c r="F3563" s="3"/>
      <c r="G3563" s="3"/>
      <c r="H3563" s="11"/>
      <c r="I3563" s="12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14"/>
      <c r="Z3563" s="3"/>
      <c r="AA3563" s="3"/>
      <c r="AB3563" s="3"/>
      <c r="AC3563" s="3"/>
      <c r="AD3563" s="3"/>
      <c r="AE3563" s="3"/>
      <c r="AF3563" s="3"/>
      <c r="AG3563" s="3"/>
      <c r="AH3563" s="3"/>
    </row>
    <row r="3564" spans="1:34" ht="14.25" customHeight="1" x14ac:dyDescent="0.25">
      <c r="A3564" s="3"/>
      <c r="B3564" s="3"/>
      <c r="C3564" s="3"/>
      <c r="D3564" s="3"/>
      <c r="E3564" s="3"/>
      <c r="F3564" s="3"/>
      <c r="G3564" s="14"/>
      <c r="H3564" s="11"/>
      <c r="I3564" s="12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14"/>
      <c r="Z3564" s="3"/>
      <c r="AA3564" s="3"/>
      <c r="AB3564" s="3"/>
      <c r="AC3564" s="3"/>
      <c r="AD3564" s="3"/>
      <c r="AE3564" s="3"/>
      <c r="AF3564" s="3"/>
      <c r="AG3564" s="3"/>
      <c r="AH3564" s="3"/>
    </row>
    <row r="3565" spans="1:34" ht="14.25" customHeight="1" x14ac:dyDescent="0.25">
      <c r="A3565" s="3"/>
      <c r="B3565" s="3"/>
      <c r="C3565" s="3"/>
      <c r="D3565" s="3"/>
      <c r="E3565" s="3"/>
      <c r="F3565" s="3"/>
      <c r="G3565" s="3"/>
      <c r="H3565" s="11"/>
      <c r="I3565" s="12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14"/>
      <c r="Z3565" s="3"/>
      <c r="AA3565" s="3"/>
      <c r="AB3565" s="3"/>
      <c r="AC3565" s="3"/>
      <c r="AD3565" s="3"/>
      <c r="AE3565" s="3"/>
      <c r="AF3565" s="3"/>
      <c r="AG3565" s="3"/>
      <c r="AH3565" s="3"/>
    </row>
    <row r="3566" spans="1:34" ht="14.25" customHeight="1" x14ac:dyDescent="0.25">
      <c r="A3566" s="3"/>
      <c r="B3566" s="3"/>
      <c r="C3566" s="3"/>
      <c r="D3566" s="3"/>
      <c r="E3566" s="3"/>
      <c r="F3566" s="3"/>
      <c r="G3566" s="3"/>
      <c r="H3566" s="11"/>
      <c r="I3566" s="12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14"/>
      <c r="Z3566" s="3"/>
      <c r="AA3566" s="3"/>
      <c r="AB3566" s="3"/>
      <c r="AC3566" s="3"/>
      <c r="AD3566" s="3"/>
      <c r="AE3566" s="3"/>
      <c r="AF3566" s="3"/>
      <c r="AG3566" s="3"/>
      <c r="AH3566" s="3"/>
    </row>
    <row r="3567" spans="1:34" ht="14.25" customHeight="1" x14ac:dyDescent="0.25">
      <c r="A3567" s="3"/>
      <c r="B3567" s="3"/>
      <c r="C3567" s="3"/>
      <c r="D3567" s="3"/>
      <c r="E3567" s="3"/>
      <c r="F3567" s="3"/>
      <c r="G3567" s="3"/>
      <c r="H3567" s="11"/>
      <c r="I3567" s="12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14"/>
      <c r="Z3567" s="3"/>
      <c r="AA3567" s="3"/>
      <c r="AB3567" s="3"/>
      <c r="AC3567" s="3"/>
      <c r="AD3567" s="3"/>
      <c r="AE3567" s="3"/>
      <c r="AF3567" s="3"/>
      <c r="AG3567" s="3"/>
      <c r="AH3567" s="3"/>
    </row>
    <row r="3568" spans="1:34" ht="14.25" customHeight="1" x14ac:dyDescent="0.25">
      <c r="A3568" s="3"/>
      <c r="B3568" s="3"/>
      <c r="C3568" s="3"/>
      <c r="D3568" s="3"/>
      <c r="E3568" s="3"/>
      <c r="F3568" s="3"/>
      <c r="G3568" s="3"/>
      <c r="H3568" s="11"/>
      <c r="I3568" s="12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14"/>
      <c r="Z3568" s="3"/>
      <c r="AA3568" s="3"/>
      <c r="AB3568" s="3"/>
      <c r="AC3568" s="3"/>
      <c r="AD3568" s="3"/>
      <c r="AE3568" s="3"/>
      <c r="AF3568" s="3"/>
      <c r="AG3568" s="3"/>
      <c r="AH3568" s="3"/>
    </row>
    <row r="3569" spans="1:34" ht="14.25" customHeight="1" x14ac:dyDescent="0.25">
      <c r="A3569" s="3"/>
      <c r="B3569" s="3"/>
      <c r="C3569" s="3"/>
      <c r="D3569" s="3"/>
      <c r="E3569" s="3"/>
      <c r="F3569" s="3"/>
      <c r="G3569" s="3"/>
      <c r="H3569" s="11"/>
      <c r="I3569" s="12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14"/>
      <c r="Z3569" s="3"/>
      <c r="AA3569" s="3"/>
      <c r="AB3569" s="3"/>
      <c r="AC3569" s="3"/>
      <c r="AD3569" s="3"/>
      <c r="AE3569" s="3"/>
      <c r="AF3569" s="3"/>
      <c r="AG3569" s="3"/>
      <c r="AH3569" s="3"/>
    </row>
    <row r="3570" spans="1:34" ht="14.25" customHeight="1" x14ac:dyDescent="0.25">
      <c r="A3570" s="3"/>
      <c r="B3570" s="3"/>
      <c r="C3570" s="3"/>
      <c r="D3570" s="3"/>
      <c r="E3570" s="3"/>
      <c r="F3570" s="3"/>
      <c r="G3570" s="3"/>
      <c r="H3570" s="11"/>
      <c r="I3570" s="12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14"/>
      <c r="Z3570" s="3"/>
      <c r="AA3570" s="3"/>
      <c r="AB3570" s="3"/>
      <c r="AC3570" s="3"/>
      <c r="AD3570" s="3"/>
      <c r="AE3570" s="3"/>
      <c r="AF3570" s="3"/>
      <c r="AG3570" s="3"/>
      <c r="AH3570" s="3"/>
    </row>
    <row r="3571" spans="1:34" ht="14.25" customHeight="1" x14ac:dyDescent="0.25">
      <c r="A3571" s="3"/>
      <c r="B3571" s="3"/>
      <c r="C3571" s="3"/>
      <c r="D3571" s="3"/>
      <c r="E3571" s="3"/>
      <c r="F3571" s="3"/>
      <c r="G3571" s="3"/>
      <c r="H3571" s="11"/>
      <c r="I3571" s="12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14"/>
      <c r="Z3571" s="3"/>
      <c r="AA3571" s="3"/>
      <c r="AB3571" s="3"/>
      <c r="AC3571" s="3"/>
      <c r="AD3571" s="3"/>
      <c r="AE3571" s="3"/>
      <c r="AF3571" s="3"/>
      <c r="AG3571" s="3"/>
      <c r="AH3571" s="3"/>
    </row>
    <row r="3572" spans="1:34" ht="14.25" customHeight="1" x14ac:dyDescent="0.25">
      <c r="A3572" s="3"/>
      <c r="B3572" s="3"/>
      <c r="C3572" s="3"/>
      <c r="D3572" s="3"/>
      <c r="E3572" s="3"/>
      <c r="F3572" s="3"/>
      <c r="G3572" s="3"/>
      <c r="H3572" s="11"/>
      <c r="I3572" s="12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14"/>
      <c r="Z3572" s="3"/>
      <c r="AA3572" s="3"/>
      <c r="AB3572" s="3"/>
      <c r="AC3572" s="3"/>
      <c r="AD3572" s="3"/>
      <c r="AE3572" s="3"/>
      <c r="AF3572" s="3"/>
      <c r="AG3572" s="3"/>
      <c r="AH3572" s="3"/>
    </row>
    <row r="3573" spans="1:34" ht="14.25" customHeight="1" x14ac:dyDescent="0.25">
      <c r="A3573" s="3"/>
      <c r="B3573" s="3"/>
      <c r="C3573" s="3"/>
      <c r="D3573" s="3"/>
      <c r="E3573" s="3"/>
      <c r="F3573" s="3"/>
      <c r="G3573" s="3"/>
      <c r="H3573" s="11"/>
      <c r="I3573" s="12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14"/>
      <c r="Z3573" s="3"/>
      <c r="AA3573" s="3"/>
      <c r="AB3573" s="3"/>
      <c r="AC3573" s="3"/>
      <c r="AD3573" s="3"/>
      <c r="AE3573" s="3"/>
      <c r="AF3573" s="3"/>
      <c r="AG3573" s="3"/>
      <c r="AH3573" s="3"/>
    </row>
    <row r="3574" spans="1:34" ht="14.25" customHeight="1" x14ac:dyDescent="0.25">
      <c r="A3574" s="3"/>
      <c r="B3574" s="3"/>
      <c r="C3574" s="3"/>
      <c r="D3574" s="3"/>
      <c r="E3574" s="3"/>
      <c r="F3574" s="3"/>
      <c r="G3574" s="3"/>
      <c r="H3574" s="11"/>
      <c r="I3574" s="12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14"/>
      <c r="Z3574" s="3"/>
      <c r="AA3574" s="3"/>
      <c r="AB3574" s="3"/>
      <c r="AC3574" s="3"/>
      <c r="AD3574" s="3"/>
      <c r="AE3574" s="3"/>
      <c r="AF3574" s="3"/>
      <c r="AG3574" s="3"/>
      <c r="AH3574" s="3"/>
    </row>
    <row r="3575" spans="1:34" ht="14.25" customHeight="1" x14ac:dyDescent="0.25">
      <c r="A3575" s="3"/>
      <c r="B3575" s="3"/>
      <c r="C3575" s="3"/>
      <c r="D3575" s="3"/>
      <c r="E3575" s="3"/>
      <c r="F3575" s="3"/>
      <c r="G3575" s="3"/>
      <c r="H3575" s="11"/>
      <c r="I3575" s="12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14"/>
      <c r="Z3575" s="3"/>
      <c r="AA3575" s="3"/>
      <c r="AB3575" s="3"/>
      <c r="AC3575" s="3"/>
      <c r="AD3575" s="3"/>
      <c r="AE3575" s="3"/>
      <c r="AF3575" s="3"/>
      <c r="AG3575" s="3"/>
      <c r="AH3575" s="3"/>
    </row>
    <row r="3576" spans="1:34" ht="14.25" customHeight="1" x14ac:dyDescent="0.25">
      <c r="A3576" s="3"/>
      <c r="B3576" s="3"/>
      <c r="C3576" s="3"/>
      <c r="D3576" s="3"/>
      <c r="E3576" s="3"/>
      <c r="F3576" s="3"/>
      <c r="G3576" s="3"/>
      <c r="H3576" s="11"/>
      <c r="I3576" s="12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14"/>
      <c r="Z3576" s="3"/>
      <c r="AA3576" s="3"/>
      <c r="AB3576" s="3"/>
      <c r="AC3576" s="3"/>
      <c r="AD3576" s="3"/>
      <c r="AE3576" s="3"/>
      <c r="AF3576" s="3"/>
      <c r="AG3576" s="3"/>
      <c r="AH3576" s="3"/>
    </row>
    <row r="3577" spans="1:34" ht="14.25" customHeight="1" x14ac:dyDescent="0.25">
      <c r="A3577" s="3"/>
      <c r="B3577" s="3"/>
      <c r="C3577" s="3"/>
      <c r="D3577" s="3"/>
      <c r="E3577" s="3"/>
      <c r="F3577" s="3"/>
      <c r="G3577" s="3"/>
      <c r="H3577" s="11"/>
      <c r="I3577" s="12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14"/>
      <c r="Z3577" s="3"/>
      <c r="AA3577" s="3"/>
      <c r="AB3577" s="3"/>
      <c r="AC3577" s="3"/>
      <c r="AD3577" s="3"/>
      <c r="AE3577" s="3"/>
      <c r="AF3577" s="3"/>
      <c r="AG3577" s="3"/>
      <c r="AH3577" s="3"/>
    </row>
    <row r="3578" spans="1:34" ht="14.25" customHeight="1" x14ac:dyDescent="0.25">
      <c r="A3578" s="3"/>
      <c r="B3578" s="3"/>
      <c r="C3578" s="3"/>
      <c r="D3578" s="3"/>
      <c r="E3578" s="3"/>
      <c r="F3578" s="3"/>
      <c r="G3578" s="3"/>
      <c r="H3578" s="11"/>
      <c r="I3578" s="12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14"/>
      <c r="Z3578" s="3"/>
      <c r="AA3578" s="3"/>
      <c r="AB3578" s="3"/>
      <c r="AC3578" s="3"/>
      <c r="AD3578" s="3"/>
      <c r="AE3578" s="3"/>
      <c r="AF3578" s="3"/>
      <c r="AG3578" s="3"/>
      <c r="AH3578" s="3"/>
    </row>
    <row r="3579" spans="1:34" ht="14.25" customHeight="1" x14ac:dyDescent="0.25">
      <c r="A3579" s="3"/>
      <c r="B3579" s="3"/>
      <c r="C3579" s="3"/>
      <c r="D3579" s="3"/>
      <c r="E3579" s="3"/>
      <c r="F3579" s="3"/>
      <c r="G3579" s="3"/>
      <c r="H3579" s="11"/>
      <c r="I3579" s="12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14"/>
      <c r="Z3579" s="3"/>
      <c r="AA3579" s="3"/>
      <c r="AB3579" s="3"/>
      <c r="AC3579" s="3"/>
      <c r="AD3579" s="3"/>
      <c r="AE3579" s="3"/>
      <c r="AF3579" s="3"/>
      <c r="AG3579" s="3"/>
      <c r="AH3579" s="3"/>
    </row>
    <row r="3580" spans="1:34" ht="14.25" customHeight="1" x14ac:dyDescent="0.25">
      <c r="A3580" s="3"/>
      <c r="B3580" s="3"/>
      <c r="C3580" s="3"/>
      <c r="D3580" s="3"/>
      <c r="E3580" s="3"/>
      <c r="F3580" s="3"/>
      <c r="G3580" s="3"/>
      <c r="H3580" s="11"/>
      <c r="I3580" s="12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14"/>
      <c r="Z3580" s="3"/>
      <c r="AA3580" s="3"/>
      <c r="AB3580" s="3"/>
      <c r="AC3580" s="3"/>
      <c r="AD3580" s="3"/>
      <c r="AE3580" s="3"/>
      <c r="AF3580" s="3"/>
      <c r="AG3580" s="3"/>
      <c r="AH3580" s="3"/>
    </row>
    <row r="3581" spans="1:34" ht="14.25" customHeight="1" x14ac:dyDescent="0.25">
      <c r="A3581" s="3"/>
      <c r="B3581" s="3"/>
      <c r="C3581" s="3"/>
      <c r="D3581" s="3"/>
      <c r="E3581" s="3"/>
      <c r="F3581" s="3"/>
      <c r="G3581" s="3"/>
      <c r="H3581" s="11"/>
      <c r="I3581" s="12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14"/>
      <c r="Z3581" s="3"/>
      <c r="AA3581" s="3"/>
      <c r="AB3581" s="3"/>
      <c r="AC3581" s="3"/>
      <c r="AD3581" s="3"/>
      <c r="AE3581" s="3"/>
      <c r="AF3581" s="3"/>
      <c r="AG3581" s="3"/>
      <c r="AH3581" s="3"/>
    </row>
    <row r="3582" spans="1:34" ht="14.25" customHeight="1" x14ac:dyDescent="0.25">
      <c r="A3582" s="3"/>
      <c r="B3582" s="3"/>
      <c r="C3582" s="3"/>
      <c r="D3582" s="3"/>
      <c r="E3582" s="3"/>
      <c r="F3582" s="3"/>
      <c r="G3582" s="3"/>
      <c r="H3582" s="11"/>
      <c r="I3582" s="12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</row>
    <row r="3583" spans="1:34" ht="14.25" customHeight="1" x14ac:dyDescent="0.25">
      <c r="A3583" s="3"/>
      <c r="B3583" s="3"/>
      <c r="C3583" s="3"/>
      <c r="D3583" s="3"/>
      <c r="E3583" s="3"/>
      <c r="F3583" s="3"/>
      <c r="G3583" s="3"/>
      <c r="H3583" s="11"/>
      <c r="I3583" s="12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</row>
    <row r="3584" spans="1:34" ht="14.25" customHeight="1" x14ac:dyDescent="0.25">
      <c r="A3584" s="3"/>
      <c r="B3584" s="3"/>
      <c r="C3584" s="3"/>
      <c r="D3584" s="3"/>
      <c r="E3584" s="3"/>
      <c r="F3584" s="3"/>
      <c r="G3584" s="3"/>
      <c r="H3584" s="11"/>
      <c r="I3584" s="12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</row>
    <row r="3585" spans="1:34" ht="14.25" customHeight="1" x14ac:dyDescent="0.25">
      <c r="A3585" s="3"/>
      <c r="B3585" s="3"/>
      <c r="C3585" s="3"/>
      <c r="D3585" s="3"/>
      <c r="E3585" s="3"/>
      <c r="F3585" s="3"/>
      <c r="G3585" s="3"/>
      <c r="H3585" s="11"/>
      <c r="I3585" s="12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</row>
    <row r="3586" spans="1:34" ht="14.25" customHeight="1" x14ac:dyDescent="0.25">
      <c r="A3586" s="3"/>
      <c r="B3586" s="3"/>
      <c r="C3586" s="3"/>
      <c r="D3586" s="3"/>
      <c r="E3586" s="3"/>
      <c r="F3586" s="3"/>
      <c r="G3586" s="3"/>
      <c r="H3586" s="11"/>
      <c r="I3586" s="12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</row>
    <row r="3587" spans="1:34" ht="14.25" customHeight="1" x14ac:dyDescent="0.25">
      <c r="A3587" s="3"/>
      <c r="B3587" s="3"/>
      <c r="C3587" s="3"/>
      <c r="D3587" s="3"/>
      <c r="E3587" s="3"/>
      <c r="F3587" s="3"/>
      <c r="G3587" s="3"/>
      <c r="H3587" s="11"/>
      <c r="I3587" s="12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</row>
    <row r="3588" spans="1:34" ht="14.25" customHeight="1" x14ac:dyDescent="0.25">
      <c r="A3588" s="3"/>
      <c r="B3588" s="3"/>
      <c r="C3588" s="3"/>
      <c r="D3588" s="3"/>
      <c r="E3588" s="3"/>
      <c r="F3588" s="3"/>
      <c r="G3588" s="3"/>
      <c r="H3588" s="11"/>
      <c r="I3588" s="12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</row>
    <row r="3589" spans="1:34" ht="14.25" customHeight="1" x14ac:dyDescent="0.25">
      <c r="A3589" s="3"/>
      <c r="B3589" s="3"/>
      <c r="C3589" s="3"/>
      <c r="D3589" s="3"/>
      <c r="E3589" s="3"/>
      <c r="F3589" s="3"/>
      <c r="G3589" s="3"/>
      <c r="H3589" s="11"/>
      <c r="I3589" s="12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</row>
    <row r="3590" spans="1:34" ht="14.25" customHeight="1" x14ac:dyDescent="0.25">
      <c r="A3590" s="3"/>
      <c r="B3590" s="3"/>
      <c r="C3590" s="3"/>
      <c r="D3590" s="3"/>
      <c r="E3590" s="3"/>
      <c r="F3590" s="3"/>
      <c r="G3590" s="3"/>
      <c r="H3590" s="11"/>
      <c r="I3590" s="12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</row>
    <row r="3591" spans="1:34" ht="14.25" customHeight="1" x14ac:dyDescent="0.25">
      <c r="A3591" s="3"/>
      <c r="B3591" s="3"/>
      <c r="C3591" s="3"/>
      <c r="D3591" s="3"/>
      <c r="E3591" s="3"/>
      <c r="F3591" s="3"/>
      <c r="G3591" s="3"/>
      <c r="H3591" s="11"/>
      <c r="I3591" s="12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</row>
    <row r="3592" spans="1:34" ht="14.25" customHeight="1" x14ac:dyDescent="0.25">
      <c r="A3592" s="3"/>
      <c r="B3592" s="3"/>
      <c r="C3592" s="3"/>
      <c r="D3592" s="3"/>
      <c r="E3592" s="3"/>
      <c r="F3592" s="3"/>
      <c r="G3592" s="3"/>
      <c r="H3592" s="11"/>
      <c r="I3592" s="12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</row>
    <row r="3593" spans="1:34" ht="14.25" customHeight="1" x14ac:dyDescent="0.25">
      <c r="A3593" s="3"/>
      <c r="B3593" s="3"/>
      <c r="C3593" s="3"/>
      <c r="D3593" s="3"/>
      <c r="E3593" s="3"/>
      <c r="F3593" s="3"/>
      <c r="G3593" s="3"/>
      <c r="H3593" s="11"/>
      <c r="I3593" s="12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</row>
    <row r="3594" spans="1:34" ht="14.25" customHeight="1" x14ac:dyDescent="0.25">
      <c r="A3594" s="3"/>
      <c r="B3594" s="3"/>
      <c r="C3594" s="3"/>
      <c r="D3594" s="3"/>
      <c r="E3594" s="3"/>
      <c r="F3594" s="3"/>
      <c r="G3594" s="3"/>
      <c r="H3594" s="11"/>
      <c r="I3594" s="12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</row>
    <row r="3595" spans="1:34" ht="14.25" customHeight="1" x14ac:dyDescent="0.25">
      <c r="A3595" s="3"/>
      <c r="B3595" s="3"/>
      <c r="C3595" s="3"/>
      <c r="D3595" s="3"/>
      <c r="E3595" s="3"/>
      <c r="F3595" s="3"/>
      <c r="G3595" s="3"/>
      <c r="H3595" s="11"/>
      <c r="I3595" s="12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</row>
    <row r="3596" spans="1:34" ht="14.25" customHeight="1" x14ac:dyDescent="0.25">
      <c r="A3596" s="3"/>
      <c r="B3596" s="3"/>
      <c r="C3596" s="3"/>
      <c r="D3596" s="3"/>
      <c r="E3596" s="3"/>
      <c r="F3596" s="3"/>
      <c r="G3596" s="3"/>
      <c r="H3596" s="11"/>
      <c r="I3596" s="12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</row>
    <row r="3597" spans="1:34" ht="14.25" customHeight="1" x14ac:dyDescent="0.25">
      <c r="A3597" s="3"/>
      <c r="B3597" s="3"/>
      <c r="C3597" s="3"/>
      <c r="D3597" s="3"/>
      <c r="E3597" s="3"/>
      <c r="F3597" s="3"/>
      <c r="G3597" s="14"/>
      <c r="H3597" s="11"/>
      <c r="I3597" s="12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</row>
    <row r="3598" spans="1:34" ht="14.25" customHeight="1" x14ac:dyDescent="0.25">
      <c r="A3598" s="3"/>
      <c r="B3598" s="3"/>
      <c r="C3598" s="3"/>
      <c r="D3598" s="3"/>
      <c r="E3598" s="3"/>
      <c r="F3598" s="3"/>
      <c r="G3598" s="3"/>
      <c r="H3598" s="11"/>
      <c r="I3598" s="12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</row>
    <row r="3599" spans="1:34" ht="14.25" customHeight="1" x14ac:dyDescent="0.25">
      <c r="A3599" s="3"/>
      <c r="B3599" s="3"/>
      <c r="C3599" s="3"/>
      <c r="D3599" s="3"/>
      <c r="E3599" s="3"/>
      <c r="F3599" s="3"/>
      <c r="G3599" s="3"/>
      <c r="H3599" s="11"/>
      <c r="I3599" s="12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</row>
    <row r="3600" spans="1:34" ht="14.25" customHeight="1" x14ac:dyDescent="0.25">
      <c r="A3600" s="3"/>
      <c r="B3600" s="3"/>
      <c r="C3600" s="3"/>
      <c r="D3600" s="3"/>
      <c r="E3600" s="3"/>
      <c r="F3600" s="3"/>
      <c r="G3600" s="3"/>
      <c r="H3600" s="11"/>
      <c r="I3600" s="12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</row>
    <row r="3601" spans="1:34" ht="14.25" customHeight="1" x14ac:dyDescent="0.25">
      <c r="A3601" s="3"/>
      <c r="B3601" s="3"/>
      <c r="C3601" s="3"/>
      <c r="D3601" s="3"/>
      <c r="E3601" s="3"/>
      <c r="F3601" s="3"/>
      <c r="G3601" s="3"/>
      <c r="H3601" s="11"/>
      <c r="I3601" s="12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</row>
    <row r="3602" spans="1:34" ht="14.25" customHeight="1" x14ac:dyDescent="0.25">
      <c r="A3602" s="3"/>
      <c r="B3602" s="3"/>
      <c r="C3602" s="3"/>
      <c r="D3602" s="3"/>
      <c r="E3602" s="3"/>
      <c r="F3602" s="3"/>
      <c r="G3602" s="3"/>
      <c r="H3602" s="11"/>
      <c r="I3602" s="12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</row>
    <row r="3603" spans="1:34" ht="14.25" customHeight="1" x14ac:dyDescent="0.25">
      <c r="A3603" s="3"/>
      <c r="B3603" s="3"/>
      <c r="C3603" s="3"/>
      <c r="D3603" s="3"/>
      <c r="E3603" s="3"/>
      <c r="F3603" s="3"/>
      <c r="G3603" s="3"/>
      <c r="H3603" s="11"/>
      <c r="I3603" s="12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</row>
    <row r="3604" spans="1:34" ht="14.25" customHeight="1" x14ac:dyDescent="0.25">
      <c r="A3604" s="3"/>
      <c r="B3604" s="3"/>
      <c r="C3604" s="3"/>
      <c r="D3604" s="3"/>
      <c r="E3604" s="3"/>
      <c r="F3604" s="3"/>
      <c r="G3604" s="3"/>
      <c r="H3604" s="11"/>
      <c r="I3604" s="12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</row>
    <row r="3605" spans="1:34" ht="14.25" customHeight="1" x14ac:dyDescent="0.25">
      <c r="A3605" s="3"/>
      <c r="B3605" s="3"/>
      <c r="C3605" s="3"/>
      <c r="D3605" s="3"/>
      <c r="E3605" s="3"/>
      <c r="F3605" s="3"/>
      <c r="G3605" s="3"/>
      <c r="H3605" s="11"/>
      <c r="I3605" s="12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</row>
    <row r="3606" spans="1:34" ht="14.25" customHeight="1" x14ac:dyDescent="0.25">
      <c r="A3606" s="3"/>
      <c r="B3606" s="3"/>
      <c r="C3606" s="3"/>
      <c r="D3606" s="3"/>
      <c r="E3606" s="3"/>
      <c r="F3606" s="3"/>
      <c r="G3606" s="3"/>
      <c r="H3606" s="11"/>
      <c r="I3606" s="12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</row>
    <row r="3607" spans="1:34" ht="14.25" customHeight="1" x14ac:dyDescent="0.25">
      <c r="A3607" s="3"/>
      <c r="B3607" s="3"/>
      <c r="C3607" s="3"/>
      <c r="D3607" s="3"/>
      <c r="E3607" s="3"/>
      <c r="F3607" s="3"/>
      <c r="G3607" s="3"/>
      <c r="H3607" s="11"/>
      <c r="I3607" s="12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</row>
    <row r="3608" spans="1:34" ht="14.25" customHeight="1" x14ac:dyDescent="0.25">
      <c r="A3608" s="3"/>
      <c r="B3608" s="3"/>
      <c r="C3608" s="3"/>
      <c r="D3608" s="3"/>
      <c r="E3608" s="3"/>
      <c r="F3608" s="3"/>
      <c r="G3608" s="3"/>
      <c r="H3608" s="11"/>
      <c r="I3608" s="12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</row>
    <row r="3609" spans="1:34" ht="14.25" customHeight="1" x14ac:dyDescent="0.25">
      <c r="A3609" s="3"/>
      <c r="B3609" s="3"/>
      <c r="C3609" s="3"/>
      <c r="D3609" s="3"/>
      <c r="E3609" s="3"/>
      <c r="F3609" s="3"/>
      <c r="G3609" s="3"/>
      <c r="H3609" s="11"/>
      <c r="I3609" s="12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</row>
    <row r="3610" spans="1:34" ht="14.25" customHeight="1" x14ac:dyDescent="0.25">
      <c r="A3610" s="3"/>
      <c r="B3610" s="3"/>
      <c r="C3610" s="3"/>
      <c r="D3610" s="3"/>
      <c r="E3610" s="3"/>
      <c r="F3610" s="3"/>
      <c r="G3610" s="3"/>
      <c r="H3610" s="11"/>
      <c r="I3610" s="12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</row>
    <row r="3611" spans="1:34" ht="14.25" customHeight="1" x14ac:dyDescent="0.25">
      <c r="A3611" s="3"/>
      <c r="B3611" s="3"/>
      <c r="C3611" s="3"/>
      <c r="D3611" s="3"/>
      <c r="E3611" s="3"/>
      <c r="F3611" s="3"/>
      <c r="G3611" s="3"/>
      <c r="H3611" s="11"/>
      <c r="I3611" s="12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</row>
    <row r="3612" spans="1:34" ht="14.25" customHeight="1" x14ac:dyDescent="0.25">
      <c r="A3612" s="3"/>
      <c r="B3612" s="3"/>
      <c r="C3612" s="3"/>
      <c r="D3612" s="3"/>
      <c r="E3612" s="3"/>
      <c r="F3612" s="3"/>
      <c r="G3612" s="14"/>
      <c r="H3612" s="11"/>
      <c r="I3612" s="12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</row>
    <row r="3613" spans="1:34" ht="14.25" customHeight="1" x14ac:dyDescent="0.25">
      <c r="A3613" s="3"/>
      <c r="B3613" s="3"/>
      <c r="C3613" s="3"/>
      <c r="D3613" s="3"/>
      <c r="E3613" s="3"/>
      <c r="F3613" s="3"/>
      <c r="G3613" s="3"/>
      <c r="H3613" s="11"/>
      <c r="I3613" s="12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</row>
    <row r="3614" spans="1:34" ht="14.25" customHeight="1" x14ac:dyDescent="0.25">
      <c r="A3614" s="3"/>
      <c r="B3614" s="3"/>
      <c r="C3614" s="3"/>
      <c r="D3614" s="3"/>
      <c r="E3614" s="3"/>
      <c r="F3614" s="3"/>
      <c r="G3614" s="3"/>
      <c r="H3614" s="11"/>
      <c r="I3614" s="12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</row>
    <row r="3615" spans="1:34" ht="14.25" customHeight="1" x14ac:dyDescent="0.25">
      <c r="A3615" s="3"/>
      <c r="B3615" s="3"/>
      <c r="C3615" s="3"/>
      <c r="D3615" s="3"/>
      <c r="E3615" s="3"/>
      <c r="F3615" s="3"/>
      <c r="G3615" s="3"/>
      <c r="H3615" s="11"/>
      <c r="I3615" s="12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</row>
    <row r="3616" spans="1:34" ht="14.25" customHeight="1" x14ac:dyDescent="0.25">
      <c r="A3616" s="3"/>
      <c r="B3616" s="3"/>
      <c r="C3616" s="3"/>
      <c r="D3616" s="3"/>
      <c r="E3616" s="3"/>
      <c r="F3616" s="3"/>
      <c r="G3616" s="3"/>
      <c r="H3616" s="11"/>
      <c r="I3616" s="12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</row>
    <row r="3617" spans="1:34" ht="14.25" customHeight="1" x14ac:dyDescent="0.25">
      <c r="A3617" s="3"/>
      <c r="B3617" s="3"/>
      <c r="C3617" s="3"/>
      <c r="D3617" s="3"/>
      <c r="E3617" s="3"/>
      <c r="F3617" s="3"/>
      <c r="G3617" s="3"/>
      <c r="H3617" s="11"/>
      <c r="I3617" s="12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</row>
    <row r="3618" spans="1:34" ht="14.25" customHeight="1" x14ac:dyDescent="0.25">
      <c r="A3618" s="3"/>
      <c r="B3618" s="3"/>
      <c r="C3618" s="3"/>
      <c r="D3618" s="3"/>
      <c r="E3618" s="3"/>
      <c r="F3618" s="3"/>
      <c r="G3618" s="14"/>
      <c r="H3618" s="11"/>
      <c r="I3618" s="12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</row>
    <row r="3619" spans="1:34" ht="14.25" customHeight="1" x14ac:dyDescent="0.25">
      <c r="A3619" s="3"/>
      <c r="B3619" s="3"/>
      <c r="C3619" s="3"/>
      <c r="D3619" s="3"/>
      <c r="E3619" s="3"/>
      <c r="F3619" s="3"/>
      <c r="G3619" s="3"/>
      <c r="H3619" s="11"/>
      <c r="I3619" s="12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</row>
    <row r="3620" spans="1:34" ht="14.25" customHeight="1" x14ac:dyDescent="0.25">
      <c r="A3620" s="3"/>
      <c r="B3620" s="3"/>
      <c r="C3620" s="3"/>
      <c r="D3620" s="3"/>
      <c r="E3620" s="3"/>
      <c r="F3620" s="3"/>
      <c r="G3620" s="3"/>
      <c r="H3620" s="11"/>
      <c r="I3620" s="12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</row>
    <row r="3621" spans="1:34" ht="14.25" customHeight="1" x14ac:dyDescent="0.25">
      <c r="A3621" s="3"/>
      <c r="B3621" s="3"/>
      <c r="C3621" s="3"/>
      <c r="D3621" s="3"/>
      <c r="E3621" s="3"/>
      <c r="F3621" s="3"/>
      <c r="G3621" s="3"/>
      <c r="H3621" s="11"/>
      <c r="I3621" s="12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</row>
    <row r="3622" spans="1:34" ht="14.25" customHeight="1" x14ac:dyDescent="0.25">
      <c r="A3622" s="3"/>
      <c r="B3622" s="3"/>
      <c r="C3622" s="3"/>
      <c r="D3622" s="3"/>
      <c r="E3622" s="3"/>
      <c r="F3622" s="3"/>
      <c r="G3622" s="3"/>
      <c r="H3622" s="11"/>
      <c r="I3622" s="12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</row>
    <row r="3623" spans="1:34" ht="14.25" customHeight="1" x14ac:dyDescent="0.25">
      <c r="A3623" s="3"/>
      <c r="B3623" s="3"/>
      <c r="C3623" s="3"/>
      <c r="D3623" s="3"/>
      <c r="E3623" s="3"/>
      <c r="F3623" s="3"/>
      <c r="G3623" s="3"/>
      <c r="H3623" s="11"/>
      <c r="I3623" s="12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</row>
    <row r="3624" spans="1:34" ht="14.25" customHeight="1" x14ac:dyDescent="0.25">
      <c r="A3624" s="3"/>
      <c r="B3624" s="3"/>
      <c r="C3624" s="3"/>
      <c r="D3624" s="3"/>
      <c r="E3624" s="3"/>
      <c r="F3624" s="3"/>
      <c r="G3624" s="3"/>
      <c r="H3624" s="11"/>
      <c r="I3624" s="12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</row>
    <row r="3625" spans="1:34" ht="14.25" customHeight="1" x14ac:dyDescent="0.25">
      <c r="A3625" s="3"/>
      <c r="B3625" s="3"/>
      <c r="C3625" s="3"/>
      <c r="D3625" s="3"/>
      <c r="E3625" s="3"/>
      <c r="F3625" s="3"/>
      <c r="G3625" s="3"/>
      <c r="H3625" s="11"/>
      <c r="I3625" s="12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</row>
    <row r="3626" spans="1:34" ht="14.25" customHeight="1" x14ac:dyDescent="0.25">
      <c r="A3626" s="3"/>
      <c r="B3626" s="3"/>
      <c r="C3626" s="3"/>
      <c r="D3626" s="3"/>
      <c r="E3626" s="3"/>
      <c r="F3626" s="3"/>
      <c r="G3626" s="3"/>
      <c r="H3626" s="11"/>
      <c r="I3626" s="12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</row>
    <row r="3627" spans="1:34" ht="14.25" customHeight="1" x14ac:dyDescent="0.25">
      <c r="A3627" s="3"/>
      <c r="B3627" s="3"/>
      <c r="C3627" s="3"/>
      <c r="D3627" s="3"/>
      <c r="E3627" s="3"/>
      <c r="F3627" s="3"/>
      <c r="G3627" s="3"/>
      <c r="H3627" s="11"/>
      <c r="I3627" s="12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</row>
    <row r="3628" spans="1:34" ht="14.25" customHeight="1" x14ac:dyDescent="0.25">
      <c r="A3628" s="3"/>
      <c r="B3628" s="3"/>
      <c r="C3628" s="3"/>
      <c r="D3628" s="3"/>
      <c r="E3628" s="3"/>
      <c r="F3628" s="3"/>
      <c r="G3628" s="3"/>
      <c r="H3628" s="11"/>
      <c r="I3628" s="12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</row>
    <row r="3629" spans="1:34" ht="14.25" customHeight="1" x14ac:dyDescent="0.25">
      <c r="A3629" s="3"/>
      <c r="B3629" s="3"/>
      <c r="C3629" s="3"/>
      <c r="D3629" s="3"/>
      <c r="E3629" s="3"/>
      <c r="F3629" s="3"/>
      <c r="G3629" s="3"/>
      <c r="H3629" s="11"/>
      <c r="I3629" s="12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</row>
    <row r="3630" spans="1:34" ht="14.25" customHeight="1" x14ac:dyDescent="0.25">
      <c r="A3630" s="3"/>
      <c r="B3630" s="3"/>
      <c r="C3630" s="3"/>
      <c r="D3630" s="3"/>
      <c r="E3630" s="3"/>
      <c r="F3630" s="3"/>
      <c r="G3630" s="3"/>
      <c r="H3630" s="11"/>
      <c r="I3630" s="12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</row>
    <row r="3631" spans="1:34" ht="14.25" customHeight="1" x14ac:dyDescent="0.25">
      <c r="A3631" s="3"/>
      <c r="B3631" s="3"/>
      <c r="C3631" s="3"/>
      <c r="D3631" s="3"/>
      <c r="E3631" s="3"/>
      <c r="F3631" s="3"/>
      <c r="G3631" s="3"/>
      <c r="H3631" s="11"/>
      <c r="I3631" s="12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</row>
    <row r="3632" spans="1:34" ht="14.25" customHeight="1" x14ac:dyDescent="0.25">
      <c r="A3632" s="3"/>
      <c r="B3632" s="3"/>
      <c r="C3632" s="3"/>
      <c r="D3632" s="3"/>
      <c r="E3632" s="3"/>
      <c r="F3632" s="3"/>
      <c r="G3632" s="3"/>
      <c r="H3632" s="11"/>
      <c r="I3632" s="12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</row>
    <row r="3633" spans="1:34" ht="14.25" customHeight="1" x14ac:dyDescent="0.25">
      <c r="A3633" s="3"/>
      <c r="B3633" s="3"/>
      <c r="C3633" s="3"/>
      <c r="D3633" s="3"/>
      <c r="E3633" s="3"/>
      <c r="F3633" s="3"/>
      <c r="G3633" s="3"/>
      <c r="H3633" s="11"/>
      <c r="I3633" s="12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</row>
    <row r="3634" spans="1:34" ht="14.25" customHeight="1" x14ac:dyDescent="0.25">
      <c r="A3634" s="3"/>
      <c r="B3634" s="3"/>
      <c r="C3634" s="3"/>
      <c r="D3634" s="3"/>
      <c r="E3634" s="3"/>
      <c r="F3634" s="3"/>
      <c r="G3634" s="3"/>
      <c r="H3634" s="11"/>
      <c r="I3634" s="12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</row>
    <row r="3635" spans="1:34" ht="14.25" customHeight="1" x14ac:dyDescent="0.25">
      <c r="A3635" s="3"/>
      <c r="B3635" s="3"/>
      <c r="C3635" s="3"/>
      <c r="D3635" s="3"/>
      <c r="E3635" s="3"/>
      <c r="F3635" s="3"/>
      <c r="G3635" s="3"/>
      <c r="H3635" s="11"/>
      <c r="I3635" s="12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</row>
    <row r="3636" spans="1:34" ht="14.25" customHeight="1" x14ac:dyDescent="0.25">
      <c r="A3636" s="3"/>
      <c r="B3636" s="3"/>
      <c r="C3636" s="3"/>
      <c r="D3636" s="3"/>
      <c r="E3636" s="3"/>
      <c r="F3636" s="3"/>
      <c r="G3636" s="14"/>
      <c r="H3636" s="11"/>
      <c r="I3636" s="12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</row>
    <row r="3637" spans="1:34" ht="14.25" customHeight="1" x14ac:dyDescent="0.25">
      <c r="A3637" s="3"/>
      <c r="B3637" s="3"/>
      <c r="C3637" s="3"/>
      <c r="D3637" s="3"/>
      <c r="E3637" s="3"/>
      <c r="F3637" s="3"/>
      <c r="G3637" s="3"/>
      <c r="H3637" s="11"/>
      <c r="I3637" s="12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</row>
    <row r="3638" spans="1:34" ht="14.25" customHeight="1" x14ac:dyDescent="0.25">
      <c r="A3638" s="3"/>
      <c r="B3638" s="3"/>
      <c r="C3638" s="3"/>
      <c r="D3638" s="3"/>
      <c r="E3638" s="3"/>
      <c r="F3638" s="3"/>
      <c r="G3638" s="3"/>
      <c r="H3638" s="11"/>
      <c r="I3638" s="12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</row>
    <row r="3639" spans="1:34" ht="14.25" customHeight="1" x14ac:dyDescent="0.25">
      <c r="A3639" s="3"/>
      <c r="B3639" s="3"/>
      <c r="C3639" s="3"/>
      <c r="D3639" s="3"/>
      <c r="E3639" s="3"/>
      <c r="F3639" s="3"/>
      <c r="G3639" s="3"/>
      <c r="H3639" s="11"/>
      <c r="I3639" s="12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</row>
    <row r="3640" spans="1:34" ht="14.25" customHeight="1" x14ac:dyDescent="0.25">
      <c r="A3640" s="3"/>
      <c r="B3640" s="3"/>
      <c r="C3640" s="3"/>
      <c r="D3640" s="3"/>
      <c r="E3640" s="3"/>
      <c r="F3640" s="3"/>
      <c r="G3640" s="3"/>
      <c r="H3640" s="11"/>
      <c r="I3640" s="12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</row>
    <row r="3641" spans="1:34" ht="14.25" customHeight="1" x14ac:dyDescent="0.25">
      <c r="A3641" s="3"/>
      <c r="B3641" s="3"/>
      <c r="C3641" s="3"/>
      <c r="D3641" s="3"/>
      <c r="E3641" s="3"/>
      <c r="F3641" s="3"/>
      <c r="G3641" s="3"/>
      <c r="H3641" s="11"/>
      <c r="I3641" s="12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</row>
    <row r="3642" spans="1:34" ht="14.25" customHeight="1" x14ac:dyDescent="0.25">
      <c r="A3642" s="3"/>
      <c r="B3642" s="3"/>
      <c r="C3642" s="3"/>
      <c r="D3642" s="3"/>
      <c r="E3642" s="3"/>
      <c r="F3642" s="3"/>
      <c r="G3642" s="3"/>
      <c r="H3642" s="11"/>
      <c r="I3642" s="12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</row>
    <row r="3643" spans="1:34" ht="14.25" customHeight="1" x14ac:dyDescent="0.25">
      <c r="A3643" s="3"/>
      <c r="B3643" s="3"/>
      <c r="C3643" s="3"/>
      <c r="D3643" s="3"/>
      <c r="E3643" s="3"/>
      <c r="F3643" s="3"/>
      <c r="G3643" s="3"/>
      <c r="H3643" s="11"/>
      <c r="I3643" s="12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</row>
    <row r="3644" spans="1:34" ht="14.25" customHeight="1" x14ac:dyDescent="0.25">
      <c r="A3644" s="3"/>
      <c r="B3644" s="3"/>
      <c r="C3644" s="3"/>
      <c r="D3644" s="3"/>
      <c r="E3644" s="3"/>
      <c r="F3644" s="3"/>
      <c r="G3644" s="3"/>
      <c r="H3644" s="11"/>
      <c r="I3644" s="12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</row>
    <row r="3645" spans="1:34" ht="14.25" customHeight="1" x14ac:dyDescent="0.25">
      <c r="A3645" s="3"/>
      <c r="B3645" s="3"/>
      <c r="C3645" s="3"/>
      <c r="D3645" s="3"/>
      <c r="E3645" s="3"/>
      <c r="F3645" s="3"/>
      <c r="G3645" s="3"/>
      <c r="H3645" s="11"/>
      <c r="I3645" s="12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</row>
    <row r="3646" spans="1:34" ht="14.25" customHeight="1" x14ac:dyDescent="0.25">
      <c r="A3646" s="3"/>
      <c r="B3646" s="3"/>
      <c r="C3646" s="3"/>
      <c r="D3646" s="3"/>
      <c r="E3646" s="3"/>
      <c r="F3646" s="3"/>
      <c r="G3646" s="3"/>
      <c r="H3646" s="11"/>
      <c r="I3646" s="12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</row>
    <row r="3647" spans="1:34" ht="14.25" customHeight="1" x14ac:dyDescent="0.25">
      <c r="A3647" s="3"/>
      <c r="B3647" s="3"/>
      <c r="C3647" s="3"/>
      <c r="D3647" s="3"/>
      <c r="E3647" s="3"/>
      <c r="F3647" s="3"/>
      <c r="G3647" s="3"/>
      <c r="H3647" s="11"/>
      <c r="I3647" s="12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</row>
    <row r="3648" spans="1:34" ht="14.25" customHeight="1" x14ac:dyDescent="0.25">
      <c r="A3648" s="3"/>
      <c r="B3648" s="3"/>
      <c r="C3648" s="3"/>
      <c r="D3648" s="3"/>
      <c r="E3648" s="3"/>
      <c r="F3648" s="3"/>
      <c r="G3648" s="3"/>
      <c r="H3648" s="11"/>
      <c r="I3648" s="12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</row>
    <row r="3649" spans="1:34" ht="14.25" customHeight="1" x14ac:dyDescent="0.25">
      <c r="A3649" s="3"/>
      <c r="B3649" s="3"/>
      <c r="C3649" s="3"/>
      <c r="D3649" s="3"/>
      <c r="E3649" s="3"/>
      <c r="F3649" s="3"/>
      <c r="G3649" s="3"/>
      <c r="H3649" s="11"/>
      <c r="I3649" s="12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</row>
    <row r="3650" spans="1:34" ht="14.25" customHeight="1" x14ac:dyDescent="0.25">
      <c r="A3650" s="3"/>
      <c r="B3650" s="3"/>
      <c r="C3650" s="3"/>
      <c r="D3650" s="3"/>
      <c r="E3650" s="3"/>
      <c r="F3650" s="3"/>
      <c r="G3650" s="3"/>
      <c r="H3650" s="11"/>
      <c r="I3650" s="12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</row>
    <row r="3651" spans="1:34" ht="14.25" customHeight="1" x14ac:dyDescent="0.25">
      <c r="A3651" s="3"/>
      <c r="B3651" s="3"/>
      <c r="C3651" s="3"/>
      <c r="D3651" s="3"/>
      <c r="E3651" s="3"/>
      <c r="F3651" s="3"/>
      <c r="G3651" s="3"/>
      <c r="H3651" s="11"/>
      <c r="I3651" s="12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</row>
    <row r="3652" spans="1:34" ht="14.25" customHeight="1" x14ac:dyDescent="0.25">
      <c r="A3652" s="3"/>
      <c r="B3652" s="3"/>
      <c r="C3652" s="3"/>
      <c r="D3652" s="3"/>
      <c r="E3652" s="3"/>
      <c r="F3652" s="3"/>
      <c r="G3652" s="3"/>
      <c r="H3652" s="11"/>
      <c r="I3652" s="12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</row>
    <row r="3653" spans="1:34" ht="14.25" customHeight="1" x14ac:dyDescent="0.25">
      <c r="A3653" s="3"/>
      <c r="B3653" s="3"/>
      <c r="C3653" s="3"/>
      <c r="D3653" s="3"/>
      <c r="E3653" s="3"/>
      <c r="F3653" s="3"/>
      <c r="G3653" s="3"/>
      <c r="H3653" s="11"/>
      <c r="I3653" s="12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</row>
    <row r="3654" spans="1:34" ht="14.25" customHeight="1" x14ac:dyDescent="0.25">
      <c r="A3654" s="3"/>
      <c r="B3654" s="3"/>
      <c r="C3654" s="3"/>
      <c r="D3654" s="3"/>
      <c r="E3654" s="3"/>
      <c r="F3654" s="3"/>
      <c r="G3654" s="3"/>
      <c r="H3654" s="11"/>
      <c r="I3654" s="12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</row>
    <row r="3655" spans="1:34" ht="14.25" customHeight="1" x14ac:dyDescent="0.25">
      <c r="A3655" s="3"/>
      <c r="B3655" s="3"/>
      <c r="C3655" s="3"/>
      <c r="D3655" s="3"/>
      <c r="E3655" s="3"/>
      <c r="F3655" s="3"/>
      <c r="G3655" s="3"/>
      <c r="H3655" s="11"/>
      <c r="I3655" s="12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</row>
    <row r="3656" spans="1:34" ht="14.25" customHeight="1" x14ac:dyDescent="0.25">
      <c r="A3656" s="3"/>
      <c r="B3656" s="3"/>
      <c r="C3656" s="3"/>
      <c r="D3656" s="3"/>
      <c r="E3656" s="3"/>
      <c r="F3656" s="3"/>
      <c r="G3656" s="3"/>
      <c r="H3656" s="11"/>
      <c r="I3656" s="12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</row>
    <row r="3657" spans="1:34" ht="14.25" customHeight="1" x14ac:dyDescent="0.25">
      <c r="A3657" s="3"/>
      <c r="B3657" s="3"/>
      <c r="C3657" s="3"/>
      <c r="D3657" s="3"/>
      <c r="E3657" s="3"/>
      <c r="F3657" s="3"/>
      <c r="G3657" s="3"/>
      <c r="H3657" s="11"/>
      <c r="I3657" s="12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</row>
    <row r="3658" spans="1:34" ht="14.25" customHeight="1" x14ac:dyDescent="0.25">
      <c r="A3658" s="3"/>
      <c r="B3658" s="3"/>
      <c r="C3658" s="3"/>
      <c r="D3658" s="3"/>
      <c r="E3658" s="3"/>
      <c r="F3658" s="3"/>
      <c r="G3658" s="3"/>
      <c r="H3658" s="11"/>
      <c r="I3658" s="12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</row>
    <row r="3659" spans="1:34" ht="14.25" customHeight="1" x14ac:dyDescent="0.25">
      <c r="A3659" s="3"/>
      <c r="B3659" s="3"/>
      <c r="C3659" s="3"/>
      <c r="D3659" s="3"/>
      <c r="E3659" s="3"/>
      <c r="F3659" s="3"/>
      <c r="G3659" s="3"/>
      <c r="H3659" s="11"/>
      <c r="I3659" s="12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</row>
    <row r="3660" spans="1:34" ht="14.25" customHeight="1" x14ac:dyDescent="0.25">
      <c r="A3660" s="3"/>
      <c r="B3660" s="3"/>
      <c r="C3660" s="3"/>
      <c r="D3660" s="3"/>
      <c r="E3660" s="3"/>
      <c r="F3660" s="3"/>
      <c r="G3660" s="14"/>
      <c r="H3660" s="11"/>
      <c r="I3660" s="12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</row>
    <row r="3661" spans="1:34" ht="14.25" customHeight="1" x14ac:dyDescent="0.25">
      <c r="A3661" s="3"/>
      <c r="B3661" s="3"/>
      <c r="C3661" s="3"/>
      <c r="D3661" s="3"/>
      <c r="E3661" s="3"/>
      <c r="F3661" s="3"/>
      <c r="G3661" s="3"/>
      <c r="H3661" s="11"/>
      <c r="I3661" s="12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</row>
    <row r="3662" spans="1:34" ht="14.25" customHeight="1" x14ac:dyDescent="0.25">
      <c r="A3662" s="3"/>
      <c r="B3662" s="3"/>
      <c r="C3662" s="3"/>
      <c r="D3662" s="3"/>
      <c r="E3662" s="3"/>
      <c r="F3662" s="3"/>
      <c r="G3662" s="3"/>
      <c r="H3662" s="11"/>
      <c r="I3662" s="12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</row>
    <row r="3663" spans="1:34" ht="14.25" customHeight="1" x14ac:dyDescent="0.25">
      <c r="A3663" s="3"/>
      <c r="B3663" s="3"/>
      <c r="C3663" s="3"/>
      <c r="D3663" s="3"/>
      <c r="E3663" s="3"/>
      <c r="F3663" s="3"/>
      <c r="G3663" s="3"/>
      <c r="H3663" s="11"/>
      <c r="I3663" s="12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</row>
    <row r="3664" spans="1:34" ht="14.25" customHeight="1" x14ac:dyDescent="0.25">
      <c r="A3664" s="3"/>
      <c r="B3664" s="3"/>
      <c r="C3664" s="3"/>
      <c r="D3664" s="3"/>
      <c r="E3664" s="3"/>
      <c r="F3664" s="3"/>
      <c r="G3664" s="3"/>
      <c r="H3664" s="11"/>
      <c r="I3664" s="12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</row>
    <row r="3665" spans="1:34" ht="14.25" customHeight="1" x14ac:dyDescent="0.25">
      <c r="A3665" s="3"/>
      <c r="B3665" s="3"/>
      <c r="C3665" s="3"/>
      <c r="D3665" s="3"/>
      <c r="E3665" s="3"/>
      <c r="F3665" s="3"/>
      <c r="G3665" s="3"/>
      <c r="H3665" s="11"/>
      <c r="I3665" s="12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</row>
    <row r="3666" spans="1:34" ht="14.25" customHeight="1" x14ac:dyDescent="0.25">
      <c r="A3666" s="3"/>
      <c r="B3666" s="3"/>
      <c r="C3666" s="3"/>
      <c r="D3666" s="3"/>
      <c r="E3666" s="3"/>
      <c r="F3666" s="3"/>
      <c r="G3666" s="3"/>
      <c r="H3666" s="11"/>
      <c r="I3666" s="12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</row>
    <row r="3667" spans="1:34" ht="14.25" customHeight="1" x14ac:dyDescent="0.25">
      <c r="A3667" s="3"/>
      <c r="B3667" s="3"/>
      <c r="C3667" s="3"/>
      <c r="D3667" s="3"/>
      <c r="E3667" s="3"/>
      <c r="F3667" s="3"/>
      <c r="G3667" s="3"/>
      <c r="H3667" s="11"/>
      <c r="I3667" s="12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</row>
    <row r="3668" spans="1:34" ht="14.25" customHeight="1" x14ac:dyDescent="0.25">
      <c r="A3668" s="3"/>
      <c r="B3668" s="3"/>
      <c r="C3668" s="3"/>
      <c r="D3668" s="3"/>
      <c r="E3668" s="3"/>
      <c r="F3668" s="3"/>
      <c r="G3668" s="3"/>
      <c r="H3668" s="11"/>
      <c r="I3668" s="12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</row>
    <row r="3669" spans="1:34" ht="14.25" customHeight="1" x14ac:dyDescent="0.25">
      <c r="A3669" s="3"/>
      <c r="B3669" s="3"/>
      <c r="C3669" s="3"/>
      <c r="D3669" s="3"/>
      <c r="E3669" s="3"/>
      <c r="F3669" s="3"/>
      <c r="G3669" s="3"/>
      <c r="H3669" s="11"/>
      <c r="I3669" s="12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</row>
    <row r="3670" spans="1:34" ht="14.25" customHeight="1" x14ac:dyDescent="0.25">
      <c r="A3670" s="3"/>
      <c r="B3670" s="3"/>
      <c r="C3670" s="3"/>
      <c r="D3670" s="3"/>
      <c r="E3670" s="3"/>
      <c r="F3670" s="3"/>
      <c r="G3670" s="3"/>
      <c r="H3670" s="11"/>
      <c r="I3670" s="12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</row>
    <row r="3671" spans="1:34" ht="14.25" customHeight="1" x14ac:dyDescent="0.25">
      <c r="A3671" s="3"/>
      <c r="B3671" s="3"/>
      <c r="C3671" s="3"/>
      <c r="D3671" s="3"/>
      <c r="E3671" s="3"/>
      <c r="F3671" s="3"/>
      <c r="G3671" s="3"/>
      <c r="H3671" s="11"/>
      <c r="I3671" s="12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</row>
    <row r="3672" spans="1:34" ht="14.25" customHeight="1" x14ac:dyDescent="0.25">
      <c r="A3672" s="3"/>
      <c r="B3672" s="3"/>
      <c r="C3672" s="3"/>
      <c r="D3672" s="3"/>
      <c r="E3672" s="3"/>
      <c r="F3672" s="3"/>
      <c r="G3672" s="3"/>
      <c r="H3672" s="11"/>
      <c r="I3672" s="12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</row>
    <row r="3673" spans="1:34" ht="14.25" customHeight="1" x14ac:dyDescent="0.25">
      <c r="A3673" s="3"/>
      <c r="B3673" s="3"/>
      <c r="C3673" s="3"/>
      <c r="D3673" s="3"/>
      <c r="E3673" s="3"/>
      <c r="F3673" s="3"/>
      <c r="G3673" s="3"/>
      <c r="H3673" s="11"/>
      <c r="I3673" s="12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</row>
    <row r="3674" spans="1:34" ht="14.25" customHeight="1" x14ac:dyDescent="0.25">
      <c r="A3674" s="3"/>
      <c r="B3674" s="3"/>
      <c r="C3674" s="3"/>
      <c r="D3674" s="3"/>
      <c r="E3674" s="3"/>
      <c r="F3674" s="3"/>
      <c r="G3674" s="3"/>
      <c r="H3674" s="11"/>
      <c r="I3674" s="12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</row>
    <row r="3675" spans="1:34" ht="14.25" customHeight="1" x14ac:dyDescent="0.25">
      <c r="A3675" s="3"/>
      <c r="B3675" s="3"/>
      <c r="C3675" s="3"/>
      <c r="D3675" s="3"/>
      <c r="E3675" s="3"/>
      <c r="F3675" s="3"/>
      <c r="G3675" s="3"/>
      <c r="H3675" s="11"/>
      <c r="I3675" s="12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</row>
    <row r="3676" spans="1:34" ht="14.25" customHeight="1" x14ac:dyDescent="0.25">
      <c r="A3676" s="3"/>
      <c r="B3676" s="3"/>
      <c r="C3676" s="3"/>
      <c r="D3676" s="3"/>
      <c r="E3676" s="3"/>
      <c r="F3676" s="3"/>
      <c r="G3676" s="3"/>
      <c r="H3676" s="11"/>
      <c r="I3676" s="12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</row>
    <row r="3677" spans="1:34" ht="14.25" customHeight="1" x14ac:dyDescent="0.25">
      <c r="A3677" s="3"/>
      <c r="B3677" s="3"/>
      <c r="C3677" s="3"/>
      <c r="D3677" s="3"/>
      <c r="E3677" s="3"/>
      <c r="F3677" s="3"/>
      <c r="G3677" s="3"/>
      <c r="H3677" s="11"/>
      <c r="I3677" s="12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</row>
    <row r="3678" spans="1:34" ht="14.25" customHeight="1" x14ac:dyDescent="0.25">
      <c r="A3678" s="3"/>
      <c r="B3678" s="3"/>
      <c r="C3678" s="3"/>
      <c r="D3678" s="3"/>
      <c r="E3678" s="3"/>
      <c r="F3678" s="3"/>
      <c r="G3678" s="3"/>
      <c r="H3678" s="11"/>
      <c r="I3678" s="12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</row>
    <row r="3679" spans="1:34" ht="14.25" customHeight="1" x14ac:dyDescent="0.25">
      <c r="A3679" s="3"/>
      <c r="B3679" s="3"/>
      <c r="C3679" s="3"/>
      <c r="D3679" s="3"/>
      <c r="E3679" s="3"/>
      <c r="F3679" s="3"/>
      <c r="G3679" s="3"/>
      <c r="H3679" s="11"/>
      <c r="I3679" s="12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</row>
    <row r="3680" spans="1:34" ht="14.25" customHeight="1" x14ac:dyDescent="0.25">
      <c r="A3680" s="3"/>
      <c r="B3680" s="3"/>
      <c r="C3680" s="3"/>
      <c r="D3680" s="3"/>
      <c r="E3680" s="3"/>
      <c r="F3680" s="3"/>
      <c r="G3680" s="3"/>
      <c r="H3680" s="11"/>
      <c r="I3680" s="12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</row>
    <row r="3681" spans="1:34" ht="14.25" customHeight="1" x14ac:dyDescent="0.25">
      <c r="A3681" s="3"/>
      <c r="B3681" s="3"/>
      <c r="C3681" s="3"/>
      <c r="D3681" s="3"/>
      <c r="E3681" s="3"/>
      <c r="F3681" s="3"/>
      <c r="G3681" s="3"/>
      <c r="H3681" s="11"/>
      <c r="I3681" s="12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</row>
    <row r="3682" spans="1:34" ht="14.25" customHeight="1" x14ac:dyDescent="0.25">
      <c r="A3682" s="3"/>
      <c r="B3682" s="3"/>
      <c r="C3682" s="3"/>
      <c r="D3682" s="3"/>
      <c r="E3682" s="3"/>
      <c r="F3682" s="3"/>
      <c r="G3682" s="3"/>
      <c r="H3682" s="11"/>
      <c r="I3682" s="12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</row>
    <row r="3683" spans="1:34" ht="14.25" customHeight="1" x14ac:dyDescent="0.25">
      <c r="A3683" s="3"/>
      <c r="B3683" s="3"/>
      <c r="C3683" s="3"/>
      <c r="D3683" s="3"/>
      <c r="E3683" s="3"/>
      <c r="F3683" s="3"/>
      <c r="G3683" s="3"/>
      <c r="H3683" s="11"/>
      <c r="I3683" s="12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</row>
    <row r="3684" spans="1:34" ht="14.25" customHeight="1" x14ac:dyDescent="0.25">
      <c r="A3684" s="3"/>
      <c r="B3684" s="3"/>
      <c r="C3684" s="3"/>
      <c r="D3684" s="3"/>
      <c r="E3684" s="3"/>
      <c r="F3684" s="3"/>
      <c r="G3684" s="3"/>
      <c r="H3684" s="11"/>
      <c r="I3684" s="12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</row>
    <row r="3685" spans="1:34" ht="14.25" customHeight="1" x14ac:dyDescent="0.25">
      <c r="A3685" s="3"/>
      <c r="B3685" s="3"/>
      <c r="C3685" s="3"/>
      <c r="D3685" s="3"/>
      <c r="E3685" s="3"/>
      <c r="F3685" s="3"/>
      <c r="G3685" s="3"/>
      <c r="H3685" s="11"/>
      <c r="I3685" s="12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</row>
    <row r="3686" spans="1:34" ht="14.25" customHeight="1" x14ac:dyDescent="0.25">
      <c r="A3686" s="3"/>
      <c r="B3686" s="3"/>
      <c r="C3686" s="3"/>
      <c r="D3686" s="3"/>
      <c r="E3686" s="3"/>
      <c r="F3686" s="3"/>
      <c r="G3686" s="3"/>
      <c r="H3686" s="11"/>
      <c r="I3686" s="12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</row>
    <row r="3687" spans="1:34" ht="14.25" customHeight="1" x14ac:dyDescent="0.25">
      <c r="A3687" s="3"/>
      <c r="B3687" s="3"/>
      <c r="C3687" s="3"/>
      <c r="D3687" s="3"/>
      <c r="E3687" s="3"/>
      <c r="F3687" s="3"/>
      <c r="G3687" s="3"/>
      <c r="H3687" s="11"/>
      <c r="I3687" s="12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</row>
    <row r="3688" spans="1:34" ht="14.25" customHeight="1" x14ac:dyDescent="0.25">
      <c r="A3688" s="3"/>
      <c r="B3688" s="3"/>
      <c r="C3688" s="3"/>
      <c r="D3688" s="3"/>
      <c r="E3688" s="3"/>
      <c r="F3688" s="3"/>
      <c r="G3688" s="3"/>
      <c r="H3688" s="11"/>
      <c r="I3688" s="12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</row>
    <row r="3689" spans="1:34" ht="14.25" customHeight="1" x14ac:dyDescent="0.25">
      <c r="A3689" s="3"/>
      <c r="B3689" s="3"/>
      <c r="C3689" s="3"/>
      <c r="D3689" s="3"/>
      <c r="E3689" s="3"/>
      <c r="F3689" s="3"/>
      <c r="G3689" s="3"/>
      <c r="H3689" s="11"/>
      <c r="I3689" s="12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</row>
    <row r="3690" spans="1:34" ht="14.25" customHeight="1" x14ac:dyDescent="0.25">
      <c r="A3690" s="3"/>
      <c r="B3690" s="3"/>
      <c r="C3690" s="3"/>
      <c r="D3690" s="3"/>
      <c r="E3690" s="3"/>
      <c r="F3690" s="3"/>
      <c r="G3690" s="3"/>
      <c r="H3690" s="11"/>
      <c r="I3690" s="12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</row>
    <row r="3691" spans="1:34" ht="14.25" customHeight="1" x14ac:dyDescent="0.25">
      <c r="A3691" s="3"/>
      <c r="B3691" s="3"/>
      <c r="C3691" s="3"/>
      <c r="D3691" s="3"/>
      <c r="E3691" s="3"/>
      <c r="F3691" s="3"/>
      <c r="G3691" s="3"/>
      <c r="H3691" s="11"/>
      <c r="I3691" s="12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</row>
    <row r="3692" spans="1:34" ht="14.25" customHeight="1" x14ac:dyDescent="0.25">
      <c r="A3692" s="3"/>
      <c r="B3692" s="3"/>
      <c r="C3692" s="3"/>
      <c r="D3692" s="3"/>
      <c r="E3692" s="3"/>
      <c r="F3692" s="3"/>
      <c r="G3692" s="3"/>
      <c r="H3692" s="11"/>
      <c r="I3692" s="12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</row>
    <row r="3693" spans="1:34" ht="14.25" customHeight="1" x14ac:dyDescent="0.25">
      <c r="A3693" s="3"/>
      <c r="B3693" s="3"/>
      <c r="C3693" s="3"/>
      <c r="D3693" s="3"/>
      <c r="E3693" s="3"/>
      <c r="F3693" s="3"/>
      <c r="G3693" s="3"/>
      <c r="H3693" s="11"/>
      <c r="I3693" s="12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</row>
    <row r="3694" spans="1:34" ht="14.25" customHeight="1" x14ac:dyDescent="0.25">
      <c r="A3694" s="3"/>
      <c r="B3694" s="3"/>
      <c r="C3694" s="3"/>
      <c r="D3694" s="3"/>
      <c r="E3694" s="3"/>
      <c r="F3694" s="3"/>
      <c r="G3694" s="3"/>
      <c r="H3694" s="11"/>
      <c r="I3694" s="12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</row>
    <row r="3695" spans="1:34" ht="14.25" customHeight="1" x14ac:dyDescent="0.25">
      <c r="A3695" s="3"/>
      <c r="B3695" s="3"/>
      <c r="C3695" s="3"/>
      <c r="D3695" s="3"/>
      <c r="E3695" s="3"/>
      <c r="F3695" s="3"/>
      <c r="G3695" s="3"/>
      <c r="H3695" s="11"/>
      <c r="I3695" s="12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</row>
    <row r="3696" spans="1:34" ht="14.25" customHeight="1" x14ac:dyDescent="0.25">
      <c r="A3696" s="3"/>
      <c r="B3696" s="3"/>
      <c r="C3696" s="3"/>
      <c r="D3696" s="3"/>
      <c r="E3696" s="3"/>
      <c r="F3696" s="3"/>
      <c r="G3696" s="3"/>
      <c r="H3696" s="11"/>
      <c r="I3696" s="12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</row>
    <row r="3697" spans="1:34" ht="14.25" customHeight="1" x14ac:dyDescent="0.25">
      <c r="A3697" s="3"/>
      <c r="B3697" s="3"/>
      <c r="C3697" s="3"/>
      <c r="D3697" s="3"/>
      <c r="E3697" s="3"/>
      <c r="F3697" s="3"/>
      <c r="G3697" s="3"/>
      <c r="H3697" s="11"/>
      <c r="I3697" s="12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</row>
    <row r="3698" spans="1:34" ht="14.25" customHeight="1" x14ac:dyDescent="0.25">
      <c r="A3698" s="3"/>
      <c r="B3698" s="3"/>
      <c r="C3698" s="3"/>
      <c r="D3698" s="3"/>
      <c r="E3698" s="3"/>
      <c r="F3698" s="3"/>
      <c r="G3698" s="3"/>
      <c r="H3698" s="11"/>
      <c r="I3698" s="12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</row>
    <row r="3699" spans="1:34" ht="14.25" customHeight="1" x14ac:dyDescent="0.25">
      <c r="A3699" s="3"/>
      <c r="B3699" s="3"/>
      <c r="C3699" s="3"/>
      <c r="D3699" s="3"/>
      <c r="E3699" s="3"/>
      <c r="F3699" s="3"/>
      <c r="G3699" s="3"/>
      <c r="H3699" s="11"/>
      <c r="I3699" s="12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</row>
    <row r="3700" spans="1:34" ht="14.25" customHeight="1" x14ac:dyDescent="0.25">
      <c r="A3700" s="3"/>
      <c r="B3700" s="3"/>
      <c r="C3700" s="3"/>
      <c r="D3700" s="3"/>
      <c r="E3700" s="3"/>
      <c r="F3700" s="3"/>
      <c r="G3700" s="3"/>
      <c r="H3700" s="11"/>
      <c r="I3700" s="12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</row>
    <row r="3701" spans="1:34" ht="14.25" customHeight="1" x14ac:dyDescent="0.25">
      <c r="A3701" s="3"/>
      <c r="B3701" s="3"/>
      <c r="C3701" s="3"/>
      <c r="D3701" s="3"/>
      <c r="E3701" s="3"/>
      <c r="F3701" s="3"/>
      <c r="G3701" s="14"/>
      <c r="H3701" s="11"/>
      <c r="I3701" s="12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</row>
    <row r="3702" spans="1:34" ht="14.25" customHeight="1" x14ac:dyDescent="0.25">
      <c r="A3702" s="3"/>
      <c r="B3702" s="3"/>
      <c r="C3702" s="3"/>
      <c r="D3702" s="3"/>
      <c r="E3702" s="3"/>
      <c r="F3702" s="3"/>
      <c r="G3702" s="3"/>
      <c r="H3702" s="11"/>
      <c r="I3702" s="12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</row>
    <row r="3703" spans="1:34" ht="14.25" customHeight="1" x14ac:dyDescent="0.25">
      <c r="A3703" s="3"/>
      <c r="B3703" s="3"/>
      <c r="C3703" s="3"/>
      <c r="D3703" s="3"/>
      <c r="E3703" s="3"/>
      <c r="F3703" s="3"/>
      <c r="G3703" s="3"/>
      <c r="H3703" s="11"/>
      <c r="I3703" s="12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</row>
    <row r="3704" spans="1:34" ht="14.25" customHeight="1" x14ac:dyDescent="0.25">
      <c r="A3704" s="3"/>
      <c r="B3704" s="3"/>
      <c r="C3704" s="3"/>
      <c r="D3704" s="3"/>
      <c r="E3704" s="3"/>
      <c r="F3704" s="3"/>
      <c r="G3704" s="3"/>
      <c r="H3704" s="11"/>
      <c r="I3704" s="12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</row>
    <row r="3705" spans="1:34" ht="14.25" customHeight="1" x14ac:dyDescent="0.25">
      <c r="A3705" s="3"/>
      <c r="B3705" s="3"/>
      <c r="C3705" s="3"/>
      <c r="D3705" s="3"/>
      <c r="E3705" s="3"/>
      <c r="F3705" s="3"/>
      <c r="G3705" s="3"/>
      <c r="H3705" s="11"/>
      <c r="I3705" s="12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</row>
    <row r="3706" spans="1:34" ht="14.25" customHeight="1" x14ac:dyDescent="0.25">
      <c r="A3706" s="3"/>
      <c r="B3706" s="3"/>
      <c r="C3706" s="3"/>
      <c r="D3706" s="3"/>
      <c r="E3706" s="3"/>
      <c r="F3706" s="3"/>
      <c r="G3706" s="3"/>
      <c r="H3706" s="11"/>
      <c r="I3706" s="12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</row>
    <row r="3707" spans="1:34" ht="14.25" customHeight="1" x14ac:dyDescent="0.25">
      <c r="A3707" s="3"/>
      <c r="B3707" s="3"/>
      <c r="C3707" s="3"/>
      <c r="D3707" s="3"/>
      <c r="E3707" s="3"/>
      <c r="F3707" s="3"/>
      <c r="G3707" s="3"/>
      <c r="H3707" s="11"/>
      <c r="I3707" s="12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</row>
    <row r="3708" spans="1:34" ht="14.25" customHeight="1" x14ac:dyDescent="0.25">
      <c r="A3708" s="3"/>
      <c r="B3708" s="3"/>
      <c r="C3708" s="3"/>
      <c r="D3708" s="3"/>
      <c r="E3708" s="3"/>
      <c r="F3708" s="3"/>
      <c r="G3708" s="3"/>
      <c r="H3708" s="11"/>
      <c r="I3708" s="12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</row>
    <row r="3709" spans="1:34" ht="14.25" customHeight="1" x14ac:dyDescent="0.25">
      <c r="A3709" s="3"/>
      <c r="B3709" s="3"/>
      <c r="C3709" s="3"/>
      <c r="D3709" s="3"/>
      <c r="E3709" s="3"/>
      <c r="F3709" s="3"/>
      <c r="G3709" s="3"/>
      <c r="H3709" s="11"/>
      <c r="I3709" s="12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</row>
    <row r="3710" spans="1:34" ht="14.25" customHeight="1" x14ac:dyDescent="0.25">
      <c r="A3710" s="3"/>
      <c r="B3710" s="3"/>
      <c r="C3710" s="3"/>
      <c r="D3710" s="3"/>
      <c r="E3710" s="3"/>
      <c r="F3710" s="3"/>
      <c r="G3710" s="3"/>
      <c r="H3710" s="11"/>
      <c r="I3710" s="12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</row>
    <row r="3711" spans="1:34" ht="14.25" customHeight="1" x14ac:dyDescent="0.25">
      <c r="A3711" s="3"/>
      <c r="B3711" s="3"/>
      <c r="C3711" s="3"/>
      <c r="D3711" s="3"/>
      <c r="E3711" s="3"/>
      <c r="F3711" s="3"/>
      <c r="G3711" s="3"/>
      <c r="H3711" s="11"/>
      <c r="I3711" s="12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</row>
    <row r="3712" spans="1:34" ht="14.25" customHeight="1" x14ac:dyDescent="0.25">
      <c r="A3712" s="3"/>
      <c r="B3712" s="3"/>
      <c r="C3712" s="3"/>
      <c r="D3712" s="3"/>
      <c r="E3712" s="3"/>
      <c r="F3712" s="3"/>
      <c r="G3712" s="3"/>
      <c r="H3712" s="11"/>
      <c r="I3712" s="12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</row>
    <row r="3713" spans="1:34" ht="14.25" customHeight="1" x14ac:dyDescent="0.25">
      <c r="A3713" s="3"/>
      <c r="B3713" s="3"/>
      <c r="C3713" s="3"/>
      <c r="D3713" s="3"/>
      <c r="E3713" s="3"/>
      <c r="F3713" s="3"/>
      <c r="G3713" s="3"/>
      <c r="H3713" s="11"/>
      <c r="I3713" s="12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</row>
    <row r="3714" spans="1:34" ht="14.25" customHeight="1" x14ac:dyDescent="0.25">
      <c r="A3714" s="3"/>
      <c r="B3714" s="3"/>
      <c r="C3714" s="3"/>
      <c r="D3714" s="3"/>
      <c r="E3714" s="3"/>
      <c r="F3714" s="3"/>
      <c r="G3714" s="3"/>
      <c r="H3714" s="11"/>
      <c r="I3714" s="12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</row>
    <row r="3715" spans="1:34" ht="14.25" customHeight="1" x14ac:dyDescent="0.25">
      <c r="A3715" s="3"/>
      <c r="B3715" s="3"/>
      <c r="C3715" s="3"/>
      <c r="D3715" s="3"/>
      <c r="E3715" s="3"/>
      <c r="F3715" s="3"/>
      <c r="G3715" s="3"/>
      <c r="H3715" s="11"/>
      <c r="I3715" s="12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</row>
    <row r="3716" spans="1:34" ht="14.25" customHeight="1" x14ac:dyDescent="0.25">
      <c r="A3716" s="3"/>
      <c r="B3716" s="3"/>
      <c r="C3716" s="3"/>
      <c r="D3716" s="3"/>
      <c r="E3716" s="3"/>
      <c r="F3716" s="3"/>
      <c r="G3716" s="3"/>
      <c r="H3716" s="11"/>
      <c r="I3716" s="12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</row>
    <row r="3717" spans="1:34" ht="14.25" customHeight="1" x14ac:dyDescent="0.25">
      <c r="A3717" s="3"/>
      <c r="B3717" s="3"/>
      <c r="C3717" s="3"/>
      <c r="D3717" s="3"/>
      <c r="E3717" s="3"/>
      <c r="F3717" s="3"/>
      <c r="G3717" s="3"/>
      <c r="H3717" s="11"/>
      <c r="I3717" s="12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</row>
    <row r="3718" spans="1:34" ht="14.25" customHeight="1" x14ac:dyDescent="0.25">
      <c r="A3718" s="3"/>
      <c r="B3718" s="3"/>
      <c r="C3718" s="3"/>
      <c r="D3718" s="3"/>
      <c r="E3718" s="3"/>
      <c r="F3718" s="3"/>
      <c r="G3718" s="14"/>
      <c r="H3718" s="11"/>
      <c r="I3718" s="12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</row>
    <row r="3719" spans="1:34" ht="14.25" customHeight="1" x14ac:dyDescent="0.25">
      <c r="A3719" s="3"/>
      <c r="B3719" s="3"/>
      <c r="C3719" s="3"/>
      <c r="D3719" s="3"/>
      <c r="E3719" s="3"/>
      <c r="F3719" s="3"/>
      <c r="G3719" s="3"/>
      <c r="H3719" s="11"/>
      <c r="I3719" s="12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</row>
    <row r="3720" spans="1:34" ht="14.25" customHeight="1" x14ac:dyDescent="0.25">
      <c r="A3720" s="3"/>
      <c r="B3720" s="3"/>
      <c r="C3720" s="3"/>
      <c r="D3720" s="3"/>
      <c r="E3720" s="3"/>
      <c r="F3720" s="3"/>
      <c r="G3720" s="3"/>
      <c r="H3720" s="11"/>
      <c r="I3720" s="12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</row>
    <row r="3721" spans="1:34" ht="14.25" customHeight="1" x14ac:dyDescent="0.25">
      <c r="A3721" s="3"/>
      <c r="B3721" s="3"/>
      <c r="C3721" s="3"/>
      <c r="D3721" s="3"/>
      <c r="E3721" s="3"/>
      <c r="F3721" s="3"/>
      <c r="G3721" s="3"/>
      <c r="H3721" s="11"/>
      <c r="I3721" s="12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</row>
    <row r="3722" spans="1:34" ht="14.25" customHeight="1" x14ac:dyDescent="0.25">
      <c r="A3722" s="3"/>
      <c r="B3722" s="3"/>
      <c r="C3722" s="3"/>
      <c r="D3722" s="3"/>
      <c r="E3722" s="3"/>
      <c r="F3722" s="3"/>
      <c r="G3722" s="3"/>
      <c r="H3722" s="11"/>
      <c r="I3722" s="12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</row>
    <row r="3723" spans="1:34" ht="14.25" customHeight="1" x14ac:dyDescent="0.25">
      <c r="A3723" s="3"/>
      <c r="B3723" s="3"/>
      <c r="C3723" s="3"/>
      <c r="D3723" s="3"/>
      <c r="E3723" s="3"/>
      <c r="F3723" s="3"/>
      <c r="G3723" s="3"/>
      <c r="H3723" s="11"/>
      <c r="I3723" s="12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</row>
    <row r="3724" spans="1:34" ht="14.25" customHeight="1" x14ac:dyDescent="0.25">
      <c r="A3724" s="3"/>
      <c r="B3724" s="3"/>
      <c r="C3724" s="3"/>
      <c r="D3724" s="3"/>
      <c r="E3724" s="3"/>
      <c r="F3724" s="3"/>
      <c r="G3724" s="3"/>
      <c r="H3724" s="11"/>
      <c r="I3724" s="12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</row>
    <row r="3725" spans="1:34" ht="14.25" customHeight="1" x14ac:dyDescent="0.25">
      <c r="A3725" s="3"/>
      <c r="B3725" s="3"/>
      <c r="C3725" s="3"/>
      <c r="D3725" s="3"/>
      <c r="E3725" s="3"/>
      <c r="F3725" s="3"/>
      <c r="G3725" s="3"/>
      <c r="H3725" s="11"/>
      <c r="I3725" s="12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</row>
    <row r="3726" spans="1:34" ht="14.25" customHeight="1" x14ac:dyDescent="0.25">
      <c r="A3726" s="3"/>
      <c r="B3726" s="3"/>
      <c r="C3726" s="3"/>
      <c r="D3726" s="3"/>
      <c r="E3726" s="3"/>
      <c r="F3726" s="3"/>
      <c r="G3726" s="3"/>
      <c r="H3726" s="11"/>
      <c r="I3726" s="12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</row>
    <row r="3727" spans="1:34" ht="14.25" customHeight="1" x14ac:dyDescent="0.25">
      <c r="A3727" s="3"/>
      <c r="B3727" s="3"/>
      <c r="C3727" s="3"/>
      <c r="D3727" s="3"/>
      <c r="E3727" s="3"/>
      <c r="F3727" s="3"/>
      <c r="G3727" s="3"/>
      <c r="H3727" s="11"/>
      <c r="I3727" s="12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</row>
    <row r="3728" spans="1:34" ht="14.25" customHeight="1" x14ac:dyDescent="0.25">
      <c r="A3728" s="3"/>
      <c r="B3728" s="3"/>
      <c r="C3728" s="3"/>
      <c r="D3728" s="3"/>
      <c r="E3728" s="3"/>
      <c r="F3728" s="3"/>
      <c r="G3728" s="14"/>
      <c r="H3728" s="11"/>
      <c r="I3728" s="12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</row>
    <row r="3729" spans="1:34" ht="14.25" customHeight="1" x14ac:dyDescent="0.25">
      <c r="A3729" s="3"/>
      <c r="B3729" s="3"/>
      <c r="C3729" s="3"/>
      <c r="D3729" s="3"/>
      <c r="E3729" s="3"/>
      <c r="F3729" s="3"/>
      <c r="G3729" s="3"/>
      <c r="H3729" s="11"/>
      <c r="I3729" s="12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</row>
    <row r="3730" spans="1:34" ht="14.25" customHeight="1" x14ac:dyDescent="0.25">
      <c r="A3730" s="3"/>
      <c r="B3730" s="3"/>
      <c r="C3730" s="3"/>
      <c r="D3730" s="3"/>
      <c r="E3730" s="3"/>
      <c r="F3730" s="3"/>
      <c r="G3730" s="3"/>
      <c r="H3730" s="11"/>
      <c r="I3730" s="12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</row>
    <row r="3731" spans="1:34" ht="14.25" customHeight="1" x14ac:dyDescent="0.25">
      <c r="A3731" s="3"/>
      <c r="B3731" s="3"/>
      <c r="C3731" s="3"/>
      <c r="D3731" s="3"/>
      <c r="E3731" s="3"/>
      <c r="F3731" s="3"/>
      <c r="G3731" s="3"/>
      <c r="H3731" s="11"/>
      <c r="I3731" s="12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</row>
    <row r="3732" spans="1:34" ht="14.25" customHeight="1" x14ac:dyDescent="0.25">
      <c r="A3732" s="3"/>
      <c r="B3732" s="3"/>
      <c r="C3732" s="3"/>
      <c r="D3732" s="3"/>
      <c r="E3732" s="3"/>
      <c r="F3732" s="3"/>
      <c r="G3732" s="3"/>
      <c r="H3732" s="11"/>
      <c r="I3732" s="12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</row>
    <row r="3733" spans="1:34" ht="14.25" customHeight="1" x14ac:dyDescent="0.25">
      <c r="A3733" s="3"/>
      <c r="B3733" s="3"/>
      <c r="C3733" s="3"/>
      <c r="D3733" s="3"/>
      <c r="E3733" s="3"/>
      <c r="F3733" s="3"/>
      <c r="G3733" s="3"/>
      <c r="H3733" s="11"/>
      <c r="I3733" s="12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</row>
    <row r="3734" spans="1:34" ht="14.25" customHeight="1" x14ac:dyDescent="0.25">
      <c r="A3734" s="3"/>
      <c r="B3734" s="3"/>
      <c r="C3734" s="3"/>
      <c r="D3734" s="3"/>
      <c r="E3734" s="3"/>
      <c r="F3734" s="3"/>
      <c r="G3734" s="3"/>
      <c r="H3734" s="11"/>
      <c r="I3734" s="12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</row>
    <row r="3735" spans="1:34" ht="14.25" customHeight="1" x14ac:dyDescent="0.25">
      <c r="A3735" s="3"/>
      <c r="B3735" s="3"/>
      <c r="C3735" s="3"/>
      <c r="D3735" s="3"/>
      <c r="E3735" s="3"/>
      <c r="F3735" s="3"/>
      <c r="G3735" s="3"/>
      <c r="H3735" s="11"/>
      <c r="I3735" s="12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</row>
    <row r="3736" spans="1:34" ht="14.25" customHeight="1" x14ac:dyDescent="0.25">
      <c r="A3736" s="3"/>
      <c r="B3736" s="3"/>
      <c r="C3736" s="3"/>
      <c r="D3736" s="3"/>
      <c r="E3736" s="3"/>
      <c r="F3736" s="3"/>
      <c r="G3736" s="3"/>
      <c r="H3736" s="11"/>
      <c r="I3736" s="12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</row>
    <row r="3737" spans="1:34" ht="14.25" customHeight="1" x14ac:dyDescent="0.25">
      <c r="A3737" s="3"/>
      <c r="B3737" s="3"/>
      <c r="C3737" s="3"/>
      <c r="D3737" s="3"/>
      <c r="E3737" s="3"/>
      <c r="F3737" s="3"/>
      <c r="G3737" s="3"/>
      <c r="H3737" s="11"/>
      <c r="I3737" s="12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</row>
    <row r="3738" spans="1:34" ht="14.25" customHeight="1" x14ac:dyDescent="0.25">
      <c r="A3738" s="3"/>
      <c r="B3738" s="3"/>
      <c r="C3738" s="3"/>
      <c r="D3738" s="3"/>
      <c r="E3738" s="3"/>
      <c r="F3738" s="3"/>
      <c r="G3738" s="3"/>
      <c r="H3738" s="11"/>
      <c r="I3738" s="12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</row>
    <row r="3739" spans="1:34" ht="14.25" customHeight="1" x14ac:dyDescent="0.25">
      <c r="A3739" s="3"/>
      <c r="B3739" s="3"/>
      <c r="C3739" s="3"/>
      <c r="D3739" s="3"/>
      <c r="E3739" s="3"/>
      <c r="F3739" s="3"/>
      <c r="G3739" s="3"/>
      <c r="H3739" s="11"/>
      <c r="I3739" s="12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</row>
    <row r="3740" spans="1:34" ht="14.25" customHeight="1" x14ac:dyDescent="0.25">
      <c r="A3740" s="3"/>
      <c r="B3740" s="3"/>
      <c r="C3740" s="3"/>
      <c r="D3740" s="3"/>
      <c r="E3740" s="3"/>
      <c r="F3740" s="3"/>
      <c r="G3740" s="3"/>
      <c r="H3740" s="11"/>
      <c r="I3740" s="12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</row>
    <row r="3741" spans="1:34" ht="14.25" customHeight="1" x14ac:dyDescent="0.25">
      <c r="A3741" s="3"/>
      <c r="B3741" s="3"/>
      <c r="C3741" s="3"/>
      <c r="D3741" s="3"/>
      <c r="E3741" s="3"/>
      <c r="F3741" s="3"/>
      <c r="G3741" s="3"/>
      <c r="H3741" s="11"/>
      <c r="I3741" s="12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</row>
    <row r="3742" spans="1:34" ht="14.25" customHeight="1" x14ac:dyDescent="0.25">
      <c r="A3742" s="3"/>
      <c r="B3742" s="3"/>
      <c r="C3742" s="3"/>
      <c r="D3742" s="3"/>
      <c r="E3742" s="3"/>
      <c r="F3742" s="3"/>
      <c r="G3742" s="14"/>
      <c r="H3742" s="11"/>
      <c r="I3742" s="12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</row>
    <row r="3743" spans="1:34" ht="14.25" customHeight="1" x14ac:dyDescent="0.25">
      <c r="A3743" s="3"/>
      <c r="B3743" s="3"/>
      <c r="C3743" s="3"/>
      <c r="D3743" s="3"/>
      <c r="E3743" s="3"/>
      <c r="F3743" s="3"/>
      <c r="G3743" s="14"/>
      <c r="H3743" s="11"/>
      <c r="I3743" s="12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</row>
    <row r="3744" spans="1:34" ht="14.25" customHeight="1" x14ac:dyDescent="0.25">
      <c r="A3744" s="3"/>
      <c r="B3744" s="3"/>
      <c r="C3744" s="3"/>
      <c r="D3744" s="3"/>
      <c r="E3744" s="3"/>
      <c r="F3744" s="3"/>
      <c r="G3744" s="3"/>
      <c r="H3744" s="11"/>
      <c r="I3744" s="12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</row>
    <row r="3745" spans="1:34" ht="14.25" customHeight="1" x14ac:dyDescent="0.25">
      <c r="A3745" s="3"/>
      <c r="B3745" s="3"/>
      <c r="C3745" s="3"/>
      <c r="D3745" s="3"/>
      <c r="E3745" s="3"/>
      <c r="F3745" s="3"/>
      <c r="G3745" s="3"/>
      <c r="H3745" s="11"/>
      <c r="I3745" s="12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</row>
    <row r="3746" spans="1:34" ht="14.25" customHeight="1" x14ac:dyDescent="0.25">
      <c r="A3746" s="3"/>
      <c r="B3746" s="3"/>
      <c r="C3746" s="3"/>
      <c r="D3746" s="3"/>
      <c r="E3746" s="3"/>
      <c r="F3746" s="3"/>
      <c r="G3746" s="3"/>
      <c r="H3746" s="11"/>
      <c r="I3746" s="12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</row>
    <row r="3747" spans="1:34" ht="14.25" customHeight="1" x14ac:dyDescent="0.25">
      <c r="A3747" s="3"/>
      <c r="B3747" s="3"/>
      <c r="C3747" s="3"/>
      <c r="D3747" s="3"/>
      <c r="E3747" s="3"/>
      <c r="F3747" s="3"/>
      <c r="G3747" s="3"/>
      <c r="H3747" s="11"/>
      <c r="I3747" s="12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</row>
    <row r="3748" spans="1:34" ht="14.25" customHeight="1" x14ac:dyDescent="0.25">
      <c r="A3748" s="3"/>
      <c r="B3748" s="3"/>
      <c r="C3748" s="3"/>
      <c r="D3748" s="3"/>
      <c r="E3748" s="3"/>
      <c r="F3748" s="3"/>
      <c r="G3748" s="3"/>
      <c r="H3748" s="11"/>
      <c r="I3748" s="12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</row>
    <row r="3749" spans="1:34" ht="14.25" customHeight="1" x14ac:dyDescent="0.25">
      <c r="A3749" s="3"/>
      <c r="B3749" s="3"/>
      <c r="C3749" s="3"/>
      <c r="D3749" s="3"/>
      <c r="E3749" s="3"/>
      <c r="F3749" s="3"/>
      <c r="G3749" s="3"/>
      <c r="H3749" s="11"/>
      <c r="I3749" s="12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</row>
    <row r="3750" spans="1:34" ht="14.25" customHeight="1" x14ac:dyDescent="0.25">
      <c r="A3750" s="3"/>
      <c r="B3750" s="3"/>
      <c r="C3750" s="3"/>
      <c r="D3750" s="3"/>
      <c r="E3750" s="3"/>
      <c r="F3750" s="3"/>
      <c r="G3750" s="3"/>
      <c r="H3750" s="11"/>
      <c r="I3750" s="12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</row>
    <row r="3751" spans="1:34" ht="14.25" customHeight="1" x14ac:dyDescent="0.25">
      <c r="A3751" s="3"/>
      <c r="B3751" s="3"/>
      <c r="C3751" s="3"/>
      <c r="D3751" s="3"/>
      <c r="E3751" s="3"/>
      <c r="F3751" s="3"/>
      <c r="G3751" s="3"/>
      <c r="H3751" s="11"/>
      <c r="I3751" s="12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</row>
    <row r="3752" spans="1:34" ht="14.25" customHeight="1" x14ac:dyDescent="0.25">
      <c r="A3752" s="3"/>
      <c r="B3752" s="3"/>
      <c r="C3752" s="3"/>
      <c r="D3752" s="3"/>
      <c r="E3752" s="3"/>
      <c r="F3752" s="3"/>
      <c r="G3752" s="3"/>
      <c r="H3752" s="11"/>
      <c r="I3752" s="12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</row>
    <row r="3753" spans="1:34" ht="14.25" customHeight="1" x14ac:dyDescent="0.25">
      <c r="A3753" s="3"/>
      <c r="B3753" s="3"/>
      <c r="C3753" s="3"/>
      <c r="D3753" s="3"/>
      <c r="E3753" s="3"/>
      <c r="F3753" s="3"/>
      <c r="G3753" s="3"/>
      <c r="H3753" s="11"/>
      <c r="I3753" s="12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</row>
    <row r="3754" spans="1:34" ht="14.25" customHeight="1" x14ac:dyDescent="0.25">
      <c r="A3754" s="3"/>
      <c r="B3754" s="3"/>
      <c r="C3754" s="3"/>
      <c r="D3754" s="3"/>
      <c r="E3754" s="3"/>
      <c r="F3754" s="3"/>
      <c r="G3754" s="3"/>
      <c r="H3754" s="11"/>
      <c r="I3754" s="12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</row>
    <row r="3755" spans="1:34" ht="14.25" customHeight="1" x14ac:dyDescent="0.25">
      <c r="A3755" s="3"/>
      <c r="B3755" s="3"/>
      <c r="C3755" s="3"/>
      <c r="D3755" s="3"/>
      <c r="E3755" s="3"/>
      <c r="F3755" s="3"/>
      <c r="G3755" s="3"/>
      <c r="H3755" s="11"/>
      <c r="I3755" s="12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</row>
    <row r="3756" spans="1:34" ht="14.25" customHeight="1" x14ac:dyDescent="0.25">
      <c r="A3756" s="3"/>
      <c r="B3756" s="3"/>
      <c r="C3756" s="3"/>
      <c r="D3756" s="3"/>
      <c r="E3756" s="3"/>
      <c r="F3756" s="3"/>
      <c r="G3756" s="3"/>
      <c r="H3756" s="11"/>
      <c r="I3756" s="12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</row>
    <row r="3757" spans="1:34" ht="14.25" customHeight="1" x14ac:dyDescent="0.25">
      <c r="A3757" s="3"/>
      <c r="B3757" s="3"/>
      <c r="C3757" s="3"/>
      <c r="D3757" s="3"/>
      <c r="E3757" s="3"/>
      <c r="F3757" s="3"/>
      <c r="G3757" s="3"/>
      <c r="H3757" s="11"/>
      <c r="I3757" s="12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</row>
    <row r="3758" spans="1:34" ht="14.25" customHeight="1" x14ac:dyDescent="0.25">
      <c r="A3758" s="3"/>
      <c r="B3758" s="3"/>
      <c r="C3758" s="3"/>
      <c r="D3758" s="3"/>
      <c r="E3758" s="3"/>
      <c r="F3758" s="3"/>
      <c r="G3758" s="3"/>
      <c r="H3758" s="11"/>
      <c r="I3758" s="12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</row>
    <row r="3759" spans="1:34" ht="14.25" customHeight="1" x14ac:dyDescent="0.25">
      <c r="A3759" s="3"/>
      <c r="B3759" s="3"/>
      <c r="C3759" s="3"/>
      <c r="D3759" s="3"/>
      <c r="E3759" s="3"/>
      <c r="F3759" s="3"/>
      <c r="G3759" s="3"/>
      <c r="H3759" s="11"/>
      <c r="I3759" s="12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</row>
    <row r="3760" spans="1:34" ht="14.25" customHeight="1" x14ac:dyDescent="0.25">
      <c r="A3760" s="3"/>
      <c r="B3760" s="3"/>
      <c r="C3760" s="3"/>
      <c r="D3760" s="3"/>
      <c r="E3760" s="3"/>
      <c r="F3760" s="3"/>
      <c r="G3760" s="3"/>
      <c r="H3760" s="11"/>
      <c r="I3760" s="12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</row>
    <row r="3761" spans="1:34" ht="14.25" customHeight="1" x14ac:dyDescent="0.25">
      <c r="A3761" s="3"/>
      <c r="B3761" s="3"/>
      <c r="C3761" s="3"/>
      <c r="D3761" s="3"/>
      <c r="E3761" s="3"/>
      <c r="F3761" s="3"/>
      <c r="G3761" s="3"/>
      <c r="H3761" s="11"/>
      <c r="I3761" s="12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</row>
    <row r="3762" spans="1:34" ht="14.25" customHeight="1" x14ac:dyDescent="0.25">
      <c r="A3762" s="3"/>
      <c r="B3762" s="3"/>
      <c r="C3762" s="3"/>
      <c r="D3762" s="3"/>
      <c r="E3762" s="3"/>
      <c r="F3762" s="3"/>
      <c r="G3762" s="3"/>
      <c r="H3762" s="11"/>
      <c r="I3762" s="12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</row>
    <row r="3763" spans="1:34" ht="14.25" customHeight="1" x14ac:dyDescent="0.25">
      <c r="A3763" s="3"/>
      <c r="B3763" s="3"/>
      <c r="C3763" s="3"/>
      <c r="D3763" s="3"/>
      <c r="E3763" s="3"/>
      <c r="F3763" s="3"/>
      <c r="G3763" s="3"/>
      <c r="H3763" s="11"/>
      <c r="I3763" s="12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</row>
    <row r="3764" spans="1:34" ht="14.25" customHeight="1" x14ac:dyDescent="0.25">
      <c r="A3764" s="3"/>
      <c r="B3764" s="3"/>
      <c r="C3764" s="3"/>
      <c r="D3764" s="3"/>
      <c r="E3764" s="3"/>
      <c r="F3764" s="3"/>
      <c r="G3764" s="3"/>
      <c r="H3764" s="11"/>
      <c r="I3764" s="12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</row>
    <row r="3765" spans="1:34" ht="14.25" customHeight="1" x14ac:dyDescent="0.25">
      <c r="A3765" s="3"/>
      <c r="B3765" s="3"/>
      <c r="C3765" s="3"/>
      <c r="D3765" s="3"/>
      <c r="E3765" s="3"/>
      <c r="F3765" s="3"/>
      <c r="G3765" s="3"/>
      <c r="H3765" s="11"/>
      <c r="I3765" s="12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</row>
    <row r="3766" spans="1:34" ht="14.25" customHeight="1" x14ac:dyDescent="0.25">
      <c r="A3766" s="3"/>
      <c r="B3766" s="3"/>
      <c r="C3766" s="3"/>
      <c r="D3766" s="3"/>
      <c r="E3766" s="3"/>
      <c r="F3766" s="3"/>
      <c r="G3766" s="3"/>
      <c r="H3766" s="11"/>
      <c r="I3766" s="12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</row>
    <row r="3767" spans="1:34" ht="14.25" customHeight="1" x14ac:dyDescent="0.25">
      <c r="A3767" s="3"/>
      <c r="B3767" s="3"/>
      <c r="C3767" s="3"/>
      <c r="D3767" s="3"/>
      <c r="E3767" s="3"/>
      <c r="F3767" s="3"/>
      <c r="G3767" s="3"/>
      <c r="H3767" s="11"/>
      <c r="I3767" s="12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</row>
    <row r="3768" spans="1:34" ht="14.25" customHeight="1" x14ac:dyDescent="0.25">
      <c r="A3768" s="3"/>
      <c r="B3768" s="3"/>
      <c r="C3768" s="3"/>
      <c r="D3768" s="3"/>
      <c r="E3768" s="3"/>
      <c r="F3768" s="3"/>
      <c r="G3768" s="3"/>
      <c r="H3768" s="11"/>
      <c r="I3768" s="12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</row>
    <row r="3769" spans="1:34" ht="14.25" customHeight="1" x14ac:dyDescent="0.25">
      <c r="A3769" s="3"/>
      <c r="B3769" s="3"/>
      <c r="C3769" s="3"/>
      <c r="D3769" s="3"/>
      <c r="E3769" s="3"/>
      <c r="F3769" s="3"/>
      <c r="G3769" s="3"/>
      <c r="H3769" s="11"/>
      <c r="I3769" s="12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</row>
    <row r="3770" spans="1:34" ht="14.25" customHeight="1" x14ac:dyDescent="0.25">
      <c r="A3770" s="3"/>
      <c r="B3770" s="3"/>
      <c r="C3770" s="3"/>
      <c r="D3770" s="3"/>
      <c r="E3770" s="3"/>
      <c r="F3770" s="3"/>
      <c r="G3770" s="14"/>
      <c r="H3770" s="11"/>
      <c r="I3770" s="12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</row>
    <row r="3771" spans="1:34" ht="14.25" customHeight="1" x14ac:dyDescent="0.25">
      <c r="A3771" s="3"/>
      <c r="B3771" s="3"/>
      <c r="C3771" s="3"/>
      <c r="D3771" s="3"/>
      <c r="E3771" s="3"/>
      <c r="F3771" s="3"/>
      <c r="G3771" s="3"/>
      <c r="H3771" s="11"/>
      <c r="I3771" s="12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</row>
    <row r="3772" spans="1:34" ht="14.25" customHeight="1" x14ac:dyDescent="0.25">
      <c r="A3772" s="3"/>
      <c r="B3772" s="3"/>
      <c r="C3772" s="3"/>
      <c r="D3772" s="3"/>
      <c r="E3772" s="3"/>
      <c r="F3772" s="3"/>
      <c r="G3772" s="3"/>
      <c r="H3772" s="11"/>
      <c r="I3772" s="12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</row>
    <row r="3773" spans="1:34" ht="14.25" customHeight="1" x14ac:dyDescent="0.25">
      <c r="A3773" s="3"/>
      <c r="B3773" s="3"/>
      <c r="C3773" s="3"/>
      <c r="D3773" s="3"/>
      <c r="E3773" s="3"/>
      <c r="F3773" s="3"/>
      <c r="G3773" s="3"/>
      <c r="H3773" s="11"/>
      <c r="I3773" s="12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</row>
    <row r="3774" spans="1:34" ht="14.25" customHeight="1" x14ac:dyDescent="0.25">
      <c r="A3774" s="3"/>
      <c r="B3774" s="3"/>
      <c r="C3774" s="3"/>
      <c r="D3774" s="3"/>
      <c r="E3774" s="3"/>
      <c r="F3774" s="3"/>
      <c r="G3774" s="3"/>
      <c r="H3774" s="11"/>
      <c r="I3774" s="12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</row>
    <row r="3775" spans="1:34" ht="14.25" customHeight="1" x14ac:dyDescent="0.25">
      <c r="A3775" s="3"/>
      <c r="B3775" s="3"/>
      <c r="C3775" s="3"/>
      <c r="D3775" s="3"/>
      <c r="E3775" s="3"/>
      <c r="F3775" s="3"/>
      <c r="G3775" s="3"/>
      <c r="H3775" s="11"/>
      <c r="I3775" s="12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</row>
    <row r="3776" spans="1:34" ht="14.25" customHeight="1" x14ac:dyDescent="0.25">
      <c r="A3776" s="3"/>
      <c r="B3776" s="3"/>
      <c r="C3776" s="3"/>
      <c r="D3776" s="3"/>
      <c r="E3776" s="3"/>
      <c r="F3776" s="3"/>
      <c r="G3776" s="3"/>
      <c r="H3776" s="11"/>
      <c r="I3776" s="12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</row>
    <row r="3777" spans="1:34" ht="14.25" customHeight="1" x14ac:dyDescent="0.25">
      <c r="A3777" s="3"/>
      <c r="B3777" s="3"/>
      <c r="C3777" s="3"/>
      <c r="D3777" s="3"/>
      <c r="E3777" s="3"/>
      <c r="F3777" s="3"/>
      <c r="G3777" s="3"/>
      <c r="H3777" s="11"/>
      <c r="I3777" s="12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</row>
    <row r="3778" spans="1:34" ht="14.25" customHeight="1" x14ac:dyDescent="0.25">
      <c r="A3778" s="3"/>
      <c r="B3778" s="3"/>
      <c r="C3778" s="3"/>
      <c r="D3778" s="3"/>
      <c r="E3778" s="3"/>
      <c r="F3778" s="3"/>
      <c r="G3778" s="3"/>
      <c r="H3778" s="11"/>
      <c r="I3778" s="12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</row>
    <row r="3779" spans="1:34" ht="14.25" customHeight="1" x14ac:dyDescent="0.25">
      <c r="A3779" s="3"/>
      <c r="B3779" s="3"/>
      <c r="C3779" s="3"/>
      <c r="D3779" s="3"/>
      <c r="E3779" s="3"/>
      <c r="F3779" s="3"/>
      <c r="G3779" s="3"/>
      <c r="H3779" s="11"/>
      <c r="I3779" s="12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</row>
    <row r="3780" spans="1:34" ht="14.25" customHeight="1" x14ac:dyDescent="0.25">
      <c r="A3780" s="3"/>
      <c r="B3780" s="3"/>
      <c r="C3780" s="3"/>
      <c r="D3780" s="3"/>
      <c r="E3780" s="3"/>
      <c r="F3780" s="3"/>
      <c r="G3780" s="3"/>
      <c r="H3780" s="11"/>
      <c r="I3780" s="12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</row>
    <row r="3781" spans="1:34" ht="14.25" customHeight="1" x14ac:dyDescent="0.25">
      <c r="A3781" s="3"/>
      <c r="B3781" s="3"/>
      <c r="C3781" s="3"/>
      <c r="D3781" s="3"/>
      <c r="E3781" s="3"/>
      <c r="F3781" s="3"/>
      <c r="G3781" s="3"/>
      <c r="H3781" s="11"/>
      <c r="I3781" s="12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</row>
    <row r="3782" spans="1:34" ht="14.25" customHeight="1" x14ac:dyDescent="0.25">
      <c r="A3782" s="3"/>
      <c r="B3782" s="3"/>
      <c r="C3782" s="3"/>
      <c r="D3782" s="3"/>
      <c r="E3782" s="3"/>
      <c r="F3782" s="3"/>
      <c r="G3782" s="3"/>
      <c r="H3782" s="11"/>
      <c r="I3782" s="12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</row>
    <row r="3783" spans="1:34" ht="14.25" customHeight="1" x14ac:dyDescent="0.25">
      <c r="A3783" s="3"/>
      <c r="B3783" s="3"/>
      <c r="C3783" s="3"/>
      <c r="D3783" s="3"/>
      <c r="E3783" s="3"/>
      <c r="F3783" s="3"/>
      <c r="G3783" s="3"/>
      <c r="H3783" s="11"/>
      <c r="I3783" s="12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</row>
    <row r="3784" spans="1:34" ht="14.25" customHeight="1" x14ac:dyDescent="0.25">
      <c r="A3784" s="3"/>
      <c r="B3784" s="3"/>
      <c r="C3784" s="3"/>
      <c r="D3784" s="3"/>
      <c r="E3784" s="3"/>
      <c r="F3784" s="3"/>
      <c r="G3784" s="3"/>
      <c r="H3784" s="11"/>
      <c r="I3784" s="12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</row>
    <row r="3785" spans="1:34" ht="14.25" customHeight="1" x14ac:dyDescent="0.25">
      <c r="A3785" s="3"/>
      <c r="B3785" s="3"/>
      <c r="C3785" s="3"/>
      <c r="D3785" s="3"/>
      <c r="E3785" s="3"/>
      <c r="F3785" s="3"/>
      <c r="G3785" s="3"/>
      <c r="H3785" s="11"/>
      <c r="I3785" s="12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</row>
    <row r="3786" spans="1:34" ht="14.25" customHeight="1" x14ac:dyDescent="0.25">
      <c r="A3786" s="3"/>
      <c r="B3786" s="3"/>
      <c r="C3786" s="3"/>
      <c r="D3786" s="3"/>
      <c r="E3786" s="3"/>
      <c r="F3786" s="3"/>
      <c r="G3786" s="3"/>
      <c r="H3786" s="11"/>
      <c r="I3786" s="12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</row>
    <row r="3787" spans="1:34" ht="14.25" customHeight="1" x14ac:dyDescent="0.25">
      <c r="A3787" s="3"/>
      <c r="B3787" s="3"/>
      <c r="C3787" s="3"/>
      <c r="D3787" s="3"/>
      <c r="E3787" s="3"/>
      <c r="F3787" s="3"/>
      <c r="G3787" s="3"/>
      <c r="H3787" s="11"/>
      <c r="I3787" s="12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</row>
    <row r="3788" spans="1:34" ht="14.25" customHeight="1" x14ac:dyDescent="0.25">
      <c r="A3788" s="3"/>
      <c r="B3788" s="3"/>
      <c r="C3788" s="3"/>
      <c r="D3788" s="3"/>
      <c r="E3788" s="3"/>
      <c r="F3788" s="3"/>
      <c r="G3788" s="3"/>
      <c r="H3788" s="11"/>
      <c r="I3788" s="12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</row>
    <row r="3789" spans="1:34" ht="14.25" customHeight="1" x14ac:dyDescent="0.25">
      <c r="A3789" s="3"/>
      <c r="B3789" s="3"/>
      <c r="C3789" s="3"/>
      <c r="D3789" s="3"/>
      <c r="E3789" s="3"/>
      <c r="F3789" s="3"/>
      <c r="G3789" s="3"/>
      <c r="H3789" s="11"/>
      <c r="I3789" s="12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</row>
    <row r="3790" spans="1:34" ht="14.25" customHeight="1" x14ac:dyDescent="0.25">
      <c r="A3790" s="3"/>
      <c r="B3790" s="3"/>
      <c r="C3790" s="3"/>
      <c r="D3790" s="3"/>
      <c r="E3790" s="3"/>
      <c r="F3790" s="3"/>
      <c r="G3790" s="3"/>
      <c r="H3790" s="11"/>
      <c r="I3790" s="12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</row>
    <row r="3791" spans="1:34" ht="14.25" customHeight="1" x14ac:dyDescent="0.25">
      <c r="A3791" s="3"/>
      <c r="B3791" s="3"/>
      <c r="C3791" s="3"/>
      <c r="D3791" s="3"/>
      <c r="E3791" s="3"/>
      <c r="F3791" s="3"/>
      <c r="G3791" s="3"/>
      <c r="H3791" s="11"/>
      <c r="I3791" s="12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</row>
    <row r="3792" spans="1:34" ht="14.25" customHeight="1" x14ac:dyDescent="0.25">
      <c r="A3792" s="3"/>
      <c r="B3792" s="3"/>
      <c r="C3792" s="3"/>
      <c r="D3792" s="3"/>
      <c r="E3792" s="3"/>
      <c r="F3792" s="3"/>
      <c r="G3792" s="3"/>
      <c r="H3792" s="11"/>
      <c r="I3792" s="12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</row>
    <row r="3793" spans="1:34" ht="14.25" customHeight="1" x14ac:dyDescent="0.25">
      <c r="A3793" s="3"/>
      <c r="B3793" s="3"/>
      <c r="C3793" s="3"/>
      <c r="D3793" s="3"/>
      <c r="E3793" s="3"/>
      <c r="F3793" s="3"/>
      <c r="G3793" s="3"/>
      <c r="H3793" s="11"/>
      <c r="I3793" s="12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</row>
    <row r="3794" spans="1:34" ht="14.25" customHeight="1" x14ac:dyDescent="0.25">
      <c r="A3794" s="3"/>
      <c r="B3794" s="3"/>
      <c r="C3794" s="3"/>
      <c r="D3794" s="3"/>
      <c r="E3794" s="3"/>
      <c r="F3794" s="3"/>
      <c r="G3794" s="3"/>
      <c r="H3794" s="11"/>
      <c r="I3794" s="12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</row>
    <row r="3795" spans="1:34" ht="14.25" customHeight="1" x14ac:dyDescent="0.25">
      <c r="A3795" s="3"/>
      <c r="B3795" s="3"/>
      <c r="C3795" s="3"/>
      <c r="D3795" s="3"/>
      <c r="E3795" s="3"/>
      <c r="F3795" s="3"/>
      <c r="G3795" s="3"/>
      <c r="H3795" s="11"/>
      <c r="I3795" s="12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</row>
    <row r="3796" spans="1:34" ht="14.25" customHeight="1" x14ac:dyDescent="0.25">
      <c r="A3796" s="3"/>
      <c r="B3796" s="3"/>
      <c r="C3796" s="3"/>
      <c r="D3796" s="3"/>
      <c r="E3796" s="3"/>
      <c r="F3796" s="3"/>
      <c r="G3796" s="3"/>
      <c r="H3796" s="11"/>
      <c r="I3796" s="12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</row>
    <row r="3797" spans="1:34" ht="14.25" customHeight="1" x14ac:dyDescent="0.25">
      <c r="A3797" s="3"/>
      <c r="B3797" s="3"/>
      <c r="C3797" s="3"/>
      <c r="D3797" s="3"/>
      <c r="E3797" s="3"/>
      <c r="F3797" s="3"/>
      <c r="G3797" s="3"/>
      <c r="H3797" s="11"/>
      <c r="I3797" s="12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</row>
    <row r="3798" spans="1:34" ht="14.25" customHeight="1" x14ac:dyDescent="0.25">
      <c r="A3798" s="3"/>
      <c r="B3798" s="3"/>
      <c r="C3798" s="3"/>
      <c r="D3798" s="3"/>
      <c r="E3798" s="3"/>
      <c r="F3798" s="3"/>
      <c r="G3798" s="3"/>
      <c r="H3798" s="11"/>
      <c r="I3798" s="12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</row>
    <row r="3799" spans="1:34" ht="14.25" customHeight="1" x14ac:dyDescent="0.25">
      <c r="A3799" s="3"/>
      <c r="B3799" s="3"/>
      <c r="C3799" s="3"/>
      <c r="D3799" s="3"/>
      <c r="E3799" s="3"/>
      <c r="F3799" s="3"/>
      <c r="G3799" s="3"/>
      <c r="H3799" s="11"/>
      <c r="I3799" s="12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</row>
    <row r="3800" spans="1:34" ht="14.25" customHeight="1" x14ac:dyDescent="0.25">
      <c r="A3800" s="3"/>
      <c r="B3800" s="3"/>
      <c r="C3800" s="3"/>
      <c r="D3800" s="3"/>
      <c r="E3800" s="3"/>
      <c r="F3800" s="3"/>
      <c r="G3800" s="3"/>
      <c r="H3800" s="11"/>
      <c r="I3800" s="12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</row>
    <row r="3801" spans="1:34" ht="14.25" customHeight="1" x14ac:dyDescent="0.25">
      <c r="A3801" s="3"/>
      <c r="B3801" s="3"/>
      <c r="C3801" s="3"/>
      <c r="D3801" s="3"/>
      <c r="E3801" s="3"/>
      <c r="F3801" s="3"/>
      <c r="G3801" s="3"/>
      <c r="H3801" s="11"/>
      <c r="I3801" s="12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</row>
    <row r="3802" spans="1:34" ht="14.25" customHeight="1" x14ac:dyDescent="0.25">
      <c r="A3802" s="3"/>
      <c r="B3802" s="3"/>
      <c r="C3802" s="3"/>
      <c r="D3802" s="3"/>
      <c r="E3802" s="3"/>
      <c r="F3802" s="3"/>
      <c r="G3802" s="3"/>
      <c r="H3802" s="11"/>
      <c r="I3802" s="12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</row>
    <row r="3803" spans="1:34" ht="14.25" customHeight="1" x14ac:dyDescent="0.25">
      <c r="A3803" s="3"/>
      <c r="B3803" s="3"/>
      <c r="C3803" s="3"/>
      <c r="D3803" s="3"/>
      <c r="E3803" s="3"/>
      <c r="F3803" s="3"/>
      <c r="G3803" s="3"/>
      <c r="H3803" s="11"/>
      <c r="I3803" s="12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</row>
    <row r="3804" spans="1:34" ht="14.25" customHeight="1" x14ac:dyDescent="0.25">
      <c r="A3804" s="3"/>
      <c r="B3804" s="3"/>
      <c r="C3804" s="3"/>
      <c r="D3804" s="3"/>
      <c r="E3804" s="3"/>
      <c r="F3804" s="3"/>
      <c r="G3804" s="3"/>
      <c r="H3804" s="11"/>
      <c r="I3804" s="12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</row>
    <row r="3805" spans="1:34" ht="14.25" customHeight="1" x14ac:dyDescent="0.25">
      <c r="A3805" s="3"/>
      <c r="B3805" s="3"/>
      <c r="C3805" s="3"/>
      <c r="D3805" s="3"/>
      <c r="E3805" s="3"/>
      <c r="F3805" s="3"/>
      <c r="G3805" s="3"/>
      <c r="H3805" s="11"/>
      <c r="I3805" s="12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</row>
    <row r="3806" spans="1:34" ht="14.25" customHeight="1" x14ac:dyDescent="0.25">
      <c r="A3806" s="3"/>
      <c r="B3806" s="3"/>
      <c r="C3806" s="3"/>
      <c r="D3806" s="3"/>
      <c r="E3806" s="3"/>
      <c r="F3806" s="3"/>
      <c r="G3806" s="3"/>
      <c r="H3806" s="11"/>
      <c r="I3806" s="12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</row>
    <row r="3807" spans="1:34" ht="14.25" customHeight="1" x14ac:dyDescent="0.25">
      <c r="A3807" s="3"/>
      <c r="B3807" s="3"/>
      <c r="C3807" s="3"/>
      <c r="D3807" s="3"/>
      <c r="E3807" s="3"/>
      <c r="F3807" s="3"/>
      <c r="G3807" s="3"/>
      <c r="H3807" s="11"/>
      <c r="I3807" s="12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</row>
    <row r="3808" spans="1:34" ht="14.25" customHeight="1" x14ac:dyDescent="0.25">
      <c r="A3808" s="3"/>
      <c r="B3808" s="3"/>
      <c r="C3808" s="3"/>
      <c r="D3808" s="3"/>
      <c r="E3808" s="3"/>
      <c r="F3808" s="3"/>
      <c r="G3808" s="3"/>
      <c r="H3808" s="11"/>
      <c r="I3808" s="12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</row>
    <row r="3809" spans="1:34" ht="14.25" customHeight="1" x14ac:dyDescent="0.25">
      <c r="A3809" s="3"/>
      <c r="B3809" s="3"/>
      <c r="C3809" s="3"/>
      <c r="D3809" s="3"/>
      <c r="E3809" s="3"/>
      <c r="F3809" s="3"/>
      <c r="G3809" s="3"/>
      <c r="H3809" s="11"/>
      <c r="I3809" s="12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</row>
    <row r="3810" spans="1:34" ht="14.25" customHeight="1" x14ac:dyDescent="0.25">
      <c r="A3810" s="3"/>
      <c r="B3810" s="3"/>
      <c r="C3810" s="3"/>
      <c r="D3810" s="3"/>
      <c r="E3810" s="3"/>
      <c r="F3810" s="3"/>
      <c r="G3810" s="3"/>
      <c r="H3810" s="11"/>
      <c r="I3810" s="12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</row>
    <row r="3811" spans="1:34" ht="14.25" customHeight="1" x14ac:dyDescent="0.25">
      <c r="A3811" s="3"/>
      <c r="B3811" s="3"/>
      <c r="C3811" s="3"/>
      <c r="D3811" s="3"/>
      <c r="E3811" s="3"/>
      <c r="F3811" s="3"/>
      <c r="G3811" s="3"/>
      <c r="H3811" s="11"/>
      <c r="I3811" s="12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</row>
    <row r="3812" spans="1:34" ht="14.25" customHeight="1" x14ac:dyDescent="0.25">
      <c r="A3812" s="3"/>
      <c r="B3812" s="3"/>
      <c r="C3812" s="3"/>
      <c r="D3812" s="3"/>
      <c r="E3812" s="3"/>
      <c r="F3812" s="3"/>
      <c r="G3812" s="3"/>
      <c r="H3812" s="11"/>
      <c r="I3812" s="12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</row>
    <row r="3813" spans="1:34" ht="14.25" customHeight="1" x14ac:dyDescent="0.25">
      <c r="A3813" s="3"/>
      <c r="B3813" s="3"/>
      <c r="C3813" s="3"/>
      <c r="D3813" s="3"/>
      <c r="E3813" s="3"/>
      <c r="F3813" s="3"/>
      <c r="G3813" s="3"/>
      <c r="H3813" s="11"/>
      <c r="I3813" s="12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</row>
    <row r="3814" spans="1:34" ht="14.25" customHeight="1" x14ac:dyDescent="0.25">
      <c r="A3814" s="3"/>
      <c r="B3814" s="3"/>
      <c r="C3814" s="3"/>
      <c r="D3814" s="3"/>
      <c r="E3814" s="3"/>
      <c r="F3814" s="3"/>
      <c r="G3814" s="3"/>
      <c r="H3814" s="11"/>
      <c r="I3814" s="12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</row>
    <row r="3815" spans="1:34" ht="14.25" customHeight="1" x14ac:dyDescent="0.25">
      <c r="A3815" s="3"/>
      <c r="B3815" s="3"/>
      <c r="C3815" s="3"/>
      <c r="D3815" s="3"/>
      <c r="E3815" s="3"/>
      <c r="F3815" s="3"/>
      <c r="G3815" s="3"/>
      <c r="H3815" s="11"/>
      <c r="I3815" s="12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</row>
    <row r="3816" spans="1:34" ht="14.25" customHeight="1" x14ac:dyDescent="0.25">
      <c r="A3816" s="3"/>
      <c r="B3816" s="3"/>
      <c r="C3816" s="3"/>
      <c r="D3816" s="3"/>
      <c r="E3816" s="3"/>
      <c r="F3816" s="3"/>
      <c r="G3816" s="3"/>
      <c r="H3816" s="11"/>
      <c r="I3816" s="12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</row>
    <row r="3817" spans="1:34" ht="14.25" customHeight="1" x14ac:dyDescent="0.25">
      <c r="A3817" s="3"/>
      <c r="B3817" s="3"/>
      <c r="C3817" s="3"/>
      <c r="D3817" s="3"/>
      <c r="E3817" s="3"/>
      <c r="F3817" s="3"/>
      <c r="G3817" s="3"/>
      <c r="H3817" s="11"/>
      <c r="I3817" s="12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</row>
    <row r="3818" spans="1:34" ht="14.25" customHeight="1" x14ac:dyDescent="0.25">
      <c r="A3818" s="3"/>
      <c r="B3818" s="3"/>
      <c r="C3818" s="3"/>
      <c r="D3818" s="3"/>
      <c r="E3818" s="3"/>
      <c r="F3818" s="3"/>
      <c r="G3818" s="3"/>
      <c r="H3818" s="11"/>
      <c r="I3818" s="12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</row>
    <row r="3819" spans="1:34" ht="14.25" customHeight="1" x14ac:dyDescent="0.25">
      <c r="A3819" s="3"/>
      <c r="B3819" s="3"/>
      <c r="C3819" s="3"/>
      <c r="D3819" s="3"/>
      <c r="E3819" s="3"/>
      <c r="F3819" s="3"/>
      <c r="G3819" s="3"/>
      <c r="H3819" s="11"/>
      <c r="I3819" s="12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</row>
    <row r="3820" spans="1:34" ht="14.25" customHeight="1" x14ac:dyDescent="0.25">
      <c r="A3820" s="3"/>
      <c r="B3820" s="3"/>
      <c r="C3820" s="3"/>
      <c r="D3820" s="3"/>
      <c r="E3820" s="3"/>
      <c r="F3820" s="3"/>
      <c r="G3820" s="3"/>
      <c r="H3820" s="11"/>
      <c r="I3820" s="12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</row>
    <row r="3821" spans="1:34" ht="14.25" customHeight="1" x14ac:dyDescent="0.25">
      <c r="A3821" s="3"/>
      <c r="B3821" s="3"/>
      <c r="C3821" s="3"/>
      <c r="D3821" s="3"/>
      <c r="E3821" s="3"/>
      <c r="F3821" s="3"/>
      <c r="G3821" s="3"/>
      <c r="H3821" s="11"/>
      <c r="I3821" s="12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</row>
    <row r="3822" spans="1:34" ht="14.25" customHeight="1" x14ac:dyDescent="0.25">
      <c r="A3822" s="3"/>
      <c r="B3822" s="3"/>
      <c r="C3822" s="3"/>
      <c r="D3822" s="3"/>
      <c r="E3822" s="3"/>
      <c r="F3822" s="3"/>
      <c r="G3822" s="3"/>
      <c r="H3822" s="11"/>
      <c r="I3822" s="12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</row>
    <row r="3823" spans="1:34" ht="14.25" customHeight="1" x14ac:dyDescent="0.25">
      <c r="A3823" s="3"/>
      <c r="B3823" s="3"/>
      <c r="C3823" s="3"/>
      <c r="D3823" s="3"/>
      <c r="E3823" s="3"/>
      <c r="F3823" s="3"/>
      <c r="G3823" s="3"/>
      <c r="H3823" s="11"/>
      <c r="I3823" s="12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</row>
    <row r="3824" spans="1:34" ht="14.25" customHeight="1" x14ac:dyDescent="0.25">
      <c r="A3824" s="3"/>
      <c r="B3824" s="3"/>
      <c r="C3824" s="3"/>
      <c r="D3824" s="3"/>
      <c r="E3824" s="3"/>
      <c r="F3824" s="3"/>
      <c r="G3824" s="3"/>
      <c r="H3824" s="11"/>
      <c r="I3824" s="12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</row>
    <row r="3825" spans="1:34" ht="14.25" customHeight="1" x14ac:dyDescent="0.25">
      <c r="A3825" s="3"/>
      <c r="B3825" s="3"/>
      <c r="C3825" s="3"/>
      <c r="D3825" s="3"/>
      <c r="E3825" s="3"/>
      <c r="F3825" s="3"/>
      <c r="G3825" s="3"/>
      <c r="H3825" s="11"/>
      <c r="I3825" s="12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</row>
    <row r="3826" spans="1:34" ht="14.25" customHeight="1" x14ac:dyDescent="0.25">
      <c r="A3826" s="3"/>
      <c r="B3826" s="3"/>
      <c r="C3826" s="3"/>
      <c r="D3826" s="3"/>
      <c r="E3826" s="3"/>
      <c r="F3826" s="3"/>
      <c r="G3826" s="3"/>
      <c r="H3826" s="11"/>
      <c r="I3826" s="12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</row>
    <row r="3827" spans="1:34" ht="14.25" customHeight="1" x14ac:dyDescent="0.25">
      <c r="A3827" s="3"/>
      <c r="B3827" s="3"/>
      <c r="C3827" s="3"/>
      <c r="D3827" s="3"/>
      <c r="E3827" s="3"/>
      <c r="F3827" s="3"/>
      <c r="G3827" s="3"/>
      <c r="H3827" s="11"/>
      <c r="I3827" s="12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</row>
    <row r="3828" spans="1:34" ht="14.25" customHeight="1" x14ac:dyDescent="0.25">
      <c r="A3828" s="3"/>
      <c r="B3828" s="3"/>
      <c r="C3828" s="3"/>
      <c r="D3828" s="3"/>
      <c r="E3828" s="3"/>
      <c r="F3828" s="3"/>
      <c r="G3828" s="3"/>
      <c r="H3828" s="11"/>
      <c r="I3828" s="12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</row>
    <row r="3829" spans="1:34" ht="14.25" customHeight="1" x14ac:dyDescent="0.25">
      <c r="A3829" s="3"/>
      <c r="B3829" s="3"/>
      <c r="C3829" s="3"/>
      <c r="D3829" s="3"/>
      <c r="E3829" s="3"/>
      <c r="F3829" s="3"/>
      <c r="G3829" s="3"/>
      <c r="H3829" s="11"/>
      <c r="I3829" s="12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</row>
    <row r="3830" spans="1:34" ht="14.25" customHeight="1" x14ac:dyDescent="0.25">
      <c r="A3830" s="3"/>
      <c r="B3830" s="3"/>
      <c r="C3830" s="3"/>
      <c r="D3830" s="3"/>
      <c r="E3830" s="3"/>
      <c r="F3830" s="3"/>
      <c r="G3830" s="3"/>
      <c r="H3830" s="11"/>
      <c r="I3830" s="12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</row>
    <row r="3831" spans="1:34" ht="14.25" customHeight="1" x14ac:dyDescent="0.25">
      <c r="A3831" s="3"/>
      <c r="B3831" s="3"/>
      <c r="C3831" s="3"/>
      <c r="D3831" s="3"/>
      <c r="E3831" s="3"/>
      <c r="F3831" s="3"/>
      <c r="G3831" s="3"/>
      <c r="H3831" s="11"/>
      <c r="I3831" s="12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</row>
    <row r="3832" spans="1:34" ht="14.25" customHeight="1" x14ac:dyDescent="0.25">
      <c r="A3832" s="3"/>
      <c r="B3832" s="3"/>
      <c r="C3832" s="3"/>
      <c r="D3832" s="3"/>
      <c r="E3832" s="3"/>
      <c r="F3832" s="3"/>
      <c r="G3832" s="3"/>
      <c r="H3832" s="11"/>
      <c r="I3832" s="12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</row>
    <row r="3833" spans="1:34" ht="14.25" customHeight="1" x14ac:dyDescent="0.25">
      <c r="A3833" s="3"/>
      <c r="B3833" s="3"/>
      <c r="C3833" s="3"/>
      <c r="D3833" s="3"/>
      <c r="E3833" s="3"/>
      <c r="F3833" s="3"/>
      <c r="G3833" s="3"/>
      <c r="H3833" s="11"/>
      <c r="I3833" s="12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</row>
    <row r="3834" spans="1:34" ht="14.25" customHeight="1" x14ac:dyDescent="0.25">
      <c r="A3834" s="3"/>
      <c r="B3834" s="3"/>
      <c r="C3834" s="3"/>
      <c r="D3834" s="3"/>
      <c r="E3834" s="3"/>
      <c r="F3834" s="3"/>
      <c r="G3834" s="3"/>
      <c r="H3834" s="11"/>
      <c r="I3834" s="12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</row>
    <row r="3835" spans="1:34" ht="14.25" customHeight="1" x14ac:dyDescent="0.25">
      <c r="A3835" s="3"/>
      <c r="B3835" s="3"/>
      <c r="C3835" s="3"/>
      <c r="D3835" s="3"/>
      <c r="E3835" s="3"/>
      <c r="F3835" s="3"/>
      <c r="G3835" s="3"/>
      <c r="H3835" s="11"/>
      <c r="I3835" s="12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</row>
    <row r="3836" spans="1:34" ht="14.25" customHeight="1" x14ac:dyDescent="0.25">
      <c r="A3836" s="3"/>
      <c r="B3836" s="3"/>
      <c r="C3836" s="3"/>
      <c r="D3836" s="3"/>
      <c r="E3836" s="3"/>
      <c r="F3836" s="3"/>
      <c r="G3836" s="3"/>
      <c r="H3836" s="11"/>
      <c r="I3836" s="12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</row>
    <row r="3837" spans="1:34" ht="14.25" customHeight="1" x14ac:dyDescent="0.25">
      <c r="A3837" s="3"/>
      <c r="B3837" s="3"/>
      <c r="C3837" s="3"/>
      <c r="D3837" s="3"/>
      <c r="E3837" s="3"/>
      <c r="F3837" s="3"/>
      <c r="G3837" s="3"/>
      <c r="H3837" s="11"/>
      <c r="I3837" s="12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</row>
    <row r="3838" spans="1:34" ht="14.25" customHeight="1" x14ac:dyDescent="0.25">
      <c r="A3838" s="3"/>
      <c r="B3838" s="3"/>
      <c r="C3838" s="3"/>
      <c r="D3838" s="3"/>
      <c r="E3838" s="3"/>
      <c r="F3838" s="3"/>
      <c r="G3838" s="3"/>
      <c r="H3838" s="11"/>
      <c r="I3838" s="12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</row>
    <row r="3839" spans="1:34" ht="14.25" customHeight="1" x14ac:dyDescent="0.25">
      <c r="A3839" s="3"/>
      <c r="B3839" s="3"/>
      <c r="C3839" s="3"/>
      <c r="D3839" s="3"/>
      <c r="E3839" s="3"/>
      <c r="F3839" s="3"/>
      <c r="G3839" s="3"/>
      <c r="H3839" s="11"/>
      <c r="I3839" s="12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</row>
    <row r="3840" spans="1:34" ht="14.25" customHeight="1" x14ac:dyDescent="0.25">
      <c r="A3840" s="3"/>
      <c r="B3840" s="3"/>
      <c r="C3840" s="3"/>
      <c r="D3840" s="3"/>
      <c r="E3840" s="3"/>
      <c r="F3840" s="3"/>
      <c r="G3840" s="3"/>
      <c r="H3840" s="11"/>
      <c r="I3840" s="12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</row>
    <row r="3841" spans="1:34" ht="14.25" customHeight="1" x14ac:dyDescent="0.25">
      <c r="A3841" s="3"/>
      <c r="B3841" s="3"/>
      <c r="C3841" s="3"/>
      <c r="D3841" s="3"/>
      <c r="E3841" s="3"/>
      <c r="F3841" s="3"/>
      <c r="G3841" s="3"/>
      <c r="H3841" s="11"/>
      <c r="I3841" s="12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</row>
    <row r="3842" spans="1:34" ht="14.25" customHeight="1" x14ac:dyDescent="0.25">
      <c r="A3842" s="3"/>
      <c r="B3842" s="3"/>
      <c r="C3842" s="3"/>
      <c r="D3842" s="3"/>
      <c r="E3842" s="3"/>
      <c r="F3842" s="3"/>
      <c r="G3842" s="3"/>
      <c r="H3842" s="11"/>
      <c r="I3842" s="12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</row>
    <row r="3843" spans="1:34" ht="14.25" customHeight="1" x14ac:dyDescent="0.25">
      <c r="A3843" s="3"/>
      <c r="B3843" s="3"/>
      <c r="C3843" s="3"/>
      <c r="D3843" s="3"/>
      <c r="E3843" s="3"/>
      <c r="F3843" s="3"/>
      <c r="G3843" s="3"/>
      <c r="H3843" s="11"/>
      <c r="I3843" s="12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</row>
    <row r="3844" spans="1:34" ht="14.25" customHeight="1" x14ac:dyDescent="0.25">
      <c r="A3844" s="3"/>
      <c r="B3844" s="3"/>
      <c r="C3844" s="3"/>
      <c r="D3844" s="3"/>
      <c r="E3844" s="3"/>
      <c r="F3844" s="3"/>
      <c r="G3844" s="3"/>
      <c r="H3844" s="11"/>
      <c r="I3844" s="12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</row>
    <row r="3845" spans="1:34" ht="14.25" customHeight="1" x14ac:dyDescent="0.25">
      <c r="A3845" s="3"/>
      <c r="B3845" s="3"/>
      <c r="C3845" s="3"/>
      <c r="D3845" s="3"/>
      <c r="E3845" s="3"/>
      <c r="F3845" s="3"/>
      <c r="G3845" s="3"/>
      <c r="H3845" s="11"/>
      <c r="I3845" s="12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</row>
    <row r="3846" spans="1:34" ht="14.25" customHeight="1" x14ac:dyDescent="0.25">
      <c r="A3846" s="3"/>
      <c r="B3846" s="3"/>
      <c r="C3846" s="3"/>
      <c r="D3846" s="3"/>
      <c r="E3846" s="3"/>
      <c r="F3846" s="3"/>
      <c r="G3846" s="3"/>
      <c r="H3846" s="11"/>
      <c r="I3846" s="12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</row>
    <row r="3847" spans="1:34" ht="14.25" customHeight="1" x14ac:dyDescent="0.25">
      <c r="A3847" s="3"/>
      <c r="B3847" s="3"/>
      <c r="C3847" s="3"/>
      <c r="D3847" s="3"/>
      <c r="E3847" s="3"/>
      <c r="F3847" s="3"/>
      <c r="G3847" s="3"/>
      <c r="H3847" s="11"/>
      <c r="I3847" s="12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</row>
    <row r="3848" spans="1:34" ht="14.25" customHeight="1" x14ac:dyDescent="0.25">
      <c r="A3848" s="3"/>
      <c r="B3848" s="3"/>
      <c r="C3848" s="3"/>
      <c r="D3848" s="3"/>
      <c r="E3848" s="3"/>
      <c r="F3848" s="3"/>
      <c r="G3848" s="3"/>
      <c r="H3848" s="11"/>
      <c r="I3848" s="12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</row>
    <row r="3849" spans="1:34" ht="14.25" customHeight="1" x14ac:dyDescent="0.25">
      <c r="A3849" s="3"/>
      <c r="B3849" s="3"/>
      <c r="C3849" s="3"/>
      <c r="D3849" s="3"/>
      <c r="E3849" s="3"/>
      <c r="F3849" s="3"/>
      <c r="G3849" s="3"/>
      <c r="H3849" s="11"/>
      <c r="I3849" s="12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</row>
    <row r="3850" spans="1:34" ht="14.25" customHeight="1" x14ac:dyDescent="0.25">
      <c r="A3850" s="3"/>
      <c r="B3850" s="3"/>
      <c r="C3850" s="3"/>
      <c r="D3850" s="3"/>
      <c r="E3850" s="3"/>
      <c r="F3850" s="3"/>
      <c r="G3850" s="3"/>
      <c r="H3850" s="11"/>
      <c r="I3850" s="12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</row>
    <row r="3851" spans="1:34" ht="14.25" customHeight="1" x14ac:dyDescent="0.25">
      <c r="A3851" s="3"/>
      <c r="B3851" s="3"/>
      <c r="C3851" s="3"/>
      <c r="D3851" s="3"/>
      <c r="E3851" s="3"/>
      <c r="F3851" s="3"/>
      <c r="G3851" s="3"/>
      <c r="H3851" s="11"/>
      <c r="I3851" s="12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</row>
    <row r="3852" spans="1:34" ht="14.25" customHeight="1" x14ac:dyDescent="0.25">
      <c r="A3852" s="3"/>
      <c r="B3852" s="3"/>
      <c r="C3852" s="3"/>
      <c r="D3852" s="3"/>
      <c r="E3852" s="3"/>
      <c r="F3852" s="3"/>
      <c r="G3852" s="3"/>
      <c r="H3852" s="11"/>
      <c r="I3852" s="12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</row>
    <row r="3853" spans="1:34" ht="14.25" customHeight="1" x14ac:dyDescent="0.25">
      <c r="A3853" s="3"/>
      <c r="B3853" s="3"/>
      <c r="C3853" s="3"/>
      <c r="D3853" s="3"/>
      <c r="E3853" s="3"/>
      <c r="F3853" s="3"/>
      <c r="G3853" s="3"/>
      <c r="H3853" s="11"/>
      <c r="I3853" s="12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</row>
    <row r="3854" spans="1:34" ht="14.25" customHeight="1" x14ac:dyDescent="0.25">
      <c r="A3854" s="3"/>
      <c r="B3854" s="3"/>
      <c r="C3854" s="3"/>
      <c r="D3854" s="3"/>
      <c r="E3854" s="3"/>
      <c r="F3854" s="3"/>
      <c r="G3854" s="3"/>
      <c r="H3854" s="11"/>
      <c r="I3854" s="12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</row>
    <row r="3855" spans="1:34" ht="14.25" customHeight="1" x14ac:dyDescent="0.25">
      <c r="A3855" s="3"/>
      <c r="B3855" s="3"/>
      <c r="C3855" s="3"/>
      <c r="D3855" s="3"/>
      <c r="E3855" s="3"/>
      <c r="F3855" s="3"/>
      <c r="G3855" s="3"/>
      <c r="H3855" s="11"/>
      <c r="I3855" s="12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</row>
    <row r="3856" spans="1:34" ht="14.25" customHeight="1" x14ac:dyDescent="0.25">
      <c r="A3856" s="3"/>
      <c r="B3856" s="3"/>
      <c r="C3856" s="3"/>
      <c r="D3856" s="3"/>
      <c r="E3856" s="3"/>
      <c r="F3856" s="3"/>
      <c r="G3856" s="3"/>
      <c r="H3856" s="11"/>
      <c r="I3856" s="12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</row>
    <row r="3857" spans="1:34" ht="14.25" customHeight="1" x14ac:dyDescent="0.25">
      <c r="A3857" s="5"/>
      <c r="B3857" s="3"/>
      <c r="C3857" s="3"/>
      <c r="D3857" s="3"/>
      <c r="E3857" s="3"/>
      <c r="F3857" s="3"/>
      <c r="G3857" s="3"/>
      <c r="H3857" s="11"/>
      <c r="I3857" s="12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</row>
    <row r="3858" spans="1:34" ht="14.25" customHeight="1" x14ac:dyDescent="0.25">
      <c r="A3858" s="3"/>
      <c r="B3858" s="3"/>
      <c r="C3858" s="3"/>
      <c r="D3858" s="3"/>
      <c r="E3858" s="3"/>
      <c r="F3858" s="3"/>
      <c r="G3858" s="3"/>
      <c r="H3858" s="11"/>
      <c r="I3858" s="12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</row>
    <row r="3859" spans="1:34" ht="14.25" customHeight="1" x14ac:dyDescent="0.25">
      <c r="A3859" s="3"/>
      <c r="B3859" s="3"/>
      <c r="C3859" s="3"/>
      <c r="D3859" s="3"/>
      <c r="E3859" s="3"/>
      <c r="F3859" s="3"/>
      <c r="G3859" s="3"/>
      <c r="H3859" s="11"/>
      <c r="I3859" s="12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</row>
    <row r="3860" spans="1:34" ht="14.25" customHeight="1" x14ac:dyDescent="0.25">
      <c r="A3860" s="3"/>
      <c r="B3860" s="3"/>
      <c r="C3860" s="3"/>
      <c r="D3860" s="3"/>
      <c r="E3860" s="3"/>
      <c r="F3860" s="3"/>
      <c r="G3860" s="3"/>
      <c r="H3860" s="11"/>
      <c r="I3860" s="12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</row>
    <row r="3861" spans="1:34" ht="14.25" customHeight="1" x14ac:dyDescent="0.25">
      <c r="A3861" s="3"/>
      <c r="B3861" s="3"/>
      <c r="C3861" s="3"/>
      <c r="D3861" s="3"/>
      <c r="E3861" s="3"/>
      <c r="F3861" s="3"/>
      <c r="G3861" s="3"/>
      <c r="H3861" s="11"/>
      <c r="I3861" s="12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</row>
    <row r="3862" spans="1:34" ht="14.25" customHeight="1" x14ac:dyDescent="0.25">
      <c r="A3862" s="3"/>
      <c r="B3862" s="3"/>
      <c r="C3862" s="3"/>
      <c r="D3862" s="3"/>
      <c r="E3862" s="3"/>
      <c r="F3862" s="3"/>
      <c r="G3862" s="3"/>
      <c r="H3862" s="11"/>
      <c r="I3862" s="12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</row>
    <row r="3863" spans="1:34" ht="14.25" customHeight="1" x14ac:dyDescent="0.25">
      <c r="A3863" s="3"/>
      <c r="B3863" s="3"/>
      <c r="C3863" s="3"/>
      <c r="D3863" s="3"/>
      <c r="E3863" s="3"/>
      <c r="F3863" s="3"/>
      <c r="G3863" s="3"/>
      <c r="H3863" s="11"/>
      <c r="I3863" s="12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</row>
    <row r="3864" spans="1:34" ht="14.25" customHeight="1" x14ac:dyDescent="0.25">
      <c r="A3864" s="3"/>
      <c r="B3864" s="3"/>
      <c r="C3864" s="3"/>
      <c r="D3864" s="3"/>
      <c r="E3864" s="3"/>
      <c r="F3864" s="3"/>
      <c r="G3864" s="3"/>
      <c r="H3864" s="11"/>
      <c r="I3864" s="12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</row>
    <row r="3865" spans="1:34" ht="14.25" customHeight="1" x14ac:dyDescent="0.25">
      <c r="A3865" s="3"/>
      <c r="B3865" s="3"/>
      <c r="C3865" s="3"/>
      <c r="D3865" s="3"/>
      <c r="E3865" s="3"/>
      <c r="F3865" s="3"/>
      <c r="G3865" s="3"/>
      <c r="H3865" s="11"/>
      <c r="I3865" s="12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</row>
    <row r="3866" spans="1:34" ht="14.25" customHeight="1" x14ac:dyDescent="0.25">
      <c r="A3866" s="3"/>
      <c r="B3866" s="3"/>
      <c r="C3866" s="3"/>
      <c r="D3866" s="3"/>
      <c r="E3866" s="3"/>
      <c r="F3866" s="3"/>
      <c r="G3866" s="3"/>
      <c r="H3866" s="11"/>
      <c r="I3866" s="12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</row>
    <row r="3867" spans="1:34" ht="14.25" customHeight="1" x14ac:dyDescent="0.25">
      <c r="A3867" s="3"/>
      <c r="B3867" s="3"/>
      <c r="C3867" s="3"/>
      <c r="D3867" s="3"/>
      <c r="E3867" s="3"/>
      <c r="F3867" s="3"/>
      <c r="G3867" s="3"/>
      <c r="H3867" s="11"/>
      <c r="I3867" s="12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</row>
    <row r="3868" spans="1:34" ht="14.25" customHeight="1" x14ac:dyDescent="0.25">
      <c r="A3868" s="3"/>
      <c r="B3868" s="3"/>
      <c r="C3868" s="3"/>
      <c r="D3868" s="3"/>
      <c r="E3868" s="3"/>
      <c r="F3868" s="3"/>
      <c r="G3868" s="3"/>
      <c r="H3868" s="11"/>
      <c r="I3868" s="12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</row>
    <row r="3869" spans="1:34" ht="14.25" customHeight="1" x14ac:dyDescent="0.25">
      <c r="A3869" s="3"/>
      <c r="B3869" s="3"/>
      <c r="C3869" s="3"/>
      <c r="D3869" s="3"/>
      <c r="E3869" s="3"/>
      <c r="F3869" s="3"/>
      <c r="G3869" s="3"/>
      <c r="H3869" s="11"/>
      <c r="I3869" s="12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</row>
    <row r="3870" spans="1:34" ht="14.25" customHeight="1" x14ac:dyDescent="0.25">
      <c r="A3870" s="3"/>
      <c r="B3870" s="3"/>
      <c r="C3870" s="3"/>
      <c r="D3870" s="3"/>
      <c r="E3870" s="3"/>
      <c r="F3870" s="3"/>
      <c r="G3870" s="3"/>
      <c r="H3870" s="11"/>
      <c r="I3870" s="12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</row>
    <row r="3871" spans="1:34" ht="14.25" customHeight="1" x14ac:dyDescent="0.25">
      <c r="A3871" s="3"/>
      <c r="B3871" s="3"/>
      <c r="C3871" s="3"/>
      <c r="D3871" s="3"/>
      <c r="E3871" s="3"/>
      <c r="F3871" s="3"/>
      <c r="G3871" s="3"/>
      <c r="H3871" s="11"/>
      <c r="I3871" s="12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</row>
    <row r="3872" spans="1:34" ht="14.25" customHeight="1" x14ac:dyDescent="0.25">
      <c r="A3872" s="3"/>
      <c r="B3872" s="3"/>
      <c r="C3872" s="3"/>
      <c r="D3872" s="3"/>
      <c r="E3872" s="3"/>
      <c r="F3872" s="3"/>
      <c r="G3872" s="3"/>
      <c r="H3872" s="11"/>
      <c r="I3872" s="12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</row>
    <row r="3873" spans="1:34" ht="14.25" customHeight="1" x14ac:dyDescent="0.25">
      <c r="A3873" s="3"/>
      <c r="B3873" s="3"/>
      <c r="C3873" s="3"/>
      <c r="D3873" s="3"/>
      <c r="E3873" s="3"/>
      <c r="F3873" s="3"/>
      <c r="G3873" s="3"/>
      <c r="H3873" s="11"/>
      <c r="I3873" s="12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</row>
    <row r="3874" spans="1:34" ht="14.25" customHeight="1" x14ac:dyDescent="0.25">
      <c r="A3874" s="3"/>
      <c r="B3874" s="3"/>
      <c r="C3874" s="3"/>
      <c r="D3874" s="3"/>
      <c r="E3874" s="3"/>
      <c r="F3874" s="3"/>
      <c r="G3874" s="3"/>
      <c r="H3874" s="11"/>
      <c r="I3874" s="12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</row>
    <row r="3875" spans="1:34" ht="14.25" customHeight="1" x14ac:dyDescent="0.25">
      <c r="A3875" s="3"/>
      <c r="B3875" s="3"/>
      <c r="C3875" s="3"/>
      <c r="D3875" s="3"/>
      <c r="E3875" s="3"/>
      <c r="F3875" s="3"/>
      <c r="G3875" s="3"/>
      <c r="H3875" s="11"/>
      <c r="I3875" s="12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</row>
    <row r="3876" spans="1:34" ht="14.25" customHeight="1" x14ac:dyDescent="0.25">
      <c r="A3876" s="3"/>
      <c r="B3876" s="3"/>
      <c r="C3876" s="3"/>
      <c r="D3876" s="3"/>
      <c r="E3876" s="3"/>
      <c r="F3876" s="3"/>
      <c r="G3876" s="3"/>
      <c r="H3876" s="11"/>
      <c r="I3876" s="12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</row>
    <row r="3877" spans="1:34" ht="14.25" customHeight="1" x14ac:dyDescent="0.25">
      <c r="A3877" s="3"/>
      <c r="B3877" s="3"/>
      <c r="C3877" s="3"/>
      <c r="D3877" s="3"/>
      <c r="E3877" s="3"/>
      <c r="F3877" s="3"/>
      <c r="G3877" s="3"/>
      <c r="H3877" s="11"/>
      <c r="I3877" s="12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</row>
    <row r="3878" spans="1:34" ht="14.25" customHeight="1" x14ac:dyDescent="0.25">
      <c r="A3878" s="3"/>
      <c r="B3878" s="3"/>
      <c r="C3878" s="3"/>
      <c r="D3878" s="3"/>
      <c r="E3878" s="3"/>
      <c r="F3878" s="3"/>
      <c r="G3878" s="3"/>
      <c r="H3878" s="11"/>
      <c r="I3878" s="12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</row>
    <row r="3879" spans="1:34" ht="14.25" customHeight="1" x14ac:dyDescent="0.25">
      <c r="A3879" s="3"/>
      <c r="B3879" s="3"/>
      <c r="C3879" s="3"/>
      <c r="D3879" s="3"/>
      <c r="E3879" s="3"/>
      <c r="F3879" s="3"/>
      <c r="G3879" s="3"/>
      <c r="H3879" s="11"/>
      <c r="I3879" s="12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</row>
    <row r="3880" spans="1:34" ht="14.25" customHeight="1" x14ac:dyDescent="0.25">
      <c r="A3880" s="3"/>
      <c r="B3880" s="3"/>
      <c r="C3880" s="3"/>
      <c r="D3880" s="3"/>
      <c r="E3880" s="3"/>
      <c r="F3880" s="3"/>
      <c r="G3880" s="3"/>
      <c r="H3880" s="11"/>
      <c r="I3880" s="12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</row>
    <row r="3881" spans="1:34" ht="14.25" customHeight="1" x14ac:dyDescent="0.25">
      <c r="A3881" s="3"/>
      <c r="B3881" s="3"/>
      <c r="C3881" s="3"/>
      <c r="D3881" s="3"/>
      <c r="E3881" s="3"/>
      <c r="F3881" s="3"/>
      <c r="G3881" s="3"/>
      <c r="H3881" s="11"/>
      <c r="I3881" s="12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</row>
    <row r="3882" spans="1:34" ht="14.25" customHeight="1" x14ac:dyDescent="0.25">
      <c r="A3882" s="3"/>
      <c r="B3882" s="3"/>
      <c r="C3882" s="3"/>
      <c r="D3882" s="3"/>
      <c r="E3882" s="3"/>
      <c r="F3882" s="3"/>
      <c r="G3882" s="3"/>
      <c r="H3882" s="11"/>
      <c r="I3882" s="12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</row>
    <row r="3883" spans="1:34" ht="14.25" customHeight="1" x14ac:dyDescent="0.25">
      <c r="A3883" s="3"/>
      <c r="B3883" s="3"/>
      <c r="C3883" s="3"/>
      <c r="D3883" s="3"/>
      <c r="E3883" s="3"/>
      <c r="F3883" s="3"/>
      <c r="G3883" s="3"/>
      <c r="H3883" s="11"/>
      <c r="I3883" s="12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</row>
    <row r="3884" spans="1:34" ht="14.25" customHeight="1" x14ac:dyDescent="0.25">
      <c r="A3884" s="3"/>
      <c r="B3884" s="3"/>
      <c r="C3884" s="3"/>
      <c r="D3884" s="3"/>
      <c r="E3884" s="3"/>
      <c r="F3884" s="3"/>
      <c r="G3884" s="3"/>
      <c r="H3884" s="11"/>
      <c r="I3884" s="12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</row>
    <row r="3885" spans="1:34" ht="14.25" customHeight="1" x14ac:dyDescent="0.25">
      <c r="A3885" s="3"/>
      <c r="B3885" s="3"/>
      <c r="C3885" s="3"/>
      <c r="D3885" s="3"/>
      <c r="E3885" s="3"/>
      <c r="F3885" s="3"/>
      <c r="G3885" s="3"/>
      <c r="H3885" s="11"/>
      <c r="I3885" s="12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</row>
    <row r="3886" spans="1:34" ht="14.25" customHeight="1" x14ac:dyDescent="0.25">
      <c r="A3886" s="3"/>
      <c r="B3886" s="3"/>
      <c r="C3886" s="3"/>
      <c r="D3886" s="3"/>
      <c r="E3886" s="3"/>
      <c r="F3886" s="3"/>
      <c r="G3886" s="3"/>
      <c r="H3886" s="11"/>
      <c r="I3886" s="12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</row>
    <row r="3887" spans="1:34" ht="14.25" customHeight="1" x14ac:dyDescent="0.25">
      <c r="A3887" s="3"/>
      <c r="B3887" s="3"/>
      <c r="C3887" s="3"/>
      <c r="D3887" s="3"/>
      <c r="E3887" s="3"/>
      <c r="F3887" s="3"/>
      <c r="G3887" s="3"/>
      <c r="H3887" s="11"/>
      <c r="I3887" s="12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</row>
    <row r="3888" spans="1:34" ht="14.25" customHeight="1" x14ac:dyDescent="0.25">
      <c r="A3888" s="3"/>
      <c r="B3888" s="3"/>
      <c r="C3888" s="3"/>
      <c r="D3888" s="3"/>
      <c r="E3888" s="3"/>
      <c r="F3888" s="3"/>
      <c r="G3888" s="3"/>
      <c r="H3888" s="11"/>
      <c r="I3888" s="12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</row>
    <row r="3889" spans="1:34" ht="14.25" customHeight="1" x14ac:dyDescent="0.25">
      <c r="A3889" s="3"/>
      <c r="B3889" s="3"/>
      <c r="C3889" s="3"/>
      <c r="D3889" s="3"/>
      <c r="E3889" s="3"/>
      <c r="F3889" s="3"/>
      <c r="G3889" s="3"/>
      <c r="H3889" s="11"/>
      <c r="I3889" s="12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</row>
    <row r="3890" spans="1:34" ht="14.25" customHeight="1" x14ac:dyDescent="0.25">
      <c r="A3890" s="3"/>
      <c r="B3890" s="3"/>
      <c r="C3890" s="3"/>
      <c r="D3890" s="3"/>
      <c r="E3890" s="3"/>
      <c r="F3890" s="3"/>
      <c r="G3890" s="3"/>
      <c r="H3890" s="11"/>
      <c r="I3890" s="12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</row>
    <row r="3891" spans="1:34" ht="14.25" customHeight="1" x14ac:dyDescent="0.25">
      <c r="A3891" s="3"/>
      <c r="B3891" s="3"/>
      <c r="C3891" s="3"/>
      <c r="D3891" s="3"/>
      <c r="E3891" s="3"/>
      <c r="F3891" s="3"/>
      <c r="G3891" s="3"/>
      <c r="H3891" s="11"/>
      <c r="I3891" s="12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</row>
    <row r="3892" spans="1:34" ht="14.25" customHeight="1" x14ac:dyDescent="0.25">
      <c r="A3892" s="3"/>
      <c r="B3892" s="3"/>
      <c r="C3892" s="3"/>
      <c r="D3892" s="3"/>
      <c r="E3892" s="3"/>
      <c r="F3892" s="3"/>
      <c r="G3892" s="14"/>
      <c r="H3892" s="11"/>
      <c r="I3892" s="12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</row>
    <row r="3893" spans="1:34" ht="14.25" customHeight="1" x14ac:dyDescent="0.25">
      <c r="A3893" s="3"/>
      <c r="B3893" s="3"/>
      <c r="C3893" s="3"/>
      <c r="D3893" s="3"/>
      <c r="E3893" s="3"/>
      <c r="F3893" s="3"/>
      <c r="G3893" s="3"/>
      <c r="H3893" s="11"/>
      <c r="I3893" s="12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</row>
    <row r="3894" spans="1:34" ht="14.25" customHeight="1" x14ac:dyDescent="0.25">
      <c r="A3894" s="3"/>
      <c r="B3894" s="3"/>
      <c r="C3894" s="3"/>
      <c r="D3894" s="3"/>
      <c r="E3894" s="3"/>
      <c r="F3894" s="3"/>
      <c r="G3894" s="3"/>
      <c r="H3894" s="11"/>
      <c r="I3894" s="12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</row>
    <row r="3895" spans="1:34" ht="14.25" customHeight="1" x14ac:dyDescent="0.25">
      <c r="A3895" s="3"/>
      <c r="B3895" s="3"/>
      <c r="C3895" s="3"/>
      <c r="D3895" s="3"/>
      <c r="E3895" s="3"/>
      <c r="F3895" s="3"/>
      <c r="G3895" s="3"/>
      <c r="H3895" s="11"/>
      <c r="I3895" s="12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</row>
    <row r="3896" spans="1:34" ht="14.25" customHeight="1" x14ac:dyDescent="0.25">
      <c r="A3896" s="3"/>
      <c r="B3896" s="3"/>
      <c r="C3896" s="3"/>
      <c r="D3896" s="3"/>
      <c r="E3896" s="3"/>
      <c r="F3896" s="3"/>
      <c r="G3896" s="3"/>
      <c r="H3896" s="11"/>
      <c r="I3896" s="12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</row>
    <row r="3897" spans="1:34" ht="14.25" customHeight="1" x14ac:dyDescent="0.25">
      <c r="A3897" s="3"/>
      <c r="B3897" s="3"/>
      <c r="C3897" s="3"/>
      <c r="D3897" s="3"/>
      <c r="E3897" s="3"/>
      <c r="F3897" s="3"/>
      <c r="G3897" s="3"/>
      <c r="H3897" s="11"/>
      <c r="I3897" s="12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</row>
    <row r="3898" spans="1:34" ht="14.25" customHeight="1" x14ac:dyDescent="0.25">
      <c r="A3898" s="3"/>
      <c r="B3898" s="3"/>
      <c r="C3898" s="3"/>
      <c r="D3898" s="3"/>
      <c r="E3898" s="3"/>
      <c r="F3898" s="3"/>
      <c r="G3898" s="3"/>
      <c r="H3898" s="11"/>
      <c r="I3898" s="12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</row>
    <row r="3899" spans="1:34" ht="14.25" customHeight="1" x14ac:dyDescent="0.25">
      <c r="A3899" s="3"/>
      <c r="B3899" s="3"/>
      <c r="C3899" s="3"/>
      <c r="D3899" s="3"/>
      <c r="E3899" s="3"/>
      <c r="F3899" s="3"/>
      <c r="G3899" s="3"/>
      <c r="H3899" s="11"/>
      <c r="I3899" s="12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</row>
    <row r="3900" spans="1:34" ht="14.25" customHeight="1" x14ac:dyDescent="0.25">
      <c r="A3900" s="3"/>
      <c r="B3900" s="3"/>
      <c r="C3900" s="3"/>
      <c r="D3900" s="3"/>
      <c r="E3900" s="3"/>
      <c r="F3900" s="3"/>
      <c r="G3900" s="3"/>
      <c r="H3900" s="11"/>
      <c r="I3900" s="12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</row>
    <row r="3901" spans="1:34" ht="14.25" customHeight="1" x14ac:dyDescent="0.25">
      <c r="A3901" s="3"/>
      <c r="B3901" s="3"/>
      <c r="C3901" s="3"/>
      <c r="D3901" s="3"/>
      <c r="E3901" s="3"/>
      <c r="F3901" s="3"/>
      <c r="G3901" s="3"/>
      <c r="H3901" s="11"/>
      <c r="I3901" s="12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</row>
    <row r="3902" spans="1:34" ht="14.25" customHeight="1" x14ac:dyDescent="0.25">
      <c r="A3902" s="3"/>
      <c r="B3902" s="3"/>
      <c r="C3902" s="3"/>
      <c r="D3902" s="3"/>
      <c r="E3902" s="3"/>
      <c r="F3902" s="3"/>
      <c r="G3902" s="3"/>
      <c r="H3902" s="11"/>
      <c r="I3902" s="12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</row>
    <row r="3903" spans="1:34" ht="14.25" customHeight="1" x14ac:dyDescent="0.25">
      <c r="A3903" s="3"/>
      <c r="B3903" s="3"/>
      <c r="C3903" s="3"/>
      <c r="D3903" s="3"/>
      <c r="E3903" s="3"/>
      <c r="F3903" s="3"/>
      <c r="G3903" s="3"/>
      <c r="H3903" s="11"/>
      <c r="I3903" s="12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</row>
    <row r="3904" spans="1:34" ht="14.25" customHeight="1" x14ac:dyDescent="0.25">
      <c r="A3904" s="3"/>
      <c r="B3904" s="3"/>
      <c r="C3904" s="3"/>
      <c r="D3904" s="3"/>
      <c r="E3904" s="3"/>
      <c r="F3904" s="3"/>
      <c r="G3904" s="3"/>
      <c r="H3904" s="11"/>
      <c r="I3904" s="12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</row>
    <row r="3905" spans="1:34" ht="14.25" customHeight="1" x14ac:dyDescent="0.25">
      <c r="A3905" s="3"/>
      <c r="B3905" s="3"/>
      <c r="C3905" s="3"/>
      <c r="D3905" s="3"/>
      <c r="E3905" s="3"/>
      <c r="F3905" s="3"/>
      <c r="G3905" s="3"/>
      <c r="H3905" s="11"/>
      <c r="I3905" s="12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</row>
    <row r="3906" spans="1:34" ht="14.25" customHeight="1" x14ac:dyDescent="0.25">
      <c r="A3906" s="3"/>
      <c r="B3906" s="3"/>
      <c r="C3906" s="3"/>
      <c r="D3906" s="3"/>
      <c r="E3906" s="3"/>
      <c r="F3906" s="3"/>
      <c r="G3906" s="3"/>
      <c r="H3906" s="11"/>
      <c r="I3906" s="12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</row>
    <row r="3907" spans="1:34" ht="14.25" customHeight="1" x14ac:dyDescent="0.25">
      <c r="A3907" s="3"/>
      <c r="B3907" s="3"/>
      <c r="C3907" s="3"/>
      <c r="D3907" s="3"/>
      <c r="E3907" s="3"/>
      <c r="F3907" s="3"/>
      <c r="G3907" s="3"/>
      <c r="H3907" s="11"/>
      <c r="I3907" s="12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</row>
    <row r="3908" spans="1:34" ht="14.25" customHeight="1" x14ac:dyDescent="0.25">
      <c r="A3908" s="3"/>
      <c r="B3908" s="3"/>
      <c r="C3908" s="3"/>
      <c r="D3908" s="3"/>
      <c r="E3908" s="3"/>
      <c r="F3908" s="3"/>
      <c r="G3908" s="3"/>
      <c r="H3908" s="11"/>
      <c r="I3908" s="12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</row>
    <row r="3909" spans="1:34" ht="14.25" customHeight="1" x14ac:dyDescent="0.25">
      <c r="A3909" s="3"/>
      <c r="B3909" s="3"/>
      <c r="C3909" s="3"/>
      <c r="D3909" s="3"/>
      <c r="E3909" s="3"/>
      <c r="F3909" s="3"/>
      <c r="G3909" s="3"/>
      <c r="H3909" s="11"/>
      <c r="I3909" s="12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</row>
    <row r="3910" spans="1:34" ht="14.25" customHeight="1" x14ac:dyDescent="0.25">
      <c r="A3910" s="3"/>
      <c r="B3910" s="3"/>
      <c r="C3910" s="3"/>
      <c r="D3910" s="3"/>
      <c r="E3910" s="3"/>
      <c r="F3910" s="3"/>
      <c r="G3910" s="3"/>
      <c r="H3910" s="11"/>
      <c r="I3910" s="12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</row>
    <row r="3911" spans="1:34" ht="14.25" customHeight="1" x14ac:dyDescent="0.25">
      <c r="A3911" s="3"/>
      <c r="B3911" s="3"/>
      <c r="C3911" s="3"/>
      <c r="D3911" s="3"/>
      <c r="E3911" s="3"/>
      <c r="F3911" s="3"/>
      <c r="G3911" s="3"/>
      <c r="H3911" s="11"/>
      <c r="I3911" s="12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</row>
    <row r="3912" spans="1:34" ht="14.25" customHeight="1" x14ac:dyDescent="0.25">
      <c r="A3912" s="3"/>
      <c r="B3912" s="3"/>
      <c r="C3912" s="3"/>
      <c r="D3912" s="3"/>
      <c r="E3912" s="3"/>
      <c r="F3912" s="3"/>
      <c r="G3912" s="3"/>
      <c r="H3912" s="11"/>
      <c r="I3912" s="12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</row>
    <row r="3913" spans="1:34" ht="14.25" customHeight="1" x14ac:dyDescent="0.25">
      <c r="A3913" s="3"/>
      <c r="B3913" s="3"/>
      <c r="C3913" s="3"/>
      <c r="D3913" s="3"/>
      <c r="E3913" s="3"/>
      <c r="F3913" s="3"/>
      <c r="G3913" s="3"/>
      <c r="H3913" s="11"/>
      <c r="I3913" s="12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</row>
    <row r="3914" spans="1:34" ht="14.25" customHeight="1" x14ac:dyDescent="0.25">
      <c r="A3914" s="3"/>
      <c r="B3914" s="3"/>
      <c r="C3914" s="3"/>
      <c r="D3914" s="3"/>
      <c r="E3914" s="3"/>
      <c r="F3914" s="3"/>
      <c r="G3914" s="3"/>
      <c r="H3914" s="11"/>
      <c r="I3914" s="12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</row>
    <row r="3915" spans="1:34" ht="14.25" customHeight="1" x14ac:dyDescent="0.25">
      <c r="A3915" s="3"/>
      <c r="B3915" s="3"/>
      <c r="C3915" s="3"/>
      <c r="D3915" s="3"/>
      <c r="E3915" s="3"/>
      <c r="F3915" s="3"/>
      <c r="G3915" s="3"/>
      <c r="H3915" s="11"/>
      <c r="I3915" s="12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</row>
    <row r="3916" spans="1:34" ht="14.25" customHeight="1" x14ac:dyDescent="0.25">
      <c r="A3916" s="3"/>
      <c r="B3916" s="3"/>
      <c r="C3916" s="3"/>
      <c r="D3916" s="3"/>
      <c r="E3916" s="3"/>
      <c r="F3916" s="3"/>
      <c r="G3916" s="14"/>
      <c r="H3916" s="11"/>
      <c r="I3916" s="12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</row>
    <row r="3917" spans="1:34" ht="14.25" customHeight="1" x14ac:dyDescent="0.25">
      <c r="A3917" s="3"/>
      <c r="B3917" s="3"/>
      <c r="C3917" s="3"/>
      <c r="D3917" s="3"/>
      <c r="E3917" s="3"/>
      <c r="F3917" s="3"/>
      <c r="G3917" s="3"/>
      <c r="H3917" s="11"/>
      <c r="I3917" s="12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</row>
    <row r="3918" spans="1:34" ht="14.25" customHeight="1" x14ac:dyDescent="0.25">
      <c r="A3918" s="3"/>
      <c r="B3918" s="3"/>
      <c r="C3918" s="3"/>
      <c r="D3918" s="3"/>
      <c r="E3918" s="3"/>
      <c r="F3918" s="3"/>
      <c r="G3918" s="3"/>
      <c r="H3918" s="11"/>
      <c r="I3918" s="12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</row>
    <row r="3919" spans="1:34" ht="14.25" customHeight="1" x14ac:dyDescent="0.25">
      <c r="A3919" s="3"/>
      <c r="B3919" s="3"/>
      <c r="C3919" s="3"/>
      <c r="D3919" s="3"/>
      <c r="E3919" s="3"/>
      <c r="F3919" s="3"/>
      <c r="G3919" s="3"/>
      <c r="H3919" s="11"/>
      <c r="I3919" s="12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</row>
    <row r="3920" spans="1:34" ht="14.25" customHeight="1" x14ac:dyDescent="0.25">
      <c r="A3920" s="3"/>
      <c r="B3920" s="3"/>
      <c r="C3920" s="3"/>
      <c r="D3920" s="3"/>
      <c r="E3920" s="3"/>
      <c r="F3920" s="3"/>
      <c r="G3920" s="3"/>
      <c r="H3920" s="11"/>
      <c r="I3920" s="12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</row>
    <row r="3921" spans="1:34" ht="14.25" customHeight="1" x14ac:dyDescent="0.25">
      <c r="A3921" s="3"/>
      <c r="B3921" s="3"/>
      <c r="C3921" s="3"/>
      <c r="D3921" s="3"/>
      <c r="E3921" s="3"/>
      <c r="F3921" s="3"/>
      <c r="G3921" s="3"/>
      <c r="H3921" s="11"/>
      <c r="I3921" s="12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</row>
    <row r="3922" spans="1:34" ht="14.25" customHeight="1" x14ac:dyDescent="0.25">
      <c r="A3922" s="3"/>
      <c r="B3922" s="3"/>
      <c r="C3922" s="3"/>
      <c r="D3922" s="3"/>
      <c r="E3922" s="3"/>
      <c r="F3922" s="3"/>
      <c r="G3922" s="3"/>
      <c r="H3922" s="11"/>
      <c r="I3922" s="12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</row>
    <row r="3923" spans="1:34" ht="14.25" customHeight="1" x14ac:dyDescent="0.25">
      <c r="A3923" s="3"/>
      <c r="B3923" s="3"/>
      <c r="C3923" s="3"/>
      <c r="D3923" s="3"/>
      <c r="E3923" s="3"/>
      <c r="F3923" s="3"/>
      <c r="G3923" s="3"/>
      <c r="H3923" s="11"/>
      <c r="I3923" s="12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</row>
    <row r="3924" spans="1:34" ht="14.25" customHeight="1" x14ac:dyDescent="0.25">
      <c r="A3924" s="3"/>
      <c r="B3924" s="3"/>
      <c r="C3924" s="3"/>
      <c r="D3924" s="3"/>
      <c r="E3924" s="3"/>
      <c r="F3924" s="3"/>
      <c r="G3924" s="3"/>
      <c r="H3924" s="11"/>
      <c r="I3924" s="12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</row>
    <row r="3925" spans="1:34" ht="14.25" customHeight="1" x14ac:dyDescent="0.25">
      <c r="A3925" s="3"/>
      <c r="B3925" s="3"/>
      <c r="C3925" s="3"/>
      <c r="D3925" s="3"/>
      <c r="E3925" s="3"/>
      <c r="F3925" s="3"/>
      <c r="G3925" s="3"/>
      <c r="H3925" s="11"/>
      <c r="I3925" s="12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</row>
    <row r="3926" spans="1:34" ht="14.25" customHeight="1" x14ac:dyDescent="0.25">
      <c r="A3926" s="3"/>
      <c r="B3926" s="3"/>
      <c r="C3926" s="3"/>
      <c r="D3926" s="3"/>
      <c r="E3926" s="3"/>
      <c r="F3926" s="3"/>
      <c r="G3926" s="3"/>
      <c r="H3926" s="11"/>
      <c r="I3926" s="12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</row>
    <row r="3927" spans="1:34" ht="14.25" customHeight="1" x14ac:dyDescent="0.25">
      <c r="A3927" s="3"/>
      <c r="B3927" s="3"/>
      <c r="C3927" s="3"/>
      <c r="D3927" s="3"/>
      <c r="E3927" s="3"/>
      <c r="F3927" s="3"/>
      <c r="G3927" s="3"/>
      <c r="H3927" s="11"/>
      <c r="I3927" s="12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</row>
    <row r="3928" spans="1:34" ht="14.25" customHeight="1" x14ac:dyDescent="0.25">
      <c r="A3928" s="3"/>
      <c r="B3928" s="3"/>
      <c r="C3928" s="3"/>
      <c r="D3928" s="3"/>
      <c r="E3928" s="3"/>
      <c r="F3928" s="3"/>
      <c r="G3928" s="3"/>
      <c r="H3928" s="11"/>
      <c r="I3928" s="12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</row>
    <row r="3929" spans="1:34" ht="14.25" customHeight="1" x14ac:dyDescent="0.25">
      <c r="A3929" s="3"/>
      <c r="B3929" s="3"/>
      <c r="C3929" s="3"/>
      <c r="D3929" s="3"/>
      <c r="E3929" s="3"/>
      <c r="F3929" s="3"/>
      <c r="G3929" s="3"/>
      <c r="H3929" s="11"/>
      <c r="I3929" s="12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</row>
    <row r="3930" spans="1:34" ht="14.25" customHeight="1" x14ac:dyDescent="0.25">
      <c r="A3930" s="3"/>
      <c r="B3930" s="3"/>
      <c r="C3930" s="3"/>
      <c r="D3930" s="3"/>
      <c r="E3930" s="3"/>
      <c r="F3930" s="3"/>
      <c r="G3930" s="3"/>
      <c r="H3930" s="11"/>
      <c r="I3930" s="12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</row>
    <row r="3931" spans="1:34" ht="14.25" customHeight="1" x14ac:dyDescent="0.25">
      <c r="A3931" s="3"/>
      <c r="B3931" s="3"/>
      <c r="C3931" s="3"/>
      <c r="D3931" s="3"/>
      <c r="E3931" s="3"/>
      <c r="F3931" s="3"/>
      <c r="G3931" s="3"/>
      <c r="H3931" s="11"/>
      <c r="I3931" s="12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</row>
    <row r="3932" spans="1:34" ht="14.25" customHeight="1" x14ac:dyDescent="0.25">
      <c r="A3932" s="3"/>
      <c r="B3932" s="3"/>
      <c r="C3932" s="3"/>
      <c r="D3932" s="3"/>
      <c r="E3932" s="3"/>
      <c r="F3932" s="3"/>
      <c r="G3932" s="3"/>
      <c r="H3932" s="11"/>
      <c r="I3932" s="12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</row>
    <row r="3933" spans="1:34" ht="14.25" customHeight="1" x14ac:dyDescent="0.25">
      <c r="A3933" s="3"/>
      <c r="B3933" s="3"/>
      <c r="C3933" s="3"/>
      <c r="D3933" s="3"/>
      <c r="E3933" s="3"/>
      <c r="F3933" s="3"/>
      <c r="G3933" s="3"/>
      <c r="H3933" s="11"/>
      <c r="I3933" s="12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</row>
    <row r="3934" spans="1:34" ht="14.25" customHeight="1" x14ac:dyDescent="0.25">
      <c r="A3934" s="3"/>
      <c r="B3934" s="3"/>
      <c r="C3934" s="3"/>
      <c r="D3934" s="3"/>
      <c r="E3934" s="3"/>
      <c r="F3934" s="3"/>
      <c r="G3934" s="3"/>
      <c r="H3934" s="11"/>
      <c r="I3934" s="12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</row>
    <row r="3935" spans="1:34" ht="14.25" customHeight="1" x14ac:dyDescent="0.25">
      <c r="A3935" s="3"/>
      <c r="B3935" s="3"/>
      <c r="C3935" s="3"/>
      <c r="D3935" s="3"/>
      <c r="E3935" s="3"/>
      <c r="F3935" s="3"/>
      <c r="G3935" s="3"/>
      <c r="H3935" s="11"/>
      <c r="I3935" s="12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</row>
    <row r="3936" spans="1:34" ht="14.25" customHeight="1" x14ac:dyDescent="0.25">
      <c r="A3936" s="3"/>
      <c r="B3936" s="3"/>
      <c r="C3936" s="3"/>
      <c r="D3936" s="3"/>
      <c r="E3936" s="3"/>
      <c r="F3936" s="3"/>
      <c r="G3936" s="3"/>
      <c r="H3936" s="11"/>
      <c r="I3936" s="12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</row>
    <row r="3937" spans="1:34" ht="14.25" customHeight="1" x14ac:dyDescent="0.25">
      <c r="A3937" s="3"/>
      <c r="B3937" s="3"/>
      <c r="C3937" s="3"/>
      <c r="D3937" s="3"/>
      <c r="E3937" s="3"/>
      <c r="F3937" s="3"/>
      <c r="G3937" s="3"/>
      <c r="H3937" s="11"/>
      <c r="I3937" s="12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</row>
    <row r="3938" spans="1:34" ht="14.25" customHeight="1" x14ac:dyDescent="0.25">
      <c r="A3938" s="3"/>
      <c r="B3938" s="3"/>
      <c r="C3938" s="3"/>
      <c r="D3938" s="3"/>
      <c r="E3938" s="3"/>
      <c r="F3938" s="3"/>
      <c r="G3938" s="3"/>
      <c r="H3938" s="11"/>
      <c r="I3938" s="12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</row>
    <row r="3939" spans="1:34" ht="14.25" customHeight="1" x14ac:dyDescent="0.25">
      <c r="A3939" s="3"/>
      <c r="B3939" s="3"/>
      <c r="C3939" s="3"/>
      <c r="D3939" s="3"/>
      <c r="E3939" s="3"/>
      <c r="F3939" s="3"/>
      <c r="G3939" s="3"/>
      <c r="H3939" s="11"/>
      <c r="I3939" s="12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</row>
    <row r="3940" spans="1:34" ht="14.25" customHeight="1" x14ac:dyDescent="0.25">
      <c r="A3940" s="3"/>
      <c r="B3940" s="3"/>
      <c r="C3940" s="3"/>
      <c r="D3940" s="3"/>
      <c r="E3940" s="3"/>
      <c r="F3940" s="3"/>
      <c r="G3940" s="3"/>
      <c r="H3940" s="11"/>
      <c r="I3940" s="12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</row>
    <row r="3941" spans="1:34" ht="14.25" customHeight="1" x14ac:dyDescent="0.25">
      <c r="A3941" s="3"/>
      <c r="B3941" s="3"/>
      <c r="C3941" s="3"/>
      <c r="D3941" s="3"/>
      <c r="E3941" s="3"/>
      <c r="F3941" s="3"/>
      <c r="G3941" s="3"/>
      <c r="H3941" s="11"/>
      <c r="I3941" s="12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</row>
    <row r="3942" spans="1:34" ht="14.25" customHeight="1" x14ac:dyDescent="0.25">
      <c r="A3942" s="3"/>
      <c r="B3942" s="3"/>
      <c r="C3942" s="3"/>
      <c r="D3942" s="3"/>
      <c r="E3942" s="3"/>
      <c r="F3942" s="3"/>
      <c r="G3942" s="3"/>
      <c r="H3942" s="11"/>
      <c r="I3942" s="12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</row>
    <row r="3943" spans="1:34" ht="14.25" customHeight="1" x14ac:dyDescent="0.25">
      <c r="A3943" s="3"/>
      <c r="B3943" s="3"/>
      <c r="C3943" s="3"/>
      <c r="D3943" s="3"/>
      <c r="E3943" s="3"/>
      <c r="F3943" s="3"/>
      <c r="G3943" s="3"/>
      <c r="H3943" s="11"/>
      <c r="I3943" s="12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</row>
    <row r="3944" spans="1:34" ht="14.25" customHeight="1" x14ac:dyDescent="0.25">
      <c r="A3944" s="3"/>
      <c r="B3944" s="3"/>
      <c r="C3944" s="3"/>
      <c r="D3944" s="3"/>
      <c r="E3944" s="3"/>
      <c r="F3944" s="3"/>
      <c r="G3944" s="3"/>
      <c r="H3944" s="11"/>
      <c r="I3944" s="12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</row>
    <row r="3945" spans="1:34" ht="14.25" customHeight="1" x14ac:dyDescent="0.25">
      <c r="A3945" s="3"/>
      <c r="B3945" s="3"/>
      <c r="C3945" s="3"/>
      <c r="D3945" s="3"/>
      <c r="E3945" s="3"/>
      <c r="F3945" s="3"/>
      <c r="G3945" s="14"/>
      <c r="H3945" s="11"/>
      <c r="I3945" s="12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</row>
    <row r="3946" spans="1:34" ht="14.25" customHeight="1" x14ac:dyDescent="0.25">
      <c r="A3946" s="3"/>
      <c r="B3946" s="3"/>
      <c r="C3946" s="3"/>
      <c r="D3946" s="3"/>
      <c r="E3946" s="3"/>
      <c r="F3946" s="3"/>
      <c r="G3946" s="3"/>
      <c r="H3946" s="11"/>
      <c r="I3946" s="12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</row>
    <row r="3947" spans="1:34" ht="14.25" customHeight="1" x14ac:dyDescent="0.25">
      <c r="A3947" s="3"/>
      <c r="B3947" s="3"/>
      <c r="C3947" s="3"/>
      <c r="D3947" s="3"/>
      <c r="E3947" s="3"/>
      <c r="F3947" s="3"/>
      <c r="G3947" s="3"/>
      <c r="H3947" s="11"/>
      <c r="I3947" s="12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</row>
    <row r="3948" spans="1:34" ht="14.25" customHeight="1" x14ac:dyDescent="0.25">
      <c r="A3948" s="3"/>
      <c r="B3948" s="3"/>
      <c r="C3948" s="3"/>
      <c r="D3948" s="3"/>
      <c r="E3948" s="3"/>
      <c r="F3948" s="3"/>
      <c r="G3948" s="3"/>
      <c r="H3948" s="11"/>
      <c r="I3948" s="12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</row>
    <row r="3949" spans="1:34" ht="14.25" customHeight="1" x14ac:dyDescent="0.25">
      <c r="A3949" s="3"/>
      <c r="B3949" s="3"/>
      <c r="C3949" s="3"/>
      <c r="D3949" s="3"/>
      <c r="E3949" s="3"/>
      <c r="F3949" s="3"/>
      <c r="G3949" s="3"/>
      <c r="H3949" s="11"/>
      <c r="I3949" s="12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</row>
    <row r="3950" spans="1:34" ht="14.25" customHeight="1" x14ac:dyDescent="0.25">
      <c r="A3950" s="3"/>
      <c r="B3950" s="3"/>
      <c r="C3950" s="3"/>
      <c r="D3950" s="3"/>
      <c r="E3950" s="3"/>
      <c r="F3950" s="3"/>
      <c r="G3950" s="3"/>
      <c r="H3950" s="11"/>
      <c r="I3950" s="12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</row>
    <row r="3951" spans="1:34" ht="14.25" customHeight="1" x14ac:dyDescent="0.25">
      <c r="A3951" s="3"/>
      <c r="B3951" s="3"/>
      <c r="C3951" s="3"/>
      <c r="D3951" s="3"/>
      <c r="E3951" s="3"/>
      <c r="F3951" s="3"/>
      <c r="G3951" s="3"/>
      <c r="H3951" s="11"/>
      <c r="I3951" s="12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</row>
    <row r="3952" spans="1:34" ht="14.25" customHeight="1" x14ac:dyDescent="0.25">
      <c r="A3952" s="3"/>
      <c r="B3952" s="3"/>
      <c r="C3952" s="3"/>
      <c r="D3952" s="3"/>
      <c r="E3952" s="3"/>
      <c r="F3952" s="3"/>
      <c r="G3952" s="3"/>
      <c r="H3952" s="11"/>
      <c r="I3952" s="12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</row>
    <row r="3953" spans="1:34" ht="14.25" customHeight="1" x14ac:dyDescent="0.25">
      <c r="A3953" s="3"/>
      <c r="B3953" s="3"/>
      <c r="C3953" s="3"/>
      <c r="D3953" s="3"/>
      <c r="E3953" s="3"/>
      <c r="F3953" s="3"/>
      <c r="G3953" s="3"/>
      <c r="H3953" s="11"/>
      <c r="I3953" s="12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</row>
    <row r="3954" spans="1:34" ht="14.25" customHeight="1" x14ac:dyDescent="0.25">
      <c r="A3954" s="3"/>
      <c r="B3954" s="3"/>
      <c r="C3954" s="3"/>
      <c r="D3954" s="3"/>
      <c r="E3954" s="3"/>
      <c r="F3954" s="3"/>
      <c r="G3954" s="3"/>
      <c r="H3954" s="11"/>
      <c r="I3954" s="12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</row>
    <row r="3955" spans="1:34" ht="14.25" customHeight="1" x14ac:dyDescent="0.25">
      <c r="A3955" s="3"/>
      <c r="B3955" s="3"/>
      <c r="C3955" s="3"/>
      <c r="D3955" s="3"/>
      <c r="E3955" s="3"/>
      <c r="F3955" s="3"/>
      <c r="G3955" s="3"/>
      <c r="H3955" s="11"/>
      <c r="I3955" s="12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</row>
    <row r="3956" spans="1:34" ht="14.25" customHeight="1" x14ac:dyDescent="0.25">
      <c r="A3956" s="3"/>
      <c r="B3956" s="3"/>
      <c r="C3956" s="3"/>
      <c r="D3956" s="3"/>
      <c r="E3956" s="3"/>
      <c r="F3956" s="3"/>
      <c r="G3956" s="3"/>
      <c r="H3956" s="11"/>
      <c r="I3956" s="12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</row>
    <row r="3957" spans="1:34" ht="14.25" customHeight="1" x14ac:dyDescent="0.25">
      <c r="A3957" s="3"/>
      <c r="B3957" s="3"/>
      <c r="C3957" s="3"/>
      <c r="D3957" s="3"/>
      <c r="E3957" s="3"/>
      <c r="F3957" s="3"/>
      <c r="G3957" s="3"/>
      <c r="H3957" s="11"/>
      <c r="I3957" s="12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</row>
    <row r="3958" spans="1:34" ht="14.25" customHeight="1" x14ac:dyDescent="0.25">
      <c r="A3958" s="3"/>
      <c r="B3958" s="3"/>
      <c r="C3958" s="3"/>
      <c r="D3958" s="3"/>
      <c r="E3958" s="3"/>
      <c r="F3958" s="3"/>
      <c r="G3958" s="3"/>
      <c r="H3958" s="11"/>
      <c r="I3958" s="12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</row>
    <row r="3959" spans="1:34" ht="14.25" customHeight="1" x14ac:dyDescent="0.25">
      <c r="A3959" s="3"/>
      <c r="B3959" s="3"/>
      <c r="C3959" s="3"/>
      <c r="D3959" s="3"/>
      <c r="E3959" s="3"/>
      <c r="F3959" s="3"/>
      <c r="G3959" s="3"/>
      <c r="H3959" s="11"/>
      <c r="I3959" s="12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</row>
    <row r="3960" spans="1:34" ht="14.25" customHeight="1" x14ac:dyDescent="0.25">
      <c r="A3960" s="3"/>
      <c r="B3960" s="3"/>
      <c r="C3960" s="3"/>
      <c r="D3960" s="3"/>
      <c r="E3960" s="3"/>
      <c r="F3960" s="3"/>
      <c r="G3960" s="3"/>
      <c r="H3960" s="11"/>
      <c r="I3960" s="12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</row>
    <row r="3961" spans="1:34" ht="14.25" customHeight="1" x14ac:dyDescent="0.25">
      <c r="A3961" s="3"/>
      <c r="B3961" s="3"/>
      <c r="C3961" s="3"/>
      <c r="D3961" s="3"/>
      <c r="E3961" s="3"/>
      <c r="F3961" s="3"/>
      <c r="G3961" s="3"/>
      <c r="H3961" s="11"/>
      <c r="I3961" s="12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</row>
    <row r="3962" spans="1:34" ht="14.25" customHeight="1" x14ac:dyDescent="0.25">
      <c r="A3962" s="3"/>
      <c r="B3962" s="3"/>
      <c r="C3962" s="3"/>
      <c r="D3962" s="3"/>
      <c r="E3962" s="3"/>
      <c r="F3962" s="3"/>
      <c r="G3962" s="3"/>
      <c r="H3962" s="11"/>
      <c r="I3962" s="12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</row>
    <row r="3963" spans="1:34" ht="14.25" customHeight="1" x14ac:dyDescent="0.25">
      <c r="A3963" s="3"/>
      <c r="B3963" s="3"/>
      <c r="C3963" s="3"/>
      <c r="D3963" s="3"/>
      <c r="E3963" s="3"/>
      <c r="F3963" s="3"/>
      <c r="G3963" s="3"/>
      <c r="H3963" s="11"/>
      <c r="I3963" s="12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</row>
    <row r="3964" spans="1:34" ht="14.25" customHeight="1" x14ac:dyDescent="0.25">
      <c r="A3964" s="3"/>
      <c r="B3964" s="3"/>
      <c r="C3964" s="3"/>
      <c r="D3964" s="3"/>
      <c r="E3964" s="3"/>
      <c r="F3964" s="3"/>
      <c r="G3964" s="3"/>
      <c r="H3964" s="11"/>
      <c r="I3964" s="12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</row>
    <row r="3965" spans="1:34" ht="14.25" customHeight="1" x14ac:dyDescent="0.25">
      <c r="A3965" s="3"/>
      <c r="B3965" s="3"/>
      <c r="C3965" s="3"/>
      <c r="D3965" s="3"/>
      <c r="E3965" s="3"/>
      <c r="F3965" s="3"/>
      <c r="G3965" s="14"/>
      <c r="H3965" s="11"/>
      <c r="I3965" s="12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</row>
    <row r="3966" spans="1:34" ht="14.25" customHeight="1" x14ac:dyDescent="0.25">
      <c r="A3966" s="3"/>
      <c r="B3966" s="3"/>
      <c r="C3966" s="3"/>
      <c r="D3966" s="3"/>
      <c r="E3966" s="3"/>
      <c r="F3966" s="3"/>
      <c r="G3966" s="3"/>
      <c r="H3966" s="11"/>
      <c r="I3966" s="12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</row>
    <row r="3967" spans="1:34" ht="14.25" customHeight="1" x14ac:dyDescent="0.25">
      <c r="A3967" s="3"/>
      <c r="B3967" s="3"/>
      <c r="C3967" s="3"/>
      <c r="D3967" s="3"/>
      <c r="E3967" s="3"/>
      <c r="F3967" s="3"/>
      <c r="G3967" s="3"/>
      <c r="H3967" s="11"/>
      <c r="I3967" s="12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</row>
    <row r="3968" spans="1:34" ht="14.25" customHeight="1" x14ac:dyDescent="0.25">
      <c r="A3968" s="3"/>
      <c r="B3968" s="3"/>
      <c r="C3968" s="3"/>
      <c r="D3968" s="3"/>
      <c r="E3968" s="3"/>
      <c r="F3968" s="3"/>
      <c r="G3968" s="3"/>
      <c r="H3968" s="11"/>
      <c r="I3968" s="12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</row>
    <row r="3969" spans="1:34" ht="14.25" customHeight="1" x14ac:dyDescent="0.25">
      <c r="A3969" s="3"/>
      <c r="B3969" s="3"/>
      <c r="C3969" s="3"/>
      <c r="D3969" s="3"/>
      <c r="E3969" s="3"/>
      <c r="F3969" s="3"/>
      <c r="G3969" s="3"/>
      <c r="H3969" s="11"/>
      <c r="I3969" s="12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</row>
    <row r="3970" spans="1:34" ht="14.25" customHeight="1" x14ac:dyDescent="0.25">
      <c r="A3970" s="3"/>
      <c r="B3970" s="3"/>
      <c r="C3970" s="3"/>
      <c r="D3970" s="3"/>
      <c r="E3970" s="3"/>
      <c r="F3970" s="3"/>
      <c r="G3970" s="3"/>
      <c r="H3970" s="11"/>
      <c r="I3970" s="12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</row>
    <row r="3971" spans="1:34" ht="14.25" customHeight="1" x14ac:dyDescent="0.25">
      <c r="A3971" s="3"/>
      <c r="B3971" s="3"/>
      <c r="C3971" s="3"/>
      <c r="D3971" s="3"/>
      <c r="E3971" s="3"/>
      <c r="F3971" s="3"/>
      <c r="G3971" s="3"/>
      <c r="H3971" s="11"/>
      <c r="I3971" s="12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</row>
    <row r="3972" spans="1:34" ht="14.25" customHeight="1" x14ac:dyDescent="0.25">
      <c r="A3972" s="3"/>
      <c r="B3972" s="3"/>
      <c r="C3972" s="3"/>
      <c r="D3972" s="3"/>
      <c r="E3972" s="3"/>
      <c r="F3972" s="3"/>
      <c r="G3972" s="3"/>
      <c r="H3972" s="11"/>
      <c r="I3972" s="12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</row>
    <row r="3973" spans="1:34" ht="14.25" customHeight="1" x14ac:dyDescent="0.25">
      <c r="A3973" s="3"/>
      <c r="B3973" s="3"/>
      <c r="C3973" s="3"/>
      <c r="D3973" s="3"/>
      <c r="E3973" s="3"/>
      <c r="F3973" s="3"/>
      <c r="G3973" s="3"/>
      <c r="H3973" s="11"/>
      <c r="I3973" s="12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</row>
    <row r="3974" spans="1:34" ht="14.25" customHeight="1" x14ac:dyDescent="0.25">
      <c r="A3974" s="3"/>
      <c r="B3974" s="3"/>
      <c r="C3974" s="3"/>
      <c r="D3974" s="3"/>
      <c r="E3974" s="3"/>
      <c r="F3974" s="3"/>
      <c r="G3974" s="3"/>
      <c r="H3974" s="11"/>
      <c r="I3974" s="12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</row>
    <row r="3975" spans="1:34" ht="14.25" customHeight="1" x14ac:dyDescent="0.25">
      <c r="A3975" s="3"/>
      <c r="B3975" s="3"/>
      <c r="C3975" s="3"/>
      <c r="D3975" s="3"/>
      <c r="E3975" s="3"/>
      <c r="F3975" s="3"/>
      <c r="G3975" s="3"/>
      <c r="H3975" s="11"/>
      <c r="I3975" s="12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</row>
    <row r="3976" spans="1:34" ht="14.25" customHeight="1" x14ac:dyDescent="0.25">
      <c r="A3976" s="3"/>
      <c r="B3976" s="3"/>
      <c r="C3976" s="3"/>
      <c r="D3976" s="3"/>
      <c r="E3976" s="3"/>
      <c r="F3976" s="3"/>
      <c r="G3976" s="3"/>
      <c r="H3976" s="11"/>
      <c r="I3976" s="12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</row>
    <row r="3977" spans="1:34" ht="14.25" customHeight="1" x14ac:dyDescent="0.25">
      <c r="A3977" s="3"/>
      <c r="B3977" s="3"/>
      <c r="C3977" s="3"/>
      <c r="D3977" s="3"/>
      <c r="E3977" s="3"/>
      <c r="F3977" s="3"/>
      <c r="G3977" s="3"/>
      <c r="H3977" s="11"/>
      <c r="I3977" s="12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</row>
    <row r="3978" spans="1:34" ht="14.25" customHeight="1" x14ac:dyDescent="0.25">
      <c r="A3978" s="3"/>
      <c r="B3978" s="3"/>
      <c r="C3978" s="3"/>
      <c r="D3978" s="3"/>
      <c r="E3978" s="3"/>
      <c r="F3978" s="3"/>
      <c r="G3978" s="3"/>
      <c r="H3978" s="11"/>
      <c r="I3978" s="12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</row>
    <row r="3979" spans="1:34" ht="14.25" customHeight="1" x14ac:dyDescent="0.25">
      <c r="A3979" s="3"/>
      <c r="B3979" s="3"/>
      <c r="C3979" s="3"/>
      <c r="D3979" s="3"/>
      <c r="E3979" s="3"/>
      <c r="F3979" s="3"/>
      <c r="G3979" s="3"/>
      <c r="H3979" s="11"/>
      <c r="I3979" s="12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</row>
    <row r="3980" spans="1:34" ht="14.25" customHeight="1" x14ac:dyDescent="0.25">
      <c r="A3980" s="3"/>
      <c r="B3980" s="3"/>
      <c r="C3980" s="3"/>
      <c r="D3980" s="3"/>
      <c r="E3980" s="3"/>
      <c r="F3980" s="3"/>
      <c r="G3980" s="3"/>
      <c r="H3980" s="11"/>
      <c r="I3980" s="12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</row>
    <row r="3981" spans="1:34" ht="14.25" customHeight="1" x14ac:dyDescent="0.25">
      <c r="A3981" s="3"/>
      <c r="B3981" s="3"/>
      <c r="C3981" s="3"/>
      <c r="D3981" s="3"/>
      <c r="E3981" s="3"/>
      <c r="F3981" s="3"/>
      <c r="G3981" s="3"/>
      <c r="H3981" s="11"/>
      <c r="I3981" s="12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</row>
    <row r="3982" spans="1:34" ht="14.25" customHeight="1" x14ac:dyDescent="0.25">
      <c r="A3982" s="3"/>
      <c r="B3982" s="3"/>
      <c r="C3982" s="3"/>
      <c r="D3982" s="3"/>
      <c r="E3982" s="3"/>
      <c r="F3982" s="3"/>
      <c r="G3982" s="3"/>
      <c r="H3982" s="11"/>
      <c r="I3982" s="12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</row>
    <row r="3983" spans="1:34" ht="14.25" customHeight="1" x14ac:dyDescent="0.25">
      <c r="A3983" s="3"/>
      <c r="B3983" s="3"/>
      <c r="C3983" s="3"/>
      <c r="D3983" s="3"/>
      <c r="E3983" s="3"/>
      <c r="F3983" s="3"/>
      <c r="G3983" s="3"/>
      <c r="H3983" s="11"/>
      <c r="I3983" s="12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</row>
    <row r="3984" spans="1:34" ht="14.25" customHeight="1" x14ac:dyDescent="0.25">
      <c r="A3984" s="3"/>
      <c r="B3984" s="3"/>
      <c r="C3984" s="3"/>
      <c r="D3984" s="3"/>
      <c r="E3984" s="3"/>
      <c r="F3984" s="3"/>
      <c r="G3984" s="3"/>
      <c r="H3984" s="11"/>
      <c r="I3984" s="12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</row>
    <row r="3985" spans="1:34" ht="14.25" customHeight="1" x14ac:dyDescent="0.25">
      <c r="A3985" s="3"/>
      <c r="B3985" s="3"/>
      <c r="C3985" s="3"/>
      <c r="D3985" s="3"/>
      <c r="E3985" s="3"/>
      <c r="F3985" s="3"/>
      <c r="G3985" s="3"/>
      <c r="H3985" s="11"/>
      <c r="I3985" s="12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</row>
    <row r="3986" spans="1:34" ht="14.25" customHeight="1" x14ac:dyDescent="0.25">
      <c r="A3986" s="3"/>
      <c r="B3986" s="3"/>
      <c r="C3986" s="3"/>
      <c r="D3986" s="3"/>
      <c r="E3986" s="3"/>
      <c r="F3986" s="3"/>
      <c r="G3986" s="3"/>
      <c r="H3986" s="11"/>
      <c r="I3986" s="12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</row>
    <row r="3987" spans="1:34" ht="14.25" customHeight="1" x14ac:dyDescent="0.25">
      <c r="A3987" s="3"/>
      <c r="B3987" s="3"/>
      <c r="C3987" s="3"/>
      <c r="D3987" s="3"/>
      <c r="E3987" s="3"/>
      <c r="F3987" s="3"/>
      <c r="G3987" s="3"/>
      <c r="H3987" s="11"/>
      <c r="I3987" s="12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</row>
    <row r="3988" spans="1:34" ht="14.25" customHeight="1" x14ac:dyDescent="0.25">
      <c r="A3988" s="3"/>
      <c r="B3988" s="3"/>
      <c r="C3988" s="3"/>
      <c r="D3988" s="3"/>
      <c r="E3988" s="3"/>
      <c r="F3988" s="3"/>
      <c r="G3988" s="3"/>
      <c r="H3988" s="11"/>
      <c r="I3988" s="12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</row>
    <row r="3989" spans="1:34" ht="14.25" customHeight="1" x14ac:dyDescent="0.25">
      <c r="A3989" s="3"/>
      <c r="B3989" s="3"/>
      <c r="C3989" s="3"/>
      <c r="D3989" s="3"/>
      <c r="E3989" s="3"/>
      <c r="F3989" s="3"/>
      <c r="G3989" s="3"/>
      <c r="H3989" s="11"/>
      <c r="I3989" s="12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</row>
    <row r="3990" spans="1:34" ht="14.25" customHeight="1" x14ac:dyDescent="0.25">
      <c r="A3990" s="3"/>
      <c r="B3990" s="3"/>
      <c r="C3990" s="3"/>
      <c r="D3990" s="3"/>
      <c r="E3990" s="3"/>
      <c r="F3990" s="3"/>
      <c r="G3990" s="3"/>
      <c r="H3990" s="11"/>
      <c r="I3990" s="12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</row>
    <row r="3991" spans="1:34" ht="14.25" customHeight="1" x14ac:dyDescent="0.25">
      <c r="A3991" s="3"/>
      <c r="B3991" s="3"/>
      <c r="C3991" s="3"/>
      <c r="D3991" s="3"/>
      <c r="E3991" s="3"/>
      <c r="F3991" s="3"/>
      <c r="G3991" s="3"/>
      <c r="H3991" s="11"/>
      <c r="I3991" s="12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</row>
    <row r="3992" spans="1:34" ht="14.25" customHeight="1" x14ac:dyDescent="0.25">
      <c r="A3992" s="3"/>
      <c r="B3992" s="3"/>
      <c r="C3992" s="3"/>
      <c r="D3992" s="3"/>
      <c r="E3992" s="3"/>
      <c r="F3992" s="3"/>
      <c r="G3992" s="3"/>
      <c r="H3992" s="11"/>
      <c r="I3992" s="12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</row>
    <row r="3993" spans="1:34" ht="14.25" customHeight="1" x14ac:dyDescent="0.25">
      <c r="A3993" s="3"/>
      <c r="B3993" s="3"/>
      <c r="C3993" s="3"/>
      <c r="D3993" s="3"/>
      <c r="E3993" s="3"/>
      <c r="F3993" s="3"/>
      <c r="G3993" s="3"/>
      <c r="H3993" s="11"/>
      <c r="I3993" s="12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</row>
    <row r="3994" spans="1:34" ht="14.25" customHeight="1" x14ac:dyDescent="0.25">
      <c r="A3994" s="3"/>
      <c r="B3994" s="3"/>
      <c r="C3994" s="3"/>
      <c r="D3994" s="3"/>
      <c r="E3994" s="3"/>
      <c r="F3994" s="3"/>
      <c r="G3994" s="3"/>
      <c r="H3994" s="11"/>
      <c r="I3994" s="12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</row>
    <row r="3995" spans="1:34" ht="14.25" customHeight="1" x14ac:dyDescent="0.25">
      <c r="A3995" s="3"/>
      <c r="B3995" s="3"/>
      <c r="C3995" s="3"/>
      <c r="D3995" s="3"/>
      <c r="E3995" s="3"/>
      <c r="F3995" s="3"/>
      <c r="G3995" s="3"/>
      <c r="H3995" s="11"/>
      <c r="I3995" s="12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</row>
    <row r="3996" spans="1:34" ht="14.25" customHeight="1" x14ac:dyDescent="0.25">
      <c r="A3996" s="3"/>
      <c r="B3996" s="3"/>
      <c r="C3996" s="3"/>
      <c r="D3996" s="3"/>
      <c r="E3996" s="3"/>
      <c r="F3996" s="3"/>
      <c r="G3996" s="3"/>
      <c r="H3996" s="11"/>
      <c r="I3996" s="12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</row>
    <row r="3997" spans="1:34" ht="14.25" customHeight="1" x14ac:dyDescent="0.25">
      <c r="A3997" s="3"/>
      <c r="B3997" s="3"/>
      <c r="C3997" s="3"/>
      <c r="D3997" s="3"/>
      <c r="E3997" s="3"/>
      <c r="F3997" s="3"/>
      <c r="G3997" s="3"/>
      <c r="H3997" s="11"/>
      <c r="I3997" s="12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</row>
    <row r="3998" spans="1:34" ht="14.25" customHeight="1" x14ac:dyDescent="0.25">
      <c r="A3998" s="3"/>
      <c r="B3998" s="3"/>
      <c r="C3998" s="3"/>
      <c r="D3998" s="3"/>
      <c r="E3998" s="3"/>
      <c r="F3998" s="3"/>
      <c r="G3998" s="3"/>
      <c r="H3998" s="11"/>
      <c r="I3998" s="12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</row>
    <row r="3999" spans="1:34" ht="14.25" customHeight="1" x14ac:dyDescent="0.25">
      <c r="A3999" s="3"/>
      <c r="B3999" s="3"/>
      <c r="C3999" s="3"/>
      <c r="D3999" s="3"/>
      <c r="E3999" s="3"/>
      <c r="F3999" s="3"/>
      <c r="G3999" s="3"/>
      <c r="H3999" s="11"/>
      <c r="I3999" s="12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</row>
    <row r="4000" spans="1:34" ht="14.25" customHeight="1" x14ac:dyDescent="0.25">
      <c r="A4000" s="3"/>
      <c r="B4000" s="3"/>
      <c r="C4000" s="3"/>
      <c r="D4000" s="3"/>
      <c r="E4000" s="3"/>
      <c r="F4000" s="3"/>
      <c r="G4000" s="3"/>
      <c r="H4000" s="11"/>
      <c r="I4000" s="12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</row>
    <row r="4001" spans="1:34" ht="14.25" customHeight="1" x14ac:dyDescent="0.25">
      <c r="A4001" s="3"/>
      <c r="B4001" s="3"/>
      <c r="C4001" s="3"/>
      <c r="D4001" s="3"/>
      <c r="E4001" s="3"/>
      <c r="F4001" s="3"/>
      <c r="G4001" s="3"/>
      <c r="H4001" s="11"/>
      <c r="I4001" s="12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</row>
    <row r="4002" spans="1:34" ht="14.25" customHeight="1" x14ac:dyDescent="0.25">
      <c r="A4002" s="3"/>
      <c r="B4002" s="3"/>
      <c r="C4002" s="3"/>
      <c r="D4002" s="3"/>
      <c r="E4002" s="3"/>
      <c r="F4002" s="3"/>
      <c r="G4002" s="3"/>
      <c r="H4002" s="11"/>
      <c r="I4002" s="12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</row>
    <row r="4003" spans="1:34" ht="14.25" customHeight="1" x14ac:dyDescent="0.25">
      <c r="A4003" s="3"/>
      <c r="B4003" s="3"/>
      <c r="C4003" s="3"/>
      <c r="D4003" s="3"/>
      <c r="E4003" s="3"/>
      <c r="F4003" s="3"/>
      <c r="G4003" s="3"/>
      <c r="H4003" s="11"/>
      <c r="I4003" s="12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</row>
    <row r="4004" spans="1:34" ht="14.25" customHeight="1" x14ac:dyDescent="0.25">
      <c r="A4004" s="3"/>
      <c r="B4004" s="3"/>
      <c r="C4004" s="3"/>
      <c r="D4004" s="3"/>
      <c r="E4004" s="3"/>
      <c r="F4004" s="3"/>
      <c r="G4004" s="3"/>
      <c r="H4004" s="11"/>
      <c r="I4004" s="12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</row>
    <row r="4005" spans="1:34" ht="14.25" customHeight="1" x14ac:dyDescent="0.25">
      <c r="A4005" s="3"/>
      <c r="B4005" s="3"/>
      <c r="C4005" s="3"/>
      <c r="D4005" s="3"/>
      <c r="E4005" s="3"/>
      <c r="F4005" s="3"/>
      <c r="G4005" s="3"/>
      <c r="H4005" s="11"/>
      <c r="I4005" s="12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</row>
    <row r="4006" spans="1:34" ht="14.25" customHeight="1" x14ac:dyDescent="0.25">
      <c r="A4006" s="3"/>
      <c r="B4006" s="3"/>
      <c r="C4006" s="3"/>
      <c r="D4006" s="3"/>
      <c r="E4006" s="3"/>
      <c r="F4006" s="3"/>
      <c r="G4006" s="3"/>
      <c r="H4006" s="11"/>
      <c r="I4006" s="12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</row>
    <row r="4007" spans="1:34" ht="14.25" customHeight="1" x14ac:dyDescent="0.25">
      <c r="A4007" s="3"/>
      <c r="B4007" s="3"/>
      <c r="C4007" s="3"/>
      <c r="D4007" s="3"/>
      <c r="E4007" s="3"/>
      <c r="F4007" s="3"/>
      <c r="G4007" s="3"/>
      <c r="H4007" s="11"/>
      <c r="I4007" s="12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</row>
    <row r="4008" spans="1:34" ht="14.25" customHeight="1" x14ac:dyDescent="0.25">
      <c r="A4008" s="3"/>
      <c r="B4008" s="3"/>
      <c r="C4008" s="3"/>
      <c r="D4008" s="3"/>
      <c r="E4008" s="3"/>
      <c r="F4008" s="3"/>
      <c r="G4008" s="3"/>
      <c r="H4008" s="11"/>
      <c r="I4008" s="12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</row>
    <row r="4009" spans="1:34" ht="14.25" customHeight="1" x14ac:dyDescent="0.25">
      <c r="A4009" s="3"/>
      <c r="B4009" s="3"/>
      <c r="C4009" s="3"/>
      <c r="D4009" s="3"/>
      <c r="E4009" s="3"/>
      <c r="F4009" s="3"/>
      <c r="G4009" s="3"/>
      <c r="H4009" s="11"/>
      <c r="I4009" s="12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</row>
    <row r="4010" spans="1:34" ht="14.25" customHeight="1" x14ac:dyDescent="0.25">
      <c r="A4010" s="3"/>
      <c r="B4010" s="3"/>
      <c r="C4010" s="3"/>
      <c r="D4010" s="3"/>
      <c r="E4010" s="3"/>
      <c r="F4010" s="3"/>
      <c r="G4010" s="3"/>
      <c r="H4010" s="11"/>
      <c r="I4010" s="12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</row>
    <row r="4011" spans="1:34" ht="14.25" customHeight="1" x14ac:dyDescent="0.25">
      <c r="A4011" s="3"/>
      <c r="B4011" s="3"/>
      <c r="C4011" s="3"/>
      <c r="D4011" s="3"/>
      <c r="E4011" s="3"/>
      <c r="F4011" s="3"/>
      <c r="G4011" s="3"/>
      <c r="H4011" s="11"/>
      <c r="I4011" s="12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</row>
    <row r="4012" spans="1:34" ht="14.25" customHeight="1" x14ac:dyDescent="0.25">
      <c r="A4012" s="3"/>
      <c r="B4012" s="3"/>
      <c r="C4012" s="3"/>
      <c r="D4012" s="3"/>
      <c r="E4012" s="3"/>
      <c r="F4012" s="3"/>
      <c r="G4012" s="3"/>
      <c r="H4012" s="11"/>
      <c r="I4012" s="12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</row>
    <row r="4013" spans="1:34" ht="14.25" customHeight="1" x14ac:dyDescent="0.25">
      <c r="A4013" s="3"/>
      <c r="B4013" s="3"/>
      <c r="C4013" s="3"/>
      <c r="D4013" s="3"/>
      <c r="E4013" s="3"/>
      <c r="F4013" s="3"/>
      <c r="G4013" s="3"/>
      <c r="H4013" s="11"/>
      <c r="I4013" s="12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</row>
    <row r="4014" spans="1:34" ht="14.25" customHeight="1" x14ac:dyDescent="0.25">
      <c r="A4014" s="3"/>
      <c r="B4014" s="3"/>
      <c r="C4014" s="3"/>
      <c r="D4014" s="3"/>
      <c r="E4014" s="3"/>
      <c r="F4014" s="3"/>
      <c r="G4014" s="3"/>
      <c r="H4014" s="11"/>
      <c r="I4014" s="12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</row>
    <row r="4015" spans="1:34" ht="14.25" customHeight="1" x14ac:dyDescent="0.25">
      <c r="A4015" s="3"/>
      <c r="B4015" s="3"/>
      <c r="C4015" s="3"/>
      <c r="D4015" s="3"/>
      <c r="E4015" s="3"/>
      <c r="F4015" s="3"/>
      <c r="G4015" s="3"/>
      <c r="H4015" s="11"/>
      <c r="I4015" s="12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</row>
    <row r="4016" spans="1:34" ht="14.25" customHeight="1" x14ac:dyDescent="0.25">
      <c r="A4016" s="3"/>
      <c r="B4016" s="3"/>
      <c r="C4016" s="3"/>
      <c r="D4016" s="3"/>
      <c r="E4016" s="3"/>
      <c r="F4016" s="3"/>
      <c r="G4016" s="3"/>
      <c r="H4016" s="11"/>
      <c r="I4016" s="12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</row>
    <row r="4017" spans="1:34" ht="14.25" customHeight="1" x14ac:dyDescent="0.25">
      <c r="A4017" s="3"/>
      <c r="B4017" s="3"/>
      <c r="C4017" s="3"/>
      <c r="D4017" s="3"/>
      <c r="E4017" s="3"/>
      <c r="F4017" s="3"/>
      <c r="G4017" s="3"/>
      <c r="H4017" s="11"/>
      <c r="I4017" s="12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</row>
    <row r="4018" spans="1:34" ht="14.25" customHeight="1" x14ac:dyDescent="0.25">
      <c r="A4018" s="3"/>
      <c r="B4018" s="3"/>
      <c r="C4018" s="3"/>
      <c r="D4018" s="3"/>
      <c r="E4018" s="3"/>
      <c r="F4018" s="3"/>
      <c r="G4018" s="3"/>
      <c r="H4018" s="11"/>
      <c r="I4018" s="12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</row>
    <row r="4019" spans="1:34" ht="14.25" customHeight="1" x14ac:dyDescent="0.25">
      <c r="A4019" s="3"/>
      <c r="B4019" s="3"/>
      <c r="C4019" s="3"/>
      <c r="D4019" s="3"/>
      <c r="E4019" s="3"/>
      <c r="F4019" s="3"/>
      <c r="G4019" s="3"/>
      <c r="H4019" s="11"/>
      <c r="I4019" s="12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</row>
    <row r="4020" spans="1:34" ht="14.25" customHeight="1" x14ac:dyDescent="0.25">
      <c r="A4020" s="3"/>
      <c r="B4020" s="3"/>
      <c r="C4020" s="3"/>
      <c r="D4020" s="3"/>
      <c r="E4020" s="3"/>
      <c r="F4020" s="3"/>
      <c r="G4020" s="3"/>
      <c r="H4020" s="11"/>
      <c r="I4020" s="12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</row>
    <row r="4021" spans="1:34" ht="14.25" customHeight="1" x14ac:dyDescent="0.25">
      <c r="A4021" s="3"/>
      <c r="B4021" s="3"/>
      <c r="C4021" s="3"/>
      <c r="D4021" s="3"/>
      <c r="E4021" s="3"/>
      <c r="F4021" s="3"/>
      <c r="G4021" s="3"/>
      <c r="H4021" s="11"/>
      <c r="I4021" s="12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</row>
    <row r="4022" spans="1:34" ht="14.25" customHeight="1" x14ac:dyDescent="0.25">
      <c r="A4022" s="3"/>
      <c r="B4022" s="3"/>
      <c r="C4022" s="3"/>
      <c r="D4022" s="3"/>
      <c r="E4022" s="3"/>
      <c r="F4022" s="3"/>
      <c r="G4022" s="3"/>
      <c r="H4022" s="11"/>
      <c r="I4022" s="12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</row>
    <row r="4023" spans="1:34" ht="14.25" customHeight="1" x14ac:dyDescent="0.25">
      <c r="A4023" s="3"/>
      <c r="B4023" s="3"/>
      <c r="C4023" s="3"/>
      <c r="D4023" s="3"/>
      <c r="E4023" s="3"/>
      <c r="F4023" s="3"/>
      <c r="G4023" s="3"/>
      <c r="H4023" s="11"/>
      <c r="I4023" s="12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</row>
    <row r="4024" spans="1:34" ht="14.25" customHeight="1" x14ac:dyDescent="0.25">
      <c r="A4024" s="3"/>
      <c r="B4024" s="3"/>
      <c r="C4024" s="3"/>
      <c r="D4024" s="3"/>
      <c r="E4024" s="3"/>
      <c r="F4024" s="3"/>
      <c r="G4024" s="3"/>
      <c r="H4024" s="11"/>
      <c r="I4024" s="12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</row>
    <row r="4025" spans="1:34" ht="14.25" customHeight="1" x14ac:dyDescent="0.25">
      <c r="A4025" s="3"/>
      <c r="B4025" s="3"/>
      <c r="C4025" s="3"/>
      <c r="D4025" s="3"/>
      <c r="E4025" s="3"/>
      <c r="F4025" s="3"/>
      <c r="G4025" s="3"/>
      <c r="H4025" s="11"/>
      <c r="I4025" s="12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</row>
    <row r="4026" spans="1:34" ht="14.25" customHeight="1" x14ac:dyDescent="0.25">
      <c r="A4026" s="3"/>
      <c r="B4026" s="3"/>
      <c r="C4026" s="3"/>
      <c r="D4026" s="3"/>
      <c r="E4026" s="3"/>
      <c r="F4026" s="3"/>
      <c r="G4026" s="3"/>
      <c r="H4026" s="11"/>
      <c r="I4026" s="12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</row>
    <row r="4027" spans="1:34" ht="14.25" customHeight="1" x14ac:dyDescent="0.25">
      <c r="A4027" s="3"/>
      <c r="B4027" s="3"/>
      <c r="C4027" s="3"/>
      <c r="D4027" s="3"/>
      <c r="E4027" s="3"/>
      <c r="F4027" s="3"/>
      <c r="G4027" s="3"/>
      <c r="H4027" s="11"/>
      <c r="I4027" s="12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</row>
    <row r="4028" spans="1:34" ht="14.25" customHeight="1" x14ac:dyDescent="0.25">
      <c r="A4028" s="3"/>
      <c r="B4028" s="3"/>
      <c r="C4028" s="3"/>
      <c r="D4028" s="3"/>
      <c r="E4028" s="3"/>
      <c r="F4028" s="3"/>
      <c r="G4028" s="3"/>
      <c r="H4028" s="11"/>
      <c r="I4028" s="12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</row>
    <row r="4029" spans="1:34" ht="14.25" customHeight="1" x14ac:dyDescent="0.25">
      <c r="A4029" s="3"/>
      <c r="B4029" s="3"/>
      <c r="C4029" s="3"/>
      <c r="D4029" s="3"/>
      <c r="E4029" s="3"/>
      <c r="F4029" s="3"/>
      <c r="G4029" s="3"/>
      <c r="H4029" s="11"/>
      <c r="I4029" s="12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</row>
    <row r="4030" spans="1:34" ht="14.25" customHeight="1" x14ac:dyDescent="0.25">
      <c r="A4030" s="3"/>
      <c r="B4030" s="3"/>
      <c r="C4030" s="3"/>
      <c r="D4030" s="3"/>
      <c r="E4030" s="3"/>
      <c r="F4030" s="3"/>
      <c r="G4030" s="3"/>
      <c r="H4030" s="11"/>
      <c r="I4030" s="12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</row>
    <row r="4031" spans="1:34" ht="14.25" customHeight="1" x14ac:dyDescent="0.25">
      <c r="A4031" s="3"/>
      <c r="B4031" s="3"/>
      <c r="C4031" s="3"/>
      <c r="D4031" s="3"/>
      <c r="E4031" s="3"/>
      <c r="F4031" s="3"/>
      <c r="G4031" s="3"/>
      <c r="H4031" s="11"/>
      <c r="I4031" s="12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</row>
    <row r="4032" spans="1:34" ht="14.25" customHeight="1" x14ac:dyDescent="0.25">
      <c r="A4032" s="3"/>
      <c r="B4032" s="3"/>
      <c r="C4032" s="3"/>
      <c r="D4032" s="3"/>
      <c r="E4032" s="3"/>
      <c r="F4032" s="3"/>
      <c r="G4032" s="3"/>
      <c r="H4032" s="11"/>
      <c r="I4032" s="12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</row>
    <row r="4033" spans="1:34" ht="14.25" customHeight="1" x14ac:dyDescent="0.25">
      <c r="A4033" s="3"/>
      <c r="B4033" s="3"/>
      <c r="C4033" s="3"/>
      <c r="D4033" s="3"/>
      <c r="E4033" s="3"/>
      <c r="F4033" s="3"/>
      <c r="G4033" s="3"/>
      <c r="H4033" s="11"/>
      <c r="I4033" s="12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</row>
    <row r="4034" spans="1:34" ht="14.25" customHeight="1" x14ac:dyDescent="0.25">
      <c r="A4034" s="3"/>
      <c r="B4034" s="3"/>
      <c r="C4034" s="3"/>
      <c r="D4034" s="3"/>
      <c r="E4034" s="3"/>
      <c r="F4034" s="3"/>
      <c r="G4034" s="3"/>
      <c r="H4034" s="11"/>
      <c r="I4034" s="12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</row>
    <row r="4035" spans="1:34" ht="14.25" customHeight="1" x14ac:dyDescent="0.25">
      <c r="A4035" s="3"/>
      <c r="B4035" s="3"/>
      <c r="C4035" s="3"/>
      <c r="D4035" s="3"/>
      <c r="E4035" s="3"/>
      <c r="F4035" s="3"/>
      <c r="G4035" s="3"/>
      <c r="H4035" s="11"/>
      <c r="I4035" s="12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</row>
    <row r="4036" spans="1:34" ht="14.25" customHeight="1" x14ac:dyDescent="0.25">
      <c r="A4036" s="3"/>
      <c r="B4036" s="3"/>
      <c r="C4036" s="3"/>
      <c r="D4036" s="3"/>
      <c r="E4036" s="3"/>
      <c r="F4036" s="3"/>
      <c r="G4036" s="3"/>
      <c r="H4036" s="11"/>
      <c r="I4036" s="12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</row>
    <row r="4037" spans="1:34" ht="14.25" customHeight="1" x14ac:dyDescent="0.25">
      <c r="A4037" s="3"/>
      <c r="B4037" s="3"/>
      <c r="C4037" s="3"/>
      <c r="D4037" s="3"/>
      <c r="E4037" s="3"/>
      <c r="F4037" s="3"/>
      <c r="G4037" s="3"/>
      <c r="H4037" s="11"/>
      <c r="I4037" s="12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</row>
    <row r="4038" spans="1:34" ht="14.25" customHeight="1" x14ac:dyDescent="0.25">
      <c r="A4038" s="3"/>
      <c r="B4038" s="3"/>
      <c r="C4038" s="3"/>
      <c r="D4038" s="3"/>
      <c r="E4038" s="3"/>
      <c r="F4038" s="3"/>
      <c r="G4038" s="3"/>
      <c r="H4038" s="11"/>
      <c r="I4038" s="12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</row>
    <row r="4039" spans="1:34" ht="14.25" customHeight="1" x14ac:dyDescent="0.25">
      <c r="A4039" s="3"/>
      <c r="B4039" s="3"/>
      <c r="C4039" s="3"/>
      <c r="D4039" s="3"/>
      <c r="E4039" s="3"/>
      <c r="F4039" s="3"/>
      <c r="G4039" s="3"/>
      <c r="H4039" s="11"/>
      <c r="I4039" s="12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</row>
    <row r="4040" spans="1:34" ht="14.25" customHeight="1" x14ac:dyDescent="0.25">
      <c r="A4040" s="3"/>
      <c r="B4040" s="3"/>
      <c r="C4040" s="3"/>
      <c r="D4040" s="3"/>
      <c r="E4040" s="3"/>
      <c r="F4040" s="3"/>
      <c r="G4040" s="3"/>
      <c r="H4040" s="11"/>
      <c r="I4040" s="12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</row>
    <row r="4041" spans="1:34" ht="14.25" customHeight="1" x14ac:dyDescent="0.25">
      <c r="A4041" s="3"/>
      <c r="B4041" s="3"/>
      <c r="C4041" s="3"/>
      <c r="D4041" s="3"/>
      <c r="E4041" s="3"/>
      <c r="F4041" s="3"/>
      <c r="G4041" s="3"/>
      <c r="H4041" s="11"/>
      <c r="I4041" s="12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</row>
    <row r="4042" spans="1:34" ht="14.25" customHeight="1" x14ac:dyDescent="0.25">
      <c r="A4042" s="3"/>
      <c r="B4042" s="3"/>
      <c r="C4042" s="3"/>
      <c r="D4042" s="3"/>
      <c r="E4042" s="3"/>
      <c r="F4042" s="3"/>
      <c r="G4042" s="3"/>
      <c r="H4042" s="11"/>
      <c r="I4042" s="12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</row>
    <row r="4043" spans="1:34" ht="14.25" customHeight="1" x14ac:dyDescent="0.25">
      <c r="A4043" s="3"/>
      <c r="B4043" s="3"/>
      <c r="C4043" s="3"/>
      <c r="D4043" s="3"/>
      <c r="E4043" s="3"/>
      <c r="F4043" s="3"/>
      <c r="G4043" s="3"/>
      <c r="H4043" s="11"/>
      <c r="I4043" s="12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</row>
    <row r="4044" spans="1:34" ht="14.25" customHeight="1" x14ac:dyDescent="0.25">
      <c r="A4044" s="3"/>
      <c r="B4044" s="3"/>
      <c r="C4044" s="3"/>
      <c r="D4044" s="3"/>
      <c r="E4044" s="3"/>
      <c r="F4044" s="3"/>
      <c r="G4044" s="3"/>
      <c r="H4044" s="11"/>
      <c r="I4044" s="12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</row>
    <row r="4045" spans="1:34" ht="14.25" customHeight="1" x14ac:dyDescent="0.25">
      <c r="A4045" s="3"/>
      <c r="B4045" s="3"/>
      <c r="C4045" s="3"/>
      <c r="D4045" s="3"/>
      <c r="E4045" s="3"/>
      <c r="F4045" s="3"/>
      <c r="G4045" s="3"/>
      <c r="H4045" s="11"/>
      <c r="I4045" s="12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</row>
    <row r="4046" spans="1:34" ht="14.25" customHeight="1" x14ac:dyDescent="0.25">
      <c r="A4046" s="3"/>
      <c r="B4046" s="3"/>
      <c r="C4046" s="3"/>
      <c r="D4046" s="3"/>
      <c r="E4046" s="3"/>
      <c r="F4046" s="3"/>
      <c r="G4046" s="3"/>
      <c r="H4046" s="11"/>
      <c r="I4046" s="12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</row>
    <row r="4047" spans="1:34" ht="14.25" customHeight="1" x14ac:dyDescent="0.25">
      <c r="A4047" s="3"/>
      <c r="B4047" s="3"/>
      <c r="C4047" s="3"/>
      <c r="D4047" s="3"/>
      <c r="E4047" s="3"/>
      <c r="F4047" s="3"/>
      <c r="G4047" s="3"/>
      <c r="H4047" s="11"/>
      <c r="I4047" s="12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</row>
    <row r="4048" spans="1:34" ht="14.25" customHeight="1" x14ac:dyDescent="0.25">
      <c r="A4048" s="3"/>
      <c r="B4048" s="3"/>
      <c r="C4048" s="3"/>
      <c r="D4048" s="3"/>
      <c r="E4048" s="3"/>
      <c r="F4048" s="3"/>
      <c r="G4048" s="3"/>
      <c r="H4048" s="11"/>
      <c r="I4048" s="12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</row>
    <row r="4049" spans="1:34" ht="14.25" customHeight="1" x14ac:dyDescent="0.25">
      <c r="A4049" s="3"/>
      <c r="B4049" s="3"/>
      <c r="C4049" s="3"/>
      <c r="D4049" s="3"/>
      <c r="E4049" s="3"/>
      <c r="F4049" s="3"/>
      <c r="G4049" s="3"/>
      <c r="H4049" s="11"/>
      <c r="I4049" s="12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</row>
    <row r="4050" spans="1:34" ht="14.25" customHeight="1" x14ac:dyDescent="0.25">
      <c r="A4050" s="3"/>
      <c r="B4050" s="3"/>
      <c r="C4050" s="3"/>
      <c r="D4050" s="3"/>
      <c r="E4050" s="3"/>
      <c r="F4050" s="3"/>
      <c r="G4050" s="3"/>
      <c r="H4050" s="11"/>
      <c r="I4050" s="12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</row>
    <row r="4051" spans="1:34" ht="14.25" customHeight="1" x14ac:dyDescent="0.25">
      <c r="A4051" s="3"/>
      <c r="B4051" s="3"/>
      <c r="C4051" s="3"/>
      <c r="D4051" s="3"/>
      <c r="E4051" s="3"/>
      <c r="F4051" s="3"/>
      <c r="G4051" s="3"/>
      <c r="H4051" s="11"/>
      <c r="I4051" s="12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</row>
    <row r="4052" spans="1:34" ht="14.25" customHeight="1" x14ac:dyDescent="0.25">
      <c r="A4052" s="3"/>
      <c r="B4052" s="3"/>
      <c r="C4052" s="3"/>
      <c r="D4052" s="3"/>
      <c r="E4052" s="3"/>
      <c r="F4052" s="3"/>
      <c r="G4052" s="3"/>
      <c r="H4052" s="11"/>
      <c r="I4052" s="12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</row>
    <row r="4053" spans="1:34" ht="14.25" customHeight="1" x14ac:dyDescent="0.25">
      <c r="A4053" s="3"/>
      <c r="B4053" s="3"/>
      <c r="C4053" s="3"/>
      <c r="D4053" s="3"/>
      <c r="E4053" s="3"/>
      <c r="F4053" s="3"/>
      <c r="G4053" s="3"/>
      <c r="H4053" s="11"/>
      <c r="I4053" s="12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</row>
    <row r="4054" spans="1:34" ht="14.25" customHeight="1" x14ac:dyDescent="0.25">
      <c r="A4054" s="3"/>
      <c r="B4054" s="3"/>
      <c r="C4054" s="3"/>
      <c r="D4054" s="3"/>
      <c r="E4054" s="3"/>
      <c r="F4054" s="3"/>
      <c r="G4054" s="3"/>
      <c r="H4054" s="11"/>
      <c r="I4054" s="12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</row>
    <row r="4055" spans="1:34" ht="14.25" customHeight="1" x14ac:dyDescent="0.25">
      <c r="A4055" s="3"/>
      <c r="B4055" s="3"/>
      <c r="C4055" s="3"/>
      <c r="D4055" s="3"/>
      <c r="E4055" s="3"/>
      <c r="F4055" s="3"/>
      <c r="G4055" s="3"/>
      <c r="H4055" s="11"/>
      <c r="I4055" s="12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</row>
    <row r="4056" spans="1:34" ht="14.25" customHeight="1" x14ac:dyDescent="0.25">
      <c r="A4056" s="3"/>
      <c r="B4056" s="3"/>
      <c r="C4056" s="3"/>
      <c r="D4056" s="3"/>
      <c r="E4056" s="3"/>
      <c r="F4056" s="3"/>
      <c r="G4056" s="3"/>
      <c r="H4056" s="11"/>
      <c r="I4056" s="12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</row>
    <row r="4057" spans="1:34" ht="14.25" customHeight="1" x14ac:dyDescent="0.25">
      <c r="A4057" s="3"/>
      <c r="B4057" s="3"/>
      <c r="C4057" s="3"/>
      <c r="D4057" s="3"/>
      <c r="E4057" s="3"/>
      <c r="F4057" s="3"/>
      <c r="G4057" s="3"/>
      <c r="H4057" s="11"/>
      <c r="I4057" s="12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</row>
    <row r="4058" spans="1:34" ht="14.25" customHeight="1" x14ac:dyDescent="0.25">
      <c r="A4058" s="3"/>
      <c r="B4058" s="3"/>
      <c r="C4058" s="3"/>
      <c r="D4058" s="3"/>
      <c r="E4058" s="3"/>
      <c r="F4058" s="3"/>
      <c r="G4058" s="3"/>
      <c r="H4058" s="11"/>
      <c r="I4058" s="12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</row>
    <row r="4059" spans="1:34" ht="14.25" customHeight="1" x14ac:dyDescent="0.25">
      <c r="A4059" s="3"/>
      <c r="B4059" s="3"/>
      <c r="C4059" s="3"/>
      <c r="D4059" s="3"/>
      <c r="E4059" s="3"/>
      <c r="F4059" s="3"/>
      <c r="G4059" s="3"/>
      <c r="H4059" s="11"/>
      <c r="I4059" s="12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</row>
    <row r="4060" spans="1:34" ht="14.25" customHeight="1" x14ac:dyDescent="0.25">
      <c r="A4060" s="3"/>
      <c r="B4060" s="3"/>
      <c r="C4060" s="3"/>
      <c r="D4060" s="3"/>
      <c r="E4060" s="3"/>
      <c r="F4060" s="3"/>
      <c r="G4060" s="14"/>
      <c r="H4060" s="11"/>
      <c r="I4060" s="12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</row>
    <row r="4061" spans="1:34" ht="14.25" customHeight="1" x14ac:dyDescent="0.25">
      <c r="A4061" s="3"/>
      <c r="B4061" s="3"/>
      <c r="C4061" s="3"/>
      <c r="D4061" s="3"/>
      <c r="E4061" s="3"/>
      <c r="F4061" s="3"/>
      <c r="G4061" s="3"/>
      <c r="H4061" s="11"/>
      <c r="I4061" s="12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</row>
    <row r="4062" spans="1:34" ht="14.25" customHeight="1" x14ac:dyDescent="0.25">
      <c r="A4062" s="3"/>
      <c r="B4062" s="3"/>
      <c r="C4062" s="3"/>
      <c r="D4062" s="3"/>
      <c r="E4062" s="3"/>
      <c r="F4062" s="3"/>
      <c r="G4062" s="3"/>
      <c r="H4062" s="11"/>
      <c r="I4062" s="12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</row>
    <row r="4063" spans="1:34" ht="14.25" customHeight="1" x14ac:dyDescent="0.25">
      <c r="A4063" s="3"/>
      <c r="B4063" s="3"/>
      <c r="C4063" s="3"/>
      <c r="D4063" s="3"/>
      <c r="E4063" s="3"/>
      <c r="F4063" s="3"/>
      <c r="G4063" s="3"/>
      <c r="H4063" s="11"/>
      <c r="I4063" s="12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</row>
    <row r="4064" spans="1:34" ht="14.25" customHeight="1" x14ac:dyDescent="0.25">
      <c r="A4064" s="3"/>
      <c r="B4064" s="3"/>
      <c r="C4064" s="3"/>
      <c r="D4064" s="3"/>
      <c r="E4064" s="3"/>
      <c r="F4064" s="3"/>
      <c r="G4064" s="3"/>
      <c r="H4064" s="11"/>
      <c r="I4064" s="12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</row>
    <row r="4065" spans="1:34" ht="14.25" customHeight="1" x14ac:dyDescent="0.25">
      <c r="A4065" s="3"/>
      <c r="B4065" s="3"/>
      <c r="C4065" s="3"/>
      <c r="D4065" s="3"/>
      <c r="E4065" s="3"/>
      <c r="F4065" s="3"/>
      <c r="G4065" s="3"/>
      <c r="H4065" s="11"/>
      <c r="I4065" s="12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</row>
    <row r="4066" spans="1:34" ht="14.25" customHeight="1" x14ac:dyDescent="0.25">
      <c r="A4066" s="3"/>
      <c r="B4066" s="3"/>
      <c r="C4066" s="3"/>
      <c r="D4066" s="3"/>
      <c r="E4066" s="3"/>
      <c r="F4066" s="3"/>
      <c r="G4066" s="3"/>
      <c r="H4066" s="11"/>
      <c r="I4066" s="12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</row>
    <row r="4067" spans="1:34" ht="14.25" customHeight="1" x14ac:dyDescent="0.25">
      <c r="A4067" s="3"/>
      <c r="B4067" s="3"/>
      <c r="C4067" s="3"/>
      <c r="D4067" s="3"/>
      <c r="E4067" s="3"/>
      <c r="F4067" s="3"/>
      <c r="G4067" s="3"/>
      <c r="H4067" s="11"/>
      <c r="I4067" s="12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</row>
    <row r="4068" spans="1:34" ht="14.25" customHeight="1" x14ac:dyDescent="0.25">
      <c r="A4068" s="3"/>
      <c r="B4068" s="3"/>
      <c r="C4068" s="3"/>
      <c r="D4068" s="3"/>
      <c r="E4068" s="3"/>
      <c r="F4068" s="3"/>
      <c r="G4068" s="3"/>
      <c r="H4068" s="11"/>
      <c r="I4068" s="12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</row>
    <row r="4069" spans="1:34" ht="14.25" customHeight="1" x14ac:dyDescent="0.25">
      <c r="A4069" s="3"/>
      <c r="B4069" s="3"/>
      <c r="C4069" s="3"/>
      <c r="D4069" s="3"/>
      <c r="E4069" s="3"/>
      <c r="F4069" s="3"/>
      <c r="G4069" s="3"/>
      <c r="H4069" s="11"/>
      <c r="I4069" s="12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</row>
    <row r="4070" spans="1:34" ht="14.25" customHeight="1" x14ac:dyDescent="0.25">
      <c r="A4070" s="3"/>
      <c r="B4070" s="3"/>
      <c r="C4070" s="3"/>
      <c r="D4070" s="3"/>
      <c r="E4070" s="3"/>
      <c r="F4070" s="3"/>
      <c r="G4070" s="3"/>
      <c r="H4070" s="11"/>
      <c r="I4070" s="12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</row>
    <row r="4071" spans="1:34" ht="14.25" customHeight="1" x14ac:dyDescent="0.25">
      <c r="A4071" s="3"/>
      <c r="B4071" s="3"/>
      <c r="C4071" s="3"/>
      <c r="D4071" s="3"/>
      <c r="E4071" s="3"/>
      <c r="F4071" s="3"/>
      <c r="G4071" s="3"/>
      <c r="H4071" s="11"/>
      <c r="I4071" s="12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</row>
    <row r="4072" spans="1:34" ht="14.25" customHeight="1" x14ac:dyDescent="0.25">
      <c r="A4072" s="3"/>
      <c r="B4072" s="3"/>
      <c r="C4072" s="3"/>
      <c r="D4072" s="3"/>
      <c r="E4072" s="3"/>
      <c r="F4072" s="3"/>
      <c r="G4072" s="3"/>
      <c r="H4072" s="11"/>
      <c r="I4072" s="12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</row>
    <row r="4073" spans="1:34" ht="14.25" customHeight="1" x14ac:dyDescent="0.25">
      <c r="A4073" s="3"/>
      <c r="B4073" s="3"/>
      <c r="C4073" s="3"/>
      <c r="D4073" s="3"/>
      <c r="E4073" s="3"/>
      <c r="F4073" s="3"/>
      <c r="G4073" s="3"/>
      <c r="H4073" s="11"/>
      <c r="I4073" s="12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</row>
    <row r="4074" spans="1:34" ht="14.25" customHeight="1" x14ac:dyDescent="0.25">
      <c r="A4074" s="3"/>
      <c r="B4074" s="3"/>
      <c r="C4074" s="3"/>
      <c r="D4074" s="3"/>
      <c r="E4074" s="3"/>
      <c r="F4074" s="3"/>
      <c r="G4074" s="3"/>
      <c r="H4074" s="11"/>
      <c r="I4074" s="12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</row>
    <row r="4075" spans="1:34" ht="14.25" customHeight="1" x14ac:dyDescent="0.25">
      <c r="A4075" s="3"/>
      <c r="B4075" s="3"/>
      <c r="C4075" s="3"/>
      <c r="D4075" s="3"/>
      <c r="E4075" s="3"/>
      <c r="F4075" s="3"/>
      <c r="G4075" s="3"/>
      <c r="H4075" s="11"/>
      <c r="I4075" s="12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</row>
    <row r="4076" spans="1:34" ht="14.25" customHeight="1" x14ac:dyDescent="0.25">
      <c r="A4076" s="3"/>
      <c r="B4076" s="3"/>
      <c r="C4076" s="3"/>
      <c r="D4076" s="3"/>
      <c r="E4076" s="3"/>
      <c r="F4076" s="3"/>
      <c r="G4076" s="3"/>
      <c r="H4076" s="11"/>
      <c r="I4076" s="12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</row>
    <row r="4077" spans="1:34" ht="14.25" customHeight="1" x14ac:dyDescent="0.25">
      <c r="A4077" s="3"/>
      <c r="B4077" s="3"/>
      <c r="C4077" s="3"/>
      <c r="D4077" s="3"/>
      <c r="E4077" s="3"/>
      <c r="F4077" s="3"/>
      <c r="G4077" s="3"/>
      <c r="H4077" s="11"/>
      <c r="I4077" s="12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</row>
    <row r="4078" spans="1:34" ht="14.25" customHeight="1" x14ac:dyDescent="0.25">
      <c r="A4078" s="3"/>
      <c r="B4078" s="3"/>
      <c r="C4078" s="3"/>
      <c r="D4078" s="3"/>
      <c r="E4078" s="3"/>
      <c r="F4078" s="3"/>
      <c r="G4078" s="3"/>
      <c r="H4078" s="11"/>
      <c r="I4078" s="12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</row>
    <row r="4079" spans="1:34" ht="14.25" customHeight="1" x14ac:dyDescent="0.25">
      <c r="A4079" s="3"/>
      <c r="B4079" s="3"/>
      <c r="C4079" s="3"/>
      <c r="D4079" s="3"/>
      <c r="E4079" s="3"/>
      <c r="F4079" s="3"/>
      <c r="G4079" s="3"/>
      <c r="H4079" s="11"/>
      <c r="I4079" s="12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</row>
    <row r="4080" spans="1:34" ht="14.25" customHeight="1" x14ac:dyDescent="0.25">
      <c r="A4080" s="3"/>
      <c r="B4080" s="3"/>
      <c r="C4080" s="3"/>
      <c r="D4080" s="3"/>
      <c r="E4080" s="3"/>
      <c r="F4080" s="3"/>
      <c r="G4080" s="3"/>
      <c r="H4080" s="11"/>
      <c r="I4080" s="12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</row>
    <row r="4081" spans="1:34" ht="14.25" customHeight="1" x14ac:dyDescent="0.25">
      <c r="A4081" s="3"/>
      <c r="B4081" s="3"/>
      <c r="C4081" s="3"/>
      <c r="D4081" s="3"/>
      <c r="E4081" s="3"/>
      <c r="F4081" s="3"/>
      <c r="G4081" s="3"/>
      <c r="H4081" s="11"/>
      <c r="I4081" s="12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</row>
    <row r="4082" spans="1:34" ht="14.25" customHeight="1" x14ac:dyDescent="0.25">
      <c r="A4082" s="3"/>
      <c r="B4082" s="3"/>
      <c r="C4082" s="3"/>
      <c r="D4082" s="3"/>
      <c r="E4082" s="3"/>
      <c r="F4082" s="3"/>
      <c r="G4082" s="3"/>
      <c r="H4082" s="11"/>
      <c r="I4082" s="12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</row>
    <row r="4083" spans="1:34" ht="14.25" customHeight="1" x14ac:dyDescent="0.25">
      <c r="A4083" s="3"/>
      <c r="B4083" s="3"/>
      <c r="C4083" s="3"/>
      <c r="D4083" s="3"/>
      <c r="E4083" s="3"/>
      <c r="F4083" s="3"/>
      <c r="G4083" s="3"/>
      <c r="H4083" s="11"/>
      <c r="I4083" s="12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</row>
    <row r="4084" spans="1:34" ht="14.25" customHeight="1" x14ac:dyDescent="0.25">
      <c r="A4084" s="3"/>
      <c r="B4084" s="3"/>
      <c r="C4084" s="3"/>
      <c r="D4084" s="3"/>
      <c r="E4084" s="3"/>
      <c r="F4084" s="3"/>
      <c r="G4084" s="3"/>
      <c r="H4084" s="11"/>
      <c r="I4084" s="12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</row>
    <row r="4085" spans="1:34" ht="14.25" customHeight="1" x14ac:dyDescent="0.25">
      <c r="A4085" s="3"/>
      <c r="B4085" s="3"/>
      <c r="C4085" s="3"/>
      <c r="D4085" s="3"/>
      <c r="E4085" s="3"/>
      <c r="F4085" s="3"/>
      <c r="G4085" s="3"/>
      <c r="H4085" s="11"/>
      <c r="I4085" s="12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</row>
    <row r="4086" spans="1:34" ht="14.25" customHeight="1" x14ac:dyDescent="0.25">
      <c r="A4086" s="3"/>
      <c r="B4086" s="3"/>
      <c r="C4086" s="3"/>
      <c r="D4086" s="3"/>
      <c r="E4086" s="3"/>
      <c r="F4086" s="3"/>
      <c r="G4086" s="3"/>
      <c r="H4086" s="11"/>
      <c r="I4086" s="12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</row>
    <row r="4087" spans="1:34" ht="14.25" customHeight="1" x14ac:dyDescent="0.25">
      <c r="A4087" s="3"/>
      <c r="B4087" s="3"/>
      <c r="C4087" s="3"/>
      <c r="D4087" s="3"/>
      <c r="E4087" s="3"/>
      <c r="F4087" s="3"/>
      <c r="G4087" s="3"/>
      <c r="H4087" s="11"/>
      <c r="I4087" s="12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</row>
    <row r="4088" spans="1:34" ht="14.25" customHeight="1" x14ac:dyDescent="0.25">
      <c r="A4088" s="3"/>
      <c r="B4088" s="3"/>
      <c r="C4088" s="3"/>
      <c r="D4088" s="3"/>
      <c r="E4088" s="3"/>
      <c r="F4088" s="3"/>
      <c r="G4088" s="3"/>
      <c r="H4088" s="11"/>
      <c r="I4088" s="12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</row>
    <row r="4089" spans="1:34" ht="14.25" customHeight="1" x14ac:dyDescent="0.25">
      <c r="A4089" s="3"/>
      <c r="B4089" s="3"/>
      <c r="C4089" s="3"/>
      <c r="D4089" s="3"/>
      <c r="E4089" s="3"/>
      <c r="F4089" s="3"/>
      <c r="G4089" s="3"/>
      <c r="H4089" s="11"/>
      <c r="I4089" s="12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</row>
    <row r="4090" spans="1:34" ht="14.25" customHeight="1" x14ac:dyDescent="0.25">
      <c r="A4090" s="3"/>
      <c r="B4090" s="3"/>
      <c r="C4090" s="3"/>
      <c r="D4090" s="3"/>
      <c r="E4090" s="3"/>
      <c r="F4090" s="3"/>
      <c r="G4090" s="3"/>
      <c r="H4090" s="11"/>
      <c r="I4090" s="12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</row>
    <row r="4091" spans="1:34" ht="14.25" customHeight="1" x14ac:dyDescent="0.25">
      <c r="A4091" s="3"/>
      <c r="B4091" s="3"/>
      <c r="C4091" s="3"/>
      <c r="D4091" s="3"/>
      <c r="E4091" s="3"/>
      <c r="F4091" s="3"/>
      <c r="G4091" s="3"/>
      <c r="H4091" s="11"/>
      <c r="I4091" s="12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</row>
    <row r="4092" spans="1:34" ht="14.25" customHeight="1" x14ac:dyDescent="0.25">
      <c r="A4092" s="3"/>
      <c r="B4092" s="3"/>
      <c r="C4092" s="3"/>
      <c r="D4092" s="3"/>
      <c r="E4092" s="3"/>
      <c r="F4092" s="3"/>
      <c r="G4092" s="3"/>
      <c r="H4092" s="11"/>
      <c r="I4092" s="12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</row>
    <row r="4093" spans="1:34" ht="14.25" customHeight="1" x14ac:dyDescent="0.25">
      <c r="A4093" s="3"/>
      <c r="B4093" s="3"/>
      <c r="C4093" s="3"/>
      <c r="D4093" s="3"/>
      <c r="E4093" s="3"/>
      <c r="F4093" s="3"/>
      <c r="G4093" s="3"/>
      <c r="H4093" s="11"/>
      <c r="I4093" s="12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</row>
    <row r="4094" spans="1:34" ht="14.25" customHeight="1" x14ac:dyDescent="0.25">
      <c r="A4094" s="3"/>
      <c r="B4094" s="3"/>
      <c r="C4094" s="3"/>
      <c r="D4094" s="3"/>
      <c r="E4094" s="3"/>
      <c r="F4094" s="3"/>
      <c r="G4094" s="3"/>
      <c r="H4094" s="11"/>
      <c r="I4094" s="12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</row>
    <row r="4095" spans="1:34" ht="14.25" customHeight="1" x14ac:dyDescent="0.25">
      <c r="A4095" s="3"/>
      <c r="B4095" s="3"/>
      <c r="C4095" s="3"/>
      <c r="D4095" s="3"/>
      <c r="E4095" s="3"/>
      <c r="F4095" s="3"/>
      <c r="G4095" s="3"/>
      <c r="H4095" s="11"/>
      <c r="I4095" s="12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</row>
    <row r="4096" spans="1:34" ht="14.25" customHeight="1" x14ac:dyDescent="0.25">
      <c r="A4096" s="3"/>
      <c r="B4096" s="3"/>
      <c r="C4096" s="3"/>
      <c r="D4096" s="3"/>
      <c r="E4096" s="3"/>
      <c r="F4096" s="3"/>
      <c r="G4096" s="3"/>
      <c r="H4096" s="11"/>
      <c r="I4096" s="12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</row>
    <row r="4097" spans="1:34" ht="14.25" customHeight="1" x14ac:dyDescent="0.25">
      <c r="A4097" s="3"/>
      <c r="B4097" s="3"/>
      <c r="C4097" s="3"/>
      <c r="D4097" s="3"/>
      <c r="E4097" s="3"/>
      <c r="F4097" s="3"/>
      <c r="G4097" s="3"/>
      <c r="H4097" s="11"/>
      <c r="I4097" s="12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</row>
    <row r="4098" spans="1:34" ht="14.25" customHeight="1" x14ac:dyDescent="0.25">
      <c r="A4098" s="3"/>
      <c r="B4098" s="3"/>
      <c r="C4098" s="3"/>
      <c r="D4098" s="3"/>
      <c r="E4098" s="3"/>
      <c r="F4098" s="3"/>
      <c r="G4098" s="3"/>
      <c r="H4098" s="11"/>
      <c r="I4098" s="12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</row>
    <row r="4099" spans="1:34" ht="14.25" customHeight="1" x14ac:dyDescent="0.25">
      <c r="A4099" s="3"/>
      <c r="B4099" s="3"/>
      <c r="C4099" s="3"/>
      <c r="D4099" s="3"/>
      <c r="E4099" s="3"/>
      <c r="F4099" s="3"/>
      <c r="G4099" s="3"/>
      <c r="H4099" s="11"/>
      <c r="I4099" s="12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</row>
    <row r="4100" spans="1:34" ht="14.25" customHeight="1" x14ac:dyDescent="0.25">
      <c r="A4100" s="3"/>
      <c r="B4100" s="3"/>
      <c r="C4100" s="3"/>
      <c r="D4100" s="3"/>
      <c r="E4100" s="3"/>
      <c r="F4100" s="3"/>
      <c r="G4100" s="3"/>
      <c r="H4100" s="11"/>
      <c r="I4100" s="12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</row>
    <row r="4101" spans="1:34" ht="14.25" customHeight="1" x14ac:dyDescent="0.25">
      <c r="A4101" s="3"/>
      <c r="B4101" s="3"/>
      <c r="C4101" s="3"/>
      <c r="D4101" s="3"/>
      <c r="E4101" s="3"/>
      <c r="F4101" s="3"/>
      <c r="G4101" s="3"/>
      <c r="H4101" s="11"/>
      <c r="I4101" s="12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</row>
    <row r="4102" spans="1:34" ht="14.25" customHeight="1" x14ac:dyDescent="0.25">
      <c r="A4102" s="3"/>
      <c r="B4102" s="3"/>
      <c r="C4102" s="3"/>
      <c r="D4102" s="3"/>
      <c r="E4102" s="3"/>
      <c r="F4102" s="3"/>
      <c r="G4102" s="3"/>
      <c r="H4102" s="11"/>
      <c r="I4102" s="12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</row>
    <row r="4103" spans="1:34" ht="14.25" customHeight="1" x14ac:dyDescent="0.25">
      <c r="A4103" s="3"/>
      <c r="B4103" s="3"/>
      <c r="C4103" s="3"/>
      <c r="D4103" s="3"/>
      <c r="E4103" s="3"/>
      <c r="F4103" s="3"/>
      <c r="G4103" s="3"/>
      <c r="H4103" s="11"/>
      <c r="I4103" s="12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</row>
    <row r="4104" spans="1:34" ht="14.25" customHeight="1" x14ac:dyDescent="0.25">
      <c r="A4104" s="3"/>
      <c r="B4104" s="3"/>
      <c r="C4104" s="3"/>
      <c r="D4104" s="3"/>
      <c r="E4104" s="3"/>
      <c r="F4104" s="3"/>
      <c r="G4104" s="3"/>
      <c r="H4104" s="11"/>
      <c r="I4104" s="12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</row>
    <row r="4105" spans="1:34" ht="14.25" customHeight="1" x14ac:dyDescent="0.25">
      <c r="A4105" s="3"/>
      <c r="B4105" s="3"/>
      <c r="C4105" s="3"/>
      <c r="D4105" s="3"/>
      <c r="E4105" s="3"/>
      <c r="F4105" s="3"/>
      <c r="G4105" s="3"/>
      <c r="H4105" s="11"/>
      <c r="I4105" s="12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</row>
    <row r="4106" spans="1:34" ht="14.25" customHeight="1" x14ac:dyDescent="0.25">
      <c r="A4106" s="3"/>
      <c r="B4106" s="3"/>
      <c r="C4106" s="3"/>
      <c r="D4106" s="3"/>
      <c r="E4106" s="3"/>
      <c r="F4106" s="3"/>
      <c r="G4106" s="3"/>
      <c r="H4106" s="11"/>
      <c r="I4106" s="12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</row>
    <row r="4107" spans="1:34" ht="14.25" customHeight="1" x14ac:dyDescent="0.25">
      <c r="A4107" s="3"/>
      <c r="B4107" s="3"/>
      <c r="C4107" s="3"/>
      <c r="D4107" s="3"/>
      <c r="E4107" s="3"/>
      <c r="F4107" s="3"/>
      <c r="G4107" s="3"/>
      <c r="H4107" s="11"/>
      <c r="I4107" s="12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</row>
    <row r="4108" spans="1:34" ht="14.25" customHeight="1" x14ac:dyDescent="0.25">
      <c r="A4108" s="3"/>
      <c r="B4108" s="3"/>
      <c r="C4108" s="3"/>
      <c r="D4108" s="3"/>
      <c r="E4108" s="3"/>
      <c r="F4108" s="3"/>
      <c r="G4108" s="3"/>
      <c r="H4108" s="11"/>
      <c r="I4108" s="12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</row>
    <row r="4109" spans="1:34" ht="14.25" customHeight="1" x14ac:dyDescent="0.25">
      <c r="A4109" s="3"/>
      <c r="B4109" s="3"/>
      <c r="C4109" s="3"/>
      <c r="D4109" s="3"/>
      <c r="E4109" s="3"/>
      <c r="F4109" s="3"/>
      <c r="G4109" s="3"/>
      <c r="H4109" s="11"/>
      <c r="I4109" s="12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</row>
    <row r="4110" spans="1:34" ht="14.25" customHeight="1" x14ac:dyDescent="0.25">
      <c r="A4110" s="3"/>
      <c r="B4110" s="3"/>
      <c r="C4110" s="3"/>
      <c r="D4110" s="3"/>
      <c r="E4110" s="3"/>
      <c r="F4110" s="3"/>
      <c r="G4110" s="3"/>
      <c r="H4110" s="11"/>
      <c r="I4110" s="12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</row>
    <row r="4111" spans="1:34" ht="14.25" customHeight="1" x14ac:dyDescent="0.25">
      <c r="A4111" s="3"/>
      <c r="B4111" s="3"/>
      <c r="C4111" s="3"/>
      <c r="D4111" s="3"/>
      <c r="E4111" s="3"/>
      <c r="F4111" s="3"/>
      <c r="G4111" s="3"/>
      <c r="H4111" s="11"/>
      <c r="I4111" s="12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</row>
    <row r="4112" spans="1:34" ht="14.25" customHeight="1" x14ac:dyDescent="0.25">
      <c r="A4112" s="3"/>
      <c r="B4112" s="3"/>
      <c r="C4112" s="3"/>
      <c r="D4112" s="3"/>
      <c r="E4112" s="3"/>
      <c r="F4112" s="3"/>
      <c r="G4112" s="3"/>
      <c r="H4112" s="11"/>
      <c r="I4112" s="12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</row>
    <row r="4113" spans="1:34" ht="14.25" customHeight="1" x14ac:dyDescent="0.25">
      <c r="A4113" s="3"/>
      <c r="B4113" s="3"/>
      <c r="C4113" s="3"/>
      <c r="D4113" s="3"/>
      <c r="E4113" s="3"/>
      <c r="F4113" s="3"/>
      <c r="G4113" s="3"/>
      <c r="H4113" s="11"/>
      <c r="I4113" s="12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</row>
    <row r="4114" spans="1:34" ht="14.25" customHeight="1" x14ac:dyDescent="0.25">
      <c r="A4114" s="3"/>
      <c r="B4114" s="3"/>
      <c r="C4114" s="3"/>
      <c r="D4114" s="3"/>
      <c r="E4114" s="3"/>
      <c r="F4114" s="3"/>
      <c r="G4114" s="3"/>
      <c r="H4114" s="11"/>
      <c r="I4114" s="12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</row>
    <row r="4115" spans="1:34" ht="14.25" customHeight="1" x14ac:dyDescent="0.25">
      <c r="A4115" s="3"/>
      <c r="B4115" s="3"/>
      <c r="C4115" s="3"/>
      <c r="D4115" s="3"/>
      <c r="E4115" s="3"/>
      <c r="F4115" s="3"/>
      <c r="G4115" s="3"/>
      <c r="H4115" s="11"/>
      <c r="I4115" s="12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</row>
    <row r="4116" spans="1:34" ht="14.25" customHeight="1" x14ac:dyDescent="0.25">
      <c r="A4116" s="3"/>
      <c r="B4116" s="3"/>
      <c r="C4116" s="3"/>
      <c r="D4116" s="3"/>
      <c r="E4116" s="3"/>
      <c r="F4116" s="3"/>
      <c r="G4116" s="3"/>
      <c r="H4116" s="11"/>
      <c r="I4116" s="12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</row>
    <row r="4117" spans="1:34" ht="14.25" customHeight="1" x14ac:dyDescent="0.25">
      <c r="A4117" s="3"/>
      <c r="B4117" s="3"/>
      <c r="C4117" s="3"/>
      <c r="D4117" s="3"/>
      <c r="E4117" s="3"/>
      <c r="F4117" s="3"/>
      <c r="G4117" s="3"/>
      <c r="H4117" s="11"/>
      <c r="I4117" s="12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</row>
    <row r="4118" spans="1:34" ht="14.25" customHeight="1" x14ac:dyDescent="0.25">
      <c r="A4118" s="3"/>
      <c r="B4118" s="3"/>
      <c r="C4118" s="3"/>
      <c r="D4118" s="3"/>
      <c r="E4118" s="3"/>
      <c r="F4118" s="3"/>
      <c r="G4118" s="3"/>
      <c r="H4118" s="11"/>
      <c r="I4118" s="12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</row>
    <row r="4119" spans="1:34" ht="14.25" customHeight="1" x14ac:dyDescent="0.25">
      <c r="A4119" s="3"/>
      <c r="B4119" s="3"/>
      <c r="C4119" s="3"/>
      <c r="D4119" s="3"/>
      <c r="E4119" s="3"/>
      <c r="F4119" s="3"/>
      <c r="G4119" s="3"/>
      <c r="H4119" s="11"/>
      <c r="I4119" s="12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</row>
    <row r="4120" spans="1:34" ht="14.25" customHeight="1" x14ac:dyDescent="0.25">
      <c r="A4120" s="3"/>
      <c r="B4120" s="3"/>
      <c r="C4120" s="3"/>
      <c r="D4120" s="3"/>
      <c r="E4120" s="3"/>
      <c r="F4120" s="3"/>
      <c r="G4120" s="3"/>
      <c r="H4120" s="11"/>
      <c r="I4120" s="12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</row>
    <row r="4121" spans="1:34" ht="14.25" customHeight="1" x14ac:dyDescent="0.25">
      <c r="A4121" s="3"/>
      <c r="B4121" s="3"/>
      <c r="C4121" s="3"/>
      <c r="D4121" s="3"/>
      <c r="E4121" s="3"/>
      <c r="F4121" s="3"/>
      <c r="G4121" s="3"/>
      <c r="H4121" s="11"/>
      <c r="I4121" s="12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</row>
    <row r="4122" spans="1:34" ht="14.25" customHeight="1" x14ac:dyDescent="0.25">
      <c r="A4122" s="3"/>
      <c r="B4122" s="3"/>
      <c r="C4122" s="3"/>
      <c r="D4122" s="3"/>
      <c r="E4122" s="3"/>
      <c r="F4122" s="3"/>
      <c r="G4122" s="3"/>
      <c r="H4122" s="11"/>
      <c r="I4122" s="12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</row>
    <row r="4123" spans="1:34" ht="14.25" customHeight="1" x14ac:dyDescent="0.25">
      <c r="A4123" s="3"/>
      <c r="B4123" s="3"/>
      <c r="C4123" s="3"/>
      <c r="D4123" s="3"/>
      <c r="E4123" s="3"/>
      <c r="F4123" s="3"/>
      <c r="G4123" s="3"/>
      <c r="H4123" s="11"/>
      <c r="I4123" s="12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</row>
    <row r="4124" spans="1:34" ht="14.25" customHeight="1" x14ac:dyDescent="0.25">
      <c r="A4124" s="3"/>
      <c r="B4124" s="3"/>
      <c r="C4124" s="3"/>
      <c r="D4124" s="3"/>
      <c r="E4124" s="3"/>
      <c r="F4124" s="3"/>
      <c r="G4124" s="3"/>
      <c r="H4124" s="11"/>
      <c r="I4124" s="12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</row>
    <row r="4125" spans="1:34" ht="14.25" customHeight="1" x14ac:dyDescent="0.25">
      <c r="A4125" s="3"/>
      <c r="B4125" s="3"/>
      <c r="C4125" s="3"/>
      <c r="D4125" s="3"/>
      <c r="E4125" s="3"/>
      <c r="F4125" s="3"/>
      <c r="G4125" s="3"/>
      <c r="H4125" s="11"/>
      <c r="I4125" s="12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</row>
    <row r="4126" spans="1:34" ht="14.25" customHeight="1" x14ac:dyDescent="0.25">
      <c r="A4126" s="3"/>
      <c r="B4126" s="3"/>
      <c r="C4126" s="3"/>
      <c r="D4126" s="3"/>
      <c r="E4126" s="3"/>
      <c r="F4126" s="3"/>
      <c r="G4126" s="3"/>
      <c r="H4126" s="11"/>
      <c r="I4126" s="12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</row>
    <row r="4127" spans="1:34" ht="14.25" customHeight="1" x14ac:dyDescent="0.25">
      <c r="A4127" s="3"/>
      <c r="B4127" s="3"/>
      <c r="C4127" s="3"/>
      <c r="D4127" s="3"/>
      <c r="E4127" s="3"/>
      <c r="F4127" s="3"/>
      <c r="G4127" s="3"/>
      <c r="H4127" s="11"/>
      <c r="I4127" s="12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</row>
    <row r="4128" spans="1:34" ht="14.25" customHeight="1" x14ac:dyDescent="0.25">
      <c r="A4128" s="3"/>
      <c r="B4128" s="3"/>
      <c r="C4128" s="3"/>
      <c r="D4128" s="3"/>
      <c r="E4128" s="3"/>
      <c r="F4128" s="3"/>
      <c r="G4128" s="3"/>
      <c r="H4128" s="11"/>
      <c r="I4128" s="12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</row>
    <row r="4129" spans="1:34" ht="14.25" customHeight="1" x14ac:dyDescent="0.25">
      <c r="A4129" s="3"/>
      <c r="B4129" s="3"/>
      <c r="C4129" s="3"/>
      <c r="D4129" s="3"/>
      <c r="E4129" s="3"/>
      <c r="F4129" s="3"/>
      <c r="G4129" s="3"/>
      <c r="H4129" s="11"/>
      <c r="I4129" s="12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</row>
    <row r="4130" spans="1:34" ht="14.25" customHeight="1" x14ac:dyDescent="0.25">
      <c r="A4130" s="3"/>
      <c r="B4130" s="3"/>
      <c r="C4130" s="3"/>
      <c r="D4130" s="3"/>
      <c r="E4130" s="3"/>
      <c r="F4130" s="3"/>
      <c r="G4130" s="3"/>
      <c r="H4130" s="11"/>
      <c r="I4130" s="12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</row>
    <row r="4131" spans="1:34" ht="14.25" customHeight="1" x14ac:dyDescent="0.25">
      <c r="A4131" s="3"/>
      <c r="B4131" s="3"/>
      <c r="C4131" s="3"/>
      <c r="D4131" s="3"/>
      <c r="E4131" s="3"/>
      <c r="F4131" s="3"/>
      <c r="G4131" s="3"/>
      <c r="H4131" s="11"/>
      <c r="I4131" s="12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</row>
    <row r="4132" spans="1:34" ht="14.25" customHeight="1" x14ac:dyDescent="0.25">
      <c r="A4132" s="3"/>
      <c r="B4132" s="3"/>
      <c r="C4132" s="3"/>
      <c r="D4132" s="3"/>
      <c r="E4132" s="3"/>
      <c r="F4132" s="3"/>
      <c r="G4132" s="3"/>
      <c r="H4132" s="11"/>
      <c r="I4132" s="12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</row>
    <row r="4133" spans="1:34" ht="14.25" customHeight="1" x14ac:dyDescent="0.25">
      <c r="A4133" s="3"/>
      <c r="B4133" s="3"/>
      <c r="C4133" s="3"/>
      <c r="D4133" s="3"/>
      <c r="E4133" s="3"/>
      <c r="F4133" s="3"/>
      <c r="G4133" s="3"/>
      <c r="H4133" s="11"/>
      <c r="I4133" s="12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</row>
    <row r="4134" spans="1:34" ht="14.25" customHeight="1" x14ac:dyDescent="0.25">
      <c r="A4134" s="3"/>
      <c r="B4134" s="3"/>
      <c r="C4134" s="3"/>
      <c r="D4134" s="3"/>
      <c r="E4134" s="3"/>
      <c r="F4134" s="3"/>
      <c r="G4134" s="3"/>
      <c r="H4134" s="11"/>
      <c r="I4134" s="12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</row>
    <row r="4135" spans="1:34" ht="14.25" customHeight="1" x14ac:dyDescent="0.25">
      <c r="A4135" s="3"/>
      <c r="B4135" s="3"/>
      <c r="C4135" s="3"/>
      <c r="D4135" s="3"/>
      <c r="E4135" s="3"/>
      <c r="F4135" s="3"/>
      <c r="G4135" s="3"/>
      <c r="H4135" s="11"/>
      <c r="I4135" s="12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</row>
    <row r="4136" spans="1:34" ht="14.25" customHeight="1" x14ac:dyDescent="0.25">
      <c r="A4136" s="3"/>
      <c r="B4136" s="3"/>
      <c r="C4136" s="3"/>
      <c r="D4136" s="3"/>
      <c r="E4136" s="3"/>
      <c r="F4136" s="3"/>
      <c r="G4136" s="3"/>
      <c r="H4136" s="11"/>
      <c r="I4136" s="12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</row>
    <row r="4137" spans="1:34" ht="14.25" customHeight="1" x14ac:dyDescent="0.25">
      <c r="A4137" s="3"/>
      <c r="B4137" s="3"/>
      <c r="C4137" s="3"/>
      <c r="D4137" s="3"/>
      <c r="E4137" s="3"/>
      <c r="F4137" s="3"/>
      <c r="G4137" s="3"/>
      <c r="H4137" s="11"/>
      <c r="I4137" s="12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</row>
    <row r="4138" spans="1:34" ht="14.25" customHeight="1" x14ac:dyDescent="0.25">
      <c r="A4138" s="3"/>
      <c r="B4138" s="3"/>
      <c r="C4138" s="3"/>
      <c r="D4138" s="3"/>
      <c r="E4138" s="3"/>
      <c r="F4138" s="3"/>
      <c r="G4138" s="3"/>
      <c r="H4138" s="11"/>
      <c r="I4138" s="12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</row>
    <row r="4139" spans="1:34" ht="14.25" customHeight="1" x14ac:dyDescent="0.25">
      <c r="A4139" s="3"/>
      <c r="B4139" s="3"/>
      <c r="C4139" s="3"/>
      <c r="D4139" s="3"/>
      <c r="E4139" s="3"/>
      <c r="F4139" s="3"/>
      <c r="G4139" s="3"/>
      <c r="H4139" s="11"/>
      <c r="I4139" s="12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</row>
    <row r="4140" spans="1:34" ht="14.25" customHeight="1" x14ac:dyDescent="0.25">
      <c r="A4140" s="3"/>
      <c r="B4140" s="3"/>
      <c r="C4140" s="3"/>
      <c r="D4140" s="3"/>
      <c r="E4140" s="3"/>
      <c r="F4140" s="3"/>
      <c r="G4140" s="3"/>
      <c r="H4140" s="11"/>
      <c r="I4140" s="12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</row>
    <row r="4141" spans="1:34" ht="14.25" customHeight="1" x14ac:dyDescent="0.25">
      <c r="A4141" s="3"/>
      <c r="B4141" s="3"/>
      <c r="C4141" s="3"/>
      <c r="D4141" s="3"/>
      <c r="E4141" s="3"/>
      <c r="F4141" s="3"/>
      <c r="G4141" s="14"/>
      <c r="H4141" s="11"/>
      <c r="I4141" s="12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</row>
    <row r="4142" spans="1:34" ht="14.25" customHeight="1" x14ac:dyDescent="0.25">
      <c r="A4142" s="3"/>
      <c r="B4142" s="3"/>
      <c r="C4142" s="3"/>
      <c r="D4142" s="3"/>
      <c r="E4142" s="3"/>
      <c r="F4142" s="3"/>
      <c r="G4142" s="3"/>
      <c r="H4142" s="11"/>
      <c r="I4142" s="12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</row>
    <row r="4143" spans="1:34" ht="14.25" customHeight="1" x14ac:dyDescent="0.25">
      <c r="A4143" s="3"/>
      <c r="B4143" s="3"/>
      <c r="C4143" s="3"/>
      <c r="D4143" s="3"/>
      <c r="E4143" s="3"/>
      <c r="F4143" s="3"/>
      <c r="G4143" s="3"/>
      <c r="H4143" s="11"/>
      <c r="I4143" s="12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</row>
    <row r="4144" spans="1:34" ht="14.25" customHeight="1" x14ac:dyDescent="0.25">
      <c r="A4144" s="3"/>
      <c r="B4144" s="3"/>
      <c r="C4144" s="3"/>
      <c r="D4144" s="3"/>
      <c r="E4144" s="3"/>
      <c r="F4144" s="3"/>
      <c r="G4144" s="3"/>
      <c r="H4144" s="11"/>
      <c r="I4144" s="12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</row>
    <row r="4145" spans="1:34" ht="14.25" customHeight="1" x14ac:dyDescent="0.25">
      <c r="A4145" s="3"/>
      <c r="B4145" s="3"/>
      <c r="C4145" s="3"/>
      <c r="D4145" s="3"/>
      <c r="E4145" s="3"/>
      <c r="F4145" s="3"/>
      <c r="G4145" s="3"/>
      <c r="H4145" s="11"/>
      <c r="I4145" s="12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</row>
    <row r="4146" spans="1:34" ht="14.25" customHeight="1" x14ac:dyDescent="0.25">
      <c r="A4146" s="3"/>
      <c r="B4146" s="3"/>
      <c r="C4146" s="3"/>
      <c r="D4146" s="3"/>
      <c r="E4146" s="3"/>
      <c r="F4146" s="3"/>
      <c r="G4146" s="3"/>
      <c r="H4146" s="11"/>
      <c r="I4146" s="12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</row>
    <row r="4147" spans="1:34" ht="14.25" customHeight="1" x14ac:dyDescent="0.25">
      <c r="A4147" s="3"/>
      <c r="B4147" s="3"/>
      <c r="C4147" s="3"/>
      <c r="D4147" s="3"/>
      <c r="E4147" s="3"/>
      <c r="F4147" s="3"/>
      <c r="G4147" s="3"/>
      <c r="H4147" s="11"/>
      <c r="I4147" s="12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</row>
    <row r="4148" spans="1:34" ht="14.25" customHeight="1" x14ac:dyDescent="0.25">
      <c r="A4148" s="3"/>
      <c r="B4148" s="3"/>
      <c r="C4148" s="3"/>
      <c r="D4148" s="3"/>
      <c r="E4148" s="3"/>
      <c r="F4148" s="3"/>
      <c r="G4148" s="3"/>
      <c r="H4148" s="11"/>
      <c r="I4148" s="12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</row>
    <row r="4149" spans="1:34" ht="14.25" customHeight="1" x14ac:dyDescent="0.25">
      <c r="A4149" s="3"/>
      <c r="B4149" s="3"/>
      <c r="C4149" s="3"/>
      <c r="D4149" s="3"/>
      <c r="E4149" s="3"/>
      <c r="F4149" s="3"/>
      <c r="G4149" s="3"/>
      <c r="H4149" s="11"/>
      <c r="I4149" s="12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</row>
    <row r="4150" spans="1:34" ht="14.25" customHeight="1" x14ac:dyDescent="0.25">
      <c r="A4150" s="3"/>
      <c r="B4150" s="3"/>
      <c r="C4150" s="3"/>
      <c r="D4150" s="3"/>
      <c r="E4150" s="3"/>
      <c r="F4150" s="3"/>
      <c r="G4150" s="3"/>
      <c r="H4150" s="11"/>
      <c r="I4150" s="12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</row>
    <row r="4151" spans="1:34" ht="14.25" customHeight="1" x14ac:dyDescent="0.25">
      <c r="A4151" s="3"/>
      <c r="B4151" s="3"/>
      <c r="C4151" s="3"/>
      <c r="D4151" s="3"/>
      <c r="E4151" s="3"/>
      <c r="F4151" s="3"/>
      <c r="G4151" s="3"/>
      <c r="H4151" s="11"/>
      <c r="I4151" s="12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</row>
    <row r="4152" spans="1:34" ht="14.25" customHeight="1" x14ac:dyDescent="0.25">
      <c r="A4152" s="3"/>
      <c r="B4152" s="3"/>
      <c r="C4152" s="3"/>
      <c r="D4152" s="3"/>
      <c r="E4152" s="3"/>
      <c r="F4152" s="3"/>
      <c r="G4152" s="3"/>
      <c r="H4152" s="11"/>
      <c r="I4152" s="12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</row>
    <row r="4153" spans="1:34" ht="14.25" customHeight="1" x14ac:dyDescent="0.25">
      <c r="A4153" s="3"/>
      <c r="B4153" s="3"/>
      <c r="C4153" s="3"/>
      <c r="D4153" s="3"/>
      <c r="E4153" s="3"/>
      <c r="F4153" s="3"/>
      <c r="G4153" s="3"/>
      <c r="H4153" s="11"/>
      <c r="I4153" s="12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</row>
    <row r="4154" spans="1:34" ht="14.25" customHeight="1" x14ac:dyDescent="0.25">
      <c r="A4154" s="3"/>
      <c r="B4154" s="3"/>
      <c r="C4154" s="3"/>
      <c r="D4154" s="3"/>
      <c r="E4154" s="3"/>
      <c r="F4154" s="3"/>
      <c r="G4154" s="3"/>
      <c r="H4154" s="11"/>
      <c r="I4154" s="12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</row>
    <row r="4155" spans="1:34" ht="14.25" customHeight="1" x14ac:dyDescent="0.25">
      <c r="A4155" s="3"/>
      <c r="B4155" s="3"/>
      <c r="C4155" s="3"/>
      <c r="D4155" s="3"/>
      <c r="E4155" s="3"/>
      <c r="F4155" s="3"/>
      <c r="G4155" s="3"/>
      <c r="H4155" s="11"/>
      <c r="I4155" s="12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</row>
    <row r="4156" spans="1:34" ht="14.25" customHeight="1" x14ac:dyDescent="0.25">
      <c r="A4156" s="3"/>
      <c r="B4156" s="3"/>
      <c r="C4156" s="3"/>
      <c r="D4156" s="3"/>
      <c r="E4156" s="3"/>
      <c r="F4156" s="3"/>
      <c r="G4156" s="3"/>
      <c r="H4156" s="11"/>
      <c r="I4156" s="12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</row>
    <row r="4157" spans="1:34" ht="14.25" customHeight="1" x14ac:dyDescent="0.25">
      <c r="A4157" s="3"/>
      <c r="B4157" s="3"/>
      <c r="C4157" s="3"/>
      <c r="D4157" s="3"/>
      <c r="E4157" s="3"/>
      <c r="F4157" s="3"/>
      <c r="G4157" s="3"/>
      <c r="H4157" s="11"/>
      <c r="I4157" s="12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</row>
    <row r="4158" spans="1:34" ht="14.25" customHeight="1" x14ac:dyDescent="0.25">
      <c r="A4158" s="3"/>
      <c r="B4158" s="3"/>
      <c r="C4158" s="3"/>
      <c r="D4158" s="3"/>
      <c r="E4158" s="3"/>
      <c r="F4158" s="3"/>
      <c r="G4158" s="3"/>
      <c r="H4158" s="11"/>
      <c r="I4158" s="12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</row>
    <row r="4159" spans="1:34" ht="14.25" customHeight="1" x14ac:dyDescent="0.25">
      <c r="A4159" s="3"/>
      <c r="B4159" s="3"/>
      <c r="C4159" s="3"/>
      <c r="D4159" s="3"/>
      <c r="E4159" s="3"/>
      <c r="F4159" s="3"/>
      <c r="G4159" s="3"/>
      <c r="H4159" s="11"/>
      <c r="I4159" s="12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</row>
    <row r="4160" spans="1:34" ht="14.25" customHeight="1" x14ac:dyDescent="0.25">
      <c r="A4160" s="3"/>
      <c r="B4160" s="3"/>
      <c r="C4160" s="3"/>
      <c r="D4160" s="3"/>
      <c r="E4160" s="3"/>
      <c r="F4160" s="3"/>
      <c r="G4160" s="3"/>
      <c r="H4160" s="11"/>
      <c r="I4160" s="12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</row>
    <row r="4161" spans="1:34" ht="14.25" customHeight="1" x14ac:dyDescent="0.25">
      <c r="A4161" s="3"/>
      <c r="B4161" s="3"/>
      <c r="C4161" s="3"/>
      <c r="D4161" s="3"/>
      <c r="E4161" s="3"/>
      <c r="F4161" s="3"/>
      <c r="G4161" s="3"/>
      <c r="H4161" s="11"/>
      <c r="I4161" s="12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</row>
    <row r="4162" spans="1:34" ht="14.25" customHeight="1" x14ac:dyDescent="0.25">
      <c r="A4162" s="3"/>
      <c r="B4162" s="3"/>
      <c r="C4162" s="3"/>
      <c r="D4162" s="3"/>
      <c r="E4162" s="3"/>
      <c r="F4162" s="3"/>
      <c r="G4162" s="3"/>
      <c r="H4162" s="11"/>
      <c r="I4162" s="12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</row>
    <row r="4163" spans="1:34" ht="14.25" customHeight="1" x14ac:dyDescent="0.25">
      <c r="A4163" s="3"/>
      <c r="B4163" s="3"/>
      <c r="C4163" s="3"/>
      <c r="D4163" s="3"/>
      <c r="E4163" s="3"/>
      <c r="F4163" s="3"/>
      <c r="G4163" s="3"/>
      <c r="H4163" s="11"/>
      <c r="I4163" s="12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</row>
    <row r="4164" spans="1:34" ht="14.25" customHeight="1" x14ac:dyDescent="0.25">
      <c r="A4164" s="3"/>
      <c r="B4164" s="3"/>
      <c r="C4164" s="3"/>
      <c r="D4164" s="3"/>
      <c r="E4164" s="3"/>
      <c r="F4164" s="3"/>
      <c r="G4164" s="3"/>
      <c r="H4164" s="11"/>
      <c r="I4164" s="12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</row>
    <row r="4165" spans="1:34" ht="14.25" customHeight="1" x14ac:dyDescent="0.25">
      <c r="A4165" s="3"/>
      <c r="B4165" s="3"/>
      <c r="C4165" s="3"/>
      <c r="D4165" s="3"/>
      <c r="E4165" s="3"/>
      <c r="F4165" s="3"/>
      <c r="G4165" s="3"/>
      <c r="H4165" s="11"/>
      <c r="I4165" s="12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</row>
    <row r="4166" spans="1:34" ht="14.25" customHeight="1" x14ac:dyDescent="0.25">
      <c r="A4166" s="3"/>
      <c r="B4166" s="3"/>
      <c r="C4166" s="3"/>
      <c r="D4166" s="3"/>
      <c r="E4166" s="3"/>
      <c r="F4166" s="3"/>
      <c r="G4166" s="3"/>
      <c r="H4166" s="11"/>
      <c r="I4166" s="12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</row>
    <row r="4167" spans="1:34" ht="14.25" customHeight="1" x14ac:dyDescent="0.25">
      <c r="A4167" s="3"/>
      <c r="B4167" s="3"/>
      <c r="C4167" s="3"/>
      <c r="D4167" s="3"/>
      <c r="E4167" s="3"/>
      <c r="F4167" s="3"/>
      <c r="G4167" s="3"/>
      <c r="H4167" s="11"/>
      <c r="I4167" s="12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</row>
    <row r="4168" spans="1:34" ht="14.25" customHeight="1" x14ac:dyDescent="0.25">
      <c r="A4168" s="3"/>
      <c r="B4168" s="3"/>
      <c r="C4168" s="3"/>
      <c r="D4168" s="3"/>
      <c r="E4168" s="3"/>
      <c r="F4168" s="3"/>
      <c r="G4168" s="3"/>
      <c r="H4168" s="11"/>
      <c r="I4168" s="12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</row>
    <row r="4169" spans="1:34" ht="14.25" customHeight="1" x14ac:dyDescent="0.25">
      <c r="A4169" s="3"/>
      <c r="B4169" s="3"/>
      <c r="C4169" s="3"/>
      <c r="D4169" s="3"/>
      <c r="E4169" s="3"/>
      <c r="F4169" s="3"/>
      <c r="G4169" s="3"/>
      <c r="H4169" s="11"/>
      <c r="I4169" s="12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</row>
    <row r="4170" spans="1:34" ht="14.25" customHeight="1" x14ac:dyDescent="0.25">
      <c r="A4170" s="3"/>
      <c r="B4170" s="3"/>
      <c r="C4170" s="3"/>
      <c r="D4170" s="3"/>
      <c r="E4170" s="3"/>
      <c r="F4170" s="3"/>
      <c r="G4170" s="3"/>
      <c r="H4170" s="11"/>
      <c r="I4170" s="12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</row>
    <row r="4171" spans="1:34" ht="14.25" customHeight="1" x14ac:dyDescent="0.25">
      <c r="A4171" s="3"/>
      <c r="B4171" s="3"/>
      <c r="C4171" s="3"/>
      <c r="D4171" s="3"/>
      <c r="E4171" s="3"/>
      <c r="F4171" s="3"/>
      <c r="G4171" s="3"/>
      <c r="H4171" s="11"/>
      <c r="I4171" s="12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</row>
    <row r="4172" spans="1:34" ht="14.25" customHeight="1" x14ac:dyDescent="0.25">
      <c r="A4172" s="3"/>
      <c r="B4172" s="3"/>
      <c r="C4172" s="3"/>
      <c r="D4172" s="3"/>
      <c r="E4172" s="3"/>
      <c r="F4172" s="3"/>
      <c r="G4172" s="14"/>
      <c r="H4172" s="11"/>
      <c r="I4172" s="12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</row>
    <row r="4173" spans="1:34" ht="14.25" customHeight="1" x14ac:dyDescent="0.25">
      <c r="A4173" s="3"/>
      <c r="B4173" s="3"/>
      <c r="C4173" s="3"/>
      <c r="D4173" s="3"/>
      <c r="E4173" s="3"/>
      <c r="F4173" s="3"/>
      <c r="G4173" s="3"/>
      <c r="H4173" s="11"/>
      <c r="I4173" s="12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</row>
    <row r="4174" spans="1:34" ht="14.25" customHeight="1" x14ac:dyDescent="0.25">
      <c r="A4174" s="3"/>
      <c r="B4174" s="3"/>
      <c r="C4174" s="3"/>
      <c r="D4174" s="3"/>
      <c r="E4174" s="3"/>
      <c r="F4174" s="3"/>
      <c r="G4174" s="3"/>
      <c r="H4174" s="11"/>
      <c r="I4174" s="12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</row>
    <row r="4175" spans="1:34" ht="14.25" customHeight="1" x14ac:dyDescent="0.25">
      <c r="A4175" s="3"/>
      <c r="B4175" s="3"/>
      <c r="C4175" s="3"/>
      <c r="D4175" s="3"/>
      <c r="E4175" s="3"/>
      <c r="F4175" s="3"/>
      <c r="G4175" s="3"/>
      <c r="H4175" s="11"/>
      <c r="I4175" s="12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</row>
    <row r="4176" spans="1:34" ht="14.25" customHeight="1" x14ac:dyDescent="0.25">
      <c r="A4176" s="3"/>
      <c r="B4176" s="3"/>
      <c r="C4176" s="3"/>
      <c r="D4176" s="3"/>
      <c r="E4176" s="3"/>
      <c r="F4176" s="3"/>
      <c r="G4176" s="3"/>
      <c r="H4176" s="11"/>
      <c r="I4176" s="12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</row>
    <row r="4177" spans="1:34" ht="14.25" customHeight="1" x14ac:dyDescent="0.25">
      <c r="A4177" s="3"/>
      <c r="B4177" s="3"/>
      <c r="C4177" s="3"/>
      <c r="D4177" s="3"/>
      <c r="E4177" s="3"/>
      <c r="F4177" s="3"/>
      <c r="G4177" s="3"/>
      <c r="H4177" s="11"/>
      <c r="I4177" s="12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</row>
    <row r="4178" spans="1:34" ht="14.25" customHeight="1" x14ac:dyDescent="0.25">
      <c r="A4178" s="3"/>
      <c r="B4178" s="3"/>
      <c r="C4178" s="3"/>
      <c r="D4178" s="3"/>
      <c r="E4178" s="3"/>
      <c r="F4178" s="3"/>
      <c r="G4178" s="3"/>
      <c r="H4178" s="11"/>
      <c r="I4178" s="12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</row>
    <row r="4179" spans="1:34" ht="14.25" customHeight="1" x14ac:dyDescent="0.25">
      <c r="A4179" s="3"/>
      <c r="B4179" s="3"/>
      <c r="C4179" s="3"/>
      <c r="D4179" s="3"/>
      <c r="E4179" s="3"/>
      <c r="F4179" s="3"/>
      <c r="G4179" s="3"/>
      <c r="H4179" s="11"/>
      <c r="I4179" s="12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</row>
    <row r="4180" spans="1:34" ht="14.25" customHeight="1" x14ac:dyDescent="0.25">
      <c r="A4180" s="3"/>
      <c r="B4180" s="3"/>
      <c r="C4180" s="3"/>
      <c r="D4180" s="3"/>
      <c r="E4180" s="3"/>
      <c r="F4180" s="3"/>
      <c r="G4180" s="3"/>
      <c r="H4180" s="11"/>
      <c r="I4180" s="12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</row>
    <row r="4181" spans="1:34" ht="14.25" customHeight="1" x14ac:dyDescent="0.25">
      <c r="A4181" s="3"/>
      <c r="B4181" s="3"/>
      <c r="C4181" s="3"/>
      <c r="D4181" s="3"/>
      <c r="E4181" s="3"/>
      <c r="F4181" s="3"/>
      <c r="G4181" s="3"/>
      <c r="H4181" s="11"/>
      <c r="I4181" s="12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</row>
    <row r="4182" spans="1:34" ht="14.25" customHeight="1" x14ac:dyDescent="0.25">
      <c r="A4182" s="3"/>
      <c r="B4182" s="3"/>
      <c r="C4182" s="3"/>
      <c r="D4182" s="3"/>
      <c r="E4182" s="3"/>
      <c r="F4182" s="3"/>
      <c r="G4182" s="3"/>
      <c r="H4182" s="11"/>
      <c r="I4182" s="12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</row>
    <row r="4183" spans="1:34" ht="14.25" customHeight="1" x14ac:dyDescent="0.25">
      <c r="A4183" s="3"/>
      <c r="B4183" s="3"/>
      <c r="C4183" s="3"/>
      <c r="D4183" s="3"/>
      <c r="E4183" s="3"/>
      <c r="F4183" s="3"/>
      <c r="G4183" s="3"/>
      <c r="H4183" s="11"/>
      <c r="I4183" s="12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</row>
    <row r="4184" spans="1:34" ht="14.25" customHeight="1" x14ac:dyDescent="0.25">
      <c r="A4184" s="3"/>
      <c r="B4184" s="3"/>
      <c r="C4184" s="3"/>
      <c r="D4184" s="3"/>
      <c r="E4184" s="3"/>
      <c r="F4184" s="3"/>
      <c r="G4184" s="3"/>
      <c r="H4184" s="11"/>
      <c r="I4184" s="12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</row>
    <row r="4185" spans="1:34" ht="14.25" customHeight="1" x14ac:dyDescent="0.25">
      <c r="A4185" s="3"/>
      <c r="B4185" s="3"/>
      <c r="C4185" s="3"/>
      <c r="D4185" s="3"/>
      <c r="E4185" s="3"/>
      <c r="F4185" s="3"/>
      <c r="G4185" s="3"/>
      <c r="H4185" s="11"/>
      <c r="I4185" s="12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</row>
    <row r="4186" spans="1:34" ht="14.25" customHeight="1" x14ac:dyDescent="0.25">
      <c r="A4186" s="3"/>
      <c r="B4186" s="3"/>
      <c r="C4186" s="3"/>
      <c r="D4186" s="3"/>
      <c r="E4186" s="3"/>
      <c r="F4186" s="3"/>
      <c r="G4186" s="3"/>
      <c r="H4186" s="11"/>
      <c r="I4186" s="12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</row>
    <row r="4187" spans="1:34" ht="14.25" customHeight="1" x14ac:dyDescent="0.25">
      <c r="A4187" s="3"/>
      <c r="B4187" s="3"/>
      <c r="C4187" s="3"/>
      <c r="D4187" s="3"/>
      <c r="E4187" s="3"/>
      <c r="F4187" s="3"/>
      <c r="G4187" s="3"/>
      <c r="H4187" s="11"/>
      <c r="I4187" s="12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</row>
    <row r="4188" spans="1:34" ht="14.25" customHeight="1" x14ac:dyDescent="0.25">
      <c r="A4188" s="3"/>
      <c r="B4188" s="3"/>
      <c r="C4188" s="3"/>
      <c r="D4188" s="3"/>
      <c r="E4188" s="3"/>
      <c r="F4188" s="3"/>
      <c r="G4188" s="3"/>
      <c r="H4188" s="11"/>
      <c r="I4188" s="12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</row>
    <row r="4189" spans="1:34" ht="14.25" customHeight="1" x14ac:dyDescent="0.25">
      <c r="A4189" s="3"/>
      <c r="B4189" s="3"/>
      <c r="C4189" s="3"/>
      <c r="D4189" s="3"/>
      <c r="E4189" s="3"/>
      <c r="F4189" s="3"/>
      <c r="G4189" s="3"/>
      <c r="H4189" s="11"/>
      <c r="I4189" s="12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</row>
    <row r="4190" spans="1:34" ht="14.25" customHeight="1" x14ac:dyDescent="0.25">
      <c r="A4190" s="3"/>
      <c r="B4190" s="3"/>
      <c r="C4190" s="3"/>
      <c r="D4190" s="3"/>
      <c r="E4190" s="3"/>
      <c r="F4190" s="3"/>
      <c r="G4190" s="3"/>
      <c r="H4190" s="11"/>
      <c r="I4190" s="12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</row>
    <row r="4191" spans="1:34" ht="14.25" customHeight="1" x14ac:dyDescent="0.25">
      <c r="A4191" s="3"/>
      <c r="B4191" s="3"/>
      <c r="C4191" s="3"/>
      <c r="D4191" s="3"/>
      <c r="E4191" s="3"/>
      <c r="F4191" s="3"/>
      <c r="G4191" s="3"/>
      <c r="H4191" s="11"/>
      <c r="I4191" s="12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</row>
    <row r="4192" spans="1:34" ht="14.25" customHeight="1" x14ac:dyDescent="0.25">
      <c r="A4192" s="3"/>
      <c r="B4192" s="3"/>
      <c r="C4192" s="3"/>
      <c r="D4192" s="3"/>
      <c r="E4192" s="3"/>
      <c r="F4192" s="3"/>
      <c r="G4192" s="3"/>
      <c r="H4192" s="11"/>
      <c r="I4192" s="12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</row>
    <row r="4193" spans="1:34" ht="14.25" customHeight="1" x14ac:dyDescent="0.25">
      <c r="A4193" s="3"/>
      <c r="B4193" s="3"/>
      <c r="C4193" s="3"/>
      <c r="D4193" s="3"/>
      <c r="E4193" s="3"/>
      <c r="F4193" s="3"/>
      <c r="G4193" s="3"/>
      <c r="H4193" s="11"/>
      <c r="I4193" s="12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</row>
    <row r="4194" spans="1:34" ht="14.25" customHeight="1" x14ac:dyDescent="0.25">
      <c r="A4194" s="3"/>
      <c r="B4194" s="3"/>
      <c r="C4194" s="3"/>
      <c r="D4194" s="3"/>
      <c r="E4194" s="3"/>
      <c r="F4194" s="3"/>
      <c r="G4194" s="3"/>
      <c r="H4194" s="11"/>
      <c r="I4194" s="12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</row>
    <row r="4195" spans="1:34" ht="14.25" customHeight="1" x14ac:dyDescent="0.25">
      <c r="A4195" s="3"/>
      <c r="B4195" s="3"/>
      <c r="C4195" s="3"/>
      <c r="D4195" s="3"/>
      <c r="E4195" s="3"/>
      <c r="F4195" s="3"/>
      <c r="G4195" s="3"/>
      <c r="H4195" s="11"/>
      <c r="I4195" s="12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</row>
    <row r="4196" spans="1:34" ht="14.25" customHeight="1" x14ac:dyDescent="0.25">
      <c r="A4196" s="3"/>
      <c r="B4196" s="3"/>
      <c r="C4196" s="3"/>
      <c r="D4196" s="3"/>
      <c r="E4196" s="3"/>
      <c r="F4196" s="3"/>
      <c r="G4196" s="3"/>
      <c r="H4196" s="11"/>
      <c r="I4196" s="12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</row>
    <row r="4197" spans="1:34" ht="14.25" customHeight="1" x14ac:dyDescent="0.25">
      <c r="A4197" s="3"/>
      <c r="B4197" s="3"/>
      <c r="C4197" s="3"/>
      <c r="D4197" s="3"/>
      <c r="E4197" s="3"/>
      <c r="F4197" s="3"/>
      <c r="G4197" s="3"/>
      <c r="H4197" s="11"/>
      <c r="I4197" s="12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</row>
    <row r="4198" spans="1:34" ht="14.25" customHeight="1" x14ac:dyDescent="0.25">
      <c r="A4198" s="3"/>
      <c r="B4198" s="3"/>
      <c r="C4198" s="3"/>
      <c r="D4198" s="3"/>
      <c r="E4198" s="3"/>
      <c r="F4198" s="3"/>
      <c r="G4198" s="3"/>
      <c r="H4198" s="11"/>
      <c r="I4198" s="12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</row>
    <row r="4199" spans="1:34" ht="14.25" customHeight="1" x14ac:dyDescent="0.25">
      <c r="A4199" s="3"/>
      <c r="B4199" s="3"/>
      <c r="C4199" s="3"/>
      <c r="D4199" s="3"/>
      <c r="E4199" s="3"/>
      <c r="F4199" s="3"/>
      <c r="G4199" s="3"/>
      <c r="H4199" s="11"/>
      <c r="I4199" s="12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</row>
    <row r="4200" spans="1:34" ht="14.25" customHeight="1" x14ac:dyDescent="0.25">
      <c r="A4200" s="3"/>
      <c r="B4200" s="3"/>
      <c r="C4200" s="3"/>
      <c r="D4200" s="3"/>
      <c r="E4200" s="3"/>
      <c r="F4200" s="3"/>
      <c r="G4200" s="3"/>
      <c r="H4200" s="11"/>
      <c r="I4200" s="12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</row>
    <row r="4201" spans="1:34" ht="14.25" customHeight="1" x14ac:dyDescent="0.25">
      <c r="A4201" s="3"/>
      <c r="B4201" s="3"/>
      <c r="C4201" s="3"/>
      <c r="D4201" s="3"/>
      <c r="E4201" s="3"/>
      <c r="F4201" s="3"/>
      <c r="G4201" s="14"/>
      <c r="H4201" s="11"/>
      <c r="I4201" s="12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</row>
    <row r="4202" spans="1:34" ht="14.25" customHeight="1" x14ac:dyDescent="0.25">
      <c r="A4202" s="3"/>
      <c r="B4202" s="3"/>
      <c r="C4202" s="3"/>
      <c r="D4202" s="3"/>
      <c r="E4202" s="3"/>
      <c r="F4202" s="3"/>
      <c r="G4202" s="3"/>
      <c r="H4202" s="11"/>
      <c r="I4202" s="12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</row>
    <row r="4203" spans="1:34" ht="14.25" customHeight="1" x14ac:dyDescent="0.25">
      <c r="A4203" s="3"/>
      <c r="B4203" s="3"/>
      <c r="C4203" s="3"/>
      <c r="D4203" s="3"/>
      <c r="E4203" s="3"/>
      <c r="F4203" s="3"/>
      <c r="G4203" s="3"/>
      <c r="H4203" s="11"/>
      <c r="I4203" s="12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</row>
    <row r="4204" spans="1:34" ht="14.25" customHeight="1" x14ac:dyDescent="0.25">
      <c r="A4204" s="3"/>
      <c r="B4204" s="3"/>
      <c r="C4204" s="3"/>
      <c r="D4204" s="3"/>
      <c r="E4204" s="3"/>
      <c r="F4204" s="3"/>
      <c r="G4204" s="3"/>
      <c r="H4204" s="11"/>
      <c r="I4204" s="12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</row>
    <row r="4205" spans="1:34" ht="14.25" customHeight="1" x14ac:dyDescent="0.25">
      <c r="A4205" s="3"/>
      <c r="B4205" s="3"/>
      <c r="C4205" s="3"/>
      <c r="D4205" s="3"/>
      <c r="E4205" s="3"/>
      <c r="F4205" s="3"/>
      <c r="G4205" s="3"/>
      <c r="H4205" s="11"/>
      <c r="I4205" s="12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</row>
    <row r="4206" spans="1:34" ht="14.25" customHeight="1" x14ac:dyDescent="0.25">
      <c r="A4206" s="3"/>
      <c r="B4206" s="3"/>
      <c r="C4206" s="3"/>
      <c r="D4206" s="3"/>
      <c r="E4206" s="3"/>
      <c r="F4206" s="3"/>
      <c r="G4206" s="3"/>
      <c r="H4206" s="11"/>
      <c r="I4206" s="12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</row>
    <row r="4207" spans="1:34" ht="14.25" customHeight="1" x14ac:dyDescent="0.25">
      <c r="A4207" s="3"/>
      <c r="B4207" s="3"/>
      <c r="C4207" s="3"/>
      <c r="D4207" s="3"/>
      <c r="E4207" s="3"/>
      <c r="F4207" s="3"/>
      <c r="G4207" s="3"/>
      <c r="H4207" s="11"/>
      <c r="I4207" s="12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</row>
    <row r="4208" spans="1:34" ht="14.25" customHeight="1" x14ac:dyDescent="0.25">
      <c r="A4208" s="3"/>
      <c r="B4208" s="3"/>
      <c r="C4208" s="3"/>
      <c r="D4208" s="3"/>
      <c r="E4208" s="3"/>
      <c r="F4208" s="3"/>
      <c r="G4208" s="3"/>
      <c r="H4208" s="11"/>
      <c r="I4208" s="12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</row>
    <row r="4209" spans="1:34" ht="14.25" customHeight="1" x14ac:dyDescent="0.25">
      <c r="A4209" s="3"/>
      <c r="B4209" s="3"/>
      <c r="C4209" s="3"/>
      <c r="D4209" s="3"/>
      <c r="E4209" s="3"/>
      <c r="F4209" s="3"/>
      <c r="G4209" s="3"/>
      <c r="H4209" s="11"/>
      <c r="I4209" s="12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</row>
    <row r="4210" spans="1:34" ht="14.25" customHeight="1" x14ac:dyDescent="0.25">
      <c r="A4210" s="3"/>
      <c r="B4210" s="3"/>
      <c r="C4210" s="3"/>
      <c r="D4210" s="3"/>
      <c r="E4210" s="3"/>
      <c r="F4210" s="3"/>
      <c r="G4210" s="3"/>
      <c r="H4210" s="11"/>
      <c r="I4210" s="12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</row>
    <row r="4211" spans="1:34" ht="14.25" customHeight="1" x14ac:dyDescent="0.25">
      <c r="A4211" s="3"/>
      <c r="B4211" s="3"/>
      <c r="C4211" s="3"/>
      <c r="D4211" s="3"/>
      <c r="E4211" s="3"/>
      <c r="F4211" s="3"/>
      <c r="G4211" s="3"/>
      <c r="H4211" s="11"/>
      <c r="I4211" s="12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</row>
    <row r="4212" spans="1:34" ht="14.25" customHeight="1" x14ac:dyDescent="0.25">
      <c r="A4212" s="3"/>
      <c r="B4212" s="3"/>
      <c r="C4212" s="3"/>
      <c r="D4212" s="3"/>
      <c r="E4212" s="3"/>
      <c r="F4212" s="3"/>
      <c r="G4212" s="3"/>
      <c r="H4212" s="11"/>
      <c r="I4212" s="12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</row>
    <row r="4213" spans="1:34" ht="14.25" customHeight="1" x14ac:dyDescent="0.25">
      <c r="A4213" s="3"/>
      <c r="B4213" s="3"/>
      <c r="C4213" s="3"/>
      <c r="D4213" s="3"/>
      <c r="E4213" s="3"/>
      <c r="F4213" s="3"/>
      <c r="G4213" s="3"/>
      <c r="H4213" s="11"/>
      <c r="I4213" s="12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</row>
    <row r="4214" spans="1:34" ht="14.25" customHeight="1" x14ac:dyDescent="0.25">
      <c r="A4214" s="3"/>
      <c r="B4214" s="3"/>
      <c r="C4214" s="3"/>
      <c r="D4214" s="3"/>
      <c r="E4214" s="3"/>
      <c r="F4214" s="3"/>
      <c r="G4214" s="3"/>
      <c r="H4214" s="11"/>
      <c r="I4214" s="12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</row>
    <row r="4215" spans="1:34" ht="14.25" customHeight="1" x14ac:dyDescent="0.25">
      <c r="A4215" s="3"/>
      <c r="B4215" s="3"/>
      <c r="C4215" s="3"/>
      <c r="D4215" s="3"/>
      <c r="E4215" s="3"/>
      <c r="F4215" s="3"/>
      <c r="G4215" s="3"/>
      <c r="H4215" s="11"/>
      <c r="I4215" s="12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</row>
    <row r="4216" spans="1:34" ht="14.25" customHeight="1" x14ac:dyDescent="0.25">
      <c r="A4216" s="3"/>
      <c r="B4216" s="3"/>
      <c r="C4216" s="3"/>
      <c r="D4216" s="3"/>
      <c r="E4216" s="3"/>
      <c r="F4216" s="3"/>
      <c r="G4216" s="3"/>
      <c r="H4216" s="11"/>
      <c r="I4216" s="12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</row>
    <row r="4217" spans="1:34" ht="14.25" customHeight="1" x14ac:dyDescent="0.25">
      <c r="A4217" s="3"/>
      <c r="B4217" s="3"/>
      <c r="C4217" s="3"/>
      <c r="D4217" s="3"/>
      <c r="E4217" s="3"/>
      <c r="F4217" s="3"/>
      <c r="G4217" s="3"/>
      <c r="H4217" s="11"/>
      <c r="I4217" s="12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</row>
    <row r="4218" spans="1:34" ht="14.25" customHeight="1" x14ac:dyDescent="0.25">
      <c r="A4218" s="3"/>
      <c r="B4218" s="3"/>
      <c r="C4218" s="3"/>
      <c r="D4218" s="3"/>
      <c r="E4218" s="3"/>
      <c r="F4218" s="3"/>
      <c r="G4218" s="3"/>
      <c r="H4218" s="11"/>
      <c r="I4218" s="12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</row>
    <row r="4219" spans="1:34" ht="14.25" customHeight="1" x14ac:dyDescent="0.25">
      <c r="A4219" s="3"/>
      <c r="B4219" s="3"/>
      <c r="C4219" s="3"/>
      <c r="D4219" s="3"/>
      <c r="E4219" s="3"/>
      <c r="F4219" s="3"/>
      <c r="G4219" s="3"/>
      <c r="H4219" s="11"/>
      <c r="I4219" s="12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</row>
    <row r="4220" spans="1:34" ht="14.25" customHeight="1" x14ac:dyDescent="0.25">
      <c r="A4220" s="3"/>
      <c r="B4220" s="3"/>
      <c r="C4220" s="3"/>
      <c r="D4220" s="3"/>
      <c r="E4220" s="3"/>
      <c r="F4220" s="3"/>
      <c r="G4220" s="3"/>
      <c r="H4220" s="11"/>
      <c r="I4220" s="12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</row>
    <row r="4221" spans="1:34" ht="14.25" customHeight="1" x14ac:dyDescent="0.25">
      <c r="A4221" s="3"/>
      <c r="B4221" s="3"/>
      <c r="C4221" s="3"/>
      <c r="D4221" s="3"/>
      <c r="E4221" s="3"/>
      <c r="F4221" s="3"/>
      <c r="G4221" s="3"/>
      <c r="H4221" s="11"/>
      <c r="I4221" s="12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</row>
    <row r="4222" spans="1:34" ht="14.25" customHeight="1" x14ac:dyDescent="0.25">
      <c r="A4222" s="3"/>
      <c r="B4222" s="3"/>
      <c r="C4222" s="3"/>
      <c r="D4222" s="3"/>
      <c r="E4222" s="3"/>
      <c r="F4222" s="3"/>
      <c r="G4222" s="3"/>
      <c r="H4222" s="11"/>
      <c r="I4222" s="12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</row>
    <row r="4223" spans="1:34" ht="14.25" customHeight="1" x14ac:dyDescent="0.25">
      <c r="A4223" s="3"/>
      <c r="B4223" s="3"/>
      <c r="C4223" s="3"/>
      <c r="D4223" s="3"/>
      <c r="E4223" s="3"/>
      <c r="F4223" s="3"/>
      <c r="G4223" s="3"/>
      <c r="H4223" s="11"/>
      <c r="I4223" s="12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</row>
    <row r="4224" spans="1:34" ht="14.25" customHeight="1" x14ac:dyDescent="0.25">
      <c r="A4224" s="3"/>
      <c r="B4224" s="3"/>
      <c r="C4224" s="3"/>
      <c r="D4224" s="3"/>
      <c r="E4224" s="3"/>
      <c r="F4224" s="3"/>
      <c r="G4224" s="3"/>
      <c r="H4224" s="11"/>
      <c r="I4224" s="12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</row>
    <row r="4225" spans="1:34" ht="14.25" customHeight="1" x14ac:dyDescent="0.25">
      <c r="A4225" s="3"/>
      <c r="B4225" s="3"/>
      <c r="C4225" s="3"/>
      <c r="D4225" s="3"/>
      <c r="E4225" s="3"/>
      <c r="F4225" s="3"/>
      <c r="G4225" s="3"/>
      <c r="H4225" s="11"/>
      <c r="I4225" s="12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</row>
    <row r="4226" spans="1:34" ht="14.25" customHeight="1" x14ac:dyDescent="0.25">
      <c r="A4226" s="3"/>
      <c r="B4226" s="3"/>
      <c r="C4226" s="3"/>
      <c r="D4226" s="3"/>
      <c r="E4226" s="3"/>
      <c r="F4226" s="3"/>
      <c r="G4226" s="3"/>
      <c r="H4226" s="11"/>
      <c r="I4226" s="12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</row>
    <row r="4227" spans="1:34" ht="14.25" customHeight="1" x14ac:dyDescent="0.25">
      <c r="A4227" s="3"/>
      <c r="B4227" s="3"/>
      <c r="C4227" s="3"/>
      <c r="D4227" s="3"/>
      <c r="E4227" s="3"/>
      <c r="F4227" s="3"/>
      <c r="G4227" s="3"/>
      <c r="H4227" s="11"/>
      <c r="I4227" s="12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</row>
    <row r="4228" spans="1:34" ht="14.25" customHeight="1" x14ac:dyDescent="0.25">
      <c r="A4228" s="3"/>
      <c r="B4228" s="3"/>
      <c r="C4228" s="3"/>
      <c r="D4228" s="3"/>
      <c r="E4228" s="3"/>
      <c r="F4228" s="3"/>
      <c r="G4228" s="3"/>
      <c r="H4228" s="11"/>
      <c r="I4228" s="12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</row>
    <row r="4229" spans="1:34" ht="14.25" customHeight="1" x14ac:dyDescent="0.25">
      <c r="A4229" s="3"/>
      <c r="B4229" s="3"/>
      <c r="C4229" s="3"/>
      <c r="D4229" s="3"/>
      <c r="E4229" s="3"/>
      <c r="F4229" s="3"/>
      <c r="G4229" s="3"/>
      <c r="H4229" s="11"/>
      <c r="I4229" s="12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</row>
    <row r="4230" spans="1:34" ht="14.25" customHeight="1" x14ac:dyDescent="0.25">
      <c r="A4230" s="3"/>
      <c r="B4230" s="3"/>
      <c r="C4230" s="3"/>
      <c r="D4230" s="3"/>
      <c r="E4230" s="3"/>
      <c r="F4230" s="3"/>
      <c r="G4230" s="3"/>
      <c r="H4230" s="11"/>
      <c r="I4230" s="12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</row>
    <row r="4231" spans="1:34" ht="14.25" customHeight="1" x14ac:dyDescent="0.25">
      <c r="A4231" s="3"/>
      <c r="B4231" s="3"/>
      <c r="C4231" s="3"/>
      <c r="D4231" s="3"/>
      <c r="E4231" s="3"/>
      <c r="F4231" s="3"/>
      <c r="G4231" s="3"/>
      <c r="H4231" s="11"/>
      <c r="I4231" s="12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</row>
    <row r="4232" spans="1:34" ht="14.25" customHeight="1" x14ac:dyDescent="0.25">
      <c r="A4232" s="3"/>
      <c r="B4232" s="3"/>
      <c r="C4232" s="3"/>
      <c r="D4232" s="3"/>
      <c r="E4232" s="3"/>
      <c r="F4232" s="3"/>
      <c r="G4232" s="3"/>
      <c r="H4232" s="11"/>
      <c r="I4232" s="12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</row>
    <row r="4233" spans="1:34" ht="14.25" customHeight="1" x14ac:dyDescent="0.25">
      <c r="A4233" s="3"/>
      <c r="B4233" s="3"/>
      <c r="C4233" s="3"/>
      <c r="D4233" s="3"/>
      <c r="E4233" s="3"/>
      <c r="F4233" s="3"/>
      <c r="G4233" s="3"/>
      <c r="H4233" s="11"/>
      <c r="I4233" s="12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</row>
    <row r="4234" spans="1:34" ht="14.25" customHeight="1" x14ac:dyDescent="0.25">
      <c r="A4234" s="3"/>
      <c r="B4234" s="3"/>
      <c r="C4234" s="3"/>
      <c r="D4234" s="3"/>
      <c r="E4234" s="3"/>
      <c r="F4234" s="3"/>
      <c r="G4234" s="3"/>
      <c r="H4234" s="11"/>
      <c r="I4234" s="12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</row>
    <row r="4235" spans="1:34" ht="14.25" customHeight="1" x14ac:dyDescent="0.25">
      <c r="A4235" s="3"/>
      <c r="B4235" s="3"/>
      <c r="C4235" s="3"/>
      <c r="D4235" s="3"/>
      <c r="E4235" s="3"/>
      <c r="F4235" s="3"/>
      <c r="G4235" s="3"/>
      <c r="H4235" s="11"/>
      <c r="I4235" s="12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</row>
    <row r="4236" spans="1:34" ht="14.25" customHeight="1" x14ac:dyDescent="0.25">
      <c r="A4236" s="3"/>
      <c r="B4236" s="3"/>
      <c r="C4236" s="3"/>
      <c r="D4236" s="3"/>
      <c r="E4236" s="3"/>
      <c r="F4236" s="3"/>
      <c r="G4236" s="3"/>
      <c r="H4236" s="11"/>
      <c r="I4236" s="12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</row>
    <row r="4237" spans="1:34" ht="14.25" customHeight="1" x14ac:dyDescent="0.25">
      <c r="A4237" s="3"/>
      <c r="B4237" s="3"/>
      <c r="C4237" s="3"/>
      <c r="D4237" s="3"/>
      <c r="E4237" s="3"/>
      <c r="F4237" s="3"/>
      <c r="G4237" s="3"/>
      <c r="H4237" s="11"/>
      <c r="I4237" s="12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</row>
    <row r="4238" spans="1:34" ht="14.25" customHeight="1" x14ac:dyDescent="0.25">
      <c r="A4238" s="3"/>
      <c r="B4238" s="3"/>
      <c r="C4238" s="3"/>
      <c r="D4238" s="3"/>
      <c r="E4238" s="3"/>
      <c r="F4238" s="3"/>
      <c r="G4238" s="3"/>
      <c r="H4238" s="11"/>
      <c r="I4238" s="12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</row>
    <row r="4239" spans="1:34" ht="14.25" customHeight="1" x14ac:dyDescent="0.25">
      <c r="A4239" s="3"/>
      <c r="B4239" s="3"/>
      <c r="C4239" s="3"/>
      <c r="D4239" s="3"/>
      <c r="E4239" s="3"/>
      <c r="F4239" s="3"/>
      <c r="G4239" s="3"/>
      <c r="H4239" s="11"/>
      <c r="I4239" s="12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</row>
    <row r="4240" spans="1:34" ht="14.25" customHeight="1" x14ac:dyDescent="0.25">
      <c r="A4240" s="3"/>
      <c r="B4240" s="3"/>
      <c r="C4240" s="3"/>
      <c r="D4240" s="3"/>
      <c r="E4240" s="3"/>
      <c r="F4240" s="3"/>
      <c r="G4240" s="3"/>
      <c r="H4240" s="11"/>
      <c r="I4240" s="12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</row>
    <row r="4241" spans="1:34" ht="14.25" customHeight="1" x14ac:dyDescent="0.25">
      <c r="A4241" s="3"/>
      <c r="B4241" s="3"/>
      <c r="C4241" s="3"/>
      <c r="D4241" s="3"/>
      <c r="E4241" s="3"/>
      <c r="F4241" s="3"/>
      <c r="G4241" s="3"/>
      <c r="H4241" s="11"/>
      <c r="I4241" s="12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</row>
    <row r="4242" spans="1:34" ht="14.25" customHeight="1" x14ac:dyDescent="0.25">
      <c r="A4242" s="3"/>
      <c r="B4242" s="3"/>
      <c r="C4242" s="3"/>
      <c r="D4242" s="3"/>
      <c r="E4242" s="3"/>
      <c r="F4242" s="3"/>
      <c r="G4242" s="3"/>
      <c r="H4242" s="11"/>
      <c r="I4242" s="12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</row>
    <row r="4243" spans="1:34" ht="14.25" customHeight="1" x14ac:dyDescent="0.25">
      <c r="A4243" s="3"/>
      <c r="B4243" s="3"/>
      <c r="C4243" s="3"/>
      <c r="D4243" s="3"/>
      <c r="E4243" s="3"/>
      <c r="F4243" s="3"/>
      <c r="G4243" s="3"/>
      <c r="H4243" s="11"/>
      <c r="I4243" s="12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</row>
    <row r="4244" spans="1:34" ht="14.25" customHeight="1" x14ac:dyDescent="0.25">
      <c r="A4244" s="3"/>
      <c r="B4244" s="3"/>
      <c r="C4244" s="3"/>
      <c r="D4244" s="3"/>
      <c r="E4244" s="3"/>
      <c r="F4244" s="3"/>
      <c r="G4244" s="3"/>
      <c r="H4244" s="11"/>
      <c r="I4244" s="12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</row>
    <row r="4245" spans="1:34" ht="14.25" customHeight="1" x14ac:dyDescent="0.25">
      <c r="A4245" s="3"/>
      <c r="B4245" s="3"/>
      <c r="C4245" s="3"/>
      <c r="D4245" s="3"/>
      <c r="E4245" s="3"/>
      <c r="F4245" s="3"/>
      <c r="G4245" s="3"/>
      <c r="H4245" s="11"/>
      <c r="I4245" s="12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</row>
    <row r="4246" spans="1:34" ht="14.25" customHeight="1" x14ac:dyDescent="0.25">
      <c r="A4246" s="3"/>
      <c r="B4246" s="3"/>
      <c r="C4246" s="3"/>
      <c r="D4246" s="3"/>
      <c r="E4246" s="3"/>
      <c r="F4246" s="3"/>
      <c r="G4246" s="3"/>
      <c r="H4246" s="11"/>
      <c r="I4246" s="12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</row>
    <row r="4247" spans="1:34" ht="14.25" customHeight="1" x14ac:dyDescent="0.25">
      <c r="A4247" s="3"/>
      <c r="B4247" s="3"/>
      <c r="C4247" s="3"/>
      <c r="D4247" s="3"/>
      <c r="E4247" s="3"/>
      <c r="F4247" s="3"/>
      <c r="G4247" s="3"/>
      <c r="H4247" s="11"/>
      <c r="I4247" s="12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</row>
    <row r="4248" spans="1:34" ht="14.25" customHeight="1" x14ac:dyDescent="0.25">
      <c r="A4248" s="3"/>
      <c r="B4248" s="3"/>
      <c r="C4248" s="3"/>
      <c r="D4248" s="3"/>
      <c r="E4248" s="3"/>
      <c r="F4248" s="3"/>
      <c r="G4248" s="3"/>
      <c r="H4248" s="11"/>
      <c r="I4248" s="12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</row>
    <row r="4249" spans="1:34" ht="14.25" customHeight="1" x14ac:dyDescent="0.25">
      <c r="A4249" s="3"/>
      <c r="B4249" s="3"/>
      <c r="C4249" s="3"/>
      <c r="D4249" s="3"/>
      <c r="E4249" s="3"/>
      <c r="F4249" s="3"/>
      <c r="G4249" s="3"/>
      <c r="H4249" s="11"/>
      <c r="I4249" s="12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</row>
    <row r="4250" spans="1:34" ht="14.25" customHeight="1" x14ac:dyDescent="0.25">
      <c r="A4250" s="3"/>
      <c r="B4250" s="3"/>
      <c r="C4250" s="3"/>
      <c r="D4250" s="3"/>
      <c r="E4250" s="3"/>
      <c r="F4250" s="3"/>
      <c r="G4250" s="3"/>
      <c r="H4250" s="11"/>
      <c r="I4250" s="12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</row>
    <row r="4251" spans="1:34" ht="14.25" customHeight="1" x14ac:dyDescent="0.25">
      <c r="A4251" s="3"/>
      <c r="B4251" s="3"/>
      <c r="C4251" s="3"/>
      <c r="D4251" s="3"/>
      <c r="E4251" s="3"/>
      <c r="F4251" s="3"/>
      <c r="G4251" s="3"/>
      <c r="H4251" s="11"/>
      <c r="I4251" s="12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</row>
    <row r="4252" spans="1:34" ht="14.25" customHeight="1" x14ac:dyDescent="0.25">
      <c r="A4252" s="3"/>
      <c r="B4252" s="3"/>
      <c r="C4252" s="3"/>
      <c r="D4252" s="3"/>
      <c r="E4252" s="3"/>
      <c r="F4252" s="3"/>
      <c r="G4252" s="3"/>
      <c r="H4252" s="11"/>
      <c r="I4252" s="12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</row>
    <row r="4253" spans="1:34" ht="14.25" customHeight="1" x14ac:dyDescent="0.25">
      <c r="A4253" s="3"/>
      <c r="B4253" s="3"/>
      <c r="C4253" s="3"/>
      <c r="D4253" s="3"/>
      <c r="E4253" s="3"/>
      <c r="F4253" s="3"/>
      <c r="G4253" s="3"/>
      <c r="H4253" s="11"/>
      <c r="I4253" s="12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</row>
    <row r="4254" spans="1:34" ht="14.25" customHeight="1" x14ac:dyDescent="0.25">
      <c r="A4254" s="3"/>
      <c r="B4254" s="3"/>
      <c r="C4254" s="3"/>
      <c r="D4254" s="3"/>
      <c r="E4254" s="3"/>
      <c r="F4254" s="3"/>
      <c r="G4254" s="3"/>
      <c r="H4254" s="11"/>
      <c r="I4254" s="12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</row>
    <row r="4255" spans="1:34" ht="14.25" customHeight="1" x14ac:dyDescent="0.25">
      <c r="A4255" s="3"/>
      <c r="B4255" s="3"/>
      <c r="C4255" s="3"/>
      <c r="D4255" s="3"/>
      <c r="E4255" s="3"/>
      <c r="F4255" s="3"/>
      <c r="G4255" s="3"/>
      <c r="H4255" s="11"/>
      <c r="I4255" s="12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</row>
    <row r="4256" spans="1:34" ht="14.25" customHeight="1" x14ac:dyDescent="0.25">
      <c r="A4256" s="3"/>
      <c r="B4256" s="3"/>
      <c r="C4256" s="3"/>
      <c r="D4256" s="3"/>
      <c r="E4256" s="3"/>
      <c r="F4256" s="3"/>
      <c r="G4256" s="3"/>
      <c r="H4256" s="11"/>
      <c r="I4256" s="12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</row>
    <row r="4257" spans="1:34" ht="14.25" customHeight="1" x14ac:dyDescent="0.25">
      <c r="A4257" s="3"/>
      <c r="B4257" s="3"/>
      <c r="C4257" s="3"/>
      <c r="D4257" s="3"/>
      <c r="E4257" s="3"/>
      <c r="F4257" s="3"/>
      <c r="G4257" s="3"/>
      <c r="H4257" s="11"/>
      <c r="I4257" s="12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</row>
    <row r="4258" spans="1:34" ht="14.25" customHeight="1" x14ac:dyDescent="0.25">
      <c r="A4258" s="3"/>
      <c r="B4258" s="3"/>
      <c r="C4258" s="3"/>
      <c r="D4258" s="3"/>
      <c r="E4258" s="3"/>
      <c r="F4258" s="3"/>
      <c r="G4258" s="3"/>
      <c r="H4258" s="11"/>
      <c r="I4258" s="12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</row>
    <row r="4259" spans="1:34" ht="14.25" customHeight="1" x14ac:dyDescent="0.25">
      <c r="A4259" s="3"/>
      <c r="B4259" s="3"/>
      <c r="C4259" s="3"/>
      <c r="D4259" s="3"/>
      <c r="E4259" s="3"/>
      <c r="F4259" s="3"/>
      <c r="G4259" s="3"/>
      <c r="H4259" s="11"/>
      <c r="I4259" s="12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</row>
    <row r="4260" spans="1:34" ht="14.25" customHeight="1" x14ac:dyDescent="0.25">
      <c r="A4260" s="3"/>
      <c r="B4260" s="3"/>
      <c r="C4260" s="3"/>
      <c r="D4260" s="3"/>
      <c r="E4260" s="3"/>
      <c r="F4260" s="3"/>
      <c r="G4260" s="3"/>
      <c r="H4260" s="11"/>
      <c r="I4260" s="12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</row>
    <row r="4261" spans="1:34" ht="14.25" customHeight="1" x14ac:dyDescent="0.25">
      <c r="A4261" s="3"/>
      <c r="B4261" s="3"/>
      <c r="C4261" s="3"/>
      <c r="D4261" s="3"/>
      <c r="E4261" s="3"/>
      <c r="F4261" s="3"/>
      <c r="G4261" s="3"/>
      <c r="H4261" s="11"/>
      <c r="I4261" s="12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</row>
    <row r="4262" spans="1:34" ht="14.25" customHeight="1" x14ac:dyDescent="0.25">
      <c r="A4262" s="3"/>
      <c r="B4262" s="3"/>
      <c r="C4262" s="3"/>
      <c r="D4262" s="3"/>
      <c r="E4262" s="3"/>
      <c r="F4262" s="3"/>
      <c r="G4262" s="3"/>
      <c r="H4262" s="11"/>
      <c r="I4262" s="12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</row>
    <row r="4263" spans="1:34" ht="14.25" customHeight="1" x14ac:dyDescent="0.25">
      <c r="A4263" s="3"/>
      <c r="B4263" s="3"/>
      <c r="C4263" s="3"/>
      <c r="D4263" s="3"/>
      <c r="E4263" s="3"/>
      <c r="F4263" s="3"/>
      <c r="G4263" s="3"/>
      <c r="H4263" s="11"/>
      <c r="I4263" s="12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</row>
    <row r="4264" spans="1:34" ht="14.25" customHeight="1" x14ac:dyDescent="0.25">
      <c r="A4264" s="3"/>
      <c r="B4264" s="3"/>
      <c r="C4264" s="3"/>
      <c r="D4264" s="3"/>
      <c r="E4264" s="3"/>
      <c r="F4264" s="3"/>
      <c r="G4264" s="3"/>
      <c r="H4264" s="11"/>
      <c r="I4264" s="12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</row>
    <row r="4265" spans="1:34" ht="14.25" customHeight="1" x14ac:dyDescent="0.25">
      <c r="A4265" s="3"/>
      <c r="B4265" s="3"/>
      <c r="C4265" s="3"/>
      <c r="D4265" s="3"/>
      <c r="E4265" s="3"/>
      <c r="F4265" s="3"/>
      <c r="G4265" s="3"/>
      <c r="H4265" s="11"/>
      <c r="I4265" s="12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</row>
    <row r="4266" spans="1:34" ht="14.25" customHeight="1" x14ac:dyDescent="0.25">
      <c r="A4266" s="3"/>
      <c r="B4266" s="3"/>
      <c r="C4266" s="3"/>
      <c r="D4266" s="3"/>
      <c r="E4266" s="3"/>
      <c r="F4266" s="3"/>
      <c r="G4266" s="3"/>
      <c r="H4266" s="11"/>
      <c r="I4266" s="12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</row>
    <row r="4267" spans="1:34" ht="14.25" customHeight="1" x14ac:dyDescent="0.25">
      <c r="A4267" s="3"/>
      <c r="B4267" s="3"/>
      <c r="C4267" s="3"/>
      <c r="D4267" s="3"/>
      <c r="E4267" s="3"/>
      <c r="F4267" s="3"/>
      <c r="G4267" s="3"/>
      <c r="H4267" s="11"/>
      <c r="I4267" s="12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</row>
    <row r="4268" spans="1:34" ht="14.25" customHeight="1" x14ac:dyDescent="0.25">
      <c r="A4268" s="3"/>
      <c r="B4268" s="3"/>
      <c r="C4268" s="3"/>
      <c r="D4268" s="3"/>
      <c r="E4268" s="3"/>
      <c r="F4268" s="3"/>
      <c r="G4268" s="3"/>
      <c r="H4268" s="11"/>
      <c r="I4268" s="12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</row>
    <row r="4269" spans="1:34" ht="14.25" customHeight="1" x14ac:dyDescent="0.25">
      <c r="A4269" s="3"/>
      <c r="B4269" s="3"/>
      <c r="C4269" s="3"/>
      <c r="D4269" s="3"/>
      <c r="E4269" s="3"/>
      <c r="F4269" s="3"/>
      <c r="G4269" s="3"/>
      <c r="H4269" s="11"/>
      <c r="I4269" s="12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</row>
    <row r="4270" spans="1:34" ht="14.25" customHeight="1" x14ac:dyDescent="0.25">
      <c r="A4270" s="3"/>
      <c r="B4270" s="3"/>
      <c r="C4270" s="3"/>
      <c r="D4270" s="3"/>
      <c r="E4270" s="3"/>
      <c r="F4270" s="3"/>
      <c r="G4270" s="3"/>
      <c r="H4270" s="11"/>
      <c r="I4270" s="12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</row>
    <row r="4271" spans="1:34" ht="14.25" customHeight="1" x14ac:dyDescent="0.25">
      <c r="A4271" s="3"/>
      <c r="B4271" s="3"/>
      <c r="C4271" s="3"/>
      <c r="D4271" s="3"/>
      <c r="E4271" s="3"/>
      <c r="F4271" s="3"/>
      <c r="G4271" s="3"/>
      <c r="H4271" s="11"/>
      <c r="I4271" s="12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</row>
    <row r="4272" spans="1:34" ht="14.25" customHeight="1" x14ac:dyDescent="0.25">
      <c r="A4272" s="3"/>
      <c r="B4272" s="3"/>
      <c r="C4272" s="3"/>
      <c r="D4272" s="3"/>
      <c r="E4272" s="3"/>
      <c r="F4272" s="3"/>
      <c r="G4272" s="3"/>
      <c r="H4272" s="11"/>
      <c r="I4272" s="12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</row>
    <row r="4273" spans="1:34" ht="14.25" customHeight="1" x14ac:dyDescent="0.25">
      <c r="A4273" s="3"/>
      <c r="B4273" s="3"/>
      <c r="C4273" s="3"/>
      <c r="D4273" s="3"/>
      <c r="E4273" s="3"/>
      <c r="F4273" s="3"/>
      <c r="G4273" s="3"/>
      <c r="H4273" s="11"/>
      <c r="I4273" s="12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</row>
    <row r="4274" spans="1:34" ht="14.25" customHeight="1" x14ac:dyDescent="0.25">
      <c r="A4274" s="3"/>
      <c r="B4274" s="3"/>
      <c r="C4274" s="3"/>
      <c r="D4274" s="3"/>
      <c r="E4274" s="3"/>
      <c r="F4274" s="3"/>
      <c r="G4274" s="3"/>
      <c r="H4274" s="11"/>
      <c r="I4274" s="12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</row>
    <row r="4275" spans="1:34" ht="14.25" customHeight="1" x14ac:dyDescent="0.25">
      <c r="A4275" s="3"/>
      <c r="B4275" s="3"/>
      <c r="C4275" s="3"/>
      <c r="D4275" s="3"/>
      <c r="E4275" s="3"/>
      <c r="F4275" s="3"/>
      <c r="G4275" s="3"/>
      <c r="H4275" s="11"/>
      <c r="I4275" s="12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</row>
    <row r="4276" spans="1:34" ht="14.25" customHeight="1" x14ac:dyDescent="0.25">
      <c r="A4276" s="3"/>
      <c r="B4276" s="3"/>
      <c r="C4276" s="3"/>
      <c r="D4276" s="3"/>
      <c r="E4276" s="3"/>
      <c r="F4276" s="3"/>
      <c r="G4276" s="3"/>
      <c r="H4276" s="11"/>
      <c r="I4276" s="12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</row>
    <row r="4277" spans="1:34" ht="14.25" customHeight="1" x14ac:dyDescent="0.25">
      <c r="A4277" s="3"/>
      <c r="B4277" s="3"/>
      <c r="C4277" s="3"/>
      <c r="D4277" s="3"/>
      <c r="E4277" s="3"/>
      <c r="F4277" s="3"/>
      <c r="G4277" s="3"/>
      <c r="H4277" s="11"/>
      <c r="I4277" s="12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</row>
    <row r="4278" spans="1:34" ht="14.25" customHeight="1" x14ac:dyDescent="0.25">
      <c r="A4278" s="3"/>
      <c r="B4278" s="3"/>
      <c r="C4278" s="3"/>
      <c r="D4278" s="3"/>
      <c r="E4278" s="3"/>
      <c r="F4278" s="3"/>
      <c r="G4278" s="3"/>
      <c r="H4278" s="11"/>
      <c r="I4278" s="12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</row>
    <row r="4279" spans="1:34" ht="14.25" customHeight="1" x14ac:dyDescent="0.25">
      <c r="A4279" s="3"/>
      <c r="B4279" s="3"/>
      <c r="C4279" s="3"/>
      <c r="D4279" s="3"/>
      <c r="E4279" s="3"/>
      <c r="F4279" s="3"/>
      <c r="G4279" s="3"/>
      <c r="H4279" s="11"/>
      <c r="I4279" s="12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</row>
    <row r="4280" spans="1:34" ht="14.25" customHeight="1" x14ac:dyDescent="0.25">
      <c r="A4280" s="3"/>
      <c r="B4280" s="3"/>
      <c r="C4280" s="3"/>
      <c r="D4280" s="3"/>
      <c r="E4280" s="3"/>
      <c r="F4280" s="3"/>
      <c r="G4280" s="3"/>
      <c r="H4280" s="11"/>
      <c r="I4280" s="12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</row>
    <row r="4281" spans="1:34" ht="14.25" customHeight="1" x14ac:dyDescent="0.25">
      <c r="A4281" s="3"/>
      <c r="B4281" s="3"/>
      <c r="C4281" s="3"/>
      <c r="D4281" s="3"/>
      <c r="E4281" s="3"/>
      <c r="F4281" s="3"/>
      <c r="G4281" s="3"/>
      <c r="H4281" s="11"/>
      <c r="I4281" s="12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</row>
    <row r="4282" spans="1:34" ht="14.25" customHeight="1" x14ac:dyDescent="0.25">
      <c r="A4282" s="3"/>
      <c r="B4282" s="3"/>
      <c r="C4282" s="3"/>
      <c r="D4282" s="3"/>
      <c r="E4282" s="3"/>
      <c r="F4282" s="3"/>
      <c r="G4282" s="3"/>
      <c r="H4282" s="11"/>
      <c r="I4282" s="12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</row>
    <row r="4283" spans="1:34" ht="14.25" customHeight="1" x14ac:dyDescent="0.25">
      <c r="A4283" s="3"/>
      <c r="B4283" s="3"/>
      <c r="C4283" s="3"/>
      <c r="D4283" s="3"/>
      <c r="E4283" s="3"/>
      <c r="F4283" s="3"/>
      <c r="G4283" s="3"/>
      <c r="H4283" s="11"/>
      <c r="I4283" s="12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</row>
    <row r="4284" spans="1:34" ht="14.25" customHeight="1" x14ac:dyDescent="0.25">
      <c r="A4284" s="3"/>
      <c r="B4284" s="3"/>
      <c r="C4284" s="3"/>
      <c r="D4284" s="3"/>
      <c r="E4284" s="3"/>
      <c r="F4284" s="3"/>
      <c r="G4284" s="3"/>
      <c r="H4284" s="11"/>
      <c r="I4284" s="12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</row>
    <row r="4285" spans="1:34" ht="14.25" customHeight="1" x14ac:dyDescent="0.25">
      <c r="A4285" s="3"/>
      <c r="B4285" s="3"/>
      <c r="C4285" s="3"/>
      <c r="D4285" s="3"/>
      <c r="E4285" s="3"/>
      <c r="F4285" s="3"/>
      <c r="G4285" s="3"/>
      <c r="H4285" s="11"/>
      <c r="I4285" s="12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</row>
    <row r="4286" spans="1:34" ht="14.25" customHeight="1" x14ac:dyDescent="0.25">
      <c r="A4286" s="3"/>
      <c r="B4286" s="3"/>
      <c r="C4286" s="3"/>
      <c r="D4286" s="3"/>
      <c r="E4286" s="3"/>
      <c r="F4286" s="3"/>
      <c r="G4286" s="3"/>
      <c r="H4286" s="11"/>
      <c r="I4286" s="12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</row>
    <row r="4287" spans="1:34" ht="14.25" customHeight="1" x14ac:dyDescent="0.25">
      <c r="A4287" s="3"/>
      <c r="B4287" s="3"/>
      <c r="C4287" s="3"/>
      <c r="D4287" s="3"/>
      <c r="E4287" s="3"/>
      <c r="F4287" s="3"/>
      <c r="G4287" s="3"/>
      <c r="H4287" s="11"/>
      <c r="I4287" s="12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</row>
    <row r="4288" spans="1:34" ht="14.25" customHeight="1" x14ac:dyDescent="0.25">
      <c r="A4288" s="3"/>
      <c r="B4288" s="3"/>
      <c r="C4288" s="3"/>
      <c r="D4288" s="3"/>
      <c r="E4288" s="3"/>
      <c r="F4288" s="3"/>
      <c r="G4288" s="3"/>
      <c r="H4288" s="11"/>
      <c r="I4288" s="12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</row>
    <row r="4289" spans="1:34" ht="14.25" customHeight="1" x14ac:dyDescent="0.25">
      <c r="A4289" s="3"/>
      <c r="B4289" s="3"/>
      <c r="C4289" s="3"/>
      <c r="D4289" s="3"/>
      <c r="E4289" s="3"/>
      <c r="F4289" s="3"/>
      <c r="G4289" s="14"/>
      <c r="H4289" s="11"/>
      <c r="I4289" s="12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</row>
    <row r="4290" spans="1:34" ht="14.25" customHeight="1" x14ac:dyDescent="0.25">
      <c r="A4290" s="3"/>
      <c r="B4290" s="3"/>
      <c r="C4290" s="3"/>
      <c r="D4290" s="3"/>
      <c r="E4290" s="3"/>
      <c r="F4290" s="3"/>
      <c r="G4290" s="3"/>
      <c r="H4290" s="11"/>
      <c r="I4290" s="12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</row>
    <row r="4291" spans="1:34" ht="14.25" customHeight="1" x14ac:dyDescent="0.25">
      <c r="A4291" s="3"/>
      <c r="B4291" s="3"/>
      <c r="C4291" s="3"/>
      <c r="D4291" s="3"/>
      <c r="E4291" s="3"/>
      <c r="F4291" s="3"/>
      <c r="G4291" s="3"/>
      <c r="H4291" s="11"/>
      <c r="I4291" s="12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</row>
    <row r="4292" spans="1:34" ht="14.25" customHeight="1" x14ac:dyDescent="0.25">
      <c r="A4292" s="3"/>
      <c r="B4292" s="3"/>
      <c r="C4292" s="3"/>
      <c r="D4292" s="3"/>
      <c r="E4292" s="3"/>
      <c r="F4292" s="3"/>
      <c r="G4292" s="3"/>
      <c r="H4292" s="11"/>
      <c r="I4292" s="12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</row>
    <row r="4293" spans="1:34" ht="14.25" customHeight="1" x14ac:dyDescent="0.25">
      <c r="A4293" s="3"/>
      <c r="B4293" s="3"/>
      <c r="C4293" s="3"/>
      <c r="D4293" s="3"/>
      <c r="E4293" s="3"/>
      <c r="F4293" s="3"/>
      <c r="G4293" s="3"/>
      <c r="H4293" s="11"/>
      <c r="I4293" s="12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</row>
    <row r="4294" spans="1:34" ht="14.25" customHeight="1" x14ac:dyDescent="0.25">
      <c r="A4294" s="3"/>
      <c r="B4294" s="3"/>
      <c r="C4294" s="3"/>
      <c r="D4294" s="3"/>
      <c r="E4294" s="3"/>
      <c r="F4294" s="3"/>
      <c r="G4294" s="3"/>
      <c r="H4294" s="11"/>
      <c r="I4294" s="12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</row>
    <row r="4295" spans="1:34" ht="14.25" customHeight="1" x14ac:dyDescent="0.25">
      <c r="A4295" s="3"/>
      <c r="B4295" s="3"/>
      <c r="C4295" s="3"/>
      <c r="D4295" s="3"/>
      <c r="E4295" s="3"/>
      <c r="F4295" s="3"/>
      <c r="G4295" s="3"/>
      <c r="H4295" s="11"/>
      <c r="I4295" s="12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</row>
    <row r="4296" spans="1:34" ht="14.25" customHeight="1" x14ac:dyDescent="0.25">
      <c r="A4296" s="3"/>
      <c r="B4296" s="3"/>
      <c r="C4296" s="3"/>
      <c r="D4296" s="3"/>
      <c r="E4296" s="3"/>
      <c r="F4296" s="3"/>
      <c r="G4296" s="3"/>
      <c r="H4296" s="11"/>
      <c r="I4296" s="12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</row>
    <row r="4297" spans="1:34" ht="14.25" customHeight="1" x14ac:dyDescent="0.25">
      <c r="A4297" s="3"/>
      <c r="B4297" s="3"/>
      <c r="C4297" s="3"/>
      <c r="D4297" s="3"/>
      <c r="E4297" s="3"/>
      <c r="F4297" s="3"/>
      <c r="G4297" s="3"/>
      <c r="H4297" s="11"/>
      <c r="I4297" s="12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</row>
    <row r="4298" spans="1:34" ht="14.25" customHeight="1" x14ac:dyDescent="0.25">
      <c r="A4298" s="3"/>
      <c r="B4298" s="3"/>
      <c r="C4298" s="3"/>
      <c r="D4298" s="3"/>
      <c r="E4298" s="3"/>
      <c r="F4298" s="3"/>
      <c r="G4298" s="3"/>
      <c r="H4298" s="11"/>
      <c r="I4298" s="12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</row>
    <row r="4299" spans="1:34" ht="14.25" customHeight="1" x14ac:dyDescent="0.25">
      <c r="A4299" s="3"/>
      <c r="B4299" s="3"/>
      <c r="C4299" s="3"/>
      <c r="D4299" s="3"/>
      <c r="E4299" s="3"/>
      <c r="F4299" s="3"/>
      <c r="G4299" s="3"/>
      <c r="H4299" s="11"/>
      <c r="I4299" s="12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</row>
    <row r="4300" spans="1:34" ht="14.25" customHeight="1" x14ac:dyDescent="0.25">
      <c r="A4300" s="3"/>
      <c r="B4300" s="3"/>
      <c r="C4300" s="3"/>
      <c r="D4300" s="3"/>
      <c r="E4300" s="3"/>
      <c r="F4300" s="3"/>
      <c r="G4300" s="3"/>
      <c r="H4300" s="11"/>
      <c r="I4300" s="12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</row>
    <row r="4301" spans="1:34" ht="14.25" customHeight="1" x14ac:dyDescent="0.25">
      <c r="A4301" s="3"/>
      <c r="B4301" s="3"/>
      <c r="C4301" s="3"/>
      <c r="D4301" s="3"/>
      <c r="E4301" s="3"/>
      <c r="F4301" s="3"/>
      <c r="G4301" s="3"/>
      <c r="H4301" s="11"/>
      <c r="I4301" s="12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</row>
    <row r="4302" spans="1:34" ht="14.25" customHeight="1" x14ac:dyDescent="0.25">
      <c r="A4302" s="3"/>
      <c r="B4302" s="3"/>
      <c r="C4302" s="3"/>
      <c r="D4302" s="3"/>
      <c r="E4302" s="3"/>
      <c r="F4302" s="3"/>
      <c r="G4302" s="3"/>
      <c r="H4302" s="11"/>
      <c r="I4302" s="12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</row>
    <row r="4303" spans="1:34" ht="14.25" customHeight="1" x14ac:dyDescent="0.25">
      <c r="A4303" s="3"/>
      <c r="B4303" s="3"/>
      <c r="C4303" s="3"/>
      <c r="D4303" s="3"/>
      <c r="E4303" s="3"/>
      <c r="F4303" s="3"/>
      <c r="G4303" s="3"/>
      <c r="H4303" s="11"/>
      <c r="I4303" s="12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</row>
    <row r="4304" spans="1:34" ht="14.25" customHeight="1" x14ac:dyDescent="0.25">
      <c r="A4304" s="3"/>
      <c r="B4304" s="3"/>
      <c r="C4304" s="3"/>
      <c r="D4304" s="3"/>
      <c r="E4304" s="3"/>
      <c r="F4304" s="3"/>
      <c r="G4304" s="3"/>
      <c r="H4304" s="11"/>
      <c r="I4304" s="12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</row>
    <row r="4305" spans="1:34" ht="14.25" customHeight="1" x14ac:dyDescent="0.25">
      <c r="A4305" s="3"/>
      <c r="B4305" s="3"/>
      <c r="C4305" s="3"/>
      <c r="D4305" s="3"/>
      <c r="E4305" s="3"/>
      <c r="F4305" s="3"/>
      <c r="G4305" s="3"/>
      <c r="H4305" s="11"/>
      <c r="I4305" s="12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</row>
    <row r="4306" spans="1:34" ht="14.25" customHeight="1" x14ac:dyDescent="0.25">
      <c r="A4306" s="3"/>
      <c r="B4306" s="3"/>
      <c r="C4306" s="3"/>
      <c r="D4306" s="3"/>
      <c r="E4306" s="3"/>
      <c r="F4306" s="3"/>
      <c r="G4306" s="3"/>
      <c r="H4306" s="11"/>
      <c r="I4306" s="12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</row>
    <row r="4307" spans="1:34" ht="14.25" customHeight="1" x14ac:dyDescent="0.25">
      <c r="A4307" s="3"/>
      <c r="B4307" s="3"/>
      <c r="C4307" s="3"/>
      <c r="D4307" s="3"/>
      <c r="E4307" s="3"/>
      <c r="F4307" s="3"/>
      <c r="G4307" s="3"/>
      <c r="H4307" s="11"/>
      <c r="I4307" s="12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</row>
    <row r="4308" spans="1:34" ht="14.25" customHeight="1" x14ac:dyDescent="0.25">
      <c r="A4308" s="3"/>
      <c r="B4308" s="3"/>
      <c r="C4308" s="3"/>
      <c r="D4308" s="3"/>
      <c r="E4308" s="3"/>
      <c r="F4308" s="3"/>
      <c r="G4308" s="3"/>
      <c r="H4308" s="11"/>
      <c r="I4308" s="12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</row>
    <row r="4309" spans="1:34" ht="14.25" customHeight="1" x14ac:dyDescent="0.25">
      <c r="A4309" s="3"/>
      <c r="B4309" s="3"/>
      <c r="C4309" s="3"/>
      <c r="D4309" s="3"/>
      <c r="E4309" s="3"/>
      <c r="F4309" s="3"/>
      <c r="G4309" s="3"/>
      <c r="H4309" s="11"/>
      <c r="I4309" s="12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</row>
    <row r="4310" spans="1:34" ht="14.25" customHeight="1" x14ac:dyDescent="0.25">
      <c r="A4310" s="3"/>
      <c r="B4310" s="3"/>
      <c r="C4310" s="3"/>
      <c r="D4310" s="3"/>
      <c r="E4310" s="3"/>
      <c r="F4310" s="3"/>
      <c r="G4310" s="3"/>
      <c r="H4310" s="11"/>
      <c r="I4310" s="12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</row>
    <row r="4311" spans="1:34" ht="14.25" customHeight="1" x14ac:dyDescent="0.25">
      <c r="A4311" s="3"/>
      <c r="B4311" s="3"/>
      <c r="C4311" s="3"/>
      <c r="D4311" s="3"/>
      <c r="E4311" s="3"/>
      <c r="F4311" s="3"/>
      <c r="G4311" s="3"/>
      <c r="H4311" s="11"/>
      <c r="I4311" s="12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</row>
    <row r="4312" spans="1:34" ht="14.25" customHeight="1" x14ac:dyDescent="0.25">
      <c r="A4312" s="3"/>
      <c r="B4312" s="3"/>
      <c r="C4312" s="3"/>
      <c r="D4312" s="3"/>
      <c r="E4312" s="3"/>
      <c r="F4312" s="3"/>
      <c r="G4312" s="3"/>
      <c r="H4312" s="11"/>
      <c r="I4312" s="12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</row>
    <row r="4313" spans="1:34" ht="14.25" customHeight="1" x14ac:dyDescent="0.25">
      <c r="A4313" s="3"/>
      <c r="B4313" s="3"/>
      <c r="C4313" s="3"/>
      <c r="D4313" s="3"/>
      <c r="E4313" s="3"/>
      <c r="F4313" s="3"/>
      <c r="G4313" s="14"/>
      <c r="H4313" s="11"/>
      <c r="I4313" s="12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</row>
    <row r="4314" spans="1:34" ht="14.25" customHeight="1" x14ac:dyDescent="0.25">
      <c r="A4314" s="3"/>
      <c r="B4314" s="3"/>
      <c r="C4314" s="3"/>
      <c r="D4314" s="3"/>
      <c r="E4314" s="3"/>
      <c r="F4314" s="3"/>
      <c r="G4314" s="3"/>
      <c r="H4314" s="11"/>
      <c r="I4314" s="12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</row>
    <row r="4315" spans="1:34" ht="14.25" customHeight="1" x14ac:dyDescent="0.25">
      <c r="A4315" s="3"/>
      <c r="B4315" s="3"/>
      <c r="C4315" s="3"/>
      <c r="D4315" s="3"/>
      <c r="E4315" s="3"/>
      <c r="F4315" s="3"/>
      <c r="G4315" s="3"/>
      <c r="H4315" s="11"/>
      <c r="I4315" s="12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</row>
    <row r="4316" spans="1:34" ht="14.25" customHeight="1" x14ac:dyDescent="0.25">
      <c r="A4316" s="3"/>
      <c r="B4316" s="3"/>
      <c r="C4316" s="3"/>
      <c r="D4316" s="3"/>
      <c r="E4316" s="3"/>
      <c r="F4316" s="3"/>
      <c r="G4316" s="3"/>
      <c r="H4316" s="11"/>
      <c r="I4316" s="12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</row>
    <row r="4317" spans="1:34" ht="14.25" customHeight="1" x14ac:dyDescent="0.25">
      <c r="A4317" s="3"/>
      <c r="B4317" s="3"/>
      <c r="C4317" s="3"/>
      <c r="D4317" s="3"/>
      <c r="E4317" s="3"/>
      <c r="F4317" s="3"/>
      <c r="G4317" s="3"/>
      <c r="H4317" s="11"/>
      <c r="I4317" s="12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</row>
    <row r="4318" spans="1:34" ht="14.25" customHeight="1" x14ac:dyDescent="0.25">
      <c r="A4318" s="3"/>
      <c r="B4318" s="3"/>
      <c r="C4318" s="3"/>
      <c r="D4318" s="3"/>
      <c r="E4318" s="3"/>
      <c r="F4318" s="3"/>
      <c r="G4318" s="3"/>
      <c r="H4318" s="11"/>
      <c r="I4318" s="12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</row>
    <row r="4319" spans="1:34" ht="14.25" customHeight="1" x14ac:dyDescent="0.25">
      <c r="A4319" s="3"/>
      <c r="B4319" s="3"/>
      <c r="C4319" s="3"/>
      <c r="D4319" s="3"/>
      <c r="E4319" s="3"/>
      <c r="F4319" s="3"/>
      <c r="G4319" s="3"/>
      <c r="H4319" s="11"/>
      <c r="I4319" s="12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</row>
    <row r="4320" spans="1:34" ht="14.25" customHeight="1" x14ac:dyDescent="0.25">
      <c r="A4320" s="3"/>
      <c r="B4320" s="3"/>
      <c r="C4320" s="3"/>
      <c r="D4320" s="3"/>
      <c r="E4320" s="3"/>
      <c r="F4320" s="3"/>
      <c r="G4320" s="3"/>
      <c r="H4320" s="11"/>
      <c r="I4320" s="12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</row>
    <row r="4321" spans="1:34" ht="14.25" customHeight="1" x14ac:dyDescent="0.25">
      <c r="A4321" s="3"/>
      <c r="B4321" s="3"/>
      <c r="C4321" s="3"/>
      <c r="D4321" s="3"/>
      <c r="E4321" s="3"/>
      <c r="F4321" s="3"/>
      <c r="G4321" s="3"/>
      <c r="H4321" s="11"/>
      <c r="I4321" s="12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</row>
    <row r="4322" spans="1:34" ht="14.25" customHeight="1" x14ac:dyDescent="0.25">
      <c r="A4322" s="3"/>
      <c r="B4322" s="3"/>
      <c r="C4322" s="3"/>
      <c r="D4322" s="3"/>
      <c r="E4322" s="3"/>
      <c r="F4322" s="3"/>
      <c r="G4322" s="3"/>
      <c r="H4322" s="11"/>
      <c r="I4322" s="12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</row>
    <row r="4323" spans="1:34" ht="14.25" customHeight="1" x14ac:dyDescent="0.25">
      <c r="A4323" s="3"/>
      <c r="B4323" s="3"/>
      <c r="C4323" s="3"/>
      <c r="D4323" s="3"/>
      <c r="E4323" s="3"/>
      <c r="F4323" s="3"/>
      <c r="G4323" s="3"/>
      <c r="H4323" s="11"/>
      <c r="I4323" s="12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</row>
    <row r="4324" spans="1:34" ht="14.25" customHeight="1" x14ac:dyDescent="0.25">
      <c r="A4324" s="3"/>
      <c r="B4324" s="3"/>
      <c r="C4324" s="3"/>
      <c r="D4324" s="3"/>
      <c r="E4324" s="3"/>
      <c r="F4324" s="3"/>
      <c r="G4324" s="3"/>
      <c r="H4324" s="11"/>
      <c r="I4324" s="12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</row>
    <row r="4325" spans="1:34" ht="14.25" customHeight="1" x14ac:dyDescent="0.25">
      <c r="A4325" s="3"/>
      <c r="B4325" s="3"/>
      <c r="C4325" s="3"/>
      <c r="D4325" s="3"/>
      <c r="E4325" s="3"/>
      <c r="F4325" s="3"/>
      <c r="G4325" s="3"/>
      <c r="H4325" s="11"/>
      <c r="I4325" s="12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</row>
    <row r="4326" spans="1:34" ht="14.25" customHeight="1" x14ac:dyDescent="0.25">
      <c r="A4326" s="3"/>
      <c r="B4326" s="3"/>
      <c r="C4326" s="3"/>
      <c r="D4326" s="3"/>
      <c r="E4326" s="3"/>
      <c r="F4326" s="3"/>
      <c r="G4326" s="3"/>
      <c r="H4326" s="11"/>
      <c r="I4326" s="12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</row>
    <row r="4327" spans="1:34" ht="14.25" customHeight="1" x14ac:dyDescent="0.25">
      <c r="A4327" s="3"/>
      <c r="B4327" s="3"/>
      <c r="C4327" s="3"/>
      <c r="D4327" s="3"/>
      <c r="E4327" s="3"/>
      <c r="F4327" s="3"/>
      <c r="G4327" s="3"/>
      <c r="H4327" s="11"/>
      <c r="I4327" s="12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</row>
    <row r="4328" spans="1:34" ht="14.25" customHeight="1" x14ac:dyDescent="0.25">
      <c r="A4328" s="3"/>
      <c r="B4328" s="3"/>
      <c r="C4328" s="3"/>
      <c r="D4328" s="3"/>
      <c r="E4328" s="3"/>
      <c r="F4328" s="3"/>
      <c r="G4328" s="3"/>
      <c r="H4328" s="11"/>
      <c r="I4328" s="12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</row>
    <row r="4329" spans="1:34" ht="14.25" customHeight="1" x14ac:dyDescent="0.25">
      <c r="A4329" s="3"/>
      <c r="B4329" s="3"/>
      <c r="C4329" s="3"/>
      <c r="D4329" s="3"/>
      <c r="E4329" s="3"/>
      <c r="F4329" s="3"/>
      <c r="G4329" s="3"/>
      <c r="H4329" s="11"/>
      <c r="I4329" s="12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</row>
    <row r="4330" spans="1:34" ht="14.25" customHeight="1" x14ac:dyDescent="0.25">
      <c r="A4330" s="3"/>
      <c r="B4330" s="3"/>
      <c r="C4330" s="3"/>
      <c r="D4330" s="3"/>
      <c r="E4330" s="3"/>
      <c r="F4330" s="3"/>
      <c r="G4330" s="14"/>
      <c r="H4330" s="11"/>
      <c r="I4330" s="12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</row>
    <row r="4331" spans="1:34" ht="14.25" customHeight="1" x14ac:dyDescent="0.25">
      <c r="A4331" s="3"/>
      <c r="B4331" s="3"/>
      <c r="C4331" s="3"/>
      <c r="D4331" s="3"/>
      <c r="E4331" s="3"/>
      <c r="F4331" s="3"/>
      <c r="G4331" s="3"/>
      <c r="H4331" s="11"/>
      <c r="I4331" s="12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</row>
    <row r="4332" spans="1:34" ht="14.25" customHeight="1" x14ac:dyDescent="0.25">
      <c r="A4332" s="3"/>
      <c r="B4332" s="3"/>
      <c r="C4332" s="3"/>
      <c r="D4332" s="3"/>
      <c r="E4332" s="3"/>
      <c r="F4332" s="3"/>
      <c r="G4332" s="3"/>
      <c r="H4332" s="11"/>
      <c r="I4332" s="12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</row>
    <row r="4333" spans="1:34" ht="14.25" customHeight="1" x14ac:dyDescent="0.25">
      <c r="A4333" s="3"/>
      <c r="B4333" s="3"/>
      <c r="C4333" s="3"/>
      <c r="D4333" s="3"/>
      <c r="E4333" s="3"/>
      <c r="F4333" s="3"/>
      <c r="G4333" s="3"/>
      <c r="H4333" s="11"/>
      <c r="I4333" s="12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</row>
    <row r="4334" spans="1:34" ht="14.25" customHeight="1" x14ac:dyDescent="0.25">
      <c r="A4334" s="3"/>
      <c r="B4334" s="3"/>
      <c r="C4334" s="3"/>
      <c r="D4334" s="3"/>
      <c r="E4334" s="3"/>
      <c r="F4334" s="3"/>
      <c r="G4334" s="3"/>
      <c r="H4334" s="11"/>
      <c r="I4334" s="12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</row>
    <row r="4335" spans="1:34" ht="14.25" customHeight="1" x14ac:dyDescent="0.25">
      <c r="A4335" s="3"/>
      <c r="B4335" s="3"/>
      <c r="C4335" s="3"/>
      <c r="D4335" s="3"/>
      <c r="E4335" s="3"/>
      <c r="F4335" s="3"/>
      <c r="G4335" s="3"/>
      <c r="H4335" s="11"/>
      <c r="I4335" s="12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</row>
    <row r="4336" spans="1:34" ht="14.25" customHeight="1" x14ac:dyDescent="0.25">
      <c r="A4336" s="3"/>
      <c r="B4336" s="3"/>
      <c r="C4336" s="3"/>
      <c r="D4336" s="3"/>
      <c r="E4336" s="3"/>
      <c r="F4336" s="3"/>
      <c r="G4336" s="3"/>
      <c r="H4336" s="11"/>
      <c r="I4336" s="12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</row>
    <row r="4337" spans="1:34" ht="14.25" customHeight="1" x14ac:dyDescent="0.25">
      <c r="A4337" s="3"/>
      <c r="B4337" s="3"/>
      <c r="C4337" s="3"/>
      <c r="D4337" s="3"/>
      <c r="E4337" s="3"/>
      <c r="F4337" s="3"/>
      <c r="G4337" s="3"/>
      <c r="H4337" s="11"/>
      <c r="I4337" s="12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</row>
    <row r="4338" spans="1:34" ht="14.25" customHeight="1" x14ac:dyDescent="0.25">
      <c r="A4338" s="3"/>
      <c r="B4338" s="3"/>
      <c r="C4338" s="3"/>
      <c r="D4338" s="3"/>
      <c r="E4338" s="3"/>
      <c r="F4338" s="3"/>
      <c r="G4338" s="3"/>
      <c r="H4338" s="11"/>
      <c r="I4338" s="12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</row>
    <row r="4339" spans="1:34" ht="14.25" customHeight="1" x14ac:dyDescent="0.25">
      <c r="A4339" s="3"/>
      <c r="B4339" s="3"/>
      <c r="C4339" s="3"/>
      <c r="D4339" s="3"/>
      <c r="E4339" s="3"/>
      <c r="F4339" s="3"/>
      <c r="G4339" s="3"/>
      <c r="H4339" s="11"/>
      <c r="I4339" s="12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</row>
    <row r="4340" spans="1:34" ht="14.25" customHeight="1" x14ac:dyDescent="0.25">
      <c r="A4340" s="3"/>
      <c r="B4340" s="3"/>
      <c r="C4340" s="3"/>
      <c r="D4340" s="3"/>
      <c r="E4340" s="3"/>
      <c r="F4340" s="3"/>
      <c r="G4340" s="3"/>
      <c r="H4340" s="11"/>
      <c r="I4340" s="12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</row>
    <row r="4341" spans="1:34" ht="14.25" customHeight="1" x14ac:dyDescent="0.25">
      <c r="A4341" s="3"/>
      <c r="B4341" s="3"/>
      <c r="C4341" s="3"/>
      <c r="D4341" s="3"/>
      <c r="E4341" s="3"/>
      <c r="F4341" s="3"/>
      <c r="G4341" s="3"/>
      <c r="H4341" s="11"/>
      <c r="I4341" s="12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</row>
    <row r="4342" spans="1:34" ht="14.25" customHeight="1" x14ac:dyDescent="0.25">
      <c r="A4342" s="3"/>
      <c r="B4342" s="3"/>
      <c r="C4342" s="3"/>
      <c r="D4342" s="3"/>
      <c r="E4342" s="3"/>
      <c r="F4342" s="3"/>
      <c r="G4342" s="3"/>
      <c r="H4342" s="11"/>
      <c r="I4342" s="12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</row>
    <row r="4343" spans="1:34" ht="14.25" customHeight="1" x14ac:dyDescent="0.25">
      <c r="A4343" s="3"/>
      <c r="B4343" s="3"/>
      <c r="C4343" s="3"/>
      <c r="D4343" s="3"/>
      <c r="E4343" s="3"/>
      <c r="F4343" s="3"/>
      <c r="G4343" s="3"/>
      <c r="H4343" s="11"/>
      <c r="I4343" s="12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14"/>
      <c r="X4343" s="3"/>
      <c r="Y4343" s="14"/>
      <c r="Z4343" s="3"/>
      <c r="AA4343" s="3"/>
      <c r="AB4343" s="3"/>
      <c r="AC4343" s="3"/>
      <c r="AD4343" s="3"/>
      <c r="AE4343" s="3"/>
      <c r="AF4343" s="3"/>
      <c r="AG4343" s="3"/>
      <c r="AH4343" s="3"/>
    </row>
    <row r="4344" spans="1:34" ht="14.25" customHeight="1" x14ac:dyDescent="0.25">
      <c r="A4344" s="3"/>
      <c r="B4344" s="3"/>
      <c r="C4344" s="3"/>
      <c r="D4344" s="3"/>
      <c r="E4344" s="3"/>
      <c r="F4344" s="3"/>
      <c r="G4344" s="3"/>
      <c r="H4344" s="11"/>
      <c r="I4344" s="12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14"/>
      <c r="X4344" s="3"/>
      <c r="Y4344" s="14"/>
      <c r="Z4344" s="3"/>
      <c r="AA4344" s="3"/>
      <c r="AB4344" s="3"/>
      <c r="AC4344" s="3"/>
      <c r="AD4344" s="3"/>
      <c r="AE4344" s="3"/>
      <c r="AF4344" s="3"/>
      <c r="AG4344" s="3"/>
      <c r="AH4344" s="3"/>
    </row>
    <row r="4345" spans="1:34" ht="14.25" customHeight="1" x14ac:dyDescent="0.25">
      <c r="A4345" s="3"/>
      <c r="B4345" s="3"/>
      <c r="C4345" s="3"/>
      <c r="D4345" s="3"/>
      <c r="E4345" s="3"/>
      <c r="F4345" s="3"/>
      <c r="G4345" s="3"/>
      <c r="H4345" s="11"/>
      <c r="I4345" s="12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14"/>
      <c r="X4345" s="3"/>
      <c r="Y4345" s="14"/>
      <c r="Z4345" s="3"/>
      <c r="AA4345" s="3"/>
      <c r="AB4345" s="3"/>
      <c r="AC4345" s="3"/>
      <c r="AD4345" s="3"/>
      <c r="AE4345" s="3"/>
      <c r="AF4345" s="3"/>
      <c r="AG4345" s="3"/>
      <c r="AH4345" s="3"/>
    </row>
    <row r="4346" spans="1:34" ht="14.25" customHeight="1" x14ac:dyDescent="0.25">
      <c r="A4346" s="3"/>
      <c r="B4346" s="3"/>
      <c r="C4346" s="3"/>
      <c r="D4346" s="3"/>
      <c r="E4346" s="3"/>
      <c r="F4346" s="3"/>
      <c r="G4346" s="3"/>
      <c r="H4346" s="11"/>
      <c r="I4346" s="12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14"/>
      <c r="X4346" s="3"/>
      <c r="Y4346" s="14"/>
      <c r="Z4346" s="3"/>
      <c r="AA4346" s="3"/>
      <c r="AB4346" s="3"/>
      <c r="AC4346" s="3"/>
      <c r="AD4346" s="3"/>
      <c r="AE4346" s="3"/>
      <c r="AF4346" s="3"/>
      <c r="AG4346" s="3"/>
      <c r="AH4346" s="3"/>
    </row>
    <row r="4347" spans="1:34" ht="14.25" customHeight="1" x14ac:dyDescent="0.25">
      <c r="A4347" s="3"/>
      <c r="B4347" s="3"/>
      <c r="C4347" s="3"/>
      <c r="D4347" s="3"/>
      <c r="E4347" s="3"/>
      <c r="F4347" s="3"/>
      <c r="G4347" s="3"/>
      <c r="H4347" s="11"/>
      <c r="I4347" s="12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14"/>
      <c r="X4347" s="3"/>
      <c r="Y4347" s="14"/>
      <c r="Z4347" s="3"/>
      <c r="AA4347" s="3"/>
      <c r="AB4347" s="3"/>
      <c r="AC4347" s="3"/>
      <c r="AD4347" s="3"/>
      <c r="AE4347" s="3"/>
      <c r="AF4347" s="3"/>
      <c r="AG4347" s="3"/>
      <c r="AH4347" s="3"/>
    </row>
    <row r="4348" spans="1:34" ht="14.25" customHeight="1" x14ac:dyDescent="0.25">
      <c r="A4348" s="3"/>
      <c r="B4348" s="3"/>
      <c r="C4348" s="3"/>
      <c r="D4348" s="3"/>
      <c r="E4348" s="3"/>
      <c r="F4348" s="3"/>
      <c r="G4348" s="3"/>
      <c r="H4348" s="11"/>
      <c r="I4348" s="12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14"/>
      <c r="X4348" s="3"/>
      <c r="Y4348" s="14"/>
      <c r="Z4348" s="3"/>
      <c r="AA4348" s="3"/>
      <c r="AB4348" s="3"/>
      <c r="AC4348" s="3"/>
      <c r="AD4348" s="3"/>
      <c r="AE4348" s="3"/>
      <c r="AF4348" s="3"/>
      <c r="AG4348" s="3"/>
      <c r="AH4348" s="3"/>
    </row>
    <row r="4349" spans="1:34" ht="14.25" customHeight="1" x14ac:dyDescent="0.25">
      <c r="A4349" s="3"/>
      <c r="B4349" s="3"/>
      <c r="C4349" s="3"/>
      <c r="D4349" s="3"/>
      <c r="E4349" s="3"/>
      <c r="F4349" s="3"/>
      <c r="G4349" s="3"/>
      <c r="H4349" s="11"/>
      <c r="I4349" s="12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14"/>
      <c r="X4349" s="3"/>
      <c r="Y4349" s="14"/>
      <c r="Z4349" s="3"/>
      <c r="AA4349" s="3"/>
      <c r="AB4349" s="3"/>
      <c r="AC4349" s="3"/>
      <c r="AD4349" s="3"/>
      <c r="AE4349" s="3"/>
      <c r="AF4349" s="3"/>
      <c r="AG4349" s="3"/>
      <c r="AH4349" s="3"/>
    </row>
    <row r="4350" spans="1:34" ht="14.25" customHeight="1" x14ac:dyDescent="0.25">
      <c r="A4350" s="3"/>
      <c r="B4350" s="3"/>
      <c r="C4350" s="3"/>
      <c r="D4350" s="3"/>
      <c r="E4350" s="3"/>
      <c r="F4350" s="3"/>
      <c r="G4350" s="3"/>
      <c r="H4350" s="11"/>
      <c r="I4350" s="12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14"/>
      <c r="X4350" s="3"/>
      <c r="Y4350" s="14"/>
      <c r="Z4350" s="3"/>
      <c r="AA4350" s="3"/>
      <c r="AB4350" s="3"/>
      <c r="AC4350" s="3"/>
      <c r="AD4350" s="3"/>
      <c r="AE4350" s="3"/>
      <c r="AF4350" s="3"/>
      <c r="AG4350" s="3"/>
      <c r="AH4350" s="3"/>
    </row>
    <row r="4351" spans="1:34" ht="14.25" customHeight="1" x14ac:dyDescent="0.25">
      <c r="A4351" s="3"/>
      <c r="B4351" s="3"/>
      <c r="C4351" s="3"/>
      <c r="D4351" s="3"/>
      <c r="E4351" s="3"/>
      <c r="F4351" s="3"/>
      <c r="G4351" s="3"/>
      <c r="H4351" s="11"/>
      <c r="I4351" s="12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14"/>
      <c r="X4351" s="3"/>
      <c r="Y4351" s="14"/>
      <c r="Z4351" s="3"/>
      <c r="AA4351" s="3"/>
      <c r="AB4351" s="3"/>
      <c r="AC4351" s="3"/>
      <c r="AD4351" s="3"/>
      <c r="AE4351" s="3"/>
      <c r="AF4351" s="3"/>
      <c r="AG4351" s="3"/>
      <c r="AH4351" s="3"/>
    </row>
    <row r="4352" spans="1:34" ht="14.25" customHeight="1" x14ac:dyDescent="0.25">
      <c r="A4352" s="3"/>
      <c r="B4352" s="3"/>
      <c r="C4352" s="3"/>
      <c r="D4352" s="3"/>
      <c r="E4352" s="3"/>
      <c r="F4352" s="3"/>
      <c r="G4352" s="3"/>
      <c r="H4352" s="11"/>
      <c r="I4352" s="12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14"/>
      <c r="X4352" s="3"/>
      <c r="Y4352" s="14"/>
      <c r="Z4352" s="3"/>
      <c r="AA4352" s="3"/>
      <c r="AB4352" s="3"/>
      <c r="AC4352" s="3"/>
      <c r="AD4352" s="3"/>
      <c r="AE4352" s="3"/>
      <c r="AF4352" s="3"/>
      <c r="AG4352" s="3"/>
      <c r="AH4352" s="3"/>
    </row>
    <row r="4353" spans="1:34" ht="14.25" customHeight="1" x14ac:dyDescent="0.25">
      <c r="A4353" s="3"/>
      <c r="B4353" s="3"/>
      <c r="C4353" s="3"/>
      <c r="D4353" s="3"/>
      <c r="E4353" s="3"/>
      <c r="F4353" s="3"/>
      <c r="G4353" s="3"/>
      <c r="H4353" s="11"/>
      <c r="I4353" s="12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14"/>
      <c r="X4353" s="3"/>
      <c r="Y4353" s="14"/>
      <c r="Z4353" s="3"/>
      <c r="AA4353" s="3"/>
      <c r="AB4353" s="3"/>
      <c r="AC4353" s="3"/>
      <c r="AD4353" s="3"/>
      <c r="AE4353" s="3"/>
      <c r="AF4353" s="3"/>
      <c r="AG4353" s="3"/>
      <c r="AH4353" s="3"/>
    </row>
    <row r="4354" spans="1:34" ht="14.25" customHeight="1" x14ac:dyDescent="0.25">
      <c r="A4354" s="3"/>
      <c r="B4354" s="3"/>
      <c r="C4354" s="3"/>
      <c r="D4354" s="3"/>
      <c r="E4354" s="3"/>
      <c r="F4354" s="3"/>
      <c r="G4354" s="3"/>
      <c r="H4354" s="11"/>
      <c r="I4354" s="12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14"/>
      <c r="X4354" s="3"/>
      <c r="Y4354" s="14"/>
      <c r="Z4354" s="3"/>
      <c r="AA4354" s="3"/>
      <c r="AB4354" s="3"/>
      <c r="AC4354" s="3"/>
      <c r="AD4354" s="3"/>
      <c r="AE4354" s="3"/>
      <c r="AF4354" s="3"/>
      <c r="AG4354" s="3"/>
      <c r="AH4354" s="3"/>
    </row>
    <row r="4355" spans="1:34" ht="14.25" customHeight="1" x14ac:dyDescent="0.25">
      <c r="A4355" s="3"/>
      <c r="B4355" s="3"/>
      <c r="C4355" s="3"/>
      <c r="D4355" s="3"/>
      <c r="E4355" s="3"/>
      <c r="F4355" s="3"/>
      <c r="G4355" s="3"/>
      <c r="H4355" s="11"/>
      <c r="I4355" s="12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14"/>
      <c r="X4355" s="3"/>
      <c r="Y4355" s="14"/>
      <c r="Z4355" s="3"/>
      <c r="AA4355" s="3"/>
      <c r="AB4355" s="3"/>
      <c r="AC4355" s="3"/>
      <c r="AD4355" s="3"/>
      <c r="AE4355" s="3"/>
      <c r="AF4355" s="3"/>
      <c r="AG4355" s="3"/>
      <c r="AH4355" s="3"/>
    </row>
    <row r="4356" spans="1:34" ht="14.25" customHeight="1" x14ac:dyDescent="0.25">
      <c r="A4356" s="3"/>
      <c r="B4356" s="3"/>
      <c r="C4356" s="3"/>
      <c r="D4356" s="3"/>
      <c r="E4356" s="3"/>
      <c r="F4356" s="3"/>
      <c r="G4356" s="3"/>
      <c r="H4356" s="11"/>
      <c r="I4356" s="12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14"/>
      <c r="X4356" s="3"/>
      <c r="Y4356" s="14"/>
      <c r="Z4356" s="3"/>
      <c r="AA4356" s="3"/>
      <c r="AB4356" s="3"/>
      <c r="AC4356" s="3"/>
      <c r="AD4356" s="3"/>
      <c r="AE4356" s="3"/>
      <c r="AF4356" s="3"/>
      <c r="AG4356" s="3"/>
      <c r="AH4356" s="3"/>
    </row>
    <row r="4357" spans="1:34" ht="14.25" customHeight="1" x14ac:dyDescent="0.25">
      <c r="A4357" s="3"/>
      <c r="B4357" s="3"/>
      <c r="C4357" s="3"/>
      <c r="D4357" s="3"/>
      <c r="E4357" s="3"/>
      <c r="F4357" s="3"/>
      <c r="G4357" s="3"/>
      <c r="H4357" s="11"/>
      <c r="I4357" s="12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14"/>
      <c r="X4357" s="3"/>
      <c r="Y4357" s="14"/>
      <c r="Z4357" s="3"/>
      <c r="AA4357" s="3"/>
      <c r="AB4357" s="3"/>
      <c r="AC4357" s="3"/>
      <c r="AD4357" s="3"/>
      <c r="AE4357" s="3"/>
      <c r="AF4357" s="3"/>
      <c r="AG4357" s="3"/>
      <c r="AH4357" s="3"/>
    </row>
    <row r="4358" spans="1:34" ht="14.25" customHeight="1" x14ac:dyDescent="0.25">
      <c r="A4358" s="3"/>
      <c r="B4358" s="3"/>
      <c r="C4358" s="3"/>
      <c r="D4358" s="3"/>
      <c r="E4358" s="3"/>
      <c r="F4358" s="3"/>
      <c r="G4358" s="3"/>
      <c r="H4358" s="11"/>
      <c r="I4358" s="12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14"/>
      <c r="X4358" s="3"/>
      <c r="Y4358" s="14"/>
      <c r="Z4358" s="3"/>
      <c r="AA4358" s="3"/>
      <c r="AB4358" s="3"/>
      <c r="AC4358" s="3"/>
      <c r="AD4358" s="3"/>
      <c r="AE4358" s="3"/>
      <c r="AF4358" s="3"/>
      <c r="AG4358" s="3"/>
      <c r="AH4358" s="3"/>
    </row>
    <row r="4359" spans="1:34" ht="14.25" customHeight="1" x14ac:dyDescent="0.25">
      <c r="A4359" s="3"/>
      <c r="B4359" s="3"/>
      <c r="C4359" s="3"/>
      <c r="D4359" s="3"/>
      <c r="E4359" s="3"/>
      <c r="F4359" s="3"/>
      <c r="G4359" s="3"/>
      <c r="H4359" s="11"/>
      <c r="I4359" s="12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14"/>
      <c r="X4359" s="3"/>
      <c r="Y4359" s="14"/>
      <c r="Z4359" s="3"/>
      <c r="AA4359" s="3"/>
      <c r="AB4359" s="3"/>
      <c r="AC4359" s="3"/>
      <c r="AD4359" s="3"/>
      <c r="AE4359" s="3"/>
      <c r="AF4359" s="3"/>
      <c r="AG4359" s="3"/>
      <c r="AH4359" s="3"/>
    </row>
    <row r="4360" spans="1:34" ht="14.25" customHeight="1" x14ac:dyDescent="0.25">
      <c r="A4360" s="3"/>
      <c r="B4360" s="3"/>
      <c r="C4360" s="3"/>
      <c r="D4360" s="3"/>
      <c r="E4360" s="3"/>
      <c r="F4360" s="3"/>
      <c r="G4360" s="3"/>
      <c r="H4360" s="11"/>
      <c r="I4360" s="12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14"/>
      <c r="X4360" s="3"/>
      <c r="Y4360" s="14"/>
      <c r="Z4360" s="3"/>
      <c r="AA4360" s="3"/>
      <c r="AB4360" s="3"/>
      <c r="AC4360" s="3"/>
      <c r="AD4360" s="3"/>
      <c r="AE4360" s="3"/>
      <c r="AF4360" s="3"/>
      <c r="AG4360" s="3"/>
      <c r="AH4360" s="3"/>
    </row>
    <row r="4361" spans="1:34" ht="14.25" customHeight="1" x14ac:dyDescent="0.25">
      <c r="A4361" s="3"/>
      <c r="B4361" s="3"/>
      <c r="C4361" s="3"/>
      <c r="D4361" s="3"/>
      <c r="E4361" s="3"/>
      <c r="F4361" s="3"/>
      <c r="G4361" s="3"/>
      <c r="H4361" s="11"/>
      <c r="I4361" s="12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14"/>
      <c r="X4361" s="3"/>
      <c r="Y4361" s="14"/>
      <c r="Z4361" s="3"/>
      <c r="AA4361" s="3"/>
      <c r="AB4361" s="3"/>
      <c r="AC4361" s="3"/>
      <c r="AD4361" s="3"/>
      <c r="AE4361" s="3"/>
      <c r="AF4361" s="3"/>
      <c r="AG4361" s="3"/>
      <c r="AH4361" s="3"/>
    </row>
    <row r="4362" spans="1:34" ht="14.25" customHeight="1" x14ac:dyDescent="0.25">
      <c r="A4362" s="3"/>
      <c r="B4362" s="3"/>
      <c r="C4362" s="3"/>
      <c r="D4362" s="3"/>
      <c r="E4362" s="3"/>
      <c r="F4362" s="3"/>
      <c r="G4362" s="3"/>
      <c r="H4362" s="11"/>
      <c r="I4362" s="12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14"/>
      <c r="X4362" s="3"/>
      <c r="Y4362" s="14"/>
      <c r="Z4362" s="3"/>
      <c r="AA4362" s="3"/>
      <c r="AB4362" s="3"/>
      <c r="AC4362" s="3"/>
      <c r="AD4362" s="3"/>
      <c r="AE4362" s="3"/>
      <c r="AF4362" s="3"/>
      <c r="AG4362" s="3"/>
      <c r="AH4362" s="3"/>
    </row>
    <row r="4363" spans="1:34" ht="14.25" customHeight="1" x14ac:dyDescent="0.25">
      <c r="A4363" s="3"/>
      <c r="B4363" s="3"/>
      <c r="C4363" s="3"/>
      <c r="D4363" s="3"/>
      <c r="E4363" s="3"/>
      <c r="F4363" s="3"/>
      <c r="G4363" s="3"/>
      <c r="H4363" s="11"/>
      <c r="I4363" s="12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14"/>
      <c r="X4363" s="3"/>
      <c r="Y4363" s="14"/>
      <c r="Z4363" s="3"/>
      <c r="AA4363" s="3"/>
      <c r="AB4363" s="3"/>
      <c r="AC4363" s="3"/>
      <c r="AD4363" s="3"/>
      <c r="AE4363" s="3"/>
      <c r="AF4363" s="3"/>
      <c r="AG4363" s="3"/>
      <c r="AH4363" s="3"/>
    </row>
    <row r="4364" spans="1:34" ht="14.25" customHeight="1" x14ac:dyDescent="0.25">
      <c r="A4364" s="3"/>
      <c r="B4364" s="3"/>
      <c r="C4364" s="3"/>
      <c r="D4364" s="3"/>
      <c r="E4364" s="3"/>
      <c r="F4364" s="3"/>
      <c r="G4364" s="3"/>
      <c r="H4364" s="11"/>
      <c r="I4364" s="12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14"/>
      <c r="X4364" s="3"/>
      <c r="Y4364" s="14"/>
      <c r="Z4364" s="3"/>
      <c r="AA4364" s="3"/>
      <c r="AB4364" s="3"/>
      <c r="AC4364" s="3"/>
      <c r="AD4364" s="3"/>
      <c r="AE4364" s="3"/>
      <c r="AF4364" s="3"/>
      <c r="AG4364" s="3"/>
      <c r="AH4364" s="3"/>
    </row>
    <row r="4365" spans="1:34" ht="14.25" customHeight="1" x14ac:dyDescent="0.25">
      <c r="A4365" s="3"/>
      <c r="B4365" s="3"/>
      <c r="C4365" s="3"/>
      <c r="D4365" s="3"/>
      <c r="E4365" s="3"/>
      <c r="F4365" s="3"/>
      <c r="G4365" s="3"/>
      <c r="H4365" s="11"/>
      <c r="I4365" s="12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14"/>
      <c r="X4365" s="3"/>
      <c r="Y4365" s="14"/>
      <c r="Z4365" s="3"/>
      <c r="AA4365" s="3"/>
      <c r="AB4365" s="3"/>
      <c r="AC4365" s="3"/>
      <c r="AD4365" s="3"/>
      <c r="AE4365" s="3"/>
      <c r="AF4365" s="3"/>
      <c r="AG4365" s="3"/>
      <c r="AH4365" s="3"/>
    </row>
    <row r="4366" spans="1:34" ht="14.25" customHeight="1" x14ac:dyDescent="0.25">
      <c r="A4366" s="3"/>
      <c r="B4366" s="3"/>
      <c r="C4366" s="3"/>
      <c r="D4366" s="3"/>
      <c r="E4366" s="3"/>
      <c r="F4366" s="3"/>
      <c r="G4366" s="3"/>
      <c r="H4366" s="11"/>
      <c r="I4366" s="12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14"/>
      <c r="X4366" s="3"/>
      <c r="Y4366" s="14"/>
      <c r="Z4366" s="3"/>
      <c r="AA4366" s="3"/>
      <c r="AB4366" s="3"/>
      <c r="AC4366" s="3"/>
      <c r="AD4366" s="3"/>
      <c r="AE4366" s="3"/>
      <c r="AF4366" s="3"/>
      <c r="AG4366" s="3"/>
      <c r="AH4366" s="3"/>
    </row>
    <row r="4367" spans="1:34" ht="14.25" customHeight="1" x14ac:dyDescent="0.25">
      <c r="A4367" s="3"/>
      <c r="B4367" s="3"/>
      <c r="C4367" s="3"/>
      <c r="D4367" s="3"/>
      <c r="E4367" s="3"/>
      <c r="F4367" s="3"/>
      <c r="G4367" s="3"/>
      <c r="H4367" s="11"/>
      <c r="I4367" s="12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14"/>
      <c r="X4367" s="3"/>
      <c r="Y4367" s="14"/>
      <c r="Z4367" s="3"/>
      <c r="AA4367" s="3"/>
      <c r="AB4367" s="3"/>
      <c r="AC4367" s="3"/>
      <c r="AD4367" s="3"/>
      <c r="AE4367" s="3"/>
      <c r="AF4367" s="3"/>
      <c r="AG4367" s="3"/>
      <c r="AH4367" s="3"/>
    </row>
    <row r="4368" spans="1:34" ht="14.25" customHeight="1" x14ac:dyDescent="0.25">
      <c r="A4368" s="3"/>
      <c r="B4368" s="3"/>
      <c r="C4368" s="3"/>
      <c r="D4368" s="3"/>
      <c r="E4368" s="3"/>
      <c r="F4368" s="3"/>
      <c r="G4368" s="3"/>
      <c r="H4368" s="11"/>
      <c r="I4368" s="12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14"/>
      <c r="X4368" s="3"/>
      <c r="Y4368" s="14"/>
      <c r="Z4368" s="3"/>
      <c r="AA4368" s="3"/>
      <c r="AB4368" s="3"/>
      <c r="AC4368" s="3"/>
      <c r="AD4368" s="3"/>
      <c r="AE4368" s="3"/>
      <c r="AF4368" s="3"/>
      <c r="AG4368" s="3"/>
      <c r="AH4368" s="3"/>
    </row>
    <row r="4369" spans="1:34" ht="14.25" customHeight="1" x14ac:dyDescent="0.25">
      <c r="A4369" s="3"/>
      <c r="B4369" s="3"/>
      <c r="C4369" s="3"/>
      <c r="D4369" s="3"/>
      <c r="E4369" s="3"/>
      <c r="F4369" s="3"/>
      <c r="G4369" s="3"/>
      <c r="H4369" s="11"/>
      <c r="I4369" s="12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14"/>
      <c r="X4369" s="3"/>
      <c r="Y4369" s="14"/>
      <c r="Z4369" s="3"/>
      <c r="AA4369" s="3"/>
      <c r="AB4369" s="3"/>
      <c r="AC4369" s="3"/>
      <c r="AD4369" s="3"/>
      <c r="AE4369" s="3"/>
      <c r="AF4369" s="3"/>
      <c r="AG4369" s="3"/>
      <c r="AH4369" s="3"/>
    </row>
    <row r="4370" spans="1:34" ht="14.25" customHeight="1" x14ac:dyDescent="0.25">
      <c r="A4370" s="3"/>
      <c r="B4370" s="3"/>
      <c r="C4370" s="3"/>
      <c r="D4370" s="3"/>
      <c r="E4370" s="3"/>
      <c r="F4370" s="3"/>
      <c r="G4370" s="3"/>
      <c r="H4370" s="11"/>
      <c r="I4370" s="12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14"/>
      <c r="X4370" s="3"/>
      <c r="Y4370" s="14"/>
      <c r="Z4370" s="3"/>
      <c r="AA4370" s="3"/>
      <c r="AB4370" s="3"/>
      <c r="AC4370" s="3"/>
      <c r="AD4370" s="3"/>
      <c r="AE4370" s="3"/>
      <c r="AF4370" s="3"/>
      <c r="AG4370" s="3"/>
      <c r="AH4370" s="3"/>
    </row>
    <row r="4371" spans="1:34" ht="14.25" customHeight="1" x14ac:dyDescent="0.25">
      <c r="A4371" s="3"/>
      <c r="B4371" s="3"/>
      <c r="C4371" s="3"/>
      <c r="D4371" s="3"/>
      <c r="E4371" s="3"/>
      <c r="F4371" s="3"/>
      <c r="G4371" s="3"/>
      <c r="H4371" s="11"/>
      <c r="I4371" s="12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14"/>
      <c r="X4371" s="3"/>
      <c r="Y4371" s="14"/>
      <c r="Z4371" s="3"/>
      <c r="AA4371" s="3"/>
      <c r="AB4371" s="3"/>
      <c r="AC4371" s="3"/>
      <c r="AD4371" s="3"/>
      <c r="AE4371" s="3"/>
      <c r="AF4371" s="3"/>
      <c r="AG4371" s="3"/>
      <c r="AH4371" s="3"/>
    </row>
    <row r="4372" spans="1:34" ht="14.25" customHeight="1" x14ac:dyDescent="0.25">
      <c r="A4372" s="3"/>
      <c r="B4372" s="3"/>
      <c r="C4372" s="3"/>
      <c r="D4372" s="3"/>
      <c r="E4372" s="3"/>
      <c r="F4372" s="3"/>
      <c r="G4372" s="3"/>
      <c r="H4372" s="11"/>
      <c r="I4372" s="12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14"/>
      <c r="X4372" s="3"/>
      <c r="Y4372" s="14"/>
      <c r="Z4372" s="3"/>
      <c r="AA4372" s="3"/>
      <c r="AB4372" s="3"/>
      <c r="AC4372" s="3"/>
      <c r="AD4372" s="3"/>
      <c r="AE4372" s="3"/>
      <c r="AF4372" s="3"/>
      <c r="AG4372" s="3"/>
      <c r="AH4372" s="3"/>
    </row>
    <row r="4373" spans="1:34" ht="14.25" customHeight="1" x14ac:dyDescent="0.25">
      <c r="A4373" s="3"/>
      <c r="B4373" s="3"/>
      <c r="C4373" s="3"/>
      <c r="D4373" s="3"/>
      <c r="E4373" s="3"/>
      <c r="F4373" s="3"/>
      <c r="G4373" s="3"/>
      <c r="H4373" s="11"/>
      <c r="I4373" s="12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14"/>
      <c r="X4373" s="3"/>
      <c r="Y4373" s="14"/>
      <c r="Z4373" s="3"/>
      <c r="AA4373" s="3"/>
      <c r="AB4373" s="3"/>
      <c r="AC4373" s="3"/>
      <c r="AD4373" s="3"/>
      <c r="AE4373" s="3"/>
      <c r="AF4373" s="3"/>
      <c r="AG4373" s="3"/>
      <c r="AH4373" s="3"/>
    </row>
    <row r="4374" spans="1:34" ht="14.25" customHeight="1" x14ac:dyDescent="0.25">
      <c r="A4374" s="3"/>
      <c r="B4374" s="3"/>
      <c r="C4374" s="3"/>
      <c r="D4374" s="3"/>
      <c r="E4374" s="3"/>
      <c r="F4374" s="3"/>
      <c r="G4374" s="3"/>
      <c r="H4374" s="11"/>
      <c r="I4374" s="12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14"/>
      <c r="X4374" s="3"/>
      <c r="Y4374" s="14"/>
      <c r="Z4374" s="3"/>
      <c r="AA4374" s="3"/>
      <c r="AB4374" s="3"/>
      <c r="AC4374" s="3"/>
      <c r="AD4374" s="3"/>
      <c r="AE4374" s="3"/>
      <c r="AF4374" s="3"/>
      <c r="AG4374" s="3"/>
      <c r="AH4374" s="3"/>
    </row>
    <row r="4375" spans="1:34" ht="14.25" customHeight="1" x14ac:dyDescent="0.25">
      <c r="A4375" s="3"/>
      <c r="B4375" s="3"/>
      <c r="C4375" s="3"/>
      <c r="D4375" s="3"/>
      <c r="E4375" s="3"/>
      <c r="F4375" s="3"/>
      <c r="G4375" s="3"/>
      <c r="H4375" s="11"/>
      <c r="I4375" s="12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14"/>
      <c r="X4375" s="3"/>
      <c r="Y4375" s="14"/>
      <c r="Z4375" s="3"/>
      <c r="AA4375" s="3"/>
      <c r="AB4375" s="3"/>
      <c r="AC4375" s="3"/>
      <c r="AD4375" s="3"/>
      <c r="AE4375" s="3"/>
      <c r="AF4375" s="3"/>
      <c r="AG4375" s="3"/>
      <c r="AH4375" s="3"/>
    </row>
    <row r="4376" spans="1:34" ht="14.25" customHeight="1" x14ac:dyDescent="0.25">
      <c r="A4376" s="3"/>
      <c r="B4376" s="3"/>
      <c r="C4376" s="3"/>
      <c r="D4376" s="3"/>
      <c r="E4376" s="3"/>
      <c r="F4376" s="3"/>
      <c r="G4376" s="3"/>
      <c r="H4376" s="11"/>
      <c r="I4376" s="12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14"/>
      <c r="X4376" s="3"/>
      <c r="Y4376" s="14"/>
      <c r="Z4376" s="3"/>
      <c r="AA4376" s="3"/>
      <c r="AB4376" s="3"/>
      <c r="AC4376" s="3"/>
      <c r="AD4376" s="3"/>
      <c r="AE4376" s="3"/>
      <c r="AF4376" s="3"/>
      <c r="AG4376" s="3"/>
      <c r="AH4376" s="3"/>
    </row>
    <row r="4377" spans="1:34" ht="14.25" customHeight="1" x14ac:dyDescent="0.25">
      <c r="A4377" s="3"/>
      <c r="B4377" s="3"/>
      <c r="C4377" s="3"/>
      <c r="D4377" s="3"/>
      <c r="E4377" s="3"/>
      <c r="F4377" s="3"/>
      <c r="G4377" s="3"/>
      <c r="H4377" s="11"/>
      <c r="I4377" s="12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14"/>
      <c r="X4377" s="3"/>
      <c r="Y4377" s="14"/>
      <c r="Z4377" s="3"/>
      <c r="AA4377" s="3"/>
      <c r="AB4377" s="3"/>
      <c r="AC4377" s="3"/>
      <c r="AD4377" s="3"/>
      <c r="AE4377" s="3"/>
      <c r="AF4377" s="3"/>
      <c r="AG4377" s="3"/>
      <c r="AH4377" s="3"/>
    </row>
    <row r="4378" spans="1:34" ht="14.25" customHeight="1" x14ac:dyDescent="0.25">
      <c r="A4378" s="3"/>
      <c r="B4378" s="3"/>
      <c r="C4378" s="3"/>
      <c r="D4378" s="3"/>
      <c r="E4378" s="3"/>
      <c r="F4378" s="3"/>
      <c r="G4378" s="3"/>
      <c r="H4378" s="11"/>
      <c r="I4378" s="12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14"/>
      <c r="X4378" s="3"/>
      <c r="Y4378" s="14"/>
      <c r="Z4378" s="3"/>
      <c r="AA4378" s="3"/>
      <c r="AB4378" s="3"/>
      <c r="AC4378" s="3"/>
      <c r="AD4378" s="3"/>
      <c r="AE4378" s="3"/>
      <c r="AF4378" s="3"/>
      <c r="AG4378" s="3"/>
      <c r="AH4378" s="3"/>
    </row>
    <row r="4379" spans="1:34" ht="14.25" customHeight="1" x14ac:dyDescent="0.25">
      <c r="A4379" s="3"/>
      <c r="B4379" s="3"/>
      <c r="C4379" s="3"/>
      <c r="D4379" s="3"/>
      <c r="E4379" s="3"/>
      <c r="F4379" s="3"/>
      <c r="G4379" s="3"/>
      <c r="H4379" s="11"/>
      <c r="I4379" s="12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14"/>
      <c r="X4379" s="3"/>
      <c r="Y4379" s="14"/>
      <c r="Z4379" s="3"/>
      <c r="AA4379" s="3"/>
      <c r="AB4379" s="3"/>
      <c r="AC4379" s="3"/>
      <c r="AD4379" s="3"/>
      <c r="AE4379" s="3"/>
      <c r="AF4379" s="3"/>
      <c r="AG4379" s="3"/>
      <c r="AH4379" s="3"/>
    </row>
    <row r="4380" spans="1:34" ht="14.25" customHeight="1" x14ac:dyDescent="0.25">
      <c r="A4380" s="3"/>
      <c r="B4380" s="3"/>
      <c r="C4380" s="3"/>
      <c r="D4380" s="3"/>
      <c r="E4380" s="3"/>
      <c r="F4380" s="3"/>
      <c r="G4380" s="3"/>
      <c r="H4380" s="11"/>
      <c r="I4380" s="12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14"/>
      <c r="X4380" s="3"/>
      <c r="Y4380" s="14"/>
      <c r="Z4380" s="3"/>
      <c r="AA4380" s="3"/>
      <c r="AB4380" s="3"/>
      <c r="AC4380" s="3"/>
      <c r="AD4380" s="3"/>
      <c r="AE4380" s="3"/>
      <c r="AF4380" s="3"/>
      <c r="AG4380" s="3"/>
      <c r="AH4380" s="3"/>
    </row>
    <row r="4381" spans="1:34" ht="14.25" customHeight="1" x14ac:dyDescent="0.25">
      <c r="A4381" s="3"/>
      <c r="B4381" s="3"/>
      <c r="C4381" s="3"/>
      <c r="D4381" s="3"/>
      <c r="E4381" s="3"/>
      <c r="F4381" s="3"/>
      <c r="G4381" s="3"/>
      <c r="H4381" s="11"/>
      <c r="I4381" s="12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14"/>
      <c r="X4381" s="3"/>
      <c r="Y4381" s="14"/>
      <c r="Z4381" s="3"/>
      <c r="AA4381" s="3"/>
      <c r="AB4381" s="3"/>
      <c r="AC4381" s="3"/>
      <c r="AD4381" s="3"/>
      <c r="AE4381" s="3"/>
      <c r="AF4381" s="3"/>
      <c r="AG4381" s="3"/>
      <c r="AH4381" s="3"/>
    </row>
    <row r="4382" spans="1:34" ht="14.25" customHeight="1" x14ac:dyDescent="0.25">
      <c r="A4382" s="3"/>
      <c r="B4382" s="3"/>
      <c r="C4382" s="3"/>
      <c r="D4382" s="3"/>
      <c r="E4382" s="3"/>
      <c r="F4382" s="3"/>
      <c r="G4382" s="3"/>
      <c r="H4382" s="11"/>
      <c r="I4382" s="12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14"/>
      <c r="X4382" s="3"/>
      <c r="Y4382" s="14"/>
      <c r="Z4382" s="3"/>
      <c r="AA4382" s="3"/>
      <c r="AB4382" s="3"/>
      <c r="AC4382" s="3"/>
      <c r="AD4382" s="3"/>
      <c r="AE4382" s="3"/>
      <c r="AF4382" s="3"/>
      <c r="AG4382" s="3"/>
      <c r="AH4382" s="3"/>
    </row>
    <row r="4383" spans="1:34" ht="14.25" customHeight="1" x14ac:dyDescent="0.25">
      <c r="A4383" s="3"/>
      <c r="B4383" s="3"/>
      <c r="C4383" s="3"/>
      <c r="D4383" s="3"/>
      <c r="E4383" s="3"/>
      <c r="F4383" s="3"/>
      <c r="G4383" s="3"/>
      <c r="H4383" s="11"/>
      <c r="I4383" s="12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14"/>
      <c r="X4383" s="3"/>
      <c r="Y4383" s="14"/>
      <c r="Z4383" s="3"/>
      <c r="AA4383" s="3"/>
      <c r="AB4383" s="3"/>
      <c r="AC4383" s="3"/>
      <c r="AD4383" s="3"/>
      <c r="AE4383" s="3"/>
      <c r="AF4383" s="3"/>
      <c r="AG4383" s="3"/>
      <c r="AH4383" s="3"/>
    </row>
    <row r="4384" spans="1:34" ht="14.25" customHeight="1" x14ac:dyDescent="0.25">
      <c r="A4384" s="3"/>
      <c r="B4384" s="3"/>
      <c r="C4384" s="3"/>
      <c r="D4384" s="3"/>
      <c r="E4384" s="3"/>
      <c r="F4384" s="3"/>
      <c r="G4384" s="3"/>
      <c r="H4384" s="11"/>
      <c r="I4384" s="12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14"/>
      <c r="X4384" s="3"/>
      <c r="Y4384" s="14"/>
      <c r="Z4384" s="3"/>
      <c r="AA4384" s="3"/>
      <c r="AB4384" s="3"/>
      <c r="AC4384" s="3"/>
      <c r="AD4384" s="3"/>
      <c r="AE4384" s="3"/>
      <c r="AF4384" s="3"/>
      <c r="AG4384" s="3"/>
      <c r="AH4384" s="3"/>
    </row>
    <row r="4385" spans="1:34" ht="14.25" customHeight="1" x14ac:dyDescent="0.25">
      <c r="A4385" s="3"/>
      <c r="B4385" s="3"/>
      <c r="C4385" s="3"/>
      <c r="D4385" s="3"/>
      <c r="E4385" s="3"/>
      <c r="F4385" s="3"/>
      <c r="G4385" s="3"/>
      <c r="H4385" s="11"/>
      <c r="I4385" s="12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14"/>
      <c r="X4385" s="3"/>
      <c r="Y4385" s="14"/>
      <c r="Z4385" s="3"/>
      <c r="AA4385" s="3"/>
      <c r="AB4385" s="3"/>
      <c r="AC4385" s="3"/>
      <c r="AD4385" s="3"/>
      <c r="AE4385" s="3"/>
      <c r="AF4385" s="3"/>
      <c r="AG4385" s="3"/>
      <c r="AH4385" s="3"/>
    </row>
    <row r="4386" spans="1:34" ht="14.25" customHeight="1" x14ac:dyDescent="0.25">
      <c r="A4386" s="3"/>
      <c r="B4386" s="3"/>
      <c r="C4386" s="3"/>
      <c r="D4386" s="3"/>
      <c r="E4386" s="3"/>
      <c r="F4386" s="3"/>
      <c r="G4386" s="3"/>
      <c r="H4386" s="11"/>
      <c r="I4386" s="12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14"/>
      <c r="X4386" s="3"/>
      <c r="Y4386" s="14"/>
      <c r="Z4386" s="3"/>
      <c r="AA4386" s="3"/>
      <c r="AB4386" s="3"/>
      <c r="AC4386" s="3"/>
      <c r="AD4386" s="3"/>
      <c r="AE4386" s="3"/>
      <c r="AF4386" s="3"/>
      <c r="AG4386" s="3"/>
      <c r="AH4386" s="3"/>
    </row>
    <row r="4387" spans="1:34" ht="14.25" customHeight="1" x14ac:dyDescent="0.25">
      <c r="A4387" s="3"/>
      <c r="B4387" s="3"/>
      <c r="C4387" s="3"/>
      <c r="D4387" s="3"/>
      <c r="E4387" s="3"/>
      <c r="F4387" s="3"/>
      <c r="G4387" s="3"/>
      <c r="H4387" s="11"/>
      <c r="I4387" s="12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14"/>
      <c r="X4387" s="3"/>
      <c r="Y4387" s="14"/>
      <c r="Z4387" s="3"/>
      <c r="AA4387" s="3"/>
      <c r="AB4387" s="3"/>
      <c r="AC4387" s="3"/>
      <c r="AD4387" s="3"/>
      <c r="AE4387" s="3"/>
      <c r="AF4387" s="3"/>
      <c r="AG4387" s="3"/>
      <c r="AH4387" s="3"/>
    </row>
    <row r="4388" spans="1:34" ht="14.25" customHeight="1" x14ac:dyDescent="0.25">
      <c r="A4388" s="3"/>
      <c r="B4388" s="3"/>
      <c r="C4388" s="3"/>
      <c r="D4388" s="3"/>
      <c r="E4388" s="3"/>
      <c r="F4388" s="3"/>
      <c r="G4388" s="3"/>
      <c r="H4388" s="11"/>
      <c r="I4388" s="12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14"/>
      <c r="X4388" s="3"/>
      <c r="Y4388" s="14"/>
      <c r="Z4388" s="3"/>
      <c r="AA4388" s="3"/>
      <c r="AB4388" s="3"/>
      <c r="AC4388" s="3"/>
      <c r="AD4388" s="3"/>
      <c r="AE4388" s="3"/>
      <c r="AF4388" s="3"/>
      <c r="AG4388" s="3"/>
      <c r="AH4388" s="3"/>
    </row>
    <row r="4389" spans="1:34" ht="14.25" customHeight="1" x14ac:dyDescent="0.25">
      <c r="A4389" s="3"/>
      <c r="B4389" s="3"/>
      <c r="C4389" s="3"/>
      <c r="D4389" s="3"/>
      <c r="E4389" s="3"/>
      <c r="F4389" s="3"/>
      <c r="G4389" s="3"/>
      <c r="H4389" s="11"/>
      <c r="I4389" s="12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14"/>
      <c r="X4389" s="3"/>
      <c r="Y4389" s="14"/>
      <c r="Z4389" s="3"/>
      <c r="AA4389" s="3"/>
      <c r="AB4389" s="3"/>
      <c r="AC4389" s="3"/>
      <c r="AD4389" s="3"/>
      <c r="AE4389" s="3"/>
      <c r="AF4389" s="3"/>
      <c r="AG4389" s="3"/>
      <c r="AH4389" s="3"/>
    </row>
    <row r="4390" spans="1:34" ht="14.25" customHeight="1" x14ac:dyDescent="0.25">
      <c r="A4390" s="3"/>
      <c r="B4390" s="3"/>
      <c r="C4390" s="3"/>
      <c r="D4390" s="3"/>
      <c r="E4390" s="3"/>
      <c r="F4390" s="3"/>
      <c r="G4390" s="3"/>
      <c r="H4390" s="11"/>
      <c r="I4390" s="12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14"/>
      <c r="X4390" s="3"/>
      <c r="Y4390" s="14"/>
      <c r="Z4390" s="3"/>
      <c r="AA4390" s="3"/>
      <c r="AB4390" s="3"/>
      <c r="AC4390" s="3"/>
      <c r="AD4390" s="3"/>
      <c r="AE4390" s="3"/>
      <c r="AF4390" s="3"/>
      <c r="AG4390" s="3"/>
      <c r="AH4390" s="3"/>
    </row>
    <row r="4391" spans="1:34" ht="14.25" customHeight="1" x14ac:dyDescent="0.25">
      <c r="A4391" s="3"/>
      <c r="B4391" s="3"/>
      <c r="C4391" s="3"/>
      <c r="D4391" s="3"/>
      <c r="E4391" s="3"/>
      <c r="F4391" s="3"/>
      <c r="G4391" s="3"/>
      <c r="H4391" s="11"/>
      <c r="I4391" s="12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14"/>
      <c r="X4391" s="3"/>
      <c r="Y4391" s="14"/>
      <c r="Z4391" s="3"/>
      <c r="AA4391" s="3"/>
      <c r="AB4391" s="3"/>
      <c r="AC4391" s="3"/>
      <c r="AD4391" s="3"/>
      <c r="AE4391" s="3"/>
      <c r="AF4391" s="3"/>
      <c r="AG4391" s="3"/>
      <c r="AH4391" s="3"/>
    </row>
    <row r="4392" spans="1:34" ht="14.25" customHeight="1" x14ac:dyDescent="0.25">
      <c r="A4392" s="3"/>
      <c r="B4392" s="3"/>
      <c r="C4392" s="3"/>
      <c r="D4392" s="3"/>
      <c r="E4392" s="3"/>
      <c r="F4392" s="3"/>
      <c r="G4392" s="3"/>
      <c r="H4392" s="11"/>
      <c r="I4392" s="12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14"/>
      <c r="X4392" s="3"/>
      <c r="Y4392" s="14"/>
      <c r="Z4392" s="3"/>
      <c r="AA4392" s="3"/>
      <c r="AB4392" s="3"/>
      <c r="AC4392" s="3"/>
      <c r="AD4392" s="3"/>
      <c r="AE4392" s="3"/>
      <c r="AF4392" s="3"/>
      <c r="AG4392" s="3"/>
      <c r="AH4392" s="3"/>
    </row>
    <row r="4393" spans="1:34" ht="14.25" customHeight="1" x14ac:dyDescent="0.25">
      <c r="A4393" s="3"/>
      <c r="B4393" s="3"/>
      <c r="C4393" s="3"/>
      <c r="D4393" s="3"/>
      <c r="E4393" s="3"/>
      <c r="F4393" s="3"/>
      <c r="G4393" s="3"/>
      <c r="H4393" s="11"/>
      <c r="I4393" s="12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14"/>
      <c r="X4393" s="3"/>
      <c r="Y4393" s="14"/>
      <c r="Z4393" s="3"/>
      <c r="AA4393" s="3"/>
      <c r="AB4393" s="3"/>
      <c r="AC4393" s="3"/>
      <c r="AD4393" s="3"/>
      <c r="AE4393" s="3"/>
      <c r="AF4393" s="3"/>
      <c r="AG4393" s="3"/>
      <c r="AH4393" s="3"/>
    </row>
    <row r="4394" spans="1:34" ht="14.25" customHeight="1" x14ac:dyDescent="0.25">
      <c r="A4394" s="3"/>
      <c r="B4394" s="3"/>
      <c r="C4394" s="3"/>
      <c r="D4394" s="3"/>
      <c r="E4394" s="3"/>
      <c r="F4394" s="3"/>
      <c r="G4394" s="3"/>
      <c r="H4394" s="11"/>
      <c r="I4394" s="12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14"/>
      <c r="X4394" s="3"/>
      <c r="Y4394" s="14"/>
      <c r="Z4394" s="3"/>
      <c r="AA4394" s="3"/>
      <c r="AB4394" s="3"/>
      <c r="AC4394" s="3"/>
      <c r="AD4394" s="3"/>
      <c r="AE4394" s="3"/>
      <c r="AF4394" s="3"/>
      <c r="AG4394" s="3"/>
      <c r="AH4394" s="3"/>
    </row>
    <row r="4395" spans="1:34" ht="14.25" customHeight="1" x14ac:dyDescent="0.25">
      <c r="A4395" s="3"/>
      <c r="B4395" s="3"/>
      <c r="C4395" s="3"/>
      <c r="D4395" s="3"/>
      <c r="E4395" s="3"/>
      <c r="F4395" s="3"/>
      <c r="G4395" s="3"/>
      <c r="H4395" s="11"/>
      <c r="I4395" s="12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14"/>
      <c r="X4395" s="3"/>
      <c r="Y4395" s="14"/>
      <c r="Z4395" s="3"/>
      <c r="AA4395" s="3"/>
      <c r="AB4395" s="3"/>
      <c r="AC4395" s="3"/>
      <c r="AD4395" s="3"/>
      <c r="AE4395" s="3"/>
      <c r="AF4395" s="3"/>
      <c r="AG4395" s="3"/>
      <c r="AH4395" s="3"/>
    </row>
    <row r="4396" spans="1:34" ht="14.25" customHeight="1" x14ac:dyDescent="0.25">
      <c r="A4396" s="3"/>
      <c r="B4396" s="3"/>
      <c r="C4396" s="3"/>
      <c r="D4396" s="3"/>
      <c r="E4396" s="3"/>
      <c r="F4396" s="3"/>
      <c r="G4396" s="3"/>
      <c r="H4396" s="11"/>
      <c r="I4396" s="12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14"/>
      <c r="X4396" s="3"/>
      <c r="Y4396" s="14"/>
      <c r="Z4396" s="3"/>
      <c r="AA4396" s="3"/>
      <c r="AB4396" s="3"/>
      <c r="AC4396" s="3"/>
      <c r="AD4396" s="3"/>
      <c r="AE4396" s="3"/>
      <c r="AF4396" s="3"/>
      <c r="AG4396" s="3"/>
      <c r="AH4396" s="3"/>
    </row>
    <row r="4397" spans="1:34" ht="14.25" customHeight="1" x14ac:dyDescent="0.25">
      <c r="A4397" s="3"/>
      <c r="B4397" s="3"/>
      <c r="C4397" s="3"/>
      <c r="D4397" s="3"/>
      <c r="E4397" s="3"/>
      <c r="F4397" s="3"/>
      <c r="G4397" s="3"/>
      <c r="H4397" s="11"/>
      <c r="I4397" s="12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14"/>
      <c r="X4397" s="3"/>
      <c r="Y4397" s="14"/>
      <c r="Z4397" s="3"/>
      <c r="AA4397" s="3"/>
      <c r="AB4397" s="3"/>
      <c r="AC4397" s="3"/>
      <c r="AD4397" s="3"/>
      <c r="AE4397" s="3"/>
      <c r="AF4397" s="3"/>
      <c r="AG4397" s="3"/>
      <c r="AH4397" s="3"/>
    </row>
    <row r="4398" spans="1:34" ht="14.25" customHeight="1" x14ac:dyDescent="0.25">
      <c r="A4398" s="3"/>
      <c r="B4398" s="3"/>
      <c r="C4398" s="3"/>
      <c r="D4398" s="3"/>
      <c r="E4398" s="3"/>
      <c r="F4398" s="3"/>
      <c r="G4398" s="3"/>
      <c r="H4398" s="11"/>
      <c r="I4398" s="12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14"/>
      <c r="X4398" s="3"/>
      <c r="Y4398" s="14"/>
      <c r="Z4398" s="3"/>
      <c r="AA4398" s="3"/>
      <c r="AB4398" s="3"/>
      <c r="AC4398" s="3"/>
      <c r="AD4398" s="3"/>
      <c r="AE4398" s="3"/>
      <c r="AF4398" s="3"/>
      <c r="AG4398" s="3"/>
      <c r="AH4398" s="3"/>
    </row>
    <row r="4399" spans="1:34" ht="14.25" customHeight="1" x14ac:dyDescent="0.25">
      <c r="A4399" s="3"/>
      <c r="B4399" s="3"/>
      <c r="C4399" s="3"/>
      <c r="D4399" s="3"/>
      <c r="E4399" s="3"/>
      <c r="F4399" s="3"/>
      <c r="G4399" s="3"/>
      <c r="H4399" s="11"/>
      <c r="I4399" s="12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14"/>
      <c r="X4399" s="3"/>
      <c r="Y4399" s="14"/>
      <c r="Z4399" s="3"/>
      <c r="AA4399" s="3"/>
      <c r="AB4399" s="3"/>
      <c r="AC4399" s="3"/>
      <c r="AD4399" s="3"/>
      <c r="AE4399" s="3"/>
      <c r="AF4399" s="3"/>
      <c r="AG4399" s="3"/>
      <c r="AH4399" s="3"/>
    </row>
    <row r="4400" spans="1:34" ht="14.25" customHeight="1" x14ac:dyDescent="0.25">
      <c r="A4400" s="3"/>
      <c r="B4400" s="3"/>
      <c r="C4400" s="3"/>
      <c r="D4400" s="3"/>
      <c r="E4400" s="3"/>
      <c r="F4400" s="3"/>
      <c r="G4400" s="3"/>
      <c r="H4400" s="11"/>
      <c r="I4400" s="12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14"/>
      <c r="X4400" s="3"/>
      <c r="Y4400" s="14"/>
      <c r="Z4400" s="3"/>
      <c r="AA4400" s="3"/>
      <c r="AB4400" s="3"/>
      <c r="AC4400" s="3"/>
      <c r="AD4400" s="3"/>
      <c r="AE4400" s="3"/>
      <c r="AF4400" s="3"/>
      <c r="AG4400" s="3"/>
      <c r="AH4400" s="3"/>
    </row>
    <row r="4401" spans="1:34" ht="14.25" customHeight="1" x14ac:dyDescent="0.25">
      <c r="A4401" s="3"/>
      <c r="B4401" s="3"/>
      <c r="C4401" s="3"/>
      <c r="D4401" s="3"/>
      <c r="E4401" s="3"/>
      <c r="F4401" s="3"/>
      <c r="G4401" s="3"/>
      <c r="H4401" s="11"/>
      <c r="I4401" s="12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14"/>
      <c r="X4401" s="3"/>
      <c r="Y4401" s="14"/>
      <c r="Z4401" s="3"/>
      <c r="AA4401" s="3"/>
      <c r="AB4401" s="3"/>
      <c r="AC4401" s="3"/>
      <c r="AD4401" s="3"/>
      <c r="AE4401" s="3"/>
      <c r="AF4401" s="3"/>
      <c r="AG4401" s="3"/>
      <c r="AH4401" s="3"/>
    </row>
    <row r="4402" spans="1:34" ht="14.25" customHeight="1" x14ac:dyDescent="0.25">
      <c r="A4402" s="3"/>
      <c r="B4402" s="3"/>
      <c r="C4402" s="3"/>
      <c r="D4402" s="3"/>
      <c r="E4402" s="3"/>
      <c r="F4402" s="3"/>
      <c r="G4402" s="3"/>
      <c r="H4402" s="11"/>
      <c r="I4402" s="12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14"/>
      <c r="X4402" s="3"/>
      <c r="Y4402" s="14"/>
      <c r="Z4402" s="3"/>
      <c r="AA4402" s="3"/>
      <c r="AB4402" s="3"/>
      <c r="AC4402" s="3"/>
      <c r="AD4402" s="3"/>
      <c r="AE4402" s="3"/>
      <c r="AF4402" s="3"/>
      <c r="AG4402" s="3"/>
      <c r="AH4402" s="3"/>
    </row>
    <row r="4403" spans="1:34" ht="14.25" customHeight="1" x14ac:dyDescent="0.25">
      <c r="A4403" s="3"/>
      <c r="B4403" s="3"/>
      <c r="C4403" s="3"/>
      <c r="D4403" s="3"/>
      <c r="E4403" s="3"/>
      <c r="F4403" s="3"/>
      <c r="G4403" s="3"/>
      <c r="H4403" s="11"/>
      <c r="I4403" s="12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14"/>
      <c r="X4403" s="3"/>
      <c r="Y4403" s="14"/>
      <c r="Z4403" s="3"/>
      <c r="AA4403" s="3"/>
      <c r="AB4403" s="3"/>
      <c r="AC4403" s="3"/>
      <c r="AD4403" s="3"/>
      <c r="AE4403" s="3"/>
      <c r="AF4403" s="3"/>
      <c r="AG4403" s="3"/>
      <c r="AH4403" s="3"/>
    </row>
    <row r="4404" spans="1:34" ht="14.25" customHeight="1" x14ac:dyDescent="0.25">
      <c r="A4404" s="3"/>
      <c r="B4404" s="3"/>
      <c r="C4404" s="3"/>
      <c r="D4404" s="3"/>
      <c r="E4404" s="3"/>
      <c r="F4404" s="3"/>
      <c r="G4404" s="3"/>
      <c r="H4404" s="11"/>
      <c r="I4404" s="12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14"/>
      <c r="X4404" s="3"/>
      <c r="Y4404" s="14"/>
      <c r="Z4404" s="3"/>
      <c r="AA4404" s="3"/>
      <c r="AB4404" s="3"/>
      <c r="AC4404" s="3"/>
      <c r="AD4404" s="3"/>
      <c r="AE4404" s="3"/>
      <c r="AF4404" s="3"/>
      <c r="AG4404" s="3"/>
      <c r="AH4404" s="3"/>
    </row>
    <row r="4405" spans="1:34" ht="14.25" customHeight="1" x14ac:dyDescent="0.25">
      <c r="A4405" s="3"/>
      <c r="B4405" s="3"/>
      <c r="C4405" s="3"/>
      <c r="D4405" s="3"/>
      <c r="E4405" s="3"/>
      <c r="F4405" s="3"/>
      <c r="G4405" s="3"/>
      <c r="H4405" s="11"/>
      <c r="I4405" s="12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14"/>
      <c r="X4405" s="3"/>
      <c r="Y4405" s="14"/>
      <c r="Z4405" s="3"/>
      <c r="AA4405" s="3"/>
      <c r="AB4405" s="3"/>
      <c r="AC4405" s="3"/>
      <c r="AD4405" s="3"/>
      <c r="AE4405" s="3"/>
      <c r="AF4405" s="3"/>
      <c r="AG4405" s="3"/>
      <c r="AH4405" s="3"/>
    </row>
    <row r="4406" spans="1:34" ht="14.25" customHeight="1" x14ac:dyDescent="0.25">
      <c r="A4406" s="3"/>
      <c r="B4406" s="3"/>
      <c r="C4406" s="3"/>
      <c r="D4406" s="3"/>
      <c r="E4406" s="3"/>
      <c r="F4406" s="3"/>
      <c r="G4406" s="3"/>
      <c r="H4406" s="11"/>
      <c r="I4406" s="12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14"/>
      <c r="X4406" s="3"/>
      <c r="Y4406" s="14"/>
      <c r="Z4406" s="3"/>
      <c r="AA4406" s="3"/>
      <c r="AB4406" s="3"/>
      <c r="AC4406" s="3"/>
      <c r="AD4406" s="3"/>
      <c r="AE4406" s="3"/>
      <c r="AF4406" s="3"/>
      <c r="AG4406" s="3"/>
      <c r="AH4406" s="3"/>
    </row>
    <row r="4407" spans="1:34" ht="14.25" customHeight="1" x14ac:dyDescent="0.25">
      <c r="A4407" s="3"/>
      <c r="B4407" s="3"/>
      <c r="C4407" s="3"/>
      <c r="D4407" s="3"/>
      <c r="E4407" s="3"/>
      <c r="F4407" s="3"/>
      <c r="G4407" s="3"/>
      <c r="H4407" s="11"/>
      <c r="I4407" s="12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14"/>
      <c r="X4407" s="3"/>
      <c r="Y4407" s="14"/>
      <c r="Z4407" s="3"/>
      <c r="AA4407" s="3"/>
      <c r="AB4407" s="3"/>
      <c r="AC4407" s="3"/>
      <c r="AD4407" s="3"/>
      <c r="AE4407" s="3"/>
      <c r="AF4407" s="3"/>
      <c r="AG4407" s="3"/>
      <c r="AH4407" s="3"/>
    </row>
    <row r="4408" spans="1:34" ht="14.25" customHeight="1" x14ac:dyDescent="0.25">
      <c r="A4408" s="3"/>
      <c r="B4408" s="3"/>
      <c r="C4408" s="3"/>
      <c r="D4408" s="3"/>
      <c r="E4408" s="3"/>
      <c r="F4408" s="3"/>
      <c r="G4408" s="3"/>
      <c r="H4408" s="11"/>
      <c r="I4408" s="12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14"/>
      <c r="X4408" s="3"/>
      <c r="Y4408" s="14"/>
      <c r="Z4408" s="3"/>
      <c r="AA4408" s="3"/>
      <c r="AB4408" s="3"/>
      <c r="AC4408" s="3"/>
      <c r="AD4408" s="3"/>
      <c r="AE4408" s="3"/>
      <c r="AF4408" s="3"/>
      <c r="AG4408" s="3"/>
      <c r="AH4408" s="3"/>
    </row>
    <row r="4409" spans="1:34" ht="14.25" customHeight="1" x14ac:dyDescent="0.25">
      <c r="A4409" s="3"/>
      <c r="B4409" s="3"/>
      <c r="C4409" s="3"/>
      <c r="D4409" s="3"/>
      <c r="E4409" s="3"/>
      <c r="F4409" s="3"/>
      <c r="G4409" s="3"/>
      <c r="H4409" s="11"/>
      <c r="I4409" s="12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14"/>
      <c r="X4409" s="3"/>
      <c r="Y4409" s="14"/>
      <c r="Z4409" s="3"/>
      <c r="AA4409" s="3"/>
      <c r="AB4409" s="3"/>
      <c r="AC4409" s="3"/>
      <c r="AD4409" s="3"/>
      <c r="AE4409" s="3"/>
      <c r="AF4409" s="3"/>
      <c r="AG4409" s="3"/>
      <c r="AH4409" s="3"/>
    </row>
    <row r="4410" spans="1:34" ht="14.25" customHeight="1" x14ac:dyDescent="0.25">
      <c r="A4410" s="3"/>
      <c r="B4410" s="3"/>
      <c r="C4410" s="3"/>
      <c r="D4410" s="3"/>
      <c r="E4410" s="3"/>
      <c r="F4410" s="3"/>
      <c r="G4410" s="3"/>
      <c r="H4410" s="11"/>
      <c r="I4410" s="12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14"/>
      <c r="X4410" s="3"/>
      <c r="Y4410" s="14"/>
      <c r="Z4410" s="3"/>
      <c r="AA4410" s="3"/>
      <c r="AB4410" s="3"/>
      <c r="AC4410" s="3"/>
      <c r="AD4410" s="3"/>
      <c r="AE4410" s="3"/>
      <c r="AF4410" s="3"/>
      <c r="AG4410" s="3"/>
      <c r="AH4410" s="3"/>
    </row>
    <row r="4411" spans="1:34" ht="14.25" customHeight="1" x14ac:dyDescent="0.25">
      <c r="A4411" s="3"/>
      <c r="B4411" s="3"/>
      <c r="C4411" s="3"/>
      <c r="D4411" s="3"/>
      <c r="E4411" s="3"/>
      <c r="F4411" s="3"/>
      <c r="G4411" s="3"/>
      <c r="H4411" s="11"/>
      <c r="I4411" s="12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14"/>
      <c r="X4411" s="3"/>
      <c r="Y4411" s="14"/>
      <c r="Z4411" s="3"/>
      <c r="AA4411" s="3"/>
      <c r="AB4411" s="3"/>
      <c r="AC4411" s="3"/>
      <c r="AD4411" s="3"/>
      <c r="AE4411" s="3"/>
      <c r="AF4411" s="3"/>
      <c r="AG4411" s="3"/>
      <c r="AH4411" s="3"/>
    </row>
    <row r="4412" spans="1:34" ht="14.25" customHeight="1" x14ac:dyDescent="0.25">
      <c r="A4412" s="3"/>
      <c r="B4412" s="3"/>
      <c r="C4412" s="3"/>
      <c r="D4412" s="3"/>
      <c r="E4412" s="3"/>
      <c r="F4412" s="3"/>
      <c r="G4412" s="3"/>
      <c r="H4412" s="11"/>
      <c r="I4412" s="12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14"/>
      <c r="X4412" s="3"/>
      <c r="Y4412" s="14"/>
      <c r="Z4412" s="3"/>
      <c r="AA4412" s="3"/>
      <c r="AB4412" s="3"/>
      <c r="AC4412" s="3"/>
      <c r="AD4412" s="3"/>
      <c r="AE4412" s="3"/>
      <c r="AF4412" s="3"/>
      <c r="AG4412" s="3"/>
      <c r="AH4412" s="3"/>
    </row>
    <row r="4413" spans="1:34" ht="14.25" customHeight="1" x14ac:dyDescent="0.25">
      <c r="A4413" s="3"/>
      <c r="B4413" s="3"/>
      <c r="C4413" s="3"/>
      <c r="D4413" s="3"/>
      <c r="E4413" s="3"/>
      <c r="F4413" s="3"/>
      <c r="G4413" s="3"/>
      <c r="H4413" s="11"/>
      <c r="I4413" s="12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14"/>
      <c r="X4413" s="3"/>
      <c r="Y4413" s="14"/>
      <c r="Z4413" s="3"/>
      <c r="AA4413" s="3"/>
      <c r="AB4413" s="3"/>
      <c r="AC4413" s="3"/>
      <c r="AD4413" s="3"/>
      <c r="AE4413" s="3"/>
      <c r="AF4413" s="3"/>
      <c r="AG4413" s="3"/>
      <c r="AH4413" s="3"/>
    </row>
    <row r="4414" spans="1:34" ht="14.25" customHeight="1" x14ac:dyDescent="0.25">
      <c r="A4414" s="3"/>
      <c r="B4414" s="3"/>
      <c r="C4414" s="3"/>
      <c r="D4414" s="3"/>
      <c r="E4414" s="3"/>
      <c r="F4414" s="3"/>
      <c r="G4414" s="3"/>
      <c r="H4414" s="11"/>
      <c r="I4414" s="12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14"/>
      <c r="X4414" s="3"/>
      <c r="Y4414" s="14"/>
      <c r="Z4414" s="3"/>
      <c r="AA4414" s="3"/>
      <c r="AB4414" s="3"/>
      <c r="AC4414" s="3"/>
      <c r="AD4414" s="3"/>
      <c r="AE4414" s="3"/>
      <c r="AF4414" s="3"/>
      <c r="AG4414" s="3"/>
      <c r="AH4414" s="3"/>
    </row>
    <row r="4415" spans="1:34" ht="14.25" customHeight="1" x14ac:dyDescent="0.25">
      <c r="A4415" s="3"/>
      <c r="B4415" s="3"/>
      <c r="C4415" s="3"/>
      <c r="D4415" s="3"/>
      <c r="E4415" s="3"/>
      <c r="F4415" s="3"/>
      <c r="G4415" s="3"/>
      <c r="H4415" s="11"/>
      <c r="I4415" s="12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14"/>
      <c r="X4415" s="3"/>
      <c r="Y4415" s="14"/>
      <c r="Z4415" s="3"/>
      <c r="AA4415" s="3"/>
      <c r="AB4415" s="3"/>
      <c r="AC4415" s="3"/>
      <c r="AD4415" s="3"/>
      <c r="AE4415" s="3"/>
      <c r="AF4415" s="3"/>
      <c r="AG4415" s="3"/>
      <c r="AH4415" s="3"/>
    </row>
    <row r="4416" spans="1:34" ht="14.25" customHeight="1" x14ac:dyDescent="0.25">
      <c r="A4416" s="3"/>
      <c r="B4416" s="3"/>
      <c r="C4416" s="3"/>
      <c r="D4416" s="3"/>
      <c r="E4416" s="3"/>
      <c r="F4416" s="3"/>
      <c r="G4416" s="3"/>
      <c r="H4416" s="11"/>
      <c r="I4416" s="12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14"/>
      <c r="X4416" s="3"/>
      <c r="Y4416" s="14"/>
      <c r="Z4416" s="3"/>
      <c r="AA4416" s="3"/>
      <c r="AB4416" s="3"/>
      <c r="AC4416" s="3"/>
      <c r="AD4416" s="3"/>
      <c r="AE4416" s="3"/>
      <c r="AF4416" s="3"/>
      <c r="AG4416" s="3"/>
      <c r="AH4416" s="3"/>
    </row>
    <row r="4417" spans="1:34" ht="14.25" customHeight="1" x14ac:dyDescent="0.25">
      <c r="A4417" s="3"/>
      <c r="B4417" s="3"/>
      <c r="C4417" s="3"/>
      <c r="D4417" s="3"/>
      <c r="E4417" s="3"/>
      <c r="F4417" s="3"/>
      <c r="G4417" s="3"/>
      <c r="H4417" s="11"/>
      <c r="I4417" s="12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14"/>
      <c r="X4417" s="3"/>
      <c r="Y4417" s="14"/>
      <c r="Z4417" s="3"/>
      <c r="AA4417" s="3"/>
      <c r="AB4417" s="3"/>
      <c r="AC4417" s="3"/>
      <c r="AD4417" s="3"/>
      <c r="AE4417" s="3"/>
      <c r="AF4417" s="3"/>
      <c r="AG4417" s="3"/>
      <c r="AH4417" s="3"/>
    </row>
    <row r="4418" spans="1:34" ht="14.25" customHeight="1" x14ac:dyDescent="0.25">
      <c r="A4418" s="3"/>
      <c r="B4418" s="3"/>
      <c r="C4418" s="3"/>
      <c r="D4418" s="3"/>
      <c r="E4418" s="3"/>
      <c r="F4418" s="3"/>
      <c r="G4418" s="3"/>
      <c r="H4418" s="11"/>
      <c r="I4418" s="12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14"/>
      <c r="X4418" s="3"/>
      <c r="Y4418" s="14"/>
      <c r="Z4418" s="3"/>
      <c r="AA4418" s="3"/>
      <c r="AB4418" s="3"/>
      <c r="AC4418" s="3"/>
      <c r="AD4418" s="3"/>
      <c r="AE4418" s="3"/>
      <c r="AF4418" s="3"/>
      <c r="AG4418" s="3"/>
      <c r="AH4418" s="3"/>
    </row>
    <row r="4419" spans="1:34" ht="14.25" customHeight="1" x14ac:dyDescent="0.25">
      <c r="A4419" s="3"/>
      <c r="B4419" s="3"/>
      <c r="C4419" s="3"/>
      <c r="D4419" s="3"/>
      <c r="E4419" s="3"/>
      <c r="F4419" s="3"/>
      <c r="G4419" s="3"/>
      <c r="H4419" s="11"/>
      <c r="I4419" s="12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14"/>
      <c r="X4419" s="3"/>
      <c r="Y4419" s="14"/>
      <c r="Z4419" s="3"/>
      <c r="AA4419" s="3"/>
      <c r="AB4419" s="3"/>
      <c r="AC4419" s="3"/>
      <c r="AD4419" s="3"/>
      <c r="AE4419" s="3"/>
      <c r="AF4419" s="3"/>
      <c r="AG4419" s="3"/>
      <c r="AH4419" s="3"/>
    </row>
    <row r="4420" spans="1:34" ht="14.25" customHeight="1" x14ac:dyDescent="0.25">
      <c r="A4420" s="3"/>
      <c r="B4420" s="3"/>
      <c r="C4420" s="3"/>
      <c r="D4420" s="3"/>
      <c r="E4420" s="3"/>
      <c r="F4420" s="3"/>
      <c r="G4420" s="3"/>
      <c r="H4420" s="11"/>
      <c r="I4420" s="12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14"/>
      <c r="X4420" s="3"/>
      <c r="Y4420" s="14"/>
      <c r="Z4420" s="3"/>
      <c r="AA4420" s="3"/>
      <c r="AB4420" s="3"/>
      <c r="AC4420" s="3"/>
      <c r="AD4420" s="3"/>
      <c r="AE4420" s="3"/>
      <c r="AF4420" s="3"/>
      <c r="AG4420" s="3"/>
      <c r="AH4420" s="3"/>
    </row>
    <row r="4421" spans="1:34" ht="14.25" customHeight="1" x14ac:dyDescent="0.25">
      <c r="A4421" s="3"/>
      <c r="B4421" s="3"/>
      <c r="C4421" s="3"/>
      <c r="D4421" s="3"/>
      <c r="E4421" s="3"/>
      <c r="F4421" s="3"/>
      <c r="G4421" s="3"/>
      <c r="H4421" s="11"/>
      <c r="I4421" s="12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14"/>
      <c r="X4421" s="3"/>
      <c r="Y4421" s="14"/>
      <c r="Z4421" s="3"/>
      <c r="AA4421" s="3"/>
      <c r="AB4421" s="3"/>
      <c r="AC4421" s="3"/>
      <c r="AD4421" s="3"/>
      <c r="AE4421" s="3"/>
      <c r="AF4421" s="3"/>
      <c r="AG4421" s="3"/>
      <c r="AH4421" s="3"/>
    </row>
    <row r="4422" spans="1:34" ht="14.25" customHeight="1" x14ac:dyDescent="0.25">
      <c r="A4422" s="3"/>
      <c r="B4422" s="3"/>
      <c r="C4422" s="3"/>
      <c r="D4422" s="3"/>
      <c r="E4422" s="3"/>
      <c r="F4422" s="3"/>
      <c r="G4422" s="3"/>
      <c r="H4422" s="11"/>
      <c r="I4422" s="12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14"/>
      <c r="X4422" s="3"/>
      <c r="Y4422" s="14"/>
      <c r="Z4422" s="3"/>
      <c r="AA4422" s="3"/>
      <c r="AB4422" s="3"/>
      <c r="AC4422" s="3"/>
      <c r="AD4422" s="3"/>
      <c r="AE4422" s="3"/>
      <c r="AF4422" s="3"/>
      <c r="AG4422" s="3"/>
      <c r="AH4422" s="3"/>
    </row>
    <row r="4423" spans="1:34" ht="14.25" customHeight="1" x14ac:dyDescent="0.25">
      <c r="A4423" s="3"/>
      <c r="B4423" s="3"/>
      <c r="C4423" s="3"/>
      <c r="D4423" s="3"/>
      <c r="E4423" s="3"/>
      <c r="F4423" s="3"/>
      <c r="G4423" s="3"/>
      <c r="H4423" s="11"/>
      <c r="I4423" s="12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14"/>
      <c r="X4423" s="3"/>
      <c r="Y4423" s="14"/>
      <c r="Z4423" s="3"/>
      <c r="AA4423" s="3"/>
      <c r="AB4423" s="3"/>
      <c r="AC4423" s="3"/>
      <c r="AD4423" s="3"/>
      <c r="AE4423" s="3"/>
      <c r="AF4423" s="3"/>
      <c r="AG4423" s="3"/>
      <c r="AH4423" s="3"/>
    </row>
    <row r="4424" spans="1:34" ht="14.25" customHeight="1" x14ac:dyDescent="0.25">
      <c r="A4424" s="3"/>
      <c r="B4424" s="3"/>
      <c r="C4424" s="3"/>
      <c r="D4424" s="3"/>
      <c r="E4424" s="3"/>
      <c r="F4424" s="3"/>
      <c r="G4424" s="3"/>
      <c r="H4424" s="11"/>
      <c r="I4424" s="12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14"/>
      <c r="X4424" s="3"/>
      <c r="Y4424" s="14"/>
      <c r="Z4424" s="3"/>
      <c r="AA4424" s="3"/>
      <c r="AB4424" s="3"/>
      <c r="AC4424" s="3"/>
      <c r="AD4424" s="3"/>
      <c r="AE4424" s="3"/>
      <c r="AF4424" s="3"/>
      <c r="AG4424" s="3"/>
      <c r="AH4424" s="3"/>
    </row>
    <row r="4425" spans="1:34" ht="14.25" customHeight="1" x14ac:dyDescent="0.25">
      <c r="A4425" s="3"/>
      <c r="B4425" s="3"/>
      <c r="C4425" s="3"/>
      <c r="D4425" s="3"/>
      <c r="E4425" s="3"/>
      <c r="F4425" s="3"/>
      <c r="G4425" s="3"/>
      <c r="H4425" s="11"/>
      <c r="I4425" s="12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14"/>
      <c r="X4425" s="3"/>
      <c r="Y4425" s="14"/>
      <c r="Z4425" s="3"/>
      <c r="AA4425" s="3"/>
      <c r="AB4425" s="3"/>
      <c r="AC4425" s="3"/>
      <c r="AD4425" s="3"/>
      <c r="AE4425" s="3"/>
      <c r="AF4425" s="3"/>
      <c r="AG4425" s="3"/>
      <c r="AH4425" s="3"/>
    </row>
    <row r="4426" spans="1:34" ht="14.25" customHeight="1" x14ac:dyDescent="0.25">
      <c r="A4426" s="3"/>
      <c r="B4426" s="3"/>
      <c r="C4426" s="3"/>
      <c r="D4426" s="3"/>
      <c r="E4426" s="3"/>
      <c r="F4426" s="3"/>
      <c r="G4426" s="3"/>
      <c r="H4426" s="11"/>
      <c r="I4426" s="12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14"/>
      <c r="X4426" s="3"/>
      <c r="Y4426" s="14"/>
      <c r="Z4426" s="3"/>
      <c r="AA4426" s="3"/>
      <c r="AB4426" s="3"/>
      <c r="AC4426" s="3"/>
      <c r="AD4426" s="3"/>
      <c r="AE4426" s="3"/>
      <c r="AF4426" s="3"/>
      <c r="AG4426" s="3"/>
      <c r="AH4426" s="3"/>
    </row>
    <row r="4427" spans="1:34" ht="14.25" customHeight="1" x14ac:dyDescent="0.25">
      <c r="A4427" s="3"/>
      <c r="B4427" s="3"/>
      <c r="C4427" s="3"/>
      <c r="D4427" s="3"/>
      <c r="E4427" s="3"/>
      <c r="F4427" s="3"/>
      <c r="G4427" s="3"/>
      <c r="H4427" s="11"/>
      <c r="I4427" s="12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14"/>
      <c r="X4427" s="3"/>
      <c r="Y4427" s="14"/>
      <c r="Z4427" s="3"/>
      <c r="AA4427" s="3"/>
      <c r="AB4427" s="3"/>
      <c r="AC4427" s="3"/>
      <c r="AD4427" s="3"/>
      <c r="AE4427" s="3"/>
      <c r="AF4427" s="3"/>
      <c r="AG4427" s="3"/>
      <c r="AH4427" s="3"/>
    </row>
    <row r="4428" spans="1:34" ht="14.25" customHeight="1" x14ac:dyDescent="0.25">
      <c r="A4428" s="3"/>
      <c r="B4428" s="3"/>
      <c r="C4428" s="3"/>
      <c r="D4428" s="3"/>
      <c r="E4428" s="3"/>
      <c r="F4428" s="3"/>
      <c r="G4428" s="3"/>
      <c r="H4428" s="11"/>
      <c r="I4428" s="12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14"/>
      <c r="X4428" s="3"/>
      <c r="Y4428" s="14"/>
      <c r="Z4428" s="3"/>
      <c r="AA4428" s="3"/>
      <c r="AB4428" s="3"/>
      <c r="AC4428" s="3"/>
      <c r="AD4428" s="3"/>
      <c r="AE4428" s="3"/>
      <c r="AF4428" s="3"/>
      <c r="AG4428" s="3"/>
      <c r="AH4428" s="3"/>
    </row>
    <row r="4429" spans="1:34" ht="14.25" customHeight="1" x14ac:dyDescent="0.25">
      <c r="A4429" s="3"/>
      <c r="B4429" s="3"/>
      <c r="C4429" s="3"/>
      <c r="D4429" s="3"/>
      <c r="E4429" s="3"/>
      <c r="F4429" s="3"/>
      <c r="G4429" s="3"/>
      <c r="H4429" s="11"/>
      <c r="I4429" s="12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14"/>
      <c r="X4429" s="3"/>
      <c r="Y4429" s="14"/>
      <c r="Z4429" s="3"/>
      <c r="AA4429" s="3"/>
      <c r="AB4429" s="3"/>
      <c r="AC4429" s="3"/>
      <c r="AD4429" s="3"/>
      <c r="AE4429" s="3"/>
      <c r="AF4429" s="3"/>
      <c r="AG4429" s="3"/>
      <c r="AH4429" s="3"/>
    </row>
    <row r="4430" spans="1:34" ht="14.25" customHeight="1" x14ac:dyDescent="0.25">
      <c r="A4430" s="3"/>
      <c r="B4430" s="3"/>
      <c r="C4430" s="3"/>
      <c r="D4430" s="3"/>
      <c r="E4430" s="3"/>
      <c r="F4430" s="3"/>
      <c r="G4430" s="3"/>
      <c r="H4430" s="11"/>
      <c r="I4430" s="12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14"/>
      <c r="X4430" s="3"/>
      <c r="Y4430" s="14"/>
      <c r="Z4430" s="3"/>
      <c r="AA4430" s="3"/>
      <c r="AB4430" s="3"/>
      <c r="AC4430" s="3"/>
      <c r="AD4430" s="3"/>
      <c r="AE4430" s="3"/>
      <c r="AF4430" s="3"/>
      <c r="AG4430" s="3"/>
      <c r="AH4430" s="3"/>
    </row>
    <row r="4431" spans="1:34" ht="14.25" customHeight="1" x14ac:dyDescent="0.25">
      <c r="A4431" s="3"/>
      <c r="B4431" s="3"/>
      <c r="C4431" s="3"/>
      <c r="D4431" s="3"/>
      <c r="E4431" s="3"/>
      <c r="F4431" s="3"/>
      <c r="G4431" s="3"/>
      <c r="H4431" s="11"/>
      <c r="I4431" s="12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14"/>
      <c r="X4431" s="3"/>
      <c r="Y4431" s="14"/>
      <c r="Z4431" s="3"/>
      <c r="AA4431" s="3"/>
      <c r="AB4431" s="3"/>
      <c r="AC4431" s="3"/>
      <c r="AD4431" s="3"/>
      <c r="AE4431" s="3"/>
      <c r="AF4431" s="3"/>
      <c r="AG4431" s="3"/>
      <c r="AH4431" s="3"/>
    </row>
    <row r="4432" spans="1:34" ht="14.25" customHeight="1" x14ac:dyDescent="0.25">
      <c r="A4432" s="3"/>
      <c r="B4432" s="3"/>
      <c r="C4432" s="3"/>
      <c r="D4432" s="3"/>
      <c r="E4432" s="3"/>
      <c r="F4432" s="3"/>
      <c r="G4432" s="3"/>
      <c r="H4432" s="11"/>
      <c r="I4432" s="12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14"/>
      <c r="X4432" s="3"/>
      <c r="Y4432" s="14"/>
      <c r="Z4432" s="3"/>
      <c r="AA4432" s="3"/>
      <c r="AB4432" s="3"/>
      <c r="AC4432" s="3"/>
      <c r="AD4432" s="3"/>
      <c r="AE4432" s="3"/>
      <c r="AF4432" s="3"/>
      <c r="AG4432" s="3"/>
      <c r="AH4432" s="3"/>
    </row>
    <row r="4433" spans="1:34" ht="14.25" customHeight="1" x14ac:dyDescent="0.25">
      <c r="A4433" s="3"/>
      <c r="B4433" s="3"/>
      <c r="C4433" s="3"/>
      <c r="D4433" s="3"/>
      <c r="E4433" s="3"/>
      <c r="F4433" s="3"/>
      <c r="G4433" s="3"/>
      <c r="H4433" s="11"/>
      <c r="I4433" s="12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14"/>
      <c r="X4433" s="3"/>
      <c r="Y4433" s="14"/>
      <c r="Z4433" s="3"/>
      <c r="AA4433" s="3"/>
      <c r="AB4433" s="3"/>
      <c r="AC4433" s="3"/>
      <c r="AD4433" s="3"/>
      <c r="AE4433" s="3"/>
      <c r="AF4433" s="3"/>
      <c r="AG4433" s="3"/>
      <c r="AH4433" s="3"/>
    </row>
    <row r="4434" spans="1:34" ht="14.25" customHeight="1" x14ac:dyDescent="0.25">
      <c r="A4434" s="3"/>
      <c r="B4434" s="3"/>
      <c r="C4434" s="3"/>
      <c r="D4434" s="3"/>
      <c r="E4434" s="3"/>
      <c r="F4434" s="3"/>
      <c r="G4434" s="3"/>
      <c r="H4434" s="11"/>
      <c r="I4434" s="12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14"/>
      <c r="X4434" s="3"/>
      <c r="Y4434" s="14"/>
      <c r="Z4434" s="3"/>
      <c r="AA4434" s="3"/>
      <c r="AB4434" s="3"/>
      <c r="AC4434" s="3"/>
      <c r="AD4434" s="3"/>
      <c r="AE4434" s="3"/>
      <c r="AF4434" s="3"/>
      <c r="AG4434" s="3"/>
      <c r="AH4434" s="3"/>
    </row>
    <row r="4435" spans="1:34" ht="14.25" customHeight="1" x14ac:dyDescent="0.25">
      <c r="A4435" s="3"/>
      <c r="B4435" s="3"/>
      <c r="C4435" s="3"/>
      <c r="D4435" s="3"/>
      <c r="E4435" s="3"/>
      <c r="F4435" s="3"/>
      <c r="G4435" s="3"/>
      <c r="H4435" s="11"/>
      <c r="I4435" s="12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14"/>
      <c r="X4435" s="3"/>
      <c r="Y4435" s="14"/>
      <c r="Z4435" s="3"/>
      <c r="AA4435" s="3"/>
      <c r="AB4435" s="3"/>
      <c r="AC4435" s="3"/>
      <c r="AD4435" s="3"/>
      <c r="AE4435" s="3"/>
      <c r="AF4435" s="3"/>
      <c r="AG4435" s="3"/>
      <c r="AH4435" s="3"/>
    </row>
    <row r="4436" spans="1:34" ht="14.25" customHeight="1" x14ac:dyDescent="0.25">
      <c r="A4436" s="3"/>
      <c r="B4436" s="3"/>
      <c r="C4436" s="3"/>
      <c r="D4436" s="3"/>
      <c r="E4436" s="3"/>
      <c r="F4436" s="3"/>
      <c r="G4436" s="3"/>
      <c r="H4436" s="11"/>
      <c r="I4436" s="12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14"/>
      <c r="X4436" s="3"/>
      <c r="Y4436" s="14"/>
      <c r="Z4436" s="3"/>
      <c r="AA4436" s="3"/>
      <c r="AB4436" s="3"/>
      <c r="AC4436" s="3"/>
      <c r="AD4436" s="3"/>
      <c r="AE4436" s="3"/>
      <c r="AF4436" s="3"/>
      <c r="AG4436" s="3"/>
      <c r="AH4436" s="3"/>
    </row>
    <row r="4437" spans="1:34" ht="14.25" customHeight="1" x14ac:dyDescent="0.25">
      <c r="A4437" s="3"/>
      <c r="B4437" s="3"/>
      <c r="C4437" s="3"/>
      <c r="D4437" s="3"/>
      <c r="E4437" s="3"/>
      <c r="F4437" s="3"/>
      <c r="G4437" s="3"/>
      <c r="H4437" s="11"/>
      <c r="I4437" s="12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14"/>
      <c r="X4437" s="3"/>
      <c r="Y4437" s="14"/>
      <c r="Z4437" s="3"/>
      <c r="AA4437" s="3"/>
      <c r="AB4437" s="3"/>
      <c r="AC4437" s="3"/>
      <c r="AD4437" s="3"/>
      <c r="AE4437" s="3"/>
      <c r="AF4437" s="3"/>
      <c r="AG4437" s="3"/>
      <c r="AH4437" s="3"/>
    </row>
    <row r="4438" spans="1:34" ht="14.25" customHeight="1" x14ac:dyDescent="0.25">
      <c r="A4438" s="3"/>
      <c r="B4438" s="3"/>
      <c r="C4438" s="3"/>
      <c r="D4438" s="3"/>
      <c r="E4438" s="3"/>
      <c r="F4438" s="3"/>
      <c r="G4438" s="3"/>
      <c r="H4438" s="11"/>
      <c r="I4438" s="12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14"/>
      <c r="X4438" s="3"/>
      <c r="Y4438" s="14"/>
      <c r="Z4438" s="3"/>
      <c r="AA4438" s="3"/>
      <c r="AB4438" s="3"/>
      <c r="AC4438" s="3"/>
      <c r="AD4438" s="3"/>
      <c r="AE4438" s="3"/>
      <c r="AF4438" s="3"/>
      <c r="AG4438" s="3"/>
      <c r="AH4438" s="3"/>
    </row>
    <row r="4439" spans="1:34" ht="14.25" customHeight="1" x14ac:dyDescent="0.25">
      <c r="A4439" s="3"/>
      <c r="B4439" s="3"/>
      <c r="C4439" s="3"/>
      <c r="D4439" s="3"/>
      <c r="E4439" s="3"/>
      <c r="F4439" s="3"/>
      <c r="G4439" s="3"/>
      <c r="H4439" s="11"/>
      <c r="I4439" s="12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14"/>
      <c r="X4439" s="3"/>
      <c r="Y4439" s="14"/>
      <c r="Z4439" s="3"/>
      <c r="AA4439" s="3"/>
      <c r="AB4439" s="3"/>
      <c r="AC4439" s="3"/>
      <c r="AD4439" s="3"/>
      <c r="AE4439" s="3"/>
      <c r="AF4439" s="3"/>
      <c r="AG4439" s="3"/>
      <c r="AH4439" s="3"/>
    </row>
    <row r="4440" spans="1:34" ht="14.25" customHeight="1" x14ac:dyDescent="0.25">
      <c r="A4440" s="3"/>
      <c r="B4440" s="3"/>
      <c r="C4440" s="3"/>
      <c r="D4440" s="3"/>
      <c r="E4440" s="3"/>
      <c r="F4440" s="3"/>
      <c r="G4440" s="3"/>
      <c r="H4440" s="11"/>
      <c r="I4440" s="12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14"/>
      <c r="X4440" s="3"/>
      <c r="Y4440" s="14"/>
      <c r="Z4440" s="3"/>
      <c r="AA4440" s="3"/>
      <c r="AB4440" s="3"/>
      <c r="AC4440" s="3"/>
      <c r="AD4440" s="3"/>
      <c r="AE4440" s="3"/>
      <c r="AF4440" s="3"/>
      <c r="AG4440" s="3"/>
      <c r="AH4440" s="3"/>
    </row>
    <row r="4441" spans="1:34" ht="14.25" customHeight="1" x14ac:dyDescent="0.25">
      <c r="A4441" s="3"/>
      <c r="B4441" s="3"/>
      <c r="C4441" s="3"/>
      <c r="D4441" s="3"/>
      <c r="E4441" s="3"/>
      <c r="F4441" s="3"/>
      <c r="G4441" s="3"/>
      <c r="H4441" s="11"/>
      <c r="I4441" s="12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14"/>
      <c r="X4441" s="3"/>
      <c r="Y4441" s="14"/>
      <c r="Z4441" s="3"/>
      <c r="AA4441" s="3"/>
      <c r="AB4441" s="3"/>
      <c r="AC4441" s="3"/>
      <c r="AD4441" s="3"/>
      <c r="AE4441" s="3"/>
      <c r="AF4441" s="3"/>
      <c r="AG4441" s="3"/>
      <c r="AH4441" s="3"/>
    </row>
    <row r="4442" spans="1:34" ht="14.25" customHeight="1" x14ac:dyDescent="0.25">
      <c r="A4442" s="3"/>
      <c r="B4442" s="3"/>
      <c r="C4442" s="3"/>
      <c r="D4442" s="3"/>
      <c r="E4442" s="3"/>
      <c r="F4442" s="3"/>
      <c r="G4442" s="3"/>
      <c r="H4442" s="11"/>
      <c r="I4442" s="12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14"/>
      <c r="X4442" s="3"/>
      <c r="Y4442" s="14"/>
      <c r="Z4442" s="3"/>
      <c r="AA4442" s="3"/>
      <c r="AB4442" s="3"/>
      <c r="AC4442" s="3"/>
      <c r="AD4442" s="3"/>
      <c r="AE4442" s="3"/>
      <c r="AF4442" s="3"/>
      <c r="AG4442" s="3"/>
      <c r="AH4442" s="3"/>
    </row>
    <row r="4443" spans="1:34" ht="14.25" customHeight="1" x14ac:dyDescent="0.25">
      <c r="A4443" s="3"/>
      <c r="B4443" s="3"/>
      <c r="C4443" s="3"/>
      <c r="D4443" s="3"/>
      <c r="E4443" s="3"/>
      <c r="F4443" s="3"/>
      <c r="G4443" s="3"/>
      <c r="H4443" s="11"/>
      <c r="I4443" s="12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14"/>
      <c r="X4443" s="3"/>
      <c r="Y4443" s="14"/>
      <c r="Z4443" s="3"/>
      <c r="AA4443" s="3"/>
      <c r="AB4443" s="3"/>
      <c r="AC4443" s="3"/>
      <c r="AD4443" s="3"/>
      <c r="AE4443" s="3"/>
      <c r="AF4443" s="3"/>
      <c r="AG4443" s="3"/>
      <c r="AH4443" s="3"/>
    </row>
    <row r="4444" spans="1:34" ht="14.25" customHeight="1" x14ac:dyDescent="0.25">
      <c r="A4444" s="3"/>
      <c r="B4444" s="3"/>
      <c r="C4444" s="3"/>
      <c r="D4444" s="3"/>
      <c r="E4444" s="3"/>
      <c r="F4444" s="3"/>
      <c r="G4444" s="3"/>
      <c r="H4444" s="11"/>
      <c r="I4444" s="12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14"/>
      <c r="X4444" s="3"/>
      <c r="Y4444" s="14"/>
      <c r="Z4444" s="3"/>
      <c r="AA4444" s="3"/>
      <c r="AB4444" s="3"/>
      <c r="AC4444" s="3"/>
      <c r="AD4444" s="3"/>
      <c r="AE4444" s="3"/>
      <c r="AF4444" s="3"/>
      <c r="AG4444" s="3"/>
      <c r="AH4444" s="3"/>
    </row>
    <row r="4445" spans="1:34" ht="14.25" customHeight="1" x14ac:dyDescent="0.25">
      <c r="A4445" s="3"/>
      <c r="B4445" s="3"/>
      <c r="C4445" s="3"/>
      <c r="D4445" s="3"/>
      <c r="E4445" s="3"/>
      <c r="F4445" s="3"/>
      <c r="G4445" s="3"/>
      <c r="H4445" s="11"/>
      <c r="I4445" s="12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14"/>
      <c r="X4445" s="3"/>
      <c r="Y4445" s="14"/>
      <c r="Z4445" s="3"/>
      <c r="AA4445" s="3"/>
      <c r="AB4445" s="3"/>
      <c r="AC4445" s="3"/>
      <c r="AD4445" s="3"/>
      <c r="AE4445" s="3"/>
      <c r="AF4445" s="3"/>
      <c r="AG4445" s="3"/>
      <c r="AH4445" s="3"/>
    </row>
    <row r="4446" spans="1:34" ht="14.25" customHeight="1" x14ac:dyDescent="0.25">
      <c r="A4446" s="3"/>
      <c r="B4446" s="3"/>
      <c r="C4446" s="3"/>
      <c r="D4446" s="3"/>
      <c r="E4446" s="3"/>
      <c r="F4446" s="3"/>
      <c r="G4446" s="3"/>
      <c r="H4446" s="11"/>
      <c r="I4446" s="12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14"/>
      <c r="X4446" s="3"/>
      <c r="Y4446" s="14"/>
      <c r="Z4446" s="3"/>
      <c r="AA4446" s="3"/>
      <c r="AB4446" s="3"/>
      <c r="AC4446" s="3"/>
      <c r="AD4446" s="3"/>
      <c r="AE4446" s="3"/>
      <c r="AF4446" s="3"/>
      <c r="AG4446" s="3"/>
      <c r="AH4446" s="3"/>
    </row>
    <row r="4447" spans="1:34" ht="14.25" customHeight="1" x14ac:dyDescent="0.25">
      <c r="A4447" s="3"/>
      <c r="B4447" s="3"/>
      <c r="C4447" s="3"/>
      <c r="D4447" s="3"/>
      <c r="E4447" s="3"/>
      <c r="F4447" s="3"/>
      <c r="G4447" s="3"/>
      <c r="H4447" s="11"/>
      <c r="I4447" s="12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14"/>
      <c r="X4447" s="3"/>
      <c r="Y4447" s="14"/>
      <c r="Z4447" s="3"/>
      <c r="AA4447" s="3"/>
      <c r="AB4447" s="3"/>
      <c r="AC4447" s="3"/>
      <c r="AD4447" s="3"/>
      <c r="AE4447" s="3"/>
      <c r="AF4447" s="3"/>
      <c r="AG4447" s="3"/>
      <c r="AH4447" s="3"/>
    </row>
    <row r="4448" spans="1:34" ht="14.25" customHeight="1" x14ac:dyDescent="0.25">
      <c r="A4448" s="3"/>
      <c r="B4448" s="3"/>
      <c r="C4448" s="3"/>
      <c r="D4448" s="3"/>
      <c r="E4448" s="3"/>
      <c r="F4448" s="3"/>
      <c r="G4448" s="3"/>
      <c r="H4448" s="11"/>
      <c r="I4448" s="12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14"/>
      <c r="X4448" s="3"/>
      <c r="Y4448" s="14"/>
      <c r="Z4448" s="3"/>
      <c r="AA4448" s="3"/>
      <c r="AB4448" s="3"/>
      <c r="AC4448" s="3"/>
      <c r="AD4448" s="3"/>
      <c r="AE4448" s="3"/>
      <c r="AF4448" s="3"/>
      <c r="AG4448" s="3"/>
      <c r="AH4448" s="3"/>
    </row>
    <row r="4449" spans="1:34" ht="14.25" customHeight="1" x14ac:dyDescent="0.25">
      <c r="A4449" s="3"/>
      <c r="B4449" s="3"/>
      <c r="C4449" s="3"/>
      <c r="D4449" s="3"/>
      <c r="E4449" s="3"/>
      <c r="F4449" s="3"/>
      <c r="G4449" s="3"/>
      <c r="H4449" s="11"/>
      <c r="I4449" s="12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14"/>
      <c r="X4449" s="3"/>
      <c r="Y4449" s="14"/>
      <c r="Z4449" s="3"/>
      <c r="AA4449" s="3"/>
      <c r="AB4449" s="3"/>
      <c r="AC4449" s="3"/>
      <c r="AD4449" s="3"/>
      <c r="AE4449" s="3"/>
      <c r="AF4449" s="3"/>
      <c r="AG4449" s="3"/>
      <c r="AH4449" s="3"/>
    </row>
    <row r="4450" spans="1:34" ht="14.25" customHeight="1" x14ac:dyDescent="0.25">
      <c r="A4450" s="3"/>
      <c r="B4450" s="3"/>
      <c r="C4450" s="3"/>
      <c r="D4450" s="3"/>
      <c r="E4450" s="3"/>
      <c r="F4450" s="3"/>
      <c r="G4450" s="3"/>
      <c r="H4450" s="11"/>
      <c r="I4450" s="12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14"/>
      <c r="X4450" s="3"/>
      <c r="Y4450" s="14"/>
      <c r="Z4450" s="3"/>
      <c r="AA4450" s="3"/>
      <c r="AB4450" s="3"/>
      <c r="AC4450" s="3"/>
      <c r="AD4450" s="3"/>
      <c r="AE4450" s="3"/>
      <c r="AF4450" s="3"/>
      <c r="AG4450" s="3"/>
      <c r="AH4450" s="3"/>
    </row>
    <row r="4451" spans="1:34" ht="14.25" customHeight="1" x14ac:dyDescent="0.25">
      <c r="A4451" s="3"/>
      <c r="B4451" s="3"/>
      <c r="C4451" s="3"/>
      <c r="D4451" s="3"/>
      <c r="E4451" s="3"/>
      <c r="F4451" s="3"/>
      <c r="G4451" s="3"/>
      <c r="H4451" s="11"/>
      <c r="I4451" s="12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14"/>
      <c r="X4451" s="3"/>
      <c r="Y4451" s="14"/>
      <c r="Z4451" s="3"/>
      <c r="AA4451" s="3"/>
      <c r="AB4451" s="3"/>
      <c r="AC4451" s="3"/>
      <c r="AD4451" s="3"/>
      <c r="AE4451" s="3"/>
      <c r="AF4451" s="3"/>
      <c r="AG4451" s="3"/>
      <c r="AH4451" s="3"/>
    </row>
    <row r="4452" spans="1:34" ht="14.25" customHeight="1" x14ac:dyDescent="0.25">
      <c r="A4452" s="3"/>
      <c r="B4452" s="3"/>
      <c r="C4452" s="3"/>
      <c r="D4452" s="3"/>
      <c r="E4452" s="3"/>
      <c r="F4452" s="3"/>
      <c r="G4452" s="3"/>
      <c r="H4452" s="11"/>
      <c r="I4452" s="12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14"/>
      <c r="X4452" s="3"/>
      <c r="Y4452" s="14"/>
      <c r="Z4452" s="3"/>
      <c r="AA4452" s="3"/>
      <c r="AB4452" s="3"/>
      <c r="AC4452" s="3"/>
      <c r="AD4452" s="3"/>
      <c r="AE4452" s="3"/>
      <c r="AF4452" s="3"/>
      <c r="AG4452" s="3"/>
      <c r="AH4452" s="3"/>
    </row>
    <row r="4453" spans="1:34" ht="14.25" customHeight="1" x14ac:dyDescent="0.25">
      <c r="A4453" s="3"/>
      <c r="B4453" s="3"/>
      <c r="C4453" s="3"/>
      <c r="D4453" s="3"/>
      <c r="E4453" s="3"/>
      <c r="F4453" s="3"/>
      <c r="G4453" s="3"/>
      <c r="H4453" s="11"/>
      <c r="I4453" s="12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14"/>
      <c r="X4453" s="3"/>
      <c r="Y4453" s="14"/>
      <c r="Z4453" s="3"/>
      <c r="AA4453" s="3"/>
      <c r="AB4453" s="3"/>
      <c r="AC4453" s="3"/>
      <c r="AD4453" s="3"/>
      <c r="AE4453" s="3"/>
      <c r="AF4453" s="3"/>
      <c r="AG4453" s="3"/>
      <c r="AH4453" s="3"/>
    </row>
    <row r="4454" spans="1:34" ht="14.25" customHeight="1" x14ac:dyDescent="0.25">
      <c r="A4454" s="3"/>
      <c r="B4454" s="3"/>
      <c r="C4454" s="3"/>
      <c r="D4454" s="3"/>
      <c r="E4454" s="3"/>
      <c r="F4454" s="3"/>
      <c r="G4454" s="3"/>
      <c r="H4454" s="11"/>
      <c r="I4454" s="12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14"/>
      <c r="X4454" s="3"/>
      <c r="Y4454" s="14"/>
      <c r="Z4454" s="3"/>
      <c r="AA4454" s="3"/>
      <c r="AB4454" s="3"/>
      <c r="AC4454" s="3"/>
      <c r="AD4454" s="3"/>
      <c r="AE4454" s="3"/>
      <c r="AF4454" s="3"/>
      <c r="AG4454" s="3"/>
      <c r="AH4454" s="3"/>
    </row>
    <row r="4455" spans="1:34" ht="14.25" customHeight="1" x14ac:dyDescent="0.25">
      <c r="A4455" s="3"/>
      <c r="B4455" s="3"/>
      <c r="C4455" s="3"/>
      <c r="D4455" s="3"/>
      <c r="E4455" s="3"/>
      <c r="F4455" s="3"/>
      <c r="G4455" s="3"/>
      <c r="H4455" s="11"/>
      <c r="I4455" s="12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14"/>
      <c r="X4455" s="3"/>
      <c r="Y4455" s="14"/>
      <c r="Z4455" s="3"/>
      <c r="AA4455" s="3"/>
      <c r="AB4455" s="3"/>
      <c r="AC4455" s="3"/>
      <c r="AD4455" s="3"/>
      <c r="AE4455" s="3"/>
      <c r="AF4455" s="3"/>
      <c r="AG4455" s="3"/>
      <c r="AH4455" s="3"/>
    </row>
    <row r="4456" spans="1:34" ht="14.25" customHeight="1" x14ac:dyDescent="0.25">
      <c r="A4456" s="3"/>
      <c r="B4456" s="3"/>
      <c r="C4456" s="3"/>
      <c r="D4456" s="3"/>
      <c r="E4456" s="3"/>
      <c r="F4456" s="3"/>
      <c r="G4456" s="3"/>
      <c r="H4456" s="11"/>
      <c r="I4456" s="12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14"/>
      <c r="X4456" s="3"/>
      <c r="Y4456" s="14"/>
      <c r="Z4456" s="3"/>
      <c r="AA4456" s="3"/>
      <c r="AB4456" s="3"/>
      <c r="AC4456" s="3"/>
      <c r="AD4456" s="3"/>
      <c r="AE4456" s="3"/>
      <c r="AF4456" s="3"/>
      <c r="AG4456" s="3"/>
      <c r="AH4456" s="3"/>
    </row>
    <row r="4457" spans="1:34" ht="14.25" customHeight="1" x14ac:dyDescent="0.25">
      <c r="A4457" s="3"/>
      <c r="B4457" s="3"/>
      <c r="C4457" s="3"/>
      <c r="D4457" s="3"/>
      <c r="E4457" s="3"/>
      <c r="F4457" s="3"/>
      <c r="G4457" s="3"/>
      <c r="H4457" s="11"/>
      <c r="I4457" s="12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14"/>
      <c r="X4457" s="3"/>
      <c r="Y4457" s="14"/>
      <c r="Z4457" s="3"/>
      <c r="AA4457" s="3"/>
      <c r="AB4457" s="3"/>
      <c r="AC4457" s="3"/>
      <c r="AD4457" s="3"/>
      <c r="AE4457" s="3"/>
      <c r="AF4457" s="3"/>
      <c r="AG4457" s="3"/>
      <c r="AH4457" s="3"/>
    </row>
    <row r="4458" spans="1:34" ht="14.25" customHeight="1" x14ac:dyDescent="0.25">
      <c r="A4458" s="3"/>
      <c r="B4458" s="3"/>
      <c r="C4458" s="3"/>
      <c r="D4458" s="3"/>
      <c r="E4458" s="3"/>
      <c r="F4458" s="3"/>
      <c r="G4458" s="3"/>
      <c r="H4458" s="11"/>
      <c r="I4458" s="12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14"/>
      <c r="X4458" s="3"/>
      <c r="Y4458" s="14"/>
      <c r="Z4458" s="3"/>
      <c r="AA4458" s="3"/>
      <c r="AB4458" s="3"/>
      <c r="AC4458" s="3"/>
      <c r="AD4458" s="3"/>
      <c r="AE4458" s="3"/>
      <c r="AF4458" s="3"/>
      <c r="AG4458" s="3"/>
      <c r="AH4458" s="3"/>
    </row>
    <row r="4459" spans="1:34" ht="14.25" customHeight="1" x14ac:dyDescent="0.25">
      <c r="A4459" s="3"/>
      <c r="B4459" s="3"/>
      <c r="C4459" s="3"/>
      <c r="D4459" s="3"/>
      <c r="E4459" s="3"/>
      <c r="F4459" s="3"/>
      <c r="G4459" s="3"/>
      <c r="H4459" s="11"/>
      <c r="I4459" s="12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14"/>
      <c r="X4459" s="3"/>
      <c r="Y4459" s="14"/>
      <c r="Z4459" s="3"/>
      <c r="AA4459" s="3"/>
      <c r="AB4459" s="3"/>
      <c r="AC4459" s="3"/>
      <c r="AD4459" s="3"/>
      <c r="AE4459" s="3"/>
      <c r="AF4459" s="3"/>
      <c r="AG4459" s="3"/>
      <c r="AH4459" s="3"/>
    </row>
    <row r="4460" spans="1:34" ht="14.25" customHeight="1" x14ac:dyDescent="0.25">
      <c r="A4460" s="3"/>
      <c r="B4460" s="3"/>
      <c r="C4460" s="3"/>
      <c r="D4460" s="3"/>
      <c r="E4460" s="3"/>
      <c r="F4460" s="3"/>
      <c r="G4460" s="3"/>
      <c r="H4460" s="11"/>
      <c r="I4460" s="12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14"/>
      <c r="X4460" s="3"/>
      <c r="Y4460" s="14"/>
      <c r="Z4460" s="3"/>
      <c r="AA4460" s="3"/>
      <c r="AB4460" s="3"/>
      <c r="AC4460" s="3"/>
      <c r="AD4460" s="3"/>
      <c r="AE4460" s="3"/>
      <c r="AF4460" s="3"/>
      <c r="AG4460" s="3"/>
      <c r="AH4460" s="3"/>
    </row>
    <row r="4461" spans="1:34" ht="14.25" customHeight="1" x14ac:dyDescent="0.25">
      <c r="A4461" s="3"/>
      <c r="B4461" s="3"/>
      <c r="C4461" s="3"/>
      <c r="D4461" s="3"/>
      <c r="E4461" s="3"/>
      <c r="F4461" s="3"/>
      <c r="G4461" s="3"/>
      <c r="H4461" s="11"/>
      <c r="I4461" s="12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14"/>
      <c r="X4461" s="3"/>
      <c r="Y4461" s="14"/>
      <c r="Z4461" s="3"/>
      <c r="AA4461" s="3"/>
      <c r="AB4461" s="3"/>
      <c r="AC4461" s="3"/>
      <c r="AD4461" s="3"/>
      <c r="AE4461" s="3"/>
      <c r="AF4461" s="3"/>
      <c r="AG4461" s="3"/>
      <c r="AH4461" s="3"/>
    </row>
    <row r="4462" spans="1:34" ht="14.25" customHeight="1" x14ac:dyDescent="0.25">
      <c r="A4462" s="3"/>
      <c r="B4462" s="3"/>
      <c r="C4462" s="3"/>
      <c r="D4462" s="3"/>
      <c r="E4462" s="3"/>
      <c r="F4462" s="3"/>
      <c r="G4462" s="3"/>
      <c r="H4462" s="11"/>
      <c r="I4462" s="12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14"/>
      <c r="X4462" s="3"/>
      <c r="Y4462" s="14"/>
      <c r="Z4462" s="3"/>
      <c r="AA4462" s="3"/>
      <c r="AB4462" s="3"/>
      <c r="AC4462" s="3"/>
      <c r="AD4462" s="3"/>
      <c r="AE4462" s="3"/>
      <c r="AF4462" s="3"/>
      <c r="AG4462" s="3"/>
      <c r="AH4462" s="3"/>
    </row>
    <row r="4463" spans="1:34" ht="14.25" customHeight="1" x14ac:dyDescent="0.25">
      <c r="A4463" s="3"/>
      <c r="B4463" s="3"/>
      <c r="C4463" s="3"/>
      <c r="D4463" s="3"/>
      <c r="E4463" s="3"/>
      <c r="F4463" s="3"/>
      <c r="G4463" s="3"/>
      <c r="H4463" s="11"/>
      <c r="I4463" s="12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14"/>
      <c r="X4463" s="3"/>
      <c r="Y4463" s="14"/>
      <c r="Z4463" s="3"/>
      <c r="AA4463" s="3"/>
      <c r="AB4463" s="3"/>
      <c r="AC4463" s="3"/>
      <c r="AD4463" s="3"/>
      <c r="AE4463" s="3"/>
      <c r="AF4463" s="3"/>
      <c r="AG4463" s="3"/>
      <c r="AH4463" s="3"/>
    </row>
    <row r="4464" spans="1:34" ht="14.25" customHeight="1" x14ac:dyDescent="0.25">
      <c r="A4464" s="3"/>
      <c r="B4464" s="3"/>
      <c r="C4464" s="3"/>
      <c r="D4464" s="3"/>
      <c r="E4464" s="3"/>
      <c r="F4464" s="3"/>
      <c r="G4464" s="3"/>
      <c r="H4464" s="11"/>
      <c r="I4464" s="12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14"/>
      <c r="X4464" s="3"/>
      <c r="Y4464" s="14"/>
      <c r="Z4464" s="3"/>
      <c r="AA4464" s="3"/>
      <c r="AB4464" s="3"/>
      <c r="AC4464" s="3"/>
      <c r="AD4464" s="3"/>
      <c r="AE4464" s="3"/>
      <c r="AF4464" s="3"/>
      <c r="AG4464" s="3"/>
      <c r="AH4464" s="3"/>
    </row>
    <row r="4465" spans="1:34" ht="14.25" customHeight="1" x14ac:dyDescent="0.25">
      <c r="A4465" s="3"/>
      <c r="B4465" s="3"/>
      <c r="C4465" s="3"/>
      <c r="D4465" s="3"/>
      <c r="E4465" s="3"/>
      <c r="F4465" s="3"/>
      <c r="G4465" s="3"/>
      <c r="H4465" s="11"/>
      <c r="I4465" s="12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14"/>
      <c r="X4465" s="3"/>
      <c r="Y4465" s="14"/>
      <c r="Z4465" s="3"/>
      <c r="AA4465" s="3"/>
      <c r="AB4465" s="3"/>
      <c r="AC4465" s="3"/>
      <c r="AD4465" s="3"/>
      <c r="AE4465" s="3"/>
      <c r="AF4465" s="3"/>
      <c r="AG4465" s="3"/>
      <c r="AH4465" s="3"/>
    </row>
    <row r="4466" spans="1:34" ht="14.25" customHeight="1" x14ac:dyDescent="0.25">
      <c r="A4466" s="3"/>
      <c r="B4466" s="3"/>
      <c r="C4466" s="3"/>
      <c r="D4466" s="3"/>
      <c r="E4466" s="3"/>
      <c r="F4466" s="3"/>
      <c r="G4466" s="3"/>
      <c r="H4466" s="11"/>
      <c r="I4466" s="12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14"/>
      <c r="X4466" s="3"/>
      <c r="Y4466" s="14"/>
      <c r="Z4466" s="3"/>
      <c r="AA4466" s="3"/>
      <c r="AB4466" s="3"/>
      <c r="AC4466" s="3"/>
      <c r="AD4466" s="3"/>
      <c r="AE4466" s="3"/>
      <c r="AF4466" s="3"/>
      <c r="AG4466" s="3"/>
      <c r="AH4466" s="3"/>
    </row>
    <row r="4467" spans="1:34" ht="14.25" customHeight="1" x14ac:dyDescent="0.25">
      <c r="A4467" s="3"/>
      <c r="B4467" s="3"/>
      <c r="C4467" s="3"/>
      <c r="D4467" s="3"/>
      <c r="E4467" s="3"/>
      <c r="F4467" s="3"/>
      <c r="G4467" s="3"/>
      <c r="H4467" s="11"/>
      <c r="I4467" s="12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14"/>
      <c r="X4467" s="3"/>
      <c r="Y4467" s="14"/>
      <c r="Z4467" s="3"/>
      <c r="AA4467" s="3"/>
      <c r="AB4467" s="3"/>
      <c r="AC4467" s="3"/>
      <c r="AD4467" s="3"/>
      <c r="AE4467" s="3"/>
      <c r="AF4467" s="3"/>
      <c r="AG4467" s="3"/>
      <c r="AH4467" s="3"/>
    </row>
    <row r="4468" spans="1:34" ht="14.25" customHeight="1" x14ac:dyDescent="0.25">
      <c r="A4468" s="3"/>
      <c r="B4468" s="3"/>
      <c r="C4468" s="3"/>
      <c r="D4468" s="3"/>
      <c r="E4468" s="3"/>
      <c r="F4468" s="3"/>
      <c r="G4468" s="3"/>
      <c r="H4468" s="11"/>
      <c r="I4468" s="12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14"/>
      <c r="X4468" s="3"/>
      <c r="Y4468" s="14"/>
      <c r="Z4468" s="3"/>
      <c r="AA4468" s="3"/>
      <c r="AB4468" s="3"/>
      <c r="AC4468" s="3"/>
      <c r="AD4468" s="3"/>
      <c r="AE4468" s="3"/>
      <c r="AF4468" s="3"/>
      <c r="AG4468" s="3"/>
      <c r="AH4468" s="3"/>
    </row>
    <row r="4469" spans="1:34" ht="14.25" customHeight="1" x14ac:dyDescent="0.25">
      <c r="A4469" s="3"/>
      <c r="B4469" s="3"/>
      <c r="C4469" s="3"/>
      <c r="D4469" s="3"/>
      <c r="E4469" s="3"/>
      <c r="F4469" s="3"/>
      <c r="G4469" s="3"/>
      <c r="H4469" s="11"/>
      <c r="I4469" s="12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14"/>
      <c r="X4469" s="3"/>
      <c r="Y4469" s="14"/>
      <c r="Z4469" s="3"/>
      <c r="AA4469" s="3"/>
      <c r="AB4469" s="3"/>
      <c r="AC4469" s="3"/>
      <c r="AD4469" s="3"/>
      <c r="AE4469" s="3"/>
      <c r="AF4469" s="3"/>
      <c r="AG4469" s="3"/>
      <c r="AH4469" s="3"/>
    </row>
    <row r="4470" spans="1:34" ht="14.25" customHeight="1" x14ac:dyDescent="0.25">
      <c r="A4470" s="3"/>
      <c r="B4470" s="3"/>
      <c r="C4470" s="3"/>
      <c r="D4470" s="3"/>
      <c r="E4470" s="3"/>
      <c r="F4470" s="3"/>
      <c r="G4470" s="3"/>
      <c r="H4470" s="11"/>
      <c r="I4470" s="12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14"/>
      <c r="X4470" s="3"/>
      <c r="Y4470" s="14"/>
      <c r="Z4470" s="3"/>
      <c r="AA4470" s="3"/>
      <c r="AB4470" s="3"/>
      <c r="AC4470" s="3"/>
      <c r="AD4470" s="3"/>
      <c r="AE4470" s="3"/>
      <c r="AF4470" s="3"/>
      <c r="AG4470" s="3"/>
      <c r="AH4470" s="3"/>
    </row>
    <row r="4471" spans="1:34" ht="14.25" customHeight="1" x14ac:dyDescent="0.25">
      <c r="A4471" s="3"/>
      <c r="B4471" s="3"/>
      <c r="C4471" s="3"/>
      <c r="D4471" s="3"/>
      <c r="E4471" s="3"/>
      <c r="F4471" s="3"/>
      <c r="G4471" s="3"/>
      <c r="H4471" s="11"/>
      <c r="I4471" s="12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14"/>
      <c r="X4471" s="3"/>
      <c r="Y4471" s="14"/>
      <c r="Z4471" s="3"/>
      <c r="AA4471" s="3"/>
      <c r="AB4471" s="3"/>
      <c r="AC4471" s="3"/>
      <c r="AD4471" s="3"/>
      <c r="AE4471" s="3"/>
      <c r="AF4471" s="3"/>
      <c r="AG4471" s="3"/>
      <c r="AH4471" s="3"/>
    </row>
    <row r="4472" spans="1:34" ht="14.25" customHeight="1" x14ac:dyDescent="0.25">
      <c r="A4472" s="3"/>
      <c r="B4472" s="3"/>
      <c r="C4472" s="3"/>
      <c r="D4472" s="3"/>
      <c r="E4472" s="3"/>
      <c r="F4472" s="3"/>
      <c r="G4472" s="3"/>
      <c r="H4472" s="11"/>
      <c r="I4472" s="12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14"/>
      <c r="X4472" s="3"/>
      <c r="Y4472" s="14"/>
      <c r="Z4472" s="3"/>
      <c r="AA4472" s="3"/>
      <c r="AB4472" s="3"/>
      <c r="AC4472" s="3"/>
      <c r="AD4472" s="3"/>
      <c r="AE4472" s="3"/>
      <c r="AF4472" s="3"/>
      <c r="AG4472" s="3"/>
      <c r="AH4472" s="3"/>
    </row>
    <row r="4473" spans="1:34" ht="14.25" customHeight="1" x14ac:dyDescent="0.25">
      <c r="A4473" s="3"/>
      <c r="B4473" s="3"/>
      <c r="C4473" s="3"/>
      <c r="D4473" s="3"/>
      <c r="E4473" s="3"/>
      <c r="F4473" s="3"/>
      <c r="G4473" s="3"/>
      <c r="H4473" s="11"/>
      <c r="I4473" s="12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14"/>
      <c r="X4473" s="3"/>
      <c r="Y4473" s="14"/>
      <c r="Z4473" s="3"/>
      <c r="AA4473" s="3"/>
      <c r="AB4473" s="3"/>
      <c r="AC4473" s="3"/>
      <c r="AD4473" s="3"/>
      <c r="AE4473" s="3"/>
      <c r="AF4473" s="3"/>
      <c r="AG4473" s="3"/>
      <c r="AH4473" s="3"/>
    </row>
    <row r="4474" spans="1:34" ht="14.25" customHeight="1" x14ac:dyDescent="0.25">
      <c r="A4474" s="3"/>
      <c r="B4474" s="3"/>
      <c r="C4474" s="3"/>
      <c r="D4474" s="3"/>
      <c r="E4474" s="3"/>
      <c r="F4474" s="3"/>
      <c r="G4474" s="3"/>
      <c r="H4474" s="11"/>
      <c r="I4474" s="12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14"/>
      <c r="X4474" s="3"/>
      <c r="Y4474" s="14"/>
      <c r="Z4474" s="3"/>
      <c r="AA4474" s="3"/>
      <c r="AB4474" s="3"/>
      <c r="AC4474" s="3"/>
      <c r="AD4474" s="3"/>
      <c r="AE4474" s="3"/>
      <c r="AF4474" s="3"/>
      <c r="AG4474" s="3"/>
      <c r="AH4474" s="3"/>
    </row>
    <row r="4475" spans="1:34" ht="14.25" customHeight="1" x14ac:dyDescent="0.25">
      <c r="A4475" s="3"/>
      <c r="B4475" s="3"/>
      <c r="C4475" s="3"/>
      <c r="D4475" s="3"/>
      <c r="E4475" s="3"/>
      <c r="F4475" s="3"/>
      <c r="G4475" s="3"/>
      <c r="H4475" s="11"/>
      <c r="I4475" s="12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14"/>
      <c r="X4475" s="3"/>
      <c r="Y4475" s="14"/>
      <c r="Z4475" s="3"/>
      <c r="AA4475" s="3"/>
      <c r="AB4475" s="3"/>
      <c r="AC4475" s="3"/>
      <c r="AD4475" s="3"/>
      <c r="AE4475" s="3"/>
      <c r="AF4475" s="3"/>
      <c r="AG4475" s="3"/>
      <c r="AH4475" s="3"/>
    </row>
    <row r="4476" spans="1:34" ht="14.25" customHeight="1" x14ac:dyDescent="0.25">
      <c r="A4476" s="3"/>
      <c r="B4476" s="3"/>
      <c r="C4476" s="3"/>
      <c r="D4476" s="3"/>
      <c r="E4476" s="3"/>
      <c r="F4476" s="3"/>
      <c r="G4476" s="3"/>
      <c r="H4476" s="11"/>
      <c r="I4476" s="12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14"/>
      <c r="X4476" s="3"/>
      <c r="Y4476" s="14"/>
      <c r="Z4476" s="3"/>
      <c r="AA4476" s="3"/>
      <c r="AB4476" s="3"/>
      <c r="AC4476" s="3"/>
      <c r="AD4476" s="3"/>
      <c r="AE4476" s="3"/>
      <c r="AF4476" s="3"/>
      <c r="AG4476" s="3"/>
      <c r="AH4476" s="3"/>
    </row>
    <row r="4477" spans="1:34" ht="14.25" customHeight="1" x14ac:dyDescent="0.25">
      <c r="A4477" s="3"/>
      <c r="B4477" s="3"/>
      <c r="C4477" s="3"/>
      <c r="D4477" s="3"/>
      <c r="E4477" s="3"/>
      <c r="F4477" s="3"/>
      <c r="G4477" s="3"/>
      <c r="H4477" s="11"/>
      <c r="I4477" s="12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14"/>
      <c r="X4477" s="3"/>
      <c r="Y4477" s="14"/>
      <c r="Z4477" s="3"/>
      <c r="AA4477" s="3"/>
      <c r="AB4477" s="3"/>
      <c r="AC4477" s="3"/>
      <c r="AD4477" s="3"/>
      <c r="AE4477" s="3"/>
      <c r="AF4477" s="3"/>
      <c r="AG4477" s="3"/>
      <c r="AH4477" s="3"/>
    </row>
    <row r="4478" spans="1:34" ht="14.25" customHeight="1" x14ac:dyDescent="0.25">
      <c r="A4478" s="3"/>
      <c r="B4478" s="3"/>
      <c r="C4478" s="3"/>
      <c r="D4478" s="3"/>
      <c r="E4478" s="3"/>
      <c r="F4478" s="3"/>
      <c r="G4478" s="3"/>
      <c r="H4478" s="11"/>
      <c r="I4478" s="12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14"/>
      <c r="X4478" s="3"/>
      <c r="Y4478" s="14"/>
      <c r="Z4478" s="3"/>
      <c r="AA4478" s="3"/>
      <c r="AB4478" s="3"/>
      <c r="AC4478" s="3"/>
      <c r="AD4478" s="3"/>
      <c r="AE4478" s="3"/>
      <c r="AF4478" s="3"/>
      <c r="AG4478" s="3"/>
      <c r="AH4478" s="3"/>
    </row>
    <row r="4479" spans="1:34" ht="14.25" customHeight="1" x14ac:dyDescent="0.25">
      <c r="A4479" s="3"/>
      <c r="B4479" s="3"/>
      <c r="C4479" s="3"/>
      <c r="D4479" s="3"/>
      <c r="E4479" s="3"/>
      <c r="F4479" s="3"/>
      <c r="G4479" s="3"/>
      <c r="H4479" s="11"/>
      <c r="I4479" s="12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14"/>
      <c r="X4479" s="3"/>
      <c r="Y4479" s="14"/>
      <c r="Z4479" s="3"/>
      <c r="AA4479" s="3"/>
      <c r="AB4479" s="3"/>
      <c r="AC4479" s="3"/>
      <c r="AD4479" s="3"/>
      <c r="AE4479" s="3"/>
      <c r="AF4479" s="3"/>
      <c r="AG4479" s="3"/>
      <c r="AH4479" s="3"/>
    </row>
    <row r="4480" spans="1:34" ht="14.25" customHeight="1" x14ac:dyDescent="0.25">
      <c r="A4480" s="3"/>
      <c r="B4480" s="3"/>
      <c r="C4480" s="3"/>
      <c r="D4480" s="3"/>
      <c r="E4480" s="3"/>
      <c r="F4480" s="3"/>
      <c r="G4480" s="3"/>
      <c r="H4480" s="11"/>
      <c r="I4480" s="12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14"/>
      <c r="X4480" s="3"/>
      <c r="Y4480" s="14"/>
      <c r="Z4480" s="3"/>
      <c r="AA4480" s="3"/>
      <c r="AB4480" s="3"/>
      <c r="AC4480" s="3"/>
      <c r="AD4480" s="3"/>
      <c r="AE4480" s="3"/>
      <c r="AF4480" s="3"/>
      <c r="AG4480" s="3"/>
      <c r="AH4480" s="3"/>
    </row>
    <row r="4481" spans="1:34" ht="14.25" customHeight="1" x14ac:dyDescent="0.25">
      <c r="A4481" s="3"/>
      <c r="B4481" s="3"/>
      <c r="C4481" s="3"/>
      <c r="D4481" s="3"/>
      <c r="E4481" s="3"/>
      <c r="F4481" s="3"/>
      <c r="G4481" s="3"/>
      <c r="H4481" s="11"/>
      <c r="I4481" s="12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14"/>
      <c r="X4481" s="3"/>
      <c r="Y4481" s="14"/>
      <c r="Z4481" s="3"/>
      <c r="AA4481" s="3"/>
      <c r="AB4481" s="3"/>
      <c r="AC4481" s="3"/>
      <c r="AD4481" s="3"/>
      <c r="AE4481" s="3"/>
      <c r="AF4481" s="3"/>
      <c r="AG4481" s="3"/>
      <c r="AH4481" s="3"/>
    </row>
    <row r="4482" spans="1:34" ht="14.25" customHeight="1" x14ac:dyDescent="0.25">
      <c r="A4482" s="3"/>
      <c r="B4482" s="3"/>
      <c r="C4482" s="3"/>
      <c r="D4482" s="3"/>
      <c r="E4482" s="3"/>
      <c r="F4482" s="3"/>
      <c r="G4482" s="3"/>
      <c r="H4482" s="11"/>
      <c r="I4482" s="12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14"/>
      <c r="Z4482" s="3"/>
      <c r="AA4482" s="3"/>
      <c r="AB4482" s="3"/>
      <c r="AC4482" s="3"/>
      <c r="AD4482" s="3"/>
      <c r="AE4482" s="3"/>
      <c r="AF4482" s="3"/>
      <c r="AG4482" s="3"/>
      <c r="AH4482" s="3"/>
    </row>
    <row r="4483" spans="1:34" ht="14.25" customHeight="1" x14ac:dyDescent="0.25">
      <c r="A4483" s="3"/>
      <c r="B4483" s="3"/>
      <c r="C4483" s="3"/>
      <c r="D4483" s="3"/>
      <c r="E4483" s="3"/>
      <c r="F4483" s="3"/>
      <c r="G4483" s="3"/>
      <c r="H4483" s="11"/>
      <c r="I4483" s="12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14"/>
      <c r="Z4483" s="3"/>
      <c r="AA4483" s="3"/>
      <c r="AB4483" s="3"/>
      <c r="AC4483" s="3"/>
      <c r="AD4483" s="3"/>
      <c r="AE4483" s="3"/>
      <c r="AF4483" s="3"/>
      <c r="AG4483" s="3"/>
      <c r="AH4483" s="3"/>
    </row>
    <row r="4484" spans="1:34" ht="14.25" customHeight="1" x14ac:dyDescent="0.25">
      <c r="A4484" s="3"/>
      <c r="B4484" s="3"/>
      <c r="C4484" s="3"/>
      <c r="D4484" s="3"/>
      <c r="E4484" s="3"/>
      <c r="F4484" s="3"/>
      <c r="G4484" s="3"/>
      <c r="H4484" s="11"/>
      <c r="I4484" s="12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14"/>
      <c r="Z4484" s="3"/>
      <c r="AA4484" s="3"/>
      <c r="AB4484" s="3"/>
      <c r="AC4484" s="3"/>
      <c r="AD4484" s="3"/>
      <c r="AE4484" s="3"/>
      <c r="AF4484" s="3"/>
      <c r="AG4484" s="3"/>
      <c r="AH4484" s="3"/>
    </row>
    <row r="4485" spans="1:34" ht="14.25" customHeight="1" x14ac:dyDescent="0.25">
      <c r="A4485" s="3"/>
      <c r="B4485" s="3"/>
      <c r="C4485" s="3"/>
      <c r="D4485" s="3"/>
      <c r="E4485" s="3"/>
      <c r="F4485" s="3"/>
      <c r="G4485" s="3"/>
      <c r="H4485" s="11"/>
      <c r="I4485" s="12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14"/>
      <c r="Z4485" s="3"/>
      <c r="AA4485" s="3"/>
      <c r="AB4485" s="3"/>
      <c r="AC4485" s="3"/>
      <c r="AD4485" s="3"/>
      <c r="AE4485" s="3"/>
      <c r="AF4485" s="3"/>
      <c r="AG4485" s="3"/>
      <c r="AH4485" s="3"/>
    </row>
    <row r="4486" spans="1:34" ht="14.25" customHeight="1" x14ac:dyDescent="0.25">
      <c r="A4486" s="3"/>
      <c r="B4486" s="3"/>
      <c r="C4486" s="3"/>
      <c r="D4486" s="3"/>
      <c r="E4486" s="3"/>
      <c r="F4486" s="3"/>
      <c r="G4486" s="3"/>
      <c r="H4486" s="11"/>
      <c r="I4486" s="12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</row>
    <row r="4487" spans="1:34" ht="14.25" customHeight="1" x14ac:dyDescent="0.25">
      <c r="A4487" s="3"/>
      <c r="B4487" s="3"/>
      <c r="C4487" s="3"/>
      <c r="D4487" s="3"/>
      <c r="E4487" s="3"/>
      <c r="F4487" s="3"/>
      <c r="G4487" s="3"/>
      <c r="H4487" s="11"/>
      <c r="I4487" s="12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14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</row>
    <row r="4488" spans="1:34" ht="14.25" customHeight="1" x14ac:dyDescent="0.25">
      <c r="A4488" s="3"/>
      <c r="B4488" s="3"/>
      <c r="C4488" s="3"/>
      <c r="D4488" s="3"/>
      <c r="E4488" s="3"/>
      <c r="F4488" s="3"/>
      <c r="G4488" s="3"/>
      <c r="H4488" s="11"/>
      <c r="I4488" s="12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14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</row>
    <row r="4489" spans="1:34" ht="14.25" customHeight="1" x14ac:dyDescent="0.25">
      <c r="A4489" s="3"/>
      <c r="B4489" s="3"/>
      <c r="C4489" s="3"/>
      <c r="D4489" s="3"/>
      <c r="E4489" s="3"/>
      <c r="F4489" s="3"/>
      <c r="G4489" s="3"/>
      <c r="H4489" s="11"/>
      <c r="I4489" s="12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14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</row>
    <row r="4490" spans="1:34" ht="14.25" customHeight="1" x14ac:dyDescent="0.25">
      <c r="A4490" s="3"/>
      <c r="B4490" s="3"/>
      <c r="C4490" s="3"/>
      <c r="D4490" s="3"/>
      <c r="E4490" s="3"/>
      <c r="F4490" s="3"/>
      <c r="G4490" s="3"/>
      <c r="H4490" s="11"/>
      <c r="I4490" s="12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14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</row>
    <row r="4491" spans="1:34" ht="14.25" customHeight="1" x14ac:dyDescent="0.25">
      <c r="A4491" s="3"/>
      <c r="B4491" s="3"/>
      <c r="C4491" s="3"/>
      <c r="D4491" s="3"/>
      <c r="E4491" s="3"/>
      <c r="F4491" s="3"/>
      <c r="G4491" s="3"/>
      <c r="H4491" s="11"/>
      <c r="I4491" s="12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14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</row>
    <row r="4492" spans="1:34" ht="14.25" customHeight="1" x14ac:dyDescent="0.25">
      <c r="A4492" s="3"/>
      <c r="B4492" s="3"/>
      <c r="C4492" s="3"/>
      <c r="D4492" s="3"/>
      <c r="E4492" s="3"/>
      <c r="F4492" s="3"/>
      <c r="G4492" s="3"/>
      <c r="H4492" s="11"/>
      <c r="I4492" s="12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14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</row>
    <row r="4493" spans="1:34" ht="14.25" customHeight="1" x14ac:dyDescent="0.25">
      <c r="A4493" s="3"/>
      <c r="B4493" s="3"/>
      <c r="C4493" s="3"/>
      <c r="D4493" s="3"/>
      <c r="E4493" s="3"/>
      <c r="F4493" s="3"/>
      <c r="G4493" s="3"/>
      <c r="H4493" s="11"/>
      <c r="I4493" s="12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14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</row>
    <row r="4494" spans="1:34" ht="14.25" customHeight="1" x14ac:dyDescent="0.25">
      <c r="A4494" s="3"/>
      <c r="B4494" s="3"/>
      <c r="C4494" s="3"/>
      <c r="D4494" s="3"/>
      <c r="E4494" s="3"/>
      <c r="F4494" s="3"/>
      <c r="G4494" s="3"/>
      <c r="H4494" s="11"/>
      <c r="I4494" s="12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14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</row>
    <row r="4495" spans="1:34" ht="14.25" customHeight="1" x14ac:dyDescent="0.25">
      <c r="A4495" s="3"/>
      <c r="B4495" s="3"/>
      <c r="C4495" s="3"/>
      <c r="D4495" s="3"/>
      <c r="E4495" s="3"/>
      <c r="F4495" s="3"/>
      <c r="G4495" s="3"/>
      <c r="H4495" s="11"/>
      <c r="I4495" s="12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14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</row>
    <row r="4496" spans="1:34" ht="14.25" customHeight="1" x14ac:dyDescent="0.25">
      <c r="A4496" s="3"/>
      <c r="B4496" s="3"/>
      <c r="C4496" s="3"/>
      <c r="D4496" s="3"/>
      <c r="E4496" s="3"/>
      <c r="F4496" s="3"/>
      <c r="G4496" s="3"/>
      <c r="H4496" s="11"/>
      <c r="I4496" s="12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14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</row>
    <row r="4497" spans="1:34" ht="14.25" customHeight="1" x14ac:dyDescent="0.25">
      <c r="A4497" s="3"/>
      <c r="B4497" s="3"/>
      <c r="C4497" s="3"/>
      <c r="D4497" s="3"/>
      <c r="E4497" s="3"/>
      <c r="F4497" s="3"/>
      <c r="G4497" s="3"/>
      <c r="H4497" s="11"/>
      <c r="I4497" s="12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14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</row>
    <row r="4498" spans="1:34" ht="14.25" customHeight="1" x14ac:dyDescent="0.25">
      <c r="A4498" s="3"/>
      <c r="B4498" s="3"/>
      <c r="C4498" s="3"/>
      <c r="D4498" s="3"/>
      <c r="E4498" s="3"/>
      <c r="F4498" s="3"/>
      <c r="G4498" s="3"/>
      <c r="H4498" s="11"/>
      <c r="I4498" s="12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14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</row>
    <row r="4499" spans="1:34" ht="14.25" customHeight="1" x14ac:dyDescent="0.25">
      <c r="A4499" s="3"/>
      <c r="B4499" s="3"/>
      <c r="C4499" s="3"/>
      <c r="D4499" s="3"/>
      <c r="E4499" s="3"/>
      <c r="F4499" s="3"/>
      <c r="G4499" s="3"/>
      <c r="H4499" s="11"/>
      <c r="I4499" s="12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14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</row>
    <row r="4500" spans="1:34" ht="14.25" customHeight="1" x14ac:dyDescent="0.25">
      <c r="A4500" s="3"/>
      <c r="B4500" s="3"/>
      <c r="C4500" s="3"/>
      <c r="D4500" s="3"/>
      <c r="E4500" s="3"/>
      <c r="F4500" s="3"/>
      <c r="G4500" s="3"/>
      <c r="H4500" s="11"/>
      <c r="I4500" s="12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14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</row>
    <row r="4501" spans="1:34" ht="14.25" customHeight="1" x14ac:dyDescent="0.25">
      <c r="A4501" s="3"/>
      <c r="B4501" s="3"/>
      <c r="C4501" s="3"/>
      <c r="D4501" s="3"/>
      <c r="E4501" s="3"/>
      <c r="F4501" s="3"/>
      <c r="G4501" s="3"/>
      <c r="H4501" s="11"/>
      <c r="I4501" s="12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14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</row>
    <row r="4502" spans="1:34" ht="14.25" customHeight="1" x14ac:dyDescent="0.25">
      <c r="A4502" s="3"/>
      <c r="B4502" s="3"/>
      <c r="C4502" s="3"/>
      <c r="D4502" s="3"/>
      <c r="E4502" s="3"/>
      <c r="F4502" s="3"/>
      <c r="G4502" s="3"/>
      <c r="H4502" s="11"/>
      <c r="I4502" s="12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14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</row>
    <row r="4503" spans="1:34" ht="14.25" customHeight="1" x14ac:dyDescent="0.25">
      <c r="A4503" s="3"/>
      <c r="B4503" s="3"/>
      <c r="C4503" s="3"/>
      <c r="D4503" s="3"/>
      <c r="E4503" s="3"/>
      <c r="F4503" s="3"/>
      <c r="G4503" s="3"/>
      <c r="H4503" s="11"/>
      <c r="I4503" s="12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14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</row>
    <row r="4504" spans="1:34" ht="14.25" customHeight="1" x14ac:dyDescent="0.25">
      <c r="A4504" s="3"/>
      <c r="B4504" s="3"/>
      <c r="C4504" s="3"/>
      <c r="D4504" s="3"/>
      <c r="E4504" s="3"/>
      <c r="F4504" s="3"/>
      <c r="G4504" s="3"/>
      <c r="H4504" s="11"/>
      <c r="I4504" s="12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14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</row>
    <row r="4505" spans="1:34" ht="14.25" customHeight="1" x14ac:dyDescent="0.25">
      <c r="A4505" s="3"/>
      <c r="B4505" s="3"/>
      <c r="C4505" s="3"/>
      <c r="D4505" s="3"/>
      <c r="E4505" s="3"/>
      <c r="F4505" s="3"/>
      <c r="G4505" s="3"/>
      <c r="H4505" s="11"/>
      <c r="I4505" s="12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14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</row>
    <row r="4506" spans="1:34" ht="14.25" customHeight="1" x14ac:dyDescent="0.25">
      <c r="A4506" s="3"/>
      <c r="B4506" s="3"/>
      <c r="C4506" s="3"/>
      <c r="D4506" s="3"/>
      <c r="E4506" s="3"/>
      <c r="F4506" s="3"/>
      <c r="G4506" s="3"/>
      <c r="H4506" s="11"/>
      <c r="I4506" s="12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14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</row>
    <row r="4507" spans="1:34" ht="14.25" customHeight="1" x14ac:dyDescent="0.25">
      <c r="A4507" s="3"/>
      <c r="B4507" s="3"/>
      <c r="C4507" s="3"/>
      <c r="D4507" s="3"/>
      <c r="E4507" s="3"/>
      <c r="F4507" s="3"/>
      <c r="G4507" s="3"/>
      <c r="H4507" s="11"/>
      <c r="I4507" s="12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14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</row>
    <row r="4508" spans="1:34" ht="14.25" customHeight="1" x14ac:dyDescent="0.25">
      <c r="A4508" s="3"/>
      <c r="B4508" s="3"/>
      <c r="C4508" s="3"/>
      <c r="D4508" s="3"/>
      <c r="E4508" s="3"/>
      <c r="F4508" s="3"/>
      <c r="G4508" s="3"/>
      <c r="H4508" s="11"/>
      <c r="I4508" s="12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14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</row>
    <row r="4509" spans="1:34" ht="14.25" customHeight="1" x14ac:dyDescent="0.25">
      <c r="A4509" s="3"/>
      <c r="B4509" s="3"/>
      <c r="C4509" s="3"/>
      <c r="D4509" s="3"/>
      <c r="E4509" s="3"/>
      <c r="F4509" s="3"/>
      <c r="G4509" s="3"/>
      <c r="H4509" s="11"/>
      <c r="I4509" s="12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14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</row>
    <row r="4510" spans="1:34" ht="14.25" customHeight="1" x14ac:dyDescent="0.25">
      <c r="A4510" s="3"/>
      <c r="B4510" s="3"/>
      <c r="C4510" s="3"/>
      <c r="D4510" s="3"/>
      <c r="E4510" s="3"/>
      <c r="F4510" s="3"/>
      <c r="G4510" s="3"/>
      <c r="H4510" s="11"/>
      <c r="I4510" s="12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</row>
    <row r="4511" spans="1:34" ht="14.25" customHeight="1" x14ac:dyDescent="0.25">
      <c r="A4511" s="3"/>
      <c r="B4511" s="3"/>
      <c r="C4511" s="3"/>
      <c r="D4511" s="3"/>
      <c r="E4511" s="3"/>
      <c r="F4511" s="3"/>
      <c r="G4511" s="3"/>
      <c r="H4511" s="11"/>
      <c r="I4511" s="12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</row>
    <row r="4512" spans="1:34" ht="14.25" customHeight="1" x14ac:dyDescent="0.25">
      <c r="A4512" s="3"/>
      <c r="B4512" s="3"/>
      <c r="C4512" s="3"/>
      <c r="D4512" s="3"/>
      <c r="E4512" s="3"/>
      <c r="F4512" s="3"/>
      <c r="G4512" s="3"/>
      <c r="H4512" s="11"/>
      <c r="I4512" s="12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</row>
    <row r="4513" spans="1:34" ht="14.25" customHeight="1" x14ac:dyDescent="0.25">
      <c r="A4513" s="3"/>
      <c r="B4513" s="3"/>
      <c r="C4513" s="3"/>
      <c r="D4513" s="3"/>
      <c r="E4513" s="3"/>
      <c r="F4513" s="3"/>
      <c r="G4513" s="3"/>
      <c r="H4513" s="11"/>
      <c r="I4513" s="12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</row>
    <row r="4514" spans="1:34" ht="14.25" customHeight="1" x14ac:dyDescent="0.25">
      <c r="A4514" s="3"/>
      <c r="B4514" s="3"/>
      <c r="C4514" s="3"/>
      <c r="D4514" s="3"/>
      <c r="E4514" s="3"/>
      <c r="F4514" s="3"/>
      <c r="G4514" s="3"/>
      <c r="H4514" s="11"/>
      <c r="I4514" s="12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</row>
    <row r="4515" spans="1:34" ht="14.25" customHeight="1" x14ac:dyDescent="0.25">
      <c r="A4515" s="3"/>
      <c r="B4515" s="3"/>
      <c r="C4515" s="3"/>
      <c r="D4515" s="3"/>
      <c r="E4515" s="3"/>
      <c r="F4515" s="3"/>
      <c r="G4515" s="3"/>
      <c r="H4515" s="11"/>
      <c r="I4515" s="12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</row>
    <row r="4516" spans="1:34" ht="14.25" customHeight="1" x14ac:dyDescent="0.25">
      <c r="A4516" s="3"/>
      <c r="B4516" s="3"/>
      <c r="C4516" s="3"/>
      <c r="D4516" s="3"/>
      <c r="E4516" s="3"/>
      <c r="F4516" s="3"/>
      <c r="G4516" s="3"/>
      <c r="H4516" s="11"/>
      <c r="I4516" s="12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</row>
    <row r="4517" spans="1:34" ht="14.25" customHeight="1" x14ac:dyDescent="0.25">
      <c r="A4517" s="3"/>
      <c r="B4517" s="3"/>
      <c r="C4517" s="3"/>
      <c r="D4517" s="3"/>
      <c r="E4517" s="3"/>
      <c r="F4517" s="3"/>
      <c r="G4517" s="3"/>
      <c r="H4517" s="11"/>
      <c r="I4517" s="12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</row>
    <row r="4518" spans="1:34" ht="14.25" customHeight="1" x14ac:dyDescent="0.25">
      <c r="A4518" s="3"/>
      <c r="B4518" s="3"/>
      <c r="C4518" s="3"/>
      <c r="D4518" s="3"/>
      <c r="E4518" s="3"/>
      <c r="F4518" s="3"/>
      <c r="G4518" s="3"/>
      <c r="H4518" s="11"/>
      <c r="I4518" s="12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</row>
    <row r="4519" spans="1:34" ht="14.25" customHeight="1" x14ac:dyDescent="0.25">
      <c r="A4519" s="3"/>
      <c r="B4519" s="3"/>
      <c r="C4519" s="3"/>
      <c r="D4519" s="3"/>
      <c r="E4519" s="3"/>
      <c r="F4519" s="3"/>
      <c r="G4519" s="3"/>
      <c r="H4519" s="11"/>
      <c r="I4519" s="12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</row>
    <row r="4520" spans="1:34" ht="14.25" customHeight="1" x14ac:dyDescent="0.25">
      <c r="A4520" s="3"/>
      <c r="B4520" s="3"/>
      <c r="C4520" s="3"/>
      <c r="D4520" s="3"/>
      <c r="E4520" s="3"/>
      <c r="F4520" s="3"/>
      <c r="G4520" s="3"/>
      <c r="H4520" s="11"/>
      <c r="I4520" s="12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</row>
    <row r="4521" spans="1:34" ht="14.25" customHeight="1" x14ac:dyDescent="0.25">
      <c r="A4521" s="3"/>
      <c r="B4521" s="3"/>
      <c r="C4521" s="3"/>
      <c r="D4521" s="3"/>
      <c r="E4521" s="3"/>
      <c r="F4521" s="3"/>
      <c r="G4521" s="3"/>
      <c r="H4521" s="11"/>
      <c r="I4521" s="12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</row>
    <row r="4522" spans="1:34" ht="14.25" customHeight="1" x14ac:dyDescent="0.25">
      <c r="A4522" s="3"/>
      <c r="B4522" s="3"/>
      <c r="C4522" s="3"/>
      <c r="D4522" s="3"/>
      <c r="E4522" s="3"/>
      <c r="F4522" s="3"/>
      <c r="G4522" s="3"/>
      <c r="H4522" s="11"/>
      <c r="I4522" s="12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</row>
    <row r="4523" spans="1:34" ht="14.25" customHeight="1" x14ac:dyDescent="0.25">
      <c r="A4523" s="3"/>
      <c r="B4523" s="3"/>
      <c r="C4523" s="3"/>
      <c r="D4523" s="3"/>
      <c r="E4523" s="3"/>
      <c r="F4523" s="3"/>
      <c r="G4523" s="3"/>
      <c r="H4523" s="11"/>
      <c r="I4523" s="12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</row>
    <row r="4524" spans="1:34" ht="14.25" customHeight="1" x14ac:dyDescent="0.25">
      <c r="A4524" s="3"/>
      <c r="B4524" s="3"/>
      <c r="C4524" s="3"/>
      <c r="D4524" s="3"/>
      <c r="E4524" s="3"/>
      <c r="F4524" s="3"/>
      <c r="G4524" s="3"/>
      <c r="H4524" s="11"/>
      <c r="I4524" s="12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</row>
    <row r="4525" spans="1:34" ht="14.25" customHeight="1" x14ac:dyDescent="0.25">
      <c r="A4525" s="3"/>
      <c r="B4525" s="3"/>
      <c r="C4525" s="3"/>
      <c r="D4525" s="3"/>
      <c r="E4525" s="3"/>
      <c r="F4525" s="3"/>
      <c r="G4525" s="3"/>
      <c r="H4525" s="11"/>
      <c r="I4525" s="12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</row>
    <row r="4526" spans="1:34" ht="14.25" customHeight="1" x14ac:dyDescent="0.25">
      <c r="A4526" s="3"/>
      <c r="B4526" s="3"/>
      <c r="C4526" s="3"/>
      <c r="D4526" s="3"/>
      <c r="E4526" s="3"/>
      <c r="F4526" s="3"/>
      <c r="G4526" s="3"/>
      <c r="H4526" s="11"/>
      <c r="I4526" s="12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</row>
    <row r="4527" spans="1:34" ht="14.25" customHeight="1" x14ac:dyDescent="0.25">
      <c r="A4527" s="3"/>
      <c r="B4527" s="3"/>
      <c r="C4527" s="3"/>
      <c r="D4527" s="3"/>
      <c r="E4527" s="3"/>
      <c r="F4527" s="3"/>
      <c r="G4527" s="3"/>
      <c r="H4527" s="11"/>
      <c r="I4527" s="12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</row>
    <row r="4528" spans="1:34" ht="14.25" customHeight="1" x14ac:dyDescent="0.25">
      <c r="A4528" s="3"/>
      <c r="B4528" s="3"/>
      <c r="C4528" s="3"/>
      <c r="D4528" s="3"/>
      <c r="E4528" s="3"/>
      <c r="F4528" s="3"/>
      <c r="G4528" s="3"/>
      <c r="H4528" s="11"/>
      <c r="I4528" s="12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</row>
    <row r="4529" spans="1:34" ht="14.25" customHeight="1" x14ac:dyDescent="0.25">
      <c r="A4529" s="3"/>
      <c r="B4529" s="3"/>
      <c r="C4529" s="3"/>
      <c r="D4529" s="3"/>
      <c r="E4529" s="3"/>
      <c r="F4529" s="3"/>
      <c r="G4529" s="3"/>
      <c r="H4529" s="11"/>
      <c r="I4529" s="12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</row>
    <row r="4530" spans="1:34" ht="14.25" customHeight="1" x14ac:dyDescent="0.25">
      <c r="A4530" s="3"/>
      <c r="B4530" s="3"/>
      <c r="C4530" s="3"/>
      <c r="D4530" s="3"/>
      <c r="E4530" s="3"/>
      <c r="F4530" s="3"/>
      <c r="G4530" s="3"/>
      <c r="H4530" s="11"/>
      <c r="I4530" s="12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</row>
    <row r="4531" spans="1:34" ht="14.25" customHeight="1" x14ac:dyDescent="0.25">
      <c r="A4531" s="3"/>
      <c r="B4531" s="3"/>
      <c r="C4531" s="3"/>
      <c r="D4531" s="3"/>
      <c r="E4531" s="3"/>
      <c r="F4531" s="3"/>
      <c r="G4531" s="3"/>
      <c r="H4531" s="11"/>
      <c r="I4531" s="12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</row>
    <row r="4532" spans="1:34" ht="14.25" customHeight="1" x14ac:dyDescent="0.25">
      <c r="A4532" s="3"/>
      <c r="B4532" s="3"/>
      <c r="C4532" s="3"/>
      <c r="D4532" s="3"/>
      <c r="E4532" s="3"/>
      <c r="F4532" s="3"/>
      <c r="G4532" s="3"/>
      <c r="H4532" s="11"/>
      <c r="I4532" s="12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</row>
    <row r="4533" spans="1:34" ht="14.25" customHeight="1" x14ac:dyDescent="0.25">
      <c r="A4533" s="3"/>
      <c r="B4533" s="3"/>
      <c r="C4533" s="3"/>
      <c r="D4533" s="3"/>
      <c r="E4533" s="3"/>
      <c r="F4533" s="3"/>
      <c r="G4533" s="3"/>
      <c r="H4533" s="11"/>
      <c r="I4533" s="12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</row>
    <row r="4534" spans="1:34" ht="14.25" customHeight="1" x14ac:dyDescent="0.25">
      <c r="A4534" s="3"/>
      <c r="B4534" s="3"/>
      <c r="C4534" s="3"/>
      <c r="D4534" s="3"/>
      <c r="E4534" s="3"/>
      <c r="F4534" s="3"/>
      <c r="G4534" s="3"/>
      <c r="H4534" s="11"/>
      <c r="I4534" s="12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</row>
    <row r="4535" spans="1:34" ht="14.25" customHeight="1" x14ac:dyDescent="0.25">
      <c r="A4535" s="3"/>
      <c r="B4535" s="3"/>
      <c r="C4535" s="3"/>
      <c r="D4535" s="3"/>
      <c r="E4535" s="3"/>
      <c r="F4535" s="3"/>
      <c r="G4535" s="3"/>
      <c r="H4535" s="11"/>
      <c r="I4535" s="12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</row>
    <row r="4536" spans="1:34" ht="14.25" customHeight="1" x14ac:dyDescent="0.25">
      <c r="A4536" s="3"/>
      <c r="B4536" s="3"/>
      <c r="C4536" s="3"/>
      <c r="D4536" s="3"/>
      <c r="E4536" s="3"/>
      <c r="F4536" s="3"/>
      <c r="G4536" s="3"/>
      <c r="H4536" s="11"/>
      <c r="I4536" s="12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</row>
    <row r="4537" spans="1:34" ht="14.25" customHeight="1" x14ac:dyDescent="0.25">
      <c r="A4537" s="3"/>
      <c r="B4537" s="3"/>
      <c r="C4537" s="3"/>
      <c r="D4537" s="3"/>
      <c r="E4537" s="3"/>
      <c r="F4537" s="3"/>
      <c r="G4537" s="3"/>
      <c r="H4537" s="11"/>
      <c r="I4537" s="12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</row>
    <row r="4538" spans="1:34" ht="14.25" customHeight="1" x14ac:dyDescent="0.25">
      <c r="A4538" s="3"/>
      <c r="B4538" s="3"/>
      <c r="C4538" s="3"/>
      <c r="D4538" s="3"/>
      <c r="E4538" s="3"/>
      <c r="F4538" s="3"/>
      <c r="G4538" s="3"/>
      <c r="H4538" s="11"/>
      <c r="I4538" s="12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</row>
    <row r="4539" spans="1:34" ht="14.25" customHeight="1" x14ac:dyDescent="0.25">
      <c r="A4539" s="3"/>
      <c r="B4539" s="3"/>
      <c r="C4539" s="3"/>
      <c r="D4539" s="3"/>
      <c r="E4539" s="3"/>
      <c r="F4539" s="3"/>
      <c r="G4539" s="3"/>
      <c r="H4539" s="11"/>
      <c r="I4539" s="12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</row>
    <row r="4540" spans="1:34" ht="14.25" customHeight="1" x14ac:dyDescent="0.25">
      <c r="A4540" s="3"/>
      <c r="B4540" s="3"/>
      <c r="C4540" s="3"/>
      <c r="D4540" s="3"/>
      <c r="E4540" s="3"/>
      <c r="F4540" s="3"/>
      <c r="G4540" s="3"/>
      <c r="H4540" s="11"/>
      <c r="I4540" s="12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</row>
    <row r="4541" spans="1:34" ht="14.25" customHeight="1" x14ac:dyDescent="0.25">
      <c r="A4541" s="3"/>
      <c r="B4541" s="3"/>
      <c r="C4541" s="3"/>
      <c r="D4541" s="3"/>
      <c r="E4541" s="3"/>
      <c r="F4541" s="3"/>
      <c r="G4541" s="3"/>
      <c r="H4541" s="11"/>
      <c r="I4541" s="12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</row>
    <row r="4542" spans="1:34" ht="14.25" customHeight="1" x14ac:dyDescent="0.25">
      <c r="A4542" s="3"/>
      <c r="B4542" s="3"/>
      <c r="C4542" s="3"/>
      <c r="D4542" s="3"/>
      <c r="E4542" s="3"/>
      <c r="F4542" s="3"/>
      <c r="G4542" s="3"/>
      <c r="H4542" s="11"/>
      <c r="I4542" s="12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</row>
    <row r="4543" spans="1:34" ht="14.25" customHeight="1" x14ac:dyDescent="0.25">
      <c r="A4543" s="3"/>
      <c r="B4543" s="3"/>
      <c r="C4543" s="3"/>
      <c r="D4543" s="3"/>
      <c r="E4543" s="3"/>
      <c r="F4543" s="3"/>
      <c r="G4543" s="3"/>
      <c r="H4543" s="11"/>
      <c r="I4543" s="12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</row>
    <row r="4544" spans="1:34" ht="14.25" customHeight="1" x14ac:dyDescent="0.25">
      <c r="A4544" s="3"/>
      <c r="B4544" s="3"/>
      <c r="C4544" s="3"/>
      <c r="D4544" s="3"/>
      <c r="E4544" s="3"/>
      <c r="F4544" s="3"/>
      <c r="G4544" s="3"/>
      <c r="H4544" s="11"/>
      <c r="I4544" s="12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</row>
    <row r="4545" spans="1:34" ht="14.25" customHeight="1" x14ac:dyDescent="0.25">
      <c r="A4545" s="3"/>
      <c r="B4545" s="3"/>
      <c r="C4545" s="3"/>
      <c r="D4545" s="3"/>
      <c r="E4545" s="3"/>
      <c r="F4545" s="3"/>
      <c r="G4545" s="3"/>
      <c r="H4545" s="11"/>
      <c r="I4545" s="12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</row>
    <row r="4546" spans="1:34" ht="14.25" customHeight="1" x14ac:dyDescent="0.25">
      <c r="A4546" s="3"/>
      <c r="B4546" s="3"/>
      <c r="C4546" s="3"/>
      <c r="D4546" s="3"/>
      <c r="E4546" s="3"/>
      <c r="F4546" s="3"/>
      <c r="G4546" s="3"/>
      <c r="H4546" s="11"/>
      <c r="I4546" s="12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</row>
    <row r="4547" spans="1:34" ht="14.25" customHeight="1" x14ac:dyDescent="0.25">
      <c r="A4547" s="3"/>
      <c r="B4547" s="3"/>
      <c r="C4547" s="3"/>
      <c r="D4547" s="3"/>
      <c r="E4547" s="3"/>
      <c r="F4547" s="3"/>
      <c r="G4547" s="3"/>
      <c r="H4547" s="11"/>
      <c r="I4547" s="12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</row>
    <row r="4548" spans="1:34" ht="14.25" customHeight="1" x14ac:dyDescent="0.25">
      <c r="A4548" s="3"/>
      <c r="B4548" s="3"/>
      <c r="C4548" s="3"/>
      <c r="D4548" s="3"/>
      <c r="E4548" s="3"/>
      <c r="F4548" s="3"/>
      <c r="G4548" s="3"/>
      <c r="H4548" s="11"/>
      <c r="I4548" s="12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</row>
    <row r="4549" spans="1:34" ht="14.25" customHeight="1" x14ac:dyDescent="0.25">
      <c r="A4549" s="3"/>
      <c r="B4549" s="3"/>
      <c r="C4549" s="3"/>
      <c r="D4549" s="3"/>
      <c r="E4549" s="3"/>
      <c r="F4549" s="3"/>
      <c r="G4549" s="3"/>
      <c r="H4549" s="11"/>
      <c r="I4549" s="12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</row>
    <row r="4550" spans="1:34" ht="14.25" customHeight="1" x14ac:dyDescent="0.25">
      <c r="A4550" s="3"/>
      <c r="B4550" s="3"/>
      <c r="C4550" s="3"/>
      <c r="D4550" s="3"/>
      <c r="E4550" s="3"/>
      <c r="F4550" s="3"/>
      <c r="G4550" s="3"/>
      <c r="H4550" s="11"/>
      <c r="I4550" s="12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</row>
    <row r="4551" spans="1:34" ht="14.25" customHeight="1" x14ac:dyDescent="0.25">
      <c r="A4551" s="3"/>
      <c r="B4551" s="3"/>
      <c r="C4551" s="3"/>
      <c r="D4551" s="3"/>
      <c r="E4551" s="3"/>
      <c r="F4551" s="3"/>
      <c r="G4551" s="3"/>
      <c r="H4551" s="11"/>
      <c r="I4551" s="12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</row>
    <row r="4552" spans="1:34" ht="14.25" customHeight="1" x14ac:dyDescent="0.25">
      <c r="A4552" s="3"/>
      <c r="B4552" s="3"/>
      <c r="C4552" s="3"/>
      <c r="D4552" s="3"/>
      <c r="E4552" s="3"/>
      <c r="F4552" s="3"/>
      <c r="G4552" s="3"/>
      <c r="H4552" s="11"/>
      <c r="I4552" s="12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</row>
    <row r="4553" spans="1:34" ht="14.25" customHeight="1" x14ac:dyDescent="0.25">
      <c r="A4553" s="3"/>
      <c r="B4553" s="3"/>
      <c r="C4553" s="3"/>
      <c r="D4553" s="3"/>
      <c r="E4553" s="3"/>
      <c r="F4553" s="3"/>
      <c r="G4553" s="3"/>
      <c r="H4553" s="11"/>
      <c r="I4553" s="12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</row>
    <row r="4554" spans="1:34" ht="14.25" customHeight="1" x14ac:dyDescent="0.25">
      <c r="A4554" s="3"/>
      <c r="B4554" s="3"/>
      <c r="C4554" s="3"/>
      <c r="D4554" s="3"/>
      <c r="E4554" s="3"/>
      <c r="F4554" s="3"/>
      <c r="G4554" s="3"/>
      <c r="H4554" s="11"/>
      <c r="I4554" s="12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</row>
    <row r="4555" spans="1:34" ht="14.25" customHeight="1" x14ac:dyDescent="0.25">
      <c r="A4555" s="3"/>
      <c r="B4555" s="3"/>
      <c r="C4555" s="3"/>
      <c r="D4555" s="3"/>
      <c r="E4555" s="3"/>
      <c r="F4555" s="3"/>
      <c r="G4555" s="3"/>
      <c r="H4555" s="11"/>
      <c r="I4555" s="12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</row>
    <row r="4556" spans="1:34" ht="14.25" customHeight="1" x14ac:dyDescent="0.25">
      <c r="A4556" s="3"/>
      <c r="B4556" s="3"/>
      <c r="C4556" s="3"/>
      <c r="D4556" s="3"/>
      <c r="E4556" s="3"/>
      <c r="F4556" s="3"/>
      <c r="G4556" s="3"/>
      <c r="H4556" s="11"/>
      <c r="I4556" s="12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</row>
    <row r="4557" spans="1:34" ht="14.25" customHeight="1" x14ac:dyDescent="0.25">
      <c r="A4557" s="3"/>
      <c r="B4557" s="3"/>
      <c r="C4557" s="3"/>
      <c r="D4557" s="3"/>
      <c r="E4557" s="3"/>
      <c r="F4557" s="3"/>
      <c r="G4557" s="3"/>
      <c r="H4557" s="11"/>
      <c r="I4557" s="12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</row>
    <row r="4558" spans="1:34" ht="14.25" customHeight="1" x14ac:dyDescent="0.25">
      <c r="A4558" s="3"/>
      <c r="B4558" s="3"/>
      <c r="C4558" s="3"/>
      <c r="D4558" s="3"/>
      <c r="E4558" s="3"/>
      <c r="F4558" s="3"/>
      <c r="G4558" s="3"/>
      <c r="H4558" s="11"/>
      <c r="I4558" s="12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</row>
    <row r="4559" spans="1:34" ht="14.25" customHeight="1" x14ac:dyDescent="0.25">
      <c r="A4559" s="3"/>
      <c r="B4559" s="3"/>
      <c r="C4559" s="3"/>
      <c r="D4559" s="3"/>
      <c r="E4559" s="3"/>
      <c r="F4559" s="3"/>
      <c r="G4559" s="3"/>
      <c r="H4559" s="11"/>
      <c r="I4559" s="12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</row>
    <row r="4560" spans="1:34" ht="14.25" customHeight="1" x14ac:dyDescent="0.25">
      <c r="A4560" s="3"/>
      <c r="B4560" s="3"/>
      <c r="C4560" s="3"/>
      <c r="D4560" s="3"/>
      <c r="E4560" s="3"/>
      <c r="F4560" s="3"/>
      <c r="G4560" s="3"/>
      <c r="H4560" s="11"/>
      <c r="I4560" s="12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</row>
    <row r="4561" spans="1:34" ht="14.25" customHeight="1" x14ac:dyDescent="0.25">
      <c r="A4561" s="3"/>
      <c r="B4561" s="3"/>
      <c r="C4561" s="3"/>
      <c r="D4561" s="3"/>
      <c r="E4561" s="3"/>
      <c r="F4561" s="3"/>
      <c r="G4561" s="3"/>
      <c r="H4561" s="11"/>
      <c r="I4561" s="12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</row>
    <row r="4562" spans="1:34" ht="14.25" customHeight="1" x14ac:dyDescent="0.25">
      <c r="A4562" s="3"/>
      <c r="B4562" s="3"/>
      <c r="C4562" s="3"/>
      <c r="D4562" s="3"/>
      <c r="E4562" s="3"/>
      <c r="F4562" s="3"/>
      <c r="G4562" s="3"/>
      <c r="H4562" s="11"/>
      <c r="I4562" s="12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</row>
    <row r="4563" spans="1:34" ht="14.25" customHeight="1" x14ac:dyDescent="0.25">
      <c r="A4563" s="3"/>
      <c r="B4563" s="3"/>
      <c r="C4563" s="3"/>
      <c r="D4563" s="3"/>
      <c r="E4563" s="3"/>
      <c r="F4563" s="3"/>
      <c r="G4563" s="3"/>
      <c r="H4563" s="11"/>
      <c r="I4563" s="12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</row>
    <row r="4564" spans="1:34" ht="14.25" customHeight="1" x14ac:dyDescent="0.25">
      <c r="A4564" s="3"/>
      <c r="B4564" s="3"/>
      <c r="C4564" s="3"/>
      <c r="D4564" s="3"/>
      <c r="E4564" s="3"/>
      <c r="F4564" s="3"/>
      <c r="G4564" s="3"/>
      <c r="H4564" s="11"/>
      <c r="I4564" s="12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</row>
    <row r="4565" spans="1:34" ht="14.25" customHeight="1" x14ac:dyDescent="0.25">
      <c r="A4565" s="3"/>
      <c r="B4565" s="3"/>
      <c r="C4565" s="3"/>
      <c r="D4565" s="3"/>
      <c r="E4565" s="3"/>
      <c r="F4565" s="3"/>
      <c r="G4565" s="3"/>
      <c r="H4565" s="11"/>
      <c r="I4565" s="12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</row>
    <row r="4566" spans="1:34" ht="14.25" customHeight="1" x14ac:dyDescent="0.25">
      <c r="A4566" s="3"/>
      <c r="B4566" s="3"/>
      <c r="C4566" s="3"/>
      <c r="D4566" s="3"/>
      <c r="E4566" s="3"/>
      <c r="F4566" s="3"/>
      <c r="G4566" s="3"/>
      <c r="H4566" s="11"/>
      <c r="I4566" s="12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</row>
    <row r="4567" spans="1:34" ht="14.25" customHeight="1" x14ac:dyDescent="0.25">
      <c r="A4567" s="3"/>
      <c r="B4567" s="3"/>
      <c r="C4567" s="3"/>
      <c r="D4567" s="3"/>
      <c r="E4567" s="3"/>
      <c r="F4567" s="3"/>
      <c r="G4567" s="3"/>
      <c r="H4567" s="11"/>
      <c r="I4567" s="12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</row>
    <row r="4568" spans="1:34" ht="14.25" customHeight="1" x14ac:dyDescent="0.25">
      <c r="A4568" s="3"/>
      <c r="B4568" s="3"/>
      <c r="C4568" s="3"/>
      <c r="D4568" s="3"/>
      <c r="E4568" s="3"/>
      <c r="F4568" s="3"/>
      <c r="G4568" s="3"/>
      <c r="H4568" s="11"/>
      <c r="I4568" s="12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</row>
    <row r="4569" spans="1:34" ht="14.25" customHeight="1" x14ac:dyDescent="0.25">
      <c r="A4569" s="3"/>
      <c r="B4569" s="3"/>
      <c r="C4569" s="3"/>
      <c r="D4569" s="3"/>
      <c r="E4569" s="3"/>
      <c r="F4569" s="3"/>
      <c r="G4569" s="3"/>
      <c r="H4569" s="11"/>
      <c r="I4569" s="12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</row>
    <row r="4570" spans="1:34" ht="14.25" customHeight="1" x14ac:dyDescent="0.25">
      <c r="A4570" s="3"/>
      <c r="B4570" s="3"/>
      <c r="C4570" s="3"/>
      <c r="D4570" s="3"/>
      <c r="E4570" s="3"/>
      <c r="F4570" s="3"/>
      <c r="G4570" s="3"/>
      <c r="H4570" s="11"/>
      <c r="I4570" s="12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</row>
    <row r="4571" spans="1:34" ht="14.25" customHeight="1" x14ac:dyDescent="0.25">
      <c r="A4571" s="3"/>
      <c r="B4571" s="3"/>
      <c r="C4571" s="3"/>
      <c r="D4571" s="3"/>
      <c r="E4571" s="3"/>
      <c r="F4571" s="3"/>
      <c r="G4571" s="3"/>
      <c r="H4571" s="11"/>
      <c r="I4571" s="12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</row>
    <row r="4572" spans="1:34" ht="14.25" customHeight="1" x14ac:dyDescent="0.25">
      <c r="A4572" s="3"/>
      <c r="B4572" s="3"/>
      <c r="C4572" s="3"/>
      <c r="D4572" s="3"/>
      <c r="E4572" s="3"/>
      <c r="F4572" s="3"/>
      <c r="G4572" s="3"/>
      <c r="H4572" s="11"/>
      <c r="I4572" s="12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</row>
    <row r="4573" spans="1:34" ht="14.25" customHeight="1" x14ac:dyDescent="0.25">
      <c r="A4573" s="3"/>
      <c r="B4573" s="3"/>
      <c r="C4573" s="3"/>
      <c r="D4573" s="3"/>
      <c r="E4573" s="3"/>
      <c r="F4573" s="3"/>
      <c r="G4573" s="3"/>
      <c r="H4573" s="11"/>
      <c r="I4573" s="12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</row>
    <row r="4574" spans="1:34" ht="14.25" customHeight="1" x14ac:dyDescent="0.25">
      <c r="A4574" s="3"/>
      <c r="B4574" s="3"/>
      <c r="C4574" s="3"/>
      <c r="D4574" s="3"/>
      <c r="E4574" s="3"/>
      <c r="F4574" s="3"/>
      <c r="G4574" s="3"/>
      <c r="H4574" s="11"/>
      <c r="I4574" s="12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</row>
    <row r="4575" spans="1:34" ht="14.25" customHeight="1" x14ac:dyDescent="0.25">
      <c r="A4575" s="3"/>
      <c r="B4575" s="3"/>
      <c r="C4575" s="3"/>
      <c r="D4575" s="3"/>
      <c r="E4575" s="3"/>
      <c r="F4575" s="3"/>
      <c r="G4575" s="3"/>
      <c r="H4575" s="11"/>
      <c r="I4575" s="12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</row>
    <row r="4576" spans="1:34" ht="14.25" customHeight="1" x14ac:dyDescent="0.25">
      <c r="A4576" s="3"/>
      <c r="B4576" s="3"/>
      <c r="C4576" s="3"/>
      <c r="D4576" s="3"/>
      <c r="E4576" s="3"/>
      <c r="F4576" s="3"/>
      <c r="G4576" s="3"/>
      <c r="H4576" s="11"/>
      <c r="I4576" s="12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</row>
    <row r="4577" spans="1:34" ht="14.25" customHeight="1" x14ac:dyDescent="0.25">
      <c r="A4577" s="3"/>
      <c r="B4577" s="3"/>
      <c r="C4577" s="3"/>
      <c r="D4577" s="3"/>
      <c r="E4577" s="3"/>
      <c r="F4577" s="3"/>
      <c r="G4577" s="3"/>
      <c r="H4577" s="11"/>
      <c r="I4577" s="12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</row>
    <row r="4578" spans="1:34" ht="14.25" customHeight="1" x14ac:dyDescent="0.25">
      <c r="A4578" s="3"/>
      <c r="B4578" s="3"/>
      <c r="C4578" s="3"/>
      <c r="D4578" s="3"/>
      <c r="E4578" s="3"/>
      <c r="F4578" s="3"/>
      <c r="G4578" s="3"/>
      <c r="H4578" s="11"/>
      <c r="I4578" s="12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</row>
    <row r="4579" spans="1:34" ht="14.25" customHeight="1" x14ac:dyDescent="0.25">
      <c r="A4579" s="3"/>
      <c r="B4579" s="3"/>
      <c r="C4579" s="3"/>
      <c r="D4579" s="3"/>
      <c r="E4579" s="3"/>
      <c r="F4579" s="3"/>
      <c r="G4579" s="3"/>
      <c r="H4579" s="11"/>
      <c r="I4579" s="12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</row>
    <row r="4580" spans="1:34" ht="14.25" customHeight="1" x14ac:dyDescent="0.25">
      <c r="A4580" s="3"/>
      <c r="B4580" s="3"/>
      <c r="C4580" s="3"/>
      <c r="D4580" s="3"/>
      <c r="E4580" s="3"/>
      <c r="F4580" s="3"/>
      <c r="G4580" s="3"/>
      <c r="H4580" s="11"/>
      <c r="I4580" s="12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</row>
    <row r="4581" spans="1:34" ht="14.25" customHeight="1" x14ac:dyDescent="0.25">
      <c r="A4581" s="3"/>
      <c r="B4581" s="3"/>
      <c r="C4581" s="3"/>
      <c r="D4581" s="3"/>
      <c r="E4581" s="3"/>
      <c r="F4581" s="3"/>
      <c r="G4581" s="3"/>
      <c r="H4581" s="11"/>
      <c r="I4581" s="12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</row>
    <row r="4582" spans="1:34" ht="14.25" customHeight="1" x14ac:dyDescent="0.25">
      <c r="A4582" s="3"/>
      <c r="B4582" s="3"/>
      <c r="C4582" s="3"/>
      <c r="D4582" s="3"/>
      <c r="E4582" s="3"/>
      <c r="F4582" s="3"/>
      <c r="G4582" s="3"/>
      <c r="H4582" s="11"/>
      <c r="I4582" s="12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</row>
    <row r="4583" spans="1:34" ht="14.25" customHeight="1" x14ac:dyDescent="0.25">
      <c r="A4583" s="3"/>
      <c r="B4583" s="3"/>
      <c r="C4583" s="3"/>
      <c r="D4583" s="3"/>
      <c r="E4583" s="3"/>
      <c r="F4583" s="3"/>
      <c r="G4583" s="3"/>
      <c r="H4583" s="11"/>
      <c r="I4583" s="12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</row>
    <row r="4584" spans="1:34" ht="14.25" customHeight="1" x14ac:dyDescent="0.25">
      <c r="A4584" s="3"/>
      <c r="B4584" s="3"/>
      <c r="C4584" s="3"/>
      <c r="D4584" s="3"/>
      <c r="E4584" s="3"/>
      <c r="F4584" s="3"/>
      <c r="G4584" s="3"/>
      <c r="H4584" s="11"/>
      <c r="I4584" s="12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</row>
    <row r="4585" spans="1:34" ht="14.25" customHeight="1" x14ac:dyDescent="0.25">
      <c r="A4585" s="3"/>
      <c r="B4585" s="3"/>
      <c r="C4585" s="3"/>
      <c r="D4585" s="3"/>
      <c r="E4585" s="3"/>
      <c r="F4585" s="3"/>
      <c r="G4585" s="3"/>
      <c r="H4585" s="11"/>
      <c r="I4585" s="12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</row>
    <row r="4586" spans="1:34" ht="14.25" customHeight="1" x14ac:dyDescent="0.25">
      <c r="A4586" s="3"/>
      <c r="B4586" s="3"/>
      <c r="C4586" s="3"/>
      <c r="D4586" s="3"/>
      <c r="E4586" s="3"/>
      <c r="F4586" s="3"/>
      <c r="G4586" s="3"/>
      <c r="H4586" s="11"/>
      <c r="I4586" s="12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</row>
    <row r="4587" spans="1:34" ht="14.25" customHeight="1" x14ac:dyDescent="0.25">
      <c r="A4587" s="3"/>
      <c r="B4587" s="3"/>
      <c r="C4587" s="3"/>
      <c r="D4587" s="3"/>
      <c r="E4587" s="3"/>
      <c r="F4587" s="3"/>
      <c r="G4587" s="3"/>
      <c r="H4587" s="11"/>
      <c r="I4587" s="12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</row>
    <row r="4588" spans="1:34" ht="14.25" customHeight="1" x14ac:dyDescent="0.25">
      <c r="A4588" s="3"/>
      <c r="B4588" s="3"/>
      <c r="C4588" s="3"/>
      <c r="D4588" s="3"/>
      <c r="E4588" s="3"/>
      <c r="F4588" s="3"/>
      <c r="G4588" s="3"/>
      <c r="H4588" s="11"/>
      <c r="I4588" s="12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</row>
    <row r="4589" spans="1:34" ht="14.25" customHeight="1" x14ac:dyDescent="0.25">
      <c r="A4589" s="3"/>
      <c r="B4589" s="3"/>
      <c r="C4589" s="3"/>
      <c r="D4589" s="3"/>
      <c r="E4589" s="3"/>
      <c r="F4589" s="3"/>
      <c r="G4589" s="3"/>
      <c r="H4589" s="11"/>
      <c r="I4589" s="12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</row>
    <row r="4590" spans="1:34" ht="14.25" customHeight="1" x14ac:dyDescent="0.25">
      <c r="A4590" s="3"/>
      <c r="B4590" s="3"/>
      <c r="C4590" s="3"/>
      <c r="D4590" s="3"/>
      <c r="E4590" s="3"/>
      <c r="F4590" s="3"/>
      <c r="G4590" s="3"/>
      <c r="H4590" s="11"/>
      <c r="I4590" s="12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</row>
    <row r="4591" spans="1:34" ht="14.25" customHeight="1" x14ac:dyDescent="0.25">
      <c r="A4591" s="3"/>
      <c r="B4591" s="3"/>
      <c r="C4591" s="3"/>
      <c r="D4591" s="3"/>
      <c r="E4591" s="3"/>
      <c r="F4591" s="3"/>
      <c r="G4591" s="3"/>
      <c r="H4591" s="11"/>
      <c r="I4591" s="12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</row>
    <row r="4592" spans="1:34" ht="14.25" customHeight="1" x14ac:dyDescent="0.25">
      <c r="A4592" s="3"/>
      <c r="B4592" s="3"/>
      <c r="C4592" s="3"/>
      <c r="D4592" s="3"/>
      <c r="E4592" s="3"/>
      <c r="F4592" s="3"/>
      <c r="G4592" s="3"/>
      <c r="H4592" s="11"/>
      <c r="I4592" s="12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</row>
    <row r="4593" spans="1:34" ht="14.25" customHeight="1" x14ac:dyDescent="0.25">
      <c r="A4593" s="3"/>
      <c r="B4593" s="3"/>
      <c r="C4593" s="3"/>
      <c r="D4593" s="3"/>
      <c r="E4593" s="3"/>
      <c r="F4593" s="3"/>
      <c r="G4593" s="3"/>
      <c r="H4593" s="11"/>
      <c r="I4593" s="12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</row>
    <row r="4594" spans="1:34" ht="14.25" customHeight="1" x14ac:dyDescent="0.25">
      <c r="A4594" s="3"/>
      <c r="B4594" s="3"/>
      <c r="C4594" s="3"/>
      <c r="D4594" s="3"/>
      <c r="E4594" s="3"/>
      <c r="F4594" s="3"/>
      <c r="G4594" s="3"/>
      <c r="H4594" s="11"/>
      <c r="I4594" s="12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</row>
    <row r="4595" spans="1:34" ht="14.25" customHeight="1" x14ac:dyDescent="0.25">
      <c r="A4595" s="3"/>
      <c r="B4595" s="3"/>
      <c r="C4595" s="3"/>
      <c r="D4595" s="3"/>
      <c r="E4595" s="3"/>
      <c r="F4595" s="3"/>
      <c r="G4595" s="3"/>
      <c r="H4595" s="11"/>
      <c r="I4595" s="12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</row>
    <row r="4596" spans="1:34" ht="14.25" customHeight="1" x14ac:dyDescent="0.25">
      <c r="A4596" s="3"/>
      <c r="B4596" s="3"/>
      <c r="C4596" s="3"/>
      <c r="D4596" s="3"/>
      <c r="E4596" s="3"/>
      <c r="F4596" s="3"/>
      <c r="G4596" s="3"/>
      <c r="H4596" s="11"/>
      <c r="I4596" s="12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</row>
    <row r="4597" spans="1:34" ht="14.25" customHeight="1" x14ac:dyDescent="0.25">
      <c r="A4597" s="3"/>
      <c r="B4597" s="3"/>
      <c r="C4597" s="3"/>
      <c r="D4597" s="3"/>
      <c r="E4597" s="3"/>
      <c r="F4597" s="3"/>
      <c r="G4597" s="3"/>
      <c r="H4597" s="11"/>
      <c r="I4597" s="12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</row>
    <row r="4598" spans="1:34" ht="14.25" customHeight="1" x14ac:dyDescent="0.25">
      <c r="A4598" s="3"/>
      <c r="B4598" s="3"/>
      <c r="C4598" s="3"/>
      <c r="D4598" s="3"/>
      <c r="E4598" s="3"/>
      <c r="F4598" s="3"/>
      <c r="G4598" s="3"/>
      <c r="H4598" s="11"/>
      <c r="I4598" s="12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</row>
    <row r="4599" spans="1:34" ht="14.25" customHeight="1" x14ac:dyDescent="0.25">
      <c r="A4599" s="3"/>
      <c r="B4599" s="3"/>
      <c r="C4599" s="3"/>
      <c r="D4599" s="3"/>
      <c r="E4599" s="3"/>
      <c r="F4599" s="3"/>
      <c r="G4599" s="3"/>
      <c r="H4599" s="11"/>
      <c r="I4599" s="12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</row>
    <row r="4600" spans="1:34" ht="14.25" customHeight="1" x14ac:dyDescent="0.25">
      <c r="A4600" s="3"/>
      <c r="B4600" s="3"/>
      <c r="C4600" s="3"/>
      <c r="D4600" s="3"/>
      <c r="E4600" s="3"/>
      <c r="F4600" s="3"/>
      <c r="G4600" s="3"/>
      <c r="H4600" s="11"/>
      <c r="I4600" s="12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</row>
    <row r="4601" spans="1:34" ht="14.25" customHeight="1" x14ac:dyDescent="0.25">
      <c r="A4601" s="3"/>
      <c r="B4601" s="3"/>
      <c r="C4601" s="3"/>
      <c r="D4601" s="3"/>
      <c r="E4601" s="3"/>
      <c r="F4601" s="3"/>
      <c r="G4601" s="3"/>
      <c r="H4601" s="11"/>
      <c r="I4601" s="12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</row>
    <row r="4602" spans="1:34" ht="14.25" customHeight="1" x14ac:dyDescent="0.25">
      <c r="A4602" s="3"/>
      <c r="B4602" s="3"/>
      <c r="C4602" s="3"/>
      <c r="D4602" s="3"/>
      <c r="E4602" s="3"/>
      <c r="F4602" s="3"/>
      <c r="G4602" s="3"/>
      <c r="H4602" s="11"/>
      <c r="I4602" s="12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</row>
    <row r="4603" spans="1:34" ht="14.25" customHeight="1" x14ac:dyDescent="0.25">
      <c r="A4603" s="3"/>
      <c r="B4603" s="3"/>
      <c r="C4603" s="3"/>
      <c r="D4603" s="3"/>
      <c r="E4603" s="3"/>
      <c r="F4603" s="3"/>
      <c r="G4603" s="3"/>
      <c r="H4603" s="11"/>
      <c r="I4603" s="12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</row>
    <row r="4604" spans="1:34" ht="14.25" customHeight="1" x14ac:dyDescent="0.25">
      <c r="A4604" s="3"/>
      <c r="B4604" s="3"/>
      <c r="C4604" s="3"/>
      <c r="D4604" s="3"/>
      <c r="E4604" s="3"/>
      <c r="F4604" s="3"/>
      <c r="G4604" s="3"/>
      <c r="H4604" s="11"/>
      <c r="I4604" s="12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</row>
    <row r="4605" spans="1:34" ht="14.25" customHeight="1" x14ac:dyDescent="0.25">
      <c r="A4605" s="3"/>
      <c r="B4605" s="3"/>
      <c r="C4605" s="3"/>
      <c r="D4605" s="3"/>
      <c r="E4605" s="3"/>
      <c r="F4605" s="3"/>
      <c r="G4605" s="3"/>
      <c r="H4605" s="11"/>
      <c r="I4605" s="12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</row>
    <row r="4606" spans="1:34" ht="14.25" customHeight="1" x14ac:dyDescent="0.25">
      <c r="A4606" s="3"/>
      <c r="B4606" s="3"/>
      <c r="C4606" s="3"/>
      <c r="D4606" s="3"/>
      <c r="E4606" s="3"/>
      <c r="F4606" s="3"/>
      <c r="G4606" s="3"/>
      <c r="H4606" s="11"/>
      <c r="I4606" s="12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</row>
    <row r="4607" spans="1:34" ht="14.25" customHeight="1" x14ac:dyDescent="0.25">
      <c r="A4607" s="3"/>
      <c r="B4607" s="3"/>
      <c r="C4607" s="3"/>
      <c r="D4607" s="3"/>
      <c r="E4607" s="3"/>
      <c r="F4607" s="3"/>
      <c r="G4607" s="3"/>
      <c r="H4607" s="11"/>
      <c r="I4607" s="12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</row>
    <row r="4608" spans="1:34" ht="14.25" customHeight="1" x14ac:dyDescent="0.25">
      <c r="A4608" s="3"/>
      <c r="B4608" s="3"/>
      <c r="C4608" s="3"/>
      <c r="D4608" s="3"/>
      <c r="E4608" s="3"/>
      <c r="F4608" s="3"/>
      <c r="G4608" s="3"/>
      <c r="H4608" s="11"/>
      <c r="I4608" s="12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</row>
    <row r="4609" spans="1:34" ht="14.25" customHeight="1" x14ac:dyDescent="0.25">
      <c r="A4609" s="3"/>
      <c r="B4609" s="3"/>
      <c r="C4609" s="3"/>
      <c r="D4609" s="3"/>
      <c r="E4609" s="3"/>
      <c r="F4609" s="3"/>
      <c r="G4609" s="3"/>
      <c r="H4609" s="11"/>
      <c r="I4609" s="12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</row>
    <row r="4610" spans="1:34" ht="14.25" customHeight="1" x14ac:dyDescent="0.25">
      <c r="A4610" s="3"/>
      <c r="B4610" s="3"/>
      <c r="C4610" s="3"/>
      <c r="D4610" s="3"/>
      <c r="E4610" s="3"/>
      <c r="F4610" s="3"/>
      <c r="G4610" s="3"/>
      <c r="H4610" s="11"/>
      <c r="I4610" s="12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</row>
    <row r="4611" spans="1:34" ht="14.25" customHeight="1" x14ac:dyDescent="0.25">
      <c r="A4611" s="3"/>
      <c r="B4611" s="3"/>
      <c r="C4611" s="3"/>
      <c r="D4611" s="3"/>
      <c r="E4611" s="3"/>
      <c r="F4611" s="3"/>
      <c r="G4611" s="3"/>
      <c r="H4611" s="11"/>
      <c r="I4611" s="12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</row>
    <row r="4612" spans="1:34" ht="14.25" customHeight="1" x14ac:dyDescent="0.25">
      <c r="A4612" s="3"/>
      <c r="B4612" s="3"/>
      <c r="C4612" s="3"/>
      <c r="D4612" s="3"/>
      <c r="E4612" s="3"/>
      <c r="F4612" s="3"/>
      <c r="G4612" s="3"/>
      <c r="H4612" s="11"/>
      <c r="I4612" s="12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</row>
    <row r="4613" spans="1:34" ht="14.25" customHeight="1" x14ac:dyDescent="0.25">
      <c r="A4613" s="3"/>
      <c r="B4613" s="3"/>
      <c r="C4613" s="3"/>
      <c r="D4613" s="3"/>
      <c r="E4613" s="3"/>
      <c r="F4613" s="3"/>
      <c r="G4613" s="3"/>
      <c r="H4613" s="11"/>
      <c r="I4613" s="12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</row>
    <row r="4614" spans="1:34" ht="14.25" customHeight="1" x14ac:dyDescent="0.25">
      <c r="A4614" s="3"/>
      <c r="B4614" s="3"/>
      <c r="C4614" s="3"/>
      <c r="D4614" s="3"/>
      <c r="E4614" s="3"/>
      <c r="F4614" s="3"/>
      <c r="G4614" s="3"/>
      <c r="H4614" s="11"/>
      <c r="I4614" s="12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</row>
    <row r="4615" spans="1:34" ht="14.25" customHeight="1" x14ac:dyDescent="0.25">
      <c r="A4615" s="3"/>
      <c r="B4615" s="3"/>
      <c r="C4615" s="3"/>
      <c r="D4615" s="3"/>
      <c r="E4615" s="3"/>
      <c r="F4615" s="3"/>
      <c r="G4615" s="3"/>
      <c r="H4615" s="11"/>
      <c r="I4615" s="12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</row>
    <row r="4616" spans="1:34" ht="14.25" customHeight="1" x14ac:dyDescent="0.25">
      <c r="A4616" s="3"/>
      <c r="B4616" s="3"/>
      <c r="C4616" s="3"/>
      <c r="D4616" s="3"/>
      <c r="E4616" s="3"/>
      <c r="F4616" s="3"/>
      <c r="G4616" s="3"/>
      <c r="H4616" s="11"/>
      <c r="I4616" s="12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</row>
    <row r="4617" spans="1:34" ht="14.25" customHeight="1" x14ac:dyDescent="0.25">
      <c r="A4617" s="3"/>
      <c r="B4617" s="3"/>
      <c r="C4617" s="3"/>
      <c r="D4617" s="3"/>
      <c r="E4617" s="3"/>
      <c r="F4617" s="3"/>
      <c r="G4617" s="3"/>
      <c r="H4617" s="11"/>
      <c r="I4617" s="12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</row>
    <row r="4618" spans="1:34" ht="14.25" customHeight="1" x14ac:dyDescent="0.25">
      <c r="A4618" s="3"/>
      <c r="B4618" s="3"/>
      <c r="C4618" s="3"/>
      <c r="D4618" s="3"/>
      <c r="E4618" s="3"/>
      <c r="F4618" s="3"/>
      <c r="G4618" s="3"/>
      <c r="H4618" s="11"/>
      <c r="I4618" s="12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</row>
    <row r="4619" spans="1:34" ht="14.25" customHeight="1" x14ac:dyDescent="0.25">
      <c r="A4619" s="3"/>
      <c r="B4619" s="3"/>
      <c r="C4619" s="3"/>
      <c r="D4619" s="3"/>
      <c r="E4619" s="3"/>
      <c r="F4619" s="3"/>
      <c r="G4619" s="3"/>
      <c r="H4619" s="11"/>
      <c r="I4619" s="12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</row>
    <row r="4620" spans="1:34" ht="14.25" customHeight="1" x14ac:dyDescent="0.25">
      <c r="A4620" s="3"/>
      <c r="B4620" s="3"/>
      <c r="C4620" s="3"/>
      <c r="D4620" s="3"/>
      <c r="E4620" s="3"/>
      <c r="F4620" s="3"/>
      <c r="G4620" s="3"/>
      <c r="H4620" s="11"/>
      <c r="I4620" s="12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</row>
    <row r="4621" spans="1:34" ht="14.25" customHeight="1" x14ac:dyDescent="0.25">
      <c r="A4621" s="3"/>
      <c r="B4621" s="3"/>
      <c r="C4621" s="3"/>
      <c r="D4621" s="3"/>
      <c r="E4621" s="3"/>
      <c r="F4621" s="3"/>
      <c r="G4621" s="3"/>
      <c r="H4621" s="11"/>
      <c r="I4621" s="12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</row>
    <row r="4622" spans="1:34" ht="14.25" customHeight="1" x14ac:dyDescent="0.25">
      <c r="A4622" s="3"/>
      <c r="B4622" s="3"/>
      <c r="C4622" s="3"/>
      <c r="D4622" s="3"/>
      <c r="E4622" s="3"/>
      <c r="F4622" s="3"/>
      <c r="G4622" s="3"/>
      <c r="H4622" s="11"/>
      <c r="I4622" s="12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</row>
    <row r="4623" spans="1:34" ht="14.25" customHeight="1" x14ac:dyDescent="0.25">
      <c r="A4623" s="3"/>
      <c r="B4623" s="3"/>
      <c r="C4623" s="3"/>
      <c r="D4623" s="3"/>
      <c r="E4623" s="3"/>
      <c r="F4623" s="3"/>
      <c r="G4623" s="3"/>
      <c r="H4623" s="11"/>
      <c r="I4623" s="12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</row>
    <row r="4624" spans="1:34" ht="14.25" customHeight="1" x14ac:dyDescent="0.25">
      <c r="A4624" s="3"/>
      <c r="B4624" s="3"/>
      <c r="C4624" s="3"/>
      <c r="D4624" s="3"/>
      <c r="E4624" s="3"/>
      <c r="F4624" s="3"/>
      <c r="G4624" s="3"/>
      <c r="H4624" s="11"/>
      <c r="I4624" s="12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</row>
    <row r="4625" spans="1:34" ht="14.25" customHeight="1" x14ac:dyDescent="0.25">
      <c r="A4625" s="3"/>
      <c r="B4625" s="3"/>
      <c r="C4625" s="3"/>
      <c r="D4625" s="3"/>
      <c r="E4625" s="3"/>
      <c r="F4625" s="3"/>
      <c r="G4625" s="3"/>
      <c r="H4625" s="11"/>
      <c r="I4625" s="12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</row>
    <row r="4626" spans="1:34" ht="14.25" customHeight="1" x14ac:dyDescent="0.25">
      <c r="A4626" s="3"/>
      <c r="B4626" s="3"/>
      <c r="C4626" s="3"/>
      <c r="D4626" s="3"/>
      <c r="E4626" s="3"/>
      <c r="F4626" s="3"/>
      <c r="G4626" s="3"/>
      <c r="H4626" s="11"/>
      <c r="I4626" s="12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</row>
    <row r="4627" spans="1:34" ht="14.25" customHeight="1" x14ac:dyDescent="0.25">
      <c r="A4627" s="3"/>
      <c r="B4627" s="3"/>
      <c r="C4627" s="3"/>
      <c r="D4627" s="3"/>
      <c r="E4627" s="3"/>
      <c r="F4627" s="3"/>
      <c r="G4627" s="3"/>
      <c r="H4627" s="11"/>
      <c r="I4627" s="12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</row>
    <row r="4628" spans="1:34" ht="14.25" customHeight="1" x14ac:dyDescent="0.25">
      <c r="A4628" s="3"/>
      <c r="B4628" s="3"/>
      <c r="C4628" s="3"/>
      <c r="D4628" s="3"/>
      <c r="E4628" s="3"/>
      <c r="F4628" s="3"/>
      <c r="G4628" s="3"/>
      <c r="H4628" s="11"/>
      <c r="I4628" s="12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</row>
    <row r="4629" spans="1:34" ht="14.25" customHeight="1" x14ac:dyDescent="0.25">
      <c r="A4629" s="3"/>
      <c r="B4629" s="3"/>
      <c r="C4629" s="3"/>
      <c r="D4629" s="3"/>
      <c r="E4629" s="3"/>
      <c r="F4629" s="3"/>
      <c r="G4629" s="3"/>
      <c r="H4629" s="11"/>
      <c r="I4629" s="12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</row>
    <row r="4630" spans="1:34" ht="14.25" customHeight="1" x14ac:dyDescent="0.25">
      <c r="A4630" s="3"/>
      <c r="B4630" s="3"/>
      <c r="C4630" s="3"/>
      <c r="D4630" s="3"/>
      <c r="E4630" s="3"/>
      <c r="F4630" s="3"/>
      <c r="G4630" s="3"/>
      <c r="H4630" s="11"/>
      <c r="I4630" s="12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</row>
    <row r="4631" spans="1:34" ht="14.25" customHeight="1" x14ac:dyDescent="0.25">
      <c r="A4631" s="3"/>
      <c r="B4631" s="3"/>
      <c r="C4631" s="3"/>
      <c r="D4631" s="3"/>
      <c r="E4631" s="3"/>
      <c r="F4631" s="3"/>
      <c r="G4631" s="3"/>
      <c r="H4631" s="11"/>
      <c r="I4631" s="12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</row>
    <row r="4632" spans="1:34" ht="14.25" customHeight="1" x14ac:dyDescent="0.25">
      <c r="A4632" s="3"/>
      <c r="B4632" s="3"/>
      <c r="C4632" s="3"/>
      <c r="D4632" s="3"/>
      <c r="E4632" s="3"/>
      <c r="F4632" s="3"/>
      <c r="G4632" s="3"/>
      <c r="H4632" s="11"/>
      <c r="I4632" s="12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</row>
    <row r="4633" spans="1:34" ht="14.25" customHeight="1" x14ac:dyDescent="0.25">
      <c r="A4633" s="3"/>
      <c r="B4633" s="3"/>
      <c r="C4633" s="3"/>
      <c r="D4633" s="3"/>
      <c r="E4633" s="3"/>
      <c r="F4633" s="3"/>
      <c r="G4633" s="3"/>
      <c r="H4633" s="11"/>
      <c r="I4633" s="12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</row>
    <row r="4634" spans="1:34" ht="14.25" customHeight="1" x14ac:dyDescent="0.25">
      <c r="A4634" s="3"/>
      <c r="B4634" s="3"/>
      <c r="C4634" s="3"/>
      <c r="D4634" s="3"/>
      <c r="E4634" s="3"/>
      <c r="F4634" s="3"/>
      <c r="G4634" s="3"/>
      <c r="H4634" s="11"/>
      <c r="I4634" s="12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</row>
    <row r="4635" spans="1:34" ht="14.25" customHeight="1" x14ac:dyDescent="0.25">
      <c r="A4635" s="3"/>
      <c r="B4635" s="3"/>
      <c r="C4635" s="3"/>
      <c r="D4635" s="3"/>
      <c r="E4635" s="3"/>
      <c r="F4635" s="3"/>
      <c r="G4635" s="3"/>
      <c r="H4635" s="11"/>
      <c r="I4635" s="12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</row>
    <row r="4636" spans="1:34" ht="14.25" customHeight="1" x14ac:dyDescent="0.25">
      <c r="A4636" s="3"/>
      <c r="B4636" s="3"/>
      <c r="C4636" s="3"/>
      <c r="D4636" s="3"/>
      <c r="E4636" s="3"/>
      <c r="F4636" s="3"/>
      <c r="G4636" s="3"/>
      <c r="H4636" s="11"/>
      <c r="I4636" s="12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</row>
    <row r="4637" spans="1:34" ht="14.25" customHeight="1" x14ac:dyDescent="0.25">
      <c r="A4637" s="3"/>
      <c r="B4637" s="3"/>
      <c r="C4637" s="3"/>
      <c r="D4637" s="3"/>
      <c r="E4637" s="3"/>
      <c r="F4637" s="3"/>
      <c r="G4637" s="3"/>
      <c r="H4637" s="11"/>
      <c r="I4637" s="12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</row>
    <row r="4638" spans="1:34" ht="14.25" customHeight="1" x14ac:dyDescent="0.25">
      <c r="A4638" s="3"/>
      <c r="B4638" s="3"/>
      <c r="C4638" s="3"/>
      <c r="D4638" s="3"/>
      <c r="E4638" s="3"/>
      <c r="F4638" s="3"/>
      <c r="G4638" s="3"/>
      <c r="H4638" s="11"/>
      <c r="I4638" s="12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</row>
    <row r="4639" spans="1:34" ht="14.25" customHeight="1" x14ac:dyDescent="0.25">
      <c r="A4639" s="3"/>
      <c r="B4639" s="3"/>
      <c r="C4639" s="3"/>
      <c r="D4639" s="3"/>
      <c r="E4639" s="3"/>
      <c r="F4639" s="3"/>
      <c r="G4639" s="3"/>
      <c r="H4639" s="11"/>
      <c r="I4639" s="12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</row>
    <row r="4640" spans="1:34" ht="14.25" customHeight="1" x14ac:dyDescent="0.25">
      <c r="A4640" s="3"/>
      <c r="B4640" s="3"/>
      <c r="C4640" s="3"/>
      <c r="D4640" s="3"/>
      <c r="E4640" s="3"/>
      <c r="F4640" s="3"/>
      <c r="G4640" s="3"/>
      <c r="H4640" s="11"/>
      <c r="I4640" s="12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</row>
    <row r="4641" spans="1:34" ht="14.25" customHeight="1" x14ac:dyDescent="0.25">
      <c r="A4641" s="3"/>
      <c r="B4641" s="3"/>
      <c r="C4641" s="3"/>
      <c r="D4641" s="3"/>
      <c r="E4641" s="3"/>
      <c r="F4641" s="3"/>
      <c r="G4641" s="3"/>
      <c r="H4641" s="11"/>
      <c r="I4641" s="12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</row>
    <row r="4642" spans="1:34" ht="14.25" customHeight="1" x14ac:dyDescent="0.25">
      <c r="A4642" s="3"/>
      <c r="B4642" s="3"/>
      <c r="C4642" s="3"/>
      <c r="D4642" s="3"/>
      <c r="E4642" s="3"/>
      <c r="F4642" s="3"/>
      <c r="G4642" s="3"/>
      <c r="H4642" s="11"/>
      <c r="I4642" s="12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</row>
    <row r="4643" spans="1:34" ht="14.25" customHeight="1" x14ac:dyDescent="0.25">
      <c r="A4643" s="3"/>
      <c r="B4643" s="3"/>
      <c r="C4643" s="3"/>
      <c r="D4643" s="3"/>
      <c r="E4643" s="3"/>
      <c r="F4643" s="3"/>
      <c r="G4643" s="3"/>
      <c r="H4643" s="11"/>
      <c r="I4643" s="12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</row>
    <row r="4644" spans="1:34" ht="14.25" customHeight="1" x14ac:dyDescent="0.25">
      <c r="A4644" s="3"/>
      <c r="B4644" s="3"/>
      <c r="C4644" s="3"/>
      <c r="D4644" s="3"/>
      <c r="E4644" s="3"/>
      <c r="F4644" s="3"/>
      <c r="G4644" s="3"/>
      <c r="H4644" s="11"/>
      <c r="I4644" s="12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</row>
    <row r="4645" spans="1:34" ht="14.25" customHeight="1" x14ac:dyDescent="0.25">
      <c r="A4645" s="3"/>
      <c r="B4645" s="3"/>
      <c r="C4645" s="3"/>
      <c r="D4645" s="3"/>
      <c r="E4645" s="3"/>
      <c r="F4645" s="3"/>
      <c r="G4645" s="3"/>
      <c r="H4645" s="11"/>
      <c r="I4645" s="12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</row>
    <row r="4646" spans="1:34" ht="14.25" customHeight="1" x14ac:dyDescent="0.25">
      <c r="A4646" s="3"/>
      <c r="B4646" s="3"/>
      <c r="C4646" s="3"/>
      <c r="D4646" s="3"/>
      <c r="E4646" s="3"/>
      <c r="F4646" s="3"/>
      <c r="G4646" s="3"/>
      <c r="H4646" s="11"/>
      <c r="I4646" s="12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</row>
    <row r="4647" spans="1:34" ht="14.25" customHeight="1" x14ac:dyDescent="0.25">
      <c r="A4647" s="3"/>
      <c r="B4647" s="3"/>
      <c r="C4647" s="3"/>
      <c r="D4647" s="3"/>
      <c r="E4647" s="3"/>
      <c r="F4647" s="3"/>
      <c r="G4647" s="3"/>
      <c r="H4647" s="11"/>
      <c r="I4647" s="12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</row>
    <row r="4648" spans="1:34" ht="14.25" customHeight="1" x14ac:dyDescent="0.25">
      <c r="A4648" s="3"/>
      <c r="B4648" s="3"/>
      <c r="C4648" s="3"/>
      <c r="D4648" s="3"/>
      <c r="E4648" s="3"/>
      <c r="F4648" s="3"/>
      <c r="G4648" s="3"/>
      <c r="H4648" s="11"/>
      <c r="I4648" s="12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</row>
    <row r="4649" spans="1:34" ht="14.25" customHeight="1" x14ac:dyDescent="0.25">
      <c r="A4649" s="3"/>
      <c r="B4649" s="3"/>
      <c r="C4649" s="3"/>
      <c r="D4649" s="3"/>
      <c r="E4649" s="3"/>
      <c r="F4649" s="3"/>
      <c r="G4649" s="3"/>
      <c r="H4649" s="11"/>
      <c r="I4649" s="12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</row>
    <row r="4650" spans="1:34" ht="14.25" customHeight="1" x14ac:dyDescent="0.25">
      <c r="A4650" s="3"/>
      <c r="B4650" s="3"/>
      <c r="C4650" s="3"/>
      <c r="D4650" s="3"/>
      <c r="E4650" s="3"/>
      <c r="F4650" s="3"/>
      <c r="G4650" s="3"/>
      <c r="H4650" s="11"/>
      <c r="I4650" s="12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</row>
    <row r="4651" spans="1:34" ht="14.25" customHeight="1" x14ac:dyDescent="0.25">
      <c r="A4651" s="3"/>
      <c r="B4651" s="3"/>
      <c r="C4651" s="3"/>
      <c r="D4651" s="3"/>
      <c r="E4651" s="3"/>
      <c r="F4651" s="3"/>
      <c r="G4651" s="3"/>
      <c r="H4651" s="11"/>
      <c r="I4651" s="12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</row>
    <row r="4652" spans="1:34" ht="14.25" customHeight="1" x14ac:dyDescent="0.25">
      <c r="A4652" s="3"/>
      <c r="B4652" s="3"/>
      <c r="C4652" s="3"/>
      <c r="D4652" s="3"/>
      <c r="E4652" s="3"/>
      <c r="F4652" s="3"/>
      <c r="G4652" s="3"/>
      <c r="H4652" s="11"/>
      <c r="I4652" s="12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</row>
    <row r="4653" spans="1:34" ht="14.25" customHeight="1" x14ac:dyDescent="0.25">
      <c r="A4653" s="3"/>
      <c r="B4653" s="3"/>
      <c r="C4653" s="3"/>
      <c r="D4653" s="3"/>
      <c r="E4653" s="3"/>
      <c r="F4653" s="3"/>
      <c r="G4653" s="3"/>
      <c r="H4653" s="11"/>
      <c r="I4653" s="12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</row>
    <row r="4654" spans="1:34" ht="14.25" customHeight="1" x14ac:dyDescent="0.25">
      <c r="A4654" s="3"/>
      <c r="B4654" s="3"/>
      <c r="C4654" s="3"/>
      <c r="D4654" s="3"/>
      <c r="E4654" s="3"/>
      <c r="F4654" s="3"/>
      <c r="G4654" s="3"/>
      <c r="H4654" s="11"/>
      <c r="I4654" s="12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</row>
    <row r="4655" spans="1:34" ht="14.25" customHeight="1" x14ac:dyDescent="0.25">
      <c r="A4655" s="3"/>
      <c r="B4655" s="3"/>
      <c r="C4655" s="3"/>
      <c r="D4655" s="3"/>
      <c r="E4655" s="3"/>
      <c r="F4655" s="3"/>
      <c r="G4655" s="3"/>
      <c r="H4655" s="11"/>
      <c r="I4655" s="12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</row>
    <row r="4656" spans="1:34" ht="14.25" customHeight="1" x14ac:dyDescent="0.25">
      <c r="A4656" s="3"/>
      <c r="B4656" s="3"/>
      <c r="C4656" s="3"/>
      <c r="D4656" s="3"/>
      <c r="E4656" s="3"/>
      <c r="F4656" s="3"/>
      <c r="G4656" s="3"/>
      <c r="H4656" s="11"/>
      <c r="I4656" s="12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</row>
    <row r="4657" spans="1:34" ht="14.25" customHeight="1" x14ac:dyDescent="0.25">
      <c r="A4657" s="3"/>
      <c r="B4657" s="3"/>
      <c r="C4657" s="3"/>
      <c r="D4657" s="3"/>
      <c r="E4657" s="3"/>
      <c r="F4657" s="3"/>
      <c r="G4657" s="3"/>
      <c r="H4657" s="11"/>
      <c r="I4657" s="12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</row>
    <row r="4658" spans="1:34" ht="14.25" customHeight="1" x14ac:dyDescent="0.25">
      <c r="A4658" s="3"/>
      <c r="B4658" s="3"/>
      <c r="C4658" s="3"/>
      <c r="D4658" s="3"/>
      <c r="E4658" s="3"/>
      <c r="F4658" s="3"/>
      <c r="G4658" s="3"/>
      <c r="H4658" s="11"/>
      <c r="I4658" s="12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</row>
    <row r="4659" spans="1:34" ht="14.25" customHeight="1" x14ac:dyDescent="0.25">
      <c r="A4659" s="3"/>
      <c r="B4659" s="3"/>
      <c r="C4659" s="3"/>
      <c r="D4659" s="3"/>
      <c r="E4659" s="3"/>
      <c r="F4659" s="3"/>
      <c r="G4659" s="3"/>
      <c r="H4659" s="11"/>
      <c r="I4659" s="12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</row>
    <row r="4660" spans="1:34" ht="14.25" customHeight="1" x14ac:dyDescent="0.25">
      <c r="A4660" s="3"/>
      <c r="B4660" s="3"/>
      <c r="C4660" s="3"/>
      <c r="D4660" s="3"/>
      <c r="E4660" s="3"/>
      <c r="F4660" s="3"/>
      <c r="G4660" s="3"/>
      <c r="H4660" s="11"/>
      <c r="I4660" s="12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</row>
    <row r="4661" spans="1:34" ht="14.25" customHeight="1" x14ac:dyDescent="0.25">
      <c r="A4661" s="3"/>
      <c r="B4661" s="3"/>
      <c r="C4661" s="3"/>
      <c r="D4661" s="3"/>
      <c r="E4661" s="3"/>
      <c r="F4661" s="3"/>
      <c r="G4661" s="3"/>
      <c r="H4661" s="11"/>
      <c r="I4661" s="12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</row>
    <row r="4662" spans="1:34" ht="14.25" customHeight="1" x14ac:dyDescent="0.25">
      <c r="A4662" s="3"/>
      <c r="B4662" s="3"/>
      <c r="C4662" s="3"/>
      <c r="D4662" s="3"/>
      <c r="E4662" s="3"/>
      <c r="F4662" s="3"/>
      <c r="G4662" s="3"/>
      <c r="H4662" s="11"/>
      <c r="I4662" s="12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</row>
    <row r="4663" spans="1:34" ht="14.25" customHeight="1" x14ac:dyDescent="0.25">
      <c r="A4663" s="3"/>
      <c r="B4663" s="3"/>
      <c r="C4663" s="3"/>
      <c r="D4663" s="3"/>
      <c r="E4663" s="3"/>
      <c r="F4663" s="3"/>
      <c r="G4663" s="3"/>
      <c r="H4663" s="11"/>
      <c r="I4663" s="12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</row>
    <row r="4664" spans="1:34" ht="14.25" customHeight="1" x14ac:dyDescent="0.25">
      <c r="A4664" s="3"/>
      <c r="B4664" s="3"/>
      <c r="C4664" s="3"/>
      <c r="D4664" s="3"/>
      <c r="E4664" s="3"/>
      <c r="F4664" s="3"/>
      <c r="G4664" s="3"/>
      <c r="H4664" s="11"/>
      <c r="I4664" s="12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</row>
    <row r="4665" spans="1:34" ht="14.25" customHeight="1" x14ac:dyDescent="0.25">
      <c r="A4665" s="3"/>
      <c r="B4665" s="3"/>
      <c r="C4665" s="3"/>
      <c r="D4665" s="3"/>
      <c r="E4665" s="3"/>
      <c r="F4665" s="3"/>
      <c r="G4665" s="3"/>
      <c r="H4665" s="11"/>
      <c r="I4665" s="12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</row>
    <row r="4666" spans="1:34" ht="14.25" customHeight="1" x14ac:dyDescent="0.25">
      <c r="A4666" s="3"/>
      <c r="B4666" s="3"/>
      <c r="C4666" s="3"/>
      <c r="D4666" s="3"/>
      <c r="E4666" s="3"/>
      <c r="F4666" s="3"/>
      <c r="G4666" s="3"/>
      <c r="H4666" s="11"/>
      <c r="I4666" s="12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</row>
    <row r="4667" spans="1:34" ht="14.25" customHeight="1" x14ac:dyDescent="0.25">
      <c r="A4667" s="3"/>
      <c r="B4667" s="3"/>
      <c r="C4667" s="3"/>
      <c r="D4667" s="3"/>
      <c r="E4667" s="3"/>
      <c r="F4667" s="3"/>
      <c r="G4667" s="3"/>
      <c r="H4667" s="11"/>
      <c r="I4667" s="12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</row>
    <row r="4668" spans="1:34" ht="14.25" customHeight="1" x14ac:dyDescent="0.25">
      <c r="A4668" s="3"/>
      <c r="B4668" s="3"/>
      <c r="C4668" s="3"/>
      <c r="D4668" s="3"/>
      <c r="E4668" s="3"/>
      <c r="F4668" s="3"/>
      <c r="G4668" s="3"/>
      <c r="H4668" s="11"/>
      <c r="I4668" s="12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</row>
    <row r="4669" spans="1:34" ht="14.25" customHeight="1" x14ac:dyDescent="0.25">
      <c r="A4669" s="3"/>
      <c r="B4669" s="3"/>
      <c r="C4669" s="3"/>
      <c r="D4669" s="3"/>
      <c r="E4669" s="3"/>
      <c r="F4669" s="3"/>
      <c r="G4669" s="3"/>
      <c r="H4669" s="11"/>
      <c r="I4669" s="12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</row>
    <row r="4670" spans="1:34" ht="14.25" customHeight="1" x14ac:dyDescent="0.25">
      <c r="A4670" s="3"/>
      <c r="B4670" s="3"/>
      <c r="C4670" s="3"/>
      <c r="D4670" s="3"/>
      <c r="E4670" s="3"/>
      <c r="F4670" s="3"/>
      <c r="G4670" s="3"/>
      <c r="H4670" s="11"/>
      <c r="I4670" s="12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</row>
    <row r="4671" spans="1:34" ht="14.25" customHeight="1" x14ac:dyDescent="0.25">
      <c r="A4671" s="3"/>
      <c r="B4671" s="3"/>
      <c r="C4671" s="3"/>
      <c r="D4671" s="3"/>
      <c r="E4671" s="3"/>
      <c r="F4671" s="3"/>
      <c r="G4671" s="3"/>
      <c r="H4671" s="11"/>
      <c r="I4671" s="12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</row>
    <row r="4672" spans="1:34" ht="14.25" customHeight="1" x14ac:dyDescent="0.25">
      <c r="A4672" s="3"/>
      <c r="B4672" s="3"/>
      <c r="C4672" s="3"/>
      <c r="D4672" s="3"/>
      <c r="E4672" s="3"/>
      <c r="F4672" s="3"/>
      <c r="G4672" s="3"/>
      <c r="H4672" s="11"/>
      <c r="I4672" s="12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</row>
    <row r="4673" spans="1:34" ht="14.25" customHeight="1" x14ac:dyDescent="0.25">
      <c r="A4673" s="3"/>
      <c r="B4673" s="3"/>
      <c r="C4673" s="3"/>
      <c r="D4673" s="3"/>
      <c r="E4673" s="3"/>
      <c r="F4673" s="3"/>
      <c r="G4673" s="3"/>
      <c r="H4673" s="11"/>
      <c r="I4673" s="12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</row>
    <row r="4674" spans="1:34" ht="14.25" customHeight="1" x14ac:dyDescent="0.25">
      <c r="A4674" s="3"/>
      <c r="B4674" s="3"/>
      <c r="C4674" s="3"/>
      <c r="D4674" s="3"/>
      <c r="E4674" s="3"/>
      <c r="F4674" s="3"/>
      <c r="G4674" s="3"/>
      <c r="H4674" s="11"/>
      <c r="I4674" s="12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</row>
    <row r="4675" spans="1:34" ht="14.25" customHeight="1" x14ac:dyDescent="0.25">
      <c r="A4675" s="3"/>
      <c r="B4675" s="3"/>
      <c r="C4675" s="3"/>
      <c r="D4675" s="3"/>
      <c r="E4675" s="3"/>
      <c r="F4675" s="3"/>
      <c r="G4675" s="3"/>
      <c r="H4675" s="11"/>
      <c r="I4675" s="12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</row>
    <row r="4676" spans="1:34" ht="14.25" customHeight="1" x14ac:dyDescent="0.25">
      <c r="A4676" s="3"/>
      <c r="B4676" s="3"/>
      <c r="C4676" s="3"/>
      <c r="D4676" s="3"/>
      <c r="E4676" s="3"/>
      <c r="F4676" s="3"/>
      <c r="G4676" s="3"/>
      <c r="H4676" s="11"/>
      <c r="I4676" s="12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</row>
    <row r="4677" spans="1:34" ht="14.25" customHeight="1" x14ac:dyDescent="0.25">
      <c r="A4677" s="3"/>
      <c r="B4677" s="3"/>
      <c r="C4677" s="3"/>
      <c r="D4677" s="3"/>
      <c r="E4677" s="3"/>
      <c r="F4677" s="3"/>
      <c r="G4677" s="3"/>
      <c r="H4677" s="11"/>
      <c r="I4677" s="12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</row>
    <row r="4678" spans="1:34" ht="14.25" customHeight="1" x14ac:dyDescent="0.25">
      <c r="A4678" s="3"/>
      <c r="B4678" s="3"/>
      <c r="C4678" s="3"/>
      <c r="D4678" s="3"/>
      <c r="E4678" s="3"/>
      <c r="F4678" s="3"/>
      <c r="G4678" s="3"/>
      <c r="H4678" s="11"/>
      <c r="I4678" s="12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</row>
    <row r="4679" spans="1:34" ht="14.25" customHeight="1" x14ac:dyDescent="0.25">
      <c r="A4679" s="3"/>
      <c r="B4679" s="3"/>
      <c r="C4679" s="3"/>
      <c r="D4679" s="3"/>
      <c r="E4679" s="3"/>
      <c r="F4679" s="3"/>
      <c r="G4679" s="3"/>
      <c r="H4679" s="11"/>
      <c r="I4679" s="12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</row>
    <row r="4680" spans="1:34" ht="14.25" customHeight="1" x14ac:dyDescent="0.25">
      <c r="A4680" s="3"/>
      <c r="B4680" s="3"/>
      <c r="C4680" s="3"/>
      <c r="D4680" s="3"/>
      <c r="E4680" s="3"/>
      <c r="F4680" s="3"/>
      <c r="G4680" s="3"/>
      <c r="H4680" s="11"/>
      <c r="I4680" s="12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</row>
    <row r="4681" spans="1:34" ht="14.25" customHeight="1" x14ac:dyDescent="0.25">
      <c r="A4681" s="3"/>
      <c r="B4681" s="3"/>
      <c r="C4681" s="3"/>
      <c r="D4681" s="3"/>
      <c r="E4681" s="3"/>
      <c r="F4681" s="3"/>
      <c r="G4681" s="3"/>
      <c r="H4681" s="11"/>
      <c r="I4681" s="12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</row>
    <row r="4682" spans="1:34" ht="14.25" customHeight="1" x14ac:dyDescent="0.25">
      <c r="A4682" s="3"/>
      <c r="B4682" s="3"/>
      <c r="C4682" s="3"/>
      <c r="D4682" s="3"/>
      <c r="E4682" s="3"/>
      <c r="F4682" s="3"/>
      <c r="G4682" s="3"/>
      <c r="H4682" s="11"/>
      <c r="I4682" s="12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</row>
    <row r="4683" spans="1:34" ht="14.25" customHeight="1" x14ac:dyDescent="0.25">
      <c r="A4683" s="3"/>
      <c r="B4683" s="3"/>
      <c r="C4683" s="3"/>
      <c r="D4683" s="3"/>
      <c r="E4683" s="3"/>
      <c r="F4683" s="3"/>
      <c r="G4683" s="3"/>
      <c r="H4683" s="11"/>
      <c r="I4683" s="12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</row>
    <row r="4684" spans="1:34" ht="14.25" customHeight="1" x14ac:dyDescent="0.25">
      <c r="A4684" s="3"/>
      <c r="B4684" s="3"/>
      <c r="C4684" s="3"/>
      <c r="D4684" s="3"/>
      <c r="E4684" s="3"/>
      <c r="F4684" s="3"/>
      <c r="G4684" s="3"/>
      <c r="H4684" s="11"/>
      <c r="I4684" s="12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</row>
    <row r="4685" spans="1:34" ht="14.25" customHeight="1" x14ac:dyDescent="0.25">
      <c r="A4685" s="3"/>
      <c r="B4685" s="3"/>
      <c r="C4685" s="3"/>
      <c r="D4685" s="3"/>
      <c r="E4685" s="3"/>
      <c r="F4685" s="3"/>
      <c r="G4685" s="3"/>
      <c r="H4685" s="11"/>
      <c r="I4685" s="12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</row>
    <row r="4686" spans="1:34" ht="14.25" customHeight="1" x14ac:dyDescent="0.25">
      <c r="A4686" s="3"/>
      <c r="B4686" s="3"/>
      <c r="C4686" s="3"/>
      <c r="D4686" s="3"/>
      <c r="E4686" s="3"/>
      <c r="F4686" s="3"/>
      <c r="G4686" s="3"/>
      <c r="H4686" s="11"/>
      <c r="I4686" s="12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</row>
    <row r="4687" spans="1:34" ht="14.25" customHeight="1" x14ac:dyDescent="0.25">
      <c r="A4687" s="3"/>
      <c r="B4687" s="3"/>
      <c r="C4687" s="3"/>
      <c r="D4687" s="3"/>
      <c r="E4687" s="3"/>
      <c r="F4687" s="3"/>
      <c r="G4687" s="3"/>
      <c r="H4687" s="11"/>
      <c r="I4687" s="12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</row>
    <row r="4688" spans="1:34" ht="14.25" customHeight="1" x14ac:dyDescent="0.25">
      <c r="A4688" s="3"/>
      <c r="B4688" s="3"/>
      <c r="C4688" s="3"/>
      <c r="D4688" s="3"/>
      <c r="E4688" s="3"/>
      <c r="F4688" s="3"/>
      <c r="G4688" s="3"/>
      <c r="H4688" s="11"/>
      <c r="I4688" s="12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</row>
    <row r="4689" spans="1:34" ht="14.25" customHeight="1" x14ac:dyDescent="0.25">
      <c r="A4689" s="3"/>
      <c r="B4689" s="3"/>
      <c r="C4689" s="3"/>
      <c r="D4689" s="3"/>
      <c r="E4689" s="3"/>
      <c r="F4689" s="3"/>
      <c r="G4689" s="3"/>
      <c r="H4689" s="11"/>
      <c r="I4689" s="12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</row>
    <row r="4690" spans="1:34" ht="14.25" customHeight="1" x14ac:dyDescent="0.25">
      <c r="A4690" s="3"/>
      <c r="B4690" s="3"/>
      <c r="C4690" s="3"/>
      <c r="D4690" s="3"/>
      <c r="E4690" s="3"/>
      <c r="F4690" s="3"/>
      <c r="G4690" s="3"/>
      <c r="H4690" s="11"/>
      <c r="I4690" s="12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</row>
    <row r="4691" spans="1:34" ht="14.25" customHeight="1" x14ac:dyDescent="0.25">
      <c r="A4691" s="3"/>
      <c r="B4691" s="3"/>
      <c r="C4691" s="3"/>
      <c r="D4691" s="3"/>
      <c r="E4691" s="3"/>
      <c r="F4691" s="3"/>
      <c r="G4691" s="3"/>
      <c r="H4691" s="11"/>
      <c r="I4691" s="12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</row>
    <row r="4692" spans="1:34" ht="14.25" customHeight="1" x14ac:dyDescent="0.25">
      <c r="A4692" s="3"/>
      <c r="B4692" s="3"/>
      <c r="C4692" s="3"/>
      <c r="D4692" s="3"/>
      <c r="E4692" s="3"/>
      <c r="F4692" s="3"/>
      <c r="G4692" s="3"/>
      <c r="H4692" s="11"/>
      <c r="I4692" s="12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</row>
    <row r="4693" spans="1:34" ht="14.25" customHeight="1" x14ac:dyDescent="0.25">
      <c r="A4693" s="3"/>
      <c r="B4693" s="3"/>
      <c r="C4693" s="3"/>
      <c r="D4693" s="3"/>
      <c r="E4693" s="3"/>
      <c r="F4693" s="3"/>
      <c r="G4693" s="3"/>
      <c r="H4693" s="11"/>
      <c r="I4693" s="12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</row>
    <row r="4694" spans="1:34" ht="14.25" customHeight="1" x14ac:dyDescent="0.25">
      <c r="A4694" s="3"/>
      <c r="B4694" s="3"/>
      <c r="C4694" s="3"/>
      <c r="D4694" s="3"/>
      <c r="E4694" s="3"/>
      <c r="F4694" s="3"/>
      <c r="G4694" s="3"/>
      <c r="H4694" s="11"/>
      <c r="I4694" s="12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</row>
    <row r="4695" spans="1:34" ht="14.25" customHeight="1" x14ac:dyDescent="0.25">
      <c r="A4695" s="3"/>
      <c r="B4695" s="3"/>
      <c r="C4695" s="3"/>
      <c r="D4695" s="3"/>
      <c r="E4695" s="3"/>
      <c r="F4695" s="3"/>
      <c r="G4695" s="3"/>
      <c r="H4695" s="11"/>
      <c r="I4695" s="12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</row>
    <row r="4696" spans="1:34" ht="14.25" customHeight="1" x14ac:dyDescent="0.25">
      <c r="A4696" s="3"/>
      <c r="B4696" s="3"/>
      <c r="C4696" s="3"/>
      <c r="D4696" s="3"/>
      <c r="E4696" s="3"/>
      <c r="F4696" s="3"/>
      <c r="G4696" s="3"/>
      <c r="H4696" s="11"/>
      <c r="I4696" s="12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</row>
    <row r="4697" spans="1:34" ht="14.25" customHeight="1" x14ac:dyDescent="0.25">
      <c r="A4697" s="3"/>
      <c r="B4697" s="3"/>
      <c r="C4697" s="3"/>
      <c r="D4697" s="3"/>
      <c r="E4697" s="3"/>
      <c r="F4697" s="3"/>
      <c r="G4697" s="3"/>
      <c r="H4697" s="11"/>
      <c r="I4697" s="12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</row>
    <row r="4698" spans="1:34" ht="14.25" customHeight="1" x14ac:dyDescent="0.25">
      <c r="A4698" s="3"/>
      <c r="B4698" s="3"/>
      <c r="C4698" s="3"/>
      <c r="D4698" s="3"/>
      <c r="E4698" s="3"/>
      <c r="F4698" s="3"/>
      <c r="G4698" s="3"/>
      <c r="H4698" s="11"/>
      <c r="I4698" s="12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</row>
    <row r="4699" spans="1:34" ht="14.25" customHeight="1" x14ac:dyDescent="0.25">
      <c r="A4699" s="3"/>
      <c r="B4699" s="3"/>
      <c r="C4699" s="3"/>
      <c r="D4699" s="3"/>
      <c r="E4699" s="3"/>
      <c r="F4699" s="3"/>
      <c r="G4699" s="3"/>
      <c r="H4699" s="11"/>
      <c r="I4699" s="12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</row>
    <row r="4700" spans="1:34" ht="14.25" customHeight="1" x14ac:dyDescent="0.25">
      <c r="A4700" s="3"/>
      <c r="B4700" s="3"/>
      <c r="C4700" s="3"/>
      <c r="D4700" s="3"/>
      <c r="E4700" s="3"/>
      <c r="F4700" s="3"/>
      <c r="G4700" s="3"/>
      <c r="H4700" s="11"/>
      <c r="I4700" s="12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</row>
    <row r="4701" spans="1:34" ht="14.25" customHeight="1" x14ac:dyDescent="0.25">
      <c r="A4701" s="3"/>
      <c r="B4701" s="3"/>
      <c r="C4701" s="3"/>
      <c r="D4701" s="3"/>
      <c r="E4701" s="3"/>
      <c r="F4701" s="3"/>
      <c r="G4701" s="3"/>
      <c r="H4701" s="11"/>
      <c r="I4701" s="12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</row>
    <row r="4702" spans="1:34" ht="14.25" customHeight="1" x14ac:dyDescent="0.25">
      <c r="A4702" s="3"/>
      <c r="B4702" s="3"/>
      <c r="C4702" s="3"/>
      <c r="D4702" s="3"/>
      <c r="E4702" s="3"/>
      <c r="F4702" s="3"/>
      <c r="G4702" s="3"/>
      <c r="H4702" s="11"/>
      <c r="I4702" s="12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</row>
    <row r="4703" spans="1:34" ht="14.25" customHeight="1" x14ac:dyDescent="0.25">
      <c r="A4703" s="3"/>
      <c r="B4703" s="3"/>
      <c r="C4703" s="3"/>
      <c r="D4703" s="3"/>
      <c r="E4703" s="3"/>
      <c r="F4703" s="3"/>
      <c r="G4703" s="3"/>
      <c r="H4703" s="11"/>
      <c r="I4703" s="12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</row>
    <row r="4704" spans="1:34" ht="14.25" customHeight="1" x14ac:dyDescent="0.25">
      <c r="A4704" s="3"/>
      <c r="B4704" s="3"/>
      <c r="C4704" s="3"/>
      <c r="D4704" s="3"/>
      <c r="E4704" s="3"/>
      <c r="F4704" s="3"/>
      <c r="G4704" s="3"/>
      <c r="H4704" s="11"/>
      <c r="I4704" s="12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</row>
    <row r="4705" spans="1:34" ht="14.25" customHeight="1" x14ac:dyDescent="0.25">
      <c r="A4705" s="3"/>
      <c r="B4705" s="3"/>
      <c r="C4705" s="3"/>
      <c r="D4705" s="3"/>
      <c r="E4705" s="3"/>
      <c r="F4705" s="3"/>
      <c r="G4705" s="3"/>
      <c r="H4705" s="11"/>
      <c r="I4705" s="12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</row>
    <row r="4706" spans="1:34" ht="14.25" customHeight="1" x14ac:dyDescent="0.25">
      <c r="A4706" s="3"/>
      <c r="B4706" s="3"/>
      <c r="C4706" s="3"/>
      <c r="D4706" s="3"/>
      <c r="E4706" s="3"/>
      <c r="F4706" s="3"/>
      <c r="G4706" s="3"/>
      <c r="H4706" s="11"/>
      <c r="I4706" s="12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</row>
    <row r="4707" spans="1:34" ht="14.25" customHeight="1" x14ac:dyDescent="0.25">
      <c r="A4707" s="3"/>
      <c r="B4707" s="3"/>
      <c r="C4707" s="3"/>
      <c r="D4707" s="3"/>
      <c r="E4707" s="3"/>
      <c r="F4707" s="3"/>
      <c r="G4707" s="3"/>
      <c r="H4707" s="11"/>
      <c r="I4707" s="12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</row>
    <row r="4708" spans="1:34" ht="14.25" customHeight="1" x14ac:dyDescent="0.25">
      <c r="A4708" s="3"/>
      <c r="B4708" s="3"/>
      <c r="C4708" s="3"/>
      <c r="D4708" s="3"/>
      <c r="E4708" s="3"/>
      <c r="F4708" s="3"/>
      <c r="G4708" s="3"/>
      <c r="H4708" s="11"/>
      <c r="I4708" s="12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</row>
    <row r="4709" spans="1:34" ht="14.25" customHeight="1" x14ac:dyDescent="0.25">
      <c r="A4709" s="3"/>
      <c r="B4709" s="3"/>
      <c r="C4709" s="3"/>
      <c r="D4709" s="3"/>
      <c r="E4709" s="3"/>
      <c r="F4709" s="3"/>
      <c r="G4709" s="3"/>
      <c r="H4709" s="11"/>
      <c r="I4709" s="12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</row>
    <row r="4710" spans="1:34" ht="14.25" customHeight="1" x14ac:dyDescent="0.25">
      <c r="A4710" s="3"/>
      <c r="B4710" s="3"/>
      <c r="C4710" s="3"/>
      <c r="D4710" s="3"/>
      <c r="E4710" s="3"/>
      <c r="F4710" s="3"/>
      <c r="G4710" s="3"/>
      <c r="H4710" s="11"/>
      <c r="I4710" s="12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</row>
    <row r="4711" spans="1:34" ht="14.25" customHeight="1" x14ac:dyDescent="0.25">
      <c r="A4711" s="3"/>
      <c r="B4711" s="3"/>
      <c r="C4711" s="3"/>
      <c r="D4711" s="3"/>
      <c r="E4711" s="3"/>
      <c r="F4711" s="3"/>
      <c r="G4711" s="3"/>
      <c r="H4711" s="11"/>
      <c r="I4711" s="12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</row>
    <row r="4712" spans="1:34" ht="14.25" customHeight="1" x14ac:dyDescent="0.25">
      <c r="A4712" s="3"/>
      <c r="B4712" s="3"/>
      <c r="C4712" s="3"/>
      <c r="D4712" s="3"/>
      <c r="E4712" s="3"/>
      <c r="F4712" s="3"/>
      <c r="G4712" s="3"/>
      <c r="H4712" s="11"/>
      <c r="I4712" s="12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</row>
    <row r="4713" spans="1:34" ht="14.25" customHeight="1" x14ac:dyDescent="0.25">
      <c r="A4713" s="3"/>
      <c r="B4713" s="3"/>
      <c r="C4713" s="3"/>
      <c r="D4713" s="3"/>
      <c r="E4713" s="3"/>
      <c r="F4713" s="3"/>
      <c r="G4713" s="3"/>
      <c r="H4713" s="11"/>
      <c r="I4713" s="12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</row>
    <row r="4714" spans="1:34" ht="14.25" customHeight="1" x14ac:dyDescent="0.25">
      <c r="A4714" s="3"/>
      <c r="B4714" s="3"/>
      <c r="C4714" s="3"/>
      <c r="D4714" s="3"/>
      <c r="E4714" s="3"/>
      <c r="F4714" s="3"/>
      <c r="G4714" s="3"/>
      <c r="H4714" s="11"/>
      <c r="I4714" s="12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</row>
    <row r="4715" spans="1:34" ht="14.25" customHeight="1" x14ac:dyDescent="0.25">
      <c r="A4715" s="3"/>
      <c r="B4715" s="3"/>
      <c r="C4715" s="3"/>
      <c r="D4715" s="3"/>
      <c r="E4715" s="3"/>
      <c r="F4715" s="3"/>
      <c r="G4715" s="3"/>
      <c r="H4715" s="11"/>
      <c r="I4715" s="12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</row>
    <row r="4716" spans="1:34" ht="14.25" customHeight="1" x14ac:dyDescent="0.25">
      <c r="A4716" s="3"/>
      <c r="B4716" s="3"/>
      <c r="C4716" s="3"/>
      <c r="D4716" s="3"/>
      <c r="E4716" s="3"/>
      <c r="F4716" s="3"/>
      <c r="G4716" s="3"/>
      <c r="H4716" s="11"/>
      <c r="I4716" s="12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</row>
    <row r="4717" spans="1:34" ht="14.25" customHeight="1" x14ac:dyDescent="0.25">
      <c r="A4717" s="3"/>
      <c r="B4717" s="3"/>
      <c r="C4717" s="3"/>
      <c r="D4717" s="3"/>
      <c r="E4717" s="3"/>
      <c r="F4717" s="3"/>
      <c r="G4717" s="3"/>
      <c r="H4717" s="11"/>
      <c r="I4717" s="12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</row>
    <row r="4718" spans="1:34" ht="14.25" customHeight="1" x14ac:dyDescent="0.25">
      <c r="A4718" s="3"/>
      <c r="B4718" s="3"/>
      <c r="C4718" s="3"/>
      <c r="D4718" s="3"/>
      <c r="E4718" s="3"/>
      <c r="F4718" s="3"/>
      <c r="G4718" s="3"/>
      <c r="H4718" s="11"/>
      <c r="I4718" s="12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</row>
    <row r="4719" spans="1:34" ht="14.25" customHeight="1" x14ac:dyDescent="0.25">
      <c r="A4719" s="3"/>
      <c r="B4719" s="3"/>
      <c r="C4719" s="3"/>
      <c r="D4719" s="3"/>
      <c r="E4719" s="3"/>
      <c r="F4719" s="3"/>
      <c r="G4719" s="3"/>
      <c r="H4719" s="11"/>
      <c r="I4719" s="12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</row>
    <row r="4720" spans="1:34" ht="14.25" customHeight="1" x14ac:dyDescent="0.25">
      <c r="A4720" s="3"/>
      <c r="B4720" s="3"/>
      <c r="C4720" s="3"/>
      <c r="D4720" s="3"/>
      <c r="E4720" s="3"/>
      <c r="F4720" s="3"/>
      <c r="G4720" s="3"/>
      <c r="H4720" s="11"/>
      <c r="I4720" s="12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</row>
    <row r="4721" spans="1:34" ht="14.25" customHeight="1" x14ac:dyDescent="0.25">
      <c r="A4721" s="3"/>
      <c r="B4721" s="3"/>
      <c r="C4721" s="3"/>
      <c r="D4721" s="3"/>
      <c r="E4721" s="3"/>
      <c r="F4721" s="3"/>
      <c r="G4721" s="3"/>
      <c r="H4721" s="11"/>
      <c r="I4721" s="12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</row>
    <row r="4722" spans="1:34" ht="14.25" customHeight="1" x14ac:dyDescent="0.25">
      <c r="A4722" s="3"/>
      <c r="B4722" s="3"/>
      <c r="C4722" s="3"/>
      <c r="D4722" s="3"/>
      <c r="E4722" s="3"/>
      <c r="F4722" s="3"/>
      <c r="G4722" s="3"/>
      <c r="H4722" s="11"/>
      <c r="I4722" s="12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</row>
    <row r="4723" spans="1:34" ht="14.25" customHeight="1" x14ac:dyDescent="0.25">
      <c r="A4723" s="3"/>
      <c r="B4723" s="3"/>
      <c r="C4723" s="3"/>
      <c r="D4723" s="3"/>
      <c r="E4723" s="3"/>
      <c r="F4723" s="3"/>
      <c r="G4723" s="3"/>
      <c r="H4723" s="11"/>
      <c r="I4723" s="12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</row>
    <row r="4724" spans="1:34" ht="14.25" customHeight="1" x14ac:dyDescent="0.25">
      <c r="A4724" s="3"/>
      <c r="B4724" s="3"/>
      <c r="C4724" s="3"/>
      <c r="D4724" s="3"/>
      <c r="E4724" s="3"/>
      <c r="F4724" s="3"/>
      <c r="G4724" s="3"/>
      <c r="H4724" s="11"/>
      <c r="I4724" s="12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</row>
    <row r="4725" spans="1:34" ht="14.25" customHeight="1" x14ac:dyDescent="0.25">
      <c r="A4725" s="3"/>
      <c r="B4725" s="3"/>
      <c r="C4725" s="3"/>
      <c r="D4725" s="3"/>
      <c r="E4725" s="3"/>
      <c r="F4725" s="3"/>
      <c r="G4725" s="3"/>
      <c r="H4725" s="11"/>
      <c r="I4725" s="12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</row>
    <row r="4726" spans="1:34" ht="14.25" customHeight="1" x14ac:dyDescent="0.25">
      <c r="A4726" s="3"/>
      <c r="B4726" s="3"/>
      <c r="C4726" s="3"/>
      <c r="D4726" s="3"/>
      <c r="E4726" s="3"/>
      <c r="F4726" s="3"/>
      <c r="G4726" s="3"/>
      <c r="H4726" s="11"/>
      <c r="I4726" s="12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</row>
    <row r="4727" spans="1:34" ht="14.25" customHeight="1" x14ac:dyDescent="0.25">
      <c r="A4727" s="3"/>
      <c r="B4727" s="3"/>
      <c r="C4727" s="3"/>
      <c r="D4727" s="3"/>
      <c r="E4727" s="3"/>
      <c r="F4727" s="3"/>
      <c r="G4727" s="3"/>
      <c r="H4727" s="11"/>
      <c r="I4727" s="12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</row>
    <row r="4728" spans="1:34" ht="14.25" customHeight="1" x14ac:dyDescent="0.25">
      <c r="A4728" s="3"/>
      <c r="B4728" s="3"/>
      <c r="C4728" s="3"/>
      <c r="D4728" s="3"/>
      <c r="E4728" s="3"/>
      <c r="F4728" s="3"/>
      <c r="G4728" s="3"/>
      <c r="H4728" s="11"/>
      <c r="I4728" s="12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</row>
    <row r="4729" spans="1:34" ht="14.25" customHeight="1" x14ac:dyDescent="0.25">
      <c r="A4729" s="3"/>
      <c r="B4729" s="3"/>
      <c r="C4729" s="3"/>
      <c r="D4729" s="3"/>
      <c r="E4729" s="3"/>
      <c r="F4729" s="3"/>
      <c r="G4729" s="3"/>
      <c r="H4729" s="11"/>
      <c r="I4729" s="12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</row>
    <row r="4730" spans="1:34" ht="14.25" customHeight="1" x14ac:dyDescent="0.25">
      <c r="A4730" s="3"/>
      <c r="B4730" s="3"/>
      <c r="C4730" s="3"/>
      <c r="D4730" s="3"/>
      <c r="E4730" s="3"/>
      <c r="F4730" s="3"/>
      <c r="G4730" s="3"/>
      <c r="H4730" s="11"/>
      <c r="I4730" s="12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</row>
    <row r="4731" spans="1:34" ht="14.25" customHeight="1" x14ac:dyDescent="0.25">
      <c r="A4731" s="3"/>
      <c r="B4731" s="3"/>
      <c r="C4731" s="3"/>
      <c r="D4731" s="3"/>
      <c r="E4731" s="3"/>
      <c r="F4731" s="3"/>
      <c r="G4731" s="3"/>
      <c r="H4731" s="11"/>
      <c r="I4731" s="12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</row>
    <row r="4732" spans="1:34" ht="14.25" customHeight="1" x14ac:dyDescent="0.25">
      <c r="A4732" s="3"/>
      <c r="B4732" s="3"/>
      <c r="C4732" s="3"/>
      <c r="D4732" s="3"/>
      <c r="E4732" s="3"/>
      <c r="F4732" s="3"/>
      <c r="G4732" s="3"/>
      <c r="H4732" s="11"/>
      <c r="I4732" s="12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</row>
    <row r="4733" spans="1:34" ht="14.25" customHeight="1" x14ac:dyDescent="0.25">
      <c r="A4733" s="3"/>
      <c r="B4733" s="3"/>
      <c r="C4733" s="3"/>
      <c r="D4733" s="3"/>
      <c r="E4733" s="3"/>
      <c r="F4733" s="3"/>
      <c r="G4733" s="3"/>
      <c r="H4733" s="11"/>
      <c r="I4733" s="12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</row>
    <row r="4734" spans="1:34" ht="14.25" customHeight="1" x14ac:dyDescent="0.25">
      <c r="A4734" s="3"/>
      <c r="B4734" s="3"/>
      <c r="C4734" s="3"/>
      <c r="D4734" s="3"/>
      <c r="E4734" s="3"/>
      <c r="F4734" s="3"/>
      <c r="G4734" s="3"/>
      <c r="H4734" s="11"/>
      <c r="I4734" s="12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</row>
    <row r="4735" spans="1:34" ht="14.25" customHeight="1" x14ac:dyDescent="0.25">
      <c r="A4735" s="3"/>
      <c r="B4735" s="3"/>
      <c r="C4735" s="3"/>
      <c r="D4735" s="3"/>
      <c r="E4735" s="3"/>
      <c r="F4735" s="3"/>
      <c r="G4735" s="3"/>
      <c r="H4735" s="11"/>
      <c r="I4735" s="12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</row>
    <row r="4736" spans="1:34" ht="14.25" customHeight="1" x14ac:dyDescent="0.25">
      <c r="A4736" s="3"/>
      <c r="B4736" s="3"/>
      <c r="C4736" s="3"/>
      <c r="D4736" s="3"/>
      <c r="E4736" s="3"/>
      <c r="F4736" s="3"/>
      <c r="G4736" s="3"/>
      <c r="H4736" s="11"/>
      <c r="I4736" s="12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</row>
    <row r="4737" spans="1:34" ht="14.25" customHeight="1" x14ac:dyDescent="0.25">
      <c r="A4737" s="3"/>
      <c r="B4737" s="3"/>
      <c r="C4737" s="3"/>
      <c r="D4737" s="3"/>
      <c r="E4737" s="3"/>
      <c r="F4737" s="3"/>
      <c r="G4737" s="3"/>
      <c r="H4737" s="11"/>
      <c r="I4737" s="12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</row>
    <row r="4738" spans="1:34" ht="14.25" customHeight="1" x14ac:dyDescent="0.25">
      <c r="A4738" s="3"/>
      <c r="B4738" s="3"/>
      <c r="C4738" s="3"/>
      <c r="D4738" s="3"/>
      <c r="E4738" s="3"/>
      <c r="F4738" s="3"/>
      <c r="G4738" s="3"/>
      <c r="H4738" s="11"/>
      <c r="I4738" s="12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</row>
    <row r="4739" spans="1:34" ht="14.25" customHeight="1" x14ac:dyDescent="0.25">
      <c r="A4739" s="3"/>
      <c r="B4739" s="3"/>
      <c r="C4739" s="3"/>
      <c r="D4739" s="3"/>
      <c r="E4739" s="3"/>
      <c r="F4739" s="3"/>
      <c r="G4739" s="3"/>
      <c r="H4739" s="11"/>
      <c r="I4739" s="12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</row>
    <row r="4740" spans="1:34" ht="14.25" customHeight="1" x14ac:dyDescent="0.25">
      <c r="A4740" s="3"/>
      <c r="B4740" s="3"/>
      <c r="C4740" s="3"/>
      <c r="D4740" s="3"/>
      <c r="E4740" s="3"/>
      <c r="F4740" s="3"/>
      <c r="G4740" s="3"/>
      <c r="H4740" s="11"/>
      <c r="I4740" s="12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</row>
    <row r="4741" spans="1:34" ht="14.25" customHeight="1" x14ac:dyDescent="0.25">
      <c r="A4741" s="3"/>
      <c r="B4741" s="3"/>
      <c r="C4741" s="3"/>
      <c r="D4741" s="3"/>
      <c r="E4741" s="3"/>
      <c r="F4741" s="3"/>
      <c r="G4741" s="3"/>
      <c r="H4741" s="11"/>
      <c r="I4741" s="12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</row>
    <row r="4742" spans="1:34" ht="14.25" customHeight="1" x14ac:dyDescent="0.25">
      <c r="A4742" s="3"/>
      <c r="B4742" s="3"/>
      <c r="C4742" s="3"/>
      <c r="D4742" s="3"/>
      <c r="E4742" s="3"/>
      <c r="F4742" s="3"/>
      <c r="G4742" s="3"/>
      <c r="H4742" s="11"/>
      <c r="I4742" s="12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</row>
    <row r="4743" spans="1:34" ht="14.25" customHeight="1" x14ac:dyDescent="0.25">
      <c r="A4743" s="3"/>
      <c r="B4743" s="3"/>
      <c r="C4743" s="3"/>
      <c r="D4743" s="3"/>
      <c r="E4743" s="3"/>
      <c r="F4743" s="3"/>
      <c r="G4743" s="3"/>
      <c r="H4743" s="11"/>
      <c r="I4743" s="12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</row>
    <row r="4744" spans="1:34" ht="14.25" customHeight="1" x14ac:dyDescent="0.25">
      <c r="A4744" s="3"/>
      <c r="B4744" s="3"/>
      <c r="C4744" s="3"/>
      <c r="D4744" s="3"/>
      <c r="E4744" s="3"/>
      <c r="F4744" s="3"/>
      <c r="G4744" s="3"/>
      <c r="H4744" s="11"/>
      <c r="I4744" s="12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</row>
    <row r="4745" spans="1:34" ht="14.25" customHeight="1" x14ac:dyDescent="0.25">
      <c r="A4745" s="3"/>
      <c r="B4745" s="3"/>
      <c r="C4745" s="3"/>
      <c r="D4745" s="3"/>
      <c r="E4745" s="3"/>
      <c r="F4745" s="3"/>
      <c r="G4745" s="3"/>
      <c r="H4745" s="11"/>
      <c r="I4745" s="12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</row>
    <row r="4746" spans="1:34" ht="14.25" customHeight="1" x14ac:dyDescent="0.25">
      <c r="A4746" s="3"/>
      <c r="B4746" s="3"/>
      <c r="C4746" s="3"/>
      <c r="D4746" s="3"/>
      <c r="E4746" s="3"/>
      <c r="F4746" s="3"/>
      <c r="G4746" s="3"/>
      <c r="H4746" s="11"/>
      <c r="I4746" s="12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</row>
    <row r="4747" spans="1:34" ht="14.25" customHeight="1" x14ac:dyDescent="0.25">
      <c r="A4747" s="3"/>
      <c r="B4747" s="3"/>
      <c r="C4747" s="3"/>
      <c r="D4747" s="3"/>
      <c r="E4747" s="3"/>
      <c r="F4747" s="3"/>
      <c r="G4747" s="3"/>
      <c r="H4747" s="11"/>
      <c r="I4747" s="12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</row>
    <row r="4748" spans="1:34" ht="14.25" customHeight="1" x14ac:dyDescent="0.25">
      <c r="A4748" s="3"/>
      <c r="B4748" s="3"/>
      <c r="C4748" s="3"/>
      <c r="D4748" s="3"/>
      <c r="E4748" s="3"/>
      <c r="F4748" s="3"/>
      <c r="G4748" s="3"/>
      <c r="H4748" s="11"/>
      <c r="I4748" s="12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</row>
    <row r="4749" spans="1:34" ht="14.25" customHeight="1" x14ac:dyDescent="0.25">
      <c r="A4749" s="3"/>
      <c r="B4749" s="3"/>
      <c r="C4749" s="3"/>
      <c r="D4749" s="3"/>
      <c r="E4749" s="3"/>
      <c r="F4749" s="3"/>
      <c r="G4749" s="3"/>
      <c r="H4749" s="11"/>
      <c r="I4749" s="12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</row>
    <row r="4750" spans="1:34" ht="14.25" customHeight="1" x14ac:dyDescent="0.25">
      <c r="A4750" s="3"/>
      <c r="B4750" s="3"/>
      <c r="C4750" s="3"/>
      <c r="D4750" s="3"/>
      <c r="E4750" s="3"/>
      <c r="F4750" s="3"/>
      <c r="G4750" s="3"/>
      <c r="H4750" s="11"/>
      <c r="I4750" s="12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</row>
    <row r="4751" spans="1:34" ht="14.25" customHeight="1" x14ac:dyDescent="0.25">
      <c r="A4751" s="3"/>
      <c r="B4751" s="3"/>
      <c r="C4751" s="3"/>
      <c r="D4751" s="3"/>
      <c r="E4751" s="3"/>
      <c r="F4751" s="3"/>
      <c r="G4751" s="3"/>
      <c r="H4751" s="11"/>
      <c r="I4751" s="12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</row>
    <row r="4752" spans="1:34" ht="14.25" customHeight="1" x14ac:dyDescent="0.25">
      <c r="A4752" s="3"/>
      <c r="B4752" s="3"/>
      <c r="C4752" s="3"/>
      <c r="D4752" s="3"/>
      <c r="E4752" s="3"/>
      <c r="F4752" s="3"/>
      <c r="G4752" s="3"/>
      <c r="H4752" s="11"/>
      <c r="I4752" s="12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</row>
    <row r="4753" spans="1:34" ht="14.25" customHeight="1" x14ac:dyDescent="0.25">
      <c r="A4753" s="3"/>
      <c r="B4753" s="3"/>
      <c r="C4753" s="3"/>
      <c r="D4753" s="3"/>
      <c r="E4753" s="3"/>
      <c r="F4753" s="3"/>
      <c r="G4753" s="3"/>
      <c r="H4753" s="11"/>
      <c r="I4753" s="12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</row>
    <row r="4754" spans="1:34" ht="14.25" customHeight="1" x14ac:dyDescent="0.25">
      <c r="A4754" s="3"/>
      <c r="B4754" s="3"/>
      <c r="C4754" s="3"/>
      <c r="D4754" s="3"/>
      <c r="E4754" s="3"/>
      <c r="F4754" s="3"/>
      <c r="G4754" s="3"/>
      <c r="H4754" s="11"/>
      <c r="I4754" s="12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</row>
    <row r="4755" spans="1:34" ht="14.25" customHeight="1" x14ac:dyDescent="0.25">
      <c r="A4755" s="3"/>
      <c r="B4755" s="3"/>
      <c r="C4755" s="3"/>
      <c r="D4755" s="3"/>
      <c r="E4755" s="3"/>
      <c r="F4755" s="3"/>
      <c r="G4755" s="3"/>
      <c r="H4755" s="11"/>
      <c r="I4755" s="12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</row>
    <row r="4756" spans="1:34" ht="14.25" customHeight="1" x14ac:dyDescent="0.25">
      <c r="A4756" s="3"/>
      <c r="B4756" s="3"/>
      <c r="C4756" s="3"/>
      <c r="D4756" s="3"/>
      <c r="E4756" s="3"/>
      <c r="F4756" s="3"/>
      <c r="G4756" s="3"/>
      <c r="H4756" s="11"/>
      <c r="I4756" s="12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</row>
    <row r="4757" spans="1:34" ht="14.25" customHeight="1" x14ac:dyDescent="0.25">
      <c r="A4757" s="3"/>
      <c r="B4757" s="3"/>
      <c r="C4757" s="3"/>
      <c r="D4757" s="3"/>
      <c r="E4757" s="3"/>
      <c r="F4757" s="3"/>
      <c r="G4757" s="3"/>
      <c r="H4757" s="11"/>
      <c r="I4757" s="12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</row>
    <row r="4758" spans="1:34" ht="14.25" customHeight="1" x14ac:dyDescent="0.25">
      <c r="A4758" s="3"/>
      <c r="B4758" s="3"/>
      <c r="C4758" s="3"/>
      <c r="D4758" s="3"/>
      <c r="E4758" s="3"/>
      <c r="F4758" s="3"/>
      <c r="G4758" s="3"/>
      <c r="H4758" s="11"/>
      <c r="I4758" s="12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</row>
    <row r="4759" spans="1:34" ht="14.25" customHeight="1" x14ac:dyDescent="0.25">
      <c r="A4759" s="3"/>
      <c r="B4759" s="3"/>
      <c r="C4759" s="3"/>
      <c r="D4759" s="3"/>
      <c r="E4759" s="3"/>
      <c r="F4759" s="3"/>
      <c r="G4759" s="3"/>
      <c r="H4759" s="11"/>
      <c r="I4759" s="12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</row>
    <row r="4760" spans="1:34" ht="14.25" customHeight="1" x14ac:dyDescent="0.25">
      <c r="A4760" s="3"/>
      <c r="B4760" s="3"/>
      <c r="C4760" s="3"/>
      <c r="D4760" s="3"/>
      <c r="E4760" s="3"/>
      <c r="F4760" s="3"/>
      <c r="G4760" s="3"/>
      <c r="H4760" s="11"/>
      <c r="I4760" s="12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</row>
    <row r="4761" spans="1:34" ht="14.25" customHeight="1" x14ac:dyDescent="0.25">
      <c r="A4761" s="3"/>
      <c r="B4761" s="3"/>
      <c r="C4761" s="3"/>
      <c r="D4761" s="3"/>
      <c r="E4761" s="3"/>
      <c r="F4761" s="3"/>
      <c r="G4761" s="3"/>
      <c r="H4761" s="11"/>
      <c r="I4761" s="12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</row>
    <row r="4762" spans="1:34" ht="14.25" customHeight="1" x14ac:dyDescent="0.25">
      <c r="A4762" s="3"/>
      <c r="B4762" s="3"/>
      <c r="C4762" s="3"/>
      <c r="D4762" s="3"/>
      <c r="E4762" s="3"/>
      <c r="F4762" s="3"/>
      <c r="G4762" s="3"/>
      <c r="H4762" s="11"/>
      <c r="I4762" s="12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</row>
    <row r="4763" spans="1:34" ht="14.25" customHeight="1" x14ac:dyDescent="0.25">
      <c r="A4763" s="3"/>
      <c r="B4763" s="3"/>
      <c r="C4763" s="3"/>
      <c r="D4763" s="3"/>
      <c r="E4763" s="3"/>
      <c r="F4763" s="3"/>
      <c r="G4763" s="3"/>
      <c r="H4763" s="11"/>
      <c r="I4763" s="12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</row>
    <row r="4764" spans="1:34" ht="14.25" customHeight="1" x14ac:dyDescent="0.25">
      <c r="A4764" s="3"/>
      <c r="B4764" s="3"/>
      <c r="C4764" s="3"/>
      <c r="D4764" s="3"/>
      <c r="E4764" s="3"/>
      <c r="F4764" s="3"/>
      <c r="G4764" s="3"/>
      <c r="H4764" s="11"/>
      <c r="I4764" s="12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</row>
    <row r="4765" spans="1:34" ht="14.25" customHeight="1" x14ac:dyDescent="0.25">
      <c r="A4765" s="3"/>
      <c r="B4765" s="3"/>
      <c r="C4765" s="3"/>
      <c r="D4765" s="3"/>
      <c r="E4765" s="3"/>
      <c r="F4765" s="3"/>
      <c r="G4765" s="3"/>
      <c r="H4765" s="11"/>
      <c r="I4765" s="12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</row>
    <row r="4766" spans="1:34" ht="14.25" customHeight="1" x14ac:dyDescent="0.25">
      <c r="A4766" s="3"/>
      <c r="B4766" s="3"/>
      <c r="C4766" s="3"/>
      <c r="D4766" s="3"/>
      <c r="E4766" s="3"/>
      <c r="F4766" s="3"/>
      <c r="G4766" s="3"/>
      <c r="H4766" s="11"/>
      <c r="I4766" s="12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</row>
    <row r="4767" spans="1:34" ht="14.25" customHeight="1" x14ac:dyDescent="0.25">
      <c r="A4767" s="3"/>
      <c r="B4767" s="3"/>
      <c r="C4767" s="3"/>
      <c r="D4767" s="3"/>
      <c r="E4767" s="3"/>
      <c r="F4767" s="3"/>
      <c r="G4767" s="3"/>
      <c r="H4767" s="11"/>
      <c r="I4767" s="12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</row>
    <row r="4768" spans="1:34" ht="14.25" customHeight="1" x14ac:dyDescent="0.25">
      <c r="A4768" s="3"/>
      <c r="B4768" s="3"/>
      <c r="C4768" s="3"/>
      <c r="D4768" s="3"/>
      <c r="E4768" s="3"/>
      <c r="F4768" s="3"/>
      <c r="G4768" s="3"/>
      <c r="H4768" s="11"/>
      <c r="I4768" s="12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</row>
    <row r="4769" spans="1:34" ht="14.25" customHeight="1" x14ac:dyDescent="0.25">
      <c r="A4769" s="3"/>
      <c r="B4769" s="3"/>
      <c r="C4769" s="3"/>
      <c r="D4769" s="3"/>
      <c r="E4769" s="3"/>
      <c r="F4769" s="3"/>
      <c r="G4769" s="3"/>
      <c r="H4769" s="11"/>
      <c r="I4769" s="12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</row>
    <row r="4770" spans="1:34" ht="14.25" customHeight="1" x14ac:dyDescent="0.25">
      <c r="A4770" s="3"/>
      <c r="B4770" s="3"/>
      <c r="C4770" s="3"/>
      <c r="D4770" s="3"/>
      <c r="E4770" s="3"/>
      <c r="F4770" s="3"/>
      <c r="G4770" s="3"/>
      <c r="H4770" s="11"/>
      <c r="I4770" s="12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</row>
    <row r="4771" spans="1:34" ht="14.25" customHeight="1" x14ac:dyDescent="0.25">
      <c r="A4771" s="3"/>
      <c r="B4771" s="3"/>
      <c r="C4771" s="3"/>
      <c r="D4771" s="3"/>
      <c r="E4771" s="3"/>
      <c r="F4771" s="3"/>
      <c r="G4771" s="3"/>
      <c r="H4771" s="11"/>
      <c r="I4771" s="12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</row>
    <row r="4772" spans="1:34" ht="14.25" customHeight="1" x14ac:dyDescent="0.25">
      <c r="A4772" s="3"/>
      <c r="B4772" s="3"/>
      <c r="C4772" s="3"/>
      <c r="D4772" s="3"/>
      <c r="E4772" s="3"/>
      <c r="F4772" s="3"/>
      <c r="G4772" s="3"/>
      <c r="H4772" s="11"/>
      <c r="I4772" s="12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</row>
    <row r="4773" spans="1:34" ht="14.25" customHeight="1" x14ac:dyDescent="0.25">
      <c r="A4773" s="3"/>
      <c r="B4773" s="3"/>
      <c r="C4773" s="3"/>
      <c r="D4773" s="3"/>
      <c r="E4773" s="3"/>
      <c r="F4773" s="3"/>
      <c r="G4773" s="3"/>
      <c r="H4773" s="11"/>
      <c r="I4773" s="12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</row>
    <row r="4774" spans="1:34" ht="14.25" customHeight="1" x14ac:dyDescent="0.25">
      <c r="A4774" s="3"/>
      <c r="B4774" s="3"/>
      <c r="C4774" s="3"/>
      <c r="D4774" s="3"/>
      <c r="E4774" s="3"/>
      <c r="F4774" s="3"/>
      <c r="G4774" s="3"/>
      <c r="H4774" s="11"/>
      <c r="I4774" s="12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</row>
    <row r="4775" spans="1:34" ht="14.25" customHeight="1" x14ac:dyDescent="0.25">
      <c r="A4775" s="3"/>
      <c r="B4775" s="3"/>
      <c r="C4775" s="3"/>
      <c r="D4775" s="3"/>
      <c r="E4775" s="3"/>
      <c r="F4775" s="3"/>
      <c r="G4775" s="3"/>
      <c r="H4775" s="11"/>
      <c r="I4775" s="12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</row>
    <row r="4776" spans="1:34" ht="14.25" customHeight="1" x14ac:dyDescent="0.25">
      <c r="A4776" s="3"/>
      <c r="B4776" s="3"/>
      <c r="C4776" s="3"/>
      <c r="D4776" s="3"/>
      <c r="E4776" s="3"/>
      <c r="F4776" s="3"/>
      <c r="G4776" s="3"/>
      <c r="H4776" s="11"/>
      <c r="I4776" s="12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</row>
    <row r="4777" spans="1:34" ht="14.25" customHeight="1" x14ac:dyDescent="0.25">
      <c r="A4777" s="3"/>
      <c r="B4777" s="3"/>
      <c r="C4777" s="3"/>
      <c r="D4777" s="3"/>
      <c r="E4777" s="3"/>
      <c r="F4777" s="3"/>
      <c r="G4777" s="3"/>
      <c r="H4777" s="11"/>
      <c r="I4777" s="12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</row>
    <row r="4778" spans="1:34" ht="14.25" customHeight="1" x14ac:dyDescent="0.25">
      <c r="A4778" s="3"/>
      <c r="B4778" s="3"/>
      <c r="C4778" s="3"/>
      <c r="D4778" s="3"/>
      <c r="E4778" s="3"/>
      <c r="F4778" s="3"/>
      <c r="G4778" s="3"/>
      <c r="H4778" s="11"/>
      <c r="I4778" s="12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</row>
    <row r="4779" spans="1:34" ht="14.25" customHeight="1" x14ac:dyDescent="0.25">
      <c r="A4779" s="3"/>
      <c r="B4779" s="3"/>
      <c r="C4779" s="3"/>
      <c r="D4779" s="3"/>
      <c r="E4779" s="3"/>
      <c r="F4779" s="3"/>
      <c r="G4779" s="3"/>
      <c r="H4779" s="11"/>
      <c r="I4779" s="12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</row>
    <row r="4780" spans="1:34" ht="14.25" customHeight="1" x14ac:dyDescent="0.25">
      <c r="A4780" s="3"/>
      <c r="B4780" s="3"/>
      <c r="C4780" s="3"/>
      <c r="D4780" s="3"/>
      <c r="E4780" s="3"/>
      <c r="F4780" s="3"/>
      <c r="G4780" s="3"/>
      <c r="H4780" s="11"/>
      <c r="I4780" s="12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</row>
    <row r="4781" spans="1:34" ht="14.25" customHeight="1" x14ac:dyDescent="0.25">
      <c r="A4781" s="3"/>
      <c r="B4781" s="3"/>
      <c r="C4781" s="3"/>
      <c r="D4781" s="3"/>
      <c r="E4781" s="3"/>
      <c r="F4781" s="3"/>
      <c r="G4781" s="3"/>
      <c r="H4781" s="11"/>
      <c r="I4781" s="12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</row>
    <row r="4782" spans="1:34" ht="14.25" customHeight="1" x14ac:dyDescent="0.25">
      <c r="A4782" s="3"/>
      <c r="B4782" s="3"/>
      <c r="C4782" s="3"/>
      <c r="D4782" s="3"/>
      <c r="E4782" s="3"/>
      <c r="F4782" s="3"/>
      <c r="G4782" s="3"/>
      <c r="H4782" s="11"/>
      <c r="I4782" s="12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</row>
    <row r="4783" spans="1:34" ht="14.25" customHeight="1" x14ac:dyDescent="0.25">
      <c r="A4783" s="3"/>
      <c r="B4783" s="3"/>
      <c r="C4783" s="3"/>
      <c r="D4783" s="3"/>
      <c r="E4783" s="3"/>
      <c r="F4783" s="3"/>
      <c r="G4783" s="3"/>
      <c r="H4783" s="11"/>
      <c r="I4783" s="12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</row>
    <row r="4784" spans="1:34" ht="14.25" customHeight="1" x14ac:dyDescent="0.25">
      <c r="A4784" s="3"/>
      <c r="B4784" s="3"/>
      <c r="C4784" s="3"/>
      <c r="D4784" s="3"/>
      <c r="E4784" s="3"/>
      <c r="F4784" s="3"/>
      <c r="G4784" s="3"/>
      <c r="H4784" s="11"/>
      <c r="I4784" s="12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</row>
    <row r="4785" spans="1:34" ht="14.25" customHeight="1" x14ac:dyDescent="0.25">
      <c r="A4785" s="3"/>
      <c r="B4785" s="3"/>
      <c r="C4785" s="3"/>
      <c r="D4785" s="3"/>
      <c r="E4785" s="3"/>
      <c r="F4785" s="3"/>
      <c r="G4785" s="3"/>
      <c r="H4785" s="11"/>
      <c r="I4785" s="12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</row>
    <row r="4786" spans="1:34" ht="14.25" customHeight="1" x14ac:dyDescent="0.25">
      <c r="A4786" s="3"/>
      <c r="B4786" s="3"/>
      <c r="C4786" s="3"/>
      <c r="D4786" s="3"/>
      <c r="E4786" s="3"/>
      <c r="F4786" s="3"/>
      <c r="G4786" s="3"/>
      <c r="H4786" s="11"/>
      <c r="I4786" s="12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</row>
    <row r="4787" spans="1:34" ht="14.25" customHeight="1" x14ac:dyDescent="0.25">
      <c r="A4787" s="3"/>
      <c r="B4787" s="3"/>
      <c r="C4787" s="3"/>
      <c r="D4787" s="3"/>
      <c r="E4787" s="3"/>
      <c r="F4787" s="3"/>
      <c r="G4787" s="3"/>
      <c r="H4787" s="11"/>
      <c r="I4787" s="12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</row>
    <row r="4788" spans="1:34" ht="14.25" customHeight="1" x14ac:dyDescent="0.25">
      <c r="A4788" s="3"/>
      <c r="B4788" s="3"/>
      <c r="C4788" s="3"/>
      <c r="D4788" s="3"/>
      <c r="E4788" s="3"/>
      <c r="F4788" s="3"/>
      <c r="G4788" s="3"/>
      <c r="H4788" s="11"/>
      <c r="I4788" s="12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</row>
    <row r="4789" spans="1:34" ht="14.25" customHeight="1" x14ac:dyDescent="0.25">
      <c r="A4789" s="3"/>
      <c r="B4789" s="3"/>
      <c r="C4789" s="3"/>
      <c r="D4789" s="3"/>
      <c r="E4789" s="3"/>
      <c r="F4789" s="3"/>
      <c r="G4789" s="3"/>
      <c r="H4789" s="11"/>
      <c r="I4789" s="12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</row>
    <row r="4790" spans="1:34" ht="14.25" customHeight="1" x14ac:dyDescent="0.25">
      <c r="A4790" s="3"/>
      <c r="B4790" s="3"/>
      <c r="C4790" s="3"/>
      <c r="D4790" s="3"/>
      <c r="E4790" s="3"/>
      <c r="F4790" s="3"/>
      <c r="G4790" s="3"/>
      <c r="H4790" s="11"/>
      <c r="I4790" s="12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</row>
    <row r="4791" spans="1:34" ht="14.25" customHeight="1" x14ac:dyDescent="0.25">
      <c r="A4791" s="3"/>
      <c r="B4791" s="3"/>
      <c r="C4791" s="3"/>
      <c r="D4791" s="3"/>
      <c r="E4791" s="3"/>
      <c r="F4791" s="3"/>
      <c r="G4791" s="3"/>
      <c r="H4791" s="11"/>
      <c r="I4791" s="12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</row>
    <row r="4792" spans="1:34" ht="14.25" customHeight="1" x14ac:dyDescent="0.25">
      <c r="A4792" s="3"/>
      <c r="B4792" s="3"/>
      <c r="C4792" s="3"/>
      <c r="D4792" s="3"/>
      <c r="E4792" s="3"/>
      <c r="F4792" s="3"/>
      <c r="G4792" s="3"/>
      <c r="H4792" s="11"/>
      <c r="I4792" s="12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</row>
    <row r="4793" spans="1:34" ht="14.25" customHeight="1" x14ac:dyDescent="0.25">
      <c r="A4793" s="3"/>
      <c r="B4793" s="3"/>
      <c r="C4793" s="3"/>
      <c r="D4793" s="3"/>
      <c r="E4793" s="3"/>
      <c r="F4793" s="3"/>
      <c r="G4793" s="3"/>
      <c r="H4793" s="11"/>
      <c r="I4793" s="12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</row>
    <row r="4794" spans="1:34" ht="14.25" customHeight="1" x14ac:dyDescent="0.25">
      <c r="A4794" s="3"/>
      <c r="B4794" s="3"/>
      <c r="C4794" s="3"/>
      <c r="D4794" s="3"/>
      <c r="E4794" s="3"/>
      <c r="F4794" s="3"/>
      <c r="G4794" s="3"/>
      <c r="H4794" s="11"/>
      <c r="I4794" s="12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</row>
    <row r="4795" spans="1:34" ht="14.25" customHeight="1" x14ac:dyDescent="0.25">
      <c r="A4795" s="3"/>
      <c r="B4795" s="3"/>
      <c r="C4795" s="3"/>
      <c r="D4795" s="3"/>
      <c r="E4795" s="3"/>
      <c r="F4795" s="3"/>
      <c r="G4795" s="3"/>
      <c r="H4795" s="11"/>
      <c r="I4795" s="12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</row>
    <row r="4796" spans="1:34" ht="14.25" customHeight="1" x14ac:dyDescent="0.25">
      <c r="A4796" s="3"/>
      <c r="B4796" s="3"/>
      <c r="C4796" s="3"/>
      <c r="D4796" s="3"/>
      <c r="E4796" s="3"/>
      <c r="F4796" s="3"/>
      <c r="G4796" s="3"/>
      <c r="H4796" s="11"/>
      <c r="I4796" s="12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</row>
    <row r="4797" spans="1:34" ht="14.25" customHeight="1" x14ac:dyDescent="0.25">
      <c r="A4797" s="3"/>
      <c r="B4797" s="3"/>
      <c r="C4797" s="3"/>
      <c r="D4797" s="3"/>
      <c r="E4797" s="3"/>
      <c r="F4797" s="3"/>
      <c r="G4797" s="3"/>
      <c r="H4797" s="11"/>
      <c r="I4797" s="12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</row>
    <row r="4798" spans="1:34" ht="14.25" customHeight="1" x14ac:dyDescent="0.25">
      <c r="A4798" s="3"/>
      <c r="B4798" s="3"/>
      <c r="C4798" s="3"/>
      <c r="D4798" s="3"/>
      <c r="E4798" s="3"/>
      <c r="F4798" s="3"/>
      <c r="G4798" s="3"/>
      <c r="H4798" s="11"/>
      <c r="I4798" s="12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</row>
    <row r="4799" spans="1:34" ht="14.25" customHeight="1" x14ac:dyDescent="0.25">
      <c r="A4799" s="3"/>
      <c r="B4799" s="3"/>
      <c r="C4799" s="3"/>
      <c r="D4799" s="3"/>
      <c r="E4799" s="3"/>
      <c r="F4799" s="3"/>
      <c r="G4799" s="3"/>
      <c r="H4799" s="11"/>
      <c r="I4799" s="12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</row>
    <row r="4800" spans="1:34" ht="14.25" customHeight="1" x14ac:dyDescent="0.25">
      <c r="A4800" s="3"/>
      <c r="B4800" s="3"/>
      <c r="C4800" s="3"/>
      <c r="D4800" s="3"/>
      <c r="E4800" s="3"/>
      <c r="F4800" s="3"/>
      <c r="G4800" s="3"/>
      <c r="H4800" s="11"/>
      <c r="I4800" s="12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</row>
    <row r="4801" spans="1:34" ht="14.25" customHeight="1" x14ac:dyDescent="0.25">
      <c r="A4801" s="3"/>
      <c r="B4801" s="3"/>
      <c r="C4801" s="3"/>
      <c r="D4801" s="3"/>
      <c r="E4801" s="3"/>
      <c r="F4801" s="3"/>
      <c r="G4801" s="3"/>
      <c r="H4801" s="11"/>
      <c r="I4801" s="12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</row>
    <row r="4802" spans="1:34" ht="14.25" customHeight="1" x14ac:dyDescent="0.25">
      <c r="A4802" s="3"/>
      <c r="B4802" s="3"/>
      <c r="C4802" s="3"/>
      <c r="D4802" s="3"/>
      <c r="E4802" s="3"/>
      <c r="F4802" s="3"/>
      <c r="G4802" s="3"/>
      <c r="H4802" s="11"/>
      <c r="I4802" s="12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</row>
    <row r="4803" spans="1:34" ht="14.25" customHeight="1" x14ac:dyDescent="0.25">
      <c r="A4803" s="3"/>
      <c r="B4803" s="3"/>
      <c r="C4803" s="3"/>
      <c r="D4803" s="3"/>
      <c r="E4803" s="3"/>
      <c r="F4803" s="3"/>
      <c r="G4803" s="3"/>
      <c r="H4803" s="11"/>
      <c r="I4803" s="12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</row>
    <row r="4804" spans="1:34" ht="14.25" customHeight="1" x14ac:dyDescent="0.25">
      <c r="A4804" s="3"/>
      <c r="B4804" s="3"/>
      <c r="C4804" s="3"/>
      <c r="D4804" s="3"/>
      <c r="E4804" s="3"/>
      <c r="F4804" s="3"/>
      <c r="G4804" s="3"/>
      <c r="H4804" s="11"/>
      <c r="I4804" s="12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</row>
    <row r="4805" spans="1:34" ht="14.25" customHeight="1" x14ac:dyDescent="0.25">
      <c r="A4805" s="3"/>
      <c r="B4805" s="3"/>
      <c r="C4805" s="3"/>
      <c r="D4805" s="3"/>
      <c r="E4805" s="3"/>
      <c r="F4805" s="3"/>
      <c r="G4805" s="3"/>
      <c r="H4805" s="11"/>
      <c r="I4805" s="12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</row>
    <row r="4806" spans="1:34" ht="14.25" customHeight="1" x14ac:dyDescent="0.25">
      <c r="A4806" s="3"/>
      <c r="B4806" s="3"/>
      <c r="C4806" s="3"/>
      <c r="D4806" s="3"/>
      <c r="E4806" s="3"/>
      <c r="F4806" s="3"/>
      <c r="G4806" s="3"/>
      <c r="H4806" s="11"/>
      <c r="I4806" s="12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</row>
    <row r="4807" spans="1:34" ht="14.25" customHeight="1" x14ac:dyDescent="0.25">
      <c r="A4807" s="3"/>
      <c r="B4807" s="3"/>
      <c r="C4807" s="3"/>
      <c r="D4807" s="3"/>
      <c r="E4807" s="3"/>
      <c r="F4807" s="3"/>
      <c r="G4807" s="3"/>
      <c r="H4807" s="11"/>
      <c r="I4807" s="12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</row>
    <row r="4808" spans="1:34" ht="14.25" customHeight="1" x14ac:dyDescent="0.25">
      <c r="A4808" s="3"/>
      <c r="B4808" s="3"/>
      <c r="C4808" s="3"/>
      <c r="D4808" s="3"/>
      <c r="E4808" s="3"/>
      <c r="F4808" s="3"/>
      <c r="G4808" s="3"/>
      <c r="H4808" s="11"/>
      <c r="I4808" s="12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</row>
    <row r="4809" spans="1:34" ht="14.25" customHeight="1" x14ac:dyDescent="0.25">
      <c r="A4809" s="3"/>
      <c r="B4809" s="3"/>
      <c r="C4809" s="3"/>
      <c r="D4809" s="3"/>
      <c r="E4809" s="3"/>
      <c r="F4809" s="3"/>
      <c r="G4809" s="3"/>
      <c r="H4809" s="11"/>
      <c r="I4809" s="12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</row>
    <row r="4810" spans="1:34" ht="14.25" customHeight="1" x14ac:dyDescent="0.25">
      <c r="A4810" s="3"/>
      <c r="B4810" s="3"/>
      <c r="C4810" s="3"/>
      <c r="D4810" s="3"/>
      <c r="E4810" s="3"/>
      <c r="F4810" s="3"/>
      <c r="G4810" s="3"/>
      <c r="H4810" s="11"/>
      <c r="I4810" s="12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</row>
    <row r="4811" spans="1:34" ht="14.25" customHeight="1" x14ac:dyDescent="0.25">
      <c r="A4811" s="3"/>
      <c r="B4811" s="3"/>
      <c r="C4811" s="3"/>
      <c r="D4811" s="3"/>
      <c r="E4811" s="3"/>
      <c r="F4811" s="3"/>
      <c r="G4811" s="3"/>
      <c r="H4811" s="11"/>
      <c r="I4811" s="12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</row>
    <row r="4812" spans="1:34" ht="14.25" customHeight="1" x14ac:dyDescent="0.25">
      <c r="A4812" s="3"/>
      <c r="B4812" s="3"/>
      <c r="C4812" s="3"/>
      <c r="D4812" s="3"/>
      <c r="E4812" s="3"/>
      <c r="F4812" s="3"/>
      <c r="G4812" s="3"/>
      <c r="H4812" s="11"/>
      <c r="I4812" s="12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</row>
    <row r="4813" spans="1:34" ht="14.25" customHeight="1" x14ac:dyDescent="0.25">
      <c r="A4813" s="3"/>
      <c r="B4813" s="3"/>
      <c r="C4813" s="3"/>
      <c r="D4813" s="3"/>
      <c r="E4813" s="3"/>
      <c r="F4813" s="3"/>
      <c r="G4813" s="3"/>
      <c r="H4813" s="11"/>
      <c r="I4813" s="12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</row>
    <row r="4814" spans="1:34" ht="14.25" customHeight="1" x14ac:dyDescent="0.25">
      <c r="A4814" s="3"/>
      <c r="B4814" s="3"/>
      <c r="C4814" s="3"/>
      <c r="D4814" s="3"/>
      <c r="E4814" s="3"/>
      <c r="F4814" s="3"/>
      <c r="G4814" s="3"/>
      <c r="H4814" s="11"/>
      <c r="I4814" s="12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</row>
    <row r="4815" spans="1:34" ht="14.25" customHeight="1" x14ac:dyDescent="0.25">
      <c r="A4815" s="3"/>
      <c r="B4815" s="3"/>
      <c r="C4815" s="3"/>
      <c r="D4815" s="3"/>
      <c r="E4815" s="3"/>
      <c r="F4815" s="3"/>
      <c r="G4815" s="3"/>
      <c r="H4815" s="11"/>
      <c r="I4815" s="12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</row>
    <row r="4816" spans="1:34" ht="14.25" customHeight="1" x14ac:dyDescent="0.25">
      <c r="A4816" s="3"/>
      <c r="B4816" s="3"/>
      <c r="C4816" s="3"/>
      <c r="D4816" s="3"/>
      <c r="E4816" s="3"/>
      <c r="F4816" s="3"/>
      <c r="G4816" s="3"/>
      <c r="H4816" s="11"/>
      <c r="I4816" s="12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</row>
    <row r="4817" spans="1:34" ht="14.25" customHeight="1" x14ac:dyDescent="0.25">
      <c r="A4817" s="3"/>
      <c r="B4817" s="3"/>
      <c r="C4817" s="3"/>
      <c r="D4817" s="3"/>
      <c r="E4817" s="3"/>
      <c r="F4817" s="3"/>
      <c r="G4817" s="3"/>
      <c r="H4817" s="11"/>
      <c r="I4817" s="12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</row>
    <row r="4818" spans="1:34" ht="14.25" customHeight="1" x14ac:dyDescent="0.25">
      <c r="A4818" s="3"/>
      <c r="B4818" s="3"/>
      <c r="C4818" s="3"/>
      <c r="D4818" s="3"/>
      <c r="E4818" s="3"/>
      <c r="F4818" s="3"/>
      <c r="G4818" s="3"/>
      <c r="H4818" s="11"/>
      <c r="I4818" s="12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</row>
    <row r="4819" spans="1:34" ht="14.25" customHeight="1" x14ac:dyDescent="0.25">
      <c r="A4819" s="3"/>
      <c r="B4819" s="3"/>
      <c r="C4819" s="3"/>
      <c r="D4819" s="3"/>
      <c r="E4819" s="3"/>
      <c r="F4819" s="3"/>
      <c r="G4819" s="3"/>
      <c r="H4819" s="11"/>
      <c r="I4819" s="12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</row>
    <row r="4820" spans="1:34" ht="14.25" customHeight="1" x14ac:dyDescent="0.25">
      <c r="A4820" s="3"/>
      <c r="B4820" s="3"/>
      <c r="C4820" s="3"/>
      <c r="D4820" s="3"/>
      <c r="E4820" s="3"/>
      <c r="F4820" s="3"/>
      <c r="G4820" s="3"/>
      <c r="H4820" s="11"/>
      <c r="I4820" s="12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</row>
    <row r="4821" spans="1:34" ht="14.25" customHeight="1" x14ac:dyDescent="0.25">
      <c r="A4821" s="3"/>
      <c r="B4821" s="3"/>
      <c r="C4821" s="3"/>
      <c r="D4821" s="3"/>
      <c r="E4821" s="3"/>
      <c r="F4821" s="3"/>
      <c r="G4821" s="3"/>
      <c r="H4821" s="11"/>
      <c r="I4821" s="12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</row>
    <row r="4822" spans="1:34" ht="14.25" customHeight="1" x14ac:dyDescent="0.25">
      <c r="A4822" s="3"/>
      <c r="B4822" s="3"/>
      <c r="C4822" s="3"/>
      <c r="D4822" s="3"/>
      <c r="E4822" s="3"/>
      <c r="F4822" s="3"/>
      <c r="G4822" s="3"/>
      <c r="H4822" s="11"/>
      <c r="I4822" s="12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</row>
    <row r="4823" spans="1:34" ht="14.25" customHeight="1" x14ac:dyDescent="0.25">
      <c r="A4823" s="3"/>
      <c r="B4823" s="3"/>
      <c r="C4823" s="3"/>
      <c r="D4823" s="3"/>
      <c r="E4823" s="3"/>
      <c r="F4823" s="3"/>
      <c r="G4823" s="3"/>
      <c r="H4823" s="11"/>
      <c r="I4823" s="12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</row>
    <row r="4824" spans="1:34" ht="14.25" customHeight="1" x14ac:dyDescent="0.25">
      <c r="A4824" s="3"/>
      <c r="B4824" s="3"/>
      <c r="C4824" s="3"/>
      <c r="D4824" s="3"/>
      <c r="E4824" s="3"/>
      <c r="F4824" s="3"/>
      <c r="G4824" s="3"/>
      <c r="H4824" s="11"/>
      <c r="I4824" s="12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</row>
    <row r="4825" spans="1:34" ht="14.25" customHeight="1" x14ac:dyDescent="0.25">
      <c r="A4825" s="3"/>
      <c r="B4825" s="3"/>
      <c r="C4825" s="3"/>
      <c r="D4825" s="3"/>
      <c r="E4825" s="3"/>
      <c r="F4825" s="3"/>
      <c r="G4825" s="3"/>
      <c r="H4825" s="11"/>
      <c r="I4825" s="12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</row>
    <row r="4826" spans="1:34" ht="14.25" customHeight="1" x14ac:dyDescent="0.25">
      <c r="A4826" s="3"/>
      <c r="B4826" s="3"/>
      <c r="C4826" s="3"/>
      <c r="D4826" s="3"/>
      <c r="E4826" s="3"/>
      <c r="F4826" s="3"/>
      <c r="G4826" s="3"/>
      <c r="H4826" s="11"/>
      <c r="I4826" s="12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</row>
    <row r="4827" spans="1:34" ht="14.25" customHeight="1" x14ac:dyDescent="0.25">
      <c r="A4827" s="3"/>
      <c r="B4827" s="3"/>
      <c r="C4827" s="3"/>
      <c r="D4827" s="3"/>
      <c r="E4827" s="3"/>
      <c r="F4827" s="3"/>
      <c r="G4827" s="3"/>
      <c r="H4827" s="11"/>
      <c r="I4827" s="12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</row>
    <row r="4828" spans="1:34" ht="14.25" customHeight="1" x14ac:dyDescent="0.25">
      <c r="A4828" s="3"/>
      <c r="B4828" s="3"/>
      <c r="C4828" s="3"/>
      <c r="D4828" s="3"/>
      <c r="E4828" s="3"/>
      <c r="F4828" s="3"/>
      <c r="G4828" s="3"/>
      <c r="H4828" s="11"/>
      <c r="I4828" s="12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</row>
    <row r="4829" spans="1:34" ht="14.25" customHeight="1" x14ac:dyDescent="0.25">
      <c r="A4829" s="3"/>
      <c r="B4829" s="3"/>
      <c r="C4829" s="3"/>
      <c r="D4829" s="3"/>
      <c r="E4829" s="3"/>
      <c r="F4829" s="3"/>
      <c r="G4829" s="3"/>
      <c r="H4829" s="11"/>
      <c r="I4829" s="12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</row>
    <row r="4830" spans="1:34" ht="14.25" customHeight="1" x14ac:dyDescent="0.25">
      <c r="A4830" s="3"/>
      <c r="B4830" s="3"/>
      <c r="C4830" s="3"/>
      <c r="D4830" s="3"/>
      <c r="E4830" s="3"/>
      <c r="F4830" s="3"/>
      <c r="G4830" s="3"/>
      <c r="H4830" s="11"/>
      <c r="I4830" s="12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</row>
    <row r="4831" spans="1:34" ht="14.25" customHeight="1" x14ac:dyDescent="0.25">
      <c r="A4831" s="3"/>
      <c r="B4831" s="3"/>
      <c r="C4831" s="3"/>
      <c r="D4831" s="3"/>
      <c r="E4831" s="3"/>
      <c r="F4831" s="3"/>
      <c r="G4831" s="3"/>
      <c r="H4831" s="11"/>
      <c r="I4831" s="12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</row>
    <row r="4832" spans="1:34" ht="14.25" customHeight="1" x14ac:dyDescent="0.25">
      <c r="A4832" s="3"/>
      <c r="B4832" s="3"/>
      <c r="C4832" s="3"/>
      <c r="D4832" s="3"/>
      <c r="E4832" s="3"/>
      <c r="F4832" s="3"/>
      <c r="G4832" s="3"/>
      <c r="H4832" s="11"/>
      <c r="I4832" s="12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</row>
    <row r="4833" spans="1:34" ht="14.25" customHeight="1" x14ac:dyDescent="0.25">
      <c r="A4833" s="3"/>
      <c r="B4833" s="3"/>
      <c r="C4833" s="3"/>
      <c r="D4833" s="3"/>
      <c r="E4833" s="3"/>
      <c r="F4833" s="3"/>
      <c r="G4833" s="3"/>
      <c r="H4833" s="11"/>
      <c r="I4833" s="12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</row>
    <row r="4834" spans="1:34" ht="14.25" customHeight="1" x14ac:dyDescent="0.25">
      <c r="A4834" s="3"/>
      <c r="B4834" s="3"/>
      <c r="C4834" s="3"/>
      <c r="D4834" s="3"/>
      <c r="E4834" s="3"/>
      <c r="F4834" s="3"/>
      <c r="G4834" s="3"/>
      <c r="H4834" s="11"/>
      <c r="I4834" s="12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</row>
    <row r="4835" spans="1:34" ht="14.25" customHeight="1" x14ac:dyDescent="0.25">
      <c r="A4835" s="3"/>
      <c r="B4835" s="3"/>
      <c r="C4835" s="3"/>
      <c r="D4835" s="3"/>
      <c r="E4835" s="3"/>
      <c r="F4835" s="3"/>
      <c r="G4835" s="3"/>
      <c r="H4835" s="11"/>
      <c r="I4835" s="12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</row>
    <row r="4836" spans="1:34" ht="14.25" customHeight="1" x14ac:dyDescent="0.25">
      <c r="A4836" s="3"/>
      <c r="B4836" s="3"/>
      <c r="C4836" s="3"/>
      <c r="D4836" s="3"/>
      <c r="E4836" s="3"/>
      <c r="F4836" s="3"/>
      <c r="G4836" s="3"/>
      <c r="H4836" s="11"/>
      <c r="I4836" s="12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</row>
    <row r="4837" spans="1:34" ht="14.25" customHeight="1" x14ac:dyDescent="0.25">
      <c r="A4837" s="3"/>
      <c r="B4837" s="3"/>
      <c r="C4837" s="3"/>
      <c r="D4837" s="3"/>
      <c r="E4837" s="3"/>
      <c r="F4837" s="3"/>
      <c r="G4837" s="3"/>
      <c r="H4837" s="11"/>
      <c r="I4837" s="12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</row>
    <row r="4838" spans="1:34" ht="14.25" customHeight="1" x14ac:dyDescent="0.25">
      <c r="A4838" s="3"/>
      <c r="B4838" s="3"/>
      <c r="C4838" s="3"/>
      <c r="D4838" s="3"/>
      <c r="E4838" s="3"/>
      <c r="F4838" s="3"/>
      <c r="G4838" s="3"/>
      <c r="H4838" s="11"/>
      <c r="I4838" s="12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</row>
    <row r="4839" spans="1:34" ht="14.25" customHeight="1" x14ac:dyDescent="0.25">
      <c r="A4839" s="3"/>
      <c r="B4839" s="3"/>
      <c r="C4839" s="3"/>
      <c r="D4839" s="3"/>
      <c r="E4839" s="3"/>
      <c r="F4839" s="3"/>
      <c r="G4839" s="3"/>
      <c r="H4839" s="11"/>
      <c r="I4839" s="12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</row>
    <row r="4840" spans="1:34" ht="14.25" customHeight="1" x14ac:dyDescent="0.25">
      <c r="A4840" s="3"/>
      <c r="B4840" s="3"/>
      <c r="C4840" s="3"/>
      <c r="D4840" s="3"/>
      <c r="E4840" s="3"/>
      <c r="F4840" s="3"/>
      <c r="G4840" s="3"/>
      <c r="H4840" s="11"/>
      <c r="I4840" s="12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</row>
    <row r="4841" spans="1:34" ht="14.25" customHeight="1" x14ac:dyDescent="0.25">
      <c r="A4841" s="3"/>
      <c r="B4841" s="3"/>
      <c r="C4841" s="3"/>
      <c r="D4841" s="3"/>
      <c r="E4841" s="3"/>
      <c r="F4841" s="3"/>
      <c r="G4841" s="3"/>
      <c r="H4841" s="11"/>
      <c r="I4841" s="12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</row>
    <row r="4842" spans="1:34" ht="14.25" customHeight="1" x14ac:dyDescent="0.25">
      <c r="A4842" s="3"/>
      <c r="B4842" s="3"/>
      <c r="C4842" s="3"/>
      <c r="D4842" s="3"/>
      <c r="E4842" s="3"/>
      <c r="F4842" s="3"/>
      <c r="G4842" s="3"/>
      <c r="H4842" s="11"/>
      <c r="I4842" s="12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</row>
    <row r="4843" spans="1:34" ht="14.25" customHeight="1" x14ac:dyDescent="0.25">
      <c r="A4843" s="3"/>
      <c r="B4843" s="3"/>
      <c r="C4843" s="3"/>
      <c r="D4843" s="3"/>
      <c r="E4843" s="3"/>
      <c r="F4843" s="3"/>
      <c r="G4843" s="3"/>
      <c r="H4843" s="11"/>
      <c r="I4843" s="12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</row>
    <row r="4844" spans="1:34" ht="14.25" customHeight="1" x14ac:dyDescent="0.25">
      <c r="A4844" s="3"/>
      <c r="B4844" s="3"/>
      <c r="C4844" s="3"/>
      <c r="D4844" s="3"/>
      <c r="E4844" s="3"/>
      <c r="F4844" s="3"/>
      <c r="G4844" s="3"/>
      <c r="H4844" s="11"/>
      <c r="I4844" s="12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</row>
    <row r="4845" spans="1:34" ht="14.25" customHeight="1" x14ac:dyDescent="0.25">
      <c r="A4845" s="3"/>
      <c r="B4845" s="3"/>
      <c r="C4845" s="3"/>
      <c r="D4845" s="3"/>
      <c r="E4845" s="3"/>
      <c r="F4845" s="3"/>
      <c r="G4845" s="3"/>
      <c r="H4845" s="11"/>
      <c r="I4845" s="12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</row>
    <row r="4846" spans="1:34" ht="14.25" customHeight="1" x14ac:dyDescent="0.25">
      <c r="A4846" s="3"/>
      <c r="B4846" s="3"/>
      <c r="C4846" s="3"/>
      <c r="D4846" s="3"/>
      <c r="E4846" s="3"/>
      <c r="F4846" s="3"/>
      <c r="G4846" s="3"/>
      <c r="H4846" s="11"/>
      <c r="I4846" s="12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</row>
    <row r="4847" spans="1:34" ht="14.25" customHeight="1" x14ac:dyDescent="0.25">
      <c r="A4847" s="3"/>
      <c r="B4847" s="3"/>
      <c r="C4847" s="3"/>
      <c r="D4847" s="3"/>
      <c r="E4847" s="3"/>
      <c r="F4847" s="3"/>
      <c r="G4847" s="3"/>
      <c r="H4847" s="11"/>
      <c r="I4847" s="12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</row>
    <row r="4848" spans="1:34" ht="14.25" customHeight="1" x14ac:dyDescent="0.25">
      <c r="A4848" s="3"/>
      <c r="B4848" s="3"/>
      <c r="C4848" s="3"/>
      <c r="D4848" s="3"/>
      <c r="E4848" s="3"/>
      <c r="F4848" s="3"/>
      <c r="G4848" s="3"/>
      <c r="H4848" s="11"/>
      <c r="I4848" s="12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</row>
    <row r="4849" spans="1:34" ht="14.25" customHeight="1" x14ac:dyDescent="0.25">
      <c r="A4849" s="3"/>
      <c r="B4849" s="3"/>
      <c r="C4849" s="3"/>
      <c r="D4849" s="3"/>
      <c r="E4849" s="3"/>
      <c r="F4849" s="3"/>
      <c r="G4849" s="3"/>
      <c r="H4849" s="11"/>
      <c r="I4849" s="12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</row>
    <row r="4850" spans="1:34" ht="14.25" customHeight="1" x14ac:dyDescent="0.25">
      <c r="A4850" s="3"/>
      <c r="B4850" s="3"/>
      <c r="C4850" s="3"/>
      <c r="D4850" s="3"/>
      <c r="E4850" s="3"/>
      <c r="F4850" s="3"/>
      <c r="G4850" s="3"/>
      <c r="H4850" s="11"/>
      <c r="I4850" s="12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</row>
    <row r="4851" spans="1:34" ht="14.25" customHeight="1" x14ac:dyDescent="0.25">
      <c r="A4851" s="3"/>
      <c r="B4851" s="3"/>
      <c r="C4851" s="3"/>
      <c r="D4851" s="3"/>
      <c r="E4851" s="3"/>
      <c r="F4851" s="3"/>
      <c r="G4851" s="3"/>
      <c r="H4851" s="11"/>
      <c r="I4851" s="12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</row>
    <row r="4852" spans="1:34" ht="14.25" customHeight="1" x14ac:dyDescent="0.25">
      <c r="A4852" s="3"/>
      <c r="B4852" s="3"/>
      <c r="C4852" s="3"/>
      <c r="D4852" s="3"/>
      <c r="E4852" s="3"/>
      <c r="F4852" s="3"/>
      <c r="G4852" s="3"/>
      <c r="H4852" s="11"/>
      <c r="I4852" s="12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</row>
    <row r="4853" spans="1:34" ht="14.25" customHeight="1" x14ac:dyDescent="0.25">
      <c r="A4853" s="3"/>
      <c r="B4853" s="3"/>
      <c r="C4853" s="3"/>
      <c r="D4853" s="3"/>
      <c r="E4853" s="3"/>
      <c r="F4853" s="3"/>
      <c r="G4853" s="3"/>
      <c r="H4853" s="11"/>
      <c r="I4853" s="12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</row>
    <row r="4854" spans="1:34" ht="14.25" customHeight="1" x14ac:dyDescent="0.25">
      <c r="A4854" s="3"/>
      <c r="B4854" s="3"/>
      <c r="C4854" s="3"/>
      <c r="D4854" s="3"/>
      <c r="E4854" s="3"/>
      <c r="F4854" s="3"/>
      <c r="G4854" s="3"/>
      <c r="H4854" s="11"/>
      <c r="I4854" s="12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</row>
    <row r="4855" spans="1:34" ht="14.25" customHeight="1" x14ac:dyDescent="0.25">
      <c r="A4855" s="3"/>
      <c r="B4855" s="3"/>
      <c r="C4855" s="3"/>
      <c r="D4855" s="3"/>
      <c r="E4855" s="3"/>
      <c r="F4855" s="3"/>
      <c r="G4855" s="3"/>
      <c r="H4855" s="11"/>
      <c r="I4855" s="12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</row>
    <row r="4856" spans="1:34" ht="14.25" customHeight="1" x14ac:dyDescent="0.25">
      <c r="A4856" s="3"/>
      <c r="B4856" s="3"/>
      <c r="C4856" s="3"/>
      <c r="D4856" s="3"/>
      <c r="E4856" s="3"/>
      <c r="F4856" s="3"/>
      <c r="G4856" s="3"/>
      <c r="H4856" s="11"/>
      <c r="I4856" s="12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</row>
    <row r="4857" spans="1:34" ht="14.25" customHeight="1" x14ac:dyDescent="0.25">
      <c r="A4857" s="3"/>
      <c r="B4857" s="3"/>
      <c r="C4857" s="3"/>
      <c r="D4857" s="3"/>
      <c r="E4857" s="3"/>
      <c r="F4857" s="3"/>
      <c r="G4857" s="3"/>
      <c r="H4857" s="11"/>
      <c r="I4857" s="12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</row>
    <row r="4858" spans="1:34" ht="14.25" customHeight="1" x14ac:dyDescent="0.25">
      <c r="A4858" s="3"/>
      <c r="B4858" s="3"/>
      <c r="C4858" s="3"/>
      <c r="D4858" s="3"/>
      <c r="E4858" s="3"/>
      <c r="F4858" s="3"/>
      <c r="G4858" s="3"/>
      <c r="H4858" s="11"/>
      <c r="I4858" s="12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</row>
    <row r="4859" spans="1:34" ht="14.25" customHeight="1" x14ac:dyDescent="0.25">
      <c r="A4859" s="3"/>
      <c r="B4859" s="3"/>
      <c r="C4859" s="3"/>
      <c r="D4859" s="3"/>
      <c r="E4859" s="3"/>
      <c r="F4859" s="3"/>
      <c r="G4859" s="3"/>
      <c r="H4859" s="11"/>
      <c r="I4859" s="12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</row>
    <row r="4860" spans="1:34" ht="14.25" customHeight="1" x14ac:dyDescent="0.25">
      <c r="A4860" s="3"/>
      <c r="B4860" s="3"/>
      <c r="C4860" s="3"/>
      <c r="D4860" s="3"/>
      <c r="E4860" s="3"/>
      <c r="F4860" s="3"/>
      <c r="G4860" s="3"/>
      <c r="H4860" s="11"/>
      <c r="I4860" s="12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</row>
    <row r="4861" spans="1:34" ht="14.25" customHeight="1" x14ac:dyDescent="0.25">
      <c r="A4861" s="3"/>
      <c r="B4861" s="3"/>
      <c r="C4861" s="3"/>
      <c r="D4861" s="3"/>
      <c r="E4861" s="3"/>
      <c r="F4861" s="3"/>
      <c r="G4861" s="3"/>
      <c r="H4861" s="11"/>
      <c r="I4861" s="12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</row>
    <row r="4862" spans="1:34" ht="14.25" customHeight="1" x14ac:dyDescent="0.25">
      <c r="A4862" s="3"/>
      <c r="B4862" s="3"/>
      <c r="C4862" s="3"/>
      <c r="D4862" s="3"/>
      <c r="E4862" s="3"/>
      <c r="F4862" s="3"/>
      <c r="G4862" s="3"/>
      <c r="H4862" s="11"/>
      <c r="I4862" s="12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</row>
    <row r="4863" spans="1:34" ht="14.25" customHeight="1" x14ac:dyDescent="0.25">
      <c r="A4863" s="3"/>
      <c r="B4863" s="3"/>
      <c r="C4863" s="3"/>
      <c r="D4863" s="3"/>
      <c r="E4863" s="3"/>
      <c r="F4863" s="3"/>
      <c r="G4863" s="3"/>
      <c r="H4863" s="11"/>
      <c r="I4863" s="12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</row>
    <row r="4864" spans="1:34" ht="14.25" customHeight="1" x14ac:dyDescent="0.25">
      <c r="A4864" s="3"/>
      <c r="B4864" s="3"/>
      <c r="C4864" s="3"/>
      <c r="D4864" s="3"/>
      <c r="E4864" s="3"/>
      <c r="F4864" s="3"/>
      <c r="G4864" s="3"/>
      <c r="H4864" s="11"/>
      <c r="I4864" s="12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</row>
    <row r="4865" spans="1:34" ht="14.25" customHeight="1" x14ac:dyDescent="0.25">
      <c r="A4865" s="3"/>
      <c r="B4865" s="3"/>
      <c r="C4865" s="3"/>
      <c r="D4865" s="3"/>
      <c r="E4865" s="3"/>
      <c r="F4865" s="3"/>
      <c r="G4865" s="3"/>
      <c r="H4865" s="11"/>
      <c r="I4865" s="12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</row>
    <row r="4866" spans="1:34" ht="14.25" customHeight="1" x14ac:dyDescent="0.25">
      <c r="A4866" s="3"/>
      <c r="B4866" s="3"/>
      <c r="C4866" s="3"/>
      <c r="D4866" s="3"/>
      <c r="E4866" s="3"/>
      <c r="F4866" s="3"/>
      <c r="G4866" s="3"/>
      <c r="H4866" s="11"/>
      <c r="I4866" s="12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</row>
    <row r="4867" spans="1:34" ht="14.25" customHeight="1" x14ac:dyDescent="0.25">
      <c r="A4867" s="3"/>
      <c r="B4867" s="3"/>
      <c r="C4867" s="3"/>
      <c r="D4867" s="3"/>
      <c r="E4867" s="3"/>
      <c r="F4867" s="3"/>
      <c r="G4867" s="3"/>
      <c r="H4867" s="11"/>
      <c r="I4867" s="12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</row>
    <row r="4868" spans="1:34" ht="14.25" customHeight="1" x14ac:dyDescent="0.25">
      <c r="A4868" s="3"/>
      <c r="B4868" s="3"/>
      <c r="C4868" s="3"/>
      <c r="D4868" s="3"/>
      <c r="E4868" s="3"/>
      <c r="F4868" s="3"/>
      <c r="G4868" s="3"/>
      <c r="H4868" s="11"/>
      <c r="I4868" s="12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</row>
    <row r="4869" spans="1:34" ht="14.25" customHeight="1" x14ac:dyDescent="0.25">
      <c r="A4869" s="3"/>
      <c r="B4869" s="3"/>
      <c r="C4869" s="3"/>
      <c r="D4869" s="3"/>
      <c r="E4869" s="3"/>
      <c r="F4869" s="3"/>
      <c r="G4869" s="3"/>
      <c r="H4869" s="11"/>
      <c r="I4869" s="12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</row>
    <row r="4870" spans="1:34" ht="14.25" customHeight="1" x14ac:dyDescent="0.25">
      <c r="A4870" s="3"/>
      <c r="B4870" s="3"/>
      <c r="C4870" s="3"/>
      <c r="D4870" s="3"/>
      <c r="E4870" s="3"/>
      <c r="F4870" s="3"/>
      <c r="G4870" s="3"/>
      <c r="H4870" s="11"/>
      <c r="I4870" s="12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</row>
    <row r="4871" spans="1:34" ht="14.25" customHeight="1" x14ac:dyDescent="0.25">
      <c r="A4871" s="3"/>
      <c r="B4871" s="3"/>
      <c r="C4871" s="3"/>
      <c r="D4871" s="3"/>
      <c r="E4871" s="3"/>
      <c r="F4871" s="3"/>
      <c r="G4871" s="3"/>
      <c r="H4871" s="11"/>
      <c r="I4871" s="12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</row>
    <row r="4872" spans="1:34" ht="14.25" customHeight="1" x14ac:dyDescent="0.25">
      <c r="A4872" s="3"/>
      <c r="B4872" s="3"/>
      <c r="C4872" s="3"/>
      <c r="D4872" s="3"/>
      <c r="E4872" s="3"/>
      <c r="F4872" s="3"/>
      <c r="G4872" s="3"/>
      <c r="H4872" s="11"/>
      <c r="I4872" s="12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</row>
    <row r="4873" spans="1:34" ht="14.25" customHeight="1" x14ac:dyDescent="0.25">
      <c r="A4873" s="3"/>
      <c r="B4873" s="3"/>
      <c r="C4873" s="3"/>
      <c r="D4873" s="3"/>
      <c r="E4873" s="3"/>
      <c r="F4873" s="3"/>
      <c r="G4873" s="3"/>
      <c r="H4873" s="11"/>
      <c r="I4873" s="12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</row>
    <row r="4874" spans="1:34" ht="14.25" customHeight="1" x14ac:dyDescent="0.25">
      <c r="A4874" s="3"/>
      <c r="B4874" s="3"/>
      <c r="C4874" s="3"/>
      <c r="D4874" s="3"/>
      <c r="E4874" s="3"/>
      <c r="F4874" s="3"/>
      <c r="G4874" s="3"/>
      <c r="H4874" s="11"/>
      <c r="I4874" s="12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</row>
    <row r="4875" spans="1:34" ht="14.25" customHeight="1" x14ac:dyDescent="0.25">
      <c r="A4875" s="3"/>
      <c r="B4875" s="3"/>
      <c r="C4875" s="3"/>
      <c r="D4875" s="3"/>
      <c r="E4875" s="3"/>
      <c r="F4875" s="3"/>
      <c r="G4875" s="3"/>
      <c r="H4875" s="11"/>
      <c r="I4875" s="12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</row>
    <row r="4876" spans="1:34" ht="14.25" customHeight="1" x14ac:dyDescent="0.25">
      <c r="A4876" s="3"/>
      <c r="B4876" s="3"/>
      <c r="C4876" s="3"/>
      <c r="D4876" s="3"/>
      <c r="E4876" s="3"/>
      <c r="F4876" s="3"/>
      <c r="G4876" s="3"/>
      <c r="H4876" s="11"/>
      <c r="I4876" s="12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</row>
    <row r="4877" spans="1:34" ht="14.25" customHeight="1" x14ac:dyDescent="0.25">
      <c r="A4877" s="3"/>
      <c r="B4877" s="3"/>
      <c r="C4877" s="3"/>
      <c r="D4877" s="3"/>
      <c r="E4877" s="3"/>
      <c r="F4877" s="3"/>
      <c r="G4877" s="3"/>
      <c r="H4877" s="11"/>
      <c r="I4877" s="12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</row>
    <row r="4878" spans="1:34" ht="14.25" customHeight="1" x14ac:dyDescent="0.25">
      <c r="A4878" s="3"/>
      <c r="B4878" s="3"/>
      <c r="C4878" s="3"/>
      <c r="D4878" s="3"/>
      <c r="E4878" s="3"/>
      <c r="F4878" s="3"/>
      <c r="G4878" s="3"/>
      <c r="H4878" s="11"/>
      <c r="I4878" s="12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</row>
    <row r="4879" spans="1:34" ht="14.25" customHeight="1" x14ac:dyDescent="0.25">
      <c r="A4879" s="3"/>
      <c r="B4879" s="3"/>
      <c r="C4879" s="3"/>
      <c r="D4879" s="3"/>
      <c r="E4879" s="3"/>
      <c r="F4879" s="3"/>
      <c r="G4879" s="3"/>
      <c r="H4879" s="11"/>
      <c r="I4879" s="12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</row>
    <row r="4880" spans="1:34" ht="14.25" customHeight="1" x14ac:dyDescent="0.25">
      <c r="A4880" s="3"/>
      <c r="B4880" s="3"/>
      <c r="C4880" s="3"/>
      <c r="D4880" s="3"/>
      <c r="E4880" s="3"/>
      <c r="F4880" s="3"/>
      <c r="G4880" s="3"/>
      <c r="H4880" s="11"/>
      <c r="I4880" s="12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</row>
    <row r="4881" spans="1:34" ht="14.25" customHeight="1" x14ac:dyDescent="0.25">
      <c r="A4881" s="3"/>
      <c r="B4881" s="3"/>
      <c r="C4881" s="3"/>
      <c r="D4881" s="3"/>
      <c r="E4881" s="3"/>
      <c r="F4881" s="3"/>
      <c r="G4881" s="3"/>
      <c r="H4881" s="11"/>
      <c r="I4881" s="12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</row>
    <row r="4882" spans="1:34" ht="14.25" customHeight="1" x14ac:dyDescent="0.25">
      <c r="A4882" s="3"/>
      <c r="B4882" s="3"/>
      <c r="C4882" s="3"/>
      <c r="D4882" s="3"/>
      <c r="E4882" s="3"/>
      <c r="F4882" s="3"/>
      <c r="G4882" s="3"/>
      <c r="H4882" s="11"/>
      <c r="I4882" s="12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</row>
    <row r="4883" spans="1:34" ht="14.25" customHeight="1" x14ac:dyDescent="0.25">
      <c r="A4883" s="3"/>
      <c r="B4883" s="3"/>
      <c r="C4883" s="3"/>
      <c r="D4883" s="3"/>
      <c r="E4883" s="3"/>
      <c r="F4883" s="3"/>
      <c r="G4883" s="3"/>
      <c r="H4883" s="11"/>
      <c r="I4883" s="12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</row>
    <row r="4884" spans="1:34" ht="14.25" customHeight="1" x14ac:dyDescent="0.25">
      <c r="A4884" s="3"/>
      <c r="B4884" s="3"/>
      <c r="C4884" s="3"/>
      <c r="D4884" s="3"/>
      <c r="E4884" s="3"/>
      <c r="F4884" s="3"/>
      <c r="G4884" s="3"/>
      <c r="H4884" s="11"/>
      <c r="I4884" s="12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</row>
    <row r="4885" spans="1:34" ht="14.25" customHeight="1" x14ac:dyDescent="0.25">
      <c r="A4885" s="3"/>
      <c r="B4885" s="3"/>
      <c r="C4885" s="3"/>
      <c r="D4885" s="3"/>
      <c r="E4885" s="3"/>
      <c r="F4885" s="3"/>
      <c r="G4885" s="3"/>
      <c r="H4885" s="11"/>
      <c r="I4885" s="12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</row>
    <row r="4886" spans="1:34" ht="14.25" customHeight="1" x14ac:dyDescent="0.25">
      <c r="A4886" s="3"/>
      <c r="B4886" s="3"/>
      <c r="C4886" s="3"/>
      <c r="D4886" s="3"/>
      <c r="E4886" s="3"/>
      <c r="F4886" s="3"/>
      <c r="G4886" s="3"/>
      <c r="H4886" s="11"/>
      <c r="I4886" s="12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</row>
    <row r="4887" spans="1:34" ht="14.25" customHeight="1" x14ac:dyDescent="0.25">
      <c r="A4887" s="3"/>
      <c r="B4887" s="3"/>
      <c r="C4887" s="3"/>
      <c r="D4887" s="3"/>
      <c r="E4887" s="3"/>
      <c r="F4887" s="3"/>
      <c r="G4887" s="3"/>
      <c r="H4887" s="11"/>
      <c r="I4887" s="12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</row>
    <row r="4888" spans="1:34" ht="14.25" customHeight="1" x14ac:dyDescent="0.25">
      <c r="A4888" s="3"/>
      <c r="B4888" s="3"/>
      <c r="C4888" s="3"/>
      <c r="D4888" s="3"/>
      <c r="E4888" s="3"/>
      <c r="F4888" s="3"/>
      <c r="G4888" s="3"/>
      <c r="H4888" s="11"/>
      <c r="I4888" s="12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</row>
    <row r="4889" spans="1:34" ht="14.25" customHeight="1" x14ac:dyDescent="0.25">
      <c r="A4889" s="3"/>
      <c r="B4889" s="3"/>
      <c r="C4889" s="3"/>
      <c r="D4889" s="3"/>
      <c r="E4889" s="3"/>
      <c r="F4889" s="3"/>
      <c r="G4889" s="3"/>
      <c r="H4889" s="11"/>
      <c r="I4889" s="12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</row>
    <row r="4890" spans="1:34" ht="14.25" customHeight="1" x14ac:dyDescent="0.25">
      <c r="A4890" s="3"/>
      <c r="B4890" s="3"/>
      <c r="C4890" s="3"/>
      <c r="D4890" s="3"/>
      <c r="E4890" s="3"/>
      <c r="F4890" s="3"/>
      <c r="G4890" s="3"/>
      <c r="H4890" s="11"/>
      <c r="I4890" s="12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</row>
    <row r="4891" spans="1:34" ht="14.25" customHeight="1" x14ac:dyDescent="0.25">
      <c r="A4891" s="3"/>
      <c r="B4891" s="3"/>
      <c r="C4891" s="3"/>
      <c r="D4891" s="3"/>
      <c r="E4891" s="3"/>
      <c r="F4891" s="3"/>
      <c r="G4891" s="3"/>
      <c r="H4891" s="11"/>
      <c r="I4891" s="12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</row>
    <row r="4892" spans="1:34" ht="14.25" customHeight="1" x14ac:dyDescent="0.25">
      <c r="A4892" s="3"/>
      <c r="B4892" s="3"/>
      <c r="C4892" s="3"/>
      <c r="D4892" s="3"/>
      <c r="E4892" s="3"/>
      <c r="F4892" s="3"/>
      <c r="G4892" s="3"/>
      <c r="H4892" s="11"/>
      <c r="I4892" s="12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</row>
    <row r="4893" spans="1:34" ht="14.25" customHeight="1" x14ac:dyDescent="0.25">
      <c r="A4893" s="3"/>
      <c r="B4893" s="3"/>
      <c r="C4893" s="3"/>
      <c r="D4893" s="3"/>
      <c r="E4893" s="3"/>
      <c r="F4893" s="3"/>
      <c r="G4893" s="3"/>
      <c r="H4893" s="11"/>
      <c r="I4893" s="12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</row>
    <row r="4894" spans="1:34" ht="14.25" customHeight="1" x14ac:dyDescent="0.25">
      <c r="A4894" s="3"/>
      <c r="B4894" s="3"/>
      <c r="C4894" s="3"/>
      <c r="D4894" s="3"/>
      <c r="E4894" s="3"/>
      <c r="F4894" s="3"/>
      <c r="G4894" s="3"/>
      <c r="H4894" s="11"/>
      <c r="I4894" s="12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</row>
    <row r="4895" spans="1:34" ht="14.25" customHeight="1" x14ac:dyDescent="0.25">
      <c r="A4895" s="3"/>
      <c r="B4895" s="3"/>
      <c r="C4895" s="3"/>
      <c r="D4895" s="3"/>
      <c r="E4895" s="3"/>
      <c r="F4895" s="3"/>
      <c r="G4895" s="3"/>
      <c r="H4895" s="11"/>
      <c r="I4895" s="12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</row>
    <row r="4896" spans="1:34" ht="14.25" customHeight="1" x14ac:dyDescent="0.25">
      <c r="A4896" s="3"/>
      <c r="B4896" s="3"/>
      <c r="C4896" s="3"/>
      <c r="D4896" s="3"/>
      <c r="E4896" s="3"/>
      <c r="F4896" s="3"/>
      <c r="G4896" s="3"/>
      <c r="H4896" s="11"/>
      <c r="I4896" s="12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</row>
    <row r="4897" spans="1:34" ht="14.25" customHeight="1" x14ac:dyDescent="0.25">
      <c r="A4897" s="3"/>
      <c r="B4897" s="3"/>
      <c r="C4897" s="3"/>
      <c r="D4897" s="3"/>
      <c r="E4897" s="3"/>
      <c r="F4897" s="3"/>
      <c r="G4897" s="3"/>
      <c r="H4897" s="11"/>
      <c r="I4897" s="12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</row>
    <row r="4898" spans="1:34" ht="14.25" customHeight="1" x14ac:dyDescent="0.25">
      <c r="A4898" s="3"/>
      <c r="B4898" s="3"/>
      <c r="C4898" s="3"/>
      <c r="D4898" s="3"/>
      <c r="E4898" s="3"/>
      <c r="F4898" s="3"/>
      <c r="G4898" s="3"/>
      <c r="H4898" s="11"/>
      <c r="I4898" s="12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</row>
    <row r="4899" spans="1:34" ht="14.25" customHeight="1" x14ac:dyDescent="0.25">
      <c r="A4899" s="3"/>
      <c r="B4899" s="3"/>
      <c r="C4899" s="3"/>
      <c r="D4899" s="3"/>
      <c r="E4899" s="3"/>
      <c r="F4899" s="3"/>
      <c r="G4899" s="3"/>
      <c r="H4899" s="11"/>
      <c r="I4899" s="12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</row>
    <row r="4900" spans="1:34" ht="14.25" customHeight="1" x14ac:dyDescent="0.25">
      <c r="A4900" s="3"/>
      <c r="B4900" s="3"/>
      <c r="C4900" s="3"/>
      <c r="D4900" s="3"/>
      <c r="E4900" s="3"/>
      <c r="F4900" s="3"/>
      <c r="G4900" s="3"/>
      <c r="H4900" s="11"/>
      <c r="I4900" s="12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</row>
    <row r="4901" spans="1:34" ht="14.25" customHeight="1" x14ac:dyDescent="0.25">
      <c r="A4901" s="3"/>
      <c r="B4901" s="3"/>
      <c r="C4901" s="3"/>
      <c r="D4901" s="3"/>
      <c r="E4901" s="3"/>
      <c r="F4901" s="3"/>
      <c r="G4901" s="3"/>
      <c r="H4901" s="11"/>
      <c r="I4901" s="12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</row>
    <row r="4902" spans="1:34" ht="14.25" customHeight="1" x14ac:dyDescent="0.25">
      <c r="A4902" s="3"/>
      <c r="B4902" s="3"/>
      <c r="C4902" s="3"/>
      <c r="D4902" s="3"/>
      <c r="E4902" s="3"/>
      <c r="F4902" s="3"/>
      <c r="G4902" s="3"/>
      <c r="H4902" s="11"/>
      <c r="I4902" s="12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</row>
    <row r="4903" spans="1:34" ht="14.25" customHeight="1" x14ac:dyDescent="0.25">
      <c r="A4903" s="3"/>
      <c r="B4903" s="3"/>
      <c r="C4903" s="3"/>
      <c r="D4903" s="3"/>
      <c r="E4903" s="3"/>
      <c r="F4903" s="3"/>
      <c r="G4903" s="3"/>
      <c r="H4903" s="11"/>
      <c r="I4903" s="12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</row>
    <row r="4904" spans="1:34" ht="14.25" customHeight="1" x14ac:dyDescent="0.25">
      <c r="A4904" s="3"/>
      <c r="B4904" s="3"/>
      <c r="C4904" s="3"/>
      <c r="D4904" s="3"/>
      <c r="E4904" s="3"/>
      <c r="F4904" s="3"/>
      <c r="G4904" s="3"/>
      <c r="H4904" s="11"/>
      <c r="I4904" s="12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</row>
    <row r="4905" spans="1:34" ht="14.25" customHeight="1" x14ac:dyDescent="0.25">
      <c r="A4905" s="3"/>
      <c r="B4905" s="3"/>
      <c r="C4905" s="3"/>
      <c r="D4905" s="3"/>
      <c r="E4905" s="3"/>
      <c r="F4905" s="3"/>
      <c r="G4905" s="3"/>
      <c r="H4905" s="11"/>
      <c r="I4905" s="12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</row>
    <row r="4906" spans="1:34" ht="14.25" customHeight="1" x14ac:dyDescent="0.25">
      <c r="A4906" s="3"/>
      <c r="B4906" s="3"/>
      <c r="C4906" s="3"/>
      <c r="D4906" s="3"/>
      <c r="E4906" s="3"/>
      <c r="F4906" s="3"/>
      <c r="G4906" s="3"/>
      <c r="H4906" s="11"/>
      <c r="I4906" s="12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</row>
    <row r="4907" spans="1:34" ht="14.25" customHeight="1" x14ac:dyDescent="0.25">
      <c r="A4907" s="3"/>
      <c r="B4907" s="3"/>
      <c r="C4907" s="3"/>
      <c r="D4907" s="3"/>
      <c r="E4907" s="3"/>
      <c r="F4907" s="3"/>
      <c r="G4907" s="3"/>
      <c r="H4907" s="11"/>
      <c r="I4907" s="12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</row>
    <row r="4908" spans="1:34" ht="14.25" customHeight="1" x14ac:dyDescent="0.25">
      <c r="A4908" s="3"/>
      <c r="B4908" s="3"/>
      <c r="C4908" s="3"/>
      <c r="D4908" s="3"/>
      <c r="E4908" s="3"/>
      <c r="F4908" s="3"/>
      <c r="G4908" s="3"/>
      <c r="H4908" s="11"/>
      <c r="I4908" s="12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</row>
    <row r="4909" spans="1:34" ht="14.25" customHeight="1" x14ac:dyDescent="0.25">
      <c r="A4909" s="3"/>
      <c r="B4909" s="3"/>
      <c r="C4909" s="3"/>
      <c r="D4909" s="3"/>
      <c r="E4909" s="3"/>
      <c r="F4909" s="3"/>
      <c r="G4909" s="3"/>
      <c r="H4909" s="11"/>
      <c r="I4909" s="12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</row>
    <row r="4910" spans="1:34" ht="14.25" customHeight="1" x14ac:dyDescent="0.25">
      <c r="A4910" s="3"/>
      <c r="B4910" s="3"/>
      <c r="C4910" s="3"/>
      <c r="D4910" s="3"/>
      <c r="E4910" s="3"/>
      <c r="F4910" s="3"/>
      <c r="G4910" s="3"/>
      <c r="H4910" s="11"/>
      <c r="I4910" s="12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</row>
    <row r="4911" spans="1:34" ht="14.25" customHeight="1" x14ac:dyDescent="0.25">
      <c r="A4911" s="3"/>
      <c r="B4911" s="3"/>
      <c r="C4911" s="3"/>
      <c r="D4911" s="3"/>
      <c r="E4911" s="3"/>
      <c r="F4911" s="3"/>
      <c r="G4911" s="3"/>
      <c r="H4911" s="11"/>
      <c r="I4911" s="12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</row>
    <row r="4912" spans="1:34" ht="14.25" customHeight="1" x14ac:dyDescent="0.25">
      <c r="A4912" s="3"/>
      <c r="B4912" s="3"/>
      <c r="C4912" s="3"/>
      <c r="D4912" s="3"/>
      <c r="E4912" s="3"/>
      <c r="F4912" s="3"/>
      <c r="G4912" s="3"/>
      <c r="H4912" s="11"/>
      <c r="I4912" s="12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</row>
    <row r="4913" spans="1:34" ht="14.25" customHeight="1" x14ac:dyDescent="0.25">
      <c r="A4913" s="3"/>
      <c r="B4913" s="3"/>
      <c r="C4913" s="3"/>
      <c r="D4913" s="3"/>
      <c r="E4913" s="3"/>
      <c r="F4913" s="3"/>
      <c r="G4913" s="3"/>
      <c r="H4913" s="11"/>
      <c r="I4913" s="12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</row>
    <row r="4914" spans="1:34" ht="14.25" customHeight="1" x14ac:dyDescent="0.25">
      <c r="A4914" s="3"/>
      <c r="B4914" s="3"/>
      <c r="C4914" s="3"/>
      <c r="D4914" s="3"/>
      <c r="E4914" s="3"/>
      <c r="F4914" s="3"/>
      <c r="G4914" s="3"/>
      <c r="H4914" s="11"/>
      <c r="I4914" s="12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</row>
    <row r="4915" spans="1:34" ht="14.25" customHeight="1" x14ac:dyDescent="0.25">
      <c r="A4915" s="3"/>
      <c r="B4915" s="3"/>
      <c r="C4915" s="3"/>
      <c r="D4915" s="3"/>
      <c r="E4915" s="3"/>
      <c r="F4915" s="3"/>
      <c r="G4915" s="3"/>
      <c r="H4915" s="11"/>
      <c r="I4915" s="12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</row>
    <row r="4916" spans="1:34" ht="14.25" customHeight="1" x14ac:dyDescent="0.25">
      <c r="A4916" s="3"/>
      <c r="B4916" s="3"/>
      <c r="C4916" s="3"/>
      <c r="D4916" s="3"/>
      <c r="E4916" s="3"/>
      <c r="F4916" s="3"/>
      <c r="G4916" s="3"/>
      <c r="H4916" s="11"/>
      <c r="I4916" s="12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</row>
    <row r="4917" spans="1:34" ht="14.25" customHeight="1" x14ac:dyDescent="0.25">
      <c r="A4917" s="3"/>
      <c r="B4917" s="3"/>
      <c r="C4917" s="3"/>
      <c r="D4917" s="3"/>
      <c r="E4917" s="3"/>
      <c r="F4917" s="3"/>
      <c r="G4917" s="3"/>
      <c r="H4917" s="11"/>
      <c r="I4917" s="12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</row>
    <row r="4918" spans="1:34" ht="14.25" customHeight="1" x14ac:dyDescent="0.25">
      <c r="A4918" s="3"/>
      <c r="B4918" s="3"/>
      <c r="C4918" s="3"/>
      <c r="D4918" s="3"/>
      <c r="E4918" s="3"/>
      <c r="F4918" s="3"/>
      <c r="G4918" s="3"/>
      <c r="H4918" s="11"/>
      <c r="I4918" s="12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</row>
    <row r="4919" spans="1:34" ht="14.25" customHeight="1" x14ac:dyDescent="0.25">
      <c r="A4919" s="3"/>
      <c r="B4919" s="3"/>
      <c r="C4919" s="3"/>
      <c r="D4919" s="3"/>
      <c r="E4919" s="3"/>
      <c r="F4919" s="3"/>
      <c r="G4919" s="3"/>
      <c r="H4919" s="11"/>
      <c r="I4919" s="12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</row>
    <row r="4920" spans="1:34" ht="14.25" customHeight="1" x14ac:dyDescent="0.25">
      <c r="A4920" s="3"/>
      <c r="B4920" s="3"/>
      <c r="C4920" s="3"/>
      <c r="D4920" s="3"/>
      <c r="E4920" s="3"/>
      <c r="F4920" s="3"/>
      <c r="G4920" s="3"/>
      <c r="H4920" s="11"/>
      <c r="I4920" s="12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</row>
    <row r="4921" spans="1:34" ht="14.25" customHeight="1" x14ac:dyDescent="0.25">
      <c r="A4921" s="3"/>
      <c r="B4921" s="3"/>
      <c r="C4921" s="3"/>
      <c r="D4921" s="3"/>
      <c r="E4921" s="3"/>
      <c r="F4921" s="3"/>
      <c r="G4921" s="3"/>
      <c r="H4921" s="11"/>
      <c r="I4921" s="12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</row>
    <row r="4922" spans="1:34" ht="14.25" customHeight="1" x14ac:dyDescent="0.25">
      <c r="A4922" s="3"/>
      <c r="B4922" s="3"/>
      <c r="C4922" s="3"/>
      <c r="D4922" s="3"/>
      <c r="E4922" s="3"/>
      <c r="F4922" s="3"/>
      <c r="G4922" s="3"/>
      <c r="H4922" s="11"/>
      <c r="I4922" s="12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</row>
    <row r="4923" spans="1:34" ht="14.25" customHeight="1" x14ac:dyDescent="0.25">
      <c r="A4923" s="3"/>
      <c r="B4923" s="3"/>
      <c r="C4923" s="3"/>
      <c r="D4923" s="3"/>
      <c r="E4923" s="3"/>
      <c r="F4923" s="3"/>
      <c r="G4923" s="3"/>
      <c r="H4923" s="11"/>
      <c r="I4923" s="12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</row>
    <row r="4924" spans="1:34" ht="14.25" customHeight="1" x14ac:dyDescent="0.25">
      <c r="A4924" s="3"/>
      <c r="B4924" s="3"/>
      <c r="C4924" s="3"/>
      <c r="D4924" s="3"/>
      <c r="E4924" s="3"/>
      <c r="F4924" s="3"/>
      <c r="G4924" s="3"/>
      <c r="H4924" s="11"/>
      <c r="I4924" s="12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</row>
    <row r="4925" spans="1:34" ht="14.25" customHeight="1" x14ac:dyDescent="0.25">
      <c r="A4925" s="3"/>
      <c r="B4925" s="3"/>
      <c r="C4925" s="3"/>
      <c r="D4925" s="3"/>
      <c r="E4925" s="3"/>
      <c r="F4925" s="3"/>
      <c r="G4925" s="3"/>
      <c r="H4925" s="11"/>
      <c r="I4925" s="12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</row>
    <row r="4926" spans="1:34" ht="14.25" customHeight="1" x14ac:dyDescent="0.25">
      <c r="A4926" s="3"/>
      <c r="B4926" s="3"/>
      <c r="C4926" s="3"/>
      <c r="D4926" s="3"/>
      <c r="E4926" s="3"/>
      <c r="F4926" s="3"/>
      <c r="G4926" s="3"/>
      <c r="H4926" s="11"/>
      <c r="I4926" s="12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</row>
    <row r="4927" spans="1:34" ht="14.25" customHeight="1" x14ac:dyDescent="0.25">
      <c r="A4927" s="3"/>
      <c r="B4927" s="3"/>
      <c r="C4927" s="3"/>
      <c r="D4927" s="3"/>
      <c r="E4927" s="3"/>
      <c r="F4927" s="3"/>
      <c r="G4927" s="3"/>
      <c r="H4927" s="11"/>
      <c r="I4927" s="12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</row>
    <row r="4928" spans="1:34" ht="14.25" customHeight="1" x14ac:dyDescent="0.25">
      <c r="A4928" s="3"/>
      <c r="B4928" s="3"/>
      <c r="C4928" s="3"/>
      <c r="D4928" s="3"/>
      <c r="E4928" s="3"/>
      <c r="F4928" s="3"/>
      <c r="G4928" s="3"/>
      <c r="H4928" s="11"/>
      <c r="I4928" s="12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</row>
    <row r="4929" spans="1:34" ht="14.25" customHeight="1" x14ac:dyDescent="0.25">
      <c r="A4929" s="3"/>
      <c r="B4929" s="3"/>
      <c r="C4929" s="3"/>
      <c r="D4929" s="3"/>
      <c r="E4929" s="3"/>
      <c r="F4929" s="3"/>
      <c r="G4929" s="3"/>
      <c r="H4929" s="11"/>
      <c r="I4929" s="12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</row>
    <row r="4930" spans="1:34" ht="14.25" customHeight="1" x14ac:dyDescent="0.25">
      <c r="A4930" s="3"/>
      <c r="B4930" s="3"/>
      <c r="C4930" s="3"/>
      <c r="D4930" s="3"/>
      <c r="E4930" s="3"/>
      <c r="F4930" s="3"/>
      <c r="G4930" s="3"/>
      <c r="H4930" s="11"/>
      <c r="I4930" s="12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</row>
    <row r="4931" spans="1:34" ht="14.25" customHeight="1" x14ac:dyDescent="0.25">
      <c r="A4931" s="3"/>
      <c r="B4931" s="3"/>
      <c r="C4931" s="3"/>
      <c r="D4931" s="3"/>
      <c r="E4931" s="3"/>
      <c r="F4931" s="3"/>
      <c r="G4931" s="3"/>
      <c r="H4931" s="11"/>
      <c r="I4931" s="12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</row>
    <row r="4932" spans="1:34" ht="14.25" customHeight="1" x14ac:dyDescent="0.25">
      <c r="A4932" s="3"/>
      <c r="B4932" s="3"/>
      <c r="C4932" s="3"/>
      <c r="D4932" s="3"/>
      <c r="E4932" s="3"/>
      <c r="F4932" s="3"/>
      <c r="G4932" s="3"/>
      <c r="H4932" s="11"/>
      <c r="I4932" s="12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</row>
    <row r="4933" spans="1:34" ht="14.25" customHeight="1" x14ac:dyDescent="0.25">
      <c r="A4933" s="3"/>
      <c r="B4933" s="3"/>
      <c r="C4933" s="3"/>
      <c r="D4933" s="3"/>
      <c r="E4933" s="3"/>
      <c r="F4933" s="3"/>
      <c r="G4933" s="3"/>
      <c r="H4933" s="11"/>
      <c r="I4933" s="12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</row>
    <row r="4934" spans="1:34" ht="14.25" customHeight="1" x14ac:dyDescent="0.25">
      <c r="A4934" s="3"/>
      <c r="B4934" s="3"/>
      <c r="C4934" s="3"/>
      <c r="D4934" s="3"/>
      <c r="E4934" s="3"/>
      <c r="F4934" s="3"/>
      <c r="G4934" s="3"/>
      <c r="H4934" s="11"/>
      <c r="I4934" s="12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</row>
    <row r="4935" spans="1:34" ht="14.25" customHeight="1" x14ac:dyDescent="0.25">
      <c r="A4935" s="3"/>
      <c r="B4935" s="3"/>
      <c r="C4935" s="3"/>
      <c r="D4935" s="3"/>
      <c r="E4935" s="3"/>
      <c r="F4935" s="3"/>
      <c r="G4935" s="3"/>
      <c r="H4935" s="11"/>
      <c r="I4935" s="12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</row>
    <row r="4936" spans="1:34" ht="14.25" customHeight="1" x14ac:dyDescent="0.25">
      <c r="A4936" s="3"/>
      <c r="B4936" s="3"/>
      <c r="C4936" s="3"/>
      <c r="D4936" s="3"/>
      <c r="E4936" s="3"/>
      <c r="F4936" s="3"/>
      <c r="G4936" s="3"/>
      <c r="H4936" s="11"/>
      <c r="I4936" s="12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</row>
    <row r="4937" spans="1:34" ht="14.25" customHeight="1" x14ac:dyDescent="0.25">
      <c r="A4937" s="3"/>
      <c r="B4937" s="3"/>
      <c r="C4937" s="3"/>
      <c r="D4937" s="3"/>
      <c r="E4937" s="3"/>
      <c r="F4937" s="3"/>
      <c r="G4937" s="3"/>
      <c r="H4937" s="11"/>
      <c r="I4937" s="12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</row>
    <row r="4938" spans="1:34" ht="14.25" customHeight="1" x14ac:dyDescent="0.25">
      <c r="A4938" s="3"/>
      <c r="B4938" s="3"/>
      <c r="C4938" s="3"/>
      <c r="D4938" s="3"/>
      <c r="E4938" s="3"/>
      <c r="F4938" s="3"/>
      <c r="G4938" s="3"/>
      <c r="H4938" s="11"/>
      <c r="I4938" s="12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</row>
    <row r="4939" spans="1:34" ht="14.25" customHeight="1" x14ac:dyDescent="0.25">
      <c r="A4939" s="3"/>
      <c r="B4939" s="3"/>
      <c r="C4939" s="3"/>
      <c r="D4939" s="3"/>
      <c r="E4939" s="3"/>
      <c r="F4939" s="3"/>
      <c r="G4939" s="3"/>
      <c r="H4939" s="11"/>
      <c r="I4939" s="12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</row>
    <row r="4940" spans="1:34" ht="14.25" customHeight="1" x14ac:dyDescent="0.25">
      <c r="A4940" s="3"/>
      <c r="B4940" s="3"/>
      <c r="C4940" s="3"/>
      <c r="D4940" s="3"/>
      <c r="E4940" s="3"/>
      <c r="F4940" s="3"/>
      <c r="G4940" s="3"/>
      <c r="H4940" s="11"/>
      <c r="I4940" s="12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</row>
    <row r="4941" spans="1:34" ht="14.25" customHeight="1" x14ac:dyDescent="0.25">
      <c r="A4941" s="3"/>
      <c r="B4941" s="3"/>
      <c r="C4941" s="3"/>
      <c r="D4941" s="3"/>
      <c r="E4941" s="3"/>
      <c r="F4941" s="3"/>
      <c r="G4941" s="3"/>
      <c r="H4941" s="11"/>
      <c r="I4941" s="12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</row>
    <row r="4942" spans="1:34" ht="14.25" customHeight="1" x14ac:dyDescent="0.25">
      <c r="A4942" s="3"/>
      <c r="B4942" s="3"/>
      <c r="C4942" s="3"/>
      <c r="D4942" s="3"/>
      <c r="E4942" s="3"/>
      <c r="F4942" s="3"/>
      <c r="G4942" s="3"/>
      <c r="H4942" s="11"/>
      <c r="I4942" s="12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</row>
    <row r="4943" spans="1:34" ht="14.25" customHeight="1" x14ac:dyDescent="0.25">
      <c r="A4943" s="3"/>
      <c r="B4943" s="3"/>
      <c r="C4943" s="3"/>
      <c r="D4943" s="3"/>
      <c r="E4943" s="3"/>
      <c r="F4943" s="3"/>
      <c r="G4943" s="3"/>
      <c r="H4943" s="11"/>
      <c r="I4943" s="12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</row>
    <row r="4944" spans="1:34" ht="14.25" customHeight="1" x14ac:dyDescent="0.25">
      <c r="A4944" s="3"/>
      <c r="B4944" s="3"/>
      <c r="C4944" s="3"/>
      <c r="D4944" s="3"/>
      <c r="E4944" s="3"/>
      <c r="F4944" s="3"/>
      <c r="G4944" s="3"/>
      <c r="H4944" s="11"/>
      <c r="I4944" s="12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</row>
    <row r="4945" spans="1:34" ht="14.25" customHeight="1" x14ac:dyDescent="0.25">
      <c r="A4945" s="3"/>
      <c r="B4945" s="3"/>
      <c r="C4945" s="3"/>
      <c r="D4945" s="3"/>
      <c r="E4945" s="3"/>
      <c r="F4945" s="3"/>
      <c r="G4945" s="3"/>
      <c r="H4945" s="11"/>
      <c r="I4945" s="12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</row>
    <row r="4946" spans="1:34" ht="14.25" customHeight="1" x14ac:dyDescent="0.25">
      <c r="A4946" s="3"/>
      <c r="B4946" s="3"/>
      <c r="C4946" s="3"/>
      <c r="D4946" s="3"/>
      <c r="E4946" s="3"/>
      <c r="F4946" s="3"/>
      <c r="G4946" s="3"/>
      <c r="H4946" s="11"/>
      <c r="I4946" s="12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</row>
    <row r="4947" spans="1:34" ht="14.25" customHeight="1" x14ac:dyDescent="0.25">
      <c r="A4947" s="3"/>
      <c r="B4947" s="3"/>
      <c r="C4947" s="3"/>
      <c r="D4947" s="3"/>
      <c r="E4947" s="3"/>
      <c r="F4947" s="3"/>
      <c r="G4947" s="3"/>
      <c r="H4947" s="11"/>
      <c r="I4947" s="12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</row>
    <row r="4948" spans="1:34" ht="14.25" customHeight="1" x14ac:dyDescent="0.25">
      <c r="A4948" s="3"/>
      <c r="B4948" s="3"/>
      <c r="C4948" s="3"/>
      <c r="D4948" s="3"/>
      <c r="E4948" s="3"/>
      <c r="F4948" s="3"/>
      <c r="G4948" s="3"/>
      <c r="H4948" s="11"/>
      <c r="I4948" s="12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</row>
    <row r="4949" spans="1:34" ht="14.25" customHeight="1" x14ac:dyDescent="0.25">
      <c r="A4949" s="3"/>
      <c r="B4949" s="3"/>
      <c r="C4949" s="3"/>
      <c r="D4949" s="3"/>
      <c r="E4949" s="3"/>
      <c r="F4949" s="3"/>
      <c r="G4949" s="3"/>
      <c r="H4949" s="11"/>
      <c r="I4949" s="12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</row>
    <row r="4950" spans="1:34" ht="14.25" customHeight="1" x14ac:dyDescent="0.25">
      <c r="A4950" s="3"/>
      <c r="B4950" s="3"/>
      <c r="C4950" s="3"/>
      <c r="D4950" s="3"/>
      <c r="E4950" s="3"/>
      <c r="F4950" s="3"/>
      <c r="G4950" s="3"/>
      <c r="H4950" s="11"/>
      <c r="I4950" s="12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</row>
    <row r="4951" spans="1:34" ht="14.25" customHeight="1" x14ac:dyDescent="0.25">
      <c r="A4951" s="3"/>
      <c r="B4951" s="3"/>
      <c r="C4951" s="3"/>
      <c r="D4951" s="3"/>
      <c r="E4951" s="3"/>
      <c r="F4951" s="3"/>
      <c r="G4951" s="3"/>
      <c r="H4951" s="11"/>
      <c r="I4951" s="12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</row>
    <row r="4952" spans="1:34" ht="14.25" customHeight="1" x14ac:dyDescent="0.25">
      <c r="A4952" s="3"/>
      <c r="B4952" s="3"/>
      <c r="C4952" s="3"/>
      <c r="D4952" s="3"/>
      <c r="E4952" s="3"/>
      <c r="F4952" s="3"/>
      <c r="G4952" s="3"/>
      <c r="H4952" s="11"/>
      <c r="I4952" s="12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</row>
    <row r="4953" spans="1:34" ht="14.25" customHeight="1" x14ac:dyDescent="0.25">
      <c r="A4953" s="3"/>
      <c r="B4953" s="3"/>
      <c r="C4953" s="3"/>
      <c r="D4953" s="3"/>
      <c r="E4953" s="3"/>
      <c r="F4953" s="3"/>
      <c r="G4953" s="3"/>
      <c r="H4953" s="11"/>
      <c r="I4953" s="12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</row>
    <row r="4954" spans="1:34" ht="14.25" customHeight="1" x14ac:dyDescent="0.25">
      <c r="A4954" s="3"/>
      <c r="B4954" s="3"/>
      <c r="C4954" s="3"/>
      <c r="D4954" s="3"/>
      <c r="E4954" s="3"/>
      <c r="F4954" s="3"/>
      <c r="G4954" s="3"/>
      <c r="H4954" s="11"/>
      <c r="I4954" s="12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</row>
    <row r="4955" spans="1:34" ht="14.25" customHeight="1" x14ac:dyDescent="0.25">
      <c r="A4955" s="3"/>
      <c r="B4955" s="3"/>
      <c r="C4955" s="3"/>
      <c r="D4955" s="3"/>
      <c r="E4955" s="3"/>
      <c r="F4955" s="3"/>
      <c r="G4955" s="3"/>
      <c r="H4955" s="11"/>
      <c r="I4955" s="12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</row>
    <row r="4956" spans="1:34" ht="14.25" customHeight="1" x14ac:dyDescent="0.25">
      <c r="A4956" s="3"/>
      <c r="B4956" s="3"/>
      <c r="C4956" s="3"/>
      <c r="D4956" s="3"/>
      <c r="E4956" s="3"/>
      <c r="F4956" s="3"/>
      <c r="G4956" s="3"/>
      <c r="H4956" s="11"/>
      <c r="I4956" s="12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</row>
    <row r="4957" spans="1:34" ht="14.25" customHeight="1" x14ac:dyDescent="0.25">
      <c r="A4957" s="3"/>
      <c r="B4957" s="3"/>
      <c r="C4957" s="3"/>
      <c r="D4957" s="3"/>
      <c r="E4957" s="3"/>
      <c r="F4957" s="3"/>
      <c r="G4957" s="3"/>
      <c r="H4957" s="11"/>
      <c r="I4957" s="12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</row>
    <row r="4958" spans="1:34" ht="14.25" customHeight="1" x14ac:dyDescent="0.25">
      <c r="A4958" s="3"/>
      <c r="B4958" s="3"/>
      <c r="C4958" s="3"/>
      <c r="D4958" s="3"/>
      <c r="E4958" s="3"/>
      <c r="F4958" s="3"/>
      <c r="G4958" s="3"/>
      <c r="H4958" s="11"/>
      <c r="I4958" s="12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</row>
    <row r="4959" spans="1:34" ht="14.25" customHeight="1" x14ac:dyDescent="0.25">
      <c r="A4959" s="3"/>
      <c r="B4959" s="3"/>
      <c r="C4959" s="3"/>
      <c r="D4959" s="3"/>
      <c r="E4959" s="3"/>
      <c r="F4959" s="3"/>
      <c r="G4959" s="3"/>
      <c r="H4959" s="11"/>
      <c r="I4959" s="12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</row>
    <row r="4960" spans="1:34" ht="14.25" customHeight="1" x14ac:dyDescent="0.25">
      <c r="A4960" s="3"/>
      <c r="B4960" s="3"/>
      <c r="C4960" s="3"/>
      <c r="D4960" s="3"/>
      <c r="E4960" s="3"/>
      <c r="F4960" s="3"/>
      <c r="G4960" s="3"/>
      <c r="H4960" s="11"/>
      <c r="I4960" s="12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</row>
    <row r="4961" spans="1:34" ht="14.25" customHeight="1" x14ac:dyDescent="0.25">
      <c r="A4961" s="3"/>
      <c r="B4961" s="3"/>
      <c r="C4961" s="3"/>
      <c r="D4961" s="3"/>
      <c r="E4961" s="3"/>
      <c r="F4961" s="3"/>
      <c r="G4961" s="3"/>
      <c r="H4961" s="11"/>
      <c r="I4961" s="12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</row>
    <row r="4962" spans="1:34" ht="14.25" customHeight="1" x14ac:dyDescent="0.25">
      <c r="A4962" s="3"/>
      <c r="B4962" s="3"/>
      <c r="C4962" s="3"/>
      <c r="D4962" s="3"/>
      <c r="E4962" s="3"/>
      <c r="F4962" s="3"/>
      <c r="G4962" s="3"/>
      <c r="H4962" s="11"/>
      <c r="I4962" s="12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</row>
    <row r="4963" spans="1:34" ht="14.25" customHeight="1" x14ac:dyDescent="0.25">
      <c r="A4963" s="3"/>
      <c r="B4963" s="3"/>
      <c r="C4963" s="3"/>
      <c r="D4963" s="3"/>
      <c r="E4963" s="3"/>
      <c r="F4963" s="3"/>
      <c r="G4963" s="3"/>
      <c r="H4963" s="11"/>
      <c r="I4963" s="12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</row>
    <row r="4964" spans="1:34" ht="14.25" customHeight="1" x14ac:dyDescent="0.25">
      <c r="A4964" s="3"/>
      <c r="B4964" s="3"/>
      <c r="C4964" s="3"/>
      <c r="D4964" s="3"/>
      <c r="E4964" s="3"/>
      <c r="F4964" s="3"/>
      <c r="G4964" s="3"/>
      <c r="H4964" s="11"/>
      <c r="I4964" s="12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</row>
    <row r="4965" spans="1:34" ht="14.25" customHeight="1" x14ac:dyDescent="0.25">
      <c r="A4965" s="3"/>
      <c r="B4965" s="3"/>
      <c r="C4965" s="3"/>
      <c r="D4965" s="3"/>
      <c r="E4965" s="3"/>
      <c r="F4965" s="3"/>
      <c r="G4965" s="3"/>
      <c r="H4965" s="11"/>
      <c r="I4965" s="12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</row>
    <row r="4966" spans="1:34" ht="14.25" customHeight="1" x14ac:dyDescent="0.25">
      <c r="A4966" s="3"/>
      <c r="B4966" s="3"/>
      <c r="C4966" s="3"/>
      <c r="D4966" s="3"/>
      <c r="E4966" s="3"/>
      <c r="F4966" s="3"/>
      <c r="G4966" s="3"/>
      <c r="H4966" s="11"/>
      <c r="I4966" s="12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</row>
    <row r="4967" spans="1:34" ht="14.25" customHeight="1" x14ac:dyDescent="0.25">
      <c r="A4967" s="3"/>
      <c r="B4967" s="3"/>
      <c r="C4967" s="3"/>
      <c r="D4967" s="3"/>
      <c r="E4967" s="3"/>
      <c r="F4967" s="3"/>
      <c r="G4967" s="3"/>
      <c r="H4967" s="11"/>
      <c r="I4967" s="12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</row>
    <row r="4968" spans="1:34" ht="14.25" customHeight="1" x14ac:dyDescent="0.25">
      <c r="A4968" s="3"/>
      <c r="B4968" s="3"/>
      <c r="C4968" s="3"/>
      <c r="D4968" s="3"/>
      <c r="E4968" s="3"/>
      <c r="F4968" s="3"/>
      <c r="G4968" s="3"/>
      <c r="H4968" s="11"/>
      <c r="I4968" s="12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</row>
    <row r="4969" spans="1:34" ht="14.25" customHeight="1" x14ac:dyDescent="0.25">
      <c r="A4969" s="3"/>
      <c r="B4969" s="3"/>
      <c r="C4969" s="3"/>
      <c r="D4969" s="3"/>
      <c r="E4969" s="3"/>
      <c r="F4969" s="3"/>
      <c r="G4969" s="3"/>
      <c r="H4969" s="11"/>
      <c r="I4969" s="12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</row>
    <row r="4970" spans="1:34" ht="14.25" customHeight="1" x14ac:dyDescent="0.25">
      <c r="A4970" s="3"/>
      <c r="B4970" s="3"/>
      <c r="C4970" s="3"/>
      <c r="D4970" s="3"/>
      <c r="E4970" s="3"/>
      <c r="F4970" s="3"/>
      <c r="G4970" s="3"/>
      <c r="H4970" s="11"/>
      <c r="I4970" s="12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</row>
    <row r="4971" spans="1:34" ht="14.25" customHeight="1" x14ac:dyDescent="0.25">
      <c r="A4971" s="3"/>
      <c r="B4971" s="3"/>
      <c r="C4971" s="3"/>
      <c r="D4971" s="3"/>
      <c r="E4971" s="3"/>
      <c r="F4971" s="3"/>
      <c r="G4971" s="3"/>
      <c r="H4971" s="11"/>
      <c r="I4971" s="12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</row>
    <row r="4972" spans="1:34" ht="14.25" customHeight="1" x14ac:dyDescent="0.25">
      <c r="A4972" s="3"/>
      <c r="B4972" s="3"/>
      <c r="C4972" s="3"/>
      <c r="D4972" s="3"/>
      <c r="E4972" s="3"/>
      <c r="F4972" s="3"/>
      <c r="G4972" s="3"/>
      <c r="H4972" s="11"/>
      <c r="I4972" s="12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</row>
    <row r="4973" spans="1:34" ht="14.25" customHeight="1" x14ac:dyDescent="0.25">
      <c r="A4973" s="3"/>
      <c r="B4973" s="3"/>
      <c r="C4973" s="3"/>
      <c r="D4973" s="3"/>
      <c r="E4973" s="3"/>
      <c r="F4973" s="3"/>
      <c r="G4973" s="3"/>
      <c r="H4973" s="11"/>
      <c r="I4973" s="12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</row>
    <row r="4974" spans="1:34" ht="14.25" customHeight="1" x14ac:dyDescent="0.25">
      <c r="A4974" s="3"/>
      <c r="B4974" s="3"/>
      <c r="C4974" s="3"/>
      <c r="D4974" s="3"/>
      <c r="E4974" s="3"/>
      <c r="F4974" s="3"/>
      <c r="G4974" s="3"/>
      <c r="H4974" s="11"/>
      <c r="I4974" s="12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</row>
    <row r="4975" spans="1:34" ht="14.25" customHeight="1" x14ac:dyDescent="0.25">
      <c r="A4975" s="3"/>
      <c r="B4975" s="3"/>
      <c r="C4975" s="3"/>
      <c r="D4975" s="3"/>
      <c r="E4975" s="3"/>
      <c r="F4975" s="3"/>
      <c r="G4975" s="3"/>
      <c r="H4975" s="11"/>
      <c r="I4975" s="12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</row>
    <row r="4976" spans="1:34" ht="14.25" customHeight="1" x14ac:dyDescent="0.25">
      <c r="A4976" s="3"/>
      <c r="B4976" s="3"/>
      <c r="C4976" s="3"/>
      <c r="D4976" s="3"/>
      <c r="E4976" s="3"/>
      <c r="F4976" s="3"/>
      <c r="G4976" s="3"/>
      <c r="H4976" s="11"/>
      <c r="I4976" s="12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</row>
    <row r="4977" spans="1:34" ht="14.25" customHeight="1" x14ac:dyDescent="0.25">
      <c r="A4977" s="3"/>
      <c r="B4977" s="3"/>
      <c r="C4977" s="3"/>
      <c r="D4977" s="3"/>
      <c r="E4977" s="3"/>
      <c r="F4977" s="3"/>
      <c r="G4977" s="3"/>
      <c r="H4977" s="11"/>
      <c r="I4977" s="12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</row>
    <row r="4978" spans="1:34" ht="14.25" customHeight="1" x14ac:dyDescent="0.25">
      <c r="A4978" s="3"/>
      <c r="B4978" s="3"/>
      <c r="C4978" s="3"/>
      <c r="D4978" s="3"/>
      <c r="E4978" s="3"/>
      <c r="F4978" s="3"/>
      <c r="G4978" s="3"/>
      <c r="H4978" s="11"/>
      <c r="I4978" s="12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</row>
    <row r="4979" spans="1:34" ht="14.25" customHeight="1" x14ac:dyDescent="0.25">
      <c r="A4979" s="3"/>
      <c r="B4979" s="3"/>
      <c r="C4979" s="3"/>
      <c r="D4979" s="3"/>
      <c r="E4979" s="3"/>
      <c r="F4979" s="3"/>
      <c r="G4979" s="3"/>
      <c r="H4979" s="11"/>
      <c r="I4979" s="12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</row>
    <row r="4980" spans="1:34" ht="14.25" customHeight="1" x14ac:dyDescent="0.25">
      <c r="A4980" s="3"/>
      <c r="B4980" s="3"/>
      <c r="C4980" s="3"/>
      <c r="D4980" s="3"/>
      <c r="E4980" s="3"/>
      <c r="F4980" s="3"/>
      <c r="G4980" s="3"/>
      <c r="H4980" s="11"/>
      <c r="I4980" s="12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</row>
    <row r="4981" spans="1:34" ht="14.25" customHeight="1" x14ac:dyDescent="0.25">
      <c r="A4981" s="3"/>
      <c r="B4981" s="3"/>
      <c r="C4981" s="3"/>
      <c r="D4981" s="3"/>
      <c r="E4981" s="3"/>
      <c r="F4981" s="3"/>
      <c r="G4981" s="3"/>
      <c r="H4981" s="11"/>
      <c r="I4981" s="12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</row>
    <row r="4982" spans="1:34" ht="14.25" customHeight="1" x14ac:dyDescent="0.25">
      <c r="A4982" s="3"/>
      <c r="B4982" s="3"/>
      <c r="C4982" s="3"/>
      <c r="D4982" s="3"/>
      <c r="E4982" s="3"/>
      <c r="F4982" s="3"/>
      <c r="G4982" s="3"/>
      <c r="H4982" s="11"/>
      <c r="I4982" s="12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</row>
    <row r="4983" spans="1:34" ht="14.25" customHeight="1" x14ac:dyDescent="0.25">
      <c r="A4983" s="3"/>
      <c r="B4983" s="3"/>
      <c r="C4983" s="3"/>
      <c r="D4983" s="3"/>
      <c r="E4983" s="3"/>
      <c r="F4983" s="3"/>
      <c r="G4983" s="3"/>
      <c r="H4983" s="11"/>
      <c r="I4983" s="12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</row>
    <row r="4984" spans="1:34" ht="14.25" customHeight="1" x14ac:dyDescent="0.25">
      <c r="A4984" s="3"/>
      <c r="B4984" s="3"/>
      <c r="C4984" s="3"/>
      <c r="D4984" s="3"/>
      <c r="E4984" s="3"/>
      <c r="F4984" s="3"/>
      <c r="G4984" s="3"/>
      <c r="H4984" s="11"/>
      <c r="I4984" s="12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</row>
    <row r="4985" spans="1:34" ht="14.25" customHeight="1" x14ac:dyDescent="0.25">
      <c r="A4985" s="3"/>
      <c r="B4985" s="3"/>
      <c r="C4985" s="3"/>
      <c r="D4985" s="3"/>
      <c r="E4985" s="3"/>
      <c r="F4985" s="3"/>
      <c r="G4985" s="3"/>
      <c r="H4985" s="11"/>
      <c r="I4985" s="12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</row>
    <row r="4986" spans="1:34" ht="14.25" customHeight="1" x14ac:dyDescent="0.25">
      <c r="A4986" s="3"/>
      <c r="B4986" s="3"/>
      <c r="C4986" s="3"/>
      <c r="D4986" s="3"/>
      <c r="E4986" s="3"/>
      <c r="F4986" s="3"/>
      <c r="G4986" s="3"/>
      <c r="H4986" s="11"/>
      <c r="I4986" s="12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</row>
    <row r="4987" spans="1:34" ht="14.25" customHeight="1" x14ac:dyDescent="0.25">
      <c r="A4987" s="3"/>
      <c r="B4987" s="3"/>
      <c r="C4987" s="3"/>
      <c r="D4987" s="3"/>
      <c r="E4987" s="3"/>
      <c r="F4987" s="3"/>
      <c r="G4987" s="3"/>
      <c r="H4987" s="11"/>
      <c r="I4987" s="12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</row>
    <row r="4988" spans="1:34" ht="14.25" customHeight="1" x14ac:dyDescent="0.25">
      <c r="A4988" s="3"/>
      <c r="B4988" s="3"/>
      <c r="C4988" s="3"/>
      <c r="D4988" s="3"/>
      <c r="E4988" s="3"/>
      <c r="F4988" s="3"/>
      <c r="G4988" s="3"/>
      <c r="H4988" s="11"/>
      <c r="I4988" s="12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</row>
    <row r="4989" spans="1:34" ht="14.25" customHeight="1" x14ac:dyDescent="0.25">
      <c r="A4989" s="3"/>
      <c r="B4989" s="3"/>
      <c r="C4989" s="3"/>
      <c r="D4989" s="3"/>
      <c r="E4989" s="3"/>
      <c r="F4989" s="3"/>
      <c r="G4989" s="3"/>
      <c r="H4989" s="11"/>
      <c r="I4989" s="12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</row>
    <row r="4990" spans="1:34" ht="14.25" customHeight="1" x14ac:dyDescent="0.25">
      <c r="A4990" s="3"/>
      <c r="B4990" s="3"/>
      <c r="C4990" s="3"/>
      <c r="D4990" s="3"/>
      <c r="E4990" s="3"/>
      <c r="F4990" s="3"/>
      <c r="G4990" s="3"/>
      <c r="H4990" s="11"/>
      <c r="I4990" s="12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</row>
    <row r="4991" spans="1:34" ht="14.25" customHeight="1" x14ac:dyDescent="0.25">
      <c r="A4991" s="3"/>
      <c r="B4991" s="3"/>
      <c r="C4991" s="3"/>
      <c r="D4991" s="3"/>
      <c r="E4991" s="3"/>
      <c r="F4991" s="3"/>
      <c r="G4991" s="3"/>
      <c r="H4991" s="11"/>
      <c r="I4991" s="12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</row>
    <row r="4992" spans="1:34" ht="14.25" customHeight="1" x14ac:dyDescent="0.25">
      <c r="A4992" s="3"/>
      <c r="B4992" s="3"/>
      <c r="C4992" s="3"/>
      <c r="D4992" s="3"/>
      <c r="E4992" s="3"/>
      <c r="F4992" s="3"/>
      <c r="G4992" s="3"/>
      <c r="H4992" s="11"/>
      <c r="I4992" s="12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</row>
    <row r="4993" spans="1:34" ht="14.25" customHeight="1" x14ac:dyDescent="0.25">
      <c r="A4993" s="3"/>
      <c r="B4993" s="3"/>
      <c r="C4993" s="3"/>
      <c r="D4993" s="3"/>
      <c r="E4993" s="3"/>
      <c r="F4993" s="3"/>
      <c r="G4993" s="3"/>
      <c r="H4993" s="11"/>
      <c r="I4993" s="12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</row>
    <row r="4994" spans="1:34" ht="14.25" customHeight="1" x14ac:dyDescent="0.25">
      <c r="A4994" s="3"/>
      <c r="B4994" s="3"/>
      <c r="C4994" s="3"/>
      <c r="D4994" s="3"/>
      <c r="E4994" s="3"/>
      <c r="F4994" s="3"/>
      <c r="G4994" s="3"/>
      <c r="H4994" s="11"/>
      <c r="I4994" s="12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</row>
    <row r="4995" spans="1:34" ht="14.25" customHeight="1" x14ac:dyDescent="0.25">
      <c r="A4995" s="3"/>
      <c r="B4995" s="3"/>
      <c r="C4995" s="3"/>
      <c r="D4995" s="3"/>
      <c r="E4995" s="3"/>
      <c r="F4995" s="3"/>
      <c r="G4995" s="3"/>
      <c r="H4995" s="11"/>
      <c r="I4995" s="12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</row>
    <row r="4996" spans="1:34" ht="14.25" customHeight="1" x14ac:dyDescent="0.25">
      <c r="A4996" s="3"/>
      <c r="B4996" s="3"/>
      <c r="C4996" s="3"/>
      <c r="D4996" s="3"/>
      <c r="E4996" s="3"/>
      <c r="F4996" s="3"/>
      <c r="G4996" s="3"/>
      <c r="H4996" s="11"/>
      <c r="I4996" s="12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</row>
    <row r="4997" spans="1:34" ht="14.25" customHeight="1" x14ac:dyDescent="0.25">
      <c r="A4997" s="3"/>
      <c r="B4997" s="3"/>
      <c r="C4997" s="3"/>
      <c r="D4997" s="3"/>
      <c r="E4997" s="3"/>
      <c r="F4997" s="3"/>
      <c r="G4997" s="3"/>
      <c r="H4997" s="11"/>
      <c r="I4997" s="12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</row>
    <row r="4998" spans="1:34" ht="14.25" customHeight="1" x14ac:dyDescent="0.25">
      <c r="A4998" s="3"/>
      <c r="B4998" s="3"/>
      <c r="C4998" s="3"/>
      <c r="D4998" s="3"/>
      <c r="E4998" s="3"/>
      <c r="F4998" s="3"/>
      <c r="G4998" s="3"/>
      <c r="H4998" s="11"/>
      <c r="I4998" s="12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</row>
    <row r="4999" spans="1:34" ht="14.25" customHeight="1" x14ac:dyDescent="0.25">
      <c r="A4999" s="3"/>
      <c r="B4999" s="3"/>
      <c r="C4999" s="3"/>
      <c r="D4999" s="3"/>
      <c r="E4999" s="3"/>
      <c r="F4999" s="3"/>
      <c r="G4999" s="3"/>
      <c r="H4999" s="11"/>
      <c r="I4999" s="12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</row>
    <row r="5000" spans="1:34" ht="14.25" customHeight="1" x14ac:dyDescent="0.25">
      <c r="A5000" s="3"/>
      <c r="B5000" s="3"/>
      <c r="C5000" s="3"/>
      <c r="D5000" s="3"/>
      <c r="E5000" s="3"/>
      <c r="F5000" s="3"/>
      <c r="G5000" s="3"/>
      <c r="H5000" s="11"/>
      <c r="I5000" s="12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</row>
    <row r="5001" spans="1:34" ht="14.25" customHeight="1" x14ac:dyDescent="0.25">
      <c r="A5001" s="3"/>
      <c r="B5001" s="3"/>
      <c r="C5001" s="3"/>
      <c r="D5001" s="3"/>
      <c r="E5001" s="3"/>
      <c r="F5001" s="3"/>
      <c r="G5001" s="3"/>
      <c r="H5001" s="11"/>
      <c r="I5001" s="12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</row>
    <row r="5002" spans="1:34" ht="14.25" customHeight="1" x14ac:dyDescent="0.25">
      <c r="A5002" s="3"/>
      <c r="B5002" s="3"/>
      <c r="C5002" s="3"/>
      <c r="D5002" s="3"/>
      <c r="E5002" s="3"/>
      <c r="F5002" s="3"/>
      <c r="G5002" s="3"/>
      <c r="H5002" s="11"/>
      <c r="I5002" s="12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</row>
    <row r="5003" spans="1:34" ht="14.25" customHeight="1" x14ac:dyDescent="0.25">
      <c r="A5003" s="3"/>
      <c r="B5003" s="3"/>
      <c r="C5003" s="3"/>
      <c r="D5003" s="3"/>
      <c r="E5003" s="3"/>
      <c r="F5003" s="3"/>
      <c r="G5003" s="3"/>
      <c r="H5003" s="11"/>
      <c r="I5003" s="12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</row>
    <row r="5004" spans="1:34" ht="14.25" customHeight="1" x14ac:dyDescent="0.25">
      <c r="A5004" s="3"/>
      <c r="B5004" s="3"/>
      <c r="C5004" s="3"/>
      <c r="D5004" s="3"/>
      <c r="E5004" s="3"/>
      <c r="F5004" s="3"/>
      <c r="G5004" s="3"/>
      <c r="H5004" s="11"/>
      <c r="I5004" s="12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</row>
    <row r="5005" spans="1:34" ht="14.25" customHeight="1" x14ac:dyDescent="0.25">
      <c r="A5005" s="3"/>
      <c r="B5005" s="3"/>
      <c r="C5005" s="3"/>
      <c r="D5005" s="3"/>
      <c r="E5005" s="3"/>
      <c r="F5005" s="3"/>
      <c r="G5005" s="3"/>
      <c r="H5005" s="11"/>
      <c r="I5005" s="12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</row>
    <row r="5006" spans="1:34" ht="14.25" customHeight="1" x14ac:dyDescent="0.25">
      <c r="A5006" s="3"/>
      <c r="B5006" s="3"/>
      <c r="C5006" s="3"/>
      <c r="D5006" s="3"/>
      <c r="E5006" s="3"/>
      <c r="F5006" s="3"/>
      <c r="G5006" s="3"/>
      <c r="H5006" s="11"/>
      <c r="I5006" s="12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</row>
    <row r="5007" spans="1:34" ht="14.25" customHeight="1" x14ac:dyDescent="0.25">
      <c r="A5007" s="3"/>
      <c r="B5007" s="3"/>
      <c r="C5007" s="3"/>
      <c r="D5007" s="3"/>
      <c r="E5007" s="3"/>
      <c r="F5007" s="3"/>
      <c r="G5007" s="3"/>
      <c r="H5007" s="11"/>
      <c r="I5007" s="12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</row>
    <row r="5008" spans="1:34" ht="14.25" customHeight="1" x14ac:dyDescent="0.25">
      <c r="A5008" s="3"/>
      <c r="B5008" s="3"/>
      <c r="C5008" s="3"/>
      <c r="D5008" s="3"/>
      <c r="E5008" s="3"/>
      <c r="F5008" s="3"/>
      <c r="G5008" s="3"/>
      <c r="H5008" s="11"/>
      <c r="I5008" s="12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</row>
    <row r="5009" spans="1:34" ht="14.25" customHeight="1" x14ac:dyDescent="0.25">
      <c r="A5009" s="3"/>
      <c r="B5009" s="3"/>
      <c r="C5009" s="3"/>
      <c r="D5009" s="3"/>
      <c r="E5009" s="3"/>
      <c r="F5009" s="3"/>
      <c r="G5009" s="3"/>
      <c r="H5009" s="11"/>
      <c r="I5009" s="12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</row>
    <row r="5010" spans="1:34" ht="14.25" customHeight="1" x14ac:dyDescent="0.25">
      <c r="A5010" s="3"/>
      <c r="B5010" s="3"/>
      <c r="C5010" s="3"/>
      <c r="D5010" s="3"/>
      <c r="E5010" s="3"/>
      <c r="F5010" s="3"/>
      <c r="G5010" s="3"/>
      <c r="H5010" s="11"/>
      <c r="I5010" s="12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</row>
    <row r="5011" spans="1:34" ht="14.25" customHeight="1" x14ac:dyDescent="0.25">
      <c r="A5011" s="3"/>
      <c r="B5011" s="3"/>
      <c r="C5011" s="3"/>
      <c r="D5011" s="3"/>
      <c r="E5011" s="3"/>
      <c r="F5011" s="3"/>
      <c r="G5011" s="3"/>
      <c r="H5011" s="11"/>
      <c r="I5011" s="12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</row>
    <row r="5012" spans="1:34" ht="14.25" customHeight="1" x14ac:dyDescent="0.25">
      <c r="A5012" s="3"/>
      <c r="B5012" s="3"/>
      <c r="C5012" s="3"/>
      <c r="D5012" s="3"/>
      <c r="E5012" s="3"/>
      <c r="F5012" s="3"/>
      <c r="G5012" s="3"/>
      <c r="H5012" s="11"/>
      <c r="I5012" s="12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</row>
    <row r="5013" spans="1:34" ht="14.25" customHeight="1" x14ac:dyDescent="0.25">
      <c r="A5013" s="3"/>
      <c r="B5013" s="3"/>
      <c r="C5013" s="3"/>
      <c r="D5013" s="3"/>
      <c r="E5013" s="3"/>
      <c r="F5013" s="3"/>
      <c r="G5013" s="3"/>
      <c r="H5013" s="11"/>
      <c r="I5013" s="12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</row>
    <row r="5014" spans="1:34" ht="14.25" customHeight="1" x14ac:dyDescent="0.25">
      <c r="A5014" s="3"/>
      <c r="B5014" s="3"/>
      <c r="C5014" s="3"/>
      <c r="D5014" s="3"/>
      <c r="E5014" s="3"/>
      <c r="F5014" s="3"/>
      <c r="G5014" s="3"/>
      <c r="H5014" s="11"/>
      <c r="I5014" s="12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</row>
    <row r="5015" spans="1:34" ht="14.25" customHeight="1" x14ac:dyDescent="0.25">
      <c r="A5015" s="3"/>
      <c r="B5015" s="3"/>
      <c r="C5015" s="3"/>
      <c r="D5015" s="3"/>
      <c r="E5015" s="3"/>
      <c r="F5015" s="3"/>
      <c r="G5015" s="3"/>
      <c r="H5015" s="11"/>
      <c r="I5015" s="12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</row>
    <row r="5016" spans="1:34" ht="14.25" customHeight="1" x14ac:dyDescent="0.25">
      <c r="A5016" s="3"/>
      <c r="B5016" s="3"/>
      <c r="C5016" s="3"/>
      <c r="D5016" s="3"/>
      <c r="E5016" s="3"/>
      <c r="F5016" s="3"/>
      <c r="G5016" s="3"/>
      <c r="H5016" s="11"/>
      <c r="I5016" s="12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</row>
    <row r="5017" spans="1:34" ht="14.25" customHeight="1" x14ac:dyDescent="0.25">
      <c r="A5017" s="3"/>
      <c r="B5017" s="3"/>
      <c r="C5017" s="3"/>
      <c r="D5017" s="3"/>
      <c r="E5017" s="3"/>
      <c r="F5017" s="3"/>
      <c r="G5017" s="3"/>
      <c r="H5017" s="11"/>
      <c r="I5017" s="12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</row>
    <row r="5018" spans="1:34" ht="14.25" customHeight="1" x14ac:dyDescent="0.25">
      <c r="A5018" s="3"/>
      <c r="B5018" s="3"/>
      <c r="C5018" s="3"/>
      <c r="D5018" s="3"/>
      <c r="E5018" s="3"/>
      <c r="F5018" s="3"/>
      <c r="G5018" s="3"/>
      <c r="H5018" s="11"/>
      <c r="I5018" s="12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</row>
    <row r="5019" spans="1:34" ht="14.25" customHeight="1" x14ac:dyDescent="0.25">
      <c r="A5019" s="3"/>
      <c r="B5019" s="3"/>
      <c r="C5019" s="3"/>
      <c r="D5019" s="3"/>
      <c r="E5019" s="3"/>
      <c r="F5019" s="3"/>
      <c r="G5019" s="3"/>
      <c r="H5019" s="11"/>
      <c r="I5019" s="12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</row>
    <row r="5020" spans="1:34" ht="14.25" customHeight="1" x14ac:dyDescent="0.25">
      <c r="A5020" s="3"/>
      <c r="B5020" s="3"/>
      <c r="C5020" s="3"/>
      <c r="D5020" s="3"/>
      <c r="E5020" s="3"/>
      <c r="F5020" s="3"/>
      <c r="G5020" s="3"/>
      <c r="H5020" s="11"/>
      <c r="I5020" s="12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</row>
    <row r="5021" spans="1:34" ht="14.25" customHeight="1" x14ac:dyDescent="0.25">
      <c r="A5021" s="3"/>
      <c r="B5021" s="3"/>
      <c r="C5021" s="3"/>
      <c r="D5021" s="3"/>
      <c r="E5021" s="3"/>
      <c r="F5021" s="3"/>
      <c r="G5021" s="3"/>
      <c r="H5021" s="11"/>
      <c r="I5021" s="12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</row>
    <row r="5022" spans="1:34" ht="14.25" customHeight="1" x14ac:dyDescent="0.25">
      <c r="A5022" s="3"/>
      <c r="B5022" s="3"/>
      <c r="C5022" s="3"/>
      <c r="D5022" s="3"/>
      <c r="E5022" s="3"/>
      <c r="F5022" s="3"/>
      <c r="G5022" s="3"/>
      <c r="H5022" s="11"/>
      <c r="I5022" s="12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</row>
    <row r="5023" spans="1:34" ht="14.25" customHeight="1" x14ac:dyDescent="0.25">
      <c r="A5023" s="3"/>
      <c r="B5023" s="3"/>
      <c r="C5023" s="3"/>
      <c r="D5023" s="3"/>
      <c r="E5023" s="3"/>
      <c r="F5023" s="3"/>
      <c r="G5023" s="3"/>
      <c r="H5023" s="11"/>
      <c r="I5023" s="12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</row>
    <row r="5024" spans="1:34" ht="14.25" customHeight="1" x14ac:dyDescent="0.25">
      <c r="A5024" s="3"/>
      <c r="B5024" s="3"/>
      <c r="C5024" s="3"/>
      <c r="D5024" s="3"/>
      <c r="E5024" s="3"/>
      <c r="F5024" s="3"/>
      <c r="G5024" s="3"/>
      <c r="H5024" s="11"/>
      <c r="I5024" s="12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</row>
    <row r="5025" spans="1:34" ht="14.25" customHeight="1" x14ac:dyDescent="0.25">
      <c r="A5025" s="3"/>
      <c r="B5025" s="3"/>
      <c r="C5025" s="3"/>
      <c r="D5025" s="3"/>
      <c r="E5025" s="3"/>
      <c r="F5025" s="3"/>
      <c r="G5025" s="3"/>
      <c r="H5025" s="11"/>
      <c r="I5025" s="12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</row>
    <row r="5026" spans="1:34" ht="14.25" customHeight="1" x14ac:dyDescent="0.25">
      <c r="A5026" s="3"/>
      <c r="B5026" s="3"/>
      <c r="C5026" s="3"/>
      <c r="D5026" s="3"/>
      <c r="E5026" s="3"/>
      <c r="F5026" s="3"/>
      <c r="G5026" s="3"/>
      <c r="H5026" s="11"/>
      <c r="I5026" s="12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</row>
    <row r="5027" spans="1:34" ht="14.25" customHeight="1" x14ac:dyDescent="0.25">
      <c r="A5027" s="3"/>
      <c r="B5027" s="3"/>
      <c r="C5027" s="3"/>
      <c r="D5027" s="3"/>
      <c r="E5027" s="3"/>
      <c r="F5027" s="3"/>
      <c r="G5027" s="3"/>
      <c r="H5027" s="11"/>
      <c r="I5027" s="12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</row>
    <row r="5028" spans="1:34" ht="14.25" customHeight="1" x14ac:dyDescent="0.25">
      <c r="A5028" s="3"/>
      <c r="B5028" s="3"/>
      <c r="C5028" s="3"/>
      <c r="D5028" s="3"/>
      <c r="E5028" s="3"/>
      <c r="F5028" s="3"/>
      <c r="G5028" s="3"/>
      <c r="H5028" s="11"/>
      <c r="I5028" s="12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</row>
    <row r="5029" spans="1:34" ht="14.25" customHeight="1" x14ac:dyDescent="0.25">
      <c r="A5029" s="3"/>
      <c r="B5029" s="3"/>
      <c r="C5029" s="3"/>
      <c r="D5029" s="3"/>
      <c r="E5029" s="3"/>
      <c r="F5029" s="3"/>
      <c r="G5029" s="3"/>
      <c r="H5029" s="11"/>
      <c r="I5029" s="12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</row>
    <row r="5030" spans="1:34" ht="14.25" customHeight="1" x14ac:dyDescent="0.25">
      <c r="A5030" s="3"/>
      <c r="B5030" s="3"/>
      <c r="C5030" s="3"/>
      <c r="D5030" s="3"/>
      <c r="E5030" s="3"/>
      <c r="F5030" s="3"/>
      <c r="G5030" s="3"/>
      <c r="H5030" s="11"/>
      <c r="I5030" s="12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</row>
    <row r="5031" spans="1:34" ht="14.25" customHeight="1" x14ac:dyDescent="0.25">
      <c r="A5031" s="3"/>
      <c r="B5031" s="3"/>
      <c r="C5031" s="3"/>
      <c r="D5031" s="3"/>
      <c r="E5031" s="3"/>
      <c r="F5031" s="3"/>
      <c r="G5031" s="3"/>
      <c r="H5031" s="11"/>
      <c r="I5031" s="12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</row>
    <row r="5032" spans="1:34" ht="14.25" customHeight="1" x14ac:dyDescent="0.25">
      <c r="A5032" s="3"/>
      <c r="B5032" s="3"/>
      <c r="C5032" s="3"/>
      <c r="D5032" s="3"/>
      <c r="E5032" s="3"/>
      <c r="F5032" s="3"/>
      <c r="G5032" s="3"/>
      <c r="H5032" s="11"/>
      <c r="I5032" s="12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</row>
    <row r="5033" spans="1:34" ht="14.25" customHeight="1" x14ac:dyDescent="0.25">
      <c r="A5033" s="3"/>
      <c r="B5033" s="3"/>
      <c r="C5033" s="3"/>
      <c r="D5033" s="3"/>
      <c r="E5033" s="3"/>
      <c r="F5033" s="3"/>
      <c r="G5033" s="3"/>
      <c r="H5033" s="11"/>
      <c r="I5033" s="12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</row>
    <row r="5034" spans="1:34" ht="14.25" customHeight="1" x14ac:dyDescent="0.25">
      <c r="A5034" s="3"/>
      <c r="B5034" s="3"/>
      <c r="C5034" s="3"/>
      <c r="D5034" s="3"/>
      <c r="E5034" s="3"/>
      <c r="F5034" s="3"/>
      <c r="G5034" s="3"/>
      <c r="H5034" s="11"/>
      <c r="I5034" s="12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</row>
    <row r="5035" spans="1:34" ht="14.25" customHeight="1" x14ac:dyDescent="0.25">
      <c r="A5035" s="3"/>
      <c r="B5035" s="3"/>
      <c r="C5035" s="3"/>
      <c r="D5035" s="3"/>
      <c r="E5035" s="3"/>
      <c r="F5035" s="3"/>
      <c r="G5035" s="3"/>
      <c r="H5035" s="11"/>
      <c r="I5035" s="12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</row>
    <row r="5036" spans="1:34" ht="14.25" customHeight="1" x14ac:dyDescent="0.25">
      <c r="A5036" s="3"/>
      <c r="B5036" s="3"/>
      <c r="C5036" s="3"/>
      <c r="D5036" s="3"/>
      <c r="E5036" s="3"/>
      <c r="F5036" s="3"/>
      <c r="G5036" s="3"/>
      <c r="H5036" s="11"/>
      <c r="I5036" s="12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</row>
    <row r="5037" spans="1:34" ht="14.25" customHeight="1" x14ac:dyDescent="0.25">
      <c r="A5037" s="3"/>
      <c r="B5037" s="3"/>
      <c r="C5037" s="3"/>
      <c r="D5037" s="3"/>
      <c r="E5037" s="3"/>
      <c r="F5037" s="3"/>
      <c r="G5037" s="3"/>
      <c r="H5037" s="11"/>
      <c r="I5037" s="12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</row>
    <row r="5038" spans="1:34" ht="14.25" customHeight="1" x14ac:dyDescent="0.25">
      <c r="A5038" s="3"/>
      <c r="B5038" s="3"/>
      <c r="C5038" s="3"/>
      <c r="D5038" s="3"/>
      <c r="E5038" s="3"/>
      <c r="F5038" s="3"/>
      <c r="G5038" s="3"/>
      <c r="H5038" s="11"/>
      <c r="I5038" s="12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</row>
    <row r="5039" spans="1:34" ht="14.25" customHeight="1" x14ac:dyDescent="0.25">
      <c r="A5039" s="3"/>
      <c r="B5039" s="3"/>
      <c r="C5039" s="3"/>
      <c r="D5039" s="3"/>
      <c r="E5039" s="3"/>
      <c r="F5039" s="3"/>
      <c r="G5039" s="3"/>
      <c r="H5039" s="11"/>
      <c r="I5039" s="12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</row>
    <row r="5040" spans="1:34" ht="14.25" customHeight="1" x14ac:dyDescent="0.25">
      <c r="A5040" s="3"/>
      <c r="B5040" s="3"/>
      <c r="C5040" s="3"/>
      <c r="D5040" s="3"/>
      <c r="E5040" s="3"/>
      <c r="F5040" s="3"/>
      <c r="G5040" s="3"/>
      <c r="H5040" s="11"/>
      <c r="I5040" s="12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</row>
    <row r="5041" spans="1:34" ht="14.25" customHeight="1" x14ac:dyDescent="0.25">
      <c r="A5041" s="3"/>
      <c r="B5041" s="3"/>
      <c r="C5041" s="3"/>
      <c r="D5041" s="3"/>
      <c r="E5041" s="3"/>
      <c r="F5041" s="3"/>
      <c r="G5041" s="3"/>
      <c r="H5041" s="11"/>
      <c r="I5041" s="12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</row>
    <row r="5042" spans="1:34" ht="14.25" customHeight="1" x14ac:dyDescent="0.25">
      <c r="A5042" s="3"/>
      <c r="B5042" s="3"/>
      <c r="C5042" s="3"/>
      <c r="D5042" s="3"/>
      <c r="E5042" s="3"/>
      <c r="F5042" s="3"/>
      <c r="G5042" s="3"/>
      <c r="H5042" s="11"/>
      <c r="I5042" s="12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</row>
    <row r="5043" spans="1:34" ht="14.25" customHeight="1" x14ac:dyDescent="0.25">
      <c r="A5043" s="3"/>
      <c r="B5043" s="3"/>
      <c r="C5043" s="3"/>
      <c r="D5043" s="3"/>
      <c r="E5043" s="3"/>
      <c r="F5043" s="3"/>
      <c r="G5043" s="3"/>
      <c r="H5043" s="11"/>
      <c r="I5043" s="12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</row>
    <row r="5044" spans="1:34" ht="14.25" customHeight="1" x14ac:dyDescent="0.25">
      <c r="A5044" s="3"/>
      <c r="B5044" s="3"/>
      <c r="C5044" s="3"/>
      <c r="D5044" s="3"/>
      <c r="E5044" s="3"/>
      <c r="F5044" s="3"/>
      <c r="G5044" s="3"/>
      <c r="H5044" s="11"/>
      <c r="I5044" s="12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</row>
    <row r="5045" spans="1:34" ht="14.25" customHeight="1" x14ac:dyDescent="0.25">
      <c r="A5045" s="3"/>
      <c r="B5045" s="3"/>
      <c r="C5045" s="3"/>
      <c r="D5045" s="3"/>
      <c r="E5045" s="3"/>
      <c r="F5045" s="3"/>
      <c r="G5045" s="3"/>
      <c r="H5045" s="11"/>
      <c r="I5045" s="12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</row>
    <row r="5046" spans="1:34" ht="14.25" customHeight="1" x14ac:dyDescent="0.25">
      <c r="A5046" s="3"/>
      <c r="B5046" s="3"/>
      <c r="C5046" s="3"/>
      <c r="D5046" s="3"/>
      <c r="E5046" s="3"/>
      <c r="F5046" s="3"/>
      <c r="G5046" s="3"/>
      <c r="H5046" s="11"/>
      <c r="I5046" s="12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</row>
    <row r="5047" spans="1:34" ht="14.25" customHeight="1" x14ac:dyDescent="0.25">
      <c r="A5047" s="3"/>
      <c r="B5047" s="3"/>
      <c r="C5047" s="3"/>
      <c r="D5047" s="3"/>
      <c r="E5047" s="3"/>
      <c r="F5047" s="3"/>
      <c r="G5047" s="3"/>
      <c r="H5047" s="11"/>
      <c r="I5047" s="12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</row>
    <row r="5048" spans="1:34" ht="14.25" customHeight="1" x14ac:dyDescent="0.25">
      <c r="A5048" s="3"/>
      <c r="B5048" s="3"/>
      <c r="C5048" s="3"/>
      <c r="D5048" s="3"/>
      <c r="E5048" s="3"/>
      <c r="F5048" s="3"/>
      <c r="G5048" s="3"/>
      <c r="H5048" s="11"/>
      <c r="I5048" s="12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</row>
    <row r="5049" spans="1:34" ht="14.25" customHeight="1" x14ac:dyDescent="0.25">
      <c r="A5049" s="3"/>
      <c r="B5049" s="3"/>
      <c r="C5049" s="3"/>
      <c r="D5049" s="3"/>
      <c r="E5049" s="3"/>
      <c r="F5049" s="3"/>
      <c r="G5049" s="3"/>
      <c r="H5049" s="11"/>
      <c r="I5049" s="12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</row>
    <row r="5050" spans="1:34" ht="14.25" customHeight="1" x14ac:dyDescent="0.25">
      <c r="A5050" s="3"/>
      <c r="B5050" s="3"/>
      <c r="C5050" s="3"/>
      <c r="D5050" s="3"/>
      <c r="E5050" s="3"/>
      <c r="F5050" s="3"/>
      <c r="G5050" s="3"/>
      <c r="H5050" s="11"/>
      <c r="I5050" s="12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</row>
    <row r="5051" spans="1:34" ht="14.25" customHeight="1" x14ac:dyDescent="0.25">
      <c r="A5051" s="3"/>
      <c r="B5051" s="3"/>
      <c r="C5051" s="3"/>
      <c r="D5051" s="3"/>
      <c r="E5051" s="3"/>
      <c r="F5051" s="3"/>
      <c r="G5051" s="3"/>
      <c r="H5051" s="11"/>
      <c r="I5051" s="12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</row>
    <row r="5052" spans="1:34" ht="14.25" customHeight="1" x14ac:dyDescent="0.25">
      <c r="A5052" s="3"/>
      <c r="B5052" s="3"/>
      <c r="C5052" s="3"/>
      <c r="D5052" s="3"/>
      <c r="E5052" s="3"/>
      <c r="F5052" s="3"/>
      <c r="G5052" s="3"/>
      <c r="H5052" s="11"/>
      <c r="I5052" s="12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</row>
    <row r="5053" spans="1:34" ht="14.25" customHeight="1" x14ac:dyDescent="0.25">
      <c r="A5053" s="3"/>
      <c r="B5053" s="3"/>
      <c r="C5053" s="3"/>
      <c r="D5053" s="3"/>
      <c r="E5053" s="3"/>
      <c r="F5053" s="3"/>
      <c r="G5053" s="3"/>
      <c r="H5053" s="11"/>
      <c r="I5053" s="12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</row>
    <row r="5054" spans="1:34" ht="14.25" customHeight="1" x14ac:dyDescent="0.25">
      <c r="A5054" s="3"/>
      <c r="B5054" s="3"/>
      <c r="C5054" s="3"/>
      <c r="D5054" s="3"/>
      <c r="E5054" s="3"/>
      <c r="F5054" s="3"/>
      <c r="G5054" s="3"/>
      <c r="H5054" s="11"/>
      <c r="I5054" s="12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</row>
    <row r="5055" spans="1:34" ht="14.25" customHeight="1" x14ac:dyDescent="0.25">
      <c r="A5055" s="3"/>
      <c r="B5055" s="3"/>
      <c r="C5055" s="3"/>
      <c r="D5055" s="3"/>
      <c r="E5055" s="3"/>
      <c r="F5055" s="3"/>
      <c r="G5055" s="3"/>
      <c r="H5055" s="11"/>
      <c r="I5055" s="12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</row>
    <row r="5056" spans="1:34" ht="14.25" customHeight="1" x14ac:dyDescent="0.25">
      <c r="A5056" s="3"/>
      <c r="B5056" s="3"/>
      <c r="C5056" s="3"/>
      <c r="D5056" s="3"/>
      <c r="E5056" s="3"/>
      <c r="F5056" s="3"/>
      <c r="G5056" s="3"/>
      <c r="H5056" s="11"/>
      <c r="I5056" s="12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</row>
    <row r="5057" spans="1:34" ht="14.25" customHeight="1" x14ac:dyDescent="0.25">
      <c r="A5057" s="3"/>
      <c r="B5057" s="3"/>
      <c r="C5057" s="3"/>
      <c r="D5057" s="3"/>
      <c r="E5057" s="3"/>
      <c r="F5057" s="3"/>
      <c r="G5057" s="3"/>
      <c r="H5057" s="11"/>
      <c r="I5057" s="12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</row>
    <row r="5058" spans="1:34" ht="14.25" customHeight="1" x14ac:dyDescent="0.25">
      <c r="A5058" s="3"/>
      <c r="B5058" s="3"/>
      <c r="C5058" s="3"/>
      <c r="D5058" s="3"/>
      <c r="E5058" s="3"/>
      <c r="F5058" s="3"/>
      <c r="G5058" s="3"/>
      <c r="H5058" s="11"/>
      <c r="I5058" s="12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</row>
    <row r="5059" spans="1:34" ht="14.25" customHeight="1" x14ac:dyDescent="0.25">
      <c r="A5059" s="3"/>
      <c r="B5059" s="3"/>
      <c r="C5059" s="3"/>
      <c r="D5059" s="3"/>
      <c r="E5059" s="3"/>
      <c r="F5059" s="3"/>
      <c r="G5059" s="3"/>
      <c r="H5059" s="11"/>
      <c r="I5059" s="12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</row>
    <row r="5060" spans="1:34" ht="14.25" customHeight="1" x14ac:dyDescent="0.25">
      <c r="A5060" s="3"/>
      <c r="B5060" s="3"/>
      <c r="C5060" s="3"/>
      <c r="D5060" s="3"/>
      <c r="E5060" s="3"/>
      <c r="F5060" s="3"/>
      <c r="G5060" s="3"/>
      <c r="H5060" s="11"/>
      <c r="I5060" s="12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</row>
    <row r="5061" spans="1:34" ht="14.25" customHeight="1" x14ac:dyDescent="0.25">
      <c r="A5061" s="3"/>
      <c r="B5061" s="3"/>
      <c r="C5061" s="3"/>
      <c r="D5061" s="3"/>
      <c r="E5061" s="3"/>
      <c r="F5061" s="3"/>
      <c r="G5061" s="3"/>
      <c r="H5061" s="11"/>
      <c r="I5061" s="12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</row>
    <row r="5062" spans="1:34" ht="14.25" customHeight="1" x14ac:dyDescent="0.25">
      <c r="A5062" s="3"/>
      <c r="B5062" s="3"/>
      <c r="C5062" s="3"/>
      <c r="D5062" s="3"/>
      <c r="E5062" s="3"/>
      <c r="F5062" s="3"/>
      <c r="G5062" s="3"/>
      <c r="H5062" s="11"/>
      <c r="I5062" s="12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</row>
    <row r="5063" spans="1:34" ht="14.25" customHeight="1" x14ac:dyDescent="0.25">
      <c r="A5063" s="3"/>
      <c r="B5063" s="3"/>
      <c r="C5063" s="3"/>
      <c r="D5063" s="3"/>
      <c r="E5063" s="3"/>
      <c r="F5063" s="3"/>
      <c r="G5063" s="3"/>
      <c r="H5063" s="11"/>
      <c r="I5063" s="12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</row>
    <row r="5064" spans="1:34" ht="14.25" customHeight="1" x14ac:dyDescent="0.25">
      <c r="A5064" s="3"/>
      <c r="B5064" s="3"/>
      <c r="C5064" s="3"/>
      <c r="D5064" s="3"/>
      <c r="E5064" s="3"/>
      <c r="F5064" s="3"/>
      <c r="G5064" s="3"/>
      <c r="H5064" s="11"/>
      <c r="I5064" s="12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</row>
    <row r="5065" spans="1:34" ht="14.25" customHeight="1" x14ac:dyDescent="0.25">
      <c r="A5065" s="3"/>
      <c r="B5065" s="3"/>
      <c r="C5065" s="3"/>
      <c r="D5065" s="3"/>
      <c r="E5065" s="3"/>
      <c r="F5065" s="3"/>
      <c r="G5065" s="3"/>
      <c r="H5065" s="11"/>
      <c r="I5065" s="12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</row>
    <row r="5066" spans="1:34" ht="14.25" customHeight="1" x14ac:dyDescent="0.25">
      <c r="A5066" s="3"/>
      <c r="B5066" s="3"/>
      <c r="C5066" s="3"/>
      <c r="D5066" s="3"/>
      <c r="E5066" s="3"/>
      <c r="F5066" s="3"/>
      <c r="G5066" s="3"/>
      <c r="H5066" s="11"/>
      <c r="I5066" s="12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</row>
    <row r="5067" spans="1:34" ht="14.25" customHeight="1" x14ac:dyDescent="0.25">
      <c r="A5067" s="3"/>
      <c r="B5067" s="3"/>
      <c r="C5067" s="3"/>
      <c r="D5067" s="3"/>
      <c r="E5067" s="3"/>
      <c r="F5067" s="3"/>
      <c r="G5067" s="3"/>
      <c r="H5067" s="11"/>
      <c r="I5067" s="12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</row>
    <row r="5068" spans="1:34" ht="14.25" customHeight="1" x14ac:dyDescent="0.25">
      <c r="A5068" s="3"/>
      <c r="B5068" s="3"/>
      <c r="C5068" s="3"/>
      <c r="D5068" s="3"/>
      <c r="E5068" s="3"/>
      <c r="F5068" s="3"/>
      <c r="G5068" s="3"/>
      <c r="H5068" s="11"/>
      <c r="I5068" s="12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</row>
    <row r="5069" spans="1:34" ht="14.25" customHeight="1" x14ac:dyDescent="0.25">
      <c r="A5069" s="3"/>
      <c r="B5069" s="3"/>
      <c r="C5069" s="3"/>
      <c r="D5069" s="3"/>
      <c r="E5069" s="3"/>
      <c r="F5069" s="3"/>
      <c r="G5069" s="3"/>
      <c r="H5069" s="11"/>
      <c r="I5069" s="12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</row>
    <row r="5070" spans="1:34" ht="14.25" customHeight="1" x14ac:dyDescent="0.25">
      <c r="A5070" s="3"/>
      <c r="B5070" s="3"/>
      <c r="C5070" s="3"/>
      <c r="D5070" s="3"/>
      <c r="E5070" s="3"/>
      <c r="F5070" s="3"/>
      <c r="G5070" s="3"/>
      <c r="H5070" s="11"/>
      <c r="I5070" s="12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</row>
    <row r="5071" spans="1:34" ht="14.25" customHeight="1" x14ac:dyDescent="0.25">
      <c r="A5071" s="3"/>
      <c r="B5071" s="3"/>
      <c r="C5071" s="3"/>
      <c r="D5071" s="3"/>
      <c r="E5071" s="3"/>
      <c r="F5071" s="3"/>
      <c r="G5071" s="3"/>
      <c r="H5071" s="11"/>
      <c r="I5071" s="12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</row>
    <row r="5072" spans="1:34" ht="14.25" customHeight="1" x14ac:dyDescent="0.25">
      <c r="A5072" s="3"/>
      <c r="B5072" s="3"/>
      <c r="C5072" s="3"/>
      <c r="D5072" s="3"/>
      <c r="E5072" s="3"/>
      <c r="F5072" s="3"/>
      <c r="G5072" s="3"/>
      <c r="H5072" s="11"/>
      <c r="I5072" s="12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</row>
    <row r="5073" spans="1:34" ht="14.25" customHeight="1" x14ac:dyDescent="0.25">
      <c r="A5073" s="3"/>
      <c r="B5073" s="3"/>
      <c r="C5073" s="3"/>
      <c r="D5073" s="3"/>
      <c r="E5073" s="3"/>
      <c r="F5073" s="3"/>
      <c r="G5073" s="3"/>
      <c r="H5073" s="11"/>
      <c r="I5073" s="12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</row>
    <row r="5074" spans="1:34" ht="14.25" customHeight="1" x14ac:dyDescent="0.25">
      <c r="A5074" s="3"/>
      <c r="B5074" s="3"/>
      <c r="C5074" s="3"/>
      <c r="D5074" s="3"/>
      <c r="E5074" s="3"/>
      <c r="F5074" s="3"/>
      <c r="G5074" s="3"/>
      <c r="H5074" s="11"/>
      <c r="I5074" s="12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</row>
    <row r="5075" spans="1:34" ht="14.25" customHeight="1" x14ac:dyDescent="0.25">
      <c r="A5075" s="3"/>
      <c r="B5075" s="3"/>
      <c r="C5075" s="3"/>
      <c r="D5075" s="3"/>
      <c r="E5075" s="3"/>
      <c r="F5075" s="3"/>
      <c r="G5075" s="3"/>
      <c r="H5075" s="11"/>
      <c r="I5075" s="12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</row>
    <row r="5076" spans="1:34" ht="14.25" customHeight="1" x14ac:dyDescent="0.25">
      <c r="A5076" s="3"/>
      <c r="B5076" s="3"/>
      <c r="C5076" s="3"/>
      <c r="D5076" s="3"/>
      <c r="E5076" s="3"/>
      <c r="F5076" s="3"/>
      <c r="G5076" s="3"/>
      <c r="H5076" s="11"/>
      <c r="I5076" s="12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</row>
    <row r="5077" spans="1:34" ht="14.25" customHeight="1" x14ac:dyDescent="0.25">
      <c r="A5077" s="3"/>
      <c r="B5077" s="3"/>
      <c r="C5077" s="3"/>
      <c r="D5077" s="3"/>
      <c r="E5077" s="3"/>
      <c r="F5077" s="3"/>
      <c r="G5077" s="3"/>
      <c r="H5077" s="11"/>
      <c r="I5077" s="12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</row>
    <row r="5078" spans="1:34" ht="14.25" customHeight="1" x14ac:dyDescent="0.25">
      <c r="A5078" s="3"/>
      <c r="B5078" s="3"/>
      <c r="C5078" s="3"/>
      <c r="D5078" s="3"/>
      <c r="E5078" s="3"/>
      <c r="F5078" s="3"/>
      <c r="G5078" s="3"/>
      <c r="H5078" s="11"/>
      <c r="I5078" s="12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</row>
    <row r="5079" spans="1:34" ht="14.25" customHeight="1" x14ac:dyDescent="0.25">
      <c r="A5079" s="3"/>
      <c r="B5079" s="3"/>
      <c r="C5079" s="3"/>
      <c r="D5079" s="3"/>
      <c r="E5079" s="3"/>
      <c r="F5079" s="3"/>
      <c r="G5079" s="3"/>
      <c r="H5079" s="11"/>
      <c r="I5079" s="12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</row>
    <row r="5080" spans="1:34" ht="14.25" customHeight="1" x14ac:dyDescent="0.25">
      <c r="A5080" s="3"/>
      <c r="B5080" s="3"/>
      <c r="C5080" s="3"/>
      <c r="D5080" s="3"/>
      <c r="E5080" s="3"/>
      <c r="F5080" s="3"/>
      <c r="G5080" s="3"/>
      <c r="H5080" s="11"/>
      <c r="I5080" s="12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</row>
    <row r="5081" spans="1:34" ht="14.25" customHeight="1" x14ac:dyDescent="0.25">
      <c r="A5081" s="3"/>
      <c r="B5081" s="3"/>
      <c r="C5081" s="3"/>
      <c r="D5081" s="3"/>
      <c r="E5081" s="3"/>
      <c r="F5081" s="3"/>
      <c r="G5081" s="3"/>
      <c r="H5081" s="11"/>
      <c r="I5081" s="12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</row>
    <row r="5082" spans="1:34" ht="14.25" customHeight="1" x14ac:dyDescent="0.25">
      <c r="A5082" s="3"/>
      <c r="B5082" s="3"/>
      <c r="C5082" s="3"/>
      <c r="D5082" s="3"/>
      <c r="E5082" s="3"/>
      <c r="F5082" s="3"/>
      <c r="G5082" s="3"/>
      <c r="H5082" s="11"/>
      <c r="I5082" s="12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</row>
    <row r="5083" spans="1:34" ht="14.25" customHeight="1" x14ac:dyDescent="0.25">
      <c r="A5083" s="3"/>
      <c r="B5083" s="3"/>
      <c r="C5083" s="3"/>
      <c r="D5083" s="3"/>
      <c r="E5083" s="3"/>
      <c r="F5083" s="3"/>
      <c r="G5083" s="3"/>
      <c r="H5083" s="11"/>
      <c r="I5083" s="12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</row>
    <row r="5084" spans="1:34" ht="14.25" customHeight="1" x14ac:dyDescent="0.25">
      <c r="A5084" s="3"/>
      <c r="B5084" s="3"/>
      <c r="C5084" s="3"/>
      <c r="D5084" s="3"/>
      <c r="E5084" s="3"/>
      <c r="F5084" s="3"/>
      <c r="G5084" s="3"/>
      <c r="H5084" s="11"/>
      <c r="I5084" s="12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</row>
    <row r="5085" spans="1:34" ht="14.25" customHeight="1" x14ac:dyDescent="0.25">
      <c r="A5085" s="3"/>
      <c r="B5085" s="3"/>
      <c r="C5085" s="3"/>
      <c r="D5085" s="3"/>
      <c r="E5085" s="3"/>
      <c r="F5085" s="3"/>
      <c r="G5085" s="3"/>
      <c r="H5085" s="11"/>
      <c r="I5085" s="12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</row>
    <row r="5086" spans="1:34" ht="14.25" customHeight="1" x14ac:dyDescent="0.25">
      <c r="A5086" s="3"/>
      <c r="B5086" s="3"/>
      <c r="C5086" s="3"/>
      <c r="D5086" s="3"/>
      <c r="E5086" s="3"/>
      <c r="F5086" s="3"/>
      <c r="G5086" s="3"/>
      <c r="H5086" s="11"/>
      <c r="I5086" s="12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</row>
    <row r="5087" spans="1:34" ht="14.25" customHeight="1" x14ac:dyDescent="0.25">
      <c r="A5087" s="3"/>
      <c r="B5087" s="3"/>
      <c r="C5087" s="3"/>
      <c r="D5087" s="3"/>
      <c r="E5087" s="3"/>
      <c r="F5087" s="3"/>
      <c r="G5087" s="3"/>
      <c r="H5087" s="11"/>
      <c r="I5087" s="12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</row>
    <row r="5088" spans="1:34" ht="14.25" customHeight="1" x14ac:dyDescent="0.25">
      <c r="A5088" s="3"/>
      <c r="B5088" s="3"/>
      <c r="C5088" s="3"/>
      <c r="D5088" s="3"/>
      <c r="E5088" s="3"/>
      <c r="F5088" s="3"/>
      <c r="G5088" s="3"/>
      <c r="H5088" s="11"/>
      <c r="I5088" s="12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</row>
    <row r="5089" spans="1:34" ht="14.25" customHeight="1" x14ac:dyDescent="0.25">
      <c r="A5089" s="3"/>
      <c r="B5089" s="3"/>
      <c r="C5089" s="3"/>
      <c r="D5089" s="3"/>
      <c r="E5089" s="3"/>
      <c r="F5089" s="3"/>
      <c r="G5089" s="3"/>
      <c r="H5089" s="11"/>
      <c r="I5089" s="12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</row>
    <row r="5090" spans="1:34" ht="14.25" customHeight="1" x14ac:dyDescent="0.25">
      <c r="A5090" s="3"/>
      <c r="B5090" s="3"/>
      <c r="C5090" s="3"/>
      <c r="D5090" s="3"/>
      <c r="E5090" s="3"/>
      <c r="F5090" s="3"/>
      <c r="G5090" s="3"/>
      <c r="H5090" s="11"/>
      <c r="I5090" s="12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</row>
    <row r="5091" spans="1:34" ht="14.25" customHeight="1" x14ac:dyDescent="0.25">
      <c r="A5091" s="3"/>
      <c r="B5091" s="3"/>
      <c r="C5091" s="3"/>
      <c r="D5091" s="3"/>
      <c r="E5091" s="3"/>
      <c r="F5091" s="3"/>
      <c r="G5091" s="3"/>
      <c r="H5091" s="11"/>
      <c r="I5091" s="12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</row>
    <row r="5092" spans="1:34" ht="14.25" customHeight="1" x14ac:dyDescent="0.25">
      <c r="A5092" s="3"/>
      <c r="B5092" s="3"/>
      <c r="C5092" s="3"/>
      <c r="D5092" s="3"/>
      <c r="E5092" s="3"/>
      <c r="F5092" s="3"/>
      <c r="G5092" s="3"/>
      <c r="H5092" s="11"/>
      <c r="I5092" s="12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</row>
    <row r="5093" spans="1:34" ht="14.25" customHeight="1" x14ac:dyDescent="0.25">
      <c r="A5093" s="3"/>
      <c r="B5093" s="3"/>
      <c r="C5093" s="3"/>
      <c r="D5093" s="3"/>
      <c r="E5093" s="3"/>
      <c r="F5093" s="3"/>
      <c r="G5093" s="3"/>
      <c r="H5093" s="11"/>
      <c r="I5093" s="12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</row>
    <row r="5094" spans="1:34" ht="14.25" customHeight="1" x14ac:dyDescent="0.25">
      <c r="A5094" s="3"/>
      <c r="B5094" s="3"/>
      <c r="C5094" s="3"/>
      <c r="D5094" s="3"/>
      <c r="E5094" s="3"/>
      <c r="F5094" s="3"/>
      <c r="G5094" s="3"/>
      <c r="H5094" s="11"/>
      <c r="I5094" s="12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</row>
    <row r="5095" spans="1:34" ht="14.25" customHeight="1" x14ac:dyDescent="0.25">
      <c r="A5095" s="3"/>
      <c r="B5095" s="3"/>
      <c r="C5095" s="3"/>
      <c r="D5095" s="3"/>
      <c r="E5095" s="3"/>
      <c r="F5095" s="3"/>
      <c r="G5095" s="3"/>
      <c r="H5095" s="11"/>
      <c r="I5095" s="12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</row>
    <row r="5096" spans="1:34" ht="14.25" customHeight="1" x14ac:dyDescent="0.25">
      <c r="A5096" s="3"/>
      <c r="B5096" s="3"/>
      <c r="C5096" s="3"/>
      <c r="D5096" s="3"/>
      <c r="E5096" s="3"/>
      <c r="F5096" s="3"/>
      <c r="G5096" s="3"/>
      <c r="H5096" s="11"/>
      <c r="I5096" s="12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</row>
    <row r="5097" spans="1:34" ht="14.25" customHeight="1" x14ac:dyDescent="0.25">
      <c r="A5097" s="3"/>
      <c r="B5097" s="3"/>
      <c r="C5097" s="3"/>
      <c r="D5097" s="3"/>
      <c r="E5097" s="3"/>
      <c r="F5097" s="3"/>
      <c r="G5097" s="3"/>
      <c r="H5097" s="11"/>
      <c r="I5097" s="12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</row>
    <row r="5098" spans="1:34" ht="14.25" customHeight="1" x14ac:dyDescent="0.25">
      <c r="A5098" s="3"/>
      <c r="B5098" s="3"/>
      <c r="C5098" s="3"/>
      <c r="D5098" s="3"/>
      <c r="E5098" s="3"/>
      <c r="F5098" s="3"/>
      <c r="G5098" s="3"/>
      <c r="H5098" s="11"/>
      <c r="I5098" s="12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</row>
    <row r="5099" spans="1:34" ht="14.25" customHeight="1" x14ac:dyDescent="0.25">
      <c r="A5099" s="3"/>
      <c r="B5099" s="3"/>
      <c r="C5099" s="3"/>
      <c r="D5099" s="3"/>
      <c r="E5099" s="3"/>
      <c r="F5099" s="3"/>
      <c r="G5099" s="3"/>
      <c r="H5099" s="11"/>
      <c r="I5099" s="12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</row>
    <row r="5100" spans="1:34" ht="14.25" customHeight="1" x14ac:dyDescent="0.25">
      <c r="A5100" s="3"/>
      <c r="B5100" s="3"/>
      <c r="C5100" s="3"/>
      <c r="D5100" s="3"/>
      <c r="E5100" s="3"/>
      <c r="F5100" s="3"/>
      <c r="G5100" s="3"/>
      <c r="H5100" s="11"/>
      <c r="I5100" s="12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</row>
    <row r="5101" spans="1:34" ht="14.25" customHeight="1" x14ac:dyDescent="0.25">
      <c r="A5101" s="3"/>
      <c r="B5101" s="3"/>
      <c r="C5101" s="3"/>
      <c r="D5101" s="3"/>
      <c r="E5101" s="3"/>
      <c r="F5101" s="3"/>
      <c r="G5101" s="3"/>
      <c r="H5101" s="11"/>
      <c r="I5101" s="12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</row>
    <row r="5102" spans="1:34" ht="14.25" customHeight="1" x14ac:dyDescent="0.25">
      <c r="A5102" s="3"/>
      <c r="B5102" s="3"/>
      <c r="C5102" s="3"/>
      <c r="D5102" s="3"/>
      <c r="E5102" s="3"/>
      <c r="F5102" s="3"/>
      <c r="G5102" s="3"/>
      <c r="H5102" s="11"/>
      <c r="I5102" s="12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</row>
    <row r="5103" spans="1:34" ht="14.25" customHeight="1" x14ac:dyDescent="0.25">
      <c r="A5103" s="3"/>
      <c r="B5103" s="3"/>
      <c r="C5103" s="3"/>
      <c r="D5103" s="3"/>
      <c r="E5103" s="3"/>
      <c r="F5103" s="3"/>
      <c r="G5103" s="3"/>
      <c r="H5103" s="11"/>
      <c r="I5103" s="12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</row>
    <row r="5104" spans="1:34" ht="14.25" customHeight="1" x14ac:dyDescent="0.25">
      <c r="A5104" s="3"/>
      <c r="B5104" s="3"/>
      <c r="C5104" s="3"/>
      <c r="D5104" s="3"/>
      <c r="E5104" s="3"/>
      <c r="F5104" s="3"/>
      <c r="G5104" s="3"/>
      <c r="H5104" s="11"/>
      <c r="I5104" s="12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</row>
    <row r="5105" spans="1:34" ht="14.25" customHeight="1" x14ac:dyDescent="0.25">
      <c r="A5105" s="3"/>
      <c r="B5105" s="3"/>
      <c r="C5105" s="3"/>
      <c r="D5105" s="3"/>
      <c r="E5105" s="3"/>
      <c r="F5105" s="3"/>
      <c r="G5105" s="3"/>
      <c r="H5105" s="11"/>
      <c r="I5105" s="12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</row>
    <row r="5106" spans="1:34" ht="14.25" customHeight="1" x14ac:dyDescent="0.25">
      <c r="A5106" s="3"/>
      <c r="B5106" s="3"/>
      <c r="C5106" s="3"/>
      <c r="D5106" s="3"/>
      <c r="E5106" s="3"/>
      <c r="F5106" s="3"/>
      <c r="G5106" s="3"/>
      <c r="H5106" s="11"/>
      <c r="I5106" s="12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</row>
    <row r="5107" spans="1:34" ht="14.25" customHeight="1" x14ac:dyDescent="0.25">
      <c r="A5107" s="3"/>
      <c r="B5107" s="3"/>
      <c r="C5107" s="3"/>
      <c r="D5107" s="3"/>
      <c r="E5107" s="3"/>
      <c r="F5107" s="3"/>
      <c r="G5107" s="3"/>
      <c r="H5107" s="11"/>
      <c r="I5107" s="12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</row>
    <row r="5108" spans="1:34" ht="14.25" customHeight="1" x14ac:dyDescent="0.25">
      <c r="A5108" s="3"/>
      <c r="B5108" s="3"/>
      <c r="C5108" s="3"/>
      <c r="D5108" s="3"/>
      <c r="E5108" s="3"/>
      <c r="F5108" s="3"/>
      <c r="G5108" s="3"/>
      <c r="H5108" s="11"/>
      <c r="I5108" s="12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</row>
    <row r="5109" spans="1:34" ht="14.25" customHeight="1" x14ac:dyDescent="0.25">
      <c r="A5109" s="3"/>
      <c r="B5109" s="3"/>
      <c r="C5109" s="3"/>
      <c r="D5109" s="3"/>
      <c r="E5109" s="3"/>
      <c r="F5109" s="3"/>
      <c r="G5109" s="3"/>
      <c r="H5109" s="11"/>
      <c r="I5109" s="12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</row>
    <row r="5110" spans="1:34" ht="14.25" customHeight="1" x14ac:dyDescent="0.25">
      <c r="A5110" s="3"/>
      <c r="B5110" s="3"/>
      <c r="C5110" s="3"/>
      <c r="D5110" s="3"/>
      <c r="E5110" s="3"/>
      <c r="F5110" s="3"/>
      <c r="G5110" s="3"/>
      <c r="H5110" s="11"/>
      <c r="I5110" s="12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</row>
    <row r="5111" spans="1:34" ht="14.25" customHeight="1" x14ac:dyDescent="0.25">
      <c r="A5111" s="3"/>
      <c r="B5111" s="3"/>
      <c r="C5111" s="3"/>
      <c r="D5111" s="3"/>
      <c r="E5111" s="3"/>
      <c r="F5111" s="3"/>
      <c r="G5111" s="3"/>
      <c r="H5111" s="11"/>
      <c r="I5111" s="12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</row>
    <row r="5112" spans="1:34" ht="14.25" customHeight="1" x14ac:dyDescent="0.25">
      <c r="A5112" s="3"/>
      <c r="B5112" s="3"/>
      <c r="C5112" s="3"/>
      <c r="D5112" s="3"/>
      <c r="E5112" s="3"/>
      <c r="F5112" s="3"/>
      <c r="G5112" s="3"/>
      <c r="H5112" s="11"/>
      <c r="I5112" s="12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</row>
    <row r="5113" spans="1:34" ht="14.25" customHeight="1" x14ac:dyDescent="0.25">
      <c r="A5113" s="3"/>
      <c r="B5113" s="3"/>
      <c r="C5113" s="3"/>
      <c r="D5113" s="3"/>
      <c r="E5113" s="3"/>
      <c r="F5113" s="3"/>
      <c r="G5113" s="3"/>
      <c r="H5113" s="11"/>
      <c r="I5113" s="12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</row>
    <row r="5114" spans="1:34" ht="14.25" customHeight="1" x14ac:dyDescent="0.25">
      <c r="A5114" s="3"/>
      <c r="B5114" s="3"/>
      <c r="C5114" s="3"/>
      <c r="D5114" s="3"/>
      <c r="E5114" s="3"/>
      <c r="F5114" s="3"/>
      <c r="G5114" s="3"/>
      <c r="H5114" s="11"/>
      <c r="I5114" s="12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</row>
    <row r="5115" spans="1:34" ht="14.25" customHeight="1" x14ac:dyDescent="0.25">
      <c r="A5115" s="3"/>
      <c r="B5115" s="3"/>
      <c r="C5115" s="3"/>
      <c r="D5115" s="3"/>
      <c r="E5115" s="3"/>
      <c r="F5115" s="3"/>
      <c r="G5115" s="3"/>
      <c r="H5115" s="11"/>
      <c r="I5115" s="12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</row>
    <row r="5116" spans="1:34" ht="14.25" customHeight="1" x14ac:dyDescent="0.25">
      <c r="A5116" s="3"/>
      <c r="B5116" s="3"/>
      <c r="C5116" s="3"/>
      <c r="D5116" s="3"/>
      <c r="E5116" s="3"/>
      <c r="F5116" s="3"/>
      <c r="G5116" s="3"/>
      <c r="H5116" s="11"/>
      <c r="I5116" s="12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</row>
    <row r="5117" spans="1:34" ht="14.25" customHeight="1" x14ac:dyDescent="0.25">
      <c r="A5117" s="3"/>
      <c r="B5117" s="3"/>
      <c r="C5117" s="3"/>
      <c r="D5117" s="3"/>
      <c r="E5117" s="3"/>
      <c r="F5117" s="3"/>
      <c r="G5117" s="3"/>
      <c r="H5117" s="11"/>
      <c r="I5117" s="12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</row>
    <row r="5118" spans="1:34" ht="14.25" customHeight="1" x14ac:dyDescent="0.25">
      <c r="A5118" s="3"/>
      <c r="B5118" s="3"/>
      <c r="C5118" s="3"/>
      <c r="D5118" s="3"/>
      <c r="E5118" s="3"/>
      <c r="F5118" s="3"/>
      <c r="G5118" s="3"/>
      <c r="H5118" s="11"/>
      <c r="I5118" s="12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</row>
    <row r="5119" spans="1:34" ht="14.25" customHeight="1" x14ac:dyDescent="0.25">
      <c r="A5119" s="3"/>
      <c r="B5119" s="3"/>
      <c r="C5119" s="3"/>
      <c r="D5119" s="3"/>
      <c r="E5119" s="3"/>
      <c r="F5119" s="3"/>
      <c r="G5119" s="3"/>
      <c r="H5119" s="11"/>
      <c r="I5119" s="12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</row>
    <row r="5120" spans="1:34" ht="14.25" customHeight="1" x14ac:dyDescent="0.25">
      <c r="A5120" s="3"/>
      <c r="B5120" s="3"/>
      <c r="C5120" s="3"/>
      <c r="D5120" s="3"/>
      <c r="E5120" s="3"/>
      <c r="F5120" s="3"/>
      <c r="G5120" s="3"/>
      <c r="H5120" s="11"/>
      <c r="I5120" s="12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</row>
    <row r="5121" spans="1:34" ht="14.25" customHeight="1" x14ac:dyDescent="0.25">
      <c r="A5121" s="3"/>
      <c r="B5121" s="3"/>
      <c r="C5121" s="3"/>
      <c r="D5121" s="3"/>
      <c r="E5121" s="3"/>
      <c r="F5121" s="3"/>
      <c r="G5121" s="3"/>
      <c r="H5121" s="11"/>
      <c r="I5121" s="12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</row>
    <row r="5122" spans="1:34" ht="14.25" customHeight="1" x14ac:dyDescent="0.25">
      <c r="A5122" s="3"/>
      <c r="B5122" s="3"/>
      <c r="C5122" s="3"/>
      <c r="D5122" s="3"/>
      <c r="E5122" s="3"/>
      <c r="F5122" s="3"/>
      <c r="G5122" s="3"/>
      <c r="H5122" s="11"/>
      <c r="I5122" s="12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</row>
    <row r="5123" spans="1:34" ht="14.25" customHeight="1" x14ac:dyDescent="0.25">
      <c r="A5123" s="3"/>
      <c r="B5123" s="3"/>
      <c r="C5123" s="3"/>
      <c r="D5123" s="3"/>
      <c r="E5123" s="3"/>
      <c r="F5123" s="3"/>
      <c r="G5123" s="3"/>
      <c r="H5123" s="11"/>
      <c r="I5123" s="12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</row>
    <row r="5124" spans="1:34" ht="14.25" customHeight="1" x14ac:dyDescent="0.25">
      <c r="A5124" s="3"/>
      <c r="B5124" s="3"/>
      <c r="C5124" s="3"/>
      <c r="D5124" s="3"/>
      <c r="E5124" s="3"/>
      <c r="F5124" s="3"/>
      <c r="G5124" s="3"/>
      <c r="H5124" s="11"/>
      <c r="I5124" s="12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</row>
    <row r="5125" spans="1:34" ht="14.25" customHeight="1" x14ac:dyDescent="0.25">
      <c r="A5125" s="3"/>
      <c r="B5125" s="3"/>
      <c r="C5125" s="3"/>
      <c r="D5125" s="3"/>
      <c r="E5125" s="3"/>
      <c r="F5125" s="3"/>
      <c r="G5125" s="3"/>
      <c r="H5125" s="11"/>
      <c r="I5125" s="12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</row>
    <row r="5126" spans="1:34" ht="14.25" customHeight="1" x14ac:dyDescent="0.25">
      <c r="A5126" s="3"/>
      <c r="B5126" s="3"/>
      <c r="C5126" s="3"/>
      <c r="D5126" s="3"/>
      <c r="E5126" s="3"/>
      <c r="F5126" s="3"/>
      <c r="G5126" s="3"/>
      <c r="H5126" s="11"/>
      <c r="I5126" s="12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</row>
    <row r="5127" spans="1:34" ht="14.25" customHeight="1" x14ac:dyDescent="0.25">
      <c r="A5127" s="3"/>
      <c r="B5127" s="3"/>
      <c r="C5127" s="3"/>
      <c r="D5127" s="3"/>
      <c r="E5127" s="3"/>
      <c r="F5127" s="3"/>
      <c r="G5127" s="3"/>
      <c r="H5127" s="11"/>
      <c r="I5127" s="12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</row>
    <row r="5128" spans="1:34" ht="14.25" customHeight="1" x14ac:dyDescent="0.25">
      <c r="A5128" s="3"/>
      <c r="B5128" s="3"/>
      <c r="C5128" s="3"/>
      <c r="D5128" s="3"/>
      <c r="E5128" s="3"/>
      <c r="F5128" s="3"/>
      <c r="G5128" s="3"/>
      <c r="H5128" s="11"/>
      <c r="I5128" s="12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</row>
    <row r="5129" spans="1:34" ht="14.25" customHeight="1" x14ac:dyDescent="0.25">
      <c r="A5129" s="3"/>
      <c r="B5129" s="3"/>
      <c r="C5129" s="3"/>
      <c r="D5129" s="3"/>
      <c r="E5129" s="3"/>
      <c r="F5129" s="3"/>
      <c r="G5129" s="3"/>
      <c r="H5129" s="11"/>
      <c r="I5129" s="12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</row>
    <row r="5130" spans="1:34" ht="14.25" customHeight="1" x14ac:dyDescent="0.25">
      <c r="A5130" s="3"/>
      <c r="B5130" s="3"/>
      <c r="C5130" s="3"/>
      <c r="D5130" s="3"/>
      <c r="E5130" s="3"/>
      <c r="F5130" s="3"/>
      <c r="G5130" s="3"/>
      <c r="H5130" s="11"/>
      <c r="I5130" s="12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</row>
    <row r="5131" spans="1:34" ht="14.25" customHeight="1" x14ac:dyDescent="0.25">
      <c r="A5131" s="3"/>
      <c r="B5131" s="3"/>
      <c r="C5131" s="3"/>
      <c r="D5131" s="3"/>
      <c r="E5131" s="3"/>
      <c r="F5131" s="3"/>
      <c r="G5131" s="3"/>
      <c r="H5131" s="11"/>
      <c r="I5131" s="12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</row>
    <row r="5132" spans="1:34" ht="14.25" customHeight="1" x14ac:dyDescent="0.25">
      <c r="A5132" s="3"/>
      <c r="B5132" s="3"/>
      <c r="C5132" s="3"/>
      <c r="D5132" s="3"/>
      <c r="E5132" s="3"/>
      <c r="F5132" s="3"/>
      <c r="G5132" s="3"/>
      <c r="H5132" s="11"/>
      <c r="I5132" s="12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</row>
    <row r="5133" spans="1:34" ht="14.25" customHeight="1" x14ac:dyDescent="0.25">
      <c r="A5133" s="3"/>
      <c r="B5133" s="3"/>
      <c r="C5133" s="3"/>
      <c r="D5133" s="3"/>
      <c r="E5133" s="3"/>
      <c r="F5133" s="3"/>
      <c r="G5133" s="3"/>
      <c r="H5133" s="11"/>
      <c r="I5133" s="12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</row>
    <row r="5134" spans="1:34" ht="14.25" customHeight="1" x14ac:dyDescent="0.25">
      <c r="A5134" s="3"/>
      <c r="B5134" s="3"/>
      <c r="C5134" s="3"/>
      <c r="D5134" s="3"/>
      <c r="E5134" s="3"/>
      <c r="F5134" s="3"/>
      <c r="G5134" s="3"/>
      <c r="H5134" s="11"/>
      <c r="I5134" s="12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</row>
    <row r="5135" spans="1:34" ht="14.25" customHeight="1" x14ac:dyDescent="0.25">
      <c r="A5135" s="3"/>
      <c r="B5135" s="3"/>
      <c r="C5135" s="3"/>
      <c r="D5135" s="3"/>
      <c r="E5135" s="3"/>
      <c r="F5135" s="3"/>
      <c r="G5135" s="3"/>
      <c r="H5135" s="11"/>
      <c r="I5135" s="12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</row>
    <row r="5136" spans="1:34" ht="14.25" customHeight="1" x14ac:dyDescent="0.25">
      <c r="A5136" s="3"/>
      <c r="B5136" s="3"/>
      <c r="C5136" s="3"/>
      <c r="D5136" s="3"/>
      <c r="E5136" s="3"/>
      <c r="F5136" s="3"/>
      <c r="G5136" s="3"/>
      <c r="H5136" s="11"/>
      <c r="I5136" s="12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</row>
    <row r="5137" spans="1:34" ht="14.25" customHeight="1" x14ac:dyDescent="0.25">
      <c r="A5137" s="3"/>
      <c r="B5137" s="3"/>
      <c r="C5137" s="3"/>
      <c r="D5137" s="3"/>
      <c r="E5137" s="3"/>
      <c r="F5137" s="3"/>
      <c r="G5137" s="3"/>
      <c r="H5137" s="11"/>
      <c r="I5137" s="12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</row>
    <row r="5138" spans="1:34" ht="14.25" customHeight="1" x14ac:dyDescent="0.25">
      <c r="A5138" s="3"/>
      <c r="B5138" s="3"/>
      <c r="C5138" s="3"/>
      <c r="D5138" s="3"/>
      <c r="E5138" s="3"/>
      <c r="F5138" s="3"/>
      <c r="G5138" s="3"/>
      <c r="H5138" s="11"/>
      <c r="I5138" s="12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</row>
    <row r="5139" spans="1:34" ht="14.25" customHeight="1" x14ac:dyDescent="0.25">
      <c r="A5139" s="3"/>
      <c r="B5139" s="3"/>
      <c r="C5139" s="3"/>
      <c r="D5139" s="3"/>
      <c r="E5139" s="3"/>
      <c r="F5139" s="3"/>
      <c r="G5139" s="3"/>
      <c r="H5139" s="11"/>
      <c r="I5139" s="12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</row>
    <row r="5140" spans="1:34" ht="14.25" customHeight="1" x14ac:dyDescent="0.25">
      <c r="A5140" s="3"/>
      <c r="B5140" s="3"/>
      <c r="C5140" s="3"/>
      <c r="D5140" s="3"/>
      <c r="E5140" s="3"/>
      <c r="F5140" s="3"/>
      <c r="G5140" s="3"/>
      <c r="H5140" s="11"/>
      <c r="I5140" s="12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</row>
    <row r="5141" spans="1:34" ht="14.25" customHeight="1" x14ac:dyDescent="0.25">
      <c r="A5141" s="3"/>
      <c r="B5141" s="3"/>
      <c r="C5141" s="3"/>
      <c r="D5141" s="3"/>
      <c r="E5141" s="3"/>
      <c r="F5141" s="3"/>
      <c r="G5141" s="3"/>
      <c r="H5141" s="11"/>
      <c r="I5141" s="12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</row>
    <row r="5142" spans="1:34" ht="14.25" customHeight="1" x14ac:dyDescent="0.25">
      <c r="A5142" s="3"/>
      <c r="B5142" s="3"/>
      <c r="C5142" s="3"/>
      <c r="D5142" s="3"/>
      <c r="E5142" s="3"/>
      <c r="F5142" s="3"/>
      <c r="G5142" s="3"/>
      <c r="H5142" s="11"/>
      <c r="I5142" s="12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</row>
    <row r="5143" spans="1:34" ht="14.25" customHeight="1" x14ac:dyDescent="0.25">
      <c r="A5143" s="3"/>
      <c r="B5143" s="3"/>
      <c r="C5143" s="3"/>
      <c r="D5143" s="3"/>
      <c r="E5143" s="3"/>
      <c r="F5143" s="3"/>
      <c r="G5143" s="3"/>
      <c r="H5143" s="11"/>
      <c r="I5143" s="12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</row>
    <row r="5144" spans="1:34" ht="14.25" customHeight="1" x14ac:dyDescent="0.25">
      <c r="A5144" s="3"/>
      <c r="B5144" s="3"/>
      <c r="C5144" s="3"/>
      <c r="D5144" s="3"/>
      <c r="E5144" s="3"/>
      <c r="F5144" s="3"/>
      <c r="G5144" s="3"/>
      <c r="H5144" s="11"/>
      <c r="I5144" s="12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</row>
    <row r="5145" spans="1:34" ht="14.25" customHeight="1" x14ac:dyDescent="0.25">
      <c r="A5145" s="3"/>
      <c r="B5145" s="3"/>
      <c r="C5145" s="3"/>
      <c r="D5145" s="3"/>
      <c r="E5145" s="3"/>
      <c r="F5145" s="3"/>
      <c r="G5145" s="3"/>
      <c r="H5145" s="11"/>
      <c r="I5145" s="12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</row>
    <row r="5146" spans="1:34" ht="14.25" customHeight="1" x14ac:dyDescent="0.25">
      <c r="A5146" s="3"/>
      <c r="B5146" s="3"/>
      <c r="C5146" s="3"/>
      <c r="D5146" s="3"/>
      <c r="E5146" s="3"/>
      <c r="F5146" s="3"/>
      <c r="G5146" s="3"/>
      <c r="H5146" s="11"/>
      <c r="I5146" s="12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</row>
    <row r="5147" spans="1:34" ht="14.25" customHeight="1" x14ac:dyDescent="0.25">
      <c r="A5147" s="3"/>
      <c r="B5147" s="3"/>
      <c r="C5147" s="3"/>
      <c r="D5147" s="3"/>
      <c r="E5147" s="3"/>
      <c r="F5147" s="3"/>
      <c r="G5147" s="3"/>
      <c r="H5147" s="11"/>
      <c r="I5147" s="12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</row>
    <row r="5148" spans="1:34" ht="14.25" customHeight="1" x14ac:dyDescent="0.25">
      <c r="A5148" s="3"/>
      <c r="B5148" s="3"/>
      <c r="C5148" s="3"/>
      <c r="D5148" s="3"/>
      <c r="E5148" s="3"/>
      <c r="F5148" s="3"/>
      <c r="G5148" s="3"/>
      <c r="H5148" s="11"/>
      <c r="I5148" s="12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</row>
    <row r="5149" spans="1:34" ht="14.25" customHeight="1" x14ac:dyDescent="0.25">
      <c r="A5149" s="3"/>
      <c r="B5149" s="3"/>
      <c r="C5149" s="3"/>
      <c r="D5149" s="3"/>
      <c r="E5149" s="3"/>
      <c r="F5149" s="3"/>
      <c r="G5149" s="3"/>
      <c r="H5149" s="11"/>
      <c r="I5149" s="12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</row>
    <row r="5150" spans="1:34" ht="14.25" customHeight="1" x14ac:dyDescent="0.25">
      <c r="A5150" s="3"/>
      <c r="B5150" s="3"/>
      <c r="C5150" s="3"/>
      <c r="D5150" s="3"/>
      <c r="E5150" s="3"/>
      <c r="F5150" s="3"/>
      <c r="G5150" s="3"/>
      <c r="H5150" s="11"/>
      <c r="I5150" s="12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</row>
    <row r="5151" spans="1:34" ht="14.25" customHeight="1" x14ac:dyDescent="0.25">
      <c r="A5151" s="3"/>
      <c r="B5151" s="3"/>
      <c r="C5151" s="3"/>
      <c r="D5151" s="3"/>
      <c r="E5151" s="3"/>
      <c r="F5151" s="3"/>
      <c r="G5151" s="3"/>
      <c r="H5151" s="11"/>
      <c r="I5151" s="12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</row>
    <row r="5152" spans="1:34" ht="14.25" customHeight="1" x14ac:dyDescent="0.25">
      <c r="A5152" s="3"/>
      <c r="B5152" s="3"/>
      <c r="C5152" s="3"/>
      <c r="D5152" s="3"/>
      <c r="E5152" s="3"/>
      <c r="F5152" s="3"/>
      <c r="G5152" s="3"/>
      <c r="H5152" s="11"/>
      <c r="I5152" s="12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</row>
    <row r="5153" spans="1:34" ht="14.25" customHeight="1" x14ac:dyDescent="0.25">
      <c r="A5153" s="3"/>
      <c r="B5153" s="3"/>
      <c r="C5153" s="3"/>
      <c r="D5153" s="3"/>
      <c r="E5153" s="3"/>
      <c r="F5153" s="3"/>
      <c r="G5153" s="3"/>
      <c r="H5153" s="11"/>
      <c r="I5153" s="12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</row>
    <row r="5154" spans="1:34" ht="14.25" customHeight="1" x14ac:dyDescent="0.25">
      <c r="A5154" s="3"/>
      <c r="B5154" s="3"/>
      <c r="C5154" s="3"/>
      <c r="D5154" s="3"/>
      <c r="E5154" s="3"/>
      <c r="F5154" s="3"/>
      <c r="G5154" s="3"/>
      <c r="H5154" s="11"/>
      <c r="I5154" s="12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</row>
    <row r="5155" spans="1:34" ht="14.25" customHeight="1" x14ac:dyDescent="0.25">
      <c r="A5155" s="3"/>
      <c r="B5155" s="3"/>
      <c r="C5155" s="3"/>
      <c r="D5155" s="3"/>
      <c r="E5155" s="3"/>
      <c r="F5155" s="3"/>
      <c r="G5155" s="3"/>
      <c r="H5155" s="11"/>
      <c r="I5155" s="12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</row>
    <row r="5156" spans="1:34" ht="14.25" customHeight="1" x14ac:dyDescent="0.25">
      <c r="A5156" s="3"/>
      <c r="B5156" s="3"/>
      <c r="C5156" s="3"/>
      <c r="D5156" s="3"/>
      <c r="E5156" s="3"/>
      <c r="F5156" s="3"/>
      <c r="G5156" s="3"/>
      <c r="H5156" s="11"/>
      <c r="I5156" s="12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</row>
    <row r="5157" spans="1:34" ht="14.25" customHeight="1" x14ac:dyDescent="0.25">
      <c r="A5157" s="3"/>
      <c r="B5157" s="3"/>
      <c r="C5157" s="3"/>
      <c r="D5157" s="3"/>
      <c r="E5157" s="3"/>
      <c r="F5157" s="3"/>
      <c r="G5157" s="3"/>
      <c r="H5157" s="11"/>
      <c r="I5157" s="12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</row>
    <row r="5158" spans="1:34" ht="14.25" customHeight="1" x14ac:dyDescent="0.25">
      <c r="A5158" s="3"/>
      <c r="B5158" s="3"/>
      <c r="C5158" s="3"/>
      <c r="D5158" s="3"/>
      <c r="E5158" s="3"/>
      <c r="F5158" s="3"/>
      <c r="G5158" s="3"/>
      <c r="H5158" s="11"/>
      <c r="I5158" s="12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</row>
    <row r="5159" spans="1:34" ht="14.25" customHeight="1" x14ac:dyDescent="0.25">
      <c r="A5159" s="3"/>
      <c r="B5159" s="3"/>
      <c r="C5159" s="3"/>
      <c r="D5159" s="3"/>
      <c r="E5159" s="3"/>
      <c r="F5159" s="3"/>
      <c r="G5159" s="3"/>
      <c r="H5159" s="11"/>
      <c r="I5159" s="12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</row>
    <row r="5160" spans="1:34" ht="14.25" customHeight="1" x14ac:dyDescent="0.25">
      <c r="A5160" s="3"/>
      <c r="B5160" s="3"/>
      <c r="C5160" s="3"/>
      <c r="D5160" s="3"/>
      <c r="E5160" s="3"/>
      <c r="F5160" s="3"/>
      <c r="G5160" s="3"/>
      <c r="H5160" s="11"/>
      <c r="I5160" s="12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</row>
    <row r="5161" spans="1:34" ht="14.25" customHeight="1" x14ac:dyDescent="0.25">
      <c r="A5161" s="3"/>
      <c r="B5161" s="3"/>
      <c r="C5161" s="3"/>
      <c r="D5161" s="3"/>
      <c r="E5161" s="3"/>
      <c r="F5161" s="3"/>
      <c r="G5161" s="3"/>
      <c r="H5161" s="11"/>
      <c r="I5161" s="12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</row>
    <row r="5162" spans="1:34" ht="14.25" customHeight="1" x14ac:dyDescent="0.25">
      <c r="A5162" s="3"/>
      <c r="B5162" s="3"/>
      <c r="C5162" s="3"/>
      <c r="D5162" s="3"/>
      <c r="E5162" s="3"/>
      <c r="F5162" s="3"/>
      <c r="G5162" s="3"/>
      <c r="H5162" s="11"/>
      <c r="I5162" s="12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</row>
    <row r="5163" spans="1:34" ht="14.25" customHeight="1" x14ac:dyDescent="0.25">
      <c r="A5163" s="3"/>
      <c r="B5163" s="3"/>
      <c r="C5163" s="3"/>
      <c r="D5163" s="3"/>
      <c r="E5163" s="3"/>
      <c r="F5163" s="3"/>
      <c r="G5163" s="3"/>
      <c r="H5163" s="11"/>
      <c r="I5163" s="12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</row>
    <row r="5164" spans="1:34" ht="14.25" customHeight="1" x14ac:dyDescent="0.25">
      <c r="A5164" s="3"/>
      <c r="B5164" s="3"/>
      <c r="C5164" s="3"/>
      <c r="D5164" s="3"/>
      <c r="E5164" s="3"/>
      <c r="F5164" s="3"/>
      <c r="G5164" s="3"/>
      <c r="H5164" s="11"/>
      <c r="I5164" s="12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</row>
    <row r="5165" spans="1:34" ht="14.25" customHeight="1" x14ac:dyDescent="0.25">
      <c r="A5165" s="3"/>
      <c r="B5165" s="3"/>
      <c r="C5165" s="3"/>
      <c r="D5165" s="3"/>
      <c r="E5165" s="3"/>
      <c r="F5165" s="3"/>
      <c r="G5165" s="3"/>
      <c r="H5165" s="11"/>
      <c r="I5165" s="12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</row>
    <row r="5166" spans="1:34" ht="14.25" customHeight="1" x14ac:dyDescent="0.25">
      <c r="A5166" s="3"/>
      <c r="B5166" s="3"/>
      <c r="C5166" s="3"/>
      <c r="D5166" s="3"/>
      <c r="E5166" s="3"/>
      <c r="F5166" s="3"/>
      <c r="G5166" s="3"/>
      <c r="H5166" s="11"/>
      <c r="I5166" s="12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</row>
    <row r="5167" spans="1:34" ht="14.25" customHeight="1" x14ac:dyDescent="0.25">
      <c r="A5167" s="3"/>
      <c r="B5167" s="3"/>
      <c r="C5167" s="3"/>
      <c r="D5167" s="3"/>
      <c r="E5167" s="3"/>
      <c r="F5167" s="3"/>
      <c r="G5167" s="3"/>
      <c r="H5167" s="11"/>
      <c r="I5167" s="12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</row>
    <row r="5168" spans="1:34" ht="14.25" customHeight="1" x14ac:dyDescent="0.25">
      <c r="A5168" s="3"/>
      <c r="B5168" s="3"/>
      <c r="C5168" s="3"/>
      <c r="D5168" s="3"/>
      <c r="E5168" s="3"/>
      <c r="F5168" s="3"/>
      <c r="G5168" s="3"/>
      <c r="H5168" s="11"/>
      <c r="I5168" s="12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  <c r="AA5168" s="3"/>
      <c r="AB5168" s="3"/>
      <c r="AC5168" s="3"/>
      <c r="AD5168" s="3"/>
      <c r="AE5168" s="3"/>
      <c r="AF5168" s="3"/>
      <c r="AG5168" s="3"/>
      <c r="AH5168" s="3"/>
    </row>
    <row r="5169" spans="1:34" ht="14.25" customHeight="1" x14ac:dyDescent="0.25">
      <c r="A5169" s="3"/>
      <c r="B5169" s="3"/>
      <c r="C5169" s="3"/>
      <c r="D5169" s="3"/>
      <c r="E5169" s="3"/>
      <c r="F5169" s="3"/>
      <c r="G5169" s="3"/>
      <c r="H5169" s="11"/>
      <c r="I5169" s="12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  <c r="AA5169" s="3"/>
      <c r="AB5169" s="3"/>
      <c r="AC5169" s="3"/>
      <c r="AD5169" s="3"/>
      <c r="AE5169" s="3"/>
      <c r="AF5169" s="3"/>
      <c r="AG5169" s="3"/>
      <c r="AH5169" s="3"/>
    </row>
    <row r="5170" spans="1:34" ht="14.25" customHeight="1" x14ac:dyDescent="0.25">
      <c r="A5170" s="3"/>
      <c r="B5170" s="3"/>
      <c r="C5170" s="3"/>
      <c r="D5170" s="3"/>
      <c r="E5170" s="3"/>
      <c r="F5170" s="3"/>
      <c r="G5170" s="3"/>
      <c r="H5170" s="11"/>
      <c r="I5170" s="12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  <c r="AA5170" s="3"/>
      <c r="AB5170" s="3"/>
      <c r="AC5170" s="3"/>
      <c r="AD5170" s="3"/>
      <c r="AE5170" s="3"/>
      <c r="AF5170" s="3"/>
      <c r="AG5170" s="3"/>
      <c r="AH5170" s="3"/>
    </row>
    <row r="5171" spans="1:34" ht="14.25" customHeight="1" x14ac:dyDescent="0.25">
      <c r="A5171" s="3"/>
      <c r="B5171" s="3"/>
      <c r="C5171" s="3"/>
      <c r="D5171" s="3"/>
      <c r="E5171" s="3"/>
      <c r="F5171" s="3"/>
      <c r="G5171" s="3"/>
      <c r="H5171" s="11"/>
      <c r="I5171" s="12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  <c r="AA5171" s="3"/>
      <c r="AB5171" s="3"/>
      <c r="AC5171" s="3"/>
      <c r="AD5171" s="3"/>
      <c r="AE5171" s="3"/>
      <c r="AF5171" s="3"/>
      <c r="AG5171" s="3"/>
      <c r="AH5171" s="3"/>
    </row>
    <row r="5172" spans="1:34" ht="14.25" customHeight="1" x14ac:dyDescent="0.25">
      <c r="A5172" s="3"/>
      <c r="B5172" s="3"/>
      <c r="C5172" s="3"/>
      <c r="D5172" s="3"/>
      <c r="E5172" s="3"/>
      <c r="F5172" s="3"/>
      <c r="G5172" s="3"/>
      <c r="H5172" s="11"/>
      <c r="I5172" s="12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  <c r="AA5172" s="3"/>
      <c r="AB5172" s="3"/>
      <c r="AC5172" s="3"/>
      <c r="AD5172" s="3"/>
      <c r="AE5172" s="3"/>
      <c r="AF5172" s="3"/>
      <c r="AG5172" s="3"/>
      <c r="AH5172" s="3"/>
    </row>
    <row r="5173" spans="1:34" ht="14.25" customHeight="1" x14ac:dyDescent="0.25">
      <c r="A5173" s="3"/>
      <c r="B5173" s="3"/>
      <c r="C5173" s="3"/>
      <c r="D5173" s="3"/>
      <c r="E5173" s="3"/>
      <c r="F5173" s="3"/>
      <c r="G5173" s="3"/>
      <c r="H5173" s="11"/>
      <c r="I5173" s="12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  <c r="AA5173" s="3"/>
      <c r="AB5173" s="3"/>
      <c r="AC5173" s="3"/>
      <c r="AD5173" s="3"/>
      <c r="AE5173" s="3"/>
      <c r="AF5173" s="3"/>
      <c r="AG5173" s="3"/>
      <c r="AH5173" s="3"/>
    </row>
    <row r="5174" spans="1:34" ht="14.25" customHeight="1" x14ac:dyDescent="0.25">
      <c r="A5174" s="3"/>
      <c r="B5174" s="3"/>
      <c r="C5174" s="3"/>
      <c r="D5174" s="3"/>
      <c r="E5174" s="3"/>
      <c r="F5174" s="3"/>
      <c r="G5174" s="3"/>
      <c r="H5174" s="11"/>
      <c r="I5174" s="12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  <c r="AA5174" s="3"/>
      <c r="AB5174" s="3"/>
      <c r="AC5174" s="3"/>
      <c r="AD5174" s="3"/>
      <c r="AE5174" s="3"/>
      <c r="AF5174" s="3"/>
      <c r="AG5174" s="3"/>
      <c r="AH5174" s="3"/>
    </row>
    <row r="5175" spans="1:34" ht="14.25" customHeight="1" x14ac:dyDescent="0.25">
      <c r="A5175" s="3"/>
      <c r="B5175" s="3"/>
      <c r="C5175" s="3"/>
      <c r="D5175" s="3"/>
      <c r="E5175" s="3"/>
      <c r="F5175" s="3"/>
      <c r="G5175" s="3"/>
      <c r="H5175" s="11"/>
      <c r="I5175" s="12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  <c r="AA5175" s="3"/>
      <c r="AB5175" s="3"/>
      <c r="AC5175" s="3"/>
      <c r="AD5175" s="3"/>
      <c r="AE5175" s="3"/>
      <c r="AF5175" s="3"/>
      <c r="AG5175" s="3"/>
      <c r="AH5175" s="3"/>
    </row>
    <row r="5176" spans="1:34" ht="14.25" customHeight="1" x14ac:dyDescent="0.25">
      <c r="A5176" s="3"/>
      <c r="B5176" s="3"/>
      <c r="C5176" s="3"/>
      <c r="D5176" s="3"/>
      <c r="E5176" s="3"/>
      <c r="F5176" s="3"/>
      <c r="G5176" s="3"/>
      <c r="H5176" s="11"/>
      <c r="I5176" s="12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  <c r="AA5176" s="3"/>
      <c r="AB5176" s="3"/>
      <c r="AC5176" s="3"/>
      <c r="AD5176" s="3"/>
      <c r="AE5176" s="3"/>
      <c r="AF5176" s="3"/>
      <c r="AG5176" s="3"/>
      <c r="AH5176" s="3"/>
    </row>
    <row r="5177" spans="1:34" ht="14.25" customHeight="1" x14ac:dyDescent="0.25">
      <c r="A5177" s="3"/>
      <c r="B5177" s="3"/>
      <c r="C5177" s="3"/>
      <c r="D5177" s="3"/>
      <c r="E5177" s="3"/>
      <c r="F5177" s="3"/>
      <c r="G5177" s="3"/>
      <c r="H5177" s="11"/>
      <c r="I5177" s="12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  <c r="AA5177" s="3"/>
      <c r="AB5177" s="3"/>
      <c r="AC5177" s="3"/>
      <c r="AD5177" s="3"/>
      <c r="AE5177" s="3"/>
      <c r="AF5177" s="3"/>
      <c r="AG5177" s="3"/>
      <c r="AH5177" s="3"/>
    </row>
    <row r="5178" spans="1:34" ht="14.25" customHeight="1" x14ac:dyDescent="0.25">
      <c r="A5178" s="3"/>
      <c r="B5178" s="3"/>
      <c r="C5178" s="3"/>
      <c r="D5178" s="3"/>
      <c r="E5178" s="3"/>
      <c r="F5178" s="3"/>
      <c r="G5178" s="3"/>
      <c r="H5178" s="11"/>
      <c r="I5178" s="12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  <c r="AA5178" s="3"/>
      <c r="AB5178" s="3"/>
      <c r="AC5178" s="3"/>
      <c r="AD5178" s="3"/>
      <c r="AE5178" s="3"/>
      <c r="AF5178" s="3"/>
      <c r="AG5178" s="3"/>
      <c r="AH5178" s="3"/>
    </row>
    <row r="5179" spans="1:34" ht="14.25" customHeight="1" x14ac:dyDescent="0.25">
      <c r="A5179" s="3"/>
      <c r="B5179" s="3"/>
      <c r="C5179" s="3"/>
      <c r="D5179" s="3"/>
      <c r="E5179" s="3"/>
      <c r="F5179" s="3"/>
      <c r="G5179" s="3"/>
      <c r="H5179" s="11"/>
      <c r="I5179" s="12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  <c r="AA5179" s="3"/>
      <c r="AB5179" s="3"/>
      <c r="AC5179" s="3"/>
      <c r="AD5179" s="3"/>
      <c r="AE5179" s="3"/>
      <c r="AF5179" s="3"/>
      <c r="AG5179" s="3"/>
      <c r="AH5179" s="3"/>
    </row>
    <row r="5180" spans="1:34" ht="14.25" customHeight="1" x14ac:dyDescent="0.25">
      <c r="A5180" s="3"/>
      <c r="B5180" s="3"/>
      <c r="C5180" s="3"/>
      <c r="D5180" s="3"/>
      <c r="E5180" s="3"/>
      <c r="F5180" s="3"/>
      <c r="G5180" s="3"/>
      <c r="H5180" s="11"/>
      <c r="I5180" s="12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  <c r="AA5180" s="3"/>
      <c r="AB5180" s="3"/>
      <c r="AC5180" s="3"/>
      <c r="AD5180" s="3"/>
      <c r="AE5180" s="3"/>
      <c r="AF5180" s="3"/>
      <c r="AG5180" s="3"/>
      <c r="AH5180" s="3"/>
    </row>
    <row r="5181" spans="1:34" ht="14.25" customHeight="1" x14ac:dyDescent="0.25">
      <c r="A5181" s="3"/>
      <c r="B5181" s="3"/>
      <c r="C5181" s="3"/>
      <c r="D5181" s="3"/>
      <c r="E5181" s="3"/>
      <c r="F5181" s="3"/>
      <c r="G5181" s="3"/>
      <c r="H5181" s="11"/>
      <c r="I5181" s="12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  <c r="AA5181" s="3"/>
      <c r="AB5181" s="3"/>
      <c r="AC5181" s="3"/>
      <c r="AD5181" s="3"/>
      <c r="AE5181" s="3"/>
      <c r="AF5181" s="3"/>
      <c r="AG5181" s="3"/>
      <c r="AH5181" s="3"/>
    </row>
    <row r="5182" spans="1:34" ht="14.25" customHeight="1" x14ac:dyDescent="0.25">
      <c r="A5182" s="3"/>
      <c r="B5182" s="3"/>
      <c r="C5182" s="3"/>
      <c r="D5182" s="3"/>
      <c r="E5182" s="3"/>
      <c r="F5182" s="3"/>
      <c r="G5182" s="3"/>
      <c r="H5182" s="11"/>
      <c r="I5182" s="12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  <c r="AA5182" s="3"/>
      <c r="AB5182" s="3"/>
      <c r="AC5182" s="3"/>
      <c r="AD5182" s="3"/>
      <c r="AE5182" s="3"/>
      <c r="AF5182" s="3"/>
      <c r="AG5182" s="3"/>
      <c r="AH5182" s="3"/>
    </row>
    <row r="5183" spans="1:34" ht="14.25" customHeight="1" x14ac:dyDescent="0.25">
      <c r="A5183" s="3"/>
      <c r="B5183" s="3"/>
      <c r="C5183" s="3"/>
      <c r="D5183" s="3"/>
      <c r="E5183" s="3"/>
      <c r="F5183" s="3"/>
      <c r="G5183" s="3"/>
      <c r="H5183" s="11"/>
      <c r="I5183" s="12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  <c r="AA5183" s="3"/>
      <c r="AB5183" s="3"/>
      <c r="AC5183" s="3"/>
      <c r="AD5183" s="3"/>
      <c r="AE5183" s="3"/>
      <c r="AF5183" s="3"/>
      <c r="AG5183" s="3"/>
      <c r="AH5183" s="3"/>
    </row>
    <row r="5184" spans="1:34" ht="14.25" customHeight="1" x14ac:dyDescent="0.25">
      <c r="A5184" s="3"/>
      <c r="B5184" s="3"/>
      <c r="C5184" s="3"/>
      <c r="D5184" s="3"/>
      <c r="E5184" s="3"/>
      <c r="F5184" s="3"/>
      <c r="G5184" s="3"/>
      <c r="H5184" s="11"/>
      <c r="I5184" s="12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  <c r="AA5184" s="3"/>
      <c r="AB5184" s="3"/>
      <c r="AC5184" s="3"/>
      <c r="AD5184" s="3"/>
      <c r="AE5184" s="3"/>
      <c r="AF5184" s="3"/>
      <c r="AG5184" s="3"/>
      <c r="AH5184" s="3"/>
    </row>
    <row r="5185" spans="1:34" ht="14.25" customHeight="1" x14ac:dyDescent="0.25">
      <c r="A5185" s="3"/>
      <c r="B5185" s="3"/>
      <c r="C5185" s="3"/>
      <c r="D5185" s="3"/>
      <c r="E5185" s="3"/>
      <c r="F5185" s="3"/>
      <c r="G5185" s="3"/>
      <c r="H5185" s="11"/>
      <c r="I5185" s="12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  <c r="AA5185" s="3"/>
      <c r="AB5185" s="3"/>
      <c r="AC5185" s="3"/>
      <c r="AD5185" s="3"/>
      <c r="AE5185" s="3"/>
      <c r="AF5185" s="3"/>
      <c r="AG5185" s="3"/>
      <c r="AH5185" s="3"/>
    </row>
    <row r="5186" spans="1:34" ht="14.25" customHeight="1" x14ac:dyDescent="0.25">
      <c r="A5186" s="3"/>
      <c r="B5186" s="3"/>
      <c r="C5186" s="3"/>
      <c r="D5186" s="3"/>
      <c r="E5186" s="3"/>
      <c r="F5186" s="3"/>
      <c r="G5186" s="3"/>
      <c r="H5186" s="11"/>
      <c r="I5186" s="12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  <c r="AA5186" s="3"/>
      <c r="AB5186" s="3"/>
      <c r="AC5186" s="3"/>
      <c r="AD5186" s="3"/>
      <c r="AE5186" s="3"/>
      <c r="AF5186" s="3"/>
      <c r="AG5186" s="3"/>
      <c r="AH5186" s="3"/>
    </row>
    <row r="5187" spans="1:34" ht="14.25" customHeight="1" x14ac:dyDescent="0.25">
      <c r="A5187" s="3"/>
      <c r="B5187" s="3"/>
      <c r="C5187" s="3"/>
      <c r="D5187" s="3"/>
      <c r="E5187" s="3"/>
      <c r="F5187" s="3"/>
      <c r="G5187" s="3"/>
      <c r="H5187" s="11"/>
      <c r="I5187" s="12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  <c r="AA5187" s="3"/>
      <c r="AB5187" s="3"/>
      <c r="AC5187" s="3"/>
      <c r="AD5187" s="3"/>
      <c r="AE5187" s="3"/>
      <c r="AF5187" s="3"/>
      <c r="AG5187" s="3"/>
      <c r="AH5187" s="3"/>
    </row>
    <row r="5188" spans="1:34" ht="14.25" customHeight="1" x14ac:dyDescent="0.25">
      <c r="A5188" s="3"/>
      <c r="B5188" s="3"/>
      <c r="C5188" s="3"/>
      <c r="D5188" s="3"/>
      <c r="E5188" s="3"/>
      <c r="F5188" s="3"/>
      <c r="G5188" s="3"/>
      <c r="H5188" s="11"/>
      <c r="I5188" s="12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  <c r="AA5188" s="3"/>
      <c r="AB5188" s="3"/>
      <c r="AC5188" s="3"/>
      <c r="AD5188" s="3"/>
      <c r="AE5188" s="3"/>
      <c r="AF5188" s="3"/>
      <c r="AG5188" s="3"/>
      <c r="AH5188" s="3"/>
    </row>
    <row r="5189" spans="1:34" ht="14.25" customHeight="1" x14ac:dyDescent="0.25">
      <c r="A5189" s="3"/>
      <c r="B5189" s="3"/>
      <c r="C5189" s="3"/>
      <c r="D5189" s="3"/>
      <c r="E5189" s="3"/>
      <c r="F5189" s="3"/>
      <c r="G5189" s="3"/>
      <c r="H5189" s="11"/>
      <c r="I5189" s="12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  <c r="AA5189" s="3"/>
      <c r="AB5189" s="3"/>
      <c r="AC5189" s="3"/>
      <c r="AD5189" s="3"/>
      <c r="AE5189" s="3"/>
      <c r="AF5189" s="3"/>
      <c r="AG5189" s="3"/>
      <c r="AH5189" s="3"/>
    </row>
    <row r="5190" spans="1:34" ht="14.25" customHeight="1" x14ac:dyDescent="0.25">
      <c r="A5190" s="3"/>
      <c r="B5190" s="3"/>
      <c r="C5190" s="3"/>
      <c r="D5190" s="3"/>
      <c r="E5190" s="3"/>
      <c r="F5190" s="3"/>
      <c r="G5190" s="3"/>
      <c r="H5190" s="11"/>
      <c r="I5190" s="12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  <c r="AA5190" s="3"/>
      <c r="AB5190" s="3"/>
      <c r="AC5190" s="3"/>
      <c r="AD5190" s="3"/>
      <c r="AE5190" s="3"/>
      <c r="AF5190" s="3"/>
      <c r="AG5190" s="3"/>
      <c r="AH5190" s="3"/>
    </row>
    <row r="5191" spans="1:34" ht="14.25" customHeight="1" x14ac:dyDescent="0.25">
      <c r="A5191" s="3"/>
      <c r="B5191" s="3"/>
      <c r="C5191" s="3"/>
      <c r="D5191" s="3"/>
      <c r="E5191" s="3"/>
      <c r="F5191" s="3"/>
      <c r="G5191" s="3"/>
      <c r="H5191" s="11"/>
      <c r="I5191" s="12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  <c r="AA5191" s="3"/>
      <c r="AB5191" s="3"/>
      <c r="AC5191" s="3"/>
      <c r="AD5191" s="3"/>
      <c r="AE5191" s="3"/>
      <c r="AF5191" s="3"/>
      <c r="AG5191" s="3"/>
      <c r="AH5191" s="3"/>
    </row>
    <row r="5192" spans="1:34" ht="14.25" customHeight="1" x14ac:dyDescent="0.25">
      <c r="A5192" s="3"/>
      <c r="B5192" s="3"/>
      <c r="C5192" s="3"/>
      <c r="D5192" s="3"/>
      <c r="E5192" s="3"/>
      <c r="F5192" s="3"/>
      <c r="G5192" s="3"/>
      <c r="H5192" s="11"/>
      <c r="I5192" s="12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  <c r="AA5192" s="3"/>
      <c r="AB5192" s="3"/>
      <c r="AC5192" s="3"/>
      <c r="AD5192" s="3"/>
      <c r="AE5192" s="3"/>
      <c r="AF5192" s="3"/>
      <c r="AG5192" s="3"/>
      <c r="AH5192" s="3"/>
    </row>
    <row r="5193" spans="1:34" ht="14.25" customHeight="1" x14ac:dyDescent="0.25">
      <c r="A5193" s="3"/>
      <c r="B5193" s="3"/>
      <c r="C5193" s="3"/>
      <c r="D5193" s="3"/>
      <c r="E5193" s="3"/>
      <c r="F5193" s="3"/>
      <c r="G5193" s="3"/>
      <c r="H5193" s="11"/>
      <c r="I5193" s="12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  <c r="AA5193" s="3"/>
      <c r="AB5193" s="3"/>
      <c r="AC5193" s="3"/>
      <c r="AD5193" s="3"/>
      <c r="AE5193" s="3"/>
      <c r="AF5193" s="3"/>
      <c r="AG5193" s="3"/>
      <c r="AH5193" s="3"/>
    </row>
    <row r="5194" spans="1:34" ht="14.25" customHeight="1" x14ac:dyDescent="0.25">
      <c r="A5194" s="3"/>
      <c r="B5194" s="3"/>
      <c r="C5194" s="3"/>
      <c r="D5194" s="3"/>
      <c r="E5194" s="3"/>
      <c r="F5194" s="3"/>
      <c r="G5194" s="3"/>
      <c r="H5194" s="11"/>
      <c r="I5194" s="12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  <c r="AA5194" s="3"/>
      <c r="AB5194" s="3"/>
      <c r="AC5194" s="3"/>
      <c r="AD5194" s="3"/>
      <c r="AE5194" s="3"/>
      <c r="AF5194" s="3"/>
      <c r="AG5194" s="3"/>
      <c r="AH5194" s="3"/>
    </row>
    <row r="5195" spans="1:34" ht="14.25" customHeight="1" x14ac:dyDescent="0.25">
      <c r="A5195" s="3"/>
      <c r="B5195" s="3"/>
      <c r="C5195" s="3"/>
      <c r="D5195" s="3"/>
      <c r="E5195" s="3"/>
      <c r="F5195" s="3"/>
      <c r="G5195" s="3"/>
      <c r="H5195" s="11"/>
      <c r="I5195" s="12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  <c r="AA5195" s="3"/>
      <c r="AB5195" s="3"/>
      <c r="AC5195" s="3"/>
      <c r="AD5195" s="3"/>
      <c r="AE5195" s="3"/>
      <c r="AF5195" s="3"/>
      <c r="AG5195" s="3"/>
      <c r="AH5195" s="3"/>
    </row>
    <row r="5196" spans="1:34" ht="14.25" customHeight="1" x14ac:dyDescent="0.25">
      <c r="A5196" s="3"/>
      <c r="B5196" s="3"/>
      <c r="C5196" s="3"/>
      <c r="D5196" s="3"/>
      <c r="E5196" s="3"/>
      <c r="F5196" s="3"/>
      <c r="G5196" s="3"/>
      <c r="H5196" s="11"/>
      <c r="I5196" s="12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  <c r="AA5196" s="3"/>
      <c r="AB5196" s="3"/>
      <c r="AC5196" s="3"/>
      <c r="AD5196" s="3"/>
      <c r="AE5196" s="3"/>
      <c r="AF5196" s="3"/>
      <c r="AG5196" s="3"/>
      <c r="AH5196" s="3"/>
    </row>
    <row r="5197" spans="1:34" ht="14.25" customHeight="1" x14ac:dyDescent="0.25">
      <c r="A5197" s="3"/>
      <c r="B5197" s="3"/>
      <c r="C5197" s="3"/>
      <c r="D5197" s="3"/>
      <c r="E5197" s="3"/>
      <c r="F5197" s="3"/>
      <c r="G5197" s="3"/>
      <c r="H5197" s="11"/>
      <c r="I5197" s="12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  <c r="AA5197" s="3"/>
      <c r="AB5197" s="3"/>
      <c r="AC5197" s="3"/>
      <c r="AD5197" s="3"/>
      <c r="AE5197" s="3"/>
      <c r="AF5197" s="3"/>
      <c r="AG5197" s="3"/>
      <c r="AH5197" s="3"/>
    </row>
    <row r="5198" spans="1:34" ht="14.25" customHeight="1" x14ac:dyDescent="0.25">
      <c r="A5198" s="3"/>
      <c r="B5198" s="3"/>
      <c r="C5198" s="3"/>
      <c r="D5198" s="3"/>
      <c r="E5198" s="3"/>
      <c r="F5198" s="3"/>
      <c r="G5198" s="3"/>
      <c r="H5198" s="11"/>
      <c r="I5198" s="12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  <c r="AA5198" s="3"/>
      <c r="AB5198" s="3"/>
      <c r="AC5198" s="3"/>
      <c r="AD5198" s="3"/>
      <c r="AE5198" s="3"/>
      <c r="AF5198" s="3"/>
      <c r="AG5198" s="3"/>
      <c r="AH5198" s="3"/>
    </row>
    <row r="5199" spans="1:34" ht="14.25" customHeight="1" x14ac:dyDescent="0.25">
      <c r="A5199" s="3"/>
      <c r="B5199" s="3"/>
      <c r="C5199" s="3"/>
      <c r="D5199" s="3"/>
      <c r="E5199" s="3"/>
      <c r="F5199" s="3"/>
      <c r="G5199" s="3"/>
      <c r="H5199" s="11"/>
      <c r="I5199" s="12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  <c r="AA5199" s="3"/>
      <c r="AB5199" s="3"/>
      <c r="AC5199" s="3"/>
      <c r="AD5199" s="3"/>
      <c r="AE5199" s="3"/>
      <c r="AF5199" s="3"/>
      <c r="AG5199" s="3"/>
      <c r="AH5199" s="3"/>
    </row>
    <row r="5200" spans="1:34" ht="14.25" customHeight="1" x14ac:dyDescent="0.25">
      <c r="A5200" s="3"/>
      <c r="B5200" s="3"/>
      <c r="C5200" s="3"/>
      <c r="D5200" s="3"/>
      <c r="E5200" s="3"/>
      <c r="F5200" s="3"/>
      <c r="G5200" s="3"/>
      <c r="H5200" s="11"/>
      <c r="I5200" s="12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  <c r="AA5200" s="3"/>
      <c r="AB5200" s="3"/>
      <c r="AC5200" s="3"/>
      <c r="AD5200" s="3"/>
      <c r="AE5200" s="3"/>
      <c r="AF5200" s="3"/>
      <c r="AG5200" s="3"/>
      <c r="AH5200" s="3"/>
    </row>
    <row r="5201" spans="1:34" ht="14.25" customHeight="1" x14ac:dyDescent="0.25">
      <c r="A5201" s="3"/>
      <c r="B5201" s="3"/>
      <c r="C5201" s="3"/>
      <c r="D5201" s="3"/>
      <c r="E5201" s="3"/>
      <c r="F5201" s="3"/>
      <c r="G5201" s="3"/>
      <c r="H5201" s="11"/>
      <c r="I5201" s="12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  <c r="AA5201" s="3"/>
      <c r="AB5201" s="3"/>
      <c r="AC5201" s="3"/>
      <c r="AD5201" s="3"/>
      <c r="AE5201" s="3"/>
      <c r="AF5201" s="3"/>
      <c r="AG5201" s="3"/>
      <c r="AH5201" s="3"/>
    </row>
    <row r="5202" spans="1:34" ht="14.25" customHeight="1" x14ac:dyDescent="0.25">
      <c r="A5202" s="3"/>
      <c r="B5202" s="3"/>
      <c r="C5202" s="3"/>
      <c r="D5202" s="3"/>
      <c r="E5202" s="3"/>
      <c r="F5202" s="3"/>
      <c r="G5202" s="3"/>
      <c r="H5202" s="11"/>
      <c r="I5202" s="12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  <c r="AA5202" s="3"/>
      <c r="AB5202" s="3"/>
      <c r="AC5202" s="3"/>
      <c r="AD5202" s="3"/>
      <c r="AE5202" s="3"/>
      <c r="AF5202" s="3"/>
      <c r="AG5202" s="3"/>
      <c r="AH5202" s="3"/>
    </row>
    <row r="5203" spans="1:34" ht="14.25" customHeight="1" x14ac:dyDescent="0.25">
      <c r="A5203" s="3"/>
      <c r="B5203" s="3"/>
      <c r="C5203" s="3"/>
      <c r="D5203" s="3"/>
      <c r="E5203" s="3"/>
      <c r="F5203" s="3"/>
      <c r="G5203" s="3"/>
      <c r="H5203" s="11"/>
      <c r="I5203" s="12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  <c r="AA5203" s="3"/>
      <c r="AB5203" s="3"/>
      <c r="AC5203" s="3"/>
      <c r="AD5203" s="3"/>
      <c r="AE5203" s="3"/>
      <c r="AF5203" s="3"/>
      <c r="AG5203" s="3"/>
      <c r="AH5203" s="3"/>
    </row>
    <row r="5204" spans="1:34" ht="14.25" customHeight="1" x14ac:dyDescent="0.25">
      <c r="A5204" s="3"/>
      <c r="B5204" s="3"/>
      <c r="C5204" s="3"/>
      <c r="D5204" s="3"/>
      <c r="E5204" s="3"/>
      <c r="F5204" s="3"/>
      <c r="G5204" s="3"/>
      <c r="H5204" s="11"/>
      <c r="I5204" s="12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  <c r="AA5204" s="3"/>
      <c r="AB5204" s="3"/>
      <c r="AC5204" s="3"/>
      <c r="AD5204" s="3"/>
      <c r="AE5204" s="3"/>
      <c r="AF5204" s="3"/>
      <c r="AG5204" s="3"/>
      <c r="AH5204" s="3"/>
    </row>
    <row r="5205" spans="1:34" ht="14.25" customHeight="1" x14ac:dyDescent="0.25">
      <c r="A5205" s="3"/>
      <c r="B5205" s="3"/>
      <c r="C5205" s="3"/>
      <c r="D5205" s="3"/>
      <c r="E5205" s="3"/>
      <c r="F5205" s="3"/>
      <c r="G5205" s="3"/>
      <c r="H5205" s="11"/>
      <c r="I5205" s="12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  <c r="AA5205" s="3"/>
      <c r="AB5205" s="3"/>
      <c r="AC5205" s="3"/>
      <c r="AD5205" s="3"/>
      <c r="AE5205" s="3"/>
      <c r="AF5205" s="3"/>
      <c r="AG5205" s="3"/>
      <c r="AH5205" s="3"/>
    </row>
    <row r="5206" spans="1:34" ht="14.25" customHeight="1" x14ac:dyDescent="0.25">
      <c r="A5206" s="3"/>
      <c r="B5206" s="3"/>
      <c r="C5206" s="3"/>
      <c r="D5206" s="3"/>
      <c r="E5206" s="3"/>
      <c r="F5206" s="3"/>
      <c r="G5206" s="3"/>
      <c r="H5206" s="11"/>
      <c r="I5206" s="12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  <c r="AA5206" s="3"/>
      <c r="AB5206" s="3"/>
      <c r="AC5206" s="3"/>
      <c r="AD5206" s="3"/>
      <c r="AE5206" s="3"/>
      <c r="AF5206" s="3"/>
      <c r="AG5206" s="3"/>
      <c r="AH5206" s="3"/>
    </row>
    <row r="5207" spans="1:34" ht="14.25" customHeight="1" x14ac:dyDescent="0.25">
      <c r="A5207" s="3"/>
      <c r="B5207" s="3"/>
      <c r="C5207" s="3"/>
      <c r="D5207" s="3"/>
      <c r="E5207" s="3"/>
      <c r="F5207" s="3"/>
      <c r="G5207" s="3"/>
      <c r="H5207" s="11"/>
      <c r="I5207" s="12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  <c r="AA5207" s="3"/>
      <c r="AB5207" s="3"/>
      <c r="AC5207" s="3"/>
      <c r="AD5207" s="3"/>
      <c r="AE5207" s="3"/>
      <c r="AF5207" s="3"/>
      <c r="AG5207" s="3"/>
      <c r="AH5207" s="3"/>
    </row>
    <row r="5208" spans="1:34" ht="14.25" customHeight="1" x14ac:dyDescent="0.25">
      <c r="A5208" s="3"/>
      <c r="B5208" s="3"/>
      <c r="C5208" s="3"/>
      <c r="D5208" s="3"/>
      <c r="E5208" s="3"/>
      <c r="F5208" s="3"/>
      <c r="G5208" s="3"/>
      <c r="H5208" s="11"/>
      <c r="I5208" s="12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  <c r="AA5208" s="3"/>
      <c r="AB5208" s="3"/>
      <c r="AC5208" s="3"/>
      <c r="AD5208" s="3"/>
      <c r="AE5208" s="3"/>
      <c r="AF5208" s="3"/>
      <c r="AG5208" s="3"/>
      <c r="AH5208" s="3"/>
    </row>
    <row r="5209" spans="1:34" ht="14.25" customHeight="1" x14ac:dyDescent="0.25">
      <c r="A5209" s="3"/>
      <c r="B5209" s="3"/>
      <c r="C5209" s="3"/>
      <c r="D5209" s="3"/>
      <c r="E5209" s="3"/>
      <c r="F5209" s="3"/>
      <c r="G5209" s="3"/>
      <c r="H5209" s="11"/>
      <c r="I5209" s="12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  <c r="AA5209" s="3"/>
      <c r="AB5209" s="3"/>
      <c r="AC5209" s="3"/>
      <c r="AD5209" s="3"/>
      <c r="AE5209" s="3"/>
      <c r="AF5209" s="3"/>
      <c r="AG5209" s="3"/>
      <c r="AH5209" s="3"/>
    </row>
    <row r="5210" spans="1:34" ht="14.25" customHeight="1" x14ac:dyDescent="0.25">
      <c r="A5210" s="3"/>
      <c r="B5210" s="3"/>
      <c r="C5210" s="3"/>
      <c r="D5210" s="3"/>
      <c r="E5210" s="3"/>
      <c r="F5210" s="3"/>
      <c r="G5210" s="3"/>
      <c r="H5210" s="11"/>
      <c r="I5210" s="12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  <c r="AA5210" s="3"/>
      <c r="AB5210" s="3"/>
      <c r="AC5210" s="3"/>
      <c r="AD5210" s="3"/>
      <c r="AE5210" s="3"/>
      <c r="AF5210" s="3"/>
      <c r="AG5210" s="3"/>
      <c r="AH5210" s="3"/>
    </row>
    <row r="5211" spans="1:34" ht="14.25" customHeight="1" x14ac:dyDescent="0.25">
      <c r="A5211" s="3"/>
      <c r="B5211" s="3"/>
      <c r="C5211" s="3"/>
      <c r="D5211" s="3"/>
      <c r="E5211" s="3"/>
      <c r="F5211" s="3"/>
      <c r="G5211" s="3"/>
      <c r="H5211" s="11"/>
      <c r="I5211" s="12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  <c r="AA5211" s="3"/>
      <c r="AB5211" s="3"/>
      <c r="AC5211" s="3"/>
      <c r="AD5211" s="3"/>
      <c r="AE5211" s="3"/>
      <c r="AF5211" s="3"/>
      <c r="AG5211" s="3"/>
      <c r="AH5211" s="3"/>
    </row>
    <row r="5212" spans="1:34" ht="14.25" customHeight="1" x14ac:dyDescent="0.25">
      <c r="A5212" s="3"/>
      <c r="B5212" s="3"/>
      <c r="C5212" s="3"/>
      <c r="D5212" s="3"/>
      <c r="E5212" s="3"/>
      <c r="F5212" s="3"/>
      <c r="G5212" s="3"/>
      <c r="H5212" s="11"/>
      <c r="I5212" s="12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  <c r="AA5212" s="3"/>
      <c r="AB5212" s="3"/>
      <c r="AC5212" s="3"/>
      <c r="AD5212" s="3"/>
      <c r="AE5212" s="3"/>
      <c r="AF5212" s="3"/>
      <c r="AG5212" s="3"/>
      <c r="AH5212" s="3"/>
    </row>
    <row r="5213" spans="1:34" ht="14.25" customHeight="1" x14ac:dyDescent="0.25">
      <c r="A5213" s="3"/>
      <c r="B5213" s="3"/>
      <c r="C5213" s="3"/>
      <c r="D5213" s="3"/>
      <c r="E5213" s="3"/>
      <c r="F5213" s="3"/>
      <c r="G5213" s="3"/>
      <c r="H5213" s="11"/>
      <c r="I5213" s="12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  <c r="AA5213" s="3"/>
      <c r="AB5213" s="3"/>
      <c r="AC5213" s="3"/>
      <c r="AD5213" s="3"/>
      <c r="AE5213" s="3"/>
      <c r="AF5213" s="3"/>
      <c r="AG5213" s="3"/>
      <c r="AH5213" s="3"/>
    </row>
    <row r="5214" spans="1:34" ht="14.25" customHeight="1" x14ac:dyDescent="0.25">
      <c r="A5214" s="3"/>
      <c r="B5214" s="3"/>
      <c r="C5214" s="3"/>
      <c r="D5214" s="3"/>
      <c r="E5214" s="3"/>
      <c r="F5214" s="3"/>
      <c r="G5214" s="3"/>
      <c r="H5214" s="11"/>
      <c r="I5214" s="12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  <c r="AA5214" s="3"/>
      <c r="AB5214" s="3"/>
      <c r="AC5214" s="3"/>
      <c r="AD5214" s="3"/>
      <c r="AE5214" s="3"/>
      <c r="AF5214" s="3"/>
      <c r="AG5214" s="3"/>
      <c r="AH5214" s="3"/>
    </row>
    <row r="5215" spans="1:34" ht="14.25" customHeight="1" x14ac:dyDescent="0.25">
      <c r="A5215" s="3"/>
      <c r="B5215" s="3"/>
      <c r="C5215" s="3"/>
      <c r="D5215" s="3"/>
      <c r="E5215" s="3"/>
      <c r="F5215" s="3"/>
      <c r="G5215" s="3"/>
      <c r="H5215" s="11"/>
      <c r="I5215" s="12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  <c r="AA5215" s="3"/>
      <c r="AB5215" s="3"/>
      <c r="AC5215" s="3"/>
      <c r="AD5215" s="3"/>
      <c r="AE5215" s="3"/>
      <c r="AF5215" s="3"/>
      <c r="AG5215" s="3"/>
      <c r="AH5215" s="3"/>
    </row>
    <row r="5216" spans="1:34" ht="14.25" customHeight="1" x14ac:dyDescent="0.25">
      <c r="A5216" s="3"/>
      <c r="B5216" s="3"/>
      <c r="C5216" s="3"/>
      <c r="D5216" s="3"/>
      <c r="E5216" s="3"/>
      <c r="F5216" s="3"/>
      <c r="G5216" s="3"/>
      <c r="H5216" s="11"/>
      <c r="I5216" s="12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  <c r="AA5216" s="3"/>
      <c r="AB5216" s="3"/>
      <c r="AC5216" s="3"/>
      <c r="AD5216" s="3"/>
      <c r="AE5216" s="3"/>
      <c r="AF5216" s="3"/>
      <c r="AG5216" s="3"/>
      <c r="AH5216" s="3"/>
    </row>
    <row r="5217" spans="1:34" ht="14.25" customHeight="1" x14ac:dyDescent="0.25">
      <c r="A5217" s="3"/>
      <c r="B5217" s="3"/>
      <c r="C5217" s="3"/>
      <c r="D5217" s="3"/>
      <c r="E5217" s="3"/>
      <c r="F5217" s="3"/>
      <c r="G5217" s="3"/>
      <c r="H5217" s="11"/>
      <c r="I5217" s="12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  <c r="AA5217" s="3"/>
      <c r="AB5217" s="3"/>
      <c r="AC5217" s="3"/>
      <c r="AD5217" s="3"/>
      <c r="AE5217" s="3"/>
      <c r="AF5217" s="3"/>
      <c r="AG5217" s="3"/>
      <c r="AH5217" s="3"/>
    </row>
    <row r="5218" spans="1:34" ht="14.25" customHeight="1" x14ac:dyDescent="0.25">
      <c r="A5218" s="3"/>
      <c r="B5218" s="3"/>
      <c r="C5218" s="3"/>
      <c r="D5218" s="3"/>
      <c r="E5218" s="3"/>
      <c r="F5218" s="3"/>
      <c r="G5218" s="3"/>
      <c r="H5218" s="11"/>
      <c r="I5218" s="12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  <c r="AA5218" s="3"/>
      <c r="AB5218" s="3"/>
      <c r="AC5218" s="3"/>
      <c r="AD5218" s="3"/>
      <c r="AE5218" s="3"/>
      <c r="AF5218" s="3"/>
      <c r="AG5218" s="3"/>
      <c r="AH5218" s="3"/>
    </row>
    <row r="5219" spans="1:34" ht="14.25" customHeight="1" x14ac:dyDescent="0.25">
      <c r="A5219" s="3"/>
      <c r="B5219" s="3"/>
      <c r="C5219" s="3"/>
      <c r="D5219" s="3"/>
      <c r="E5219" s="3"/>
      <c r="F5219" s="3"/>
      <c r="G5219" s="3"/>
      <c r="H5219" s="11"/>
      <c r="I5219" s="12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  <c r="AA5219" s="3"/>
      <c r="AB5219" s="3"/>
      <c r="AC5219" s="3"/>
      <c r="AD5219" s="3"/>
      <c r="AE5219" s="3"/>
      <c r="AF5219" s="3"/>
      <c r="AG5219" s="3"/>
      <c r="AH5219" s="3"/>
    </row>
    <row r="5220" spans="1:34" ht="14.25" customHeight="1" x14ac:dyDescent="0.25">
      <c r="A5220" s="3"/>
      <c r="B5220" s="3"/>
      <c r="C5220" s="3"/>
      <c r="D5220" s="3"/>
      <c r="E5220" s="3"/>
      <c r="F5220" s="3"/>
      <c r="G5220" s="3"/>
      <c r="H5220" s="11"/>
      <c r="I5220" s="12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  <c r="AA5220" s="3"/>
      <c r="AB5220" s="3"/>
      <c r="AC5220" s="3"/>
      <c r="AD5220" s="3"/>
      <c r="AE5220" s="3"/>
      <c r="AF5220" s="3"/>
      <c r="AG5220" s="3"/>
      <c r="AH5220" s="3"/>
    </row>
    <row r="5221" spans="1:34" ht="14.25" customHeight="1" x14ac:dyDescent="0.25">
      <c r="A5221" s="3"/>
      <c r="B5221" s="3"/>
      <c r="C5221" s="3"/>
      <c r="D5221" s="3"/>
      <c r="E5221" s="3"/>
      <c r="F5221" s="3"/>
      <c r="G5221" s="3"/>
      <c r="H5221" s="11"/>
      <c r="I5221" s="12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  <c r="AA5221" s="3"/>
      <c r="AB5221" s="3"/>
      <c r="AC5221" s="3"/>
      <c r="AD5221" s="3"/>
      <c r="AE5221" s="3"/>
      <c r="AF5221" s="3"/>
      <c r="AG5221" s="3"/>
      <c r="AH5221" s="3"/>
    </row>
    <row r="5222" spans="1:34" ht="14.25" customHeight="1" x14ac:dyDescent="0.25">
      <c r="A5222" s="3"/>
      <c r="B5222" s="3"/>
      <c r="C5222" s="3"/>
      <c r="D5222" s="3"/>
      <c r="E5222" s="3"/>
      <c r="F5222" s="3"/>
      <c r="G5222" s="3"/>
      <c r="H5222" s="11"/>
      <c r="I5222" s="12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  <c r="AA5222" s="3"/>
      <c r="AB5222" s="3"/>
      <c r="AC5222" s="3"/>
      <c r="AD5222" s="3"/>
      <c r="AE5222" s="3"/>
      <c r="AF5222" s="3"/>
      <c r="AG5222" s="3"/>
      <c r="AH5222" s="3"/>
    </row>
    <row r="5223" spans="1:34" ht="14.25" customHeight="1" x14ac:dyDescent="0.25">
      <c r="A5223" s="3"/>
      <c r="B5223" s="3"/>
      <c r="C5223" s="3"/>
      <c r="D5223" s="3"/>
      <c r="E5223" s="3"/>
      <c r="F5223" s="3"/>
      <c r="G5223" s="3"/>
      <c r="H5223" s="11"/>
      <c r="I5223" s="12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  <c r="AA5223" s="3"/>
      <c r="AB5223" s="3"/>
      <c r="AC5223" s="3"/>
      <c r="AD5223" s="3"/>
      <c r="AE5223" s="3"/>
      <c r="AF5223" s="3"/>
      <c r="AG5223" s="3"/>
      <c r="AH5223" s="3"/>
    </row>
    <row r="5224" spans="1:34" ht="14.25" customHeight="1" x14ac:dyDescent="0.25">
      <c r="A5224" s="3"/>
      <c r="B5224" s="3"/>
      <c r="C5224" s="3"/>
      <c r="D5224" s="3"/>
      <c r="E5224" s="3"/>
      <c r="F5224" s="3"/>
      <c r="G5224" s="3"/>
      <c r="H5224" s="11"/>
      <c r="I5224" s="12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  <c r="AA5224" s="3"/>
      <c r="AB5224" s="3"/>
      <c r="AC5224" s="3"/>
      <c r="AD5224" s="3"/>
      <c r="AE5224" s="3"/>
      <c r="AF5224" s="3"/>
      <c r="AG5224" s="3"/>
      <c r="AH5224" s="3"/>
    </row>
    <row r="5225" spans="1:34" ht="14.25" customHeight="1" x14ac:dyDescent="0.25">
      <c r="A5225" s="3"/>
      <c r="B5225" s="3"/>
      <c r="C5225" s="3"/>
      <c r="D5225" s="3"/>
      <c r="E5225" s="3"/>
      <c r="F5225" s="3"/>
      <c r="G5225" s="3"/>
      <c r="H5225" s="11"/>
      <c r="I5225" s="12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  <c r="AA5225" s="3"/>
      <c r="AB5225" s="3"/>
      <c r="AC5225" s="3"/>
      <c r="AD5225" s="3"/>
      <c r="AE5225" s="3"/>
      <c r="AF5225" s="3"/>
      <c r="AG5225" s="3"/>
      <c r="AH5225" s="3"/>
    </row>
    <row r="5226" spans="1:34" ht="14.25" customHeight="1" x14ac:dyDescent="0.25">
      <c r="A5226" s="3"/>
      <c r="B5226" s="3"/>
      <c r="C5226" s="3"/>
      <c r="D5226" s="3"/>
      <c r="E5226" s="3"/>
      <c r="F5226" s="3"/>
      <c r="G5226" s="3"/>
      <c r="H5226" s="11"/>
      <c r="I5226" s="12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  <c r="AA5226" s="3"/>
      <c r="AB5226" s="3"/>
      <c r="AC5226" s="3"/>
      <c r="AD5226" s="3"/>
      <c r="AE5226" s="3"/>
      <c r="AF5226" s="3"/>
      <c r="AG5226" s="3"/>
      <c r="AH5226" s="3"/>
    </row>
    <row r="5227" spans="1:34" ht="14.25" customHeight="1" x14ac:dyDescent="0.25">
      <c r="A5227" s="3"/>
      <c r="B5227" s="3"/>
      <c r="C5227" s="3"/>
      <c r="D5227" s="3"/>
      <c r="E5227" s="3"/>
      <c r="F5227" s="3"/>
      <c r="G5227" s="3"/>
      <c r="H5227" s="11"/>
      <c r="I5227" s="12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  <c r="AA5227" s="3"/>
      <c r="AB5227" s="3"/>
      <c r="AC5227" s="3"/>
      <c r="AD5227" s="3"/>
      <c r="AE5227" s="3"/>
      <c r="AF5227" s="3"/>
      <c r="AG5227" s="3"/>
      <c r="AH5227" s="3"/>
    </row>
    <row r="5228" spans="1:34" ht="14.25" customHeight="1" x14ac:dyDescent="0.25">
      <c r="A5228" s="3"/>
      <c r="B5228" s="3"/>
      <c r="C5228" s="3"/>
      <c r="D5228" s="3"/>
      <c r="E5228" s="3"/>
      <c r="F5228" s="3"/>
      <c r="G5228" s="3"/>
      <c r="H5228" s="11"/>
      <c r="I5228" s="12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  <c r="AA5228" s="3"/>
      <c r="AB5228" s="3"/>
      <c r="AC5228" s="3"/>
      <c r="AD5228" s="3"/>
      <c r="AE5228" s="3"/>
      <c r="AF5228" s="3"/>
      <c r="AG5228" s="3"/>
      <c r="AH5228" s="3"/>
    </row>
    <row r="5229" spans="1:34" ht="14.25" customHeight="1" x14ac:dyDescent="0.25">
      <c r="A5229" s="3"/>
      <c r="B5229" s="3"/>
      <c r="C5229" s="3"/>
      <c r="D5229" s="3"/>
      <c r="E5229" s="3"/>
      <c r="F5229" s="3"/>
      <c r="G5229" s="3"/>
      <c r="H5229" s="11"/>
      <c r="I5229" s="12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  <c r="AA5229" s="3"/>
      <c r="AB5229" s="3"/>
      <c r="AC5229" s="3"/>
      <c r="AD5229" s="3"/>
      <c r="AE5229" s="3"/>
      <c r="AF5229" s="3"/>
      <c r="AG5229" s="3"/>
      <c r="AH5229" s="3"/>
    </row>
    <row r="5230" spans="1:34" ht="14.25" customHeight="1" x14ac:dyDescent="0.25">
      <c r="A5230" s="3"/>
      <c r="B5230" s="3"/>
      <c r="C5230" s="3"/>
      <c r="D5230" s="3"/>
      <c r="E5230" s="3"/>
      <c r="F5230" s="3"/>
      <c r="G5230" s="3"/>
      <c r="H5230" s="11"/>
      <c r="I5230" s="12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  <c r="AA5230" s="3"/>
      <c r="AB5230" s="3"/>
      <c r="AC5230" s="3"/>
      <c r="AD5230" s="3"/>
      <c r="AE5230" s="3"/>
      <c r="AF5230" s="3"/>
      <c r="AG5230" s="3"/>
      <c r="AH5230" s="3"/>
    </row>
    <row r="5231" spans="1:34" ht="14.25" customHeight="1" x14ac:dyDescent="0.25">
      <c r="A5231" s="3"/>
      <c r="B5231" s="3"/>
      <c r="C5231" s="3"/>
      <c r="D5231" s="3"/>
      <c r="E5231" s="3"/>
      <c r="F5231" s="3"/>
      <c r="G5231" s="3"/>
      <c r="H5231" s="11"/>
      <c r="I5231" s="12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  <c r="AA5231" s="3"/>
      <c r="AB5231" s="3"/>
      <c r="AC5231" s="3"/>
      <c r="AD5231" s="3"/>
      <c r="AE5231" s="3"/>
      <c r="AF5231" s="3"/>
      <c r="AG5231" s="3"/>
      <c r="AH5231" s="3"/>
    </row>
    <row r="5232" spans="1:34" ht="14.25" customHeight="1" x14ac:dyDescent="0.25">
      <c r="A5232" s="3"/>
      <c r="B5232" s="3"/>
      <c r="C5232" s="3"/>
      <c r="D5232" s="3"/>
      <c r="E5232" s="3"/>
      <c r="F5232" s="3"/>
      <c r="G5232" s="3"/>
      <c r="H5232" s="11"/>
      <c r="I5232" s="12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  <c r="AA5232" s="3"/>
      <c r="AB5232" s="3"/>
      <c r="AC5232" s="3"/>
      <c r="AD5232" s="3"/>
      <c r="AE5232" s="3"/>
      <c r="AF5232" s="3"/>
      <c r="AG5232" s="3"/>
      <c r="AH5232" s="3"/>
    </row>
    <row r="5233" spans="1:34" ht="14.25" customHeight="1" x14ac:dyDescent="0.25">
      <c r="A5233" s="3"/>
      <c r="B5233" s="3"/>
      <c r="C5233" s="3"/>
      <c r="D5233" s="3"/>
      <c r="E5233" s="3"/>
      <c r="F5233" s="3"/>
      <c r="G5233" s="3"/>
      <c r="H5233" s="11"/>
      <c r="I5233" s="12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  <c r="AA5233" s="3"/>
      <c r="AB5233" s="3"/>
      <c r="AC5233" s="3"/>
      <c r="AD5233" s="3"/>
      <c r="AE5233" s="3"/>
      <c r="AF5233" s="3"/>
      <c r="AG5233" s="3"/>
      <c r="AH5233" s="3"/>
    </row>
    <row r="5234" spans="1:34" ht="14.25" customHeight="1" x14ac:dyDescent="0.25">
      <c r="A5234" s="3"/>
      <c r="B5234" s="3"/>
      <c r="C5234" s="3"/>
      <c r="D5234" s="3"/>
      <c r="E5234" s="3"/>
      <c r="F5234" s="3"/>
      <c r="G5234" s="3"/>
      <c r="H5234" s="11"/>
      <c r="I5234" s="12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  <c r="AA5234" s="3"/>
      <c r="AB5234" s="3"/>
      <c r="AC5234" s="3"/>
      <c r="AD5234" s="3"/>
      <c r="AE5234" s="3"/>
      <c r="AF5234" s="3"/>
      <c r="AG5234" s="3"/>
      <c r="AH5234" s="3"/>
    </row>
    <row r="5235" spans="1:34" ht="14.25" customHeight="1" x14ac:dyDescent="0.25">
      <c r="A5235" s="3"/>
      <c r="B5235" s="3"/>
      <c r="C5235" s="3"/>
      <c r="D5235" s="3"/>
      <c r="E5235" s="3"/>
      <c r="F5235" s="3"/>
      <c r="G5235" s="3"/>
      <c r="H5235" s="11"/>
      <c r="I5235" s="12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  <c r="AA5235" s="3"/>
      <c r="AB5235" s="3"/>
      <c r="AC5235" s="3"/>
      <c r="AD5235" s="3"/>
      <c r="AE5235" s="3"/>
      <c r="AF5235" s="3"/>
      <c r="AG5235" s="3"/>
      <c r="AH5235" s="3"/>
    </row>
    <row r="5236" spans="1:34" ht="14.25" customHeight="1" x14ac:dyDescent="0.25">
      <c r="A5236" s="3"/>
      <c r="B5236" s="3"/>
      <c r="C5236" s="3"/>
      <c r="D5236" s="3"/>
      <c r="E5236" s="3"/>
      <c r="F5236" s="3"/>
      <c r="G5236" s="3"/>
      <c r="H5236" s="11"/>
      <c r="I5236" s="12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  <c r="AA5236" s="3"/>
      <c r="AB5236" s="3"/>
      <c r="AC5236" s="3"/>
      <c r="AD5236" s="3"/>
      <c r="AE5236" s="3"/>
      <c r="AF5236" s="3"/>
      <c r="AG5236" s="3"/>
      <c r="AH5236" s="3"/>
    </row>
    <row r="5237" spans="1:34" ht="14.25" customHeight="1" x14ac:dyDescent="0.25">
      <c r="A5237" s="3"/>
      <c r="B5237" s="3"/>
      <c r="C5237" s="3"/>
      <c r="D5237" s="3"/>
      <c r="E5237" s="3"/>
      <c r="F5237" s="3"/>
      <c r="G5237" s="3"/>
      <c r="H5237" s="11"/>
      <c r="I5237" s="12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  <c r="AA5237" s="3"/>
      <c r="AB5237" s="3"/>
      <c r="AC5237" s="3"/>
      <c r="AD5237" s="3"/>
      <c r="AE5237" s="3"/>
      <c r="AF5237" s="3"/>
      <c r="AG5237" s="3"/>
      <c r="AH5237" s="3"/>
    </row>
    <row r="5238" spans="1:34" ht="14.25" customHeight="1" x14ac:dyDescent="0.25">
      <c r="A5238" s="3"/>
      <c r="B5238" s="3"/>
      <c r="C5238" s="3"/>
      <c r="D5238" s="3"/>
      <c r="E5238" s="3"/>
      <c r="F5238" s="3"/>
      <c r="G5238" s="3"/>
      <c r="H5238" s="11"/>
      <c r="I5238" s="12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  <c r="AA5238" s="3"/>
      <c r="AB5238" s="3"/>
      <c r="AC5238" s="3"/>
      <c r="AD5238" s="3"/>
      <c r="AE5238" s="3"/>
      <c r="AF5238" s="3"/>
      <c r="AG5238" s="3"/>
      <c r="AH5238" s="3"/>
    </row>
    <row r="5239" spans="1:34" ht="14.25" customHeight="1" x14ac:dyDescent="0.25">
      <c r="A5239" s="3"/>
      <c r="B5239" s="3"/>
      <c r="C5239" s="3"/>
      <c r="D5239" s="3"/>
      <c r="E5239" s="3"/>
      <c r="F5239" s="3"/>
      <c r="G5239" s="3"/>
      <c r="H5239" s="11"/>
      <c r="I5239" s="12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  <c r="AA5239" s="3"/>
      <c r="AB5239" s="3"/>
      <c r="AC5239" s="3"/>
      <c r="AD5239" s="3"/>
      <c r="AE5239" s="3"/>
      <c r="AF5239" s="3"/>
      <c r="AG5239" s="3"/>
      <c r="AH5239" s="3"/>
    </row>
    <row r="5240" spans="1:34" ht="14.25" customHeight="1" x14ac:dyDescent="0.25">
      <c r="A5240" s="3"/>
      <c r="B5240" s="3"/>
      <c r="C5240" s="3"/>
      <c r="D5240" s="3"/>
      <c r="E5240" s="3"/>
      <c r="F5240" s="3"/>
      <c r="G5240" s="3"/>
      <c r="H5240" s="11"/>
      <c r="I5240" s="12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  <c r="AA5240" s="3"/>
      <c r="AB5240" s="3"/>
      <c r="AC5240" s="3"/>
      <c r="AD5240" s="3"/>
      <c r="AE5240" s="3"/>
      <c r="AF5240" s="3"/>
      <c r="AG5240" s="3"/>
      <c r="AH5240" s="3"/>
    </row>
    <row r="5241" spans="1:34" ht="14.25" customHeight="1" x14ac:dyDescent="0.25">
      <c r="A5241" s="3"/>
      <c r="B5241" s="3"/>
      <c r="C5241" s="3"/>
      <c r="D5241" s="3"/>
      <c r="E5241" s="3"/>
      <c r="F5241" s="3"/>
      <c r="G5241" s="3"/>
      <c r="H5241" s="11"/>
      <c r="I5241" s="12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  <c r="AA5241" s="3"/>
      <c r="AB5241" s="3"/>
      <c r="AC5241" s="3"/>
      <c r="AD5241" s="3"/>
      <c r="AE5241" s="3"/>
      <c r="AF5241" s="3"/>
      <c r="AG5241" s="3"/>
      <c r="AH5241" s="3"/>
    </row>
    <row r="5242" spans="1:34" ht="14.25" customHeight="1" x14ac:dyDescent="0.25">
      <c r="A5242" s="3"/>
      <c r="B5242" s="3"/>
      <c r="C5242" s="3"/>
      <c r="D5242" s="3"/>
      <c r="E5242" s="3"/>
      <c r="F5242" s="3"/>
      <c r="G5242" s="3"/>
      <c r="H5242" s="11"/>
      <c r="I5242" s="12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  <c r="AA5242" s="3"/>
      <c r="AB5242" s="3"/>
      <c r="AC5242" s="3"/>
      <c r="AD5242" s="3"/>
      <c r="AE5242" s="3"/>
      <c r="AF5242" s="3"/>
      <c r="AG5242" s="3"/>
      <c r="AH5242" s="3"/>
    </row>
    <row r="5243" spans="1:34" ht="14.25" customHeight="1" x14ac:dyDescent="0.25">
      <c r="A5243" s="3"/>
      <c r="B5243" s="3"/>
      <c r="C5243" s="3"/>
      <c r="D5243" s="3"/>
      <c r="E5243" s="3"/>
      <c r="F5243" s="3"/>
      <c r="G5243" s="3"/>
      <c r="H5243" s="11"/>
      <c r="I5243" s="12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  <c r="AA5243" s="3"/>
      <c r="AB5243" s="3"/>
      <c r="AC5243" s="3"/>
      <c r="AD5243" s="3"/>
      <c r="AE5243" s="3"/>
      <c r="AF5243" s="3"/>
      <c r="AG5243" s="3"/>
      <c r="AH5243" s="3"/>
    </row>
    <row r="5244" spans="1:34" ht="14.25" customHeight="1" x14ac:dyDescent="0.25">
      <c r="A5244" s="3"/>
      <c r="B5244" s="3"/>
      <c r="C5244" s="3"/>
      <c r="D5244" s="3"/>
      <c r="E5244" s="3"/>
      <c r="F5244" s="3"/>
      <c r="G5244" s="3"/>
      <c r="H5244" s="11"/>
      <c r="I5244" s="12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  <c r="AA5244" s="3"/>
      <c r="AB5244" s="3"/>
      <c r="AC5244" s="3"/>
      <c r="AD5244" s="3"/>
      <c r="AE5244" s="3"/>
      <c r="AF5244" s="3"/>
      <c r="AG5244" s="3"/>
      <c r="AH5244" s="3"/>
    </row>
    <row r="5245" spans="1:34" ht="14.25" customHeight="1" x14ac:dyDescent="0.25">
      <c r="A5245" s="3"/>
      <c r="B5245" s="3"/>
      <c r="C5245" s="3"/>
      <c r="D5245" s="3"/>
      <c r="E5245" s="3"/>
      <c r="F5245" s="3"/>
      <c r="G5245" s="3"/>
      <c r="H5245" s="11"/>
      <c r="I5245" s="12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  <c r="AA5245" s="3"/>
      <c r="AB5245" s="3"/>
      <c r="AC5245" s="3"/>
      <c r="AD5245" s="3"/>
      <c r="AE5245" s="3"/>
      <c r="AF5245" s="3"/>
      <c r="AG5245" s="3"/>
      <c r="AH5245" s="3"/>
    </row>
    <row r="5246" spans="1:34" ht="14.25" customHeight="1" x14ac:dyDescent="0.25">
      <c r="A5246" s="3"/>
      <c r="B5246" s="3"/>
      <c r="C5246" s="3"/>
      <c r="D5246" s="3"/>
      <c r="E5246" s="3"/>
      <c r="F5246" s="3"/>
      <c r="G5246" s="3"/>
      <c r="H5246" s="11"/>
      <c r="I5246" s="12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  <c r="AA5246" s="3"/>
      <c r="AB5246" s="3"/>
      <c r="AC5246" s="3"/>
      <c r="AD5246" s="3"/>
      <c r="AE5246" s="3"/>
      <c r="AF5246" s="3"/>
      <c r="AG5246" s="3"/>
      <c r="AH5246" s="3"/>
    </row>
    <row r="5247" spans="1:34" ht="14.25" customHeight="1" x14ac:dyDescent="0.25">
      <c r="A5247" s="3"/>
      <c r="B5247" s="3"/>
      <c r="C5247" s="3"/>
      <c r="D5247" s="3"/>
      <c r="E5247" s="3"/>
      <c r="F5247" s="3"/>
      <c r="G5247" s="3"/>
      <c r="H5247" s="11"/>
      <c r="I5247" s="12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  <c r="AA5247" s="3"/>
      <c r="AB5247" s="3"/>
      <c r="AC5247" s="3"/>
      <c r="AD5247" s="3"/>
      <c r="AE5247" s="3"/>
      <c r="AF5247" s="3"/>
      <c r="AG5247" s="3"/>
      <c r="AH5247" s="3"/>
    </row>
    <row r="5248" spans="1:34" ht="14.25" customHeight="1" x14ac:dyDescent="0.25">
      <c r="A5248" s="3"/>
      <c r="B5248" s="3"/>
      <c r="C5248" s="3"/>
      <c r="D5248" s="3"/>
      <c r="E5248" s="3"/>
      <c r="F5248" s="3"/>
      <c r="G5248" s="3"/>
      <c r="H5248" s="11"/>
      <c r="I5248" s="12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  <c r="AA5248" s="3"/>
      <c r="AB5248" s="3"/>
      <c r="AC5248" s="3"/>
      <c r="AD5248" s="3"/>
      <c r="AE5248" s="3"/>
      <c r="AF5248" s="3"/>
      <c r="AG5248" s="3"/>
      <c r="AH5248" s="3"/>
    </row>
    <row r="5249" spans="1:34" ht="14.25" customHeight="1" x14ac:dyDescent="0.25">
      <c r="A5249" s="3"/>
      <c r="B5249" s="3"/>
      <c r="C5249" s="3"/>
      <c r="D5249" s="3"/>
      <c r="E5249" s="3"/>
      <c r="F5249" s="3"/>
      <c r="G5249" s="3"/>
      <c r="H5249" s="11"/>
      <c r="I5249" s="12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  <c r="AA5249" s="3"/>
      <c r="AB5249" s="3"/>
      <c r="AC5249" s="3"/>
      <c r="AD5249" s="3"/>
      <c r="AE5249" s="3"/>
      <c r="AF5249" s="3"/>
      <c r="AG5249" s="3"/>
      <c r="AH5249" s="3"/>
    </row>
    <row r="5250" spans="1:34" ht="14.25" customHeight="1" x14ac:dyDescent="0.25">
      <c r="A5250" s="3"/>
      <c r="B5250" s="3"/>
      <c r="C5250" s="3"/>
      <c r="D5250" s="3"/>
      <c r="E5250" s="3"/>
      <c r="F5250" s="3"/>
      <c r="G5250" s="3"/>
      <c r="H5250" s="11"/>
      <c r="I5250" s="12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  <c r="AA5250" s="3"/>
      <c r="AB5250" s="3"/>
      <c r="AC5250" s="3"/>
      <c r="AD5250" s="3"/>
      <c r="AE5250" s="3"/>
      <c r="AF5250" s="3"/>
      <c r="AG5250" s="3"/>
      <c r="AH5250" s="3"/>
    </row>
    <row r="5251" spans="1:34" ht="14.25" customHeight="1" x14ac:dyDescent="0.25">
      <c r="A5251" s="3"/>
      <c r="B5251" s="3"/>
      <c r="C5251" s="3"/>
      <c r="D5251" s="3"/>
      <c r="E5251" s="3"/>
      <c r="F5251" s="3"/>
      <c r="G5251" s="3"/>
      <c r="H5251" s="11"/>
      <c r="I5251" s="12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  <c r="AA5251" s="3"/>
      <c r="AB5251" s="3"/>
      <c r="AC5251" s="3"/>
      <c r="AD5251" s="3"/>
      <c r="AE5251" s="3"/>
      <c r="AF5251" s="3"/>
      <c r="AG5251" s="3"/>
      <c r="AH5251" s="3"/>
    </row>
    <row r="5252" spans="1:34" ht="14.25" customHeight="1" x14ac:dyDescent="0.25">
      <c r="A5252" s="3"/>
      <c r="B5252" s="3"/>
      <c r="C5252" s="3"/>
      <c r="D5252" s="3"/>
      <c r="E5252" s="3"/>
      <c r="F5252" s="3"/>
      <c r="G5252" s="3"/>
      <c r="H5252" s="11"/>
      <c r="I5252" s="12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  <c r="AA5252" s="3"/>
      <c r="AB5252" s="3"/>
      <c r="AC5252" s="3"/>
      <c r="AD5252" s="3"/>
      <c r="AE5252" s="3"/>
      <c r="AF5252" s="3"/>
      <c r="AG5252" s="3"/>
      <c r="AH5252" s="3"/>
    </row>
    <row r="5253" spans="1:34" ht="14.25" customHeight="1" x14ac:dyDescent="0.25">
      <c r="A5253" s="3"/>
      <c r="B5253" s="3"/>
      <c r="C5253" s="3"/>
      <c r="D5253" s="3"/>
      <c r="E5253" s="3"/>
      <c r="F5253" s="3"/>
      <c r="G5253" s="3"/>
      <c r="H5253" s="11"/>
      <c r="I5253" s="12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  <c r="AA5253" s="3"/>
      <c r="AB5253" s="3"/>
      <c r="AC5253" s="3"/>
      <c r="AD5253" s="3"/>
      <c r="AE5253" s="3"/>
      <c r="AF5253" s="3"/>
      <c r="AG5253" s="3"/>
      <c r="AH5253" s="3"/>
    </row>
    <row r="5254" spans="1:34" ht="14.25" customHeight="1" x14ac:dyDescent="0.25">
      <c r="A5254" s="3"/>
      <c r="B5254" s="3"/>
      <c r="C5254" s="3"/>
      <c r="D5254" s="3"/>
      <c r="E5254" s="3"/>
      <c r="F5254" s="3"/>
      <c r="G5254" s="3"/>
      <c r="H5254" s="11"/>
      <c r="I5254" s="12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  <c r="AA5254" s="3"/>
      <c r="AB5254" s="3"/>
      <c r="AC5254" s="3"/>
      <c r="AD5254" s="3"/>
      <c r="AE5254" s="3"/>
      <c r="AF5254" s="3"/>
      <c r="AG5254" s="3"/>
      <c r="AH5254" s="3"/>
    </row>
    <row r="5255" spans="1:34" ht="14.25" customHeight="1" x14ac:dyDescent="0.25">
      <c r="A5255" s="3"/>
      <c r="B5255" s="3"/>
      <c r="C5255" s="3"/>
      <c r="D5255" s="3"/>
      <c r="E5255" s="3"/>
      <c r="F5255" s="3"/>
      <c r="G5255" s="3"/>
      <c r="H5255" s="11"/>
      <c r="I5255" s="12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  <c r="AA5255" s="3"/>
      <c r="AB5255" s="3"/>
      <c r="AC5255" s="3"/>
      <c r="AD5255" s="3"/>
      <c r="AE5255" s="3"/>
      <c r="AF5255" s="3"/>
      <c r="AG5255" s="3"/>
      <c r="AH5255" s="3"/>
    </row>
    <row r="5256" spans="1:34" ht="14.25" customHeight="1" x14ac:dyDescent="0.25">
      <c r="A5256" s="3"/>
      <c r="B5256" s="3"/>
      <c r="C5256" s="3"/>
      <c r="D5256" s="3"/>
      <c r="E5256" s="3"/>
      <c r="F5256" s="3"/>
      <c r="G5256" s="3"/>
      <c r="H5256" s="11"/>
      <c r="I5256" s="12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  <c r="AA5256" s="3"/>
      <c r="AB5256" s="3"/>
      <c r="AC5256" s="3"/>
      <c r="AD5256" s="3"/>
      <c r="AE5256" s="3"/>
      <c r="AF5256" s="3"/>
      <c r="AG5256" s="3"/>
      <c r="AH5256" s="3"/>
    </row>
    <row r="5257" spans="1:34" ht="14.25" customHeight="1" x14ac:dyDescent="0.25">
      <c r="A5257" s="3"/>
      <c r="B5257" s="3"/>
      <c r="C5257" s="3"/>
      <c r="D5257" s="3"/>
      <c r="E5257" s="3"/>
      <c r="F5257" s="3"/>
      <c r="G5257" s="3"/>
      <c r="H5257" s="11"/>
      <c r="I5257" s="12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  <c r="AA5257" s="3"/>
      <c r="AB5257" s="3"/>
      <c r="AC5257" s="3"/>
      <c r="AD5257" s="3"/>
      <c r="AE5257" s="3"/>
      <c r="AF5257" s="3"/>
      <c r="AG5257" s="3"/>
      <c r="AH5257" s="3"/>
    </row>
    <row r="5258" spans="1:34" ht="14.25" customHeight="1" x14ac:dyDescent="0.25">
      <c r="A5258" s="3"/>
      <c r="B5258" s="3"/>
      <c r="C5258" s="3"/>
      <c r="D5258" s="3"/>
      <c r="E5258" s="3"/>
      <c r="F5258" s="3"/>
      <c r="G5258" s="3"/>
      <c r="H5258" s="11"/>
      <c r="I5258" s="12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  <c r="AA5258" s="3"/>
      <c r="AB5258" s="3"/>
      <c r="AC5258" s="3"/>
      <c r="AD5258" s="3"/>
      <c r="AE5258" s="3"/>
      <c r="AF5258" s="3"/>
      <c r="AG5258" s="3"/>
      <c r="AH5258" s="3"/>
    </row>
    <row r="5259" spans="1:34" ht="14.25" customHeight="1" x14ac:dyDescent="0.25">
      <c r="A5259" s="3"/>
      <c r="B5259" s="3"/>
      <c r="C5259" s="3"/>
      <c r="D5259" s="3"/>
      <c r="E5259" s="3"/>
      <c r="F5259" s="3"/>
      <c r="G5259" s="3"/>
      <c r="H5259" s="11"/>
      <c r="I5259" s="12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  <c r="AA5259" s="3"/>
      <c r="AB5259" s="3"/>
      <c r="AC5259" s="3"/>
      <c r="AD5259" s="3"/>
      <c r="AE5259" s="3"/>
      <c r="AF5259" s="3"/>
      <c r="AG5259" s="3"/>
      <c r="AH5259" s="3"/>
    </row>
    <row r="5260" spans="1:34" ht="14.25" customHeight="1" x14ac:dyDescent="0.25">
      <c r="A5260" s="3"/>
      <c r="B5260" s="3"/>
      <c r="C5260" s="3"/>
      <c r="D5260" s="3"/>
      <c r="E5260" s="3"/>
      <c r="F5260" s="3"/>
      <c r="G5260" s="3"/>
      <c r="H5260" s="11"/>
      <c r="I5260" s="12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  <c r="AA5260" s="3"/>
      <c r="AB5260" s="3"/>
      <c r="AC5260" s="3"/>
      <c r="AD5260" s="3"/>
      <c r="AE5260" s="3"/>
      <c r="AF5260" s="3"/>
      <c r="AG5260" s="3"/>
      <c r="AH5260" s="3"/>
    </row>
    <row r="5261" spans="1:34" ht="14.25" customHeight="1" x14ac:dyDescent="0.25">
      <c r="A5261" s="3"/>
      <c r="B5261" s="3"/>
      <c r="C5261" s="3"/>
      <c r="D5261" s="3"/>
      <c r="E5261" s="3"/>
      <c r="F5261" s="3"/>
      <c r="G5261" s="3"/>
      <c r="H5261" s="11"/>
      <c r="I5261" s="12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  <c r="AA5261" s="3"/>
      <c r="AB5261" s="3"/>
      <c r="AC5261" s="3"/>
      <c r="AD5261" s="3"/>
      <c r="AE5261" s="3"/>
      <c r="AF5261" s="3"/>
      <c r="AG5261" s="3"/>
      <c r="AH5261" s="3"/>
    </row>
    <row r="5262" spans="1:34" ht="14.25" customHeight="1" x14ac:dyDescent="0.25">
      <c r="A5262" s="3"/>
      <c r="B5262" s="3"/>
      <c r="C5262" s="3"/>
      <c r="D5262" s="3"/>
      <c r="E5262" s="3"/>
      <c r="F5262" s="3"/>
      <c r="G5262" s="3"/>
      <c r="H5262" s="11"/>
      <c r="I5262" s="12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  <c r="AA5262" s="3"/>
      <c r="AB5262" s="3"/>
      <c r="AC5262" s="3"/>
      <c r="AD5262" s="3"/>
      <c r="AE5262" s="3"/>
      <c r="AF5262" s="3"/>
      <c r="AG5262" s="3"/>
      <c r="AH5262" s="3"/>
    </row>
    <row r="5263" spans="1:34" ht="14.25" customHeight="1" x14ac:dyDescent="0.25">
      <c r="A5263" s="3"/>
      <c r="B5263" s="3"/>
      <c r="C5263" s="3"/>
      <c r="D5263" s="3"/>
      <c r="E5263" s="3"/>
      <c r="F5263" s="3"/>
      <c r="G5263" s="3"/>
      <c r="H5263" s="11"/>
      <c r="I5263" s="12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  <c r="AA5263" s="3"/>
      <c r="AB5263" s="3"/>
      <c r="AC5263" s="3"/>
      <c r="AD5263" s="3"/>
      <c r="AE5263" s="3"/>
      <c r="AF5263" s="3"/>
      <c r="AG5263" s="3"/>
      <c r="AH5263" s="3"/>
    </row>
    <row r="5264" spans="1:34" ht="14.25" customHeight="1" x14ac:dyDescent="0.25">
      <c r="A5264" s="3"/>
      <c r="B5264" s="3"/>
      <c r="C5264" s="3"/>
      <c r="D5264" s="3"/>
      <c r="E5264" s="3"/>
      <c r="F5264" s="3"/>
      <c r="G5264" s="3"/>
      <c r="H5264" s="11"/>
      <c r="I5264" s="12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  <c r="AA5264" s="3"/>
      <c r="AB5264" s="3"/>
      <c r="AC5264" s="3"/>
      <c r="AD5264" s="3"/>
      <c r="AE5264" s="3"/>
      <c r="AF5264" s="3"/>
      <c r="AG5264" s="3"/>
      <c r="AH5264" s="3"/>
    </row>
    <row r="5265" spans="1:34" ht="14.25" customHeight="1" x14ac:dyDescent="0.25">
      <c r="A5265" s="3"/>
      <c r="B5265" s="3"/>
      <c r="C5265" s="3"/>
      <c r="D5265" s="3"/>
      <c r="E5265" s="3"/>
      <c r="F5265" s="3"/>
      <c r="G5265" s="3"/>
      <c r="H5265" s="11"/>
      <c r="I5265" s="12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  <c r="AA5265" s="3"/>
      <c r="AB5265" s="3"/>
      <c r="AC5265" s="3"/>
      <c r="AD5265" s="3"/>
      <c r="AE5265" s="3"/>
      <c r="AF5265" s="3"/>
      <c r="AG5265" s="3"/>
      <c r="AH5265" s="3"/>
    </row>
    <row r="5266" spans="1:34" ht="14.25" customHeight="1" x14ac:dyDescent="0.25">
      <c r="A5266" s="3"/>
      <c r="B5266" s="3"/>
      <c r="C5266" s="3"/>
      <c r="D5266" s="3"/>
      <c r="E5266" s="3"/>
      <c r="F5266" s="3"/>
      <c r="G5266" s="3"/>
      <c r="H5266" s="11"/>
      <c r="I5266" s="12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  <c r="AA5266" s="3"/>
      <c r="AB5266" s="3"/>
      <c r="AC5266" s="3"/>
      <c r="AD5266" s="3"/>
      <c r="AE5266" s="3"/>
      <c r="AF5266" s="3"/>
      <c r="AG5266" s="3"/>
      <c r="AH5266" s="3"/>
    </row>
    <row r="5267" spans="1:34" ht="14.25" customHeight="1" x14ac:dyDescent="0.25">
      <c r="A5267" s="3"/>
      <c r="B5267" s="3"/>
      <c r="C5267" s="3"/>
      <c r="D5267" s="3"/>
      <c r="E5267" s="3"/>
      <c r="F5267" s="3"/>
      <c r="G5267" s="3"/>
      <c r="H5267" s="11"/>
      <c r="I5267" s="12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  <c r="AA5267" s="3"/>
      <c r="AB5267" s="3"/>
      <c r="AC5267" s="3"/>
      <c r="AD5267" s="3"/>
      <c r="AE5267" s="3"/>
      <c r="AF5267" s="3"/>
      <c r="AG5267" s="3"/>
      <c r="AH5267" s="3"/>
    </row>
    <row r="5268" spans="1:34" ht="14.25" customHeight="1" x14ac:dyDescent="0.25">
      <c r="A5268" s="3"/>
      <c r="B5268" s="3"/>
      <c r="C5268" s="3"/>
      <c r="D5268" s="3"/>
      <c r="E5268" s="3"/>
      <c r="F5268" s="3"/>
      <c r="G5268" s="3"/>
      <c r="H5268" s="11"/>
      <c r="I5268" s="12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  <c r="AA5268" s="3"/>
      <c r="AB5268" s="3"/>
      <c r="AC5268" s="3"/>
      <c r="AD5268" s="3"/>
      <c r="AE5268" s="3"/>
      <c r="AF5268" s="3"/>
      <c r="AG5268" s="3"/>
      <c r="AH5268" s="3"/>
    </row>
    <row r="5269" spans="1:34" ht="14.25" customHeight="1" x14ac:dyDescent="0.25">
      <c r="A5269" s="3"/>
      <c r="B5269" s="3"/>
      <c r="C5269" s="3"/>
      <c r="D5269" s="3"/>
      <c r="E5269" s="3"/>
      <c r="F5269" s="3"/>
      <c r="G5269" s="3"/>
      <c r="H5269" s="11"/>
      <c r="I5269" s="12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  <c r="AA5269" s="3"/>
      <c r="AB5269" s="3"/>
      <c r="AC5269" s="3"/>
      <c r="AD5269" s="3"/>
      <c r="AE5269" s="3"/>
      <c r="AF5269" s="3"/>
      <c r="AG5269" s="3"/>
      <c r="AH5269" s="3"/>
    </row>
    <row r="5270" spans="1:34" ht="14.25" customHeight="1" x14ac:dyDescent="0.25">
      <c r="A5270" s="3"/>
      <c r="B5270" s="3"/>
      <c r="C5270" s="3"/>
      <c r="D5270" s="3"/>
      <c r="E5270" s="3"/>
      <c r="F5270" s="3"/>
      <c r="G5270" s="3"/>
      <c r="H5270" s="11"/>
      <c r="I5270" s="12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  <c r="AA5270" s="3"/>
      <c r="AB5270" s="3"/>
      <c r="AC5270" s="3"/>
      <c r="AD5270" s="3"/>
      <c r="AE5270" s="3"/>
      <c r="AF5270" s="3"/>
      <c r="AG5270" s="3"/>
      <c r="AH5270" s="3"/>
    </row>
    <row r="5271" spans="1:34" ht="14.25" customHeight="1" x14ac:dyDescent="0.25">
      <c r="A5271" s="3"/>
      <c r="B5271" s="3"/>
      <c r="C5271" s="3"/>
      <c r="D5271" s="3"/>
      <c r="E5271" s="3"/>
      <c r="F5271" s="3"/>
      <c r="G5271" s="3"/>
      <c r="H5271" s="11"/>
      <c r="I5271" s="12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  <c r="AA5271" s="3"/>
      <c r="AB5271" s="3"/>
      <c r="AC5271" s="3"/>
      <c r="AD5271" s="3"/>
      <c r="AE5271" s="3"/>
      <c r="AF5271" s="3"/>
      <c r="AG5271" s="3"/>
      <c r="AH5271" s="3"/>
    </row>
    <row r="5272" spans="1:34" ht="14.25" customHeight="1" x14ac:dyDescent="0.25">
      <c r="A5272" s="3"/>
      <c r="B5272" s="3"/>
      <c r="C5272" s="3"/>
      <c r="D5272" s="3"/>
      <c r="E5272" s="3"/>
      <c r="F5272" s="3"/>
      <c r="G5272" s="3"/>
      <c r="H5272" s="11"/>
      <c r="I5272" s="12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  <c r="AA5272" s="3"/>
      <c r="AB5272" s="3"/>
      <c r="AC5272" s="3"/>
      <c r="AD5272" s="3"/>
      <c r="AE5272" s="3"/>
      <c r="AF5272" s="3"/>
      <c r="AG5272" s="3"/>
      <c r="AH5272" s="3"/>
    </row>
    <row r="5273" spans="1:34" ht="14.25" customHeight="1" x14ac:dyDescent="0.25">
      <c r="A5273" s="3"/>
      <c r="B5273" s="3"/>
      <c r="C5273" s="3"/>
      <c r="D5273" s="3"/>
      <c r="E5273" s="3"/>
      <c r="F5273" s="3"/>
      <c r="G5273" s="3"/>
      <c r="H5273" s="11"/>
      <c r="I5273" s="12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  <c r="AA5273" s="3"/>
      <c r="AB5273" s="3"/>
      <c r="AC5273" s="3"/>
      <c r="AD5273" s="3"/>
      <c r="AE5273" s="3"/>
      <c r="AF5273" s="3"/>
      <c r="AG5273" s="3"/>
      <c r="AH5273" s="3"/>
    </row>
    <row r="5274" spans="1:34" ht="14.25" customHeight="1" x14ac:dyDescent="0.25">
      <c r="A5274" s="3"/>
      <c r="B5274" s="3"/>
      <c r="C5274" s="3"/>
      <c r="D5274" s="3"/>
      <c r="E5274" s="3"/>
      <c r="F5274" s="3"/>
      <c r="G5274" s="3"/>
      <c r="H5274" s="11"/>
      <c r="I5274" s="12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  <c r="AA5274" s="3"/>
      <c r="AB5274" s="3"/>
      <c r="AC5274" s="3"/>
      <c r="AD5274" s="3"/>
      <c r="AE5274" s="3"/>
      <c r="AF5274" s="3"/>
      <c r="AG5274" s="3"/>
      <c r="AH5274" s="3"/>
    </row>
    <row r="5275" spans="1:34" ht="14.25" customHeight="1" x14ac:dyDescent="0.25">
      <c r="A5275" s="3"/>
      <c r="B5275" s="3"/>
      <c r="C5275" s="3"/>
      <c r="D5275" s="3"/>
      <c r="E5275" s="3"/>
      <c r="F5275" s="3"/>
      <c r="G5275" s="3"/>
      <c r="H5275" s="11"/>
      <c r="I5275" s="12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  <c r="AA5275" s="3"/>
      <c r="AB5275" s="3"/>
      <c r="AC5275" s="3"/>
      <c r="AD5275" s="3"/>
      <c r="AE5275" s="3"/>
      <c r="AF5275" s="3"/>
      <c r="AG5275" s="3"/>
      <c r="AH5275" s="3"/>
    </row>
    <row r="5276" spans="1:34" ht="14.25" customHeight="1" x14ac:dyDescent="0.25">
      <c r="A5276" s="3"/>
      <c r="B5276" s="3"/>
      <c r="C5276" s="3"/>
      <c r="D5276" s="3"/>
      <c r="E5276" s="3"/>
      <c r="F5276" s="3"/>
      <c r="G5276" s="3"/>
      <c r="H5276" s="11"/>
      <c r="I5276" s="12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  <c r="AA5276" s="3"/>
      <c r="AB5276" s="3"/>
      <c r="AC5276" s="3"/>
      <c r="AD5276" s="3"/>
      <c r="AE5276" s="3"/>
      <c r="AF5276" s="3"/>
      <c r="AG5276" s="3"/>
      <c r="AH5276" s="3"/>
    </row>
    <row r="5277" spans="1:34" ht="14.25" customHeight="1" x14ac:dyDescent="0.25">
      <c r="A5277" s="3"/>
      <c r="B5277" s="3"/>
      <c r="C5277" s="3"/>
      <c r="D5277" s="3"/>
      <c r="E5277" s="3"/>
      <c r="F5277" s="3"/>
      <c r="G5277" s="3"/>
      <c r="H5277" s="11"/>
      <c r="I5277" s="12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  <c r="AA5277" s="3"/>
      <c r="AB5277" s="3"/>
      <c r="AC5277" s="3"/>
      <c r="AD5277" s="3"/>
      <c r="AE5277" s="3"/>
      <c r="AF5277" s="3"/>
      <c r="AG5277" s="3"/>
      <c r="AH5277" s="3"/>
    </row>
    <row r="5278" spans="1:34" ht="14.25" customHeight="1" x14ac:dyDescent="0.25">
      <c r="A5278" s="3"/>
      <c r="B5278" s="3"/>
      <c r="C5278" s="3"/>
      <c r="D5278" s="3"/>
      <c r="E5278" s="3"/>
      <c r="F5278" s="3"/>
      <c r="G5278" s="3"/>
      <c r="H5278" s="11"/>
      <c r="I5278" s="12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  <c r="AA5278" s="3"/>
      <c r="AB5278" s="3"/>
      <c r="AC5278" s="3"/>
      <c r="AD5278" s="3"/>
      <c r="AE5278" s="3"/>
      <c r="AF5278" s="3"/>
      <c r="AG5278" s="3"/>
      <c r="AH5278" s="3"/>
    </row>
    <row r="5279" spans="1:34" ht="14.25" customHeight="1" x14ac:dyDescent="0.25">
      <c r="A5279" s="3"/>
      <c r="B5279" s="3"/>
      <c r="C5279" s="3"/>
      <c r="D5279" s="3"/>
      <c r="E5279" s="3"/>
      <c r="F5279" s="3"/>
      <c r="G5279" s="3"/>
      <c r="H5279" s="11"/>
      <c r="I5279" s="12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  <c r="AA5279" s="3"/>
      <c r="AB5279" s="3"/>
      <c r="AC5279" s="3"/>
      <c r="AD5279" s="3"/>
      <c r="AE5279" s="3"/>
      <c r="AF5279" s="3"/>
      <c r="AG5279" s="3"/>
      <c r="AH5279" s="3"/>
    </row>
    <row r="5280" spans="1:34" ht="14.25" customHeight="1" x14ac:dyDescent="0.25">
      <c r="A5280" s="3"/>
      <c r="B5280" s="3"/>
      <c r="C5280" s="3"/>
      <c r="D5280" s="3"/>
      <c r="E5280" s="3"/>
      <c r="F5280" s="3"/>
      <c r="G5280" s="3"/>
      <c r="H5280" s="11"/>
      <c r="I5280" s="12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  <c r="AA5280" s="3"/>
      <c r="AB5280" s="3"/>
      <c r="AC5280" s="3"/>
      <c r="AD5280" s="3"/>
      <c r="AE5280" s="3"/>
      <c r="AF5280" s="3"/>
      <c r="AG5280" s="3"/>
      <c r="AH5280" s="3"/>
    </row>
    <row r="5281" spans="1:34" ht="14.25" customHeight="1" x14ac:dyDescent="0.25">
      <c r="A5281" s="3"/>
      <c r="B5281" s="3"/>
      <c r="C5281" s="3"/>
      <c r="D5281" s="3"/>
      <c r="E5281" s="3"/>
      <c r="F5281" s="3"/>
      <c r="G5281" s="3"/>
      <c r="H5281" s="11"/>
      <c r="I5281" s="12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  <c r="AA5281" s="3"/>
      <c r="AB5281" s="3"/>
      <c r="AC5281" s="3"/>
      <c r="AD5281" s="3"/>
      <c r="AE5281" s="3"/>
      <c r="AF5281" s="3"/>
      <c r="AG5281" s="3"/>
      <c r="AH5281" s="3"/>
    </row>
    <row r="5282" spans="1:34" ht="14.25" customHeight="1" x14ac:dyDescent="0.25">
      <c r="A5282" s="3"/>
      <c r="B5282" s="3"/>
      <c r="C5282" s="3"/>
      <c r="D5282" s="3"/>
      <c r="E5282" s="3"/>
      <c r="F5282" s="3"/>
      <c r="G5282" s="3"/>
      <c r="H5282" s="11"/>
      <c r="I5282" s="12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  <c r="AA5282" s="3"/>
      <c r="AB5282" s="3"/>
      <c r="AC5282" s="3"/>
      <c r="AD5282" s="3"/>
      <c r="AE5282" s="3"/>
      <c r="AF5282" s="3"/>
      <c r="AG5282" s="3"/>
      <c r="AH5282" s="3"/>
    </row>
    <row r="5283" spans="1:34" ht="14.25" customHeight="1" x14ac:dyDescent="0.25">
      <c r="A5283" s="3"/>
      <c r="B5283" s="3"/>
      <c r="C5283" s="3"/>
      <c r="D5283" s="3"/>
      <c r="E5283" s="3"/>
      <c r="F5283" s="3"/>
      <c r="G5283" s="3"/>
      <c r="H5283" s="11"/>
      <c r="I5283" s="12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  <c r="AA5283" s="3"/>
      <c r="AB5283" s="3"/>
      <c r="AC5283" s="3"/>
      <c r="AD5283" s="3"/>
      <c r="AE5283" s="3"/>
      <c r="AF5283" s="3"/>
      <c r="AG5283" s="3"/>
      <c r="AH5283" s="3"/>
    </row>
    <row r="5284" spans="1:34" ht="14.25" customHeight="1" x14ac:dyDescent="0.25">
      <c r="A5284" s="3"/>
      <c r="B5284" s="3"/>
      <c r="C5284" s="3"/>
      <c r="D5284" s="3"/>
      <c r="E5284" s="3"/>
      <c r="F5284" s="3"/>
      <c r="G5284" s="3"/>
      <c r="H5284" s="11"/>
      <c r="I5284" s="12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  <c r="AA5284" s="3"/>
      <c r="AB5284" s="3"/>
      <c r="AC5284" s="3"/>
      <c r="AD5284" s="3"/>
      <c r="AE5284" s="3"/>
      <c r="AF5284" s="3"/>
      <c r="AG5284" s="3"/>
      <c r="AH5284" s="3"/>
    </row>
    <row r="5285" spans="1:34" ht="14.25" customHeight="1" x14ac:dyDescent="0.25">
      <c r="A5285" s="3"/>
      <c r="B5285" s="3"/>
      <c r="C5285" s="3"/>
      <c r="D5285" s="3"/>
      <c r="E5285" s="3"/>
      <c r="F5285" s="3"/>
      <c r="G5285" s="3"/>
      <c r="H5285" s="11"/>
      <c r="I5285" s="12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  <c r="AA5285" s="3"/>
      <c r="AB5285" s="3"/>
      <c r="AC5285" s="3"/>
      <c r="AD5285" s="3"/>
      <c r="AE5285" s="3"/>
      <c r="AF5285" s="3"/>
      <c r="AG5285" s="3"/>
      <c r="AH5285" s="3"/>
    </row>
    <row r="5286" spans="1:34" ht="14.25" customHeight="1" x14ac:dyDescent="0.25">
      <c r="A5286" s="3"/>
      <c r="B5286" s="3"/>
      <c r="C5286" s="3"/>
      <c r="D5286" s="3"/>
      <c r="E5286" s="3"/>
      <c r="F5286" s="3"/>
      <c r="G5286" s="3"/>
      <c r="H5286" s="11"/>
      <c r="I5286" s="12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  <c r="AA5286" s="3"/>
      <c r="AB5286" s="3"/>
      <c r="AC5286" s="3"/>
      <c r="AD5286" s="3"/>
      <c r="AE5286" s="3"/>
      <c r="AF5286" s="3"/>
      <c r="AG5286" s="3"/>
      <c r="AH5286" s="3"/>
    </row>
    <row r="5287" spans="1:34" ht="14.25" customHeight="1" x14ac:dyDescent="0.25">
      <c r="A5287" s="3"/>
      <c r="B5287" s="3"/>
      <c r="C5287" s="3"/>
      <c r="D5287" s="3"/>
      <c r="E5287" s="3"/>
      <c r="F5287" s="3"/>
      <c r="G5287" s="3"/>
      <c r="H5287" s="11"/>
      <c r="I5287" s="12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  <c r="AA5287" s="3"/>
      <c r="AB5287" s="3"/>
      <c r="AC5287" s="3"/>
      <c r="AD5287" s="3"/>
      <c r="AE5287" s="3"/>
      <c r="AF5287" s="3"/>
      <c r="AG5287" s="3"/>
      <c r="AH5287" s="3"/>
    </row>
    <row r="5288" spans="1:34" ht="14.25" customHeight="1" x14ac:dyDescent="0.25">
      <c r="A5288" s="3"/>
      <c r="B5288" s="3"/>
      <c r="C5288" s="3"/>
      <c r="D5288" s="3"/>
      <c r="E5288" s="3"/>
      <c r="F5288" s="3"/>
      <c r="G5288" s="3"/>
      <c r="H5288" s="11"/>
      <c r="I5288" s="12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  <c r="AA5288" s="3"/>
      <c r="AB5288" s="3"/>
      <c r="AC5288" s="3"/>
      <c r="AD5288" s="3"/>
      <c r="AE5288" s="3"/>
      <c r="AF5288" s="3"/>
      <c r="AG5288" s="3"/>
      <c r="AH5288" s="3"/>
    </row>
    <row r="5289" spans="1:34" ht="14.25" customHeight="1" x14ac:dyDescent="0.25">
      <c r="A5289" s="3"/>
      <c r="B5289" s="3"/>
      <c r="C5289" s="3"/>
      <c r="D5289" s="3"/>
      <c r="E5289" s="3"/>
      <c r="F5289" s="3"/>
      <c r="G5289" s="3"/>
      <c r="H5289" s="11"/>
      <c r="I5289" s="12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  <c r="AA5289" s="3"/>
      <c r="AB5289" s="3"/>
      <c r="AC5289" s="3"/>
      <c r="AD5289" s="3"/>
      <c r="AE5289" s="3"/>
      <c r="AF5289" s="3"/>
      <c r="AG5289" s="3"/>
      <c r="AH5289" s="3"/>
    </row>
    <row r="5290" spans="1:34" ht="14.25" customHeight="1" x14ac:dyDescent="0.25">
      <c r="A5290" s="3"/>
      <c r="B5290" s="3"/>
      <c r="C5290" s="3"/>
      <c r="D5290" s="3"/>
      <c r="E5290" s="3"/>
      <c r="F5290" s="3"/>
      <c r="G5290" s="3"/>
      <c r="H5290" s="11"/>
      <c r="I5290" s="12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  <c r="AA5290" s="3"/>
      <c r="AB5290" s="3"/>
      <c r="AC5290" s="3"/>
      <c r="AD5290" s="3"/>
      <c r="AE5290" s="3"/>
      <c r="AF5290" s="3"/>
      <c r="AG5290" s="3"/>
      <c r="AH5290" s="3"/>
    </row>
    <row r="5291" spans="1:34" ht="14.25" customHeight="1" x14ac:dyDescent="0.25">
      <c r="A5291" s="3"/>
      <c r="B5291" s="3"/>
      <c r="C5291" s="3"/>
      <c r="D5291" s="3"/>
      <c r="E5291" s="3"/>
      <c r="F5291" s="3"/>
      <c r="G5291" s="3"/>
      <c r="H5291" s="11"/>
      <c r="I5291" s="12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  <c r="AA5291" s="3"/>
      <c r="AB5291" s="3"/>
      <c r="AC5291" s="3"/>
      <c r="AD5291" s="3"/>
      <c r="AE5291" s="3"/>
      <c r="AF5291" s="3"/>
      <c r="AG5291" s="3"/>
      <c r="AH5291" s="3"/>
    </row>
    <row r="5292" spans="1:34" ht="14.25" customHeight="1" x14ac:dyDescent="0.25">
      <c r="A5292" s="3"/>
      <c r="B5292" s="3"/>
      <c r="C5292" s="3"/>
      <c r="D5292" s="3"/>
      <c r="E5292" s="3"/>
      <c r="F5292" s="3"/>
      <c r="G5292" s="3"/>
      <c r="H5292" s="11"/>
      <c r="I5292" s="12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  <c r="AA5292" s="3"/>
      <c r="AB5292" s="3"/>
      <c r="AC5292" s="3"/>
      <c r="AD5292" s="3"/>
      <c r="AE5292" s="3"/>
      <c r="AF5292" s="3"/>
      <c r="AG5292" s="3"/>
      <c r="AH5292" s="3"/>
    </row>
    <row r="5293" spans="1:34" ht="14.25" customHeight="1" x14ac:dyDescent="0.25">
      <c r="A5293" s="3"/>
      <c r="B5293" s="3"/>
      <c r="C5293" s="3"/>
      <c r="D5293" s="3"/>
      <c r="E5293" s="3"/>
      <c r="F5293" s="3"/>
      <c r="G5293" s="3"/>
      <c r="H5293" s="11"/>
      <c r="I5293" s="12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  <c r="AA5293" s="3"/>
      <c r="AB5293" s="3"/>
      <c r="AC5293" s="3"/>
      <c r="AD5293" s="3"/>
      <c r="AE5293" s="3"/>
      <c r="AF5293" s="3"/>
      <c r="AG5293" s="3"/>
      <c r="AH5293" s="3"/>
    </row>
    <row r="5294" spans="1:34" ht="14.25" customHeight="1" x14ac:dyDescent="0.25">
      <c r="A5294" s="3"/>
      <c r="B5294" s="3"/>
      <c r="C5294" s="3"/>
      <c r="D5294" s="3"/>
      <c r="E5294" s="3"/>
      <c r="F5294" s="3"/>
      <c r="G5294" s="3"/>
      <c r="H5294" s="11"/>
      <c r="I5294" s="12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  <c r="AA5294" s="3"/>
      <c r="AB5294" s="3"/>
      <c r="AC5294" s="3"/>
      <c r="AD5294" s="3"/>
      <c r="AE5294" s="3"/>
      <c r="AF5294" s="3"/>
      <c r="AG5294" s="3"/>
      <c r="AH5294" s="3"/>
    </row>
    <row r="5295" spans="1:34" ht="14.25" customHeight="1" x14ac:dyDescent="0.25">
      <c r="A5295" s="3"/>
      <c r="B5295" s="3"/>
      <c r="C5295" s="3"/>
      <c r="D5295" s="3"/>
      <c r="E5295" s="3"/>
      <c r="F5295" s="3"/>
      <c r="G5295" s="3"/>
      <c r="H5295" s="11"/>
      <c r="I5295" s="12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  <c r="AA5295" s="3"/>
      <c r="AB5295" s="3"/>
      <c r="AC5295" s="3"/>
      <c r="AD5295" s="3"/>
      <c r="AE5295" s="3"/>
      <c r="AF5295" s="3"/>
      <c r="AG5295" s="3"/>
      <c r="AH5295" s="3"/>
    </row>
    <row r="5296" spans="1:34" ht="14.25" customHeight="1" x14ac:dyDescent="0.25">
      <c r="A5296" s="3"/>
      <c r="B5296" s="3"/>
      <c r="C5296" s="3"/>
      <c r="D5296" s="3"/>
      <c r="E5296" s="3"/>
      <c r="F5296" s="3"/>
      <c r="G5296" s="3"/>
      <c r="H5296" s="11"/>
      <c r="I5296" s="12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  <c r="AA5296" s="3"/>
      <c r="AB5296" s="3"/>
      <c r="AC5296" s="3"/>
      <c r="AD5296" s="3"/>
      <c r="AE5296" s="3"/>
      <c r="AF5296" s="3"/>
      <c r="AG5296" s="3"/>
      <c r="AH5296" s="3"/>
    </row>
    <row r="5297" spans="1:34" ht="14.25" customHeight="1" x14ac:dyDescent="0.25">
      <c r="A5297" s="3"/>
      <c r="B5297" s="3"/>
      <c r="C5297" s="3"/>
      <c r="D5297" s="3"/>
      <c r="E5297" s="3"/>
      <c r="F5297" s="3"/>
      <c r="G5297" s="3"/>
      <c r="H5297" s="11"/>
      <c r="I5297" s="12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  <c r="AA5297" s="3"/>
      <c r="AB5297" s="3"/>
      <c r="AC5297" s="3"/>
      <c r="AD5297" s="3"/>
      <c r="AE5297" s="3"/>
      <c r="AF5297" s="3"/>
      <c r="AG5297" s="3"/>
      <c r="AH5297" s="3"/>
    </row>
    <row r="5298" spans="1:34" ht="14.25" customHeight="1" x14ac:dyDescent="0.25">
      <c r="A5298" s="3"/>
      <c r="B5298" s="3"/>
      <c r="C5298" s="3"/>
      <c r="D5298" s="3"/>
      <c r="E5298" s="3"/>
      <c r="F5298" s="3"/>
      <c r="G5298" s="3"/>
      <c r="H5298" s="11"/>
      <c r="I5298" s="12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  <c r="AA5298" s="3"/>
      <c r="AB5298" s="3"/>
      <c r="AC5298" s="3"/>
      <c r="AD5298" s="3"/>
      <c r="AE5298" s="3"/>
      <c r="AF5298" s="3"/>
      <c r="AG5298" s="3"/>
      <c r="AH5298" s="3"/>
    </row>
    <row r="5299" spans="1:34" ht="14.25" customHeight="1" x14ac:dyDescent="0.25">
      <c r="A5299" s="3"/>
      <c r="B5299" s="3"/>
      <c r="C5299" s="3"/>
      <c r="D5299" s="3"/>
      <c r="E5299" s="3"/>
      <c r="F5299" s="3"/>
      <c r="G5299" s="3"/>
      <c r="H5299" s="11"/>
      <c r="I5299" s="12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  <c r="AA5299" s="3"/>
      <c r="AB5299" s="3"/>
      <c r="AC5299" s="3"/>
      <c r="AD5299" s="3"/>
      <c r="AE5299" s="3"/>
      <c r="AF5299" s="3"/>
      <c r="AG5299" s="3"/>
      <c r="AH5299" s="3"/>
    </row>
    <row r="5300" spans="1:34" ht="14.25" customHeight="1" x14ac:dyDescent="0.25">
      <c r="A5300" s="3"/>
      <c r="B5300" s="3"/>
      <c r="C5300" s="3"/>
      <c r="D5300" s="3"/>
      <c r="E5300" s="3"/>
      <c r="F5300" s="3"/>
      <c r="G5300" s="3"/>
      <c r="H5300" s="11"/>
      <c r="I5300" s="12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  <c r="AA5300" s="3"/>
      <c r="AB5300" s="3"/>
      <c r="AC5300" s="3"/>
      <c r="AD5300" s="3"/>
      <c r="AE5300" s="3"/>
      <c r="AF5300" s="3"/>
      <c r="AG5300" s="3"/>
      <c r="AH5300" s="3"/>
    </row>
    <row r="5301" spans="1:34" ht="14.25" customHeight="1" x14ac:dyDescent="0.25">
      <c r="A5301" s="3"/>
      <c r="B5301" s="3"/>
      <c r="C5301" s="3"/>
      <c r="D5301" s="3"/>
      <c r="E5301" s="3"/>
      <c r="F5301" s="3"/>
      <c r="G5301" s="3"/>
      <c r="H5301" s="11"/>
      <c r="I5301" s="12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  <c r="AA5301" s="3"/>
      <c r="AB5301" s="3"/>
      <c r="AC5301" s="3"/>
      <c r="AD5301" s="3"/>
      <c r="AE5301" s="3"/>
      <c r="AF5301" s="3"/>
      <c r="AG5301" s="3"/>
      <c r="AH5301" s="3"/>
    </row>
    <row r="5302" spans="1:34" ht="14.25" customHeight="1" x14ac:dyDescent="0.25">
      <c r="A5302" s="3"/>
      <c r="B5302" s="3"/>
      <c r="C5302" s="3"/>
      <c r="D5302" s="3"/>
      <c r="E5302" s="3"/>
      <c r="F5302" s="3"/>
      <c r="G5302" s="3"/>
      <c r="H5302" s="11"/>
      <c r="I5302" s="12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  <c r="AA5302" s="3"/>
      <c r="AB5302" s="3"/>
      <c r="AC5302" s="3"/>
      <c r="AD5302" s="3"/>
      <c r="AE5302" s="3"/>
      <c r="AF5302" s="3"/>
      <c r="AG5302" s="3"/>
      <c r="AH5302" s="3"/>
    </row>
    <row r="5303" spans="1:34" ht="14.25" customHeight="1" x14ac:dyDescent="0.25">
      <c r="A5303" s="3"/>
      <c r="B5303" s="3"/>
      <c r="C5303" s="3"/>
      <c r="D5303" s="3"/>
      <c r="E5303" s="3"/>
      <c r="F5303" s="3"/>
      <c r="G5303" s="3"/>
      <c r="H5303" s="11"/>
      <c r="I5303" s="12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  <c r="AA5303" s="3"/>
      <c r="AB5303" s="3"/>
      <c r="AC5303" s="3"/>
      <c r="AD5303" s="3"/>
      <c r="AE5303" s="3"/>
      <c r="AF5303" s="3"/>
      <c r="AG5303" s="3"/>
      <c r="AH5303" s="3"/>
    </row>
    <row r="5304" spans="1:34" ht="14.25" customHeight="1" x14ac:dyDescent="0.25">
      <c r="A5304" s="3"/>
      <c r="B5304" s="3"/>
      <c r="C5304" s="3"/>
      <c r="D5304" s="3"/>
      <c r="E5304" s="3"/>
      <c r="F5304" s="3"/>
      <c r="G5304" s="3"/>
      <c r="H5304" s="11"/>
      <c r="I5304" s="12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  <c r="AA5304" s="3"/>
      <c r="AB5304" s="3"/>
      <c r="AC5304" s="3"/>
      <c r="AD5304" s="3"/>
      <c r="AE5304" s="3"/>
      <c r="AF5304" s="3"/>
      <c r="AG5304" s="3"/>
      <c r="AH5304" s="3"/>
    </row>
    <row r="5305" spans="1:34" ht="14.25" customHeight="1" x14ac:dyDescent="0.25">
      <c r="A5305" s="3"/>
      <c r="B5305" s="3"/>
      <c r="C5305" s="3"/>
      <c r="D5305" s="3"/>
      <c r="E5305" s="3"/>
      <c r="F5305" s="3"/>
      <c r="G5305" s="3"/>
      <c r="H5305" s="11"/>
      <c r="I5305" s="12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  <c r="AA5305" s="3"/>
      <c r="AB5305" s="3"/>
      <c r="AC5305" s="3"/>
      <c r="AD5305" s="3"/>
      <c r="AE5305" s="3"/>
      <c r="AF5305" s="3"/>
      <c r="AG5305" s="3"/>
      <c r="AH5305" s="3"/>
    </row>
    <row r="5306" spans="1:34" ht="14.25" customHeight="1" x14ac:dyDescent="0.25">
      <c r="A5306" s="3"/>
      <c r="B5306" s="3"/>
      <c r="C5306" s="3"/>
      <c r="D5306" s="3"/>
      <c r="E5306" s="3"/>
      <c r="F5306" s="3"/>
      <c r="G5306" s="3"/>
      <c r="H5306" s="11"/>
      <c r="I5306" s="12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  <c r="AA5306" s="3"/>
      <c r="AB5306" s="3"/>
      <c r="AC5306" s="3"/>
      <c r="AD5306" s="3"/>
      <c r="AE5306" s="3"/>
      <c r="AF5306" s="3"/>
      <c r="AG5306" s="3"/>
      <c r="AH5306" s="3"/>
    </row>
    <row r="5307" spans="1:34" ht="14.25" customHeight="1" x14ac:dyDescent="0.25">
      <c r="A5307" s="3"/>
      <c r="B5307" s="3"/>
      <c r="C5307" s="3"/>
      <c r="D5307" s="3"/>
      <c r="E5307" s="3"/>
      <c r="F5307" s="3"/>
      <c r="G5307" s="3"/>
      <c r="H5307" s="11"/>
      <c r="I5307" s="12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  <c r="AA5307" s="3"/>
      <c r="AB5307" s="3"/>
      <c r="AC5307" s="3"/>
      <c r="AD5307" s="3"/>
      <c r="AE5307" s="3"/>
      <c r="AF5307" s="3"/>
      <c r="AG5307" s="3"/>
      <c r="AH5307" s="3"/>
    </row>
    <row r="5308" spans="1:34" ht="14.25" customHeight="1" x14ac:dyDescent="0.25">
      <c r="A5308" s="3"/>
      <c r="B5308" s="3"/>
      <c r="C5308" s="3"/>
      <c r="D5308" s="3"/>
      <c r="E5308" s="3"/>
      <c r="F5308" s="3"/>
      <c r="G5308" s="3"/>
      <c r="H5308" s="11"/>
      <c r="I5308" s="12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  <c r="AA5308" s="3"/>
      <c r="AB5308" s="3"/>
      <c r="AC5308" s="3"/>
      <c r="AD5308" s="3"/>
      <c r="AE5308" s="3"/>
      <c r="AF5308" s="3"/>
      <c r="AG5308" s="3"/>
      <c r="AH5308" s="3"/>
    </row>
    <row r="5309" spans="1:34" ht="14.25" customHeight="1" x14ac:dyDescent="0.25">
      <c r="A5309" s="3"/>
      <c r="B5309" s="3"/>
      <c r="C5309" s="3"/>
      <c r="D5309" s="3"/>
      <c r="E5309" s="3"/>
      <c r="F5309" s="3"/>
      <c r="G5309" s="3"/>
      <c r="H5309" s="11"/>
      <c r="I5309" s="12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  <c r="AA5309" s="3"/>
      <c r="AB5309" s="3"/>
      <c r="AC5309" s="3"/>
      <c r="AD5309" s="3"/>
      <c r="AE5309" s="3"/>
      <c r="AF5309" s="3"/>
      <c r="AG5309" s="3"/>
      <c r="AH5309" s="3"/>
    </row>
    <row r="5310" spans="1:34" ht="14.25" customHeight="1" x14ac:dyDescent="0.25">
      <c r="A5310" s="3"/>
      <c r="B5310" s="3"/>
      <c r="C5310" s="3"/>
      <c r="D5310" s="3"/>
      <c r="E5310" s="3"/>
      <c r="F5310" s="3"/>
      <c r="G5310" s="3"/>
      <c r="H5310" s="11"/>
      <c r="I5310" s="12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  <c r="AA5310" s="3"/>
      <c r="AB5310" s="3"/>
      <c r="AC5310" s="3"/>
      <c r="AD5310" s="3"/>
      <c r="AE5310" s="3"/>
      <c r="AF5310" s="3"/>
      <c r="AG5310" s="3"/>
      <c r="AH5310" s="3"/>
    </row>
    <row r="5311" spans="1:34" ht="14.25" customHeight="1" x14ac:dyDescent="0.25">
      <c r="A5311" s="3"/>
      <c r="B5311" s="3"/>
      <c r="C5311" s="3"/>
      <c r="D5311" s="3"/>
      <c r="E5311" s="3"/>
      <c r="F5311" s="3"/>
      <c r="G5311" s="3"/>
      <c r="H5311" s="11"/>
      <c r="I5311" s="12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  <c r="AA5311" s="3"/>
      <c r="AB5311" s="3"/>
      <c r="AC5311" s="3"/>
      <c r="AD5311" s="3"/>
      <c r="AE5311" s="3"/>
      <c r="AF5311" s="3"/>
      <c r="AG5311" s="3"/>
      <c r="AH5311" s="3"/>
    </row>
    <row r="5312" spans="1:34" ht="14.25" customHeight="1" x14ac:dyDescent="0.25">
      <c r="A5312" s="3"/>
      <c r="B5312" s="3"/>
      <c r="C5312" s="3"/>
      <c r="D5312" s="3"/>
      <c r="E5312" s="3"/>
      <c r="F5312" s="3"/>
      <c r="G5312" s="3"/>
      <c r="H5312" s="11"/>
      <c r="I5312" s="12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  <c r="AA5312" s="3"/>
      <c r="AB5312" s="3"/>
      <c r="AC5312" s="3"/>
      <c r="AD5312" s="3"/>
      <c r="AE5312" s="3"/>
      <c r="AF5312" s="3"/>
      <c r="AG5312" s="3"/>
      <c r="AH5312" s="3"/>
    </row>
    <row r="5313" spans="1:34" ht="14.25" customHeight="1" x14ac:dyDescent="0.25">
      <c r="A5313" s="3"/>
      <c r="B5313" s="3"/>
      <c r="C5313" s="3"/>
      <c r="D5313" s="3"/>
      <c r="E5313" s="3"/>
      <c r="F5313" s="3"/>
      <c r="G5313" s="3"/>
      <c r="H5313" s="11"/>
      <c r="I5313" s="12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  <c r="AA5313" s="3"/>
      <c r="AB5313" s="3"/>
      <c r="AC5313" s="3"/>
      <c r="AD5313" s="3"/>
      <c r="AE5313" s="3"/>
      <c r="AF5313" s="3"/>
      <c r="AG5313" s="3"/>
      <c r="AH5313" s="3"/>
    </row>
    <row r="5314" spans="1:34" ht="14.25" customHeight="1" x14ac:dyDescent="0.25">
      <c r="A5314" s="3"/>
      <c r="B5314" s="3"/>
      <c r="C5314" s="3"/>
      <c r="D5314" s="3"/>
      <c r="E5314" s="3"/>
      <c r="F5314" s="3"/>
      <c r="G5314" s="3"/>
      <c r="H5314" s="11"/>
      <c r="I5314" s="12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  <c r="AA5314" s="3"/>
      <c r="AB5314" s="3"/>
      <c r="AC5314" s="3"/>
      <c r="AD5314" s="3"/>
      <c r="AE5314" s="3"/>
      <c r="AF5314" s="3"/>
      <c r="AG5314" s="3"/>
      <c r="AH5314" s="3"/>
    </row>
    <row r="5315" spans="1:34" ht="14.25" customHeight="1" x14ac:dyDescent="0.25">
      <c r="A5315" s="3"/>
      <c r="B5315" s="3"/>
      <c r="C5315" s="3"/>
      <c r="D5315" s="3"/>
      <c r="E5315" s="3"/>
      <c r="F5315" s="3"/>
      <c r="G5315" s="3"/>
      <c r="H5315" s="11"/>
      <c r="I5315" s="12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  <c r="AA5315" s="3"/>
      <c r="AB5315" s="3"/>
      <c r="AC5315" s="3"/>
      <c r="AD5315" s="3"/>
      <c r="AE5315" s="3"/>
      <c r="AF5315" s="3"/>
      <c r="AG5315" s="3"/>
      <c r="AH5315" s="3"/>
    </row>
    <row r="5316" spans="1:34" ht="14.25" customHeight="1" x14ac:dyDescent="0.25">
      <c r="A5316" s="3"/>
      <c r="B5316" s="3"/>
      <c r="C5316" s="3"/>
      <c r="D5316" s="3"/>
      <c r="E5316" s="3"/>
      <c r="F5316" s="3"/>
      <c r="G5316" s="3"/>
      <c r="H5316" s="11"/>
      <c r="I5316" s="12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  <c r="AA5316" s="3"/>
      <c r="AB5316" s="3"/>
      <c r="AC5316" s="3"/>
      <c r="AD5316" s="3"/>
      <c r="AE5316" s="3"/>
      <c r="AF5316" s="3"/>
      <c r="AG5316" s="3"/>
      <c r="AH5316" s="3"/>
    </row>
    <row r="5317" spans="1:34" ht="14.25" customHeight="1" x14ac:dyDescent="0.25">
      <c r="A5317" s="3"/>
      <c r="B5317" s="3"/>
      <c r="C5317" s="3"/>
      <c r="D5317" s="3"/>
      <c r="E5317" s="3"/>
      <c r="F5317" s="3"/>
      <c r="G5317" s="3"/>
      <c r="H5317" s="11"/>
      <c r="I5317" s="12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  <c r="AA5317" s="3"/>
      <c r="AB5317" s="3"/>
      <c r="AC5317" s="3"/>
      <c r="AD5317" s="3"/>
      <c r="AE5317" s="3"/>
      <c r="AF5317" s="3"/>
      <c r="AG5317" s="3"/>
      <c r="AH5317" s="3"/>
    </row>
    <row r="5318" spans="1:34" ht="14.25" customHeight="1" x14ac:dyDescent="0.25">
      <c r="A5318" s="3"/>
      <c r="B5318" s="3"/>
      <c r="C5318" s="3"/>
      <c r="D5318" s="3"/>
      <c r="E5318" s="3"/>
      <c r="F5318" s="3"/>
      <c r="G5318" s="3"/>
      <c r="H5318" s="11"/>
      <c r="I5318" s="12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  <c r="AA5318" s="3"/>
      <c r="AB5318" s="3"/>
      <c r="AC5318" s="3"/>
      <c r="AD5318" s="3"/>
      <c r="AE5318" s="3"/>
      <c r="AF5318" s="3"/>
      <c r="AG5318" s="3"/>
      <c r="AH5318" s="3"/>
    </row>
    <row r="5319" spans="1:34" ht="14.25" customHeight="1" x14ac:dyDescent="0.25">
      <c r="A5319" s="3"/>
      <c r="B5319" s="3"/>
      <c r="C5319" s="3"/>
      <c r="D5319" s="3"/>
      <c r="E5319" s="3"/>
      <c r="F5319" s="3"/>
      <c r="G5319" s="3"/>
      <c r="H5319" s="11"/>
      <c r="I5319" s="12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  <c r="AA5319" s="3"/>
      <c r="AB5319" s="3"/>
      <c r="AC5319" s="3"/>
      <c r="AD5319" s="3"/>
      <c r="AE5319" s="3"/>
      <c r="AF5319" s="3"/>
      <c r="AG5319" s="3"/>
      <c r="AH5319" s="3"/>
    </row>
    <row r="5320" spans="1:34" ht="14.25" customHeight="1" x14ac:dyDescent="0.25">
      <c r="A5320" s="3"/>
      <c r="B5320" s="3"/>
      <c r="C5320" s="3"/>
      <c r="D5320" s="3"/>
      <c r="E5320" s="3"/>
      <c r="F5320" s="3"/>
      <c r="G5320" s="3"/>
      <c r="H5320" s="11"/>
      <c r="I5320" s="12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  <c r="AA5320" s="3"/>
      <c r="AB5320" s="3"/>
      <c r="AC5320" s="3"/>
      <c r="AD5320" s="3"/>
      <c r="AE5320" s="3"/>
      <c r="AF5320" s="3"/>
      <c r="AG5320" s="3"/>
      <c r="AH5320" s="3"/>
    </row>
    <row r="5321" spans="1:34" ht="14.25" customHeight="1" x14ac:dyDescent="0.25">
      <c r="A5321" s="3"/>
      <c r="B5321" s="3"/>
      <c r="C5321" s="3"/>
      <c r="D5321" s="3"/>
      <c r="E5321" s="3"/>
      <c r="F5321" s="3"/>
      <c r="G5321" s="3"/>
      <c r="H5321" s="11"/>
      <c r="I5321" s="12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  <c r="AA5321" s="3"/>
      <c r="AB5321" s="3"/>
      <c r="AC5321" s="3"/>
      <c r="AD5321" s="3"/>
      <c r="AE5321" s="3"/>
      <c r="AF5321" s="3"/>
      <c r="AG5321" s="3"/>
      <c r="AH5321" s="3"/>
    </row>
    <row r="5322" spans="1:34" ht="14.25" customHeight="1" x14ac:dyDescent="0.25">
      <c r="A5322" s="3"/>
      <c r="B5322" s="3"/>
      <c r="C5322" s="3"/>
      <c r="D5322" s="3"/>
      <c r="E5322" s="3"/>
      <c r="F5322" s="3"/>
      <c r="G5322" s="3"/>
      <c r="H5322" s="11"/>
      <c r="I5322" s="12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  <c r="AA5322" s="3"/>
      <c r="AB5322" s="3"/>
      <c r="AC5322" s="3"/>
      <c r="AD5322" s="3"/>
      <c r="AE5322" s="3"/>
      <c r="AF5322" s="3"/>
      <c r="AG5322" s="3"/>
      <c r="AH5322" s="3"/>
    </row>
    <row r="5323" spans="1:34" ht="14.25" customHeight="1" x14ac:dyDescent="0.25">
      <c r="A5323" s="3"/>
      <c r="B5323" s="3"/>
      <c r="C5323" s="3"/>
      <c r="D5323" s="3"/>
      <c r="E5323" s="3"/>
      <c r="F5323" s="3"/>
      <c r="G5323" s="3"/>
      <c r="H5323" s="11"/>
      <c r="I5323" s="12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  <c r="AA5323" s="3"/>
      <c r="AB5323" s="3"/>
      <c r="AC5323" s="3"/>
      <c r="AD5323" s="3"/>
      <c r="AE5323" s="3"/>
      <c r="AF5323" s="3"/>
      <c r="AG5323" s="3"/>
      <c r="AH5323" s="3"/>
    </row>
    <row r="5324" spans="1:34" ht="14.25" customHeight="1" x14ac:dyDescent="0.25">
      <c r="A5324" s="3"/>
      <c r="B5324" s="3"/>
      <c r="C5324" s="3"/>
      <c r="D5324" s="3"/>
      <c r="E5324" s="3"/>
      <c r="F5324" s="3"/>
      <c r="G5324" s="3"/>
      <c r="H5324" s="11"/>
      <c r="I5324" s="12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  <c r="AA5324" s="3"/>
      <c r="AB5324" s="3"/>
      <c r="AC5324" s="3"/>
      <c r="AD5324" s="3"/>
      <c r="AE5324" s="3"/>
      <c r="AF5324" s="3"/>
      <c r="AG5324" s="3"/>
      <c r="AH5324" s="3"/>
    </row>
    <row r="5325" spans="1:34" ht="14.25" customHeight="1" x14ac:dyDescent="0.25">
      <c r="A5325" s="3"/>
      <c r="B5325" s="3"/>
      <c r="C5325" s="3"/>
      <c r="D5325" s="3"/>
      <c r="E5325" s="3"/>
      <c r="F5325" s="3"/>
      <c r="G5325" s="3"/>
      <c r="H5325" s="11"/>
      <c r="I5325" s="12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  <c r="AA5325" s="3"/>
      <c r="AB5325" s="3"/>
      <c r="AC5325" s="3"/>
      <c r="AD5325" s="3"/>
      <c r="AE5325" s="3"/>
      <c r="AF5325" s="3"/>
      <c r="AG5325" s="3"/>
      <c r="AH5325" s="3"/>
    </row>
    <row r="5326" spans="1:34" ht="14.25" customHeight="1" x14ac:dyDescent="0.25">
      <c r="A5326" s="3"/>
      <c r="B5326" s="3"/>
      <c r="C5326" s="3"/>
      <c r="D5326" s="3"/>
      <c r="E5326" s="3"/>
      <c r="F5326" s="3"/>
      <c r="G5326" s="3"/>
      <c r="H5326" s="11"/>
      <c r="I5326" s="12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  <c r="AA5326" s="3"/>
      <c r="AB5326" s="3"/>
      <c r="AC5326" s="3"/>
      <c r="AD5326" s="3"/>
      <c r="AE5326" s="3"/>
      <c r="AF5326" s="3"/>
      <c r="AG5326" s="3"/>
      <c r="AH5326" s="3"/>
    </row>
    <row r="5327" spans="1:34" ht="14.25" customHeight="1" x14ac:dyDescent="0.25">
      <c r="A5327" s="3"/>
      <c r="B5327" s="3"/>
      <c r="C5327" s="3"/>
      <c r="D5327" s="3"/>
      <c r="E5327" s="3"/>
      <c r="F5327" s="3"/>
      <c r="G5327" s="3"/>
      <c r="H5327" s="11"/>
      <c r="I5327" s="12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  <c r="AA5327" s="3"/>
      <c r="AB5327" s="3"/>
      <c r="AC5327" s="3"/>
      <c r="AD5327" s="3"/>
      <c r="AE5327" s="3"/>
      <c r="AF5327" s="3"/>
      <c r="AG5327" s="3"/>
      <c r="AH5327" s="3"/>
    </row>
    <row r="5328" spans="1:34" ht="14.25" customHeight="1" x14ac:dyDescent="0.25">
      <c r="A5328" s="3"/>
      <c r="B5328" s="3"/>
      <c r="C5328" s="3"/>
      <c r="D5328" s="3"/>
      <c r="E5328" s="3"/>
      <c r="F5328" s="3"/>
      <c r="G5328" s="3"/>
      <c r="H5328" s="11"/>
      <c r="I5328" s="12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  <c r="AA5328" s="3"/>
      <c r="AB5328" s="3"/>
      <c r="AC5328" s="3"/>
      <c r="AD5328" s="3"/>
      <c r="AE5328" s="3"/>
      <c r="AF5328" s="3"/>
      <c r="AG5328" s="3"/>
      <c r="AH5328" s="3"/>
    </row>
    <row r="5329" spans="1:34" ht="14.25" customHeight="1" x14ac:dyDescent="0.25">
      <c r="A5329" s="3"/>
      <c r="B5329" s="3"/>
      <c r="C5329" s="3"/>
      <c r="D5329" s="3"/>
      <c r="E5329" s="3"/>
      <c r="F5329" s="3"/>
      <c r="G5329" s="3"/>
      <c r="H5329" s="11"/>
      <c r="I5329" s="12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  <c r="AA5329" s="3"/>
      <c r="AB5329" s="3"/>
      <c r="AC5329" s="3"/>
      <c r="AD5329" s="3"/>
      <c r="AE5329" s="3"/>
      <c r="AF5329" s="3"/>
      <c r="AG5329" s="3"/>
      <c r="AH5329" s="3"/>
    </row>
    <row r="5330" spans="1:34" ht="14.25" customHeight="1" x14ac:dyDescent="0.25">
      <c r="A5330" s="3"/>
      <c r="B5330" s="3"/>
      <c r="C5330" s="3"/>
      <c r="D5330" s="3"/>
      <c r="E5330" s="3"/>
      <c r="F5330" s="3"/>
      <c r="G5330" s="3"/>
      <c r="H5330" s="11"/>
      <c r="I5330" s="12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  <c r="AA5330" s="3"/>
      <c r="AB5330" s="3"/>
      <c r="AC5330" s="3"/>
      <c r="AD5330" s="3"/>
      <c r="AE5330" s="3"/>
      <c r="AF5330" s="3"/>
      <c r="AG5330" s="3"/>
      <c r="AH5330" s="3"/>
    </row>
    <row r="5331" spans="1:34" ht="14.25" customHeight="1" x14ac:dyDescent="0.25">
      <c r="A5331" s="3"/>
      <c r="B5331" s="3"/>
      <c r="C5331" s="3"/>
      <c r="D5331" s="3"/>
      <c r="E5331" s="3"/>
      <c r="F5331" s="3"/>
      <c r="G5331" s="3"/>
      <c r="H5331" s="11"/>
      <c r="I5331" s="12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  <c r="AA5331" s="3"/>
      <c r="AB5331" s="3"/>
      <c r="AC5331" s="3"/>
      <c r="AD5331" s="3"/>
      <c r="AE5331" s="3"/>
      <c r="AF5331" s="3"/>
      <c r="AG5331" s="3"/>
      <c r="AH5331" s="3"/>
    </row>
    <row r="5332" spans="1:34" ht="14.25" customHeight="1" x14ac:dyDescent="0.25">
      <c r="A5332" s="3"/>
      <c r="B5332" s="3"/>
      <c r="C5332" s="3"/>
      <c r="D5332" s="3"/>
      <c r="E5332" s="3"/>
      <c r="F5332" s="3"/>
      <c r="G5332" s="3"/>
      <c r="H5332" s="11"/>
      <c r="I5332" s="12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  <c r="AA5332" s="3"/>
      <c r="AB5332" s="3"/>
      <c r="AC5332" s="3"/>
      <c r="AD5332" s="3"/>
      <c r="AE5332" s="3"/>
      <c r="AF5332" s="3"/>
      <c r="AG5332" s="3"/>
      <c r="AH5332" s="3"/>
    </row>
    <row r="5333" spans="1:34" ht="14.25" customHeight="1" x14ac:dyDescent="0.25">
      <c r="A5333" s="3"/>
      <c r="B5333" s="3"/>
      <c r="C5333" s="3"/>
      <c r="D5333" s="3"/>
      <c r="E5333" s="3"/>
      <c r="F5333" s="3"/>
      <c r="G5333" s="3"/>
      <c r="H5333" s="11"/>
      <c r="I5333" s="12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  <c r="AA5333" s="3"/>
      <c r="AB5333" s="3"/>
      <c r="AC5333" s="3"/>
      <c r="AD5333" s="3"/>
      <c r="AE5333" s="3"/>
      <c r="AF5333" s="3"/>
      <c r="AG5333" s="3"/>
      <c r="AH5333" s="3"/>
    </row>
    <row r="5334" spans="1:34" ht="14.25" customHeight="1" x14ac:dyDescent="0.25">
      <c r="A5334" s="3"/>
      <c r="B5334" s="3"/>
      <c r="C5334" s="3"/>
      <c r="D5334" s="3"/>
      <c r="E5334" s="3"/>
      <c r="F5334" s="3"/>
      <c r="G5334" s="3"/>
      <c r="H5334" s="11"/>
      <c r="I5334" s="12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  <c r="AA5334" s="3"/>
      <c r="AB5334" s="3"/>
      <c r="AC5334" s="3"/>
      <c r="AD5334" s="3"/>
      <c r="AE5334" s="3"/>
      <c r="AF5334" s="3"/>
      <c r="AG5334" s="3"/>
      <c r="AH5334" s="3"/>
    </row>
    <row r="5335" spans="1:34" ht="14.25" customHeight="1" x14ac:dyDescent="0.25">
      <c r="A5335" s="3"/>
      <c r="B5335" s="3"/>
      <c r="C5335" s="3"/>
      <c r="D5335" s="3"/>
      <c r="E5335" s="3"/>
      <c r="F5335" s="3"/>
      <c r="G5335" s="3"/>
      <c r="H5335" s="11"/>
      <c r="I5335" s="12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  <c r="AA5335" s="3"/>
      <c r="AB5335" s="3"/>
      <c r="AC5335" s="3"/>
      <c r="AD5335" s="3"/>
      <c r="AE5335" s="3"/>
      <c r="AF5335" s="3"/>
      <c r="AG5335" s="3"/>
      <c r="AH5335" s="3"/>
    </row>
    <row r="5336" spans="1:34" ht="14.25" customHeight="1" x14ac:dyDescent="0.25">
      <c r="A5336" s="3"/>
      <c r="B5336" s="3"/>
      <c r="C5336" s="3"/>
      <c r="D5336" s="3"/>
      <c r="E5336" s="3"/>
      <c r="F5336" s="3"/>
      <c r="G5336" s="3"/>
      <c r="H5336" s="11"/>
      <c r="I5336" s="12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  <c r="AA5336" s="3"/>
      <c r="AB5336" s="3"/>
      <c r="AC5336" s="3"/>
      <c r="AD5336" s="3"/>
      <c r="AE5336" s="3"/>
      <c r="AF5336" s="3"/>
      <c r="AG5336" s="3"/>
      <c r="AH5336" s="3"/>
    </row>
    <row r="5337" spans="1:34" ht="14.25" customHeight="1" x14ac:dyDescent="0.25">
      <c r="A5337" s="3"/>
      <c r="B5337" s="3"/>
      <c r="C5337" s="3"/>
      <c r="D5337" s="3"/>
      <c r="E5337" s="3"/>
      <c r="F5337" s="3"/>
      <c r="G5337" s="3"/>
      <c r="H5337" s="11"/>
      <c r="I5337" s="12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  <c r="AA5337" s="3"/>
      <c r="AB5337" s="3"/>
      <c r="AC5337" s="3"/>
      <c r="AD5337" s="3"/>
      <c r="AE5337" s="3"/>
      <c r="AF5337" s="3"/>
      <c r="AG5337" s="3"/>
      <c r="AH5337" s="3"/>
    </row>
    <row r="5338" spans="1:34" ht="14.25" customHeight="1" x14ac:dyDescent="0.25">
      <c r="A5338" s="3"/>
      <c r="B5338" s="3"/>
      <c r="C5338" s="3"/>
      <c r="D5338" s="3"/>
      <c r="E5338" s="3"/>
      <c r="F5338" s="3"/>
      <c r="G5338" s="3"/>
      <c r="H5338" s="11"/>
      <c r="I5338" s="12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  <c r="AA5338" s="3"/>
      <c r="AB5338" s="3"/>
      <c r="AC5338" s="3"/>
      <c r="AD5338" s="3"/>
      <c r="AE5338" s="3"/>
      <c r="AF5338" s="3"/>
      <c r="AG5338" s="3"/>
      <c r="AH5338" s="3"/>
    </row>
    <row r="5339" spans="1:34" ht="14.25" customHeight="1" x14ac:dyDescent="0.25">
      <c r="A5339" s="3"/>
      <c r="B5339" s="3"/>
      <c r="C5339" s="3"/>
      <c r="D5339" s="3"/>
      <c r="E5339" s="3"/>
      <c r="F5339" s="3"/>
      <c r="G5339" s="3"/>
      <c r="H5339" s="11"/>
      <c r="I5339" s="12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  <c r="AA5339" s="3"/>
      <c r="AB5339" s="3"/>
      <c r="AC5339" s="3"/>
      <c r="AD5339" s="3"/>
      <c r="AE5339" s="3"/>
      <c r="AF5339" s="3"/>
      <c r="AG5339" s="3"/>
      <c r="AH5339" s="3"/>
    </row>
    <row r="5340" spans="1:34" ht="14.25" customHeight="1" x14ac:dyDescent="0.25">
      <c r="A5340" s="3"/>
      <c r="B5340" s="3"/>
      <c r="C5340" s="3"/>
      <c r="D5340" s="3"/>
      <c r="E5340" s="3"/>
      <c r="F5340" s="3"/>
      <c r="G5340" s="3"/>
      <c r="H5340" s="11"/>
      <c r="I5340" s="12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  <c r="AA5340" s="3"/>
      <c r="AB5340" s="3"/>
      <c r="AC5340" s="3"/>
      <c r="AD5340" s="3"/>
      <c r="AE5340" s="3"/>
      <c r="AF5340" s="3"/>
      <c r="AG5340" s="3"/>
      <c r="AH5340" s="3"/>
    </row>
    <row r="5341" spans="1:34" ht="14.25" customHeight="1" x14ac:dyDescent="0.25">
      <c r="A5341" s="3"/>
      <c r="B5341" s="3"/>
      <c r="C5341" s="3"/>
      <c r="D5341" s="3"/>
      <c r="E5341" s="3"/>
      <c r="F5341" s="3"/>
      <c r="G5341" s="3"/>
      <c r="H5341" s="11"/>
      <c r="I5341" s="12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  <c r="AA5341" s="3"/>
      <c r="AB5341" s="3"/>
      <c r="AC5341" s="3"/>
      <c r="AD5341" s="3"/>
      <c r="AE5341" s="3"/>
      <c r="AF5341" s="3"/>
      <c r="AG5341" s="3"/>
      <c r="AH5341" s="3"/>
    </row>
    <row r="5342" spans="1:34" ht="14.25" customHeight="1" x14ac:dyDescent="0.25">
      <c r="A5342" s="3"/>
      <c r="B5342" s="3"/>
      <c r="C5342" s="3"/>
      <c r="D5342" s="3"/>
      <c r="E5342" s="3"/>
      <c r="F5342" s="3"/>
      <c r="G5342" s="3"/>
      <c r="H5342" s="11"/>
      <c r="I5342" s="12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  <c r="AA5342" s="3"/>
      <c r="AB5342" s="3"/>
      <c r="AC5342" s="3"/>
      <c r="AD5342" s="3"/>
      <c r="AE5342" s="3"/>
      <c r="AF5342" s="3"/>
      <c r="AG5342" s="3"/>
      <c r="AH5342" s="3"/>
    </row>
    <row r="5343" spans="1:34" ht="14.25" customHeight="1" x14ac:dyDescent="0.25">
      <c r="A5343" s="3"/>
      <c r="B5343" s="3"/>
      <c r="C5343" s="3"/>
      <c r="D5343" s="3"/>
      <c r="E5343" s="3"/>
      <c r="F5343" s="3"/>
      <c r="G5343" s="3"/>
      <c r="H5343" s="11"/>
      <c r="I5343" s="12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  <c r="AA5343" s="3"/>
      <c r="AB5343" s="3"/>
      <c r="AC5343" s="3"/>
      <c r="AD5343" s="3"/>
      <c r="AE5343" s="3"/>
      <c r="AF5343" s="3"/>
      <c r="AG5343" s="3"/>
      <c r="AH5343" s="3"/>
    </row>
    <row r="5344" spans="1:34" ht="14.25" customHeight="1" x14ac:dyDescent="0.25">
      <c r="A5344" s="3"/>
      <c r="B5344" s="3"/>
      <c r="C5344" s="3"/>
      <c r="D5344" s="3"/>
      <c r="E5344" s="3"/>
      <c r="F5344" s="3"/>
      <c r="G5344" s="3"/>
      <c r="H5344" s="11"/>
      <c r="I5344" s="12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  <c r="AA5344" s="3"/>
      <c r="AB5344" s="3"/>
      <c r="AC5344" s="3"/>
      <c r="AD5344" s="3"/>
      <c r="AE5344" s="3"/>
      <c r="AF5344" s="3"/>
      <c r="AG5344" s="3"/>
      <c r="AH5344" s="3"/>
    </row>
    <row r="5345" spans="1:34" ht="14.25" customHeight="1" x14ac:dyDescent="0.25">
      <c r="A5345" s="3"/>
      <c r="B5345" s="3"/>
      <c r="C5345" s="3"/>
      <c r="D5345" s="3"/>
      <c r="E5345" s="3"/>
      <c r="F5345" s="3"/>
      <c r="G5345" s="3"/>
      <c r="H5345" s="11"/>
      <c r="I5345" s="12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  <c r="AA5345" s="3"/>
      <c r="AB5345" s="3"/>
      <c r="AC5345" s="3"/>
      <c r="AD5345" s="3"/>
      <c r="AE5345" s="3"/>
      <c r="AF5345" s="3"/>
      <c r="AG5345" s="3"/>
      <c r="AH5345" s="3"/>
    </row>
    <row r="5346" spans="1:34" ht="14.25" customHeight="1" x14ac:dyDescent="0.25">
      <c r="A5346" s="3"/>
      <c r="B5346" s="3"/>
      <c r="C5346" s="3"/>
      <c r="D5346" s="3"/>
      <c r="E5346" s="3"/>
      <c r="F5346" s="3"/>
      <c r="G5346" s="3"/>
      <c r="H5346" s="11"/>
      <c r="I5346" s="12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  <c r="AA5346" s="3"/>
      <c r="AB5346" s="3"/>
      <c r="AC5346" s="3"/>
      <c r="AD5346" s="3"/>
      <c r="AE5346" s="3"/>
      <c r="AF5346" s="3"/>
      <c r="AG5346" s="3"/>
      <c r="AH5346" s="3"/>
    </row>
    <row r="5347" spans="1:34" ht="14.25" customHeight="1" x14ac:dyDescent="0.25">
      <c r="A5347" s="3"/>
      <c r="B5347" s="3"/>
      <c r="C5347" s="3"/>
      <c r="D5347" s="3"/>
      <c r="E5347" s="3"/>
      <c r="F5347" s="3"/>
      <c r="G5347" s="3"/>
      <c r="H5347" s="11"/>
      <c r="I5347" s="12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  <c r="AA5347" s="3"/>
      <c r="AB5347" s="3"/>
      <c r="AC5347" s="3"/>
      <c r="AD5347" s="3"/>
      <c r="AE5347" s="3"/>
      <c r="AF5347" s="3"/>
      <c r="AG5347" s="3"/>
      <c r="AH5347" s="3"/>
    </row>
    <row r="5348" spans="1:34" ht="14.25" customHeight="1" x14ac:dyDescent="0.25">
      <c r="A5348" s="3"/>
      <c r="B5348" s="3"/>
      <c r="C5348" s="3"/>
      <c r="D5348" s="3"/>
      <c r="E5348" s="3"/>
      <c r="F5348" s="3"/>
      <c r="G5348" s="3"/>
      <c r="H5348" s="11"/>
      <c r="I5348" s="12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  <c r="AA5348" s="3"/>
      <c r="AB5348" s="3"/>
      <c r="AC5348" s="3"/>
      <c r="AD5348" s="3"/>
      <c r="AE5348" s="3"/>
      <c r="AF5348" s="3"/>
      <c r="AG5348" s="3"/>
      <c r="AH5348" s="3"/>
    </row>
    <row r="5349" spans="1:34" ht="14.25" customHeight="1" x14ac:dyDescent="0.25">
      <c r="A5349" s="3"/>
      <c r="B5349" s="3"/>
      <c r="C5349" s="3"/>
      <c r="D5349" s="3"/>
      <c r="E5349" s="3"/>
      <c r="F5349" s="3"/>
      <c r="G5349" s="3"/>
      <c r="H5349" s="11"/>
      <c r="I5349" s="12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  <c r="AA5349" s="3"/>
      <c r="AB5349" s="3"/>
      <c r="AC5349" s="3"/>
      <c r="AD5349" s="3"/>
      <c r="AE5349" s="3"/>
      <c r="AF5349" s="3"/>
      <c r="AG5349" s="3"/>
      <c r="AH5349" s="3"/>
    </row>
    <row r="5350" spans="1:34" ht="14.25" customHeight="1" x14ac:dyDescent="0.25">
      <c r="A5350" s="3"/>
      <c r="B5350" s="3"/>
      <c r="C5350" s="3"/>
      <c r="D5350" s="3"/>
      <c r="E5350" s="3"/>
      <c r="F5350" s="3"/>
      <c r="G5350" s="3"/>
      <c r="H5350" s="11"/>
      <c r="I5350" s="12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  <c r="AA5350" s="3"/>
      <c r="AB5350" s="3"/>
      <c r="AC5350" s="3"/>
      <c r="AD5350" s="3"/>
      <c r="AE5350" s="3"/>
      <c r="AF5350" s="3"/>
      <c r="AG5350" s="3"/>
      <c r="AH5350" s="3"/>
    </row>
    <row r="5351" spans="1:34" ht="14.25" customHeight="1" x14ac:dyDescent="0.25">
      <c r="A5351" s="3"/>
      <c r="B5351" s="3"/>
      <c r="C5351" s="3"/>
      <c r="D5351" s="3"/>
      <c r="E5351" s="3"/>
      <c r="F5351" s="3"/>
      <c r="G5351" s="3"/>
      <c r="H5351" s="11"/>
      <c r="I5351" s="12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  <c r="AA5351" s="3"/>
      <c r="AB5351" s="3"/>
      <c r="AC5351" s="3"/>
      <c r="AD5351" s="3"/>
      <c r="AE5351" s="3"/>
      <c r="AF5351" s="3"/>
      <c r="AG5351" s="3"/>
      <c r="AH5351" s="3"/>
    </row>
    <row r="5352" spans="1:34" ht="14.25" customHeight="1" x14ac:dyDescent="0.25">
      <c r="A5352" s="3"/>
      <c r="B5352" s="3"/>
      <c r="C5352" s="3"/>
      <c r="D5352" s="3"/>
      <c r="E5352" s="3"/>
      <c r="F5352" s="3"/>
      <c r="G5352" s="3"/>
      <c r="H5352" s="11"/>
      <c r="I5352" s="12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  <c r="AA5352" s="3"/>
      <c r="AB5352" s="3"/>
      <c r="AC5352" s="3"/>
      <c r="AD5352" s="3"/>
      <c r="AE5352" s="3"/>
      <c r="AF5352" s="3"/>
      <c r="AG5352" s="3"/>
      <c r="AH5352" s="3"/>
    </row>
    <row r="5353" spans="1:34" ht="14.25" customHeight="1" x14ac:dyDescent="0.25">
      <c r="A5353" s="3"/>
      <c r="B5353" s="3"/>
      <c r="C5353" s="3"/>
      <c r="D5353" s="3"/>
      <c r="E5353" s="3"/>
      <c r="F5353" s="3"/>
      <c r="G5353" s="3"/>
      <c r="H5353" s="11"/>
      <c r="I5353" s="12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  <c r="AA5353" s="3"/>
      <c r="AB5353" s="3"/>
      <c r="AC5353" s="3"/>
      <c r="AD5353" s="3"/>
      <c r="AE5353" s="3"/>
      <c r="AF5353" s="3"/>
      <c r="AG5353" s="3"/>
      <c r="AH5353" s="3"/>
    </row>
    <row r="5354" spans="1:34" ht="14.25" customHeight="1" x14ac:dyDescent="0.25">
      <c r="A5354" s="3"/>
      <c r="B5354" s="3"/>
      <c r="C5354" s="3"/>
      <c r="D5354" s="3"/>
      <c r="E5354" s="3"/>
      <c r="F5354" s="3"/>
      <c r="G5354" s="3"/>
      <c r="H5354" s="11"/>
      <c r="I5354" s="12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  <c r="AA5354" s="3"/>
      <c r="AB5354" s="3"/>
      <c r="AC5354" s="3"/>
      <c r="AD5354" s="3"/>
      <c r="AE5354" s="3"/>
      <c r="AF5354" s="3"/>
      <c r="AG5354" s="3"/>
      <c r="AH5354" s="3"/>
    </row>
    <row r="5355" spans="1:34" ht="14.25" customHeight="1" x14ac:dyDescent="0.25">
      <c r="A5355" s="3"/>
      <c r="B5355" s="3"/>
      <c r="C5355" s="3"/>
      <c r="D5355" s="3"/>
      <c r="E5355" s="3"/>
      <c r="F5355" s="3"/>
      <c r="G5355" s="3"/>
      <c r="H5355" s="11"/>
      <c r="I5355" s="12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  <c r="AA5355" s="3"/>
      <c r="AB5355" s="3"/>
      <c r="AC5355" s="3"/>
      <c r="AD5355" s="3"/>
      <c r="AE5355" s="3"/>
      <c r="AF5355" s="3"/>
      <c r="AG5355" s="3"/>
      <c r="AH5355" s="3"/>
    </row>
    <row r="5356" spans="1:34" ht="14.25" customHeight="1" x14ac:dyDescent="0.25">
      <c r="A5356" s="3"/>
      <c r="B5356" s="3"/>
      <c r="C5356" s="3"/>
      <c r="D5356" s="3"/>
      <c r="E5356" s="3"/>
      <c r="F5356" s="3"/>
      <c r="G5356" s="3"/>
      <c r="H5356" s="11"/>
      <c r="I5356" s="12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  <c r="AA5356" s="3"/>
      <c r="AB5356" s="3"/>
      <c r="AC5356" s="3"/>
      <c r="AD5356" s="3"/>
      <c r="AE5356" s="3"/>
      <c r="AF5356" s="3"/>
      <c r="AG5356" s="3"/>
      <c r="AH5356" s="3"/>
    </row>
    <row r="5357" spans="1:34" ht="14.25" customHeight="1" x14ac:dyDescent="0.25">
      <c r="A5357" s="3"/>
      <c r="B5357" s="3"/>
      <c r="C5357" s="3"/>
      <c r="D5357" s="3"/>
      <c r="E5357" s="3"/>
      <c r="F5357" s="3"/>
      <c r="G5357" s="3"/>
      <c r="H5357" s="11"/>
      <c r="I5357" s="12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  <c r="AA5357" s="3"/>
      <c r="AB5357" s="3"/>
      <c r="AC5357" s="3"/>
      <c r="AD5357" s="3"/>
      <c r="AE5357" s="3"/>
      <c r="AF5357" s="3"/>
      <c r="AG5357" s="3"/>
      <c r="AH5357" s="3"/>
    </row>
    <row r="5358" spans="1:34" ht="14.25" customHeight="1" x14ac:dyDescent="0.25">
      <c r="A5358" s="3"/>
      <c r="B5358" s="3"/>
      <c r="C5358" s="3"/>
      <c r="D5358" s="3"/>
      <c r="E5358" s="3"/>
      <c r="F5358" s="3"/>
      <c r="G5358" s="3"/>
      <c r="H5358" s="11"/>
      <c r="I5358" s="12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  <c r="AA5358" s="3"/>
      <c r="AB5358" s="3"/>
      <c r="AC5358" s="3"/>
      <c r="AD5358" s="3"/>
      <c r="AE5358" s="3"/>
      <c r="AF5358" s="3"/>
      <c r="AG5358" s="3"/>
      <c r="AH5358" s="3"/>
    </row>
    <row r="5359" spans="1:34" ht="14.25" customHeight="1" x14ac:dyDescent="0.25">
      <c r="A5359" s="3"/>
      <c r="B5359" s="3"/>
      <c r="C5359" s="3"/>
      <c r="D5359" s="3"/>
      <c r="E5359" s="3"/>
      <c r="F5359" s="3"/>
      <c r="G5359" s="3"/>
      <c r="H5359" s="11"/>
      <c r="I5359" s="12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  <c r="AA5359" s="3"/>
      <c r="AB5359" s="3"/>
      <c r="AC5359" s="3"/>
      <c r="AD5359" s="3"/>
      <c r="AE5359" s="3"/>
      <c r="AF5359" s="3"/>
      <c r="AG5359" s="3"/>
      <c r="AH5359" s="3"/>
    </row>
    <row r="5360" spans="1:34" ht="14.25" customHeight="1" x14ac:dyDescent="0.25">
      <c r="A5360" s="3"/>
      <c r="B5360" s="3"/>
      <c r="C5360" s="3"/>
      <c r="D5360" s="3"/>
      <c r="E5360" s="3"/>
      <c r="F5360" s="3"/>
      <c r="G5360" s="3"/>
      <c r="H5360" s="11"/>
      <c r="I5360" s="12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  <c r="AA5360" s="3"/>
      <c r="AB5360" s="3"/>
      <c r="AC5360" s="3"/>
      <c r="AD5360" s="3"/>
      <c r="AE5360" s="3"/>
      <c r="AF5360" s="3"/>
      <c r="AG5360" s="3"/>
      <c r="AH5360" s="3"/>
    </row>
    <row r="5361" spans="1:34" ht="14.25" customHeight="1" x14ac:dyDescent="0.25">
      <c r="A5361" s="3"/>
      <c r="B5361" s="3"/>
      <c r="C5361" s="3"/>
      <c r="D5361" s="3"/>
      <c r="E5361" s="3"/>
      <c r="F5361" s="3"/>
      <c r="G5361" s="3"/>
      <c r="H5361" s="11"/>
      <c r="I5361" s="12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  <c r="AA5361" s="3"/>
      <c r="AB5361" s="3"/>
      <c r="AC5361" s="3"/>
      <c r="AD5361" s="3"/>
      <c r="AE5361" s="3"/>
      <c r="AF5361" s="3"/>
      <c r="AG5361" s="3"/>
      <c r="AH5361" s="3"/>
    </row>
    <row r="5362" spans="1:34" ht="14.25" customHeight="1" x14ac:dyDescent="0.25">
      <c r="A5362" s="3"/>
      <c r="B5362" s="3"/>
      <c r="C5362" s="3"/>
      <c r="D5362" s="3"/>
      <c r="E5362" s="3"/>
      <c r="F5362" s="3"/>
      <c r="G5362" s="3"/>
      <c r="H5362" s="11"/>
      <c r="I5362" s="12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  <c r="AA5362" s="3"/>
      <c r="AB5362" s="3"/>
      <c r="AC5362" s="3"/>
      <c r="AD5362" s="3"/>
      <c r="AE5362" s="3"/>
      <c r="AF5362" s="3"/>
      <c r="AG5362" s="3"/>
      <c r="AH5362" s="3"/>
    </row>
    <row r="5363" spans="1:34" ht="14.25" customHeight="1" x14ac:dyDescent="0.25">
      <c r="A5363" s="3"/>
      <c r="B5363" s="3"/>
      <c r="C5363" s="3"/>
      <c r="D5363" s="3"/>
      <c r="E5363" s="3"/>
      <c r="F5363" s="3"/>
      <c r="G5363" s="3"/>
      <c r="H5363" s="11"/>
      <c r="I5363" s="12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  <c r="AA5363" s="3"/>
      <c r="AB5363" s="3"/>
      <c r="AC5363" s="3"/>
      <c r="AD5363" s="3"/>
      <c r="AE5363" s="3"/>
      <c r="AF5363" s="3"/>
      <c r="AG5363" s="3"/>
      <c r="AH5363" s="3"/>
    </row>
    <row r="5364" spans="1:34" ht="14.25" customHeight="1" x14ac:dyDescent="0.25">
      <c r="A5364" s="3"/>
      <c r="B5364" s="3"/>
      <c r="C5364" s="3"/>
      <c r="D5364" s="3"/>
      <c r="E5364" s="3"/>
      <c r="F5364" s="3"/>
      <c r="G5364" s="3"/>
      <c r="H5364" s="11"/>
      <c r="I5364" s="12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  <c r="AA5364" s="3"/>
      <c r="AB5364" s="3"/>
      <c r="AC5364" s="3"/>
      <c r="AD5364" s="3"/>
      <c r="AE5364" s="3"/>
      <c r="AF5364" s="3"/>
      <c r="AG5364" s="3"/>
      <c r="AH5364" s="3"/>
    </row>
    <row r="5365" spans="1:34" ht="14.25" customHeight="1" x14ac:dyDescent="0.25">
      <c r="A5365" s="3"/>
      <c r="B5365" s="3"/>
      <c r="C5365" s="3"/>
      <c r="D5365" s="3"/>
      <c r="E5365" s="3"/>
      <c r="F5365" s="3"/>
      <c r="G5365" s="3"/>
      <c r="H5365" s="11"/>
      <c r="I5365" s="12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  <c r="AA5365" s="3"/>
      <c r="AB5365" s="3"/>
      <c r="AC5365" s="3"/>
      <c r="AD5365" s="3"/>
      <c r="AE5365" s="3"/>
      <c r="AF5365" s="3"/>
      <c r="AG5365" s="3"/>
      <c r="AH5365" s="3"/>
    </row>
    <row r="5366" spans="1:34" ht="14.25" customHeight="1" x14ac:dyDescent="0.25">
      <c r="A5366" s="3"/>
      <c r="B5366" s="3"/>
      <c r="C5366" s="3"/>
      <c r="D5366" s="3"/>
      <c r="E5366" s="3"/>
      <c r="F5366" s="3"/>
      <c r="G5366" s="3"/>
      <c r="H5366" s="11"/>
      <c r="I5366" s="12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  <c r="AA5366" s="3"/>
      <c r="AB5366" s="3"/>
      <c r="AC5366" s="3"/>
      <c r="AD5366" s="3"/>
      <c r="AE5366" s="3"/>
      <c r="AF5366" s="3"/>
      <c r="AG5366" s="3"/>
      <c r="AH5366" s="3"/>
    </row>
    <row r="5367" spans="1:34" ht="14.25" customHeight="1" x14ac:dyDescent="0.25">
      <c r="A5367" s="3"/>
      <c r="B5367" s="3"/>
      <c r="C5367" s="3"/>
      <c r="D5367" s="3"/>
      <c r="E5367" s="3"/>
      <c r="F5367" s="3"/>
      <c r="G5367" s="3"/>
      <c r="H5367" s="11"/>
      <c r="I5367" s="12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  <c r="AA5367" s="3"/>
      <c r="AB5367" s="3"/>
      <c r="AC5367" s="3"/>
      <c r="AD5367" s="3"/>
      <c r="AE5367" s="3"/>
      <c r="AF5367" s="3"/>
      <c r="AG5367" s="3"/>
      <c r="AH5367" s="3"/>
    </row>
    <row r="5368" spans="1:34" ht="14.25" customHeight="1" x14ac:dyDescent="0.25">
      <c r="A5368" s="3"/>
      <c r="B5368" s="3"/>
      <c r="C5368" s="3"/>
      <c r="D5368" s="3"/>
      <c r="E5368" s="3"/>
      <c r="F5368" s="3"/>
      <c r="G5368" s="3"/>
      <c r="H5368" s="11"/>
      <c r="I5368" s="12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  <c r="AA5368" s="3"/>
      <c r="AB5368" s="3"/>
      <c r="AC5368" s="3"/>
      <c r="AD5368" s="3"/>
      <c r="AE5368" s="3"/>
      <c r="AF5368" s="3"/>
      <c r="AG5368" s="3"/>
      <c r="AH5368" s="3"/>
    </row>
    <row r="5369" spans="1:34" ht="14.25" customHeight="1" x14ac:dyDescent="0.25">
      <c r="A5369" s="3"/>
      <c r="B5369" s="3"/>
      <c r="C5369" s="3"/>
      <c r="D5369" s="3"/>
      <c r="E5369" s="3"/>
      <c r="F5369" s="3"/>
      <c r="G5369" s="3"/>
      <c r="H5369" s="11"/>
      <c r="I5369" s="12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  <c r="AA5369" s="3"/>
      <c r="AB5369" s="3"/>
      <c r="AC5369" s="3"/>
      <c r="AD5369" s="3"/>
      <c r="AE5369" s="3"/>
      <c r="AF5369" s="3"/>
      <c r="AG5369" s="3"/>
      <c r="AH5369" s="3"/>
    </row>
    <row r="5370" spans="1:34" ht="14.25" customHeight="1" x14ac:dyDescent="0.25">
      <c r="A5370" s="3"/>
      <c r="B5370" s="3"/>
      <c r="C5370" s="3"/>
      <c r="D5370" s="3"/>
      <c r="E5370" s="3"/>
      <c r="F5370" s="3"/>
      <c r="G5370" s="3"/>
      <c r="H5370" s="11"/>
      <c r="I5370" s="12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  <c r="AA5370" s="3"/>
      <c r="AB5370" s="3"/>
      <c r="AC5370" s="3"/>
      <c r="AD5370" s="3"/>
      <c r="AE5370" s="3"/>
      <c r="AF5370" s="3"/>
      <c r="AG5370" s="3"/>
      <c r="AH5370" s="3"/>
    </row>
    <row r="5371" spans="1:34" ht="14.25" customHeight="1" x14ac:dyDescent="0.25">
      <c r="A5371" s="3"/>
      <c r="B5371" s="3"/>
      <c r="C5371" s="3"/>
      <c r="D5371" s="3"/>
      <c r="E5371" s="3"/>
      <c r="F5371" s="3"/>
      <c r="G5371" s="3"/>
      <c r="H5371" s="11"/>
      <c r="I5371" s="12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  <c r="AA5371" s="3"/>
      <c r="AB5371" s="3"/>
      <c r="AC5371" s="3"/>
      <c r="AD5371" s="3"/>
      <c r="AE5371" s="3"/>
      <c r="AF5371" s="3"/>
      <c r="AG5371" s="3"/>
      <c r="AH5371" s="3"/>
    </row>
    <row r="5372" spans="1:34" ht="14.25" customHeight="1" x14ac:dyDescent="0.25">
      <c r="A5372" s="3"/>
      <c r="B5372" s="3"/>
      <c r="C5372" s="3"/>
      <c r="D5372" s="3"/>
      <c r="E5372" s="3"/>
      <c r="F5372" s="3"/>
      <c r="G5372" s="3"/>
      <c r="H5372" s="11"/>
      <c r="I5372" s="12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  <c r="AA5372" s="3"/>
      <c r="AB5372" s="3"/>
      <c r="AC5372" s="3"/>
      <c r="AD5372" s="3"/>
      <c r="AE5372" s="3"/>
      <c r="AF5372" s="3"/>
      <c r="AG5372" s="3"/>
      <c r="AH5372" s="3"/>
    </row>
    <row r="5373" spans="1:34" ht="14.25" customHeight="1" x14ac:dyDescent="0.25">
      <c r="A5373" s="3"/>
      <c r="B5373" s="3"/>
      <c r="C5373" s="3"/>
      <c r="D5373" s="3"/>
      <c r="E5373" s="3"/>
      <c r="F5373" s="3"/>
      <c r="G5373" s="3"/>
      <c r="H5373" s="11"/>
      <c r="I5373" s="12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  <c r="AA5373" s="3"/>
      <c r="AB5373" s="3"/>
      <c r="AC5373" s="3"/>
      <c r="AD5373" s="3"/>
      <c r="AE5373" s="3"/>
      <c r="AF5373" s="3"/>
      <c r="AG5373" s="3"/>
      <c r="AH5373" s="3"/>
    </row>
    <row r="5374" spans="1:34" ht="14.25" customHeight="1" x14ac:dyDescent="0.25">
      <c r="A5374" s="3"/>
      <c r="B5374" s="3"/>
      <c r="C5374" s="3"/>
      <c r="D5374" s="3"/>
      <c r="E5374" s="3"/>
      <c r="F5374" s="3"/>
      <c r="G5374" s="3"/>
      <c r="H5374" s="11"/>
      <c r="I5374" s="12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  <c r="AA5374" s="3"/>
      <c r="AB5374" s="3"/>
      <c r="AC5374" s="3"/>
      <c r="AD5374" s="3"/>
      <c r="AE5374" s="3"/>
      <c r="AF5374" s="3"/>
      <c r="AG5374" s="3"/>
      <c r="AH5374" s="3"/>
    </row>
    <row r="5375" spans="1:34" ht="14.25" customHeight="1" x14ac:dyDescent="0.25">
      <c r="A5375" s="3"/>
      <c r="B5375" s="3"/>
      <c r="C5375" s="3"/>
      <c r="D5375" s="3"/>
      <c r="E5375" s="3"/>
      <c r="F5375" s="3"/>
      <c r="G5375" s="3"/>
      <c r="H5375" s="11"/>
      <c r="I5375" s="12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  <c r="AA5375" s="3"/>
      <c r="AB5375" s="3"/>
      <c r="AC5375" s="3"/>
      <c r="AD5375" s="3"/>
      <c r="AE5375" s="3"/>
      <c r="AF5375" s="3"/>
      <c r="AG5375" s="3"/>
      <c r="AH5375" s="3"/>
    </row>
    <row r="5376" spans="1:34" ht="14.25" customHeight="1" x14ac:dyDescent="0.25">
      <c r="A5376" s="3"/>
      <c r="B5376" s="3"/>
      <c r="C5376" s="3"/>
      <c r="D5376" s="3"/>
      <c r="E5376" s="3"/>
      <c r="F5376" s="3"/>
      <c r="G5376" s="3"/>
      <c r="H5376" s="11"/>
      <c r="I5376" s="12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  <c r="AA5376" s="3"/>
      <c r="AB5376" s="3"/>
      <c r="AC5376" s="3"/>
      <c r="AD5376" s="3"/>
      <c r="AE5376" s="3"/>
      <c r="AF5376" s="3"/>
      <c r="AG5376" s="3"/>
      <c r="AH5376" s="3"/>
    </row>
    <row r="5377" spans="1:34" ht="14.25" customHeight="1" x14ac:dyDescent="0.25">
      <c r="A5377" s="3"/>
      <c r="B5377" s="3"/>
      <c r="C5377" s="3"/>
      <c r="D5377" s="3"/>
      <c r="E5377" s="3"/>
      <c r="F5377" s="3"/>
      <c r="G5377" s="3"/>
      <c r="H5377" s="11"/>
      <c r="I5377" s="12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  <c r="AA5377" s="3"/>
      <c r="AB5377" s="3"/>
      <c r="AC5377" s="3"/>
      <c r="AD5377" s="3"/>
      <c r="AE5377" s="3"/>
      <c r="AF5377" s="3"/>
      <c r="AG5377" s="3"/>
      <c r="AH5377" s="3"/>
    </row>
    <row r="5378" spans="1:34" ht="14.25" customHeight="1" x14ac:dyDescent="0.25">
      <c r="A5378" s="3"/>
      <c r="B5378" s="3"/>
      <c r="C5378" s="3"/>
      <c r="D5378" s="3"/>
      <c r="E5378" s="3"/>
      <c r="F5378" s="3"/>
      <c r="G5378" s="3"/>
      <c r="H5378" s="11"/>
      <c r="I5378" s="12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  <c r="AA5378" s="3"/>
      <c r="AB5378" s="3"/>
      <c r="AC5378" s="3"/>
      <c r="AD5378" s="3"/>
      <c r="AE5378" s="3"/>
      <c r="AF5378" s="3"/>
      <c r="AG5378" s="3"/>
      <c r="AH5378" s="3"/>
    </row>
    <row r="5379" spans="1:34" ht="14.25" customHeight="1" x14ac:dyDescent="0.25">
      <c r="A5379" s="3"/>
      <c r="B5379" s="3"/>
      <c r="C5379" s="3"/>
      <c r="D5379" s="3"/>
      <c r="E5379" s="3"/>
      <c r="F5379" s="3"/>
      <c r="G5379" s="3"/>
      <c r="H5379" s="11"/>
      <c r="I5379" s="12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  <c r="AA5379" s="3"/>
      <c r="AB5379" s="3"/>
      <c r="AC5379" s="3"/>
      <c r="AD5379" s="3"/>
      <c r="AE5379" s="3"/>
      <c r="AF5379" s="3"/>
      <c r="AG5379" s="3"/>
      <c r="AH5379" s="3"/>
    </row>
    <row r="5380" spans="1:34" ht="14.25" customHeight="1" x14ac:dyDescent="0.25">
      <c r="A5380" s="3"/>
      <c r="B5380" s="3"/>
      <c r="C5380" s="3"/>
      <c r="D5380" s="3"/>
      <c r="E5380" s="3"/>
      <c r="F5380" s="3"/>
      <c r="G5380" s="3"/>
      <c r="H5380" s="11"/>
      <c r="I5380" s="12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  <c r="AA5380" s="3"/>
      <c r="AB5380" s="3"/>
      <c r="AC5380" s="3"/>
      <c r="AD5380" s="3"/>
      <c r="AE5380" s="3"/>
      <c r="AF5380" s="3"/>
      <c r="AG5380" s="3"/>
      <c r="AH5380" s="3"/>
    </row>
    <row r="5381" spans="1:34" ht="14.25" customHeight="1" x14ac:dyDescent="0.25">
      <c r="A5381" s="3"/>
      <c r="B5381" s="3"/>
      <c r="C5381" s="3"/>
      <c r="D5381" s="3"/>
      <c r="E5381" s="3"/>
      <c r="F5381" s="3"/>
      <c r="G5381" s="3"/>
      <c r="H5381" s="11"/>
      <c r="I5381" s="12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  <c r="AA5381" s="3"/>
      <c r="AB5381" s="3"/>
      <c r="AC5381" s="3"/>
      <c r="AD5381" s="3"/>
      <c r="AE5381" s="3"/>
      <c r="AF5381" s="3"/>
      <c r="AG5381" s="3"/>
      <c r="AH5381" s="3"/>
    </row>
    <row r="5382" spans="1:34" ht="14.25" customHeight="1" x14ac:dyDescent="0.25">
      <c r="A5382" s="3"/>
      <c r="B5382" s="3"/>
      <c r="C5382" s="3"/>
      <c r="D5382" s="3"/>
      <c r="E5382" s="3"/>
      <c r="F5382" s="3"/>
      <c r="G5382" s="3"/>
      <c r="H5382" s="11"/>
      <c r="I5382" s="12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  <c r="AA5382" s="3"/>
      <c r="AB5382" s="3"/>
      <c r="AC5382" s="3"/>
      <c r="AD5382" s="3"/>
      <c r="AE5382" s="3"/>
      <c r="AF5382" s="3"/>
      <c r="AG5382" s="3"/>
      <c r="AH5382" s="3"/>
    </row>
    <row r="5383" spans="1:34" ht="14.25" customHeight="1" x14ac:dyDescent="0.25">
      <c r="A5383" s="3"/>
      <c r="B5383" s="3"/>
      <c r="C5383" s="3"/>
      <c r="D5383" s="3"/>
      <c r="E5383" s="3"/>
      <c r="F5383" s="3"/>
      <c r="G5383" s="3"/>
      <c r="H5383" s="11"/>
      <c r="I5383" s="12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  <c r="AA5383" s="3"/>
      <c r="AB5383" s="3"/>
      <c r="AC5383" s="3"/>
      <c r="AD5383" s="3"/>
      <c r="AE5383" s="3"/>
      <c r="AF5383" s="3"/>
      <c r="AG5383" s="3"/>
      <c r="AH5383" s="3"/>
    </row>
    <row r="5384" spans="1:34" ht="14.25" customHeight="1" x14ac:dyDescent="0.25">
      <c r="A5384" s="3"/>
      <c r="B5384" s="3"/>
      <c r="C5384" s="3"/>
      <c r="D5384" s="3"/>
      <c r="E5384" s="3"/>
      <c r="F5384" s="3"/>
      <c r="G5384" s="3"/>
      <c r="H5384" s="11"/>
      <c r="I5384" s="12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  <c r="AA5384" s="3"/>
      <c r="AB5384" s="3"/>
      <c r="AC5384" s="3"/>
      <c r="AD5384" s="3"/>
      <c r="AE5384" s="3"/>
      <c r="AF5384" s="3"/>
      <c r="AG5384" s="3"/>
      <c r="AH5384" s="3"/>
    </row>
    <row r="5385" spans="1:34" ht="14.25" customHeight="1" x14ac:dyDescent="0.25">
      <c r="A5385" s="3"/>
      <c r="B5385" s="3"/>
      <c r="C5385" s="3"/>
      <c r="D5385" s="3"/>
      <c r="E5385" s="3"/>
      <c r="F5385" s="3"/>
      <c r="G5385" s="3"/>
      <c r="H5385" s="11"/>
      <c r="I5385" s="12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  <c r="AA5385" s="3"/>
      <c r="AB5385" s="3"/>
      <c r="AC5385" s="3"/>
      <c r="AD5385" s="3"/>
      <c r="AE5385" s="3"/>
      <c r="AF5385" s="3"/>
      <c r="AG5385" s="3"/>
      <c r="AH5385" s="3"/>
    </row>
    <row r="5386" spans="1:34" ht="14.25" customHeight="1" x14ac:dyDescent="0.25">
      <c r="A5386" s="3"/>
      <c r="B5386" s="3"/>
      <c r="C5386" s="3"/>
      <c r="D5386" s="3"/>
      <c r="E5386" s="3"/>
      <c r="F5386" s="3"/>
      <c r="G5386" s="3"/>
      <c r="H5386" s="11"/>
      <c r="I5386" s="12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  <c r="AA5386" s="3"/>
      <c r="AB5386" s="3"/>
      <c r="AC5386" s="3"/>
      <c r="AD5386" s="3"/>
      <c r="AE5386" s="3"/>
      <c r="AF5386" s="3"/>
      <c r="AG5386" s="3"/>
      <c r="AH5386" s="3"/>
    </row>
    <row r="5387" spans="1:34" ht="14.25" customHeight="1" x14ac:dyDescent="0.25">
      <c r="A5387" s="3"/>
      <c r="B5387" s="3"/>
      <c r="C5387" s="3"/>
      <c r="D5387" s="3"/>
      <c r="E5387" s="3"/>
      <c r="F5387" s="3"/>
      <c r="G5387" s="3"/>
      <c r="H5387" s="11"/>
      <c r="I5387" s="12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  <c r="AA5387" s="3"/>
      <c r="AB5387" s="3"/>
      <c r="AC5387" s="3"/>
      <c r="AD5387" s="3"/>
      <c r="AE5387" s="3"/>
      <c r="AF5387" s="3"/>
      <c r="AG5387" s="3"/>
      <c r="AH5387" s="3"/>
    </row>
    <row r="5388" spans="1:34" ht="14.25" customHeight="1" x14ac:dyDescent="0.25">
      <c r="A5388" s="3"/>
      <c r="B5388" s="3"/>
      <c r="C5388" s="3"/>
      <c r="D5388" s="3"/>
      <c r="E5388" s="3"/>
      <c r="F5388" s="3"/>
      <c r="G5388" s="3"/>
      <c r="H5388" s="11"/>
      <c r="I5388" s="12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  <c r="AA5388" s="3"/>
      <c r="AB5388" s="3"/>
      <c r="AC5388" s="3"/>
      <c r="AD5388" s="3"/>
      <c r="AE5388" s="3"/>
      <c r="AF5388" s="3"/>
      <c r="AG5388" s="3"/>
      <c r="AH5388" s="3"/>
    </row>
    <row r="5389" spans="1:34" ht="14.25" customHeight="1" x14ac:dyDescent="0.25">
      <c r="A5389" s="3"/>
      <c r="B5389" s="3"/>
      <c r="C5389" s="3"/>
      <c r="D5389" s="3"/>
      <c r="E5389" s="3"/>
      <c r="F5389" s="3"/>
      <c r="G5389" s="3"/>
      <c r="H5389" s="11"/>
      <c r="I5389" s="12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  <c r="AA5389" s="3"/>
      <c r="AB5389" s="3"/>
      <c r="AC5389" s="3"/>
      <c r="AD5389" s="3"/>
      <c r="AE5389" s="3"/>
      <c r="AF5389" s="3"/>
      <c r="AG5389" s="3"/>
      <c r="AH5389" s="3"/>
    </row>
    <row r="5390" spans="1:34" ht="14.25" customHeight="1" x14ac:dyDescent="0.25">
      <c r="A5390" s="3"/>
      <c r="B5390" s="3"/>
      <c r="C5390" s="3"/>
      <c r="D5390" s="3"/>
      <c r="E5390" s="3"/>
      <c r="F5390" s="3"/>
      <c r="G5390" s="3"/>
      <c r="H5390" s="11"/>
      <c r="I5390" s="12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  <c r="AA5390" s="3"/>
      <c r="AB5390" s="3"/>
      <c r="AC5390" s="3"/>
      <c r="AD5390" s="3"/>
      <c r="AE5390" s="3"/>
      <c r="AF5390" s="3"/>
      <c r="AG5390" s="3"/>
      <c r="AH5390" s="3"/>
    </row>
    <row r="5391" spans="1:34" ht="14.25" customHeight="1" x14ac:dyDescent="0.25">
      <c r="A5391" s="3"/>
      <c r="B5391" s="3"/>
      <c r="C5391" s="3"/>
      <c r="D5391" s="3"/>
      <c r="E5391" s="3"/>
      <c r="F5391" s="3"/>
      <c r="G5391" s="3"/>
      <c r="H5391" s="11"/>
      <c r="I5391" s="12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  <c r="AA5391" s="3"/>
      <c r="AB5391" s="3"/>
      <c r="AC5391" s="3"/>
      <c r="AD5391" s="3"/>
      <c r="AE5391" s="3"/>
      <c r="AF5391" s="3"/>
      <c r="AG5391" s="3"/>
      <c r="AH5391" s="3"/>
    </row>
    <row r="5392" spans="1:34" ht="14.25" customHeight="1" x14ac:dyDescent="0.25">
      <c r="A5392" s="3"/>
      <c r="B5392" s="3"/>
      <c r="C5392" s="3"/>
      <c r="D5392" s="3"/>
      <c r="E5392" s="3"/>
      <c r="F5392" s="3"/>
      <c r="G5392" s="3"/>
      <c r="H5392" s="11"/>
      <c r="I5392" s="12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  <c r="AA5392" s="3"/>
      <c r="AB5392" s="3"/>
      <c r="AC5392" s="3"/>
      <c r="AD5392" s="3"/>
      <c r="AE5392" s="3"/>
      <c r="AF5392" s="3"/>
      <c r="AG5392" s="3"/>
      <c r="AH5392" s="3"/>
    </row>
    <row r="5393" spans="1:34" ht="14.25" customHeight="1" x14ac:dyDescent="0.25">
      <c r="A5393" s="3"/>
      <c r="B5393" s="3"/>
      <c r="C5393" s="3"/>
      <c r="D5393" s="3"/>
      <c r="E5393" s="3"/>
      <c r="F5393" s="3"/>
      <c r="G5393" s="3"/>
      <c r="H5393" s="11"/>
      <c r="I5393" s="12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  <c r="AA5393" s="3"/>
      <c r="AB5393" s="3"/>
      <c r="AC5393" s="3"/>
      <c r="AD5393" s="3"/>
      <c r="AE5393" s="3"/>
      <c r="AF5393" s="3"/>
      <c r="AG5393" s="3"/>
      <c r="AH5393" s="3"/>
    </row>
    <row r="5394" spans="1:34" ht="14.25" customHeight="1" x14ac:dyDescent="0.25">
      <c r="A5394" s="3"/>
      <c r="B5394" s="3"/>
      <c r="C5394" s="3"/>
      <c r="D5394" s="3"/>
      <c r="E5394" s="3"/>
      <c r="F5394" s="3"/>
      <c r="G5394" s="3"/>
      <c r="H5394" s="11"/>
      <c r="I5394" s="12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  <c r="AA5394" s="3"/>
      <c r="AB5394" s="3"/>
      <c r="AC5394" s="3"/>
      <c r="AD5394" s="3"/>
      <c r="AE5394" s="3"/>
      <c r="AF5394" s="3"/>
      <c r="AG5394" s="3"/>
      <c r="AH5394" s="3"/>
    </row>
    <row r="5395" spans="1:34" ht="14.25" customHeight="1" x14ac:dyDescent="0.25">
      <c r="A5395" s="3"/>
      <c r="B5395" s="3"/>
      <c r="C5395" s="3"/>
      <c r="D5395" s="3"/>
      <c r="E5395" s="3"/>
      <c r="F5395" s="3"/>
      <c r="G5395" s="3"/>
      <c r="H5395" s="11"/>
      <c r="I5395" s="12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  <c r="AA5395" s="3"/>
      <c r="AB5395" s="3"/>
      <c r="AC5395" s="3"/>
      <c r="AD5395" s="3"/>
      <c r="AE5395" s="3"/>
      <c r="AF5395" s="3"/>
      <c r="AG5395" s="3"/>
      <c r="AH5395" s="3"/>
    </row>
    <row r="5396" spans="1:34" ht="14.25" customHeight="1" x14ac:dyDescent="0.25">
      <c r="A5396" s="3"/>
      <c r="B5396" s="3"/>
      <c r="C5396" s="3"/>
      <c r="D5396" s="3"/>
      <c r="E5396" s="3"/>
      <c r="F5396" s="3"/>
      <c r="G5396" s="3"/>
      <c r="H5396" s="11"/>
      <c r="I5396" s="12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14"/>
      <c r="X5396" s="3"/>
      <c r="Y5396" s="14"/>
      <c r="Z5396" s="3"/>
      <c r="AA5396" s="3"/>
      <c r="AB5396" s="3"/>
      <c r="AC5396" s="3"/>
      <c r="AD5396" s="3"/>
      <c r="AE5396" s="3"/>
      <c r="AF5396" s="3"/>
      <c r="AG5396" s="3"/>
      <c r="AH5396" s="3"/>
    </row>
    <row r="5397" spans="1:34" ht="14.25" customHeight="1" x14ac:dyDescent="0.25">
      <c r="A5397" s="3"/>
      <c r="B5397" s="3"/>
      <c r="C5397" s="3"/>
      <c r="D5397" s="3"/>
      <c r="E5397" s="3"/>
      <c r="F5397" s="3"/>
      <c r="G5397" s="3"/>
      <c r="H5397" s="11"/>
      <c r="I5397" s="12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14"/>
      <c r="X5397" s="3"/>
      <c r="Y5397" s="14"/>
      <c r="Z5397" s="3"/>
      <c r="AA5397" s="3"/>
      <c r="AB5397" s="3"/>
      <c r="AC5397" s="3"/>
      <c r="AD5397" s="3"/>
      <c r="AE5397" s="3"/>
      <c r="AF5397" s="3"/>
      <c r="AG5397" s="3"/>
      <c r="AH5397" s="3"/>
    </row>
    <row r="5398" spans="1:34" ht="14.25" customHeight="1" x14ac:dyDescent="0.25">
      <c r="A5398" s="3"/>
      <c r="B5398" s="3"/>
      <c r="C5398" s="3"/>
      <c r="D5398" s="3"/>
      <c r="E5398" s="3"/>
      <c r="F5398" s="3"/>
      <c r="G5398" s="3"/>
      <c r="H5398" s="11"/>
      <c r="I5398" s="12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14"/>
      <c r="X5398" s="3"/>
      <c r="Y5398" s="14"/>
      <c r="Z5398" s="3"/>
      <c r="AA5398" s="3"/>
      <c r="AB5398" s="3"/>
      <c r="AC5398" s="3"/>
      <c r="AD5398" s="3"/>
      <c r="AE5398" s="3"/>
      <c r="AF5398" s="3"/>
      <c r="AG5398" s="3"/>
      <c r="AH5398" s="3"/>
    </row>
    <row r="5399" spans="1:34" ht="14.25" customHeight="1" x14ac:dyDescent="0.25">
      <c r="A5399" s="3"/>
      <c r="B5399" s="3"/>
      <c r="C5399" s="3"/>
      <c r="D5399" s="3"/>
      <c r="E5399" s="3"/>
      <c r="F5399" s="3"/>
      <c r="G5399" s="3"/>
      <c r="H5399" s="11"/>
      <c r="I5399" s="12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14"/>
      <c r="X5399" s="3"/>
      <c r="Y5399" s="14"/>
      <c r="Z5399" s="3"/>
      <c r="AA5399" s="3"/>
      <c r="AB5399" s="3"/>
      <c r="AC5399" s="3"/>
      <c r="AD5399" s="3"/>
      <c r="AE5399" s="3"/>
      <c r="AF5399" s="3"/>
      <c r="AG5399" s="3"/>
      <c r="AH5399" s="3"/>
    </row>
    <row r="5400" spans="1:34" ht="14.25" customHeight="1" x14ac:dyDescent="0.25">
      <c r="A5400" s="3"/>
      <c r="B5400" s="3"/>
      <c r="C5400" s="3"/>
      <c r="D5400" s="3"/>
      <c r="E5400" s="3"/>
      <c r="F5400" s="3"/>
      <c r="G5400" s="3"/>
      <c r="H5400" s="11"/>
      <c r="I5400" s="12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14"/>
      <c r="X5400" s="3"/>
      <c r="Y5400" s="14"/>
      <c r="Z5400" s="3"/>
      <c r="AA5400" s="3"/>
      <c r="AB5400" s="3"/>
      <c r="AC5400" s="3"/>
      <c r="AD5400" s="3"/>
      <c r="AE5400" s="3"/>
      <c r="AF5400" s="3"/>
      <c r="AG5400" s="3"/>
      <c r="AH5400" s="3"/>
    </row>
    <row r="5401" spans="1:34" ht="14.25" customHeight="1" x14ac:dyDescent="0.25">
      <c r="A5401" s="3"/>
      <c r="B5401" s="3"/>
      <c r="C5401" s="3"/>
      <c r="D5401" s="3"/>
      <c r="E5401" s="3"/>
      <c r="F5401" s="3"/>
      <c r="G5401" s="3"/>
      <c r="H5401" s="11"/>
      <c r="I5401" s="12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14"/>
      <c r="X5401" s="3"/>
      <c r="Y5401" s="14"/>
      <c r="Z5401" s="3"/>
      <c r="AA5401" s="3"/>
      <c r="AB5401" s="3"/>
      <c r="AC5401" s="3"/>
      <c r="AD5401" s="3"/>
      <c r="AE5401" s="3"/>
      <c r="AF5401" s="3"/>
      <c r="AG5401" s="3"/>
      <c r="AH5401" s="3"/>
    </row>
    <row r="5402" spans="1:34" ht="14.25" customHeight="1" x14ac:dyDescent="0.25">
      <c r="A5402" s="3"/>
      <c r="B5402" s="3"/>
      <c r="C5402" s="3"/>
      <c r="D5402" s="3"/>
      <c r="E5402" s="3"/>
      <c r="F5402" s="3"/>
      <c r="G5402" s="3"/>
      <c r="H5402" s="11"/>
      <c r="I5402" s="12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14"/>
      <c r="X5402" s="3"/>
      <c r="Y5402" s="14"/>
      <c r="Z5402" s="3"/>
      <c r="AA5402" s="3"/>
      <c r="AB5402" s="3"/>
      <c r="AC5402" s="3"/>
      <c r="AD5402" s="3"/>
      <c r="AE5402" s="3"/>
      <c r="AF5402" s="3"/>
      <c r="AG5402" s="3"/>
      <c r="AH5402" s="3"/>
    </row>
    <row r="5403" spans="1:34" ht="14.25" customHeight="1" x14ac:dyDescent="0.25">
      <c r="A5403" s="3"/>
      <c r="B5403" s="3"/>
      <c r="C5403" s="3"/>
      <c r="D5403" s="3"/>
      <c r="E5403" s="3"/>
      <c r="F5403" s="3"/>
      <c r="G5403" s="14"/>
      <c r="H5403" s="11"/>
      <c r="I5403" s="12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14"/>
      <c r="X5403" s="3"/>
      <c r="Y5403" s="14"/>
      <c r="Z5403" s="3"/>
      <c r="AA5403" s="3"/>
      <c r="AB5403" s="3"/>
      <c r="AC5403" s="3"/>
      <c r="AD5403" s="3"/>
      <c r="AE5403" s="3"/>
      <c r="AF5403" s="3"/>
      <c r="AG5403" s="3"/>
      <c r="AH5403" s="3"/>
    </row>
    <row r="5404" spans="1:34" ht="14.25" customHeight="1" x14ac:dyDescent="0.25">
      <c r="A5404" s="3"/>
      <c r="B5404" s="3"/>
      <c r="C5404" s="3"/>
      <c r="D5404" s="3"/>
      <c r="E5404" s="3"/>
      <c r="F5404" s="3"/>
      <c r="G5404" s="14"/>
      <c r="H5404" s="11"/>
      <c r="I5404" s="12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14"/>
      <c r="X5404" s="3"/>
      <c r="Y5404" s="14"/>
      <c r="Z5404" s="3"/>
      <c r="AA5404" s="3"/>
      <c r="AB5404" s="3"/>
      <c r="AC5404" s="3"/>
      <c r="AD5404" s="3"/>
      <c r="AE5404" s="3"/>
      <c r="AF5404" s="3"/>
      <c r="AG5404" s="3"/>
      <c r="AH5404" s="3"/>
    </row>
    <row r="5405" spans="1:34" ht="14.25" customHeight="1" x14ac:dyDescent="0.25">
      <c r="A5405" s="3"/>
      <c r="B5405" s="3"/>
      <c r="C5405" s="3"/>
      <c r="D5405" s="3"/>
      <c r="E5405" s="3"/>
      <c r="F5405" s="3"/>
      <c r="G5405" s="3"/>
      <c r="H5405" s="11"/>
      <c r="I5405" s="12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14"/>
      <c r="X5405" s="3"/>
      <c r="Y5405" s="14"/>
      <c r="Z5405" s="3"/>
      <c r="AA5405" s="3"/>
      <c r="AB5405" s="3"/>
      <c r="AC5405" s="3"/>
      <c r="AD5405" s="3"/>
      <c r="AE5405" s="3"/>
      <c r="AF5405" s="3"/>
      <c r="AG5405" s="3"/>
      <c r="AH5405" s="3"/>
    </row>
    <row r="5406" spans="1:34" ht="14.25" customHeight="1" x14ac:dyDescent="0.25">
      <c r="A5406" s="3"/>
      <c r="B5406" s="3"/>
      <c r="C5406" s="3"/>
      <c r="D5406" s="3"/>
      <c r="E5406" s="3"/>
      <c r="F5406" s="3"/>
      <c r="G5406" s="3"/>
      <c r="H5406" s="11"/>
      <c r="I5406" s="12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14"/>
      <c r="X5406" s="3"/>
      <c r="Y5406" s="14"/>
      <c r="Z5406" s="3"/>
      <c r="AA5406" s="3"/>
      <c r="AB5406" s="3"/>
      <c r="AC5406" s="3"/>
      <c r="AD5406" s="3"/>
      <c r="AE5406" s="3"/>
      <c r="AF5406" s="3"/>
      <c r="AG5406" s="3"/>
      <c r="AH5406" s="3"/>
    </row>
    <row r="5407" spans="1:34" ht="14.25" customHeight="1" x14ac:dyDescent="0.25">
      <c r="A5407" s="3"/>
      <c r="B5407" s="3"/>
      <c r="C5407" s="3"/>
      <c r="D5407" s="3"/>
      <c r="E5407" s="3"/>
      <c r="F5407" s="3"/>
      <c r="G5407" s="14"/>
      <c r="H5407" s="11"/>
      <c r="I5407" s="12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14"/>
      <c r="X5407" s="3"/>
      <c r="Y5407" s="14"/>
      <c r="Z5407" s="3"/>
      <c r="AA5407" s="3"/>
      <c r="AB5407" s="3"/>
      <c r="AC5407" s="3"/>
      <c r="AD5407" s="3"/>
      <c r="AE5407" s="3"/>
      <c r="AF5407" s="3"/>
      <c r="AG5407" s="3"/>
      <c r="AH5407" s="3"/>
    </row>
    <row r="5408" spans="1:34" ht="14.25" customHeight="1" x14ac:dyDescent="0.25">
      <c r="A5408" s="3"/>
      <c r="B5408" s="3"/>
      <c r="C5408" s="3"/>
      <c r="D5408" s="3"/>
      <c r="E5408" s="3"/>
      <c r="F5408" s="3"/>
      <c r="G5408" s="3"/>
      <c r="H5408" s="11"/>
      <c r="I5408" s="12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14"/>
      <c r="X5408" s="3"/>
      <c r="Y5408" s="14"/>
      <c r="Z5408" s="3"/>
      <c r="AA5408" s="3"/>
      <c r="AB5408" s="3"/>
      <c r="AC5408" s="3"/>
      <c r="AD5408" s="3"/>
      <c r="AE5408" s="3"/>
      <c r="AF5408" s="3"/>
      <c r="AG5408" s="3"/>
      <c r="AH5408" s="3"/>
    </row>
    <row r="5409" spans="1:34" ht="14.25" customHeight="1" x14ac:dyDescent="0.25">
      <c r="A5409" s="3"/>
      <c r="B5409" s="3"/>
      <c r="C5409" s="3"/>
      <c r="D5409" s="3"/>
      <c r="E5409" s="3"/>
      <c r="F5409" s="3"/>
      <c r="G5409" s="3"/>
      <c r="H5409" s="11"/>
      <c r="I5409" s="12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14"/>
      <c r="X5409" s="3"/>
      <c r="Y5409" s="14"/>
      <c r="Z5409" s="3"/>
      <c r="AA5409" s="3"/>
      <c r="AB5409" s="3"/>
      <c r="AC5409" s="3"/>
      <c r="AD5409" s="3"/>
      <c r="AE5409" s="3"/>
      <c r="AF5409" s="3"/>
      <c r="AG5409" s="3"/>
      <c r="AH5409" s="3"/>
    </row>
    <row r="5410" spans="1:34" ht="14.25" customHeight="1" x14ac:dyDescent="0.25">
      <c r="A5410" s="3"/>
      <c r="B5410" s="3"/>
      <c r="C5410" s="3"/>
      <c r="D5410" s="3"/>
      <c r="E5410" s="3"/>
      <c r="F5410" s="3"/>
      <c r="G5410" s="14"/>
      <c r="H5410" s="11"/>
      <c r="I5410" s="12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14"/>
      <c r="X5410" s="3"/>
      <c r="Y5410" s="14"/>
      <c r="Z5410" s="3"/>
      <c r="AA5410" s="3"/>
      <c r="AB5410" s="3"/>
      <c r="AC5410" s="3"/>
      <c r="AD5410" s="3"/>
      <c r="AE5410" s="3"/>
      <c r="AF5410" s="3"/>
      <c r="AG5410" s="3"/>
      <c r="AH5410" s="3"/>
    </row>
    <row r="5411" spans="1:34" ht="14.25" customHeight="1" x14ac:dyDescent="0.25">
      <c r="A5411" s="3"/>
      <c r="B5411" s="3"/>
      <c r="C5411" s="3"/>
      <c r="D5411" s="3"/>
      <c r="E5411" s="3"/>
      <c r="F5411" s="3"/>
      <c r="G5411" s="14"/>
      <c r="H5411" s="11"/>
      <c r="I5411" s="12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14"/>
      <c r="X5411" s="3"/>
      <c r="Y5411" s="14"/>
      <c r="Z5411" s="3"/>
      <c r="AA5411" s="3"/>
      <c r="AB5411" s="3"/>
      <c r="AC5411" s="3"/>
      <c r="AD5411" s="3"/>
      <c r="AE5411" s="3"/>
      <c r="AF5411" s="3"/>
      <c r="AG5411" s="3"/>
      <c r="AH5411" s="3"/>
    </row>
    <row r="5412" spans="1:34" ht="14.25" customHeight="1" x14ac:dyDescent="0.25">
      <c r="A5412" s="3"/>
      <c r="B5412" s="3"/>
      <c r="C5412" s="3"/>
      <c r="D5412" s="3"/>
      <c r="E5412" s="3"/>
      <c r="F5412" s="3"/>
      <c r="G5412" s="14"/>
      <c r="H5412" s="11"/>
      <c r="I5412" s="12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14"/>
      <c r="X5412" s="3"/>
      <c r="Y5412" s="14"/>
      <c r="Z5412" s="3"/>
      <c r="AA5412" s="3"/>
      <c r="AB5412" s="3"/>
      <c r="AC5412" s="3"/>
      <c r="AD5412" s="3"/>
      <c r="AE5412" s="3"/>
      <c r="AF5412" s="3"/>
      <c r="AG5412" s="3"/>
      <c r="AH5412" s="3"/>
    </row>
    <row r="5413" spans="1:34" ht="14.25" customHeight="1" x14ac:dyDescent="0.25">
      <c r="A5413" s="3"/>
      <c r="B5413" s="3"/>
      <c r="C5413" s="3"/>
      <c r="D5413" s="3"/>
      <c r="E5413" s="3"/>
      <c r="F5413" s="3"/>
      <c r="G5413" s="3"/>
      <c r="H5413" s="11"/>
      <c r="I5413" s="12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14"/>
      <c r="X5413" s="3"/>
      <c r="Y5413" s="14"/>
      <c r="Z5413" s="3"/>
      <c r="AA5413" s="3"/>
      <c r="AB5413" s="3"/>
      <c r="AC5413" s="3"/>
      <c r="AD5413" s="3"/>
      <c r="AE5413" s="3"/>
      <c r="AF5413" s="3"/>
      <c r="AG5413" s="3"/>
      <c r="AH5413" s="3"/>
    </row>
    <row r="5414" spans="1:34" ht="14.25" customHeight="1" x14ac:dyDescent="0.25">
      <c r="A5414" s="3"/>
      <c r="B5414" s="3"/>
      <c r="C5414" s="3"/>
      <c r="D5414" s="3"/>
      <c r="E5414" s="3"/>
      <c r="F5414" s="3"/>
      <c r="G5414" s="3"/>
      <c r="H5414" s="11"/>
      <c r="I5414" s="12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14"/>
      <c r="X5414" s="3"/>
      <c r="Y5414" s="14"/>
      <c r="Z5414" s="3"/>
      <c r="AA5414" s="3"/>
      <c r="AB5414" s="3"/>
      <c r="AC5414" s="3"/>
      <c r="AD5414" s="3"/>
      <c r="AE5414" s="3"/>
      <c r="AF5414" s="3"/>
      <c r="AG5414" s="3"/>
      <c r="AH5414" s="3"/>
    </row>
    <row r="5415" spans="1:34" ht="14.25" customHeight="1" x14ac:dyDescent="0.25">
      <c r="A5415" s="3"/>
      <c r="B5415" s="3"/>
      <c r="C5415" s="3"/>
      <c r="D5415" s="3"/>
      <c r="E5415" s="3"/>
      <c r="F5415" s="3"/>
      <c r="G5415" s="3"/>
      <c r="H5415" s="11"/>
      <c r="I5415" s="12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14"/>
      <c r="X5415" s="3"/>
      <c r="Y5415" s="14"/>
      <c r="Z5415" s="3"/>
      <c r="AA5415" s="3"/>
      <c r="AB5415" s="3"/>
      <c r="AC5415" s="3"/>
      <c r="AD5415" s="3"/>
      <c r="AE5415" s="3"/>
      <c r="AF5415" s="3"/>
      <c r="AG5415" s="3"/>
      <c r="AH5415" s="3"/>
    </row>
    <row r="5416" spans="1:34" ht="14.25" customHeight="1" x14ac:dyDescent="0.25">
      <c r="A5416" s="3"/>
      <c r="B5416" s="3"/>
      <c r="C5416" s="3"/>
      <c r="D5416" s="3"/>
      <c r="E5416" s="3"/>
      <c r="F5416" s="3"/>
      <c r="G5416" s="3"/>
      <c r="H5416" s="11"/>
      <c r="I5416" s="12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14"/>
      <c r="X5416" s="3"/>
      <c r="Y5416" s="14"/>
      <c r="Z5416" s="3"/>
      <c r="AA5416" s="3"/>
      <c r="AB5416" s="3"/>
      <c r="AC5416" s="3"/>
      <c r="AD5416" s="3"/>
      <c r="AE5416" s="3"/>
      <c r="AF5416" s="3"/>
      <c r="AG5416" s="3"/>
      <c r="AH5416" s="3"/>
    </row>
    <row r="5417" spans="1:34" ht="14.25" customHeight="1" x14ac:dyDescent="0.25">
      <c r="A5417" s="3"/>
      <c r="B5417" s="3"/>
      <c r="C5417" s="3"/>
      <c r="D5417" s="3"/>
      <c r="E5417" s="3"/>
      <c r="F5417" s="3"/>
      <c r="G5417" s="3"/>
      <c r="H5417" s="11"/>
      <c r="I5417" s="12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14"/>
      <c r="X5417" s="3"/>
      <c r="Y5417" s="14"/>
      <c r="Z5417" s="3"/>
      <c r="AA5417" s="3"/>
      <c r="AB5417" s="3"/>
      <c r="AC5417" s="3"/>
      <c r="AD5417" s="3"/>
      <c r="AE5417" s="3"/>
      <c r="AF5417" s="3"/>
      <c r="AG5417" s="3"/>
      <c r="AH5417" s="3"/>
    </row>
    <row r="5418" spans="1:34" ht="14.25" customHeight="1" x14ac:dyDescent="0.25">
      <c r="A5418" s="3"/>
      <c r="B5418" s="3"/>
      <c r="C5418" s="3"/>
      <c r="D5418" s="3"/>
      <c r="E5418" s="3"/>
      <c r="F5418" s="3"/>
      <c r="G5418" s="3"/>
      <c r="H5418" s="11"/>
      <c r="I5418" s="12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14"/>
      <c r="X5418" s="3"/>
      <c r="Y5418" s="14"/>
      <c r="Z5418" s="3"/>
      <c r="AA5418" s="3"/>
      <c r="AB5418" s="3"/>
      <c r="AC5418" s="3"/>
      <c r="AD5418" s="3"/>
      <c r="AE5418" s="3"/>
      <c r="AF5418" s="3"/>
      <c r="AG5418" s="3"/>
      <c r="AH5418" s="3"/>
    </row>
    <row r="5419" spans="1:34" ht="14.25" customHeight="1" x14ac:dyDescent="0.25">
      <c r="A5419" s="3"/>
      <c r="B5419" s="3"/>
      <c r="C5419" s="3"/>
      <c r="D5419" s="3"/>
      <c r="E5419" s="3"/>
      <c r="F5419" s="3"/>
      <c r="G5419" s="3"/>
      <c r="H5419" s="11"/>
      <c r="I5419" s="12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14"/>
      <c r="X5419" s="3"/>
      <c r="Y5419" s="14"/>
      <c r="Z5419" s="3"/>
      <c r="AA5419" s="3"/>
      <c r="AB5419" s="3"/>
      <c r="AC5419" s="3"/>
      <c r="AD5419" s="3"/>
      <c r="AE5419" s="3"/>
      <c r="AF5419" s="3"/>
      <c r="AG5419" s="3"/>
      <c r="AH5419" s="3"/>
    </row>
    <row r="5420" spans="1:34" ht="14.25" customHeight="1" x14ac:dyDescent="0.25">
      <c r="A5420" s="3"/>
      <c r="B5420" s="3"/>
      <c r="C5420" s="3"/>
      <c r="D5420" s="3"/>
      <c r="E5420" s="3"/>
      <c r="F5420" s="3"/>
      <c r="G5420" s="3"/>
      <c r="H5420" s="11"/>
      <c r="I5420" s="12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14"/>
      <c r="X5420" s="3"/>
      <c r="Y5420" s="14"/>
      <c r="Z5420" s="3"/>
      <c r="AA5420" s="3"/>
      <c r="AB5420" s="3"/>
      <c r="AC5420" s="3"/>
      <c r="AD5420" s="3"/>
      <c r="AE5420" s="3"/>
      <c r="AF5420" s="3"/>
      <c r="AG5420" s="3"/>
      <c r="AH5420" s="3"/>
    </row>
    <row r="5421" spans="1:34" ht="14.25" customHeight="1" x14ac:dyDescent="0.25">
      <c r="A5421" s="3"/>
      <c r="B5421" s="3"/>
      <c r="C5421" s="3"/>
      <c r="D5421" s="3"/>
      <c r="E5421" s="3"/>
      <c r="F5421" s="3"/>
      <c r="G5421" s="3"/>
      <c r="H5421" s="11"/>
      <c r="I5421" s="12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14"/>
      <c r="X5421" s="3"/>
      <c r="Y5421" s="14"/>
      <c r="Z5421" s="3"/>
      <c r="AA5421" s="3"/>
      <c r="AB5421" s="3"/>
      <c r="AC5421" s="3"/>
      <c r="AD5421" s="3"/>
      <c r="AE5421" s="3"/>
      <c r="AF5421" s="3"/>
      <c r="AG5421" s="3"/>
      <c r="AH5421" s="3"/>
    </row>
    <row r="5422" spans="1:34" ht="14.25" customHeight="1" x14ac:dyDescent="0.25">
      <c r="A5422" s="3"/>
      <c r="B5422" s="3"/>
      <c r="C5422" s="3"/>
      <c r="D5422" s="3"/>
      <c r="E5422" s="3"/>
      <c r="F5422" s="3"/>
      <c r="G5422" s="3"/>
      <c r="H5422" s="11"/>
      <c r="I5422" s="12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14"/>
      <c r="X5422" s="3"/>
      <c r="Y5422" s="14"/>
      <c r="Z5422" s="3"/>
      <c r="AA5422" s="3"/>
      <c r="AB5422" s="3"/>
      <c r="AC5422" s="3"/>
      <c r="AD5422" s="3"/>
      <c r="AE5422" s="3"/>
      <c r="AF5422" s="3"/>
      <c r="AG5422" s="3"/>
      <c r="AH5422" s="3"/>
    </row>
    <row r="5423" spans="1:34" ht="14.25" customHeight="1" x14ac:dyDescent="0.25">
      <c r="A5423" s="3"/>
      <c r="B5423" s="3"/>
      <c r="C5423" s="3"/>
      <c r="D5423" s="3"/>
      <c r="E5423" s="3"/>
      <c r="F5423" s="3"/>
      <c r="G5423" s="3"/>
      <c r="H5423" s="11"/>
      <c r="I5423" s="12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14"/>
      <c r="X5423" s="3"/>
      <c r="Y5423" s="14"/>
      <c r="Z5423" s="3"/>
      <c r="AA5423" s="3"/>
      <c r="AB5423" s="3"/>
      <c r="AC5423" s="3"/>
      <c r="AD5423" s="3"/>
      <c r="AE5423" s="3"/>
      <c r="AF5423" s="3"/>
      <c r="AG5423" s="3"/>
      <c r="AH5423" s="3"/>
    </row>
    <row r="5424" spans="1:34" ht="14.25" customHeight="1" x14ac:dyDescent="0.25">
      <c r="A5424" s="3"/>
      <c r="B5424" s="3"/>
      <c r="C5424" s="3"/>
      <c r="D5424" s="3"/>
      <c r="E5424" s="3"/>
      <c r="F5424" s="3"/>
      <c r="G5424" s="3"/>
      <c r="H5424" s="11"/>
      <c r="I5424" s="12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14"/>
      <c r="X5424" s="3"/>
      <c r="Y5424" s="14"/>
      <c r="Z5424" s="3"/>
      <c r="AA5424" s="3"/>
      <c r="AB5424" s="3"/>
      <c r="AC5424" s="3"/>
      <c r="AD5424" s="3"/>
      <c r="AE5424" s="3"/>
      <c r="AF5424" s="3"/>
      <c r="AG5424" s="3"/>
      <c r="AH5424" s="3"/>
    </row>
    <row r="5425" spans="1:34" ht="14.25" customHeight="1" x14ac:dyDescent="0.25">
      <c r="A5425" s="3"/>
      <c r="B5425" s="3"/>
      <c r="C5425" s="3"/>
      <c r="D5425" s="3"/>
      <c r="E5425" s="3"/>
      <c r="F5425" s="3"/>
      <c r="G5425" s="3"/>
      <c r="H5425" s="11"/>
      <c r="I5425" s="12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14"/>
      <c r="X5425" s="3"/>
      <c r="Y5425" s="14"/>
      <c r="Z5425" s="3"/>
      <c r="AA5425" s="3"/>
      <c r="AB5425" s="3"/>
      <c r="AC5425" s="3"/>
      <c r="AD5425" s="3"/>
      <c r="AE5425" s="3"/>
      <c r="AF5425" s="3"/>
      <c r="AG5425" s="3"/>
      <c r="AH5425" s="3"/>
    </row>
    <row r="5426" spans="1:34" ht="14.25" customHeight="1" x14ac:dyDescent="0.25">
      <c r="A5426" s="3"/>
      <c r="B5426" s="3"/>
      <c r="C5426" s="3"/>
      <c r="D5426" s="3"/>
      <c r="E5426" s="3"/>
      <c r="F5426" s="3"/>
      <c r="G5426" s="3"/>
      <c r="H5426" s="11"/>
      <c r="I5426" s="12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14"/>
      <c r="X5426" s="3"/>
      <c r="Y5426" s="14"/>
      <c r="Z5426" s="3"/>
      <c r="AA5426" s="3"/>
      <c r="AB5426" s="3"/>
      <c r="AC5426" s="3"/>
      <c r="AD5426" s="3"/>
      <c r="AE5426" s="3"/>
      <c r="AF5426" s="3"/>
      <c r="AG5426" s="3"/>
      <c r="AH5426" s="3"/>
    </row>
    <row r="5427" spans="1:34" ht="14.25" customHeight="1" x14ac:dyDescent="0.25">
      <c r="A5427" s="3"/>
      <c r="B5427" s="3"/>
      <c r="C5427" s="3"/>
      <c r="D5427" s="3"/>
      <c r="E5427" s="3"/>
      <c r="F5427" s="3"/>
      <c r="G5427" s="3"/>
      <c r="H5427" s="11"/>
      <c r="I5427" s="12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14"/>
      <c r="X5427" s="3"/>
      <c r="Y5427" s="14"/>
      <c r="Z5427" s="3"/>
      <c r="AA5427" s="3"/>
      <c r="AB5427" s="3"/>
      <c r="AC5427" s="3"/>
      <c r="AD5427" s="3"/>
      <c r="AE5427" s="3"/>
      <c r="AF5427" s="3"/>
      <c r="AG5427" s="3"/>
      <c r="AH5427" s="3"/>
    </row>
    <row r="5428" spans="1:34" ht="14.25" customHeight="1" x14ac:dyDescent="0.25">
      <c r="A5428" s="3"/>
      <c r="B5428" s="3"/>
      <c r="C5428" s="3"/>
      <c r="D5428" s="3"/>
      <c r="E5428" s="3"/>
      <c r="F5428" s="3"/>
      <c r="G5428" s="3"/>
      <c r="H5428" s="11"/>
      <c r="I5428" s="12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14"/>
      <c r="X5428" s="3"/>
      <c r="Y5428" s="14"/>
      <c r="Z5428" s="3"/>
      <c r="AA5428" s="3"/>
      <c r="AB5428" s="3"/>
      <c r="AC5428" s="3"/>
      <c r="AD5428" s="3"/>
      <c r="AE5428" s="3"/>
      <c r="AF5428" s="3"/>
      <c r="AG5428" s="3"/>
      <c r="AH5428" s="3"/>
    </row>
    <row r="5429" spans="1:34" ht="14.25" customHeight="1" x14ac:dyDescent="0.25">
      <c r="A5429" s="3"/>
      <c r="B5429" s="3"/>
      <c r="C5429" s="3"/>
      <c r="D5429" s="3"/>
      <c r="E5429" s="3"/>
      <c r="F5429" s="3"/>
      <c r="G5429" s="3"/>
      <c r="H5429" s="11"/>
      <c r="I5429" s="12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14"/>
      <c r="X5429" s="3"/>
      <c r="Y5429" s="14"/>
      <c r="Z5429" s="3"/>
      <c r="AA5429" s="3"/>
      <c r="AB5429" s="3"/>
      <c r="AC5429" s="3"/>
      <c r="AD5429" s="3"/>
      <c r="AE5429" s="3"/>
      <c r="AF5429" s="3"/>
      <c r="AG5429" s="3"/>
      <c r="AH5429" s="3"/>
    </row>
    <row r="5430" spans="1:34" ht="14.25" customHeight="1" x14ac:dyDescent="0.25">
      <c r="A5430" s="3"/>
      <c r="B5430" s="3"/>
      <c r="C5430" s="3"/>
      <c r="D5430" s="3"/>
      <c r="E5430" s="3"/>
      <c r="F5430" s="3"/>
      <c r="G5430" s="3"/>
      <c r="H5430" s="11"/>
      <c r="I5430" s="12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14"/>
      <c r="X5430" s="3"/>
      <c r="Y5430" s="14"/>
      <c r="Z5430" s="3"/>
      <c r="AA5430" s="3"/>
      <c r="AB5430" s="3"/>
      <c r="AC5430" s="3"/>
      <c r="AD5430" s="3"/>
      <c r="AE5430" s="3"/>
      <c r="AF5430" s="3"/>
      <c r="AG5430" s="3"/>
      <c r="AH5430" s="3"/>
    </row>
    <row r="5431" spans="1:34" ht="14.25" customHeight="1" x14ac:dyDescent="0.25">
      <c r="A5431" s="3"/>
      <c r="B5431" s="3"/>
      <c r="C5431" s="3"/>
      <c r="D5431" s="3"/>
      <c r="E5431" s="3"/>
      <c r="F5431" s="3"/>
      <c r="G5431" s="3"/>
      <c r="H5431" s="11"/>
      <c r="I5431" s="12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14"/>
      <c r="X5431" s="3"/>
      <c r="Y5431" s="14"/>
      <c r="Z5431" s="3"/>
      <c r="AA5431" s="3"/>
      <c r="AB5431" s="3"/>
      <c r="AC5431" s="3"/>
      <c r="AD5431" s="3"/>
      <c r="AE5431" s="3"/>
      <c r="AF5431" s="3"/>
      <c r="AG5431" s="3"/>
      <c r="AH5431" s="3"/>
    </row>
    <row r="5432" spans="1:34" ht="14.25" customHeight="1" x14ac:dyDescent="0.25">
      <c r="A5432" s="3"/>
      <c r="B5432" s="3"/>
      <c r="C5432" s="3"/>
      <c r="D5432" s="3"/>
      <c r="E5432" s="3"/>
      <c r="F5432" s="3"/>
      <c r="G5432" s="3"/>
      <c r="H5432" s="11"/>
      <c r="I5432" s="12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14"/>
      <c r="X5432" s="3"/>
      <c r="Y5432" s="14"/>
      <c r="Z5432" s="3"/>
      <c r="AA5432" s="3"/>
      <c r="AB5432" s="3"/>
      <c r="AC5432" s="3"/>
      <c r="AD5432" s="3"/>
      <c r="AE5432" s="3"/>
      <c r="AF5432" s="3"/>
      <c r="AG5432" s="3"/>
      <c r="AH5432" s="3"/>
    </row>
    <row r="5433" spans="1:34" ht="14.25" customHeight="1" x14ac:dyDescent="0.25">
      <c r="A5433" s="3"/>
      <c r="B5433" s="3"/>
      <c r="C5433" s="3"/>
      <c r="D5433" s="3"/>
      <c r="E5433" s="3"/>
      <c r="F5433" s="3"/>
      <c r="G5433" s="3"/>
      <c r="H5433" s="11"/>
      <c r="I5433" s="12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14"/>
      <c r="X5433" s="3"/>
      <c r="Y5433" s="14"/>
      <c r="Z5433" s="3"/>
      <c r="AA5433" s="3"/>
      <c r="AB5433" s="3"/>
      <c r="AC5433" s="3"/>
      <c r="AD5433" s="3"/>
      <c r="AE5433" s="3"/>
      <c r="AF5433" s="3"/>
      <c r="AG5433" s="3"/>
      <c r="AH5433" s="3"/>
    </row>
    <row r="5434" spans="1:34" ht="14.25" customHeight="1" x14ac:dyDescent="0.25">
      <c r="A5434" s="3"/>
      <c r="B5434" s="3"/>
      <c r="C5434" s="3"/>
      <c r="D5434" s="3"/>
      <c r="E5434" s="3"/>
      <c r="F5434" s="3"/>
      <c r="G5434" s="3"/>
      <c r="H5434" s="11"/>
      <c r="I5434" s="12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14"/>
      <c r="X5434" s="3"/>
      <c r="Y5434" s="14"/>
      <c r="Z5434" s="3"/>
      <c r="AA5434" s="3"/>
      <c r="AB5434" s="3"/>
      <c r="AC5434" s="3"/>
      <c r="AD5434" s="3"/>
      <c r="AE5434" s="3"/>
      <c r="AF5434" s="3"/>
      <c r="AG5434" s="3"/>
      <c r="AH5434" s="3"/>
    </row>
    <row r="5435" spans="1:34" ht="14.25" customHeight="1" x14ac:dyDescent="0.25">
      <c r="A5435" s="3"/>
      <c r="B5435" s="3"/>
      <c r="C5435" s="3"/>
      <c r="D5435" s="3"/>
      <c r="E5435" s="3"/>
      <c r="F5435" s="3"/>
      <c r="G5435" s="3"/>
      <c r="H5435" s="11"/>
      <c r="I5435" s="12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14"/>
      <c r="X5435" s="3"/>
      <c r="Y5435" s="14"/>
      <c r="Z5435" s="3"/>
      <c r="AA5435" s="3"/>
      <c r="AB5435" s="3"/>
      <c r="AC5435" s="3"/>
      <c r="AD5435" s="3"/>
      <c r="AE5435" s="3"/>
      <c r="AF5435" s="3"/>
      <c r="AG5435" s="3"/>
      <c r="AH5435" s="3"/>
    </row>
    <row r="5436" spans="1:34" ht="14.25" customHeight="1" x14ac:dyDescent="0.25">
      <c r="A5436" s="3"/>
      <c r="B5436" s="3"/>
      <c r="C5436" s="3"/>
      <c r="D5436" s="3"/>
      <c r="E5436" s="3"/>
      <c r="F5436" s="3"/>
      <c r="G5436" s="3"/>
      <c r="H5436" s="11"/>
      <c r="I5436" s="12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14"/>
      <c r="X5436" s="3"/>
      <c r="Y5436" s="14"/>
      <c r="Z5436" s="3"/>
      <c r="AA5436" s="3"/>
      <c r="AB5436" s="3"/>
      <c r="AC5436" s="3"/>
      <c r="AD5436" s="3"/>
      <c r="AE5436" s="3"/>
      <c r="AF5436" s="3"/>
      <c r="AG5436" s="3"/>
      <c r="AH5436" s="3"/>
    </row>
    <row r="5437" spans="1:34" ht="14.25" customHeight="1" x14ac:dyDescent="0.25">
      <c r="A5437" s="3"/>
      <c r="B5437" s="3"/>
      <c r="C5437" s="3"/>
      <c r="D5437" s="3"/>
      <c r="E5437" s="3"/>
      <c r="F5437" s="3"/>
      <c r="G5437" s="3"/>
      <c r="H5437" s="11"/>
      <c r="I5437" s="12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14"/>
      <c r="X5437" s="3"/>
      <c r="Y5437" s="14"/>
      <c r="Z5437" s="3"/>
      <c r="AA5437" s="3"/>
      <c r="AB5437" s="3"/>
      <c r="AC5437" s="3"/>
      <c r="AD5437" s="3"/>
      <c r="AE5437" s="3"/>
      <c r="AF5437" s="3"/>
      <c r="AG5437" s="3"/>
      <c r="AH5437" s="3"/>
    </row>
    <row r="5438" spans="1:34" ht="14.25" customHeight="1" x14ac:dyDescent="0.25">
      <c r="A5438" s="3"/>
      <c r="B5438" s="3"/>
      <c r="C5438" s="3"/>
      <c r="D5438" s="3"/>
      <c r="E5438" s="3"/>
      <c r="F5438" s="3"/>
      <c r="G5438" s="3"/>
      <c r="H5438" s="11"/>
      <c r="I5438" s="12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14"/>
      <c r="X5438" s="3"/>
      <c r="Y5438" s="14"/>
      <c r="Z5438" s="3"/>
      <c r="AA5438" s="3"/>
      <c r="AB5438" s="3"/>
      <c r="AC5438" s="3"/>
      <c r="AD5438" s="3"/>
      <c r="AE5438" s="3"/>
      <c r="AF5438" s="3"/>
      <c r="AG5438" s="3"/>
      <c r="AH5438" s="3"/>
    </row>
    <row r="5439" spans="1:34" ht="14.25" customHeight="1" x14ac:dyDescent="0.25">
      <c r="A5439" s="3"/>
      <c r="B5439" s="3"/>
      <c r="C5439" s="3"/>
      <c r="D5439" s="3"/>
      <c r="E5439" s="3"/>
      <c r="F5439" s="3"/>
      <c r="G5439" s="3"/>
      <c r="H5439" s="11"/>
      <c r="I5439" s="12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14"/>
      <c r="X5439" s="3"/>
      <c r="Y5439" s="14"/>
      <c r="Z5439" s="3"/>
      <c r="AA5439" s="3"/>
      <c r="AB5439" s="3"/>
      <c r="AC5439" s="3"/>
      <c r="AD5439" s="3"/>
      <c r="AE5439" s="3"/>
      <c r="AF5439" s="3"/>
      <c r="AG5439" s="3"/>
      <c r="AH5439" s="3"/>
    </row>
    <row r="5440" spans="1:34" ht="14.25" customHeight="1" x14ac:dyDescent="0.25">
      <c r="A5440" s="3"/>
      <c r="B5440" s="3"/>
      <c r="C5440" s="3"/>
      <c r="D5440" s="3"/>
      <c r="E5440" s="3"/>
      <c r="F5440" s="3"/>
      <c r="G5440" s="3"/>
      <c r="H5440" s="11"/>
      <c r="I5440" s="12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14"/>
      <c r="X5440" s="3"/>
      <c r="Y5440" s="14"/>
      <c r="Z5440" s="3"/>
      <c r="AA5440" s="3"/>
      <c r="AB5440" s="3"/>
      <c r="AC5440" s="3"/>
      <c r="AD5440" s="3"/>
      <c r="AE5440" s="3"/>
      <c r="AF5440" s="3"/>
      <c r="AG5440" s="3"/>
      <c r="AH5440" s="3"/>
    </row>
    <row r="5441" spans="1:34" ht="14.25" customHeight="1" x14ac:dyDescent="0.25">
      <c r="A5441" s="3"/>
      <c r="B5441" s="3"/>
      <c r="C5441" s="3"/>
      <c r="D5441" s="3"/>
      <c r="E5441" s="3"/>
      <c r="F5441" s="3"/>
      <c r="G5441" s="3"/>
      <c r="H5441" s="11"/>
      <c r="I5441" s="12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14"/>
      <c r="X5441" s="3"/>
      <c r="Y5441" s="14"/>
      <c r="Z5441" s="3"/>
      <c r="AA5441" s="3"/>
      <c r="AB5441" s="3"/>
      <c r="AC5441" s="3"/>
      <c r="AD5441" s="3"/>
      <c r="AE5441" s="3"/>
      <c r="AF5441" s="3"/>
      <c r="AG5441" s="3"/>
      <c r="AH5441" s="3"/>
    </row>
    <row r="5442" spans="1:34" ht="14.25" customHeight="1" x14ac:dyDescent="0.25">
      <c r="A5442" s="3"/>
      <c r="B5442" s="3"/>
      <c r="C5442" s="3"/>
      <c r="D5442" s="3"/>
      <c r="E5442" s="3"/>
      <c r="F5442" s="3"/>
      <c r="G5442" s="3"/>
      <c r="H5442" s="11"/>
      <c r="I5442" s="12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14"/>
      <c r="X5442" s="3"/>
      <c r="Y5442" s="14"/>
      <c r="Z5442" s="3"/>
      <c r="AA5442" s="3"/>
      <c r="AB5442" s="3"/>
      <c r="AC5442" s="3"/>
      <c r="AD5442" s="3"/>
      <c r="AE5442" s="3"/>
      <c r="AF5442" s="3"/>
      <c r="AG5442" s="3"/>
      <c r="AH5442" s="3"/>
    </row>
    <row r="5443" spans="1:34" ht="14.25" customHeight="1" x14ac:dyDescent="0.25">
      <c r="A5443" s="3"/>
      <c r="B5443" s="3"/>
      <c r="C5443" s="3"/>
      <c r="D5443" s="3"/>
      <c r="E5443" s="3"/>
      <c r="F5443" s="3"/>
      <c r="G5443" s="3"/>
      <c r="H5443" s="11"/>
      <c r="I5443" s="12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14"/>
      <c r="X5443" s="3"/>
      <c r="Y5443" s="14"/>
      <c r="Z5443" s="3"/>
      <c r="AA5443" s="3"/>
      <c r="AB5443" s="3"/>
      <c r="AC5443" s="3"/>
      <c r="AD5443" s="3"/>
      <c r="AE5443" s="3"/>
      <c r="AF5443" s="3"/>
      <c r="AG5443" s="3"/>
      <c r="AH5443" s="3"/>
    </row>
    <row r="5444" spans="1:34" ht="14.25" customHeight="1" x14ac:dyDescent="0.25">
      <c r="A5444" s="3"/>
      <c r="B5444" s="3"/>
      <c r="C5444" s="3"/>
      <c r="D5444" s="3"/>
      <c r="E5444" s="3"/>
      <c r="F5444" s="3"/>
      <c r="G5444" s="3"/>
      <c r="H5444" s="11"/>
      <c r="I5444" s="12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14"/>
      <c r="X5444" s="3"/>
      <c r="Y5444" s="14"/>
      <c r="Z5444" s="3"/>
      <c r="AA5444" s="3"/>
      <c r="AB5444" s="3"/>
      <c r="AC5444" s="3"/>
      <c r="AD5444" s="3"/>
      <c r="AE5444" s="3"/>
      <c r="AF5444" s="3"/>
      <c r="AG5444" s="3"/>
      <c r="AH5444" s="3"/>
    </row>
    <row r="5445" spans="1:34" ht="14.25" customHeight="1" x14ac:dyDescent="0.25">
      <c r="A5445" s="3"/>
      <c r="B5445" s="3"/>
      <c r="C5445" s="3"/>
      <c r="D5445" s="3"/>
      <c r="E5445" s="3"/>
      <c r="F5445" s="3"/>
      <c r="G5445" s="3"/>
      <c r="H5445" s="11"/>
      <c r="I5445" s="12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14"/>
      <c r="X5445" s="3"/>
      <c r="Y5445" s="14"/>
      <c r="Z5445" s="3"/>
      <c r="AA5445" s="3"/>
      <c r="AB5445" s="3"/>
      <c r="AC5445" s="3"/>
      <c r="AD5445" s="3"/>
      <c r="AE5445" s="3"/>
      <c r="AF5445" s="3"/>
      <c r="AG5445" s="3"/>
      <c r="AH5445" s="3"/>
    </row>
    <row r="5446" spans="1:34" ht="14.25" customHeight="1" x14ac:dyDescent="0.25">
      <c r="A5446" s="3"/>
      <c r="B5446" s="3"/>
      <c r="C5446" s="3"/>
      <c r="D5446" s="3"/>
      <c r="E5446" s="3"/>
      <c r="F5446" s="3"/>
      <c r="G5446" s="3"/>
      <c r="H5446" s="11"/>
      <c r="I5446" s="12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14"/>
      <c r="X5446" s="3"/>
      <c r="Y5446" s="14"/>
      <c r="Z5446" s="3"/>
      <c r="AA5446" s="3"/>
      <c r="AB5446" s="3"/>
      <c r="AC5446" s="3"/>
      <c r="AD5446" s="3"/>
      <c r="AE5446" s="3"/>
      <c r="AF5446" s="3"/>
      <c r="AG5446" s="3"/>
      <c r="AH5446" s="3"/>
    </row>
    <row r="5447" spans="1:34" ht="14.25" customHeight="1" x14ac:dyDescent="0.25">
      <c r="A5447" s="3"/>
      <c r="B5447" s="3"/>
      <c r="C5447" s="3"/>
      <c r="D5447" s="3"/>
      <c r="E5447" s="3"/>
      <c r="F5447" s="3"/>
      <c r="G5447" s="14"/>
      <c r="H5447" s="11"/>
      <c r="I5447" s="12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14"/>
      <c r="X5447" s="3"/>
      <c r="Y5447" s="14"/>
      <c r="Z5447" s="3"/>
      <c r="AA5447" s="3"/>
      <c r="AB5447" s="3"/>
      <c r="AC5447" s="3"/>
      <c r="AD5447" s="3"/>
      <c r="AE5447" s="3"/>
      <c r="AF5447" s="3"/>
      <c r="AG5447" s="3"/>
      <c r="AH5447" s="3"/>
    </row>
    <row r="5448" spans="1:34" ht="14.25" customHeight="1" x14ac:dyDescent="0.25">
      <c r="A5448" s="3"/>
      <c r="B5448" s="3"/>
      <c r="C5448" s="3"/>
      <c r="D5448" s="3"/>
      <c r="E5448" s="3"/>
      <c r="F5448" s="3"/>
      <c r="G5448" s="3"/>
      <c r="H5448" s="11"/>
      <c r="I5448" s="12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14"/>
      <c r="X5448" s="3"/>
      <c r="Y5448" s="14"/>
      <c r="Z5448" s="3"/>
      <c r="AA5448" s="3"/>
      <c r="AB5448" s="3"/>
      <c r="AC5448" s="3"/>
      <c r="AD5448" s="3"/>
      <c r="AE5448" s="3"/>
      <c r="AF5448" s="3"/>
      <c r="AG5448" s="3"/>
      <c r="AH5448" s="3"/>
    </row>
    <row r="5449" spans="1:34" ht="14.25" customHeight="1" x14ac:dyDescent="0.25">
      <c r="A5449" s="3"/>
      <c r="B5449" s="3"/>
      <c r="C5449" s="3"/>
      <c r="D5449" s="3"/>
      <c r="E5449" s="3"/>
      <c r="F5449" s="3"/>
      <c r="G5449" s="3"/>
      <c r="H5449" s="11"/>
      <c r="I5449" s="12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14"/>
      <c r="X5449" s="3"/>
      <c r="Y5449" s="14"/>
      <c r="Z5449" s="3"/>
      <c r="AA5449" s="3"/>
      <c r="AB5449" s="3"/>
      <c r="AC5449" s="3"/>
      <c r="AD5449" s="3"/>
      <c r="AE5449" s="3"/>
      <c r="AF5449" s="3"/>
      <c r="AG5449" s="3"/>
      <c r="AH5449" s="3"/>
    </row>
    <row r="5450" spans="1:34" ht="14.25" customHeight="1" x14ac:dyDescent="0.25">
      <c r="A5450" s="3"/>
      <c r="B5450" s="3"/>
      <c r="C5450" s="3"/>
      <c r="D5450" s="3"/>
      <c r="E5450" s="3"/>
      <c r="F5450" s="3"/>
      <c r="G5450" s="3"/>
      <c r="H5450" s="11"/>
      <c r="I5450" s="12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14"/>
      <c r="X5450" s="3"/>
      <c r="Y5450" s="14"/>
      <c r="Z5450" s="3"/>
      <c r="AA5450" s="3"/>
      <c r="AB5450" s="3"/>
      <c r="AC5450" s="3"/>
      <c r="AD5450" s="3"/>
      <c r="AE5450" s="3"/>
      <c r="AF5450" s="3"/>
      <c r="AG5450" s="3"/>
      <c r="AH5450" s="3"/>
    </row>
    <row r="5451" spans="1:34" ht="14.25" customHeight="1" x14ac:dyDescent="0.25">
      <c r="A5451" s="3"/>
      <c r="B5451" s="3"/>
      <c r="C5451" s="3"/>
      <c r="D5451" s="3"/>
      <c r="E5451" s="3"/>
      <c r="F5451" s="3"/>
      <c r="G5451" s="3"/>
      <c r="H5451" s="11"/>
      <c r="I5451" s="12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14"/>
      <c r="X5451" s="3"/>
      <c r="Y5451" s="14"/>
      <c r="Z5451" s="3"/>
      <c r="AA5451" s="3"/>
      <c r="AB5451" s="3"/>
      <c r="AC5451" s="3"/>
      <c r="AD5451" s="3"/>
      <c r="AE5451" s="3"/>
      <c r="AF5451" s="3"/>
      <c r="AG5451" s="3"/>
      <c r="AH5451" s="3"/>
    </row>
    <row r="5452" spans="1:34" ht="14.25" customHeight="1" x14ac:dyDescent="0.25">
      <c r="A5452" s="3"/>
      <c r="B5452" s="3"/>
      <c r="C5452" s="3"/>
      <c r="D5452" s="3"/>
      <c r="E5452" s="3"/>
      <c r="F5452" s="3"/>
      <c r="G5452" s="3"/>
      <c r="H5452" s="11"/>
      <c r="I5452" s="12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14"/>
      <c r="X5452" s="3"/>
      <c r="Y5452" s="14"/>
      <c r="Z5452" s="3"/>
      <c r="AA5452" s="3"/>
      <c r="AB5452" s="3"/>
      <c r="AC5452" s="3"/>
      <c r="AD5452" s="3"/>
      <c r="AE5452" s="3"/>
      <c r="AF5452" s="3"/>
      <c r="AG5452" s="3"/>
      <c r="AH5452" s="3"/>
    </row>
    <row r="5453" spans="1:34" ht="14.25" customHeight="1" x14ac:dyDescent="0.25">
      <c r="A5453" s="3"/>
      <c r="B5453" s="3"/>
      <c r="C5453" s="3"/>
      <c r="D5453" s="3"/>
      <c r="E5453" s="3"/>
      <c r="F5453" s="3"/>
      <c r="G5453" s="3"/>
      <c r="H5453" s="11"/>
      <c r="I5453" s="12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14"/>
      <c r="X5453" s="3"/>
      <c r="Y5453" s="14"/>
      <c r="Z5453" s="3"/>
      <c r="AA5453" s="3"/>
      <c r="AB5453" s="3"/>
      <c r="AC5453" s="3"/>
      <c r="AD5453" s="3"/>
      <c r="AE5453" s="3"/>
      <c r="AF5453" s="3"/>
      <c r="AG5453" s="3"/>
      <c r="AH5453" s="3"/>
    </row>
    <row r="5454" spans="1:34" ht="14.25" customHeight="1" x14ac:dyDescent="0.25">
      <c r="A5454" s="3"/>
      <c r="B5454" s="3"/>
      <c r="C5454" s="3"/>
      <c r="D5454" s="3"/>
      <c r="E5454" s="3"/>
      <c r="F5454" s="3"/>
      <c r="G5454" s="3"/>
      <c r="H5454" s="11"/>
      <c r="I5454" s="12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14"/>
      <c r="X5454" s="3"/>
      <c r="Y5454" s="14"/>
      <c r="Z5454" s="3"/>
      <c r="AA5454" s="3"/>
      <c r="AB5454" s="3"/>
      <c r="AC5454" s="3"/>
      <c r="AD5454" s="3"/>
      <c r="AE5454" s="3"/>
      <c r="AF5454" s="3"/>
      <c r="AG5454" s="3"/>
      <c r="AH5454" s="3"/>
    </row>
    <row r="5455" spans="1:34" ht="14.25" customHeight="1" x14ac:dyDescent="0.25">
      <c r="A5455" s="3"/>
      <c r="B5455" s="3"/>
      <c r="C5455" s="3"/>
      <c r="D5455" s="3"/>
      <c r="E5455" s="3"/>
      <c r="F5455" s="3"/>
      <c r="G5455" s="3"/>
      <c r="H5455" s="11"/>
      <c r="I5455" s="12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14"/>
      <c r="X5455" s="3"/>
      <c r="Y5455" s="14"/>
      <c r="Z5455" s="3"/>
      <c r="AA5455" s="3"/>
      <c r="AB5455" s="3"/>
      <c r="AC5455" s="3"/>
      <c r="AD5455" s="3"/>
      <c r="AE5455" s="3"/>
      <c r="AF5455" s="3"/>
      <c r="AG5455" s="3"/>
      <c r="AH5455" s="3"/>
    </row>
    <row r="5456" spans="1:34" ht="14.25" customHeight="1" x14ac:dyDescent="0.25">
      <c r="A5456" s="3"/>
      <c r="B5456" s="3"/>
      <c r="C5456" s="3"/>
      <c r="D5456" s="3"/>
      <c r="E5456" s="3"/>
      <c r="F5456" s="3"/>
      <c r="G5456" s="3"/>
      <c r="H5456" s="11"/>
      <c r="I5456" s="12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14"/>
      <c r="X5456" s="3"/>
      <c r="Y5456" s="14"/>
      <c r="Z5456" s="3"/>
      <c r="AA5456" s="3"/>
      <c r="AB5456" s="3"/>
      <c r="AC5456" s="3"/>
      <c r="AD5456" s="3"/>
      <c r="AE5456" s="3"/>
      <c r="AF5456" s="3"/>
      <c r="AG5456" s="3"/>
      <c r="AH5456" s="3"/>
    </row>
    <row r="5457" spans="1:34" ht="14.25" customHeight="1" x14ac:dyDescent="0.25">
      <c r="A5457" s="3"/>
      <c r="B5457" s="3"/>
      <c r="C5457" s="3"/>
      <c r="D5457" s="3"/>
      <c r="E5457" s="3"/>
      <c r="F5457" s="3"/>
      <c r="G5457" s="3"/>
      <c r="H5457" s="11"/>
      <c r="I5457" s="12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14"/>
      <c r="X5457" s="3"/>
      <c r="Y5457" s="14"/>
      <c r="Z5457" s="3"/>
      <c r="AA5457" s="3"/>
      <c r="AB5457" s="3"/>
      <c r="AC5457" s="3"/>
      <c r="AD5457" s="3"/>
      <c r="AE5457" s="3"/>
      <c r="AF5457" s="3"/>
      <c r="AG5457" s="3"/>
      <c r="AH5457" s="3"/>
    </row>
    <row r="5458" spans="1:34" ht="14.25" customHeight="1" x14ac:dyDescent="0.25">
      <c r="A5458" s="3"/>
      <c r="B5458" s="3"/>
      <c r="C5458" s="3"/>
      <c r="D5458" s="3"/>
      <c r="E5458" s="3"/>
      <c r="F5458" s="3"/>
      <c r="G5458" s="3"/>
      <c r="H5458" s="11"/>
      <c r="I5458" s="12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14"/>
      <c r="X5458" s="3"/>
      <c r="Y5458" s="14"/>
      <c r="Z5458" s="3"/>
      <c r="AA5458" s="3"/>
      <c r="AB5458" s="3"/>
      <c r="AC5458" s="3"/>
      <c r="AD5458" s="3"/>
      <c r="AE5458" s="3"/>
      <c r="AF5458" s="3"/>
      <c r="AG5458" s="3"/>
      <c r="AH5458" s="3"/>
    </row>
    <row r="5459" spans="1:34" ht="14.25" customHeight="1" x14ac:dyDescent="0.25">
      <c r="A5459" s="3"/>
      <c r="B5459" s="3"/>
      <c r="C5459" s="3"/>
      <c r="D5459" s="3"/>
      <c r="E5459" s="3"/>
      <c r="F5459" s="3"/>
      <c r="G5459" s="3"/>
      <c r="H5459" s="11"/>
      <c r="I5459" s="12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14"/>
      <c r="X5459" s="3"/>
      <c r="Y5459" s="14"/>
      <c r="Z5459" s="3"/>
      <c r="AA5459" s="3"/>
      <c r="AB5459" s="3"/>
      <c r="AC5459" s="3"/>
      <c r="AD5459" s="3"/>
      <c r="AE5459" s="3"/>
      <c r="AF5459" s="3"/>
      <c r="AG5459" s="3"/>
      <c r="AH5459" s="3"/>
    </row>
    <row r="5460" spans="1:34" ht="14.25" customHeight="1" x14ac:dyDescent="0.25">
      <c r="A5460" s="3"/>
      <c r="B5460" s="3"/>
      <c r="C5460" s="3"/>
      <c r="D5460" s="3"/>
      <c r="E5460" s="3"/>
      <c r="F5460" s="3"/>
      <c r="G5460" s="3"/>
      <c r="H5460" s="11"/>
      <c r="I5460" s="12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14"/>
      <c r="X5460" s="3"/>
      <c r="Y5460" s="14"/>
      <c r="Z5460" s="3"/>
      <c r="AA5460" s="3"/>
      <c r="AB5460" s="3"/>
      <c r="AC5460" s="3"/>
      <c r="AD5460" s="3"/>
      <c r="AE5460" s="3"/>
      <c r="AF5460" s="3"/>
      <c r="AG5460" s="3"/>
      <c r="AH5460" s="3"/>
    </row>
    <row r="5461" spans="1:34" ht="14.25" customHeight="1" x14ac:dyDescent="0.25">
      <c r="A5461" s="3"/>
      <c r="B5461" s="3"/>
      <c r="C5461" s="3"/>
      <c r="D5461" s="3"/>
      <c r="E5461" s="3"/>
      <c r="F5461" s="3"/>
      <c r="G5461" s="3"/>
      <c r="H5461" s="11"/>
      <c r="I5461" s="12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14"/>
      <c r="X5461" s="3"/>
      <c r="Y5461" s="14"/>
      <c r="Z5461" s="3"/>
      <c r="AA5461" s="3"/>
      <c r="AB5461" s="3"/>
      <c r="AC5461" s="3"/>
      <c r="AD5461" s="3"/>
      <c r="AE5461" s="3"/>
      <c r="AF5461" s="3"/>
      <c r="AG5461" s="3"/>
      <c r="AH5461" s="3"/>
    </row>
    <row r="5462" spans="1:34" ht="14.25" customHeight="1" x14ac:dyDescent="0.25">
      <c r="A5462" s="3"/>
      <c r="B5462" s="3"/>
      <c r="C5462" s="3"/>
      <c r="D5462" s="3"/>
      <c r="E5462" s="3"/>
      <c r="F5462" s="3"/>
      <c r="G5462" s="3"/>
      <c r="H5462" s="11"/>
      <c r="I5462" s="12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14"/>
      <c r="X5462" s="3"/>
      <c r="Y5462" s="14"/>
      <c r="Z5462" s="3"/>
      <c r="AA5462" s="3"/>
      <c r="AB5462" s="3"/>
      <c r="AC5462" s="3"/>
      <c r="AD5462" s="3"/>
      <c r="AE5462" s="3"/>
      <c r="AF5462" s="3"/>
      <c r="AG5462" s="3"/>
      <c r="AH5462" s="3"/>
    </row>
    <row r="5463" spans="1:34" ht="14.25" customHeight="1" x14ac:dyDescent="0.25">
      <c r="A5463" s="3"/>
      <c r="B5463" s="3"/>
      <c r="C5463" s="3"/>
      <c r="D5463" s="3"/>
      <c r="E5463" s="3"/>
      <c r="F5463" s="3"/>
      <c r="G5463" s="3"/>
      <c r="H5463" s="11"/>
      <c r="I5463" s="12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14"/>
      <c r="X5463" s="3"/>
      <c r="Y5463" s="14"/>
      <c r="Z5463" s="3"/>
      <c r="AA5463" s="3"/>
      <c r="AB5463" s="3"/>
      <c r="AC5463" s="3"/>
      <c r="AD5463" s="3"/>
      <c r="AE5463" s="3"/>
      <c r="AF5463" s="3"/>
      <c r="AG5463" s="3"/>
      <c r="AH5463" s="3"/>
    </row>
    <row r="5464" spans="1:34" ht="14.25" customHeight="1" x14ac:dyDescent="0.25">
      <c r="A5464" s="3"/>
      <c r="B5464" s="3"/>
      <c r="C5464" s="3"/>
      <c r="D5464" s="3"/>
      <c r="E5464" s="3"/>
      <c r="F5464" s="3"/>
      <c r="G5464" s="3"/>
      <c r="H5464" s="11"/>
      <c r="I5464" s="12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14"/>
      <c r="X5464" s="3"/>
      <c r="Y5464" s="14"/>
      <c r="Z5464" s="3"/>
      <c r="AA5464" s="3"/>
      <c r="AB5464" s="3"/>
      <c r="AC5464" s="3"/>
      <c r="AD5464" s="3"/>
      <c r="AE5464" s="3"/>
      <c r="AF5464" s="3"/>
      <c r="AG5464" s="3"/>
      <c r="AH5464" s="3"/>
    </row>
    <row r="5465" spans="1:34" ht="14.25" customHeight="1" x14ac:dyDescent="0.25">
      <c r="A5465" s="3"/>
      <c r="B5465" s="3"/>
      <c r="C5465" s="3"/>
      <c r="D5465" s="3"/>
      <c r="E5465" s="3"/>
      <c r="F5465" s="3"/>
      <c r="G5465" s="3"/>
      <c r="H5465" s="11"/>
      <c r="I5465" s="12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14"/>
      <c r="X5465" s="3"/>
      <c r="Y5465" s="14"/>
      <c r="Z5465" s="3"/>
      <c r="AA5465" s="3"/>
      <c r="AB5465" s="3"/>
      <c r="AC5465" s="3"/>
      <c r="AD5465" s="3"/>
      <c r="AE5465" s="3"/>
      <c r="AF5465" s="3"/>
      <c r="AG5465" s="3"/>
      <c r="AH5465" s="3"/>
    </row>
    <row r="5466" spans="1:34" ht="14.25" customHeight="1" x14ac:dyDescent="0.25">
      <c r="A5466" s="3"/>
      <c r="B5466" s="3"/>
      <c r="C5466" s="3"/>
      <c r="D5466" s="3"/>
      <c r="E5466" s="3"/>
      <c r="F5466" s="3"/>
      <c r="G5466" s="3"/>
      <c r="H5466" s="11"/>
      <c r="I5466" s="12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14"/>
      <c r="X5466" s="3"/>
      <c r="Y5466" s="14"/>
      <c r="Z5466" s="3"/>
      <c r="AA5466" s="3"/>
      <c r="AB5466" s="3"/>
      <c r="AC5466" s="3"/>
      <c r="AD5466" s="3"/>
      <c r="AE5466" s="3"/>
      <c r="AF5466" s="3"/>
      <c r="AG5466" s="3"/>
      <c r="AH5466" s="3"/>
    </row>
    <row r="5467" spans="1:34" ht="14.25" customHeight="1" x14ac:dyDescent="0.25">
      <c r="A5467" s="3"/>
      <c r="B5467" s="3"/>
      <c r="C5467" s="3"/>
      <c r="D5467" s="3"/>
      <c r="E5467" s="3"/>
      <c r="F5467" s="3"/>
      <c r="G5467" s="3"/>
      <c r="H5467" s="11"/>
      <c r="I5467" s="12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14"/>
      <c r="X5467" s="3"/>
      <c r="Y5467" s="14"/>
      <c r="Z5467" s="3"/>
      <c r="AA5467" s="3"/>
      <c r="AB5467" s="3"/>
      <c r="AC5467" s="3"/>
      <c r="AD5467" s="3"/>
      <c r="AE5467" s="3"/>
      <c r="AF5467" s="3"/>
      <c r="AG5467" s="3"/>
      <c r="AH5467" s="3"/>
    </row>
    <row r="5468" spans="1:34" ht="14.25" customHeight="1" x14ac:dyDescent="0.25">
      <c r="A5468" s="3"/>
      <c r="B5468" s="3"/>
      <c r="C5468" s="3"/>
      <c r="D5468" s="3"/>
      <c r="E5468" s="3"/>
      <c r="F5468" s="3"/>
      <c r="G5468" s="3"/>
      <c r="H5468" s="11"/>
      <c r="I5468" s="12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14"/>
      <c r="X5468" s="3"/>
      <c r="Y5468" s="14"/>
      <c r="Z5468" s="3"/>
      <c r="AA5468" s="3"/>
      <c r="AB5468" s="3"/>
      <c r="AC5468" s="3"/>
      <c r="AD5468" s="3"/>
      <c r="AE5468" s="3"/>
      <c r="AF5468" s="3"/>
      <c r="AG5468" s="3"/>
      <c r="AH5468" s="3"/>
    </row>
    <row r="5469" spans="1:34" ht="14.25" customHeight="1" x14ac:dyDescent="0.25">
      <c r="A5469" s="3"/>
      <c r="B5469" s="3"/>
      <c r="C5469" s="3"/>
      <c r="D5469" s="3"/>
      <c r="E5469" s="3"/>
      <c r="F5469" s="3"/>
      <c r="G5469" s="3"/>
      <c r="H5469" s="11"/>
      <c r="I5469" s="12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14"/>
      <c r="X5469" s="3"/>
      <c r="Y5469" s="14"/>
      <c r="Z5469" s="3"/>
      <c r="AA5469" s="3"/>
      <c r="AB5469" s="3"/>
      <c r="AC5469" s="3"/>
      <c r="AD5469" s="3"/>
      <c r="AE5469" s="3"/>
      <c r="AF5469" s="3"/>
      <c r="AG5469" s="3"/>
      <c r="AH5469" s="3"/>
    </row>
    <row r="5470" spans="1:34" ht="14.25" customHeight="1" x14ac:dyDescent="0.25">
      <c r="A5470" s="3"/>
      <c r="B5470" s="3"/>
      <c r="C5470" s="3"/>
      <c r="D5470" s="3"/>
      <c r="E5470" s="3"/>
      <c r="F5470" s="3"/>
      <c r="G5470" s="3"/>
      <c r="H5470" s="11"/>
      <c r="I5470" s="12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14"/>
      <c r="X5470" s="3"/>
      <c r="Y5470" s="14"/>
      <c r="Z5470" s="3"/>
      <c r="AA5470" s="3"/>
      <c r="AB5470" s="3"/>
      <c r="AC5470" s="3"/>
      <c r="AD5470" s="3"/>
      <c r="AE5470" s="3"/>
      <c r="AF5470" s="3"/>
      <c r="AG5470" s="3"/>
      <c r="AH5470" s="3"/>
    </row>
    <row r="5471" spans="1:34" ht="14.25" customHeight="1" x14ac:dyDescent="0.25">
      <c r="A5471" s="3"/>
      <c r="B5471" s="3"/>
      <c r="C5471" s="3"/>
      <c r="D5471" s="3"/>
      <c r="E5471" s="3"/>
      <c r="F5471" s="3"/>
      <c r="G5471" s="3"/>
      <c r="H5471" s="11"/>
      <c r="I5471" s="12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14"/>
      <c r="X5471" s="3"/>
      <c r="Y5471" s="14"/>
      <c r="Z5471" s="3"/>
      <c r="AA5471" s="3"/>
      <c r="AB5471" s="3"/>
      <c r="AC5471" s="3"/>
      <c r="AD5471" s="3"/>
      <c r="AE5471" s="3"/>
      <c r="AF5471" s="3"/>
      <c r="AG5471" s="3"/>
      <c r="AH5471" s="3"/>
    </row>
    <row r="5472" spans="1:34" ht="14.25" customHeight="1" x14ac:dyDescent="0.25">
      <c r="A5472" s="3"/>
      <c r="B5472" s="3"/>
      <c r="C5472" s="3"/>
      <c r="D5472" s="3"/>
      <c r="E5472" s="3"/>
      <c r="F5472" s="3"/>
      <c r="G5472" s="3"/>
      <c r="H5472" s="11"/>
      <c r="I5472" s="12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14"/>
      <c r="X5472" s="3"/>
      <c r="Y5472" s="14"/>
      <c r="Z5472" s="3"/>
      <c r="AA5472" s="3"/>
      <c r="AB5472" s="3"/>
      <c r="AC5472" s="3"/>
      <c r="AD5472" s="3"/>
      <c r="AE5472" s="3"/>
      <c r="AF5472" s="3"/>
      <c r="AG5472" s="3"/>
      <c r="AH5472" s="3"/>
    </row>
    <row r="5473" spans="1:34" ht="14.25" customHeight="1" x14ac:dyDescent="0.25">
      <c r="A5473" s="3"/>
      <c r="B5473" s="3"/>
      <c r="C5473" s="3"/>
      <c r="D5473" s="3"/>
      <c r="E5473" s="3"/>
      <c r="F5473" s="3"/>
      <c r="G5473" s="3"/>
      <c r="H5473" s="11"/>
      <c r="I5473" s="12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14"/>
      <c r="X5473" s="3"/>
      <c r="Y5473" s="14"/>
      <c r="Z5473" s="3"/>
      <c r="AA5473" s="3"/>
      <c r="AB5473" s="3"/>
      <c r="AC5473" s="3"/>
      <c r="AD5473" s="3"/>
      <c r="AE5473" s="3"/>
      <c r="AF5473" s="3"/>
      <c r="AG5473" s="3"/>
      <c r="AH5473" s="3"/>
    </row>
    <row r="5474" spans="1:34" ht="14.25" customHeight="1" x14ac:dyDescent="0.25">
      <c r="A5474" s="3"/>
      <c r="B5474" s="3"/>
      <c r="C5474" s="3"/>
      <c r="D5474" s="3"/>
      <c r="E5474" s="3"/>
      <c r="F5474" s="3"/>
      <c r="G5474" s="3"/>
      <c r="H5474" s="11"/>
      <c r="I5474" s="12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14"/>
      <c r="X5474" s="3"/>
      <c r="Y5474" s="14"/>
      <c r="Z5474" s="3"/>
      <c r="AA5474" s="3"/>
      <c r="AB5474" s="3"/>
      <c r="AC5474" s="3"/>
      <c r="AD5474" s="3"/>
      <c r="AE5474" s="3"/>
      <c r="AF5474" s="3"/>
      <c r="AG5474" s="3"/>
      <c r="AH5474" s="3"/>
    </row>
    <row r="5475" spans="1:34" ht="14.25" customHeight="1" x14ac:dyDescent="0.25">
      <c r="A5475" s="3"/>
      <c r="B5475" s="3"/>
      <c r="C5475" s="3"/>
      <c r="D5475" s="3"/>
      <c r="E5475" s="3"/>
      <c r="F5475" s="3"/>
      <c r="G5475" s="3"/>
      <c r="H5475" s="11"/>
      <c r="I5475" s="12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14"/>
      <c r="X5475" s="3"/>
      <c r="Y5475" s="14"/>
      <c r="Z5475" s="3"/>
      <c r="AA5475" s="3"/>
      <c r="AB5475" s="3"/>
      <c r="AC5475" s="3"/>
      <c r="AD5475" s="3"/>
      <c r="AE5475" s="3"/>
      <c r="AF5475" s="3"/>
      <c r="AG5475" s="3"/>
      <c r="AH5475" s="3"/>
    </row>
    <row r="5476" spans="1:34" ht="14.25" customHeight="1" x14ac:dyDescent="0.25">
      <c r="A5476" s="3"/>
      <c r="B5476" s="3"/>
      <c r="C5476" s="3"/>
      <c r="D5476" s="3"/>
      <c r="E5476" s="3"/>
      <c r="F5476" s="3"/>
      <c r="G5476" s="3"/>
      <c r="H5476" s="11"/>
      <c r="I5476" s="12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14"/>
      <c r="X5476" s="3"/>
      <c r="Y5476" s="14"/>
      <c r="Z5476" s="3"/>
      <c r="AA5476" s="3"/>
      <c r="AB5476" s="3"/>
      <c r="AC5476" s="3"/>
      <c r="AD5476" s="3"/>
      <c r="AE5476" s="3"/>
      <c r="AF5476" s="3"/>
      <c r="AG5476" s="3"/>
      <c r="AH5476" s="3"/>
    </row>
    <row r="5477" spans="1:34" ht="14.25" customHeight="1" x14ac:dyDescent="0.25">
      <c r="A5477" s="3"/>
      <c r="B5477" s="3"/>
      <c r="C5477" s="3"/>
      <c r="D5477" s="3"/>
      <c r="E5477" s="3"/>
      <c r="F5477" s="3"/>
      <c r="G5477" s="3"/>
      <c r="H5477" s="11"/>
      <c r="I5477" s="12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14"/>
      <c r="X5477" s="3"/>
      <c r="Y5477" s="14"/>
      <c r="Z5477" s="3"/>
      <c r="AA5477" s="3"/>
      <c r="AB5477" s="3"/>
      <c r="AC5477" s="3"/>
      <c r="AD5477" s="3"/>
      <c r="AE5477" s="3"/>
      <c r="AF5477" s="3"/>
      <c r="AG5477" s="3"/>
      <c r="AH5477" s="3"/>
    </row>
    <row r="5478" spans="1:34" ht="14.25" customHeight="1" x14ac:dyDescent="0.25">
      <c r="A5478" s="3"/>
      <c r="B5478" s="3"/>
      <c r="C5478" s="3"/>
      <c r="D5478" s="3"/>
      <c r="E5478" s="3"/>
      <c r="F5478" s="3"/>
      <c r="G5478" s="3"/>
      <c r="H5478" s="11"/>
      <c r="I5478" s="12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14"/>
      <c r="X5478" s="3"/>
      <c r="Y5478" s="14"/>
      <c r="Z5478" s="3"/>
      <c r="AA5478" s="3"/>
      <c r="AB5478" s="3"/>
      <c r="AC5478" s="3"/>
      <c r="AD5478" s="3"/>
      <c r="AE5478" s="3"/>
      <c r="AF5478" s="3"/>
      <c r="AG5478" s="3"/>
      <c r="AH5478" s="3"/>
    </row>
    <row r="5479" spans="1:34" ht="14.25" customHeight="1" x14ac:dyDescent="0.25">
      <c r="A5479" s="3"/>
      <c r="B5479" s="3"/>
      <c r="C5479" s="3"/>
      <c r="D5479" s="3"/>
      <c r="E5479" s="3"/>
      <c r="F5479" s="3"/>
      <c r="G5479" s="14"/>
      <c r="H5479" s="11"/>
      <c r="I5479" s="12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14"/>
      <c r="X5479" s="3"/>
      <c r="Y5479" s="14"/>
      <c r="Z5479" s="3"/>
      <c r="AA5479" s="3"/>
      <c r="AB5479" s="3"/>
      <c r="AC5479" s="3"/>
      <c r="AD5479" s="3"/>
      <c r="AE5479" s="3"/>
      <c r="AF5479" s="3"/>
      <c r="AG5479" s="3"/>
      <c r="AH5479" s="3"/>
    </row>
    <row r="5480" spans="1:34" ht="14.25" customHeight="1" x14ac:dyDescent="0.25">
      <c r="A5480" s="3"/>
      <c r="B5480" s="3"/>
      <c r="C5480" s="3"/>
      <c r="D5480" s="3"/>
      <c r="E5480" s="3"/>
      <c r="F5480" s="3"/>
      <c r="G5480" s="3"/>
      <c r="H5480" s="11"/>
      <c r="I5480" s="12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14"/>
      <c r="X5480" s="3"/>
      <c r="Y5480" s="14"/>
      <c r="Z5480" s="3"/>
      <c r="AA5480" s="3"/>
      <c r="AB5480" s="3"/>
      <c r="AC5480" s="3"/>
      <c r="AD5480" s="3"/>
      <c r="AE5480" s="3"/>
      <c r="AF5480" s="3"/>
      <c r="AG5480" s="3"/>
      <c r="AH5480" s="3"/>
    </row>
    <row r="5481" spans="1:34" ht="14.25" customHeight="1" x14ac:dyDescent="0.25">
      <c r="A5481" s="3"/>
      <c r="B5481" s="3"/>
      <c r="C5481" s="3"/>
      <c r="D5481" s="3"/>
      <c r="E5481" s="3"/>
      <c r="F5481" s="3"/>
      <c r="G5481" s="3"/>
      <c r="H5481" s="11"/>
      <c r="I5481" s="12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14"/>
      <c r="X5481" s="3"/>
      <c r="Y5481" s="14"/>
      <c r="Z5481" s="3"/>
      <c r="AA5481" s="3"/>
      <c r="AB5481" s="3"/>
      <c r="AC5481" s="3"/>
      <c r="AD5481" s="3"/>
      <c r="AE5481" s="3"/>
      <c r="AF5481" s="3"/>
      <c r="AG5481" s="3"/>
      <c r="AH5481" s="3"/>
    </row>
    <row r="5482" spans="1:34" ht="14.25" customHeight="1" x14ac:dyDescent="0.25">
      <c r="A5482" s="3"/>
      <c r="B5482" s="3"/>
      <c r="C5482" s="3"/>
      <c r="D5482" s="3"/>
      <c r="E5482" s="3"/>
      <c r="F5482" s="3"/>
      <c r="G5482" s="14"/>
      <c r="H5482" s="11"/>
      <c r="I5482" s="12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14"/>
      <c r="X5482" s="3"/>
      <c r="Y5482" s="14"/>
      <c r="Z5482" s="3"/>
      <c r="AA5482" s="3"/>
      <c r="AB5482" s="3"/>
      <c r="AC5482" s="3"/>
      <c r="AD5482" s="3"/>
      <c r="AE5482" s="3"/>
      <c r="AF5482" s="3"/>
      <c r="AG5482" s="3"/>
      <c r="AH5482" s="3"/>
    </row>
    <row r="5483" spans="1:34" ht="14.25" customHeight="1" x14ac:dyDescent="0.25">
      <c r="A5483" s="3"/>
      <c r="B5483" s="3"/>
      <c r="C5483" s="3"/>
      <c r="D5483" s="3"/>
      <c r="E5483" s="3"/>
      <c r="F5483" s="3"/>
      <c r="G5483" s="14"/>
      <c r="H5483" s="11"/>
      <c r="I5483" s="12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14"/>
      <c r="X5483" s="3"/>
      <c r="Y5483" s="14"/>
      <c r="Z5483" s="3"/>
      <c r="AA5483" s="3"/>
      <c r="AB5483" s="3"/>
      <c r="AC5483" s="3"/>
      <c r="AD5483" s="3"/>
      <c r="AE5483" s="3"/>
      <c r="AF5483" s="3"/>
      <c r="AG5483" s="3"/>
      <c r="AH5483" s="3"/>
    </row>
    <row r="5484" spans="1:34" ht="14.25" customHeight="1" x14ac:dyDescent="0.25">
      <c r="A5484" s="3"/>
      <c r="B5484" s="3"/>
      <c r="C5484" s="3"/>
      <c r="D5484" s="3"/>
      <c r="E5484" s="3"/>
      <c r="F5484" s="3"/>
      <c r="G5484" s="3"/>
      <c r="H5484" s="11"/>
      <c r="I5484" s="12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14"/>
      <c r="X5484" s="3"/>
      <c r="Y5484" s="14"/>
      <c r="Z5484" s="3"/>
      <c r="AA5484" s="3"/>
      <c r="AB5484" s="3"/>
      <c r="AC5484" s="3"/>
      <c r="AD5484" s="3"/>
      <c r="AE5484" s="3"/>
      <c r="AF5484" s="3"/>
      <c r="AG5484" s="3"/>
      <c r="AH5484" s="3"/>
    </row>
    <row r="5485" spans="1:34" ht="14.25" customHeight="1" x14ac:dyDescent="0.25">
      <c r="A5485" s="3"/>
      <c r="B5485" s="3"/>
      <c r="C5485" s="3"/>
      <c r="D5485" s="3"/>
      <c r="E5485" s="3"/>
      <c r="F5485" s="3"/>
      <c r="G5485" s="14"/>
      <c r="H5485" s="11"/>
      <c r="I5485" s="12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14"/>
      <c r="X5485" s="3"/>
      <c r="Y5485" s="14"/>
      <c r="Z5485" s="3"/>
      <c r="AA5485" s="3"/>
      <c r="AB5485" s="3"/>
      <c r="AC5485" s="3"/>
      <c r="AD5485" s="3"/>
      <c r="AE5485" s="3"/>
      <c r="AF5485" s="3"/>
      <c r="AG5485" s="3"/>
      <c r="AH5485" s="3"/>
    </row>
    <row r="5486" spans="1:34" ht="14.25" customHeight="1" x14ac:dyDescent="0.25">
      <c r="A5486" s="3"/>
      <c r="B5486" s="3"/>
      <c r="C5486" s="3"/>
      <c r="D5486" s="3"/>
      <c r="E5486" s="3"/>
      <c r="F5486" s="3"/>
      <c r="G5486" s="14"/>
      <c r="H5486" s="11"/>
      <c r="I5486" s="12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14"/>
      <c r="X5486" s="3"/>
      <c r="Y5486" s="14"/>
      <c r="Z5486" s="3"/>
      <c r="AA5486" s="3"/>
      <c r="AB5486" s="3"/>
      <c r="AC5486" s="3"/>
      <c r="AD5486" s="3"/>
      <c r="AE5486" s="3"/>
      <c r="AF5486" s="3"/>
      <c r="AG5486" s="3"/>
      <c r="AH5486" s="3"/>
    </row>
    <row r="5487" spans="1:34" ht="14.25" customHeight="1" x14ac:dyDescent="0.25">
      <c r="A5487" s="3"/>
      <c r="B5487" s="3"/>
      <c r="C5487" s="3"/>
      <c r="D5487" s="3"/>
      <c r="E5487" s="3"/>
      <c r="F5487" s="3"/>
      <c r="G5487" s="14"/>
      <c r="H5487" s="11"/>
      <c r="I5487" s="12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14"/>
      <c r="X5487" s="3"/>
      <c r="Y5487" s="14"/>
      <c r="Z5487" s="3"/>
      <c r="AA5487" s="3"/>
      <c r="AB5487" s="3"/>
      <c r="AC5487" s="3"/>
      <c r="AD5487" s="3"/>
      <c r="AE5487" s="3"/>
      <c r="AF5487" s="3"/>
      <c r="AG5487" s="3"/>
      <c r="AH5487" s="3"/>
    </row>
    <row r="5488" spans="1:34" ht="14.25" customHeight="1" x14ac:dyDescent="0.25">
      <c r="A5488" s="3"/>
      <c r="B5488" s="3"/>
      <c r="C5488" s="3"/>
      <c r="D5488" s="3"/>
      <c r="E5488" s="3"/>
      <c r="F5488" s="3"/>
      <c r="G5488" s="3"/>
      <c r="H5488" s="11"/>
      <c r="I5488" s="12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14"/>
      <c r="X5488" s="3"/>
      <c r="Y5488" s="14"/>
      <c r="Z5488" s="3"/>
      <c r="AA5488" s="3"/>
      <c r="AB5488" s="3"/>
      <c r="AC5488" s="3"/>
      <c r="AD5488" s="3"/>
      <c r="AE5488" s="3"/>
      <c r="AF5488" s="3"/>
      <c r="AG5488" s="3"/>
      <c r="AH5488" s="3"/>
    </row>
    <row r="5489" spans="1:34" ht="14.25" customHeight="1" x14ac:dyDescent="0.25">
      <c r="A5489" s="3"/>
      <c r="B5489" s="3"/>
      <c r="C5489" s="3"/>
      <c r="D5489" s="3"/>
      <c r="E5489" s="3"/>
      <c r="F5489" s="3"/>
      <c r="G5489" s="3"/>
      <c r="H5489" s="11"/>
      <c r="I5489" s="12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14"/>
      <c r="X5489" s="3"/>
      <c r="Y5489" s="14"/>
      <c r="Z5489" s="3"/>
      <c r="AA5489" s="3"/>
      <c r="AB5489" s="3"/>
      <c r="AC5489" s="3"/>
      <c r="AD5489" s="3"/>
      <c r="AE5489" s="3"/>
      <c r="AF5489" s="3"/>
      <c r="AG5489" s="3"/>
      <c r="AH5489" s="3"/>
    </row>
    <row r="5490" spans="1:34" ht="14.25" customHeight="1" x14ac:dyDescent="0.25">
      <c r="A5490" s="3"/>
      <c r="B5490" s="3"/>
      <c r="C5490" s="3"/>
      <c r="D5490" s="3"/>
      <c r="E5490" s="3"/>
      <c r="F5490" s="3"/>
      <c r="G5490" s="3"/>
      <c r="H5490" s="11"/>
      <c r="I5490" s="12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14"/>
      <c r="X5490" s="3"/>
      <c r="Y5490" s="14"/>
      <c r="Z5490" s="3"/>
      <c r="AA5490" s="3"/>
      <c r="AB5490" s="3"/>
      <c r="AC5490" s="3"/>
      <c r="AD5490" s="3"/>
      <c r="AE5490" s="3"/>
      <c r="AF5490" s="3"/>
      <c r="AG5490" s="3"/>
      <c r="AH5490" s="3"/>
    </row>
    <row r="5491" spans="1:34" ht="14.25" customHeight="1" x14ac:dyDescent="0.25">
      <c r="A5491" s="3"/>
      <c r="B5491" s="3"/>
      <c r="C5491" s="3"/>
      <c r="D5491" s="3"/>
      <c r="E5491" s="3"/>
      <c r="F5491" s="3"/>
      <c r="G5491" s="3"/>
      <c r="H5491" s="11"/>
      <c r="I5491" s="12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14"/>
      <c r="X5491" s="3"/>
      <c r="Y5491" s="14"/>
      <c r="Z5491" s="3"/>
      <c r="AA5491" s="3"/>
      <c r="AB5491" s="3"/>
      <c r="AC5491" s="3"/>
      <c r="AD5491" s="3"/>
      <c r="AE5491" s="3"/>
      <c r="AF5491" s="3"/>
      <c r="AG5491" s="3"/>
      <c r="AH5491" s="3"/>
    </row>
    <row r="5492" spans="1:34" ht="14.25" customHeight="1" x14ac:dyDescent="0.25">
      <c r="A5492" s="3"/>
      <c r="B5492" s="3"/>
      <c r="C5492" s="3"/>
      <c r="D5492" s="3"/>
      <c r="E5492" s="3"/>
      <c r="F5492" s="3"/>
      <c r="G5492" s="3"/>
      <c r="H5492" s="11"/>
      <c r="I5492" s="12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14"/>
      <c r="X5492" s="3"/>
      <c r="Y5492" s="14"/>
      <c r="Z5492" s="3"/>
      <c r="AA5492" s="3"/>
      <c r="AB5492" s="3"/>
      <c r="AC5492" s="3"/>
      <c r="AD5492" s="3"/>
      <c r="AE5492" s="3"/>
      <c r="AF5492" s="3"/>
      <c r="AG5492" s="3"/>
      <c r="AH5492" s="3"/>
    </row>
    <row r="5493" spans="1:34" ht="14.25" customHeight="1" x14ac:dyDescent="0.25">
      <c r="A5493" s="3"/>
      <c r="B5493" s="3"/>
      <c r="C5493" s="3"/>
      <c r="D5493" s="3"/>
      <c r="E5493" s="3"/>
      <c r="F5493" s="3"/>
      <c r="G5493" s="3"/>
      <c r="H5493" s="11"/>
      <c r="I5493" s="12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14"/>
      <c r="X5493" s="3"/>
      <c r="Y5493" s="14"/>
      <c r="Z5493" s="3"/>
      <c r="AA5493" s="3"/>
      <c r="AB5493" s="3"/>
      <c r="AC5493" s="3"/>
      <c r="AD5493" s="3"/>
      <c r="AE5493" s="3"/>
      <c r="AF5493" s="3"/>
      <c r="AG5493" s="3"/>
      <c r="AH5493" s="3"/>
    </row>
    <row r="5494" spans="1:34" ht="14.25" customHeight="1" x14ac:dyDescent="0.25">
      <c r="A5494" s="3"/>
      <c r="B5494" s="3"/>
      <c r="C5494" s="3"/>
      <c r="D5494" s="3"/>
      <c r="E5494" s="3"/>
      <c r="F5494" s="3"/>
      <c r="G5494" s="14"/>
      <c r="H5494" s="11"/>
      <c r="I5494" s="12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14"/>
      <c r="X5494" s="3"/>
      <c r="Y5494" s="14"/>
      <c r="Z5494" s="3"/>
      <c r="AA5494" s="3"/>
      <c r="AB5494" s="3"/>
      <c r="AC5494" s="3"/>
      <c r="AD5494" s="3"/>
      <c r="AE5494" s="3"/>
      <c r="AF5494" s="3"/>
      <c r="AG5494" s="3"/>
      <c r="AH5494" s="3"/>
    </row>
    <row r="5495" spans="1:34" ht="14.25" customHeight="1" x14ac:dyDescent="0.25">
      <c r="A5495" s="3"/>
      <c r="B5495" s="3"/>
      <c r="C5495" s="3"/>
      <c r="D5495" s="3"/>
      <c r="E5495" s="3"/>
      <c r="F5495" s="3"/>
      <c r="G5495" s="14"/>
      <c r="H5495" s="11"/>
      <c r="I5495" s="12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14"/>
      <c r="X5495" s="3"/>
      <c r="Y5495" s="14"/>
      <c r="Z5495" s="3"/>
      <c r="AA5495" s="3"/>
      <c r="AB5495" s="3"/>
      <c r="AC5495" s="3"/>
      <c r="AD5495" s="3"/>
      <c r="AE5495" s="3"/>
      <c r="AF5495" s="3"/>
      <c r="AG5495" s="3"/>
      <c r="AH5495" s="3"/>
    </row>
    <row r="5496" spans="1:34" ht="14.25" customHeight="1" x14ac:dyDescent="0.25">
      <c r="A5496" s="3"/>
      <c r="B5496" s="3"/>
      <c r="C5496" s="3"/>
      <c r="D5496" s="3"/>
      <c r="E5496" s="3"/>
      <c r="F5496" s="3"/>
      <c r="G5496" s="14"/>
      <c r="H5496" s="11"/>
      <c r="I5496" s="12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14"/>
      <c r="X5496" s="3"/>
      <c r="Y5496" s="14"/>
      <c r="Z5496" s="3"/>
      <c r="AA5496" s="3"/>
      <c r="AB5496" s="3"/>
      <c r="AC5496" s="3"/>
      <c r="AD5496" s="3"/>
      <c r="AE5496" s="3"/>
      <c r="AF5496" s="3"/>
      <c r="AG5496" s="3"/>
      <c r="AH5496" s="3"/>
    </row>
    <row r="5497" spans="1:34" ht="14.25" customHeight="1" x14ac:dyDescent="0.25">
      <c r="A5497" s="3"/>
      <c r="B5497" s="3"/>
      <c r="C5497" s="3"/>
      <c r="D5497" s="3"/>
      <c r="E5497" s="3"/>
      <c r="F5497" s="3"/>
      <c r="G5497" s="14"/>
      <c r="H5497" s="11"/>
      <c r="I5497" s="12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14"/>
      <c r="X5497" s="3"/>
      <c r="Y5497" s="14"/>
      <c r="Z5497" s="3"/>
      <c r="AA5497" s="3"/>
      <c r="AB5497" s="3"/>
      <c r="AC5497" s="3"/>
      <c r="AD5497" s="3"/>
      <c r="AE5497" s="3"/>
      <c r="AF5497" s="3"/>
      <c r="AG5497" s="3"/>
      <c r="AH5497" s="3"/>
    </row>
    <row r="5498" spans="1:34" ht="14.25" customHeight="1" x14ac:dyDescent="0.25">
      <c r="A5498" s="3"/>
      <c r="B5498" s="3"/>
      <c r="C5498" s="3"/>
      <c r="D5498" s="3"/>
      <c r="E5498" s="3"/>
      <c r="F5498" s="3"/>
      <c r="G5498" s="3"/>
      <c r="H5498" s="11"/>
      <c r="I5498" s="12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14"/>
      <c r="X5498" s="3"/>
      <c r="Y5498" s="14"/>
      <c r="Z5498" s="3"/>
      <c r="AA5498" s="3"/>
      <c r="AB5498" s="3"/>
      <c r="AC5498" s="3"/>
      <c r="AD5498" s="3"/>
      <c r="AE5498" s="3"/>
      <c r="AF5498" s="3"/>
      <c r="AG5498" s="3"/>
      <c r="AH5498" s="3"/>
    </row>
    <row r="5499" spans="1:34" ht="14.25" customHeight="1" x14ac:dyDescent="0.25">
      <c r="A5499" s="3"/>
      <c r="B5499" s="3"/>
      <c r="C5499" s="3"/>
      <c r="D5499" s="3"/>
      <c r="E5499" s="3"/>
      <c r="F5499" s="3"/>
      <c r="G5499" s="3"/>
      <c r="H5499" s="11"/>
      <c r="I5499" s="12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14"/>
      <c r="X5499" s="3"/>
      <c r="Y5499" s="14"/>
      <c r="Z5499" s="3"/>
      <c r="AA5499" s="3"/>
      <c r="AB5499" s="3"/>
      <c r="AC5499" s="3"/>
      <c r="AD5499" s="3"/>
      <c r="AE5499" s="3"/>
      <c r="AF5499" s="3"/>
      <c r="AG5499" s="3"/>
      <c r="AH5499" s="3"/>
    </row>
    <row r="5500" spans="1:34" ht="14.25" customHeight="1" x14ac:dyDescent="0.25">
      <c r="A5500" s="3"/>
      <c r="B5500" s="3"/>
      <c r="C5500" s="3"/>
      <c r="D5500" s="3"/>
      <c r="E5500" s="3"/>
      <c r="F5500" s="3"/>
      <c r="G5500" s="14"/>
      <c r="H5500" s="11"/>
      <c r="I5500" s="12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14"/>
      <c r="X5500" s="3"/>
      <c r="Y5500" s="14"/>
      <c r="Z5500" s="3"/>
      <c r="AA5500" s="3"/>
      <c r="AB5500" s="3"/>
      <c r="AC5500" s="3"/>
      <c r="AD5500" s="3"/>
      <c r="AE5500" s="3"/>
      <c r="AF5500" s="3"/>
      <c r="AG5500" s="3"/>
      <c r="AH5500" s="3"/>
    </row>
    <row r="5501" spans="1:34" ht="14.25" customHeight="1" x14ac:dyDescent="0.25">
      <c r="A5501" s="3"/>
      <c r="B5501" s="3"/>
      <c r="C5501" s="3"/>
      <c r="D5501" s="3"/>
      <c r="E5501" s="3"/>
      <c r="F5501" s="3"/>
      <c r="G5501" s="14"/>
      <c r="H5501" s="11"/>
      <c r="I5501" s="12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14"/>
      <c r="X5501" s="3"/>
      <c r="Y5501" s="14"/>
      <c r="Z5501" s="3"/>
      <c r="AA5501" s="3"/>
      <c r="AB5501" s="3"/>
      <c r="AC5501" s="3"/>
      <c r="AD5501" s="3"/>
      <c r="AE5501" s="3"/>
      <c r="AF5501" s="3"/>
      <c r="AG5501" s="3"/>
      <c r="AH5501" s="3"/>
    </row>
    <row r="5502" spans="1:34" ht="14.25" customHeight="1" x14ac:dyDescent="0.25">
      <c r="A5502" s="3"/>
      <c r="B5502" s="3"/>
      <c r="C5502" s="3"/>
      <c r="D5502" s="3"/>
      <c r="E5502" s="3"/>
      <c r="F5502" s="3"/>
      <c r="G5502" s="14"/>
      <c r="H5502" s="11"/>
      <c r="I5502" s="12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14"/>
      <c r="X5502" s="3"/>
      <c r="Y5502" s="14"/>
      <c r="Z5502" s="3"/>
      <c r="AA5502" s="3"/>
      <c r="AB5502" s="3"/>
      <c r="AC5502" s="3"/>
      <c r="AD5502" s="3"/>
      <c r="AE5502" s="3"/>
      <c r="AF5502" s="3"/>
      <c r="AG5502" s="3"/>
      <c r="AH5502" s="3"/>
    </row>
    <row r="5503" spans="1:34" ht="14.25" customHeight="1" x14ac:dyDescent="0.25">
      <c r="A5503" s="3"/>
      <c r="B5503" s="3"/>
      <c r="C5503" s="3"/>
      <c r="D5503" s="3"/>
      <c r="E5503" s="3"/>
      <c r="F5503" s="3"/>
      <c r="G5503" s="14"/>
      <c r="H5503" s="11"/>
      <c r="I5503" s="12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14"/>
      <c r="X5503" s="3"/>
      <c r="Y5503" s="14"/>
      <c r="Z5503" s="3"/>
      <c r="AA5503" s="3"/>
      <c r="AB5503" s="3"/>
      <c r="AC5503" s="3"/>
      <c r="AD5503" s="3"/>
      <c r="AE5503" s="3"/>
      <c r="AF5503" s="3"/>
      <c r="AG5503" s="3"/>
      <c r="AH5503" s="3"/>
    </row>
    <row r="5504" spans="1:34" ht="14.25" customHeight="1" x14ac:dyDescent="0.25">
      <c r="A5504" s="3"/>
      <c r="B5504" s="3"/>
      <c r="C5504" s="3"/>
      <c r="D5504" s="3"/>
      <c r="E5504" s="3"/>
      <c r="F5504" s="3"/>
      <c r="G5504" s="3"/>
      <c r="H5504" s="11"/>
      <c r="I5504" s="12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14"/>
      <c r="X5504" s="3"/>
      <c r="Y5504" s="14"/>
      <c r="Z5504" s="3"/>
      <c r="AA5504" s="3"/>
      <c r="AB5504" s="3"/>
      <c r="AC5504" s="3"/>
      <c r="AD5504" s="3"/>
      <c r="AE5504" s="3"/>
      <c r="AF5504" s="3"/>
      <c r="AG5504" s="3"/>
      <c r="AH5504" s="3"/>
    </row>
    <row r="5505" spans="1:34" ht="14.25" customHeight="1" x14ac:dyDescent="0.25">
      <c r="A5505" s="3"/>
      <c r="B5505" s="3"/>
      <c r="C5505" s="3"/>
      <c r="D5505" s="3"/>
      <c r="E5505" s="3"/>
      <c r="F5505" s="3"/>
      <c r="G5505" s="3"/>
      <c r="H5505" s="11"/>
      <c r="I5505" s="12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14"/>
      <c r="X5505" s="3"/>
      <c r="Y5505" s="14"/>
      <c r="Z5505" s="3"/>
      <c r="AA5505" s="3"/>
      <c r="AB5505" s="3"/>
      <c r="AC5505" s="3"/>
      <c r="AD5505" s="3"/>
      <c r="AE5505" s="3"/>
      <c r="AF5505" s="3"/>
      <c r="AG5505" s="3"/>
      <c r="AH5505" s="3"/>
    </row>
    <row r="5506" spans="1:34" ht="14.25" customHeight="1" x14ac:dyDescent="0.25">
      <c r="A5506" s="3"/>
      <c r="B5506" s="3"/>
      <c r="C5506" s="3"/>
      <c r="D5506" s="3"/>
      <c r="E5506" s="3"/>
      <c r="F5506" s="3"/>
      <c r="G5506" s="14"/>
      <c r="H5506" s="11"/>
      <c r="I5506" s="12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14"/>
      <c r="X5506" s="3"/>
      <c r="Y5506" s="14"/>
      <c r="Z5506" s="3"/>
      <c r="AA5506" s="3"/>
      <c r="AB5506" s="3"/>
      <c r="AC5506" s="3"/>
      <c r="AD5506" s="3"/>
      <c r="AE5506" s="3"/>
      <c r="AF5506" s="3"/>
      <c r="AG5506" s="3"/>
      <c r="AH5506" s="3"/>
    </row>
    <row r="5507" spans="1:34" ht="14.25" customHeight="1" x14ac:dyDescent="0.25">
      <c r="A5507" s="3"/>
      <c r="B5507" s="3"/>
      <c r="C5507" s="3"/>
      <c r="D5507" s="3"/>
      <c r="E5507" s="3"/>
      <c r="F5507" s="3"/>
      <c r="G5507" s="14"/>
      <c r="H5507" s="11"/>
      <c r="I5507" s="12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14"/>
      <c r="X5507" s="3"/>
      <c r="Y5507" s="14"/>
      <c r="Z5507" s="3"/>
      <c r="AA5507" s="3"/>
      <c r="AB5507" s="3"/>
      <c r="AC5507" s="3"/>
      <c r="AD5507" s="3"/>
      <c r="AE5507" s="3"/>
      <c r="AF5507" s="3"/>
      <c r="AG5507" s="3"/>
      <c r="AH5507" s="3"/>
    </row>
    <row r="5508" spans="1:34" ht="14.25" customHeight="1" x14ac:dyDescent="0.25">
      <c r="A5508" s="3"/>
      <c r="B5508" s="3"/>
      <c r="C5508" s="3"/>
      <c r="D5508" s="3"/>
      <c r="E5508" s="3"/>
      <c r="F5508" s="3"/>
      <c r="G5508" s="14"/>
      <c r="H5508" s="11"/>
      <c r="I5508" s="12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14"/>
      <c r="X5508" s="3"/>
      <c r="Y5508" s="14"/>
      <c r="Z5508" s="3"/>
      <c r="AA5508" s="3"/>
      <c r="AB5508" s="3"/>
      <c r="AC5508" s="3"/>
      <c r="AD5508" s="3"/>
      <c r="AE5508" s="3"/>
      <c r="AF5508" s="3"/>
      <c r="AG5508" s="3"/>
      <c r="AH5508" s="3"/>
    </row>
    <row r="5509" spans="1:34" ht="14.25" customHeight="1" x14ac:dyDescent="0.25">
      <c r="A5509" s="3"/>
      <c r="B5509" s="3"/>
      <c r="C5509" s="3"/>
      <c r="D5509" s="3"/>
      <c r="E5509" s="3"/>
      <c r="F5509" s="3"/>
      <c r="G5509" s="3"/>
      <c r="H5509" s="11"/>
      <c r="I5509" s="12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14"/>
      <c r="X5509" s="3"/>
      <c r="Y5509" s="14"/>
      <c r="Z5509" s="3"/>
      <c r="AA5509" s="3"/>
      <c r="AB5509" s="3"/>
      <c r="AC5509" s="3"/>
      <c r="AD5509" s="3"/>
      <c r="AE5509" s="3"/>
      <c r="AF5509" s="3"/>
      <c r="AG5509" s="3"/>
      <c r="AH5509" s="3"/>
    </row>
    <row r="5510" spans="1:34" ht="14.25" customHeight="1" x14ac:dyDescent="0.25">
      <c r="A5510" s="3"/>
      <c r="B5510" s="3"/>
      <c r="C5510" s="3"/>
      <c r="D5510" s="3"/>
      <c r="E5510" s="3"/>
      <c r="F5510" s="3"/>
      <c r="G5510" s="3"/>
      <c r="H5510" s="11"/>
      <c r="I5510" s="12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14"/>
      <c r="X5510" s="3"/>
      <c r="Y5510" s="14"/>
      <c r="Z5510" s="3"/>
      <c r="AA5510" s="3"/>
      <c r="AB5510" s="3"/>
      <c r="AC5510" s="3"/>
      <c r="AD5510" s="3"/>
      <c r="AE5510" s="3"/>
      <c r="AF5510" s="3"/>
      <c r="AG5510" s="3"/>
      <c r="AH5510" s="3"/>
    </row>
    <row r="5511" spans="1:34" ht="14.25" customHeight="1" x14ac:dyDescent="0.25">
      <c r="A5511" s="3"/>
      <c r="B5511" s="3"/>
      <c r="C5511" s="3"/>
      <c r="D5511" s="3"/>
      <c r="E5511" s="3"/>
      <c r="F5511" s="3"/>
      <c r="G5511" s="14"/>
      <c r="H5511" s="11"/>
      <c r="I5511" s="12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14"/>
      <c r="X5511" s="3"/>
      <c r="Y5511" s="14"/>
      <c r="Z5511" s="3"/>
      <c r="AA5511" s="3"/>
      <c r="AB5511" s="3"/>
      <c r="AC5511" s="3"/>
      <c r="AD5511" s="3"/>
      <c r="AE5511" s="3"/>
      <c r="AF5511" s="3"/>
      <c r="AG5511" s="3"/>
      <c r="AH5511" s="3"/>
    </row>
    <row r="5512" spans="1:34" ht="14.25" customHeight="1" x14ac:dyDescent="0.25">
      <c r="A5512" s="3"/>
      <c r="B5512" s="3"/>
      <c r="C5512" s="3"/>
      <c r="D5512" s="3"/>
      <c r="E5512" s="3"/>
      <c r="F5512" s="3"/>
      <c r="G5512" s="14"/>
      <c r="H5512" s="11"/>
      <c r="I5512" s="12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14"/>
      <c r="X5512" s="3"/>
      <c r="Y5512" s="14"/>
      <c r="Z5512" s="3"/>
      <c r="AA5512" s="3"/>
      <c r="AB5512" s="3"/>
      <c r="AC5512" s="3"/>
      <c r="AD5512" s="3"/>
      <c r="AE5512" s="3"/>
      <c r="AF5512" s="3"/>
      <c r="AG5512" s="3"/>
      <c r="AH5512" s="3"/>
    </row>
    <row r="5513" spans="1:34" ht="14.25" customHeight="1" x14ac:dyDescent="0.25">
      <c r="A5513" s="3"/>
      <c r="B5513" s="3"/>
      <c r="C5513" s="3"/>
      <c r="D5513" s="3"/>
      <c r="E5513" s="3"/>
      <c r="F5513" s="3"/>
      <c r="G5513" s="14"/>
      <c r="H5513" s="11"/>
      <c r="I5513" s="12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14"/>
      <c r="X5513" s="3"/>
      <c r="Y5513" s="14"/>
      <c r="Z5513" s="3"/>
      <c r="AA5513" s="3"/>
      <c r="AB5513" s="3"/>
      <c r="AC5513" s="3"/>
      <c r="AD5513" s="3"/>
      <c r="AE5513" s="3"/>
      <c r="AF5513" s="3"/>
      <c r="AG5513" s="3"/>
      <c r="AH5513" s="3"/>
    </row>
    <row r="5514" spans="1:34" ht="14.25" customHeight="1" x14ac:dyDescent="0.25">
      <c r="A5514" s="3"/>
      <c r="B5514" s="3"/>
      <c r="C5514" s="3"/>
      <c r="D5514" s="3"/>
      <c r="E5514" s="3"/>
      <c r="F5514" s="3"/>
      <c r="G5514" s="14"/>
      <c r="H5514" s="11"/>
      <c r="I5514" s="12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14"/>
      <c r="X5514" s="3"/>
      <c r="Y5514" s="14"/>
      <c r="Z5514" s="3"/>
      <c r="AA5514" s="3"/>
      <c r="AB5514" s="3"/>
      <c r="AC5514" s="3"/>
      <c r="AD5514" s="3"/>
      <c r="AE5514" s="3"/>
      <c r="AF5514" s="3"/>
      <c r="AG5514" s="3"/>
      <c r="AH5514" s="3"/>
    </row>
    <row r="5515" spans="1:34" ht="14.25" customHeight="1" x14ac:dyDescent="0.25">
      <c r="A5515" s="3"/>
      <c r="B5515" s="3"/>
      <c r="C5515" s="3"/>
      <c r="D5515" s="3"/>
      <c r="E5515" s="3"/>
      <c r="F5515" s="3"/>
      <c r="G5515" s="14"/>
      <c r="H5515" s="11"/>
      <c r="I5515" s="12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14"/>
      <c r="X5515" s="3"/>
      <c r="Y5515" s="14"/>
      <c r="Z5515" s="3"/>
      <c r="AA5515" s="3"/>
      <c r="AB5515" s="3"/>
      <c r="AC5515" s="3"/>
      <c r="AD5515" s="3"/>
      <c r="AE5515" s="3"/>
      <c r="AF5515" s="3"/>
      <c r="AG5515" s="3"/>
      <c r="AH5515" s="3"/>
    </row>
    <row r="5516" spans="1:34" ht="14.25" customHeight="1" x14ac:dyDescent="0.25">
      <c r="A5516" s="3"/>
      <c r="B5516" s="3"/>
      <c r="C5516" s="3"/>
      <c r="D5516" s="3"/>
      <c r="E5516" s="3"/>
      <c r="F5516" s="3"/>
      <c r="G5516" s="14"/>
      <c r="H5516" s="11"/>
      <c r="I5516" s="12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14"/>
      <c r="X5516" s="3"/>
      <c r="Y5516" s="14"/>
      <c r="Z5516" s="3"/>
      <c r="AA5516" s="3"/>
      <c r="AB5516" s="3"/>
      <c r="AC5516" s="3"/>
      <c r="AD5516" s="3"/>
      <c r="AE5516" s="3"/>
      <c r="AF5516" s="3"/>
      <c r="AG5516" s="3"/>
      <c r="AH5516" s="3"/>
    </row>
    <row r="5517" spans="1:34" ht="14.25" customHeight="1" x14ac:dyDescent="0.25">
      <c r="A5517" s="3"/>
      <c r="B5517" s="3"/>
      <c r="C5517" s="3"/>
      <c r="D5517" s="3"/>
      <c r="E5517" s="3"/>
      <c r="F5517" s="3"/>
      <c r="G5517" s="3"/>
      <c r="H5517" s="11"/>
      <c r="I5517" s="12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14"/>
      <c r="X5517" s="3"/>
      <c r="Y5517" s="14"/>
      <c r="Z5517" s="3"/>
      <c r="AA5517" s="3"/>
      <c r="AB5517" s="3"/>
      <c r="AC5517" s="3"/>
      <c r="AD5517" s="3"/>
      <c r="AE5517" s="3"/>
      <c r="AF5517" s="3"/>
      <c r="AG5517" s="3"/>
      <c r="AH5517" s="3"/>
    </row>
    <row r="5518" spans="1:34" ht="14.25" customHeight="1" x14ac:dyDescent="0.25">
      <c r="A5518" s="3"/>
      <c r="B5518" s="3"/>
      <c r="C5518" s="3"/>
      <c r="D5518" s="3"/>
      <c r="E5518" s="3"/>
      <c r="F5518" s="3"/>
      <c r="G5518" s="14"/>
      <c r="H5518" s="11"/>
      <c r="I5518" s="12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14"/>
      <c r="X5518" s="3"/>
      <c r="Y5518" s="14"/>
      <c r="Z5518" s="3"/>
      <c r="AA5518" s="3"/>
      <c r="AB5518" s="3"/>
      <c r="AC5518" s="3"/>
      <c r="AD5518" s="3"/>
      <c r="AE5518" s="3"/>
      <c r="AF5518" s="3"/>
      <c r="AG5518" s="3"/>
      <c r="AH5518" s="3"/>
    </row>
    <row r="5519" spans="1:34" ht="14.25" customHeight="1" x14ac:dyDescent="0.25">
      <c r="A5519" s="3"/>
      <c r="B5519" s="3"/>
      <c r="C5519" s="3"/>
      <c r="D5519" s="3"/>
      <c r="E5519" s="3"/>
      <c r="F5519" s="3"/>
      <c r="G5519" s="14"/>
      <c r="H5519" s="11"/>
      <c r="I5519" s="12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14"/>
      <c r="X5519" s="3"/>
      <c r="Y5519" s="14"/>
      <c r="Z5519" s="3"/>
      <c r="AA5519" s="3"/>
      <c r="AB5519" s="3"/>
      <c r="AC5519" s="3"/>
      <c r="AD5519" s="3"/>
      <c r="AE5519" s="3"/>
      <c r="AF5519" s="3"/>
      <c r="AG5519" s="3"/>
      <c r="AH5519" s="3"/>
    </row>
    <row r="5520" spans="1:34" ht="14.25" customHeight="1" x14ac:dyDescent="0.25">
      <c r="A5520" s="3"/>
      <c r="B5520" s="3"/>
      <c r="C5520" s="3"/>
      <c r="D5520" s="3"/>
      <c r="E5520" s="3"/>
      <c r="F5520" s="3"/>
      <c r="G5520" s="3"/>
      <c r="H5520" s="11"/>
      <c r="I5520" s="12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14"/>
      <c r="X5520" s="3"/>
      <c r="Y5520" s="14"/>
      <c r="Z5520" s="3"/>
      <c r="AA5520" s="3"/>
      <c r="AB5520" s="3"/>
      <c r="AC5520" s="3"/>
      <c r="AD5520" s="3"/>
      <c r="AE5520" s="3"/>
      <c r="AF5520" s="3"/>
      <c r="AG5520" s="3"/>
      <c r="AH5520" s="3"/>
    </row>
    <row r="5521" spans="1:34" ht="14.25" customHeight="1" x14ac:dyDescent="0.25">
      <c r="A5521" s="3"/>
      <c r="B5521" s="3"/>
      <c r="C5521" s="3"/>
      <c r="D5521" s="3"/>
      <c r="E5521" s="3"/>
      <c r="F5521" s="3"/>
      <c r="G5521" s="3"/>
      <c r="H5521" s="11"/>
      <c r="I5521" s="12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X5521" s="3"/>
      <c r="Y5521" s="14"/>
      <c r="Z5521" s="3"/>
      <c r="AA5521" s="3"/>
      <c r="AB5521" s="3"/>
      <c r="AC5521" s="3"/>
      <c r="AD5521" s="3"/>
      <c r="AE5521" s="3"/>
      <c r="AF5521" s="3"/>
      <c r="AG5521" s="3"/>
      <c r="AH5521" s="3"/>
    </row>
    <row r="5522" spans="1:34" ht="14.25" customHeight="1" x14ac:dyDescent="0.25">
      <c r="A5522" s="3"/>
      <c r="B5522" s="3"/>
      <c r="C5522" s="3"/>
      <c r="D5522" s="3"/>
      <c r="E5522" s="3"/>
      <c r="F5522" s="3"/>
      <c r="G5522" s="3"/>
      <c r="H5522" s="11"/>
      <c r="I5522" s="12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14"/>
      <c r="X5522" s="3"/>
      <c r="Y5522" s="3"/>
      <c r="Z5522" s="3"/>
      <c r="AA5522" s="3"/>
      <c r="AB5522" s="3"/>
      <c r="AC5522" s="3"/>
      <c r="AD5522" s="3"/>
      <c r="AE5522" s="3"/>
      <c r="AF5522" s="3"/>
      <c r="AG5522" s="3"/>
      <c r="AH5522" s="3"/>
    </row>
    <row r="5523" spans="1:34" ht="14.25" customHeight="1" x14ac:dyDescent="0.25">
      <c r="A5523" s="3"/>
      <c r="B5523" s="3"/>
      <c r="C5523" s="3"/>
      <c r="D5523" s="3"/>
      <c r="E5523" s="3"/>
      <c r="F5523" s="3"/>
      <c r="G5523" s="3"/>
      <c r="H5523" s="11"/>
      <c r="I5523" s="12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14"/>
      <c r="X5523" s="3"/>
      <c r="Y5523" s="3"/>
      <c r="Z5523" s="3"/>
      <c r="AA5523" s="3"/>
      <c r="AB5523" s="3"/>
      <c r="AC5523" s="3"/>
      <c r="AD5523" s="3"/>
      <c r="AE5523" s="3"/>
      <c r="AF5523" s="3"/>
      <c r="AG5523" s="3"/>
      <c r="AH5523" s="3"/>
    </row>
    <row r="5524" spans="1:34" ht="14.25" customHeight="1" x14ac:dyDescent="0.25">
      <c r="A5524" s="3"/>
      <c r="B5524" s="3"/>
      <c r="C5524" s="3"/>
      <c r="D5524" s="3"/>
      <c r="E5524" s="3"/>
      <c r="F5524" s="3"/>
      <c r="G5524" s="3"/>
      <c r="H5524" s="11"/>
      <c r="I5524" s="12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14"/>
      <c r="X5524" s="3"/>
      <c r="Y5524" s="3"/>
      <c r="Z5524" s="3"/>
      <c r="AA5524" s="3"/>
      <c r="AB5524" s="3"/>
      <c r="AC5524" s="3"/>
      <c r="AD5524" s="3"/>
      <c r="AE5524" s="3"/>
      <c r="AF5524" s="3"/>
      <c r="AG5524" s="3"/>
      <c r="AH5524" s="3"/>
    </row>
    <row r="5525" spans="1:34" ht="14.25" customHeight="1" x14ac:dyDescent="0.25">
      <c r="A5525" s="3"/>
      <c r="B5525" s="3"/>
      <c r="C5525" s="3"/>
      <c r="D5525" s="3"/>
      <c r="E5525" s="3"/>
      <c r="F5525" s="3"/>
      <c r="G5525" s="3"/>
      <c r="H5525" s="11"/>
      <c r="I5525" s="12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14"/>
      <c r="X5525" s="3"/>
      <c r="Y5525" s="3"/>
      <c r="Z5525" s="3"/>
      <c r="AA5525" s="3"/>
      <c r="AB5525" s="3"/>
      <c r="AC5525" s="3"/>
      <c r="AD5525" s="3"/>
      <c r="AE5525" s="3"/>
      <c r="AF5525" s="3"/>
      <c r="AG5525" s="3"/>
      <c r="AH5525" s="3"/>
    </row>
    <row r="5526" spans="1:34" ht="14.25" customHeight="1" x14ac:dyDescent="0.25">
      <c r="A5526" s="3"/>
      <c r="B5526" s="3"/>
      <c r="C5526" s="3"/>
      <c r="D5526" s="3"/>
      <c r="E5526" s="3"/>
      <c r="F5526" s="3"/>
      <c r="G5526" s="3"/>
      <c r="H5526" s="11"/>
      <c r="I5526" s="12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14"/>
      <c r="X5526" s="3"/>
      <c r="Y5526" s="3"/>
      <c r="Z5526" s="3"/>
      <c r="AA5526" s="3"/>
      <c r="AB5526" s="3"/>
      <c r="AC5526" s="3"/>
      <c r="AD5526" s="3"/>
      <c r="AE5526" s="3"/>
      <c r="AF5526" s="3"/>
      <c r="AG5526" s="3"/>
      <c r="AH5526" s="3"/>
    </row>
    <row r="5527" spans="1:34" ht="14.25" customHeight="1" x14ac:dyDescent="0.25">
      <c r="A5527" s="3"/>
      <c r="B5527" s="3"/>
      <c r="C5527" s="3"/>
      <c r="D5527" s="3"/>
      <c r="E5527" s="3"/>
      <c r="F5527" s="3"/>
      <c r="G5527" s="3"/>
      <c r="H5527" s="11"/>
      <c r="I5527" s="12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14"/>
      <c r="X5527" s="3"/>
      <c r="Y5527" s="3"/>
      <c r="Z5527" s="3"/>
      <c r="AA5527" s="3"/>
      <c r="AB5527" s="3"/>
      <c r="AC5527" s="3"/>
      <c r="AD5527" s="3"/>
      <c r="AE5527" s="3"/>
      <c r="AF5527" s="3"/>
      <c r="AG5527" s="3"/>
      <c r="AH5527" s="3"/>
    </row>
    <row r="5528" spans="1:34" ht="14.25" customHeight="1" x14ac:dyDescent="0.25">
      <c r="A5528" s="3"/>
      <c r="B5528" s="3"/>
      <c r="C5528" s="3"/>
      <c r="D5528" s="3"/>
      <c r="E5528" s="3"/>
      <c r="F5528" s="3"/>
      <c r="G5528" s="3"/>
      <c r="H5528" s="11"/>
      <c r="I5528" s="12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14"/>
      <c r="X5528" s="3"/>
      <c r="Y5528" s="3"/>
      <c r="Z5528" s="3"/>
      <c r="AA5528" s="3"/>
      <c r="AB5528" s="3"/>
      <c r="AC5528" s="3"/>
      <c r="AD5528" s="3"/>
      <c r="AE5528" s="3"/>
      <c r="AF5528" s="3"/>
      <c r="AG5528" s="3"/>
      <c r="AH5528" s="3"/>
    </row>
    <row r="5529" spans="1:34" ht="14.25" customHeight="1" x14ac:dyDescent="0.25">
      <c r="A5529" s="3"/>
      <c r="B5529" s="3"/>
      <c r="C5529" s="3"/>
      <c r="D5529" s="3"/>
      <c r="E5529" s="3"/>
      <c r="F5529" s="3"/>
      <c r="G5529" s="3"/>
      <c r="H5529" s="11"/>
      <c r="I5529" s="12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14"/>
      <c r="X5529" s="3"/>
      <c r="Y5529" s="3"/>
      <c r="Z5529" s="3"/>
      <c r="AA5529" s="3"/>
      <c r="AB5529" s="3"/>
      <c r="AC5529" s="3"/>
      <c r="AD5529" s="3"/>
      <c r="AE5529" s="3"/>
      <c r="AF5529" s="3"/>
      <c r="AG5529" s="3"/>
      <c r="AH5529" s="3"/>
    </row>
    <row r="5530" spans="1:34" ht="14.25" customHeight="1" x14ac:dyDescent="0.25">
      <c r="A5530" s="3"/>
      <c r="B5530" s="3"/>
      <c r="C5530" s="3"/>
      <c r="D5530" s="3"/>
      <c r="E5530" s="3"/>
      <c r="F5530" s="3"/>
      <c r="G5530" s="3"/>
      <c r="H5530" s="11"/>
      <c r="I5530" s="12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14"/>
      <c r="X5530" s="3"/>
      <c r="Y5530" s="3"/>
      <c r="Z5530" s="3"/>
      <c r="AA5530" s="3"/>
      <c r="AB5530" s="3"/>
      <c r="AC5530" s="3"/>
      <c r="AD5530" s="3"/>
      <c r="AE5530" s="3"/>
      <c r="AF5530" s="3"/>
      <c r="AG5530" s="3"/>
      <c r="AH5530" s="3"/>
    </row>
    <row r="5531" spans="1:34" ht="14.25" customHeight="1" x14ac:dyDescent="0.25">
      <c r="A5531" s="3"/>
      <c r="B5531" s="3"/>
      <c r="C5531" s="3"/>
      <c r="D5531" s="3"/>
      <c r="E5531" s="3"/>
      <c r="F5531" s="3"/>
      <c r="G5531" s="3"/>
      <c r="H5531" s="11"/>
      <c r="I5531" s="12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14"/>
      <c r="X5531" s="3"/>
      <c r="Y5531" s="3"/>
      <c r="Z5531" s="3"/>
      <c r="AA5531" s="3"/>
      <c r="AB5531" s="3"/>
      <c r="AC5531" s="3"/>
      <c r="AD5531" s="3"/>
      <c r="AE5531" s="3"/>
      <c r="AF5531" s="3"/>
      <c r="AG5531" s="3"/>
      <c r="AH5531" s="3"/>
    </row>
    <row r="5532" spans="1:34" ht="14.25" customHeight="1" x14ac:dyDescent="0.25">
      <c r="A5532" s="3"/>
      <c r="B5532" s="3"/>
      <c r="C5532" s="3"/>
      <c r="D5532" s="3"/>
      <c r="E5532" s="3"/>
      <c r="F5532" s="3"/>
      <c r="G5532" s="3"/>
      <c r="H5532" s="11"/>
      <c r="I5532" s="12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14"/>
      <c r="X5532" s="3"/>
      <c r="Y5532" s="3"/>
      <c r="Z5532" s="3"/>
      <c r="AA5532" s="3"/>
      <c r="AB5532" s="3"/>
      <c r="AC5532" s="3"/>
      <c r="AD5532" s="3"/>
      <c r="AE5532" s="3"/>
      <c r="AF5532" s="3"/>
      <c r="AG5532" s="3"/>
      <c r="AH5532" s="3"/>
    </row>
    <row r="5533" spans="1:34" ht="14.25" customHeight="1" x14ac:dyDescent="0.25">
      <c r="A5533" s="3"/>
      <c r="B5533" s="3"/>
      <c r="C5533" s="3"/>
      <c r="D5533" s="3"/>
      <c r="E5533" s="3"/>
      <c r="F5533" s="3"/>
      <c r="G5533" s="3"/>
      <c r="H5533" s="11"/>
      <c r="I5533" s="12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14"/>
      <c r="X5533" s="3"/>
      <c r="Y5533" s="3"/>
      <c r="Z5533" s="3"/>
      <c r="AA5533" s="3"/>
      <c r="AB5533" s="3"/>
      <c r="AC5533" s="3"/>
      <c r="AD5533" s="3"/>
      <c r="AE5533" s="3"/>
      <c r="AF5533" s="3"/>
      <c r="AG5533" s="3"/>
      <c r="AH5533" s="3"/>
    </row>
    <row r="5534" spans="1:34" ht="14.25" customHeight="1" x14ac:dyDescent="0.25">
      <c r="A5534" s="3"/>
      <c r="B5534" s="3"/>
      <c r="C5534" s="3"/>
      <c r="D5534" s="3"/>
      <c r="E5534" s="3"/>
      <c r="F5534" s="3"/>
      <c r="G5534" s="3"/>
      <c r="H5534" s="11"/>
      <c r="I5534" s="12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14"/>
      <c r="X5534" s="3"/>
      <c r="Y5534" s="3"/>
      <c r="Z5534" s="3"/>
      <c r="AA5534" s="3"/>
      <c r="AB5534" s="3"/>
      <c r="AC5534" s="3"/>
      <c r="AD5534" s="3"/>
      <c r="AE5534" s="3"/>
      <c r="AF5534" s="3"/>
      <c r="AG5534" s="3"/>
      <c r="AH5534" s="3"/>
    </row>
    <row r="5535" spans="1:34" ht="14.25" customHeight="1" x14ac:dyDescent="0.25">
      <c r="A5535" s="3"/>
      <c r="B5535" s="3"/>
      <c r="C5535" s="3"/>
      <c r="D5535" s="3"/>
      <c r="E5535" s="3"/>
      <c r="F5535" s="3"/>
      <c r="G5535" s="3"/>
      <c r="H5535" s="11"/>
      <c r="I5535" s="12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14"/>
      <c r="X5535" s="3"/>
      <c r="Y5535" s="3"/>
      <c r="Z5535" s="3"/>
      <c r="AA5535" s="3"/>
      <c r="AB5535" s="3"/>
      <c r="AC5535" s="3"/>
      <c r="AD5535" s="3"/>
      <c r="AE5535" s="3"/>
      <c r="AF5535" s="3"/>
      <c r="AG5535" s="3"/>
      <c r="AH5535" s="3"/>
    </row>
    <row r="5536" spans="1:34" ht="14.25" customHeight="1" x14ac:dyDescent="0.25">
      <c r="A5536" s="3"/>
      <c r="B5536" s="3"/>
      <c r="C5536" s="3"/>
      <c r="D5536" s="3"/>
      <c r="E5536" s="3"/>
      <c r="F5536" s="3"/>
      <c r="G5536" s="3"/>
      <c r="H5536" s="11"/>
      <c r="I5536" s="12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14"/>
      <c r="X5536" s="3"/>
      <c r="Y5536" s="3"/>
      <c r="Z5536" s="3"/>
      <c r="AA5536" s="3"/>
      <c r="AB5536" s="3"/>
      <c r="AC5536" s="3"/>
      <c r="AD5536" s="3"/>
      <c r="AE5536" s="3"/>
      <c r="AF5536" s="3"/>
      <c r="AG5536" s="3"/>
      <c r="AH5536" s="3"/>
    </row>
    <row r="5537" spans="1:34" ht="14.25" customHeight="1" x14ac:dyDescent="0.25">
      <c r="A5537" s="3"/>
      <c r="B5537" s="3"/>
      <c r="C5537" s="3"/>
      <c r="D5537" s="3"/>
      <c r="E5537" s="3"/>
      <c r="F5537" s="3"/>
      <c r="G5537" s="3"/>
      <c r="H5537" s="11"/>
      <c r="I5537" s="12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14"/>
      <c r="X5537" s="3"/>
      <c r="Y5537" s="3"/>
      <c r="Z5537" s="3"/>
      <c r="AA5537" s="3"/>
      <c r="AB5537" s="3"/>
      <c r="AC5537" s="3"/>
      <c r="AD5537" s="3"/>
      <c r="AE5537" s="3"/>
      <c r="AF5537" s="3"/>
      <c r="AG5537" s="3"/>
      <c r="AH5537" s="3"/>
    </row>
    <row r="5538" spans="1:34" ht="14.25" customHeight="1" x14ac:dyDescent="0.25">
      <c r="A5538" s="3"/>
      <c r="B5538" s="3"/>
      <c r="C5538" s="3"/>
      <c r="D5538" s="3"/>
      <c r="E5538" s="3"/>
      <c r="F5538" s="3"/>
      <c r="G5538" s="3"/>
      <c r="H5538" s="11"/>
      <c r="I5538" s="12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14"/>
      <c r="X5538" s="3"/>
      <c r="Y5538" s="3"/>
      <c r="Z5538" s="3"/>
      <c r="AA5538" s="3"/>
      <c r="AB5538" s="3"/>
      <c r="AC5538" s="3"/>
      <c r="AD5538" s="3"/>
      <c r="AE5538" s="3"/>
      <c r="AF5538" s="3"/>
      <c r="AG5538" s="3"/>
      <c r="AH5538" s="3"/>
    </row>
    <row r="5539" spans="1:34" ht="14.25" customHeight="1" x14ac:dyDescent="0.25">
      <c r="A5539" s="3"/>
      <c r="B5539" s="3"/>
      <c r="C5539" s="3"/>
      <c r="D5539" s="3"/>
      <c r="E5539" s="3"/>
      <c r="F5539" s="3"/>
      <c r="G5539" s="3"/>
      <c r="H5539" s="11"/>
      <c r="I5539" s="12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14"/>
      <c r="X5539" s="3"/>
      <c r="Y5539" s="3"/>
      <c r="Z5539" s="3"/>
      <c r="AA5539" s="3"/>
      <c r="AB5539" s="3"/>
      <c r="AC5539" s="3"/>
      <c r="AD5539" s="3"/>
      <c r="AE5539" s="3"/>
      <c r="AF5539" s="3"/>
      <c r="AG5539" s="3"/>
      <c r="AH5539" s="3"/>
    </row>
    <row r="5540" spans="1:34" ht="14.25" customHeight="1" x14ac:dyDescent="0.25">
      <c r="A5540" s="3"/>
      <c r="B5540" s="3"/>
      <c r="C5540" s="3"/>
      <c r="D5540" s="3"/>
      <c r="E5540" s="3"/>
      <c r="F5540" s="3"/>
      <c r="G5540" s="3"/>
      <c r="H5540" s="11"/>
      <c r="I5540" s="12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14"/>
      <c r="X5540" s="3"/>
      <c r="Y5540" s="3"/>
      <c r="Z5540" s="3"/>
      <c r="AA5540" s="3"/>
      <c r="AB5540" s="3"/>
      <c r="AC5540" s="3"/>
      <c r="AD5540" s="3"/>
      <c r="AE5540" s="3"/>
      <c r="AF5540" s="3"/>
      <c r="AG5540" s="3"/>
      <c r="AH5540" s="3"/>
    </row>
    <row r="5541" spans="1:34" ht="14.25" customHeight="1" x14ac:dyDescent="0.25">
      <c r="A5541" s="3"/>
      <c r="B5541" s="3"/>
      <c r="C5541" s="3"/>
      <c r="D5541" s="3"/>
      <c r="E5541" s="3"/>
      <c r="F5541" s="3"/>
      <c r="G5541" s="3"/>
      <c r="H5541" s="11"/>
      <c r="I5541" s="12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14"/>
      <c r="X5541" s="3"/>
      <c r="Y5541" s="3"/>
      <c r="Z5541" s="3"/>
      <c r="AA5541" s="3"/>
      <c r="AB5541" s="3"/>
      <c r="AC5541" s="3"/>
      <c r="AD5541" s="3"/>
      <c r="AE5541" s="3"/>
      <c r="AF5541" s="3"/>
      <c r="AG5541" s="3"/>
      <c r="AH5541" s="3"/>
    </row>
    <row r="5542" spans="1:34" ht="14.25" customHeight="1" x14ac:dyDescent="0.25">
      <c r="A5542" s="3"/>
      <c r="B5542" s="3"/>
      <c r="C5542" s="3"/>
      <c r="D5542" s="3"/>
      <c r="E5542" s="3"/>
      <c r="F5542" s="3"/>
      <c r="G5542" s="3"/>
      <c r="H5542" s="11"/>
      <c r="I5542" s="12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14"/>
      <c r="X5542" s="3"/>
      <c r="Y5542" s="3"/>
      <c r="Z5542" s="3"/>
      <c r="AA5542" s="3"/>
      <c r="AB5542" s="3"/>
      <c r="AC5542" s="3"/>
      <c r="AD5542" s="3"/>
      <c r="AE5542" s="3"/>
      <c r="AF5542" s="3"/>
      <c r="AG5542" s="3"/>
      <c r="AH5542" s="3"/>
    </row>
    <row r="5543" spans="1:34" ht="14.25" customHeight="1" x14ac:dyDescent="0.25">
      <c r="A5543" s="3"/>
      <c r="B5543" s="3"/>
      <c r="C5543" s="3"/>
      <c r="D5543" s="3"/>
      <c r="E5543" s="3"/>
      <c r="F5543" s="3"/>
      <c r="G5543" s="3"/>
      <c r="H5543" s="11"/>
      <c r="I5543" s="12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14"/>
      <c r="X5543" s="3"/>
      <c r="Y5543" s="3"/>
      <c r="Z5543" s="3"/>
      <c r="AA5543" s="3"/>
      <c r="AB5543" s="3"/>
      <c r="AC5543" s="3"/>
      <c r="AD5543" s="3"/>
      <c r="AE5543" s="3"/>
      <c r="AF5543" s="3"/>
      <c r="AG5543" s="3"/>
      <c r="AH5543" s="3"/>
    </row>
    <row r="5544" spans="1:34" ht="14.25" customHeight="1" x14ac:dyDescent="0.25">
      <c r="A5544" s="3"/>
      <c r="B5544" s="3"/>
      <c r="C5544" s="3"/>
      <c r="D5544" s="3"/>
      <c r="E5544" s="3"/>
      <c r="F5544" s="3"/>
      <c r="G5544" s="3"/>
      <c r="H5544" s="11"/>
      <c r="I5544" s="12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  <c r="AA5544" s="3"/>
      <c r="AB5544" s="3"/>
      <c r="AC5544" s="3"/>
      <c r="AD5544" s="3"/>
      <c r="AE5544" s="3"/>
      <c r="AF5544" s="3"/>
      <c r="AG5544" s="3"/>
      <c r="AH5544" s="3"/>
    </row>
    <row r="5545" spans="1:34" ht="14.25" customHeight="1" x14ac:dyDescent="0.25">
      <c r="A5545" s="3"/>
      <c r="B5545" s="3"/>
      <c r="C5545" s="3"/>
      <c r="D5545" s="3"/>
      <c r="E5545" s="3"/>
      <c r="F5545" s="3"/>
      <c r="G5545" s="3"/>
      <c r="H5545" s="11"/>
      <c r="I5545" s="12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  <c r="AA5545" s="3"/>
      <c r="AB5545" s="3"/>
      <c r="AC5545" s="3"/>
      <c r="AD5545" s="3"/>
      <c r="AE5545" s="3"/>
      <c r="AF5545" s="3"/>
      <c r="AG5545" s="3"/>
      <c r="AH5545" s="3"/>
    </row>
    <row r="5546" spans="1:34" ht="14.25" customHeight="1" x14ac:dyDescent="0.25">
      <c r="A5546" s="3"/>
      <c r="B5546" s="3"/>
      <c r="C5546" s="3"/>
      <c r="D5546" s="3"/>
      <c r="E5546" s="3"/>
      <c r="F5546" s="3"/>
      <c r="G5546" s="3"/>
      <c r="H5546" s="11"/>
      <c r="I5546" s="12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  <c r="AA5546" s="3"/>
      <c r="AB5546" s="3"/>
      <c r="AC5546" s="3"/>
      <c r="AD5546" s="3"/>
      <c r="AE5546" s="3"/>
      <c r="AF5546" s="3"/>
      <c r="AG5546" s="3"/>
      <c r="AH5546" s="3"/>
    </row>
    <row r="5547" spans="1:34" ht="14.25" customHeight="1" x14ac:dyDescent="0.25">
      <c r="A5547" s="3"/>
      <c r="B5547" s="3"/>
      <c r="C5547" s="3"/>
      <c r="D5547" s="3"/>
      <c r="E5547" s="3"/>
      <c r="F5547" s="3"/>
      <c r="G5547" s="3"/>
      <c r="H5547" s="11"/>
      <c r="I5547" s="12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  <c r="AA5547" s="3"/>
      <c r="AB5547" s="3"/>
      <c r="AC5547" s="3"/>
      <c r="AD5547" s="3"/>
      <c r="AE5547" s="3"/>
      <c r="AF5547" s="3"/>
      <c r="AG5547" s="3"/>
      <c r="AH5547" s="3"/>
    </row>
    <row r="5548" spans="1:34" ht="14.25" customHeight="1" x14ac:dyDescent="0.25">
      <c r="A5548" s="3"/>
      <c r="B5548" s="3"/>
      <c r="C5548" s="3"/>
      <c r="D5548" s="3"/>
      <c r="E5548" s="3"/>
      <c r="F5548" s="3"/>
      <c r="G5548" s="3"/>
      <c r="H5548" s="11"/>
      <c r="I5548" s="12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  <c r="AA5548" s="3"/>
      <c r="AB5548" s="3"/>
      <c r="AC5548" s="3"/>
      <c r="AD5548" s="3"/>
      <c r="AE5548" s="3"/>
      <c r="AF5548" s="3"/>
      <c r="AG5548" s="3"/>
      <c r="AH5548" s="3"/>
    </row>
    <row r="5549" spans="1:34" ht="14.25" customHeight="1" x14ac:dyDescent="0.25">
      <c r="A5549" s="3"/>
      <c r="B5549" s="3"/>
      <c r="C5549" s="3"/>
      <c r="D5549" s="3"/>
      <c r="E5549" s="3"/>
      <c r="F5549" s="3"/>
      <c r="G5549" s="3"/>
      <c r="H5549" s="11"/>
      <c r="I5549" s="12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  <c r="AA5549" s="3"/>
      <c r="AB5549" s="3"/>
      <c r="AC5549" s="3"/>
      <c r="AD5549" s="3"/>
      <c r="AE5549" s="3"/>
      <c r="AF5549" s="3"/>
      <c r="AG5549" s="3"/>
      <c r="AH5549" s="3"/>
    </row>
    <row r="5550" spans="1:34" ht="14.25" customHeight="1" x14ac:dyDescent="0.25">
      <c r="A5550" s="3"/>
      <c r="B5550" s="3"/>
      <c r="C5550" s="3"/>
      <c r="D5550" s="3"/>
      <c r="E5550" s="3"/>
      <c r="F5550" s="3"/>
      <c r="G5550" s="3"/>
      <c r="H5550" s="11"/>
      <c r="I5550" s="12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  <c r="AA5550" s="3"/>
      <c r="AB5550" s="3"/>
      <c r="AC5550" s="3"/>
      <c r="AD5550" s="3"/>
      <c r="AE5550" s="3"/>
      <c r="AF5550" s="3"/>
      <c r="AG5550" s="3"/>
      <c r="AH5550" s="3"/>
    </row>
    <row r="5551" spans="1:34" ht="14.25" customHeight="1" x14ac:dyDescent="0.25">
      <c r="A5551" s="3"/>
      <c r="B5551" s="3"/>
      <c r="C5551" s="3"/>
      <c r="D5551" s="3"/>
      <c r="E5551" s="3"/>
      <c r="F5551" s="3"/>
      <c r="G5551" s="3"/>
      <c r="H5551" s="11"/>
      <c r="I5551" s="12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  <c r="AA5551" s="3"/>
      <c r="AB5551" s="3"/>
      <c r="AC5551" s="3"/>
      <c r="AD5551" s="3"/>
      <c r="AE5551" s="3"/>
      <c r="AF5551" s="3"/>
      <c r="AG5551" s="3"/>
      <c r="AH5551" s="3"/>
    </row>
    <row r="5552" spans="1:34" ht="14.25" customHeight="1" x14ac:dyDescent="0.25">
      <c r="A5552" s="3"/>
      <c r="B5552" s="3"/>
      <c r="C5552" s="3"/>
      <c r="D5552" s="3"/>
      <c r="E5552" s="3"/>
      <c r="F5552" s="3"/>
      <c r="G5552" s="3"/>
      <c r="H5552" s="11"/>
      <c r="I5552" s="12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  <c r="AA5552" s="3"/>
      <c r="AB5552" s="3"/>
      <c r="AC5552" s="3"/>
      <c r="AD5552" s="3"/>
      <c r="AE5552" s="3"/>
      <c r="AF5552" s="3"/>
      <c r="AG5552" s="3"/>
      <c r="AH5552" s="3"/>
    </row>
    <row r="5553" spans="1:34" ht="14.25" customHeight="1" x14ac:dyDescent="0.25">
      <c r="A5553" s="3"/>
      <c r="B5553" s="3"/>
      <c r="C5553" s="3"/>
      <c r="D5553" s="3"/>
      <c r="E5553" s="3"/>
      <c r="F5553" s="3"/>
      <c r="G5553" s="3"/>
      <c r="H5553" s="11"/>
      <c r="I5553" s="12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  <c r="AA5553" s="3"/>
      <c r="AB5553" s="3"/>
      <c r="AC5553" s="3"/>
      <c r="AD5553" s="3"/>
      <c r="AE5553" s="3"/>
      <c r="AF5553" s="3"/>
      <c r="AG5553" s="3"/>
      <c r="AH5553" s="3"/>
    </row>
    <row r="5554" spans="1:34" ht="14.25" customHeight="1" x14ac:dyDescent="0.25">
      <c r="A5554" s="3"/>
      <c r="B5554" s="3"/>
      <c r="C5554" s="3"/>
      <c r="D5554" s="3"/>
      <c r="E5554" s="3"/>
      <c r="F5554" s="3"/>
      <c r="G5554" s="3"/>
      <c r="H5554" s="11"/>
      <c r="I5554" s="12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  <c r="AA5554" s="3"/>
      <c r="AB5554" s="3"/>
      <c r="AC5554" s="3"/>
      <c r="AD5554" s="3"/>
      <c r="AE5554" s="3"/>
      <c r="AF5554" s="3"/>
      <c r="AG5554" s="3"/>
      <c r="AH5554" s="3"/>
    </row>
    <row r="5555" spans="1:34" ht="14.25" customHeight="1" x14ac:dyDescent="0.25">
      <c r="A5555" s="3"/>
      <c r="B5555" s="3"/>
      <c r="C5555" s="3"/>
      <c r="D5555" s="3"/>
      <c r="E5555" s="3"/>
      <c r="F5555" s="3"/>
      <c r="G5555" s="3"/>
      <c r="H5555" s="11"/>
      <c r="I5555" s="12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  <c r="AA5555" s="3"/>
      <c r="AB5555" s="3"/>
      <c r="AC5555" s="3"/>
      <c r="AD5555" s="3"/>
      <c r="AE5555" s="3"/>
      <c r="AF5555" s="3"/>
      <c r="AG5555" s="3"/>
      <c r="AH5555" s="3"/>
    </row>
    <row r="5556" spans="1:34" ht="14.25" customHeight="1" x14ac:dyDescent="0.25">
      <c r="A5556" s="3"/>
      <c r="B5556" s="3"/>
      <c r="C5556" s="3"/>
      <c r="D5556" s="3"/>
      <c r="E5556" s="3"/>
      <c r="F5556" s="3"/>
      <c r="G5556" s="3"/>
      <c r="H5556" s="11"/>
      <c r="I5556" s="12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  <c r="AA5556" s="3"/>
      <c r="AB5556" s="3"/>
      <c r="AC5556" s="3"/>
      <c r="AD5556" s="3"/>
      <c r="AE5556" s="3"/>
      <c r="AF5556" s="3"/>
      <c r="AG5556" s="3"/>
      <c r="AH5556" s="3"/>
    </row>
    <row r="5557" spans="1:34" ht="14.25" customHeight="1" x14ac:dyDescent="0.25">
      <c r="A5557" s="3"/>
      <c r="B5557" s="3"/>
      <c r="C5557" s="3"/>
      <c r="D5557" s="3"/>
      <c r="E5557" s="3"/>
      <c r="F5557" s="3"/>
      <c r="G5557" s="3"/>
      <c r="H5557" s="11"/>
      <c r="I5557" s="12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  <c r="AA5557" s="3"/>
      <c r="AB5557" s="3"/>
      <c r="AC5557" s="3"/>
      <c r="AD5557" s="3"/>
      <c r="AE5557" s="3"/>
      <c r="AF5557" s="3"/>
      <c r="AG5557" s="3"/>
      <c r="AH5557" s="3"/>
    </row>
    <row r="5558" spans="1:34" ht="14.25" customHeight="1" x14ac:dyDescent="0.25">
      <c r="A5558" s="3"/>
      <c r="B5558" s="3"/>
      <c r="C5558" s="3"/>
      <c r="D5558" s="3"/>
      <c r="E5558" s="3"/>
      <c r="F5558" s="3"/>
      <c r="G5558" s="3"/>
      <c r="H5558" s="11"/>
      <c r="I5558" s="12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  <c r="AA5558" s="3"/>
      <c r="AB5558" s="3"/>
      <c r="AC5558" s="3"/>
      <c r="AD5558" s="3"/>
      <c r="AE5558" s="3"/>
      <c r="AF5558" s="3"/>
      <c r="AG5558" s="3"/>
      <c r="AH5558" s="3"/>
    </row>
    <row r="5559" spans="1:34" ht="14.25" customHeight="1" x14ac:dyDescent="0.25">
      <c r="A5559" s="3"/>
      <c r="B5559" s="3"/>
      <c r="C5559" s="3"/>
      <c r="D5559" s="3"/>
      <c r="E5559" s="3"/>
      <c r="F5559" s="3"/>
      <c r="G5559" s="3"/>
      <c r="H5559" s="11"/>
      <c r="I5559" s="12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  <c r="AA5559" s="3"/>
      <c r="AB5559" s="3"/>
      <c r="AC5559" s="3"/>
      <c r="AD5559" s="3"/>
      <c r="AE5559" s="3"/>
      <c r="AF5559" s="3"/>
      <c r="AG5559" s="3"/>
      <c r="AH5559" s="3"/>
    </row>
    <row r="5560" spans="1:34" ht="14.25" customHeight="1" x14ac:dyDescent="0.25">
      <c r="A5560" s="3"/>
      <c r="B5560" s="3"/>
      <c r="C5560" s="3"/>
      <c r="D5560" s="3"/>
      <c r="E5560" s="3"/>
      <c r="F5560" s="3"/>
      <c r="G5560" s="3"/>
      <c r="H5560" s="11"/>
      <c r="I5560" s="12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  <c r="AA5560" s="3"/>
      <c r="AB5560" s="3"/>
      <c r="AC5560" s="3"/>
      <c r="AD5560" s="3"/>
      <c r="AE5560" s="3"/>
      <c r="AF5560" s="3"/>
      <c r="AG5560" s="3"/>
      <c r="AH5560" s="3"/>
    </row>
    <row r="5561" spans="1:34" ht="14.25" customHeight="1" x14ac:dyDescent="0.25">
      <c r="A5561" s="3"/>
      <c r="B5561" s="3"/>
      <c r="C5561" s="3"/>
      <c r="D5561" s="3"/>
      <c r="E5561" s="3"/>
      <c r="F5561" s="3"/>
      <c r="G5561" s="3"/>
      <c r="H5561" s="11"/>
      <c r="I5561" s="12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  <c r="AA5561" s="3"/>
      <c r="AB5561" s="3"/>
      <c r="AC5561" s="3"/>
      <c r="AD5561" s="3"/>
      <c r="AE5561" s="3"/>
      <c r="AF5561" s="3"/>
      <c r="AG5561" s="3"/>
      <c r="AH5561" s="3"/>
    </row>
    <row r="5562" spans="1:34" ht="14.25" customHeight="1" x14ac:dyDescent="0.25">
      <c r="A5562" s="3"/>
      <c r="B5562" s="3"/>
      <c r="C5562" s="3"/>
      <c r="D5562" s="3"/>
      <c r="E5562" s="3"/>
      <c r="F5562" s="3"/>
      <c r="G5562" s="3"/>
      <c r="H5562" s="11"/>
      <c r="I5562" s="12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  <c r="AA5562" s="3"/>
      <c r="AB5562" s="3"/>
      <c r="AC5562" s="3"/>
      <c r="AD5562" s="3"/>
      <c r="AE5562" s="3"/>
      <c r="AF5562" s="3"/>
      <c r="AG5562" s="3"/>
      <c r="AH5562" s="3"/>
    </row>
    <row r="5563" spans="1:34" ht="14.25" customHeight="1" x14ac:dyDescent="0.25">
      <c r="A5563" s="3"/>
      <c r="B5563" s="3"/>
      <c r="C5563" s="3"/>
      <c r="D5563" s="3"/>
      <c r="E5563" s="3"/>
      <c r="F5563" s="3"/>
      <c r="G5563" s="3"/>
      <c r="H5563" s="11"/>
      <c r="I5563" s="12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  <c r="AA5563" s="3"/>
      <c r="AB5563" s="3"/>
      <c r="AC5563" s="3"/>
      <c r="AD5563" s="3"/>
      <c r="AE5563" s="3"/>
      <c r="AF5563" s="3"/>
      <c r="AG5563" s="3"/>
      <c r="AH5563" s="3"/>
    </row>
    <row r="5564" spans="1:34" ht="14.25" customHeight="1" x14ac:dyDescent="0.25">
      <c r="A5564" s="3"/>
      <c r="B5564" s="3"/>
      <c r="C5564" s="3"/>
      <c r="D5564" s="3"/>
      <c r="E5564" s="3"/>
      <c r="F5564" s="3"/>
      <c r="G5564" s="3"/>
      <c r="H5564" s="11"/>
      <c r="I5564" s="12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  <c r="AA5564" s="3"/>
      <c r="AB5564" s="3"/>
      <c r="AC5564" s="3"/>
      <c r="AD5564" s="3"/>
      <c r="AE5564" s="3"/>
      <c r="AF5564" s="3"/>
      <c r="AG5564" s="3"/>
      <c r="AH5564" s="3"/>
    </row>
    <row r="5565" spans="1:34" ht="14.25" customHeight="1" x14ac:dyDescent="0.25">
      <c r="A5565" s="3"/>
      <c r="B5565" s="3"/>
      <c r="C5565" s="3"/>
      <c r="D5565" s="3"/>
      <c r="E5565" s="3"/>
      <c r="F5565" s="3"/>
      <c r="G5565" s="3"/>
      <c r="H5565" s="11"/>
      <c r="I5565" s="12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  <c r="AA5565" s="3"/>
      <c r="AB5565" s="3"/>
      <c r="AC5565" s="3"/>
      <c r="AD5565" s="3"/>
      <c r="AE5565" s="3"/>
      <c r="AF5565" s="3"/>
      <c r="AG5565" s="3"/>
      <c r="AH5565" s="3"/>
    </row>
    <row r="5566" spans="1:34" ht="14.25" customHeight="1" x14ac:dyDescent="0.25">
      <c r="A5566" s="3"/>
      <c r="B5566" s="3"/>
      <c r="C5566" s="3"/>
      <c r="D5566" s="3"/>
      <c r="E5566" s="3"/>
      <c r="F5566" s="3"/>
      <c r="G5566" s="3"/>
      <c r="H5566" s="11"/>
      <c r="I5566" s="12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  <c r="AA5566" s="3"/>
      <c r="AB5566" s="3"/>
      <c r="AC5566" s="3"/>
      <c r="AD5566" s="3"/>
      <c r="AE5566" s="3"/>
      <c r="AF5566" s="3"/>
      <c r="AG5566" s="3"/>
      <c r="AH5566" s="3"/>
    </row>
    <row r="5567" spans="1:34" ht="14.25" customHeight="1" x14ac:dyDescent="0.25">
      <c r="A5567" s="3"/>
      <c r="B5567" s="3"/>
      <c r="C5567" s="3"/>
      <c r="D5567" s="3"/>
      <c r="E5567" s="3"/>
      <c r="F5567" s="3"/>
      <c r="G5567" s="3"/>
      <c r="H5567" s="11"/>
      <c r="I5567" s="12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  <c r="AA5567" s="3"/>
      <c r="AB5567" s="3"/>
      <c r="AC5567" s="3"/>
      <c r="AD5567" s="3"/>
      <c r="AE5567" s="3"/>
      <c r="AF5567" s="3"/>
      <c r="AG5567" s="3"/>
      <c r="AH5567" s="3"/>
    </row>
    <row r="5568" spans="1:34" ht="14.25" customHeight="1" x14ac:dyDescent="0.25">
      <c r="A5568" s="3"/>
      <c r="B5568" s="3"/>
      <c r="C5568" s="3"/>
      <c r="D5568" s="3"/>
      <c r="E5568" s="3"/>
      <c r="F5568" s="3"/>
      <c r="G5568" s="3"/>
      <c r="H5568" s="11"/>
      <c r="I5568" s="12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  <c r="AA5568" s="3"/>
      <c r="AB5568" s="3"/>
      <c r="AC5568" s="3"/>
      <c r="AD5568" s="3"/>
      <c r="AE5568" s="3"/>
      <c r="AF5568" s="3"/>
      <c r="AG5568" s="3"/>
      <c r="AH5568" s="3"/>
    </row>
    <row r="5569" spans="1:34" ht="14.25" customHeight="1" x14ac:dyDescent="0.25">
      <c r="A5569" s="3"/>
      <c r="B5569" s="3"/>
      <c r="C5569" s="3"/>
      <c r="D5569" s="3"/>
      <c r="E5569" s="3"/>
      <c r="F5569" s="3"/>
      <c r="G5569" s="3"/>
      <c r="H5569" s="11"/>
      <c r="I5569" s="12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  <c r="AA5569" s="3"/>
      <c r="AB5569" s="3"/>
      <c r="AC5569" s="3"/>
      <c r="AD5569" s="3"/>
      <c r="AE5569" s="3"/>
      <c r="AF5569" s="3"/>
      <c r="AG5569" s="3"/>
      <c r="AH5569" s="3"/>
    </row>
    <row r="5570" spans="1:34" ht="14.25" customHeight="1" x14ac:dyDescent="0.25">
      <c r="A5570" s="3"/>
      <c r="B5570" s="3"/>
      <c r="C5570" s="3"/>
      <c r="D5570" s="3"/>
      <c r="E5570" s="3"/>
      <c r="F5570" s="3"/>
      <c r="G5570" s="3"/>
      <c r="H5570" s="11"/>
      <c r="I5570" s="12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  <c r="AA5570" s="3"/>
      <c r="AB5570" s="3"/>
      <c r="AC5570" s="3"/>
      <c r="AD5570" s="3"/>
      <c r="AE5570" s="3"/>
      <c r="AF5570" s="3"/>
      <c r="AG5570" s="3"/>
      <c r="AH5570" s="3"/>
    </row>
    <row r="5571" spans="1:34" ht="14.25" customHeight="1" x14ac:dyDescent="0.25">
      <c r="A5571" s="3"/>
      <c r="B5571" s="3"/>
      <c r="C5571" s="3"/>
      <c r="D5571" s="3"/>
      <c r="E5571" s="3"/>
      <c r="F5571" s="3"/>
      <c r="G5571" s="3"/>
      <c r="H5571" s="11"/>
      <c r="I5571" s="12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  <c r="AA5571" s="3"/>
      <c r="AB5571" s="3"/>
      <c r="AC5571" s="3"/>
      <c r="AD5571" s="3"/>
      <c r="AE5571" s="3"/>
      <c r="AF5571" s="3"/>
      <c r="AG5571" s="3"/>
      <c r="AH5571" s="3"/>
    </row>
    <row r="5572" spans="1:34" ht="14.25" customHeight="1" x14ac:dyDescent="0.25">
      <c r="A5572" s="3"/>
      <c r="B5572" s="3"/>
      <c r="C5572" s="3"/>
      <c r="D5572" s="3"/>
      <c r="E5572" s="3"/>
      <c r="F5572" s="3"/>
      <c r="G5572" s="3"/>
      <c r="H5572" s="11"/>
      <c r="I5572" s="12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  <c r="AA5572" s="3"/>
      <c r="AB5572" s="3"/>
      <c r="AC5572" s="3"/>
      <c r="AD5572" s="3"/>
      <c r="AE5572" s="3"/>
      <c r="AF5572" s="3"/>
      <c r="AG5572" s="3"/>
      <c r="AH5572" s="3"/>
    </row>
    <row r="5573" spans="1:34" ht="14.25" customHeight="1" x14ac:dyDescent="0.25">
      <c r="A5573" s="3"/>
      <c r="B5573" s="3"/>
      <c r="C5573" s="3"/>
      <c r="D5573" s="3"/>
      <c r="E5573" s="3"/>
      <c r="F5573" s="3"/>
      <c r="G5573" s="3"/>
      <c r="H5573" s="11"/>
      <c r="I5573" s="12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  <c r="AA5573" s="3"/>
      <c r="AB5573" s="3"/>
      <c r="AC5573" s="3"/>
      <c r="AD5573" s="3"/>
      <c r="AE5573" s="3"/>
      <c r="AF5573" s="3"/>
      <c r="AG5573" s="3"/>
      <c r="AH5573" s="3"/>
    </row>
    <row r="5574" spans="1:34" ht="14.25" customHeight="1" x14ac:dyDescent="0.25">
      <c r="A5574" s="3"/>
      <c r="B5574" s="3"/>
      <c r="C5574" s="3"/>
      <c r="D5574" s="3"/>
      <c r="E5574" s="3"/>
      <c r="F5574" s="3"/>
      <c r="G5574" s="3"/>
      <c r="H5574" s="11"/>
      <c r="I5574" s="12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  <c r="AA5574" s="3"/>
      <c r="AB5574" s="3"/>
      <c r="AC5574" s="3"/>
      <c r="AD5574" s="3"/>
      <c r="AE5574" s="3"/>
      <c r="AF5574" s="3"/>
      <c r="AG5574" s="3"/>
      <c r="AH5574" s="3"/>
    </row>
    <row r="5575" spans="1:34" ht="14.25" customHeight="1" x14ac:dyDescent="0.25">
      <c r="A5575" s="3"/>
      <c r="B5575" s="3"/>
      <c r="C5575" s="3"/>
      <c r="D5575" s="3"/>
      <c r="E5575" s="3"/>
      <c r="F5575" s="3"/>
      <c r="G5575" s="3"/>
      <c r="H5575" s="11"/>
      <c r="I5575" s="12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  <c r="AA5575" s="3"/>
      <c r="AB5575" s="3"/>
      <c r="AC5575" s="3"/>
      <c r="AD5575" s="3"/>
      <c r="AE5575" s="3"/>
      <c r="AF5575" s="3"/>
      <c r="AG5575" s="3"/>
      <c r="AH5575" s="3"/>
    </row>
    <row r="5576" spans="1:34" ht="14.25" customHeight="1" x14ac:dyDescent="0.25">
      <c r="A5576" s="3"/>
      <c r="B5576" s="3"/>
      <c r="C5576" s="3"/>
      <c r="D5576" s="3"/>
      <c r="E5576" s="3"/>
      <c r="F5576" s="3"/>
      <c r="G5576" s="3"/>
      <c r="H5576" s="11"/>
      <c r="I5576" s="12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  <c r="AA5576" s="3"/>
      <c r="AB5576" s="3"/>
      <c r="AC5576" s="3"/>
      <c r="AD5576" s="3"/>
      <c r="AE5576" s="3"/>
      <c r="AF5576" s="3"/>
      <c r="AG5576" s="3"/>
      <c r="AH5576" s="3"/>
    </row>
    <row r="5577" spans="1:34" ht="14.25" customHeight="1" x14ac:dyDescent="0.25">
      <c r="A5577" s="3"/>
      <c r="B5577" s="3"/>
      <c r="C5577" s="3"/>
      <c r="D5577" s="3"/>
      <c r="E5577" s="3"/>
      <c r="F5577" s="3"/>
      <c r="G5577" s="3"/>
      <c r="H5577" s="11"/>
      <c r="I5577" s="12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  <c r="AA5577" s="3"/>
      <c r="AB5577" s="3"/>
      <c r="AC5577" s="3"/>
      <c r="AD5577" s="3"/>
      <c r="AE5577" s="3"/>
      <c r="AF5577" s="3"/>
      <c r="AG5577" s="3"/>
      <c r="AH5577" s="3"/>
    </row>
    <row r="5578" spans="1:34" ht="14.25" customHeight="1" x14ac:dyDescent="0.25">
      <c r="A5578" s="3"/>
      <c r="B5578" s="3"/>
      <c r="C5578" s="3"/>
      <c r="D5578" s="3"/>
      <c r="E5578" s="3"/>
      <c r="F5578" s="3"/>
      <c r="G5578" s="3"/>
      <c r="H5578" s="11"/>
      <c r="I5578" s="12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  <c r="AA5578" s="3"/>
      <c r="AB5578" s="3"/>
      <c r="AC5578" s="3"/>
      <c r="AD5578" s="3"/>
      <c r="AE5578" s="3"/>
      <c r="AF5578" s="3"/>
      <c r="AG5578" s="3"/>
      <c r="AH5578" s="3"/>
    </row>
    <row r="5579" spans="1:34" ht="14.25" customHeight="1" x14ac:dyDescent="0.25">
      <c r="A5579" s="3"/>
      <c r="B5579" s="3"/>
      <c r="C5579" s="3"/>
      <c r="D5579" s="3"/>
      <c r="E5579" s="3"/>
      <c r="F5579" s="3"/>
      <c r="G5579" s="3"/>
      <c r="H5579" s="11"/>
      <c r="I5579" s="12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  <c r="AA5579" s="3"/>
      <c r="AB5579" s="3"/>
      <c r="AC5579" s="3"/>
      <c r="AD5579" s="3"/>
      <c r="AE5579" s="3"/>
      <c r="AF5579" s="3"/>
      <c r="AG5579" s="3"/>
      <c r="AH5579" s="3"/>
    </row>
    <row r="5580" spans="1:34" ht="14.25" customHeight="1" x14ac:dyDescent="0.25">
      <c r="A5580" s="3"/>
      <c r="B5580" s="3"/>
      <c r="C5580" s="3"/>
      <c r="D5580" s="3"/>
      <c r="E5580" s="3"/>
      <c r="F5580" s="3"/>
      <c r="G5580" s="3"/>
      <c r="H5580" s="11"/>
      <c r="I5580" s="12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  <c r="AA5580" s="3"/>
      <c r="AB5580" s="3"/>
      <c r="AC5580" s="3"/>
      <c r="AD5580" s="3"/>
      <c r="AE5580" s="3"/>
      <c r="AF5580" s="3"/>
      <c r="AG5580" s="3"/>
      <c r="AH5580" s="3"/>
    </row>
    <row r="5581" spans="1:34" ht="14.25" customHeight="1" x14ac:dyDescent="0.25">
      <c r="A5581" s="3"/>
      <c r="B5581" s="3"/>
      <c r="C5581" s="3"/>
      <c r="D5581" s="3"/>
      <c r="E5581" s="3"/>
      <c r="F5581" s="3"/>
      <c r="G5581" s="3"/>
      <c r="H5581" s="11"/>
      <c r="I5581" s="12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  <c r="AA5581" s="3"/>
      <c r="AB5581" s="3"/>
      <c r="AC5581" s="3"/>
      <c r="AD5581" s="3"/>
      <c r="AE5581" s="3"/>
      <c r="AF5581" s="3"/>
      <c r="AG5581" s="3"/>
      <c r="AH5581" s="3"/>
    </row>
    <row r="5582" spans="1:34" ht="14.25" customHeight="1" x14ac:dyDescent="0.25">
      <c r="A5582" s="3"/>
      <c r="B5582" s="3"/>
      <c r="C5582" s="3"/>
      <c r="D5582" s="3"/>
      <c r="E5582" s="3"/>
      <c r="F5582" s="3"/>
      <c r="G5582" s="3"/>
      <c r="H5582" s="11"/>
      <c r="I5582" s="12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  <c r="AA5582" s="3"/>
      <c r="AB5582" s="3"/>
      <c r="AC5582" s="3"/>
      <c r="AD5582" s="3"/>
      <c r="AE5582" s="3"/>
      <c r="AF5582" s="3"/>
      <c r="AG5582" s="3"/>
      <c r="AH5582" s="3"/>
    </row>
    <row r="5583" spans="1:34" ht="14.25" customHeight="1" x14ac:dyDescent="0.25">
      <c r="A5583" s="3"/>
      <c r="B5583" s="3"/>
      <c r="C5583" s="3"/>
      <c r="D5583" s="3"/>
      <c r="E5583" s="3"/>
      <c r="F5583" s="3"/>
      <c r="G5583" s="3"/>
      <c r="H5583" s="11"/>
      <c r="I5583" s="12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  <c r="AA5583" s="3"/>
      <c r="AB5583" s="3"/>
      <c r="AC5583" s="3"/>
      <c r="AD5583" s="3"/>
      <c r="AE5583" s="3"/>
      <c r="AF5583" s="3"/>
      <c r="AG5583" s="3"/>
      <c r="AH5583" s="3"/>
    </row>
    <row r="5584" spans="1:34" ht="14.25" customHeight="1" x14ac:dyDescent="0.25">
      <c r="A5584" s="3"/>
      <c r="B5584" s="3"/>
      <c r="C5584" s="3"/>
      <c r="D5584" s="3"/>
      <c r="E5584" s="3"/>
      <c r="F5584" s="3"/>
      <c r="G5584" s="3"/>
      <c r="H5584" s="11"/>
      <c r="I5584" s="12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  <c r="AA5584" s="3"/>
      <c r="AB5584" s="3"/>
      <c r="AC5584" s="3"/>
      <c r="AD5584" s="3"/>
      <c r="AE5584" s="3"/>
      <c r="AF5584" s="3"/>
      <c r="AG5584" s="3"/>
      <c r="AH5584" s="3"/>
    </row>
    <row r="5585" spans="1:34" ht="14.25" customHeight="1" x14ac:dyDescent="0.25">
      <c r="A5585" s="3"/>
      <c r="B5585" s="3"/>
      <c r="C5585" s="3"/>
      <c r="D5585" s="3"/>
      <c r="E5585" s="3"/>
      <c r="F5585" s="3"/>
      <c r="G5585" s="3"/>
      <c r="H5585" s="11"/>
      <c r="I5585" s="12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  <c r="AA5585" s="3"/>
      <c r="AB5585" s="3"/>
      <c r="AC5585" s="3"/>
      <c r="AD5585" s="3"/>
      <c r="AE5585" s="3"/>
      <c r="AF5585" s="3"/>
      <c r="AG5585" s="3"/>
      <c r="AH5585" s="3"/>
    </row>
    <row r="5586" spans="1:34" ht="14.25" customHeight="1" x14ac:dyDescent="0.25">
      <c r="A5586" s="3"/>
      <c r="B5586" s="3"/>
      <c r="C5586" s="3"/>
      <c r="D5586" s="3"/>
      <c r="E5586" s="3"/>
      <c r="F5586" s="3"/>
      <c r="G5586" s="3"/>
      <c r="H5586" s="11"/>
      <c r="I5586" s="12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  <c r="AA5586" s="3"/>
      <c r="AB5586" s="3"/>
      <c r="AC5586" s="3"/>
      <c r="AD5586" s="3"/>
      <c r="AE5586" s="3"/>
      <c r="AF5586" s="3"/>
      <c r="AG5586" s="3"/>
      <c r="AH5586" s="3"/>
    </row>
    <row r="5587" spans="1:34" ht="14.25" customHeight="1" x14ac:dyDescent="0.25">
      <c r="A5587" s="3"/>
      <c r="B5587" s="3"/>
      <c r="C5587" s="3"/>
      <c r="D5587" s="3"/>
      <c r="E5587" s="3"/>
      <c r="F5587" s="3"/>
      <c r="G5587" s="3"/>
      <c r="H5587" s="11"/>
      <c r="I5587" s="12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  <c r="AA5587" s="3"/>
      <c r="AB5587" s="3"/>
      <c r="AC5587" s="3"/>
      <c r="AD5587" s="3"/>
      <c r="AE5587" s="3"/>
      <c r="AF5587" s="3"/>
      <c r="AG5587" s="3"/>
      <c r="AH5587" s="3"/>
    </row>
    <row r="5588" spans="1:34" ht="14.25" customHeight="1" x14ac:dyDescent="0.25">
      <c r="A5588" s="3"/>
      <c r="B5588" s="3"/>
      <c r="C5588" s="3"/>
      <c r="D5588" s="3"/>
      <c r="E5588" s="3"/>
      <c r="F5588" s="3"/>
      <c r="G5588" s="3"/>
      <c r="H5588" s="11"/>
      <c r="I5588" s="12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  <c r="AA5588" s="3"/>
      <c r="AB5588" s="3"/>
      <c r="AC5588" s="3"/>
      <c r="AD5588" s="3"/>
      <c r="AE5588" s="3"/>
      <c r="AF5588" s="3"/>
      <c r="AG5588" s="3"/>
      <c r="AH5588" s="3"/>
    </row>
    <row r="5589" spans="1:34" ht="14.25" customHeight="1" x14ac:dyDescent="0.25">
      <c r="A5589" s="3"/>
      <c r="B5589" s="3"/>
      <c r="C5589" s="3"/>
      <c r="D5589" s="3"/>
      <c r="E5589" s="3"/>
      <c r="F5589" s="3"/>
      <c r="G5589" s="3"/>
      <c r="H5589" s="11"/>
      <c r="I5589" s="12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  <c r="AA5589" s="3"/>
      <c r="AB5589" s="3"/>
      <c r="AC5589" s="3"/>
      <c r="AD5589" s="3"/>
      <c r="AE5589" s="3"/>
      <c r="AF5589" s="3"/>
      <c r="AG5589" s="3"/>
      <c r="AH5589" s="3"/>
    </row>
    <row r="5590" spans="1:34" ht="14.25" customHeight="1" x14ac:dyDescent="0.25">
      <c r="A5590" s="3"/>
      <c r="B5590" s="3"/>
      <c r="C5590" s="3"/>
      <c r="D5590" s="3"/>
      <c r="E5590" s="3"/>
      <c r="F5590" s="3"/>
      <c r="G5590" s="3"/>
      <c r="H5590" s="11"/>
      <c r="I5590" s="12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  <c r="AA5590" s="3"/>
      <c r="AB5590" s="3"/>
      <c r="AC5590" s="3"/>
      <c r="AD5590" s="3"/>
      <c r="AE5590" s="3"/>
      <c r="AF5590" s="3"/>
      <c r="AG5590" s="3"/>
      <c r="AH5590" s="3"/>
    </row>
    <row r="5591" spans="1:34" ht="14.25" customHeight="1" x14ac:dyDescent="0.25">
      <c r="A5591" s="3"/>
      <c r="B5591" s="3"/>
      <c r="C5591" s="3"/>
      <c r="D5591" s="3"/>
      <c r="E5591" s="3"/>
      <c r="F5591" s="3"/>
      <c r="G5591" s="3"/>
      <c r="H5591" s="11"/>
      <c r="I5591" s="12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  <c r="AA5591" s="3"/>
      <c r="AB5591" s="3"/>
      <c r="AC5591" s="3"/>
      <c r="AD5591" s="3"/>
      <c r="AE5591" s="3"/>
      <c r="AF5591" s="3"/>
      <c r="AG5591" s="3"/>
      <c r="AH5591" s="3"/>
    </row>
    <row r="5592" spans="1:34" ht="14.25" customHeight="1" x14ac:dyDescent="0.25">
      <c r="A5592" s="3"/>
      <c r="B5592" s="3"/>
      <c r="C5592" s="3"/>
      <c r="D5592" s="3"/>
      <c r="E5592" s="3"/>
      <c r="F5592" s="3"/>
      <c r="G5592" s="3"/>
      <c r="H5592" s="11"/>
      <c r="I5592" s="12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  <c r="AA5592" s="3"/>
      <c r="AB5592" s="3"/>
      <c r="AC5592" s="3"/>
      <c r="AD5592" s="3"/>
      <c r="AE5592" s="3"/>
      <c r="AF5592" s="3"/>
      <c r="AG5592" s="3"/>
      <c r="AH5592" s="3"/>
    </row>
    <row r="5593" spans="1:34" ht="14.25" customHeight="1" x14ac:dyDescent="0.25">
      <c r="A5593" s="3"/>
      <c r="B5593" s="3"/>
      <c r="C5593" s="3"/>
      <c r="D5593" s="3"/>
      <c r="E5593" s="3"/>
      <c r="F5593" s="3"/>
      <c r="G5593" s="3"/>
      <c r="H5593" s="11"/>
      <c r="I5593" s="12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  <c r="AA5593" s="3"/>
      <c r="AB5593" s="3"/>
      <c r="AC5593" s="3"/>
      <c r="AD5593" s="3"/>
      <c r="AE5593" s="3"/>
      <c r="AF5593" s="3"/>
      <c r="AG5593" s="3"/>
      <c r="AH5593" s="3"/>
    </row>
    <row r="5594" spans="1:34" ht="14.25" customHeight="1" x14ac:dyDescent="0.25">
      <c r="A5594" s="3"/>
      <c r="B5594" s="3"/>
      <c r="C5594" s="3"/>
      <c r="D5594" s="3"/>
      <c r="E5594" s="3"/>
      <c r="F5594" s="3"/>
      <c r="G5594" s="3"/>
      <c r="H5594" s="11"/>
      <c r="I5594" s="12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  <c r="AA5594" s="3"/>
      <c r="AB5594" s="3"/>
      <c r="AC5594" s="3"/>
      <c r="AD5594" s="3"/>
      <c r="AE5594" s="3"/>
      <c r="AF5594" s="3"/>
      <c r="AG5594" s="3"/>
      <c r="AH5594" s="3"/>
    </row>
    <row r="5595" spans="1:34" ht="14.25" customHeight="1" x14ac:dyDescent="0.25">
      <c r="A5595" s="3"/>
      <c r="B5595" s="3"/>
      <c r="C5595" s="3"/>
      <c r="D5595" s="3"/>
      <c r="E5595" s="3"/>
      <c r="F5595" s="3"/>
      <c r="G5595" s="3"/>
      <c r="H5595" s="11"/>
      <c r="I5595" s="12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  <c r="AA5595" s="3"/>
      <c r="AB5595" s="3"/>
      <c r="AC5595" s="3"/>
      <c r="AD5595" s="3"/>
      <c r="AE5595" s="3"/>
      <c r="AF5595" s="3"/>
      <c r="AG5595" s="3"/>
      <c r="AH5595" s="3"/>
    </row>
    <row r="5596" spans="1:34" ht="14.25" customHeight="1" x14ac:dyDescent="0.25">
      <c r="A5596" s="3"/>
      <c r="B5596" s="3"/>
      <c r="C5596" s="3"/>
      <c r="D5596" s="3"/>
      <c r="E5596" s="3"/>
      <c r="F5596" s="3"/>
      <c r="G5596" s="3"/>
      <c r="H5596" s="11"/>
      <c r="I5596" s="12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  <c r="AA5596" s="3"/>
      <c r="AB5596" s="3"/>
      <c r="AC5596" s="3"/>
      <c r="AD5596" s="3"/>
      <c r="AE5596" s="3"/>
      <c r="AF5596" s="3"/>
      <c r="AG5596" s="3"/>
      <c r="AH5596" s="3"/>
    </row>
    <row r="5597" spans="1:34" ht="14.25" customHeight="1" x14ac:dyDescent="0.25">
      <c r="A5597" s="3"/>
      <c r="B5597" s="3"/>
      <c r="C5597" s="3"/>
      <c r="D5597" s="3"/>
      <c r="E5597" s="3"/>
      <c r="F5597" s="3"/>
      <c r="G5597" s="3"/>
      <c r="H5597" s="11"/>
      <c r="I5597" s="12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  <c r="AA5597" s="3"/>
      <c r="AB5597" s="3"/>
      <c r="AC5597" s="3"/>
      <c r="AD5597" s="3"/>
      <c r="AE5597" s="3"/>
      <c r="AF5597" s="3"/>
      <c r="AG5597" s="3"/>
      <c r="AH5597" s="3"/>
    </row>
    <row r="5598" spans="1:34" ht="14.25" customHeight="1" x14ac:dyDescent="0.25">
      <c r="A5598" s="3"/>
      <c r="B5598" s="3"/>
      <c r="C5598" s="3"/>
      <c r="D5598" s="3"/>
      <c r="E5598" s="3"/>
      <c r="F5598" s="3"/>
      <c r="G5598" s="3"/>
      <c r="H5598" s="11"/>
      <c r="I5598" s="12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  <c r="AA5598" s="3"/>
      <c r="AB5598" s="3"/>
      <c r="AC5598" s="3"/>
      <c r="AD5598" s="3"/>
      <c r="AE5598" s="3"/>
      <c r="AF5598" s="3"/>
      <c r="AG5598" s="3"/>
      <c r="AH5598" s="3"/>
    </row>
    <row r="5599" spans="1:34" ht="14.25" customHeight="1" x14ac:dyDescent="0.25">
      <c r="A5599" s="3"/>
      <c r="B5599" s="3"/>
      <c r="C5599" s="3"/>
      <c r="D5599" s="3"/>
      <c r="E5599" s="3"/>
      <c r="F5599" s="3"/>
      <c r="G5599" s="3"/>
      <c r="H5599" s="11"/>
      <c r="I5599" s="12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  <c r="AA5599" s="3"/>
      <c r="AB5599" s="3"/>
      <c r="AC5599" s="3"/>
      <c r="AD5599" s="3"/>
      <c r="AE5599" s="3"/>
      <c r="AF5599" s="3"/>
      <c r="AG5599" s="3"/>
      <c r="AH5599" s="3"/>
    </row>
    <row r="5600" spans="1:34" ht="14.25" customHeight="1" x14ac:dyDescent="0.25">
      <c r="A5600" s="3"/>
      <c r="B5600" s="3"/>
      <c r="C5600" s="3"/>
      <c r="D5600" s="3"/>
      <c r="E5600" s="3"/>
      <c r="F5600" s="3"/>
      <c r="G5600" s="3"/>
      <c r="H5600" s="11"/>
      <c r="I5600" s="12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  <c r="AA5600" s="3"/>
      <c r="AB5600" s="3"/>
      <c r="AC5600" s="3"/>
      <c r="AD5600" s="3"/>
      <c r="AE5600" s="3"/>
      <c r="AF5600" s="3"/>
      <c r="AG5600" s="3"/>
      <c r="AH5600" s="3"/>
    </row>
    <row r="5601" spans="1:34" ht="14.25" customHeight="1" x14ac:dyDescent="0.25">
      <c r="A5601" s="3"/>
      <c r="B5601" s="3"/>
      <c r="C5601" s="3"/>
      <c r="D5601" s="3"/>
      <c r="E5601" s="3"/>
      <c r="F5601" s="3"/>
      <c r="G5601" s="3"/>
      <c r="H5601" s="11"/>
      <c r="I5601" s="12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  <c r="AA5601" s="3"/>
      <c r="AB5601" s="3"/>
      <c r="AC5601" s="3"/>
      <c r="AD5601" s="3"/>
      <c r="AE5601" s="3"/>
      <c r="AF5601" s="3"/>
      <c r="AG5601" s="3"/>
      <c r="AH5601" s="3"/>
    </row>
    <row r="5602" spans="1:34" ht="14.25" customHeight="1" x14ac:dyDescent="0.25">
      <c r="A5602" s="3"/>
      <c r="B5602" s="3"/>
      <c r="C5602" s="3"/>
      <c r="D5602" s="3"/>
      <c r="E5602" s="3"/>
      <c r="F5602" s="3"/>
      <c r="G5602" s="3"/>
      <c r="H5602" s="11"/>
      <c r="I5602" s="12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  <c r="AA5602" s="3"/>
      <c r="AB5602" s="3"/>
      <c r="AC5602" s="3"/>
      <c r="AD5602" s="3"/>
      <c r="AE5602" s="3"/>
      <c r="AF5602" s="3"/>
      <c r="AG5602" s="3"/>
      <c r="AH5602" s="3"/>
    </row>
    <row r="5603" spans="1:34" ht="14.25" customHeight="1" x14ac:dyDescent="0.25">
      <c r="A5603" s="3"/>
      <c r="B5603" s="3"/>
      <c r="C5603" s="3"/>
      <c r="D5603" s="3"/>
      <c r="E5603" s="3"/>
      <c r="F5603" s="3"/>
      <c r="G5603" s="3"/>
      <c r="H5603" s="11"/>
      <c r="I5603" s="12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  <c r="AA5603" s="3"/>
      <c r="AB5603" s="3"/>
      <c r="AC5603" s="3"/>
      <c r="AD5603" s="3"/>
      <c r="AE5603" s="3"/>
      <c r="AF5603" s="3"/>
      <c r="AG5603" s="3"/>
      <c r="AH5603" s="3"/>
    </row>
    <row r="5604" spans="1:34" ht="14.25" customHeight="1" x14ac:dyDescent="0.25">
      <c r="A5604" s="3"/>
      <c r="B5604" s="3"/>
      <c r="C5604" s="3"/>
      <c r="D5604" s="3"/>
      <c r="E5604" s="3"/>
      <c r="F5604" s="3"/>
      <c r="G5604" s="3"/>
      <c r="H5604" s="11"/>
      <c r="I5604" s="12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  <c r="AA5604" s="3"/>
      <c r="AB5604" s="3"/>
      <c r="AC5604" s="3"/>
      <c r="AD5604" s="3"/>
      <c r="AE5604" s="3"/>
      <c r="AF5604" s="3"/>
      <c r="AG5604" s="3"/>
      <c r="AH5604" s="3"/>
    </row>
    <row r="5605" spans="1:34" ht="14.25" customHeight="1" x14ac:dyDescent="0.25">
      <c r="A5605" s="3"/>
      <c r="B5605" s="3"/>
      <c r="C5605" s="3"/>
      <c r="D5605" s="3"/>
      <c r="E5605" s="3"/>
      <c r="F5605" s="3"/>
      <c r="G5605" s="3"/>
      <c r="H5605" s="11"/>
      <c r="I5605" s="12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  <c r="AA5605" s="3"/>
      <c r="AB5605" s="3"/>
      <c r="AC5605" s="3"/>
      <c r="AD5605" s="3"/>
      <c r="AE5605" s="3"/>
      <c r="AF5605" s="3"/>
      <c r="AG5605" s="3"/>
      <c r="AH5605" s="3"/>
    </row>
    <row r="5606" spans="1:34" ht="14.25" customHeight="1" x14ac:dyDescent="0.25">
      <c r="A5606" s="3"/>
      <c r="B5606" s="3"/>
      <c r="C5606" s="3"/>
      <c r="D5606" s="3"/>
      <c r="E5606" s="3"/>
      <c r="F5606" s="3"/>
      <c r="G5606" s="3"/>
      <c r="H5606" s="11"/>
      <c r="I5606" s="12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  <c r="AA5606" s="3"/>
      <c r="AB5606" s="3"/>
      <c r="AC5606" s="3"/>
      <c r="AD5606" s="3"/>
      <c r="AE5606" s="3"/>
      <c r="AF5606" s="3"/>
      <c r="AG5606" s="3"/>
      <c r="AH5606" s="3"/>
    </row>
    <row r="5607" spans="1:34" ht="14.25" customHeight="1" x14ac:dyDescent="0.25">
      <c r="A5607" s="3"/>
      <c r="B5607" s="3"/>
      <c r="C5607" s="3"/>
      <c r="D5607" s="3"/>
      <c r="E5607" s="3"/>
      <c r="F5607" s="3"/>
      <c r="G5607" s="3"/>
      <c r="H5607" s="11"/>
      <c r="I5607" s="12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  <c r="AA5607" s="3"/>
      <c r="AB5607" s="3"/>
      <c r="AC5607" s="3"/>
      <c r="AD5607" s="3"/>
      <c r="AE5607" s="3"/>
      <c r="AF5607" s="3"/>
      <c r="AG5607" s="3"/>
      <c r="AH5607" s="3"/>
    </row>
    <row r="5608" spans="1:34" ht="14.25" customHeight="1" x14ac:dyDescent="0.25">
      <c r="A5608" s="3"/>
      <c r="B5608" s="3"/>
      <c r="C5608" s="3"/>
      <c r="D5608" s="3"/>
      <c r="E5608" s="3"/>
      <c r="F5608" s="3"/>
      <c r="G5608" s="3"/>
      <c r="H5608" s="11"/>
      <c r="I5608" s="12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  <c r="AA5608" s="3"/>
      <c r="AB5608" s="3"/>
      <c r="AC5608" s="3"/>
      <c r="AD5608" s="3"/>
      <c r="AE5608" s="3"/>
      <c r="AF5608" s="3"/>
      <c r="AG5608" s="3"/>
      <c r="AH5608" s="3"/>
    </row>
    <row r="5609" spans="1:34" ht="14.25" customHeight="1" x14ac:dyDescent="0.25">
      <c r="A5609" s="3"/>
      <c r="B5609" s="3"/>
      <c r="C5609" s="3"/>
      <c r="D5609" s="3"/>
      <c r="E5609" s="3"/>
      <c r="F5609" s="3"/>
      <c r="G5609" s="3"/>
      <c r="H5609" s="11"/>
      <c r="I5609" s="12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  <c r="AA5609" s="3"/>
      <c r="AB5609" s="3"/>
      <c r="AC5609" s="3"/>
      <c r="AD5609" s="3"/>
      <c r="AE5609" s="3"/>
      <c r="AF5609" s="3"/>
      <c r="AG5609" s="3"/>
      <c r="AH5609" s="3"/>
    </row>
    <row r="5610" spans="1:34" ht="14.25" customHeight="1" x14ac:dyDescent="0.25">
      <c r="A5610" s="3"/>
      <c r="B5610" s="3"/>
      <c r="C5610" s="3"/>
      <c r="D5610" s="3"/>
      <c r="E5610" s="3"/>
      <c r="F5610" s="3"/>
      <c r="G5610" s="3"/>
      <c r="H5610" s="11"/>
      <c r="I5610" s="12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  <c r="AA5610" s="3"/>
      <c r="AB5610" s="3"/>
      <c r="AC5610" s="3"/>
      <c r="AD5610" s="3"/>
      <c r="AE5610" s="3"/>
      <c r="AF5610" s="3"/>
      <c r="AG5610" s="3"/>
      <c r="AH5610" s="3"/>
    </row>
    <row r="5611" spans="1:34" ht="14.25" customHeight="1" x14ac:dyDescent="0.25">
      <c r="A5611" s="3"/>
      <c r="B5611" s="3"/>
      <c r="C5611" s="3"/>
      <c r="D5611" s="3"/>
      <c r="E5611" s="3"/>
      <c r="F5611" s="3"/>
      <c r="G5611" s="3"/>
      <c r="H5611" s="11"/>
      <c r="I5611" s="12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  <c r="AA5611" s="3"/>
      <c r="AB5611" s="3"/>
      <c r="AC5611" s="3"/>
      <c r="AD5611" s="3"/>
      <c r="AE5611" s="3"/>
      <c r="AF5611" s="3"/>
      <c r="AG5611" s="3"/>
      <c r="AH5611" s="3"/>
    </row>
    <row r="5612" spans="1:34" ht="14.25" customHeight="1" x14ac:dyDescent="0.25">
      <c r="A5612" s="3"/>
      <c r="B5612" s="3"/>
      <c r="C5612" s="3"/>
      <c r="D5612" s="3"/>
      <c r="E5612" s="3"/>
      <c r="F5612" s="3"/>
      <c r="G5612" s="3"/>
      <c r="H5612" s="11"/>
      <c r="I5612" s="12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  <c r="AA5612" s="3"/>
      <c r="AB5612" s="3"/>
      <c r="AC5612" s="3"/>
      <c r="AD5612" s="3"/>
      <c r="AE5612" s="3"/>
      <c r="AF5612" s="3"/>
      <c r="AG5612" s="3"/>
      <c r="AH5612" s="3"/>
    </row>
    <row r="5613" spans="1:34" ht="14.25" customHeight="1" x14ac:dyDescent="0.25">
      <c r="A5613" s="3"/>
      <c r="B5613" s="3"/>
      <c r="C5613" s="3"/>
      <c r="D5613" s="3"/>
      <c r="E5613" s="3"/>
      <c r="F5613" s="3"/>
      <c r="G5613" s="3"/>
      <c r="H5613" s="11"/>
      <c r="I5613" s="12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  <c r="AA5613" s="3"/>
      <c r="AB5613" s="3"/>
      <c r="AC5613" s="3"/>
      <c r="AD5613" s="3"/>
      <c r="AE5613" s="3"/>
      <c r="AF5613" s="3"/>
      <c r="AG5613" s="3"/>
      <c r="AH5613" s="3"/>
    </row>
    <row r="5614" spans="1:34" ht="14.25" customHeight="1" x14ac:dyDescent="0.25">
      <c r="A5614" s="3"/>
      <c r="B5614" s="3"/>
      <c r="C5614" s="3"/>
      <c r="D5614" s="3"/>
      <c r="E5614" s="3"/>
      <c r="F5614" s="3"/>
      <c r="G5614" s="3"/>
      <c r="H5614" s="11"/>
      <c r="I5614" s="12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  <c r="AA5614" s="3"/>
      <c r="AB5614" s="3"/>
      <c r="AC5614" s="3"/>
      <c r="AD5614" s="3"/>
      <c r="AE5614" s="3"/>
      <c r="AF5614" s="3"/>
      <c r="AG5614" s="3"/>
      <c r="AH5614" s="3"/>
    </row>
    <row r="5615" spans="1:34" ht="14.25" customHeight="1" x14ac:dyDescent="0.25">
      <c r="A5615" s="3"/>
      <c r="B5615" s="3"/>
      <c r="C5615" s="3"/>
      <c r="D5615" s="3"/>
      <c r="E5615" s="3"/>
      <c r="F5615" s="3"/>
      <c r="G5615" s="3"/>
      <c r="H5615" s="11"/>
      <c r="I5615" s="12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  <c r="AA5615" s="3"/>
      <c r="AB5615" s="3"/>
      <c r="AC5615" s="3"/>
      <c r="AD5615" s="3"/>
      <c r="AE5615" s="3"/>
      <c r="AF5615" s="3"/>
      <c r="AG5615" s="3"/>
      <c r="AH5615" s="3"/>
    </row>
    <row r="5616" spans="1:34" ht="14.25" customHeight="1" x14ac:dyDescent="0.25">
      <c r="A5616" s="3"/>
      <c r="B5616" s="3"/>
      <c r="C5616" s="3"/>
      <c r="D5616" s="3"/>
      <c r="E5616" s="3"/>
      <c r="F5616" s="3"/>
      <c r="G5616" s="3"/>
      <c r="H5616" s="11"/>
      <c r="I5616" s="12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  <c r="AA5616" s="3"/>
      <c r="AB5616" s="3"/>
      <c r="AC5616" s="3"/>
      <c r="AD5616" s="3"/>
      <c r="AE5616" s="3"/>
      <c r="AF5616" s="3"/>
      <c r="AG5616" s="3"/>
      <c r="AH5616" s="3"/>
    </row>
    <row r="5617" spans="1:34" ht="14.25" customHeight="1" x14ac:dyDescent="0.25">
      <c r="A5617" s="3"/>
      <c r="B5617" s="3"/>
      <c r="C5617" s="3"/>
      <c r="D5617" s="3"/>
      <c r="E5617" s="3"/>
      <c r="F5617" s="3"/>
      <c r="G5617" s="3"/>
      <c r="H5617" s="11"/>
      <c r="I5617" s="12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  <c r="AA5617" s="3"/>
      <c r="AB5617" s="3"/>
      <c r="AC5617" s="3"/>
      <c r="AD5617" s="3"/>
      <c r="AE5617" s="3"/>
      <c r="AF5617" s="3"/>
      <c r="AG5617" s="3"/>
      <c r="AH5617" s="3"/>
    </row>
    <row r="5618" spans="1:34" ht="14.25" customHeight="1" x14ac:dyDescent="0.25">
      <c r="A5618" s="3"/>
      <c r="B5618" s="3"/>
      <c r="C5618" s="3"/>
      <c r="D5618" s="3"/>
      <c r="E5618" s="3"/>
      <c r="F5618" s="3"/>
      <c r="G5618" s="3"/>
      <c r="H5618" s="11"/>
      <c r="I5618" s="12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  <c r="AA5618" s="3"/>
      <c r="AB5618" s="3"/>
      <c r="AC5618" s="3"/>
      <c r="AD5618" s="3"/>
      <c r="AE5618" s="3"/>
      <c r="AF5618" s="3"/>
      <c r="AG5618" s="3"/>
      <c r="AH5618" s="3"/>
    </row>
    <row r="5619" spans="1:34" ht="14.25" customHeight="1" x14ac:dyDescent="0.25">
      <c r="A5619" s="3"/>
      <c r="B5619" s="3"/>
      <c r="C5619" s="3"/>
      <c r="D5619" s="3"/>
      <c r="E5619" s="3"/>
      <c r="F5619" s="3"/>
      <c r="G5619" s="3"/>
      <c r="H5619" s="11"/>
      <c r="I5619" s="12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  <c r="AA5619" s="3"/>
      <c r="AB5619" s="3"/>
      <c r="AC5619" s="3"/>
      <c r="AD5619" s="3"/>
      <c r="AE5619" s="3"/>
      <c r="AF5619" s="3"/>
      <c r="AG5619" s="3"/>
      <c r="AH5619" s="3"/>
    </row>
    <row r="5620" spans="1:34" ht="14.25" customHeight="1" x14ac:dyDescent="0.25">
      <c r="A5620" s="3"/>
      <c r="B5620" s="3"/>
      <c r="C5620" s="3"/>
      <c r="D5620" s="3"/>
      <c r="E5620" s="3"/>
      <c r="F5620" s="3"/>
      <c r="G5620" s="3"/>
      <c r="H5620" s="11"/>
      <c r="I5620" s="12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  <c r="AA5620" s="3"/>
      <c r="AB5620" s="3"/>
      <c r="AC5620" s="3"/>
      <c r="AD5620" s="3"/>
      <c r="AE5620" s="3"/>
      <c r="AF5620" s="3"/>
      <c r="AG5620" s="3"/>
      <c r="AH5620" s="3"/>
    </row>
    <row r="5621" spans="1:34" ht="14.25" customHeight="1" x14ac:dyDescent="0.25">
      <c r="A5621" s="3"/>
      <c r="B5621" s="3"/>
      <c r="C5621" s="3"/>
      <c r="D5621" s="3"/>
      <c r="E5621" s="3"/>
      <c r="F5621" s="3"/>
      <c r="G5621" s="3"/>
      <c r="H5621" s="11"/>
      <c r="I5621" s="12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  <c r="AA5621" s="3"/>
      <c r="AB5621" s="3"/>
      <c r="AC5621" s="3"/>
      <c r="AD5621" s="3"/>
      <c r="AE5621" s="3"/>
      <c r="AF5621" s="3"/>
      <c r="AG5621" s="3"/>
      <c r="AH5621" s="3"/>
    </row>
    <row r="5622" spans="1:34" ht="14.25" customHeight="1" x14ac:dyDescent="0.25">
      <c r="A5622" s="3"/>
      <c r="B5622" s="3"/>
      <c r="C5622" s="3"/>
      <c r="D5622" s="3"/>
      <c r="E5622" s="3"/>
      <c r="F5622" s="3"/>
      <c r="G5622" s="3"/>
      <c r="H5622" s="11"/>
      <c r="I5622" s="12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  <c r="AA5622" s="3"/>
      <c r="AB5622" s="3"/>
      <c r="AC5622" s="3"/>
      <c r="AD5622" s="3"/>
      <c r="AE5622" s="3"/>
      <c r="AF5622" s="3"/>
      <c r="AG5622" s="3"/>
      <c r="AH5622" s="3"/>
    </row>
    <row r="5623" spans="1:34" ht="14.25" customHeight="1" x14ac:dyDescent="0.25">
      <c r="A5623" s="3"/>
      <c r="B5623" s="3"/>
      <c r="C5623" s="3"/>
      <c r="D5623" s="3"/>
      <c r="E5623" s="3"/>
      <c r="F5623" s="3"/>
      <c r="G5623" s="3"/>
      <c r="H5623" s="11"/>
      <c r="I5623" s="12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  <c r="AA5623" s="3"/>
      <c r="AB5623" s="3"/>
      <c r="AC5623" s="3"/>
      <c r="AD5623" s="3"/>
      <c r="AE5623" s="3"/>
      <c r="AF5623" s="3"/>
      <c r="AG5623" s="3"/>
      <c r="AH5623" s="3"/>
    </row>
    <row r="5624" spans="1:34" ht="14.25" customHeight="1" x14ac:dyDescent="0.25">
      <c r="A5624" s="3"/>
      <c r="B5624" s="3"/>
      <c r="C5624" s="3"/>
      <c r="D5624" s="3"/>
      <c r="E5624" s="3"/>
      <c r="F5624" s="3"/>
      <c r="G5624" s="3"/>
      <c r="H5624" s="11"/>
      <c r="I5624" s="12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  <c r="AA5624" s="3"/>
      <c r="AB5624" s="3"/>
      <c r="AC5624" s="3"/>
      <c r="AD5624" s="3"/>
      <c r="AE5624" s="3"/>
      <c r="AF5624" s="3"/>
      <c r="AG5624" s="3"/>
      <c r="AH5624" s="3"/>
    </row>
    <row r="5625" spans="1:34" ht="14.25" customHeight="1" x14ac:dyDescent="0.25">
      <c r="A5625" s="3"/>
      <c r="B5625" s="3"/>
      <c r="C5625" s="3"/>
      <c r="D5625" s="3"/>
      <c r="E5625" s="3"/>
      <c r="F5625" s="3"/>
      <c r="G5625" s="3"/>
      <c r="H5625" s="11"/>
      <c r="I5625" s="12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  <c r="AA5625" s="3"/>
      <c r="AB5625" s="3"/>
      <c r="AC5625" s="3"/>
      <c r="AD5625" s="3"/>
      <c r="AE5625" s="3"/>
      <c r="AF5625" s="3"/>
      <c r="AG5625" s="3"/>
      <c r="AH5625" s="3"/>
    </row>
    <row r="5626" spans="1:34" ht="14.25" customHeight="1" x14ac:dyDescent="0.25">
      <c r="A5626" s="3"/>
      <c r="B5626" s="3"/>
      <c r="C5626" s="3"/>
      <c r="D5626" s="3"/>
      <c r="E5626" s="3"/>
      <c r="F5626" s="3"/>
      <c r="G5626" s="3"/>
      <c r="H5626" s="11"/>
      <c r="I5626" s="12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  <c r="AA5626" s="3"/>
      <c r="AB5626" s="3"/>
      <c r="AC5626" s="3"/>
      <c r="AD5626" s="3"/>
      <c r="AE5626" s="3"/>
      <c r="AF5626" s="3"/>
      <c r="AG5626" s="3"/>
      <c r="AH5626" s="3"/>
    </row>
    <row r="5627" spans="1:34" ht="14.25" customHeight="1" x14ac:dyDescent="0.25">
      <c r="A5627" s="3"/>
      <c r="B5627" s="3"/>
      <c r="C5627" s="3"/>
      <c r="D5627" s="3"/>
      <c r="E5627" s="3"/>
      <c r="F5627" s="3"/>
      <c r="G5627" s="3"/>
      <c r="H5627" s="11"/>
      <c r="I5627" s="12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  <c r="AA5627" s="3"/>
      <c r="AB5627" s="3"/>
      <c r="AC5627" s="3"/>
      <c r="AD5627" s="3"/>
      <c r="AE5627" s="3"/>
      <c r="AF5627" s="3"/>
      <c r="AG5627" s="3"/>
      <c r="AH5627" s="3"/>
    </row>
    <row r="5628" spans="1:34" ht="14.25" customHeight="1" x14ac:dyDescent="0.25">
      <c r="A5628" s="3"/>
      <c r="B5628" s="3"/>
      <c r="C5628" s="3"/>
      <c r="D5628" s="3"/>
      <c r="E5628" s="3"/>
      <c r="F5628" s="3"/>
      <c r="G5628" s="3"/>
      <c r="H5628" s="11"/>
      <c r="I5628" s="12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  <c r="AA5628" s="3"/>
      <c r="AB5628" s="3"/>
      <c r="AC5628" s="3"/>
      <c r="AD5628" s="3"/>
      <c r="AE5628" s="3"/>
      <c r="AF5628" s="3"/>
      <c r="AG5628" s="3"/>
      <c r="AH5628" s="3"/>
    </row>
    <row r="5629" spans="1:34" ht="14.25" customHeight="1" x14ac:dyDescent="0.25">
      <c r="A5629" s="3"/>
      <c r="B5629" s="3"/>
      <c r="C5629" s="3"/>
      <c r="D5629" s="3"/>
      <c r="E5629" s="3"/>
      <c r="F5629" s="3"/>
      <c r="G5629" s="3"/>
      <c r="H5629" s="11"/>
      <c r="I5629" s="12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  <c r="AA5629" s="3"/>
      <c r="AB5629" s="3"/>
      <c r="AC5629" s="3"/>
      <c r="AD5629" s="3"/>
      <c r="AE5629" s="3"/>
      <c r="AF5629" s="3"/>
      <c r="AG5629" s="3"/>
      <c r="AH5629" s="3"/>
    </row>
    <row r="5630" spans="1:34" ht="14.25" customHeight="1" x14ac:dyDescent="0.25">
      <c r="A5630" s="3"/>
      <c r="B5630" s="3"/>
      <c r="C5630" s="3"/>
      <c r="D5630" s="3"/>
      <c r="E5630" s="3"/>
      <c r="F5630" s="3"/>
      <c r="G5630" s="3"/>
      <c r="H5630" s="11"/>
      <c r="I5630" s="12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  <c r="AA5630" s="3"/>
      <c r="AB5630" s="3"/>
      <c r="AC5630" s="3"/>
      <c r="AD5630" s="3"/>
      <c r="AE5630" s="3"/>
      <c r="AF5630" s="3"/>
      <c r="AG5630" s="3"/>
      <c r="AH5630" s="3"/>
    </row>
    <row r="5631" spans="1:34" ht="14.25" customHeight="1" x14ac:dyDescent="0.25">
      <c r="A5631" s="3"/>
      <c r="B5631" s="3"/>
      <c r="C5631" s="3"/>
      <c r="D5631" s="3"/>
      <c r="E5631" s="3"/>
      <c r="F5631" s="3"/>
      <c r="G5631" s="3"/>
      <c r="H5631" s="11"/>
      <c r="I5631" s="12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  <c r="AA5631" s="3"/>
      <c r="AB5631" s="3"/>
      <c r="AC5631" s="3"/>
      <c r="AD5631" s="3"/>
      <c r="AE5631" s="3"/>
      <c r="AF5631" s="3"/>
      <c r="AG5631" s="3"/>
      <c r="AH5631" s="3"/>
    </row>
    <row r="5632" spans="1:34" ht="14.25" customHeight="1" x14ac:dyDescent="0.25">
      <c r="A5632" s="3"/>
      <c r="B5632" s="3"/>
      <c r="C5632" s="3"/>
      <c r="D5632" s="3"/>
      <c r="E5632" s="3"/>
      <c r="F5632" s="3"/>
      <c r="G5632" s="3"/>
      <c r="H5632" s="11"/>
      <c r="I5632" s="12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  <c r="AA5632" s="3"/>
      <c r="AB5632" s="3"/>
      <c r="AC5632" s="3"/>
      <c r="AD5632" s="3"/>
      <c r="AE5632" s="3"/>
      <c r="AF5632" s="3"/>
      <c r="AG5632" s="3"/>
      <c r="AH5632" s="3"/>
    </row>
    <row r="5633" spans="1:34" ht="14.25" customHeight="1" x14ac:dyDescent="0.25">
      <c r="A5633" s="3"/>
      <c r="B5633" s="3"/>
      <c r="C5633" s="3"/>
      <c r="D5633" s="3"/>
      <c r="E5633" s="3"/>
      <c r="F5633" s="3"/>
      <c r="G5633" s="3"/>
      <c r="H5633" s="11"/>
      <c r="I5633" s="12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  <c r="AA5633" s="3"/>
      <c r="AB5633" s="3"/>
      <c r="AC5633" s="3"/>
      <c r="AD5633" s="3"/>
      <c r="AE5633" s="3"/>
      <c r="AF5633" s="3"/>
      <c r="AG5633" s="3"/>
      <c r="AH5633" s="3"/>
    </row>
    <row r="5634" spans="1:34" ht="14.25" customHeight="1" x14ac:dyDescent="0.25">
      <c r="A5634" s="3"/>
      <c r="B5634" s="3"/>
      <c r="C5634" s="3"/>
      <c r="D5634" s="3"/>
      <c r="E5634" s="3"/>
      <c r="F5634" s="3"/>
      <c r="G5634" s="3"/>
      <c r="H5634" s="11"/>
      <c r="I5634" s="12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  <c r="AA5634" s="3"/>
      <c r="AB5634" s="3"/>
      <c r="AC5634" s="3"/>
      <c r="AD5634" s="3"/>
      <c r="AE5634" s="3"/>
      <c r="AF5634" s="3"/>
      <c r="AG5634" s="3"/>
      <c r="AH5634" s="3"/>
    </row>
    <row r="5635" spans="1:34" ht="14.25" customHeight="1" x14ac:dyDescent="0.25">
      <c r="A5635" s="3"/>
      <c r="B5635" s="3"/>
      <c r="C5635" s="3"/>
      <c r="D5635" s="3"/>
      <c r="E5635" s="3"/>
      <c r="F5635" s="3"/>
      <c r="G5635" s="3"/>
      <c r="H5635" s="11"/>
      <c r="I5635" s="12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  <c r="AA5635" s="3"/>
      <c r="AB5635" s="3"/>
      <c r="AC5635" s="3"/>
      <c r="AD5635" s="3"/>
      <c r="AE5635" s="3"/>
      <c r="AF5635" s="3"/>
      <c r="AG5635" s="3"/>
      <c r="AH5635" s="3"/>
    </row>
    <row r="5636" spans="1:34" ht="14.25" customHeight="1" x14ac:dyDescent="0.25">
      <c r="A5636" s="3"/>
      <c r="B5636" s="3"/>
      <c r="C5636" s="3"/>
      <c r="D5636" s="3"/>
      <c r="E5636" s="3"/>
      <c r="F5636" s="3"/>
      <c r="G5636" s="3"/>
      <c r="H5636" s="11"/>
      <c r="I5636" s="12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  <c r="AA5636" s="3"/>
      <c r="AB5636" s="3"/>
      <c r="AC5636" s="3"/>
      <c r="AD5636" s="3"/>
      <c r="AE5636" s="3"/>
      <c r="AF5636" s="3"/>
      <c r="AG5636" s="3"/>
      <c r="AH5636" s="3"/>
    </row>
    <row r="5637" spans="1:34" ht="14.25" customHeight="1" x14ac:dyDescent="0.25">
      <c r="A5637" s="3"/>
      <c r="B5637" s="3"/>
      <c r="C5637" s="3"/>
      <c r="D5637" s="3"/>
      <c r="E5637" s="3"/>
      <c r="F5637" s="3"/>
      <c r="G5637" s="3"/>
      <c r="H5637" s="11"/>
      <c r="I5637" s="12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  <c r="AA5637" s="3"/>
      <c r="AB5637" s="3"/>
      <c r="AC5637" s="3"/>
      <c r="AD5637" s="3"/>
      <c r="AE5637" s="3"/>
      <c r="AF5637" s="3"/>
      <c r="AG5637" s="3"/>
      <c r="AH5637" s="3"/>
    </row>
    <row r="5638" spans="1:34" ht="14.25" customHeight="1" x14ac:dyDescent="0.25">
      <c r="A5638" s="3"/>
      <c r="B5638" s="3"/>
      <c r="C5638" s="3"/>
      <c r="D5638" s="3"/>
      <c r="E5638" s="3"/>
      <c r="F5638" s="3"/>
      <c r="G5638" s="3"/>
      <c r="H5638" s="11"/>
      <c r="I5638" s="12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  <c r="AA5638" s="3"/>
      <c r="AB5638" s="3"/>
      <c r="AC5638" s="3"/>
      <c r="AD5638" s="3"/>
      <c r="AE5638" s="3"/>
      <c r="AF5638" s="3"/>
      <c r="AG5638" s="3"/>
      <c r="AH5638" s="3"/>
    </row>
    <row r="5639" spans="1:34" ht="14.25" customHeight="1" x14ac:dyDescent="0.25">
      <c r="A5639" s="3"/>
      <c r="B5639" s="3"/>
      <c r="C5639" s="3"/>
      <c r="D5639" s="3"/>
      <c r="E5639" s="3"/>
      <c r="F5639" s="3"/>
      <c r="G5639" s="3"/>
      <c r="H5639" s="11"/>
      <c r="I5639" s="12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  <c r="AA5639" s="3"/>
      <c r="AB5639" s="3"/>
      <c r="AC5639" s="3"/>
      <c r="AD5639" s="3"/>
      <c r="AE5639" s="3"/>
      <c r="AF5639" s="3"/>
      <c r="AG5639" s="3"/>
      <c r="AH5639" s="3"/>
    </row>
    <row r="5640" spans="1:34" ht="14.25" customHeight="1" x14ac:dyDescent="0.25">
      <c r="A5640" s="3"/>
      <c r="B5640" s="3"/>
      <c r="C5640" s="3"/>
      <c r="D5640" s="3"/>
      <c r="E5640" s="3"/>
      <c r="F5640" s="3"/>
      <c r="G5640" s="3"/>
      <c r="H5640" s="11"/>
      <c r="I5640" s="12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  <c r="AA5640" s="3"/>
      <c r="AB5640" s="3"/>
      <c r="AC5640" s="3"/>
      <c r="AD5640" s="3"/>
      <c r="AE5640" s="3"/>
      <c r="AF5640" s="3"/>
      <c r="AG5640" s="3"/>
      <c r="AH5640" s="3"/>
    </row>
    <row r="5641" spans="1:34" ht="14.25" customHeight="1" x14ac:dyDescent="0.25">
      <c r="A5641" s="3"/>
      <c r="B5641" s="3"/>
      <c r="C5641" s="3"/>
      <c r="D5641" s="3"/>
      <c r="E5641" s="3"/>
      <c r="F5641" s="3"/>
      <c r="G5641" s="3"/>
      <c r="H5641" s="11"/>
      <c r="I5641" s="12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  <c r="AA5641" s="3"/>
      <c r="AB5641" s="3"/>
      <c r="AC5641" s="3"/>
      <c r="AD5641" s="3"/>
      <c r="AE5641" s="3"/>
      <c r="AF5641" s="3"/>
      <c r="AG5641" s="3"/>
      <c r="AH5641" s="3"/>
    </row>
    <row r="5642" spans="1:34" ht="14.25" customHeight="1" x14ac:dyDescent="0.25">
      <c r="A5642" s="3"/>
      <c r="B5642" s="3"/>
      <c r="C5642" s="3"/>
      <c r="D5642" s="3"/>
      <c r="E5642" s="3"/>
      <c r="F5642" s="3"/>
      <c r="G5642" s="3"/>
      <c r="H5642" s="11"/>
      <c r="I5642" s="12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  <c r="AA5642" s="3"/>
      <c r="AB5642" s="3"/>
      <c r="AC5642" s="3"/>
      <c r="AD5642" s="3"/>
      <c r="AE5642" s="3"/>
      <c r="AF5642" s="3"/>
      <c r="AG5642" s="3"/>
      <c r="AH5642" s="3"/>
    </row>
    <row r="5643" spans="1:34" ht="14.25" customHeight="1" x14ac:dyDescent="0.25">
      <c r="A5643" s="3"/>
      <c r="B5643" s="3"/>
      <c r="C5643" s="3"/>
      <c r="D5643" s="3"/>
      <c r="E5643" s="3"/>
      <c r="F5643" s="3"/>
      <c r="G5643" s="3"/>
      <c r="H5643" s="11"/>
      <c r="I5643" s="12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  <c r="AA5643" s="3"/>
      <c r="AB5643" s="3"/>
      <c r="AC5643" s="3"/>
      <c r="AD5643" s="3"/>
      <c r="AE5643" s="3"/>
      <c r="AF5643" s="3"/>
      <c r="AG5643" s="3"/>
      <c r="AH5643" s="3"/>
    </row>
    <row r="5644" spans="1:34" ht="14.25" customHeight="1" x14ac:dyDescent="0.25">
      <c r="A5644" s="3"/>
      <c r="B5644" s="3"/>
      <c r="C5644" s="3"/>
      <c r="D5644" s="3"/>
      <c r="E5644" s="3"/>
      <c r="F5644" s="3"/>
      <c r="G5644" s="3"/>
      <c r="H5644" s="11"/>
      <c r="I5644" s="12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  <c r="AA5644" s="3"/>
      <c r="AB5644" s="3"/>
      <c r="AC5644" s="3"/>
      <c r="AD5644" s="3"/>
      <c r="AE5644" s="3"/>
      <c r="AF5644" s="3"/>
      <c r="AG5644" s="3"/>
      <c r="AH5644" s="3"/>
    </row>
    <row r="5645" spans="1:34" ht="14.25" customHeight="1" x14ac:dyDescent="0.25">
      <c r="A5645" s="3"/>
      <c r="B5645" s="3"/>
      <c r="C5645" s="3"/>
      <c r="D5645" s="3"/>
      <c r="E5645" s="3"/>
      <c r="F5645" s="3"/>
      <c r="G5645" s="3"/>
      <c r="H5645" s="11"/>
      <c r="I5645" s="12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  <c r="AA5645" s="3"/>
      <c r="AB5645" s="3"/>
      <c r="AC5645" s="3"/>
      <c r="AD5645" s="3"/>
      <c r="AE5645" s="3"/>
      <c r="AF5645" s="3"/>
      <c r="AG5645" s="3"/>
      <c r="AH5645" s="3"/>
    </row>
    <row r="5646" spans="1:34" ht="14.25" customHeight="1" x14ac:dyDescent="0.25">
      <c r="A5646" s="3"/>
      <c r="B5646" s="3"/>
      <c r="C5646" s="3"/>
      <c r="D5646" s="3"/>
      <c r="E5646" s="3"/>
      <c r="F5646" s="3"/>
      <c r="G5646" s="3"/>
      <c r="H5646" s="11"/>
      <c r="I5646" s="12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  <c r="AA5646" s="3"/>
      <c r="AB5646" s="3"/>
      <c r="AC5646" s="3"/>
      <c r="AD5646" s="3"/>
      <c r="AE5646" s="3"/>
      <c r="AF5646" s="3"/>
      <c r="AG5646" s="3"/>
      <c r="AH5646" s="3"/>
    </row>
    <row r="5647" spans="1:34" ht="14.25" customHeight="1" x14ac:dyDescent="0.25">
      <c r="A5647" s="3"/>
      <c r="B5647" s="3"/>
      <c r="C5647" s="3"/>
      <c r="D5647" s="3"/>
      <c r="E5647" s="3"/>
      <c r="F5647" s="3"/>
      <c r="G5647" s="3"/>
      <c r="H5647" s="11"/>
      <c r="I5647" s="12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  <c r="AA5647" s="3"/>
      <c r="AB5647" s="3"/>
      <c r="AC5647" s="3"/>
      <c r="AD5647" s="3"/>
      <c r="AE5647" s="3"/>
      <c r="AF5647" s="3"/>
      <c r="AG5647" s="3"/>
      <c r="AH5647" s="3"/>
    </row>
    <row r="5648" spans="1:34" ht="14.25" customHeight="1" x14ac:dyDescent="0.25">
      <c r="A5648" s="3"/>
      <c r="B5648" s="3"/>
      <c r="C5648" s="3"/>
      <c r="D5648" s="3"/>
      <c r="E5648" s="3"/>
      <c r="F5648" s="3"/>
      <c r="G5648" s="3"/>
      <c r="H5648" s="11"/>
      <c r="I5648" s="12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  <c r="AA5648" s="3"/>
      <c r="AB5648" s="3"/>
      <c r="AC5648" s="3"/>
      <c r="AD5648" s="3"/>
      <c r="AE5648" s="3"/>
      <c r="AF5648" s="3"/>
      <c r="AG5648" s="3"/>
      <c r="AH5648" s="3"/>
    </row>
    <row r="5649" spans="1:34" ht="14.25" customHeight="1" x14ac:dyDescent="0.25">
      <c r="A5649" s="3"/>
      <c r="B5649" s="3"/>
      <c r="C5649" s="3"/>
      <c r="D5649" s="3"/>
      <c r="E5649" s="3"/>
      <c r="F5649" s="3"/>
      <c r="G5649" s="3"/>
      <c r="H5649" s="11"/>
      <c r="I5649" s="12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  <c r="AA5649" s="3"/>
      <c r="AB5649" s="3"/>
      <c r="AC5649" s="3"/>
      <c r="AD5649" s="3"/>
      <c r="AE5649" s="3"/>
      <c r="AF5649" s="3"/>
      <c r="AG5649" s="3"/>
      <c r="AH5649" s="3"/>
    </row>
    <row r="5650" spans="1:34" ht="14.25" customHeight="1" x14ac:dyDescent="0.25">
      <c r="A5650" s="3"/>
      <c r="B5650" s="3"/>
      <c r="C5650" s="3"/>
      <c r="D5650" s="3"/>
      <c r="E5650" s="3"/>
      <c r="F5650" s="3"/>
      <c r="G5650" s="3"/>
      <c r="H5650" s="11"/>
      <c r="I5650" s="12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  <c r="AA5650" s="3"/>
      <c r="AB5650" s="3"/>
      <c r="AC5650" s="3"/>
      <c r="AD5650" s="3"/>
      <c r="AE5650" s="3"/>
      <c r="AF5650" s="3"/>
      <c r="AG5650" s="3"/>
      <c r="AH5650" s="3"/>
    </row>
    <row r="5651" spans="1:34" ht="14.25" customHeight="1" x14ac:dyDescent="0.25">
      <c r="A5651" s="3"/>
      <c r="B5651" s="3"/>
      <c r="C5651" s="3"/>
      <c r="D5651" s="3"/>
      <c r="E5651" s="3"/>
      <c r="F5651" s="3"/>
      <c r="G5651" s="3"/>
      <c r="H5651" s="11"/>
      <c r="I5651" s="12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  <c r="AA5651" s="3"/>
      <c r="AB5651" s="3"/>
      <c r="AC5651" s="3"/>
      <c r="AD5651" s="3"/>
      <c r="AE5651" s="3"/>
      <c r="AF5651" s="3"/>
      <c r="AG5651" s="3"/>
      <c r="AH5651" s="3"/>
    </row>
    <row r="5652" spans="1:34" ht="14.25" customHeight="1" x14ac:dyDescent="0.25">
      <c r="A5652" s="3"/>
      <c r="B5652" s="3"/>
      <c r="C5652" s="3"/>
      <c r="D5652" s="3"/>
      <c r="E5652" s="3"/>
      <c r="F5652" s="3"/>
      <c r="G5652" s="3"/>
      <c r="H5652" s="11"/>
      <c r="I5652" s="12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  <c r="AA5652" s="3"/>
      <c r="AB5652" s="3"/>
      <c r="AC5652" s="3"/>
      <c r="AD5652" s="3"/>
      <c r="AE5652" s="3"/>
      <c r="AF5652" s="3"/>
      <c r="AG5652" s="3"/>
      <c r="AH5652" s="3"/>
    </row>
    <row r="5653" spans="1:34" ht="14.25" customHeight="1" x14ac:dyDescent="0.25">
      <c r="A5653" s="3"/>
      <c r="B5653" s="3"/>
      <c r="C5653" s="3"/>
      <c r="D5653" s="3"/>
      <c r="E5653" s="3"/>
      <c r="F5653" s="3"/>
      <c r="G5653" s="3"/>
      <c r="H5653" s="11"/>
      <c r="I5653" s="12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  <c r="AA5653" s="3"/>
      <c r="AB5653" s="3"/>
      <c r="AC5653" s="3"/>
      <c r="AD5653" s="3"/>
      <c r="AE5653" s="3"/>
      <c r="AF5653" s="3"/>
      <c r="AG5653" s="3"/>
      <c r="AH5653" s="3"/>
    </row>
    <row r="5654" spans="1:34" ht="13.5" customHeight="1" x14ac:dyDescent="0.25">
      <c r="A5654" s="3"/>
      <c r="B5654" s="3"/>
      <c r="C5654" s="3"/>
      <c r="D5654" s="3"/>
      <c r="E5654" s="3"/>
      <c r="F5654" s="3"/>
      <c r="G5654" s="3"/>
      <c r="H5654" s="11"/>
      <c r="I5654" s="12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  <c r="AA5654" s="3"/>
      <c r="AB5654" s="3"/>
      <c r="AC5654" s="3"/>
      <c r="AD5654" s="3"/>
      <c r="AE5654" s="3"/>
      <c r="AF5654" s="3"/>
      <c r="AG5654" s="3"/>
      <c r="AH5654" s="3"/>
    </row>
    <row r="5655" spans="1:34" ht="14.25" customHeight="1" x14ac:dyDescent="0.25">
      <c r="A5655" s="3"/>
      <c r="B5655" s="3"/>
      <c r="C5655" s="3"/>
      <c r="D5655" s="3"/>
      <c r="E5655" s="3"/>
      <c r="F5655" s="3"/>
      <c r="G5655" s="3"/>
      <c r="H5655" s="11"/>
      <c r="I5655" s="12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  <c r="AA5655" s="3"/>
      <c r="AB5655" s="3"/>
      <c r="AC5655" s="3"/>
      <c r="AD5655" s="3"/>
      <c r="AE5655" s="3"/>
      <c r="AF5655" s="3"/>
      <c r="AG5655" s="3"/>
      <c r="AH5655" s="3"/>
    </row>
    <row r="5656" spans="1:34" ht="14.25" customHeight="1" x14ac:dyDescent="0.25">
      <c r="A5656" s="3"/>
      <c r="B5656" s="3"/>
      <c r="C5656" s="3"/>
      <c r="D5656" s="3"/>
      <c r="E5656" s="3"/>
      <c r="F5656" s="3"/>
      <c r="G5656" s="3"/>
      <c r="H5656" s="11"/>
      <c r="I5656" s="12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  <c r="AA5656" s="3"/>
      <c r="AB5656" s="3"/>
      <c r="AC5656" s="3"/>
      <c r="AD5656" s="3"/>
      <c r="AE5656" s="3"/>
      <c r="AF5656" s="3"/>
      <c r="AG5656" s="3"/>
      <c r="AH5656" s="3"/>
    </row>
    <row r="5657" spans="1:34" ht="14.25" customHeight="1" x14ac:dyDescent="0.25">
      <c r="A5657" s="3"/>
      <c r="B5657" s="3"/>
      <c r="C5657" s="3"/>
      <c r="D5657" s="3"/>
      <c r="E5657" s="3"/>
      <c r="F5657" s="3"/>
      <c r="G5657" s="3"/>
      <c r="H5657" s="11"/>
      <c r="I5657" s="12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  <c r="AA5657" s="3"/>
      <c r="AB5657" s="3"/>
      <c r="AC5657" s="3"/>
      <c r="AD5657" s="3"/>
      <c r="AE5657" s="3"/>
      <c r="AF5657" s="3"/>
      <c r="AG5657" s="3"/>
      <c r="AH5657" s="3"/>
    </row>
    <row r="5658" spans="1:34" ht="14.25" customHeight="1" x14ac:dyDescent="0.25">
      <c r="A5658" s="3"/>
      <c r="B5658" s="3"/>
      <c r="C5658" s="3"/>
      <c r="D5658" s="3"/>
      <c r="E5658" s="3"/>
      <c r="F5658" s="3"/>
      <c r="G5658" s="3"/>
      <c r="H5658" s="11"/>
      <c r="I5658" s="12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  <c r="AA5658" s="3"/>
      <c r="AB5658" s="3"/>
      <c r="AC5658" s="3"/>
      <c r="AD5658" s="3"/>
      <c r="AE5658" s="3"/>
      <c r="AF5658" s="3"/>
      <c r="AG5658" s="3"/>
      <c r="AH5658" s="3"/>
    </row>
    <row r="5659" spans="1:34" ht="14.25" customHeight="1" x14ac:dyDescent="0.25">
      <c r="A5659" s="3"/>
      <c r="B5659" s="3"/>
      <c r="C5659" s="3"/>
      <c r="D5659" s="3"/>
      <c r="E5659" s="3"/>
      <c r="F5659" s="3"/>
      <c r="G5659" s="3"/>
      <c r="H5659" s="11"/>
      <c r="I5659" s="12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  <c r="AA5659" s="3"/>
      <c r="AB5659" s="3"/>
      <c r="AC5659" s="3"/>
      <c r="AD5659" s="3"/>
      <c r="AE5659" s="3"/>
      <c r="AF5659" s="3"/>
      <c r="AG5659" s="3"/>
      <c r="AH5659" s="3"/>
    </row>
    <row r="5660" spans="1:34" ht="14.25" customHeight="1" x14ac:dyDescent="0.25">
      <c r="A5660" s="3"/>
      <c r="B5660" s="3"/>
      <c r="C5660" s="3"/>
      <c r="D5660" s="3"/>
      <c r="E5660" s="3"/>
      <c r="F5660" s="3"/>
      <c r="G5660" s="3"/>
      <c r="H5660" s="11"/>
      <c r="I5660" s="12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  <c r="AA5660" s="3"/>
      <c r="AB5660" s="3"/>
      <c r="AC5660" s="3"/>
      <c r="AD5660" s="3"/>
      <c r="AE5660" s="3"/>
      <c r="AF5660" s="3"/>
      <c r="AG5660" s="3"/>
      <c r="AH5660" s="3"/>
    </row>
    <row r="5661" spans="1:34" ht="14.25" customHeight="1" x14ac:dyDescent="0.25">
      <c r="A5661" s="3"/>
      <c r="B5661" s="3"/>
      <c r="C5661" s="3"/>
      <c r="D5661" s="3"/>
      <c r="E5661" s="3"/>
      <c r="F5661" s="3"/>
      <c r="G5661" s="3"/>
      <c r="H5661" s="11"/>
      <c r="I5661" s="12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  <c r="AA5661" s="3"/>
      <c r="AB5661" s="3"/>
      <c r="AC5661" s="3"/>
      <c r="AD5661" s="3"/>
      <c r="AE5661" s="3"/>
      <c r="AF5661" s="3"/>
      <c r="AG5661" s="3"/>
      <c r="AH5661" s="3"/>
    </row>
    <row r="5662" spans="1:34" ht="14.25" customHeight="1" x14ac:dyDescent="0.25">
      <c r="A5662" s="3"/>
      <c r="B5662" s="3"/>
      <c r="C5662" s="3"/>
      <c r="D5662" s="3"/>
      <c r="E5662" s="3"/>
      <c r="F5662" s="3"/>
      <c r="G5662" s="3"/>
      <c r="H5662" s="11"/>
      <c r="I5662" s="12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  <c r="AA5662" s="3"/>
      <c r="AB5662" s="3"/>
      <c r="AC5662" s="3"/>
      <c r="AD5662" s="3"/>
      <c r="AE5662" s="3"/>
      <c r="AF5662" s="3"/>
      <c r="AG5662" s="3"/>
      <c r="AH5662" s="3"/>
    </row>
    <row r="5663" spans="1:34" ht="13.5" customHeight="1" x14ac:dyDescent="0.25">
      <c r="A5663" s="3"/>
      <c r="B5663" s="3"/>
      <c r="C5663" s="3"/>
      <c r="D5663" s="3"/>
      <c r="E5663" s="3"/>
      <c r="F5663" s="3"/>
      <c r="G5663" s="3"/>
      <c r="H5663" s="11"/>
      <c r="I5663" s="12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  <c r="AA5663" s="3"/>
      <c r="AB5663" s="3"/>
      <c r="AC5663" s="3"/>
      <c r="AD5663" s="3"/>
      <c r="AE5663" s="3"/>
      <c r="AF5663" s="3"/>
      <c r="AG5663" s="3"/>
      <c r="AH5663" s="3"/>
    </row>
    <row r="5664" spans="1:34" ht="14.25" customHeight="1" x14ac:dyDescent="0.25">
      <c r="A5664" s="3"/>
      <c r="B5664" s="3"/>
      <c r="C5664" s="3"/>
      <c r="D5664" s="3"/>
      <c r="E5664" s="3"/>
      <c r="F5664" s="3"/>
      <c r="G5664" s="3"/>
      <c r="H5664" s="11"/>
      <c r="I5664" s="12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  <c r="AA5664" s="3"/>
      <c r="AB5664" s="3"/>
      <c r="AC5664" s="3"/>
      <c r="AD5664" s="3"/>
      <c r="AE5664" s="3"/>
      <c r="AF5664" s="3"/>
      <c r="AG5664" s="3"/>
      <c r="AH5664" s="3"/>
    </row>
    <row r="5665" spans="1:34" ht="14.25" customHeight="1" x14ac:dyDescent="0.25">
      <c r="A5665" s="3"/>
      <c r="B5665" s="3"/>
      <c r="C5665" s="3"/>
      <c r="D5665" s="3"/>
      <c r="E5665" s="3"/>
      <c r="F5665" s="3"/>
      <c r="G5665" s="3"/>
      <c r="H5665" s="11"/>
      <c r="I5665" s="12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  <c r="AA5665" s="3"/>
      <c r="AB5665" s="3"/>
      <c r="AC5665" s="3"/>
      <c r="AD5665" s="3"/>
      <c r="AE5665" s="3"/>
      <c r="AF5665" s="3"/>
      <c r="AG5665" s="3"/>
      <c r="AH5665" s="3"/>
    </row>
    <row r="5666" spans="1:34" ht="14.25" customHeight="1" x14ac:dyDescent="0.25">
      <c r="A5666" s="3"/>
      <c r="B5666" s="3"/>
      <c r="C5666" s="3"/>
      <c r="D5666" s="3"/>
      <c r="E5666" s="3"/>
      <c r="F5666" s="3"/>
      <c r="G5666" s="3"/>
      <c r="H5666" s="11"/>
      <c r="I5666" s="12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  <c r="AA5666" s="3"/>
      <c r="AB5666" s="3"/>
      <c r="AC5666" s="3"/>
      <c r="AD5666" s="3"/>
      <c r="AE5666" s="3"/>
      <c r="AF5666" s="3"/>
      <c r="AG5666" s="3"/>
      <c r="AH5666" s="3"/>
    </row>
    <row r="5667" spans="1:34" ht="13.5" customHeight="1" x14ac:dyDescent="0.25">
      <c r="A5667" s="3"/>
      <c r="B5667" s="3"/>
      <c r="C5667" s="3"/>
      <c r="D5667" s="3"/>
      <c r="E5667" s="3"/>
      <c r="F5667" s="3"/>
      <c r="G5667" s="3"/>
      <c r="H5667" s="11"/>
      <c r="I5667" s="12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  <c r="AA5667" s="3"/>
      <c r="AB5667" s="3"/>
      <c r="AC5667" s="3"/>
      <c r="AD5667" s="3"/>
      <c r="AE5667" s="3"/>
      <c r="AF5667" s="3"/>
      <c r="AG5667" s="3"/>
      <c r="AH5667" s="3"/>
    </row>
    <row r="5668" spans="1:34" ht="14.25" customHeight="1" x14ac:dyDescent="0.25">
      <c r="A5668" s="3"/>
      <c r="B5668" s="3"/>
      <c r="C5668" s="3"/>
      <c r="D5668" s="3"/>
      <c r="E5668" s="3"/>
      <c r="F5668" s="3"/>
      <c r="G5668" s="3"/>
      <c r="H5668" s="11"/>
      <c r="I5668" s="12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  <c r="AA5668" s="3"/>
      <c r="AB5668" s="3"/>
      <c r="AC5668" s="3"/>
      <c r="AD5668" s="3"/>
      <c r="AE5668" s="3"/>
      <c r="AF5668" s="3"/>
      <c r="AG5668" s="3"/>
      <c r="AH5668" s="3"/>
    </row>
    <row r="5669" spans="1:34" ht="14.25" customHeight="1" x14ac:dyDescent="0.25">
      <c r="A5669" s="3"/>
      <c r="B5669" s="3"/>
      <c r="C5669" s="3"/>
      <c r="D5669" s="3"/>
      <c r="E5669" s="3"/>
      <c r="F5669" s="3"/>
      <c r="G5669" s="3"/>
      <c r="H5669" s="11"/>
      <c r="I5669" s="12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  <c r="AA5669" s="3"/>
      <c r="AB5669" s="3"/>
      <c r="AC5669" s="3"/>
      <c r="AD5669" s="3"/>
      <c r="AE5669" s="3"/>
      <c r="AF5669" s="3"/>
      <c r="AG5669" s="3"/>
      <c r="AH5669" s="3"/>
    </row>
    <row r="5670" spans="1:34" ht="14.25" customHeight="1" x14ac:dyDescent="0.25">
      <c r="A5670" s="3"/>
      <c r="B5670" s="3"/>
      <c r="C5670" s="3"/>
      <c r="D5670" s="3"/>
      <c r="E5670" s="3"/>
      <c r="F5670" s="3"/>
      <c r="G5670" s="3"/>
      <c r="H5670" s="11"/>
      <c r="I5670" s="12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  <c r="AA5670" s="3"/>
      <c r="AB5670" s="3"/>
      <c r="AC5670" s="3"/>
      <c r="AD5670" s="3"/>
      <c r="AE5670" s="3"/>
      <c r="AF5670" s="3"/>
      <c r="AG5670" s="3"/>
      <c r="AH5670" s="3"/>
    </row>
    <row r="5671" spans="1:34" ht="14.25" customHeight="1" x14ac:dyDescent="0.25">
      <c r="A5671" s="3"/>
      <c r="B5671" s="3"/>
      <c r="C5671" s="3"/>
      <c r="D5671" s="3"/>
      <c r="E5671" s="3"/>
      <c r="F5671" s="3"/>
      <c r="G5671" s="3"/>
      <c r="H5671" s="11"/>
      <c r="I5671" s="12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  <c r="AA5671" s="3"/>
      <c r="AB5671" s="3"/>
      <c r="AC5671" s="3"/>
      <c r="AD5671" s="3"/>
      <c r="AE5671" s="3"/>
      <c r="AF5671" s="3"/>
      <c r="AG5671" s="3"/>
      <c r="AH5671" s="3"/>
    </row>
    <row r="5672" spans="1:34" ht="14.25" customHeight="1" x14ac:dyDescent="0.25">
      <c r="A5672" s="3"/>
      <c r="B5672" s="3"/>
      <c r="C5672" s="3"/>
      <c r="D5672" s="3"/>
      <c r="E5672" s="3"/>
      <c r="F5672" s="3"/>
      <c r="G5672" s="3"/>
      <c r="H5672" s="11"/>
      <c r="I5672" s="12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  <c r="AA5672" s="3"/>
      <c r="AB5672" s="3"/>
      <c r="AC5672" s="3"/>
      <c r="AD5672" s="3"/>
      <c r="AE5672" s="3"/>
      <c r="AF5672" s="3"/>
      <c r="AG5672" s="3"/>
      <c r="AH5672" s="3"/>
    </row>
    <row r="5673" spans="1:34" ht="14.25" customHeight="1" x14ac:dyDescent="0.25">
      <c r="A5673" s="3"/>
      <c r="B5673" s="3"/>
      <c r="C5673" s="3"/>
      <c r="D5673" s="3"/>
      <c r="E5673" s="3"/>
      <c r="F5673" s="3"/>
      <c r="G5673" s="3"/>
      <c r="H5673" s="11"/>
      <c r="I5673" s="12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  <c r="AA5673" s="3"/>
      <c r="AB5673" s="3"/>
      <c r="AC5673" s="3"/>
      <c r="AD5673" s="3"/>
      <c r="AE5673" s="3"/>
      <c r="AF5673" s="3"/>
      <c r="AG5673" s="3"/>
      <c r="AH5673" s="3"/>
    </row>
    <row r="5674" spans="1:34" ht="14.25" customHeight="1" x14ac:dyDescent="0.25">
      <c r="A5674" s="3"/>
      <c r="B5674" s="3"/>
      <c r="C5674" s="3"/>
      <c r="D5674" s="3"/>
      <c r="E5674" s="3"/>
      <c r="F5674" s="3"/>
      <c r="G5674" s="3"/>
      <c r="H5674" s="11"/>
      <c r="I5674" s="12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  <c r="AA5674" s="3"/>
      <c r="AB5674" s="3"/>
      <c r="AC5674" s="3"/>
      <c r="AD5674" s="3"/>
      <c r="AE5674" s="3"/>
      <c r="AF5674" s="3"/>
      <c r="AG5674" s="3"/>
      <c r="AH5674" s="3"/>
    </row>
    <row r="5675" spans="1:34" ht="14.25" customHeight="1" x14ac:dyDescent="0.25">
      <c r="A5675" s="3"/>
      <c r="B5675" s="3"/>
      <c r="C5675" s="3"/>
      <c r="D5675" s="3"/>
      <c r="E5675" s="3"/>
      <c r="F5675" s="3"/>
      <c r="G5675" s="3"/>
      <c r="H5675" s="11"/>
      <c r="I5675" s="12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  <c r="AA5675" s="3"/>
      <c r="AB5675" s="3"/>
      <c r="AC5675" s="3"/>
      <c r="AD5675" s="3"/>
      <c r="AE5675" s="3"/>
      <c r="AF5675" s="3"/>
      <c r="AG5675" s="3"/>
      <c r="AH5675" s="3"/>
    </row>
    <row r="5676" spans="1:34" ht="14.25" customHeight="1" x14ac:dyDescent="0.25">
      <c r="A5676" s="3"/>
      <c r="B5676" s="3"/>
      <c r="C5676" s="3"/>
      <c r="D5676" s="3"/>
      <c r="E5676" s="3"/>
      <c r="F5676" s="3"/>
      <c r="G5676" s="3"/>
      <c r="H5676" s="11"/>
      <c r="I5676" s="12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  <c r="AA5676" s="3"/>
      <c r="AB5676" s="3"/>
      <c r="AC5676" s="3"/>
      <c r="AD5676" s="3"/>
      <c r="AE5676" s="3"/>
      <c r="AF5676" s="3"/>
      <c r="AG5676" s="3"/>
      <c r="AH5676" s="3"/>
    </row>
    <row r="5677" spans="1:34" ht="14.25" customHeight="1" x14ac:dyDescent="0.25">
      <c r="A5677" s="3"/>
      <c r="B5677" s="3"/>
      <c r="C5677" s="3"/>
      <c r="D5677" s="3"/>
      <c r="E5677" s="3"/>
      <c r="F5677" s="3"/>
      <c r="G5677" s="3"/>
      <c r="H5677" s="11"/>
      <c r="I5677" s="12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  <c r="AA5677" s="3"/>
      <c r="AB5677" s="3"/>
      <c r="AC5677" s="3"/>
      <c r="AD5677" s="3"/>
      <c r="AE5677" s="3"/>
      <c r="AF5677" s="3"/>
      <c r="AG5677" s="3"/>
      <c r="AH5677" s="3"/>
    </row>
    <row r="5678" spans="1:34" ht="14.25" customHeight="1" x14ac:dyDescent="0.25">
      <c r="A5678" s="3"/>
      <c r="B5678" s="3"/>
      <c r="C5678" s="3"/>
      <c r="D5678" s="3"/>
      <c r="E5678" s="3"/>
      <c r="F5678" s="3"/>
      <c r="G5678" s="3"/>
      <c r="H5678" s="11"/>
      <c r="I5678" s="12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  <c r="AA5678" s="3"/>
      <c r="AB5678" s="3"/>
      <c r="AC5678" s="3"/>
      <c r="AD5678" s="3"/>
      <c r="AE5678" s="3"/>
      <c r="AF5678" s="3"/>
      <c r="AG5678" s="3"/>
      <c r="AH5678" s="3"/>
    </row>
    <row r="5679" spans="1:34" ht="14.25" customHeight="1" x14ac:dyDescent="0.25">
      <c r="A5679" s="3"/>
      <c r="B5679" s="3"/>
      <c r="C5679" s="3"/>
      <c r="D5679" s="3"/>
      <c r="E5679" s="3"/>
      <c r="F5679" s="3"/>
      <c r="G5679" s="3"/>
      <c r="H5679" s="11"/>
      <c r="I5679" s="12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  <c r="AA5679" s="3"/>
      <c r="AB5679" s="3"/>
      <c r="AC5679" s="3"/>
      <c r="AD5679" s="3"/>
      <c r="AE5679" s="3"/>
      <c r="AF5679" s="3"/>
      <c r="AG5679" s="3"/>
      <c r="AH5679" s="3"/>
    </row>
    <row r="5680" spans="1:34" ht="14.25" customHeight="1" x14ac:dyDescent="0.25">
      <c r="A5680" s="3"/>
      <c r="B5680" s="3"/>
      <c r="C5680" s="3"/>
      <c r="D5680" s="3"/>
      <c r="E5680" s="3"/>
      <c r="F5680" s="3"/>
      <c r="G5680" s="3"/>
      <c r="H5680" s="11"/>
      <c r="I5680" s="12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  <c r="AA5680" s="3"/>
      <c r="AB5680" s="3"/>
      <c r="AC5680" s="3"/>
      <c r="AD5680" s="3"/>
      <c r="AE5680" s="3"/>
      <c r="AF5680" s="3"/>
      <c r="AG5680" s="3"/>
      <c r="AH5680" s="3"/>
    </row>
    <row r="5681" spans="1:34" ht="14.25" customHeight="1" x14ac:dyDescent="0.25">
      <c r="A5681" s="3"/>
      <c r="B5681" s="3"/>
      <c r="C5681" s="3"/>
      <c r="D5681" s="3"/>
      <c r="E5681" s="3"/>
      <c r="F5681" s="3"/>
      <c r="G5681" s="3"/>
      <c r="H5681" s="11"/>
      <c r="I5681" s="12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  <c r="AA5681" s="3"/>
      <c r="AB5681" s="3"/>
      <c r="AC5681" s="3"/>
      <c r="AD5681" s="3"/>
      <c r="AE5681" s="3"/>
      <c r="AF5681" s="3"/>
      <c r="AG5681" s="3"/>
      <c r="AH5681" s="3"/>
    </row>
    <row r="5682" spans="1:34" ht="14.25" customHeight="1" x14ac:dyDescent="0.25">
      <c r="A5682" s="3"/>
      <c r="B5682" s="3"/>
      <c r="C5682" s="3"/>
      <c r="D5682" s="3"/>
      <c r="E5682" s="3"/>
      <c r="F5682" s="3"/>
      <c r="G5682" s="3"/>
      <c r="H5682" s="11"/>
      <c r="I5682" s="12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  <c r="AA5682" s="3"/>
      <c r="AB5682" s="3"/>
      <c r="AC5682" s="3"/>
      <c r="AD5682" s="3"/>
      <c r="AE5682" s="3"/>
      <c r="AF5682" s="3"/>
      <c r="AG5682" s="3"/>
      <c r="AH5682" s="3"/>
    </row>
    <row r="5683" spans="1:34" ht="14.25" customHeight="1" x14ac:dyDescent="0.25">
      <c r="A5683" s="3"/>
      <c r="B5683" s="3"/>
      <c r="C5683" s="3"/>
      <c r="D5683" s="3"/>
      <c r="E5683" s="3"/>
      <c r="F5683" s="3"/>
      <c r="G5683" s="3"/>
      <c r="H5683" s="11"/>
      <c r="I5683" s="12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  <c r="AA5683" s="3"/>
      <c r="AB5683" s="3"/>
      <c r="AC5683" s="3"/>
      <c r="AD5683" s="3"/>
      <c r="AE5683" s="3"/>
      <c r="AF5683" s="3"/>
      <c r="AG5683" s="3"/>
      <c r="AH5683" s="3"/>
    </row>
    <row r="5684" spans="1:34" ht="14.25" customHeight="1" x14ac:dyDescent="0.25">
      <c r="A5684" s="3"/>
      <c r="B5684" s="3"/>
      <c r="C5684" s="3"/>
      <c r="D5684" s="3"/>
      <c r="E5684" s="3"/>
      <c r="F5684" s="3"/>
      <c r="G5684" s="3"/>
      <c r="H5684" s="11"/>
      <c r="I5684" s="12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  <c r="AA5684" s="3"/>
      <c r="AB5684" s="3"/>
      <c r="AC5684" s="3"/>
      <c r="AD5684" s="3"/>
      <c r="AE5684" s="3"/>
      <c r="AF5684" s="3"/>
      <c r="AG5684" s="3"/>
      <c r="AH5684" s="3"/>
    </row>
    <row r="5685" spans="1:34" ht="14.25" customHeight="1" x14ac:dyDescent="0.25">
      <c r="A5685" s="3"/>
      <c r="B5685" s="3"/>
      <c r="C5685" s="3"/>
      <c r="D5685" s="3"/>
      <c r="E5685" s="3"/>
      <c r="F5685" s="3"/>
      <c r="G5685" s="3"/>
      <c r="H5685" s="11"/>
      <c r="I5685" s="12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  <c r="AA5685" s="3"/>
      <c r="AB5685" s="3"/>
      <c r="AC5685" s="3"/>
      <c r="AD5685" s="3"/>
      <c r="AE5685" s="3"/>
      <c r="AF5685" s="3"/>
      <c r="AG5685" s="3"/>
      <c r="AH5685" s="3"/>
    </row>
    <row r="5686" spans="1:34" ht="14.25" customHeight="1" x14ac:dyDescent="0.25">
      <c r="A5686" s="3"/>
      <c r="B5686" s="3"/>
      <c r="C5686" s="3"/>
      <c r="D5686" s="3"/>
      <c r="E5686" s="3"/>
      <c r="F5686" s="3"/>
      <c r="G5686" s="3"/>
      <c r="H5686" s="11"/>
      <c r="I5686" s="12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  <c r="AA5686" s="3"/>
      <c r="AB5686" s="3"/>
      <c r="AC5686" s="3"/>
      <c r="AD5686" s="3"/>
      <c r="AE5686" s="3"/>
      <c r="AF5686" s="3"/>
      <c r="AG5686" s="3"/>
      <c r="AH5686" s="3"/>
    </row>
    <row r="5687" spans="1:34" ht="14.25" customHeight="1" x14ac:dyDescent="0.25">
      <c r="A5687" s="3"/>
      <c r="B5687" s="3"/>
      <c r="C5687" s="3"/>
      <c r="D5687" s="3"/>
      <c r="E5687" s="3"/>
      <c r="F5687" s="3"/>
      <c r="G5687" s="3"/>
      <c r="H5687" s="11"/>
      <c r="I5687" s="12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  <c r="AA5687" s="3"/>
      <c r="AB5687" s="3"/>
      <c r="AC5687" s="3"/>
      <c r="AD5687" s="3"/>
      <c r="AE5687" s="3"/>
      <c r="AF5687" s="3"/>
      <c r="AG5687" s="3"/>
      <c r="AH5687" s="3"/>
    </row>
    <row r="5688" spans="1:34" ht="14.25" customHeight="1" x14ac:dyDescent="0.25">
      <c r="A5688" s="3"/>
      <c r="B5688" s="3"/>
      <c r="C5688" s="3"/>
      <c r="D5688" s="3"/>
      <c r="E5688" s="3"/>
      <c r="F5688" s="3"/>
      <c r="G5688" s="3"/>
      <c r="H5688" s="11"/>
      <c r="I5688" s="12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  <c r="AA5688" s="3"/>
      <c r="AB5688" s="3"/>
      <c r="AC5688" s="3"/>
      <c r="AD5688" s="3"/>
      <c r="AE5688" s="3"/>
      <c r="AF5688" s="3"/>
      <c r="AG5688" s="3"/>
      <c r="AH5688" s="3"/>
    </row>
    <row r="5689" spans="1:34" ht="14.25" customHeight="1" x14ac:dyDescent="0.25">
      <c r="A5689" s="3"/>
      <c r="B5689" s="3"/>
      <c r="C5689" s="3"/>
      <c r="D5689" s="3"/>
      <c r="E5689" s="3"/>
      <c r="F5689" s="3"/>
      <c r="G5689" s="3"/>
      <c r="H5689" s="11"/>
      <c r="I5689" s="12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  <c r="AA5689" s="3"/>
      <c r="AB5689" s="3"/>
      <c r="AC5689" s="3"/>
      <c r="AD5689" s="3"/>
      <c r="AE5689" s="3"/>
      <c r="AF5689" s="3"/>
      <c r="AG5689" s="3"/>
      <c r="AH5689" s="3"/>
    </row>
    <row r="5690" spans="1:34" ht="14.25" customHeight="1" x14ac:dyDescent="0.25">
      <c r="A5690" s="3"/>
      <c r="B5690" s="3"/>
      <c r="C5690" s="3"/>
      <c r="D5690" s="3"/>
      <c r="E5690" s="3"/>
      <c r="F5690" s="3"/>
      <c r="G5690" s="3"/>
      <c r="H5690" s="11"/>
      <c r="I5690" s="12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  <c r="AA5690" s="3"/>
      <c r="AB5690" s="3"/>
      <c r="AC5690" s="3"/>
      <c r="AD5690" s="3"/>
      <c r="AE5690" s="3"/>
      <c r="AF5690" s="3"/>
      <c r="AG5690" s="3"/>
      <c r="AH5690" s="3"/>
    </row>
    <row r="5691" spans="1:34" ht="14.25" customHeight="1" x14ac:dyDescent="0.25">
      <c r="A5691" s="3"/>
      <c r="B5691" s="3"/>
      <c r="C5691" s="3"/>
      <c r="D5691" s="3"/>
      <c r="E5691" s="3"/>
      <c r="F5691" s="3"/>
      <c r="G5691" s="3"/>
      <c r="H5691" s="11"/>
      <c r="I5691" s="12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  <c r="AA5691" s="3"/>
      <c r="AB5691" s="3"/>
      <c r="AC5691" s="3"/>
      <c r="AD5691" s="3"/>
      <c r="AE5691" s="3"/>
      <c r="AF5691" s="3"/>
      <c r="AG5691" s="3"/>
      <c r="AH5691" s="3"/>
    </row>
    <row r="5692" spans="1:34" ht="14.25" customHeight="1" x14ac:dyDescent="0.25">
      <c r="A5692" s="3"/>
      <c r="B5692" s="3"/>
      <c r="C5692" s="3"/>
      <c r="D5692" s="3"/>
      <c r="E5692" s="3"/>
      <c r="F5692" s="3"/>
      <c r="G5692" s="14"/>
      <c r="H5692" s="11"/>
      <c r="I5692" s="12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  <c r="AA5692" s="3"/>
      <c r="AB5692" s="3"/>
      <c r="AC5692" s="3"/>
      <c r="AD5692" s="3"/>
      <c r="AE5692" s="3"/>
      <c r="AF5692" s="3"/>
      <c r="AG5692" s="3"/>
      <c r="AH5692" s="3"/>
    </row>
    <row r="5693" spans="1:34" ht="14.25" customHeight="1" x14ac:dyDescent="0.25">
      <c r="A5693" s="3"/>
      <c r="B5693" s="3"/>
      <c r="C5693" s="3"/>
      <c r="D5693" s="3"/>
      <c r="E5693" s="3"/>
      <c r="F5693" s="3"/>
      <c r="G5693" s="3"/>
      <c r="H5693" s="11"/>
      <c r="I5693" s="12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  <c r="AA5693" s="3"/>
      <c r="AB5693" s="3"/>
      <c r="AC5693" s="3"/>
      <c r="AD5693" s="3"/>
      <c r="AE5693" s="3"/>
      <c r="AF5693" s="3"/>
      <c r="AG5693" s="3"/>
      <c r="AH5693" s="3"/>
    </row>
    <row r="5694" spans="1:34" ht="14.25" customHeight="1" x14ac:dyDescent="0.25">
      <c r="A5694" s="3"/>
      <c r="B5694" s="3"/>
      <c r="C5694" s="3"/>
      <c r="D5694" s="3"/>
      <c r="E5694" s="3"/>
      <c r="F5694" s="3"/>
      <c r="G5694" s="3"/>
      <c r="H5694" s="11"/>
      <c r="I5694" s="12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  <c r="AA5694" s="3"/>
      <c r="AB5694" s="3"/>
      <c r="AC5694" s="3"/>
      <c r="AD5694" s="3"/>
      <c r="AE5694" s="3"/>
      <c r="AF5694" s="3"/>
      <c r="AG5694" s="3"/>
      <c r="AH5694" s="3"/>
    </row>
    <row r="5695" spans="1:34" ht="14.25" customHeight="1" x14ac:dyDescent="0.25">
      <c r="A5695" s="3"/>
      <c r="B5695" s="3"/>
      <c r="C5695" s="3"/>
      <c r="D5695" s="3"/>
      <c r="E5695" s="3"/>
      <c r="F5695" s="3"/>
      <c r="G5695" s="3"/>
      <c r="H5695" s="11"/>
      <c r="I5695" s="12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  <c r="AA5695" s="3"/>
      <c r="AB5695" s="3"/>
      <c r="AC5695" s="3"/>
      <c r="AD5695" s="3"/>
      <c r="AE5695" s="3"/>
      <c r="AF5695" s="3"/>
      <c r="AG5695" s="3"/>
      <c r="AH5695" s="3"/>
    </row>
    <row r="5696" spans="1:34" ht="14.25" customHeight="1" x14ac:dyDescent="0.25">
      <c r="A5696" s="3"/>
      <c r="B5696" s="3"/>
      <c r="C5696" s="3"/>
      <c r="D5696" s="3"/>
      <c r="E5696" s="3"/>
      <c r="F5696" s="3"/>
      <c r="G5696" s="3"/>
      <c r="H5696" s="11"/>
      <c r="I5696" s="12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  <c r="AA5696" s="3"/>
      <c r="AB5696" s="3"/>
      <c r="AC5696" s="3"/>
      <c r="AD5696" s="3"/>
      <c r="AE5696" s="3"/>
      <c r="AF5696" s="3"/>
      <c r="AG5696" s="3"/>
      <c r="AH5696" s="3"/>
    </row>
    <row r="5697" spans="1:34" ht="14.25" customHeight="1" x14ac:dyDescent="0.25">
      <c r="A5697" s="3"/>
      <c r="B5697" s="3"/>
      <c r="C5697" s="3"/>
      <c r="D5697" s="3"/>
      <c r="E5697" s="3"/>
      <c r="F5697" s="3"/>
      <c r="G5697" s="3"/>
      <c r="H5697" s="11"/>
      <c r="I5697" s="12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  <c r="AA5697" s="3"/>
      <c r="AB5697" s="3"/>
      <c r="AC5697" s="3"/>
      <c r="AD5697" s="3"/>
      <c r="AE5697" s="3"/>
      <c r="AF5697" s="3"/>
      <c r="AG5697" s="3"/>
      <c r="AH5697" s="3"/>
    </row>
    <row r="5698" spans="1:34" ht="14.25" customHeight="1" x14ac:dyDescent="0.25">
      <c r="A5698" s="3"/>
      <c r="B5698" s="3"/>
      <c r="C5698" s="3"/>
      <c r="D5698" s="3"/>
      <c r="E5698" s="3"/>
      <c r="F5698" s="3"/>
      <c r="G5698" s="3"/>
      <c r="H5698" s="11"/>
      <c r="I5698" s="12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  <c r="AA5698" s="3"/>
      <c r="AB5698" s="3"/>
      <c r="AC5698" s="3"/>
      <c r="AD5698" s="3"/>
      <c r="AE5698" s="3"/>
      <c r="AF5698" s="3"/>
      <c r="AG5698" s="3"/>
      <c r="AH5698" s="3"/>
    </row>
    <row r="5699" spans="1:34" ht="14.25" customHeight="1" x14ac:dyDescent="0.25">
      <c r="A5699" s="3"/>
      <c r="B5699" s="3"/>
      <c r="C5699" s="3"/>
      <c r="D5699" s="3"/>
      <c r="E5699" s="3"/>
      <c r="F5699" s="3"/>
      <c r="G5699" s="3"/>
      <c r="H5699" s="11"/>
      <c r="I5699" s="12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  <c r="AA5699" s="3"/>
      <c r="AB5699" s="3"/>
      <c r="AC5699" s="3"/>
      <c r="AD5699" s="3"/>
      <c r="AE5699" s="3"/>
      <c r="AF5699" s="3"/>
      <c r="AG5699" s="3"/>
      <c r="AH5699" s="3"/>
    </row>
    <row r="5700" spans="1:34" ht="14.25" customHeight="1" x14ac:dyDescent="0.25">
      <c r="A5700" s="3"/>
      <c r="B5700" s="3"/>
      <c r="C5700" s="3"/>
      <c r="D5700" s="3"/>
      <c r="E5700" s="3"/>
      <c r="F5700" s="3"/>
      <c r="G5700" s="3"/>
      <c r="H5700" s="11"/>
      <c r="I5700" s="12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  <c r="AA5700" s="3"/>
      <c r="AB5700" s="3"/>
      <c r="AC5700" s="3"/>
      <c r="AD5700" s="3"/>
      <c r="AE5700" s="3"/>
      <c r="AF5700" s="3"/>
      <c r="AG5700" s="3"/>
      <c r="AH5700" s="3"/>
    </row>
    <row r="5701" spans="1:34" ht="14.25" customHeight="1" x14ac:dyDescent="0.25">
      <c r="A5701" s="3"/>
      <c r="B5701" s="3"/>
      <c r="C5701" s="3"/>
      <c r="D5701" s="3"/>
      <c r="E5701" s="3"/>
      <c r="F5701" s="3"/>
      <c r="G5701" s="3"/>
      <c r="H5701" s="11"/>
      <c r="I5701" s="12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  <c r="AA5701" s="3"/>
      <c r="AB5701" s="3"/>
      <c r="AC5701" s="3"/>
      <c r="AD5701" s="3"/>
      <c r="AE5701" s="3"/>
      <c r="AF5701" s="3"/>
      <c r="AG5701" s="3"/>
      <c r="AH5701" s="3"/>
    </row>
    <row r="5702" spans="1:34" ht="14.25" customHeight="1" x14ac:dyDescent="0.25">
      <c r="A5702" s="3"/>
      <c r="B5702" s="3"/>
      <c r="C5702" s="3"/>
      <c r="D5702" s="3"/>
      <c r="E5702" s="3"/>
      <c r="F5702" s="3"/>
      <c r="G5702" s="3"/>
      <c r="H5702" s="11"/>
      <c r="I5702" s="12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  <c r="AA5702" s="3"/>
      <c r="AB5702" s="3"/>
      <c r="AC5702" s="3"/>
      <c r="AD5702" s="3"/>
      <c r="AE5702" s="3"/>
      <c r="AF5702" s="3"/>
      <c r="AG5702" s="3"/>
      <c r="AH5702" s="3"/>
    </row>
    <row r="5703" spans="1:34" ht="14.25" customHeight="1" x14ac:dyDescent="0.25">
      <c r="A5703" s="3"/>
      <c r="B5703" s="3"/>
      <c r="C5703" s="3"/>
      <c r="D5703" s="3"/>
      <c r="E5703" s="3"/>
      <c r="F5703" s="3"/>
      <c r="G5703" s="3"/>
      <c r="H5703" s="11"/>
      <c r="I5703" s="12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  <c r="AA5703" s="3"/>
      <c r="AB5703" s="3"/>
      <c r="AC5703" s="3"/>
      <c r="AD5703" s="3"/>
      <c r="AE5703" s="3"/>
      <c r="AF5703" s="3"/>
      <c r="AG5703" s="3"/>
      <c r="AH5703" s="3"/>
    </row>
    <row r="5704" spans="1:34" ht="14.25" customHeight="1" x14ac:dyDescent="0.25">
      <c r="A5704" s="3"/>
      <c r="B5704" s="3"/>
      <c r="C5704" s="3"/>
      <c r="D5704" s="3"/>
      <c r="E5704" s="3"/>
      <c r="F5704" s="3"/>
      <c r="G5704" s="3"/>
      <c r="H5704" s="11"/>
      <c r="I5704" s="12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  <c r="AA5704" s="3"/>
      <c r="AB5704" s="3"/>
      <c r="AC5704" s="3"/>
      <c r="AD5704" s="3"/>
      <c r="AE5704" s="3"/>
      <c r="AF5704" s="3"/>
      <c r="AG5704" s="3"/>
      <c r="AH5704" s="3"/>
    </row>
    <row r="5705" spans="1:34" ht="14.25" customHeight="1" x14ac:dyDescent="0.25">
      <c r="A5705" s="3"/>
      <c r="B5705" s="3"/>
      <c r="C5705" s="3"/>
      <c r="D5705" s="3"/>
      <c r="E5705" s="3"/>
      <c r="F5705" s="3"/>
      <c r="G5705" s="3"/>
      <c r="H5705" s="11"/>
      <c r="I5705" s="12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  <c r="AA5705" s="3"/>
      <c r="AB5705" s="3"/>
      <c r="AC5705" s="3"/>
      <c r="AD5705" s="3"/>
      <c r="AE5705" s="3"/>
      <c r="AF5705" s="3"/>
      <c r="AG5705" s="3"/>
      <c r="AH5705" s="3"/>
    </row>
    <row r="5706" spans="1:34" ht="14.25" customHeight="1" x14ac:dyDescent="0.25">
      <c r="A5706" s="3"/>
      <c r="B5706" s="3"/>
      <c r="C5706" s="3"/>
      <c r="D5706" s="3"/>
      <c r="E5706" s="3"/>
      <c r="F5706" s="3"/>
      <c r="G5706" s="3"/>
      <c r="H5706" s="11"/>
      <c r="I5706" s="12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  <c r="AA5706" s="3"/>
      <c r="AB5706" s="3"/>
      <c r="AC5706" s="3"/>
      <c r="AD5706" s="3"/>
      <c r="AE5706" s="3"/>
      <c r="AF5706" s="3"/>
      <c r="AG5706" s="3"/>
      <c r="AH5706" s="3"/>
    </row>
    <row r="5707" spans="1:34" ht="14.25" customHeight="1" x14ac:dyDescent="0.25">
      <c r="A5707" s="3"/>
      <c r="B5707" s="3"/>
      <c r="C5707" s="3"/>
      <c r="D5707" s="3"/>
      <c r="E5707" s="3"/>
      <c r="F5707" s="3"/>
      <c r="G5707" s="3"/>
      <c r="H5707" s="11"/>
      <c r="I5707" s="12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  <c r="AA5707" s="3"/>
      <c r="AB5707" s="3"/>
      <c r="AC5707" s="3"/>
      <c r="AD5707" s="3"/>
      <c r="AE5707" s="3"/>
      <c r="AF5707" s="3"/>
      <c r="AG5707" s="3"/>
      <c r="AH5707" s="3"/>
    </row>
    <row r="5708" spans="1:34" ht="14.25" customHeight="1" x14ac:dyDescent="0.25">
      <c r="A5708" s="3"/>
      <c r="B5708" s="3"/>
      <c r="C5708" s="3"/>
      <c r="D5708" s="3"/>
      <c r="E5708" s="3"/>
      <c r="F5708" s="3"/>
      <c r="G5708" s="3"/>
      <c r="H5708" s="11"/>
      <c r="I5708" s="12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  <c r="AA5708" s="3"/>
      <c r="AB5708" s="3"/>
      <c r="AC5708" s="3"/>
      <c r="AD5708" s="3"/>
      <c r="AE5708" s="3"/>
      <c r="AF5708" s="3"/>
      <c r="AG5708" s="3"/>
      <c r="AH5708" s="3"/>
    </row>
    <row r="5709" spans="1:34" ht="14.25" customHeight="1" x14ac:dyDescent="0.25">
      <c r="A5709" s="3"/>
      <c r="B5709" s="3"/>
      <c r="C5709" s="3"/>
      <c r="D5709" s="3"/>
      <c r="E5709" s="3"/>
      <c r="F5709" s="3"/>
      <c r="G5709" s="3"/>
      <c r="H5709" s="11"/>
      <c r="I5709" s="12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  <c r="AA5709" s="3"/>
      <c r="AB5709" s="3"/>
      <c r="AC5709" s="3"/>
      <c r="AD5709" s="3"/>
      <c r="AE5709" s="3"/>
      <c r="AF5709" s="3"/>
      <c r="AG5709" s="3"/>
      <c r="AH5709" s="3"/>
    </row>
    <row r="5710" spans="1:34" ht="14.25" customHeight="1" x14ac:dyDescent="0.25">
      <c r="A5710" s="3"/>
      <c r="B5710" s="3"/>
      <c r="C5710" s="3"/>
      <c r="D5710" s="3"/>
      <c r="E5710" s="3"/>
      <c r="F5710" s="3"/>
      <c r="G5710" s="3"/>
      <c r="H5710" s="11"/>
      <c r="I5710" s="12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  <c r="AA5710" s="3"/>
      <c r="AB5710" s="3"/>
      <c r="AC5710" s="3"/>
      <c r="AD5710" s="3"/>
      <c r="AE5710" s="3"/>
      <c r="AF5710" s="3"/>
      <c r="AG5710" s="3"/>
      <c r="AH5710" s="3"/>
    </row>
    <row r="5711" spans="1:34" ht="14.25" customHeight="1" x14ac:dyDescent="0.25">
      <c r="A5711" s="3"/>
      <c r="B5711" s="3"/>
      <c r="C5711" s="3"/>
      <c r="D5711" s="3"/>
      <c r="E5711" s="3"/>
      <c r="F5711" s="3"/>
      <c r="G5711" s="3"/>
      <c r="H5711" s="11"/>
      <c r="I5711" s="12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  <c r="AA5711" s="3"/>
      <c r="AB5711" s="3"/>
      <c r="AC5711" s="3"/>
      <c r="AD5711" s="3"/>
      <c r="AE5711" s="3"/>
      <c r="AF5711" s="3"/>
      <c r="AG5711" s="3"/>
      <c r="AH5711" s="3"/>
    </row>
    <row r="5712" spans="1:34" ht="14.25" customHeight="1" x14ac:dyDescent="0.25">
      <c r="A5712" s="3"/>
      <c r="B5712" s="3"/>
      <c r="C5712" s="3"/>
      <c r="D5712" s="3"/>
      <c r="E5712" s="3"/>
      <c r="F5712" s="3"/>
      <c r="G5712" s="3"/>
      <c r="H5712" s="11"/>
      <c r="I5712" s="12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  <c r="AA5712" s="3"/>
      <c r="AB5712" s="3"/>
      <c r="AC5712" s="3"/>
      <c r="AD5712" s="3"/>
      <c r="AE5712" s="3"/>
      <c r="AF5712" s="3"/>
      <c r="AG5712" s="3"/>
      <c r="AH5712" s="3"/>
    </row>
    <row r="5713" spans="1:34" ht="14.25" customHeight="1" x14ac:dyDescent="0.25">
      <c r="A5713" s="3"/>
      <c r="B5713" s="3"/>
      <c r="C5713" s="3"/>
      <c r="D5713" s="3"/>
      <c r="E5713" s="3"/>
      <c r="F5713" s="3"/>
      <c r="G5713" s="3"/>
      <c r="H5713" s="11"/>
      <c r="I5713" s="12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  <c r="AA5713" s="3"/>
      <c r="AB5713" s="3"/>
      <c r="AC5713" s="3"/>
      <c r="AD5713" s="3"/>
      <c r="AE5713" s="3"/>
      <c r="AF5713" s="3"/>
      <c r="AG5713" s="3"/>
      <c r="AH5713" s="3"/>
    </row>
    <row r="5714" spans="1:34" ht="14.25" customHeight="1" x14ac:dyDescent="0.25">
      <c r="A5714" s="3"/>
      <c r="B5714" s="3"/>
      <c r="C5714" s="3"/>
      <c r="D5714" s="3"/>
      <c r="E5714" s="3"/>
      <c r="F5714" s="3"/>
      <c r="G5714" s="3"/>
      <c r="H5714" s="11"/>
      <c r="I5714" s="12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  <c r="AA5714" s="3"/>
      <c r="AB5714" s="3"/>
      <c r="AC5714" s="3"/>
      <c r="AD5714" s="3"/>
      <c r="AE5714" s="3"/>
      <c r="AF5714" s="3"/>
      <c r="AG5714" s="3"/>
      <c r="AH5714" s="3"/>
    </row>
    <row r="5715" spans="1:34" ht="14.25" customHeight="1" x14ac:dyDescent="0.25">
      <c r="A5715" s="3"/>
      <c r="B5715" s="3"/>
      <c r="C5715" s="3"/>
      <c r="D5715" s="3"/>
      <c r="E5715" s="3"/>
      <c r="F5715" s="3"/>
      <c r="G5715" s="3"/>
      <c r="H5715" s="11"/>
      <c r="I5715" s="12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  <c r="AA5715" s="3"/>
      <c r="AB5715" s="3"/>
      <c r="AC5715" s="3"/>
      <c r="AD5715" s="3"/>
      <c r="AE5715" s="3"/>
      <c r="AF5715" s="3"/>
      <c r="AG5715" s="3"/>
      <c r="AH5715" s="3"/>
    </row>
    <row r="5716" spans="1:34" ht="14.25" customHeight="1" x14ac:dyDescent="0.25">
      <c r="A5716" s="3"/>
      <c r="B5716" s="3"/>
      <c r="C5716" s="3"/>
      <c r="D5716" s="3"/>
      <c r="E5716" s="3"/>
      <c r="F5716" s="3"/>
      <c r="G5716" s="3"/>
      <c r="H5716" s="11"/>
      <c r="I5716" s="12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  <c r="AA5716" s="3"/>
      <c r="AB5716" s="3"/>
      <c r="AC5716" s="3"/>
      <c r="AD5716" s="3"/>
      <c r="AE5716" s="3"/>
      <c r="AF5716" s="3"/>
      <c r="AG5716" s="3"/>
      <c r="AH5716" s="3"/>
    </row>
    <row r="5717" spans="1:34" ht="14.25" customHeight="1" x14ac:dyDescent="0.25">
      <c r="A5717" s="3"/>
      <c r="B5717" s="3"/>
      <c r="C5717" s="3"/>
      <c r="D5717" s="3"/>
      <c r="E5717" s="3"/>
      <c r="F5717" s="3"/>
      <c r="G5717" s="3"/>
      <c r="H5717" s="11"/>
      <c r="I5717" s="12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  <c r="AA5717" s="3"/>
      <c r="AB5717" s="3"/>
      <c r="AC5717" s="3"/>
      <c r="AD5717" s="3"/>
      <c r="AE5717" s="3"/>
      <c r="AF5717" s="3"/>
      <c r="AG5717" s="3"/>
      <c r="AH5717" s="3"/>
    </row>
    <row r="5718" spans="1:34" ht="14.25" customHeight="1" x14ac:dyDescent="0.25">
      <c r="A5718" s="3"/>
      <c r="B5718" s="3"/>
      <c r="C5718" s="3"/>
      <c r="D5718" s="3"/>
      <c r="E5718" s="3"/>
      <c r="F5718" s="3"/>
      <c r="G5718" s="3"/>
      <c r="H5718" s="11"/>
      <c r="I5718" s="12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  <c r="AA5718" s="3"/>
      <c r="AB5718" s="3"/>
      <c r="AC5718" s="3"/>
      <c r="AD5718" s="3"/>
      <c r="AE5718" s="3"/>
      <c r="AF5718" s="3"/>
      <c r="AG5718" s="3"/>
      <c r="AH5718" s="3"/>
    </row>
    <row r="5719" spans="1:34" ht="14.25" customHeight="1" x14ac:dyDescent="0.25">
      <c r="A5719" s="3"/>
      <c r="B5719" s="3"/>
      <c r="C5719" s="3"/>
      <c r="D5719" s="3"/>
      <c r="E5719" s="3"/>
      <c r="F5719" s="3"/>
      <c r="G5719" s="3"/>
      <c r="H5719" s="11"/>
      <c r="I5719" s="12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  <c r="AA5719" s="3"/>
      <c r="AB5719" s="3"/>
      <c r="AC5719" s="3"/>
      <c r="AD5719" s="3"/>
      <c r="AE5719" s="3"/>
      <c r="AF5719" s="3"/>
      <c r="AG5719" s="3"/>
      <c r="AH5719" s="3"/>
    </row>
    <row r="5720" spans="1:34" ht="14.25" customHeight="1" x14ac:dyDescent="0.25">
      <c r="A5720" s="3"/>
      <c r="B5720" s="3"/>
      <c r="C5720" s="3"/>
      <c r="D5720" s="3"/>
      <c r="E5720" s="3"/>
      <c r="F5720" s="3"/>
      <c r="G5720" s="3"/>
      <c r="H5720" s="11"/>
      <c r="I5720" s="12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  <c r="AA5720" s="3"/>
      <c r="AB5720" s="3"/>
      <c r="AC5720" s="3"/>
      <c r="AD5720" s="3"/>
      <c r="AE5720" s="3"/>
      <c r="AF5720" s="3"/>
      <c r="AG5720" s="3"/>
      <c r="AH5720" s="3"/>
    </row>
    <row r="5721" spans="1:34" ht="14.25" customHeight="1" x14ac:dyDescent="0.25">
      <c r="A5721" s="3"/>
      <c r="B5721" s="3"/>
      <c r="C5721" s="3"/>
      <c r="D5721" s="3"/>
      <c r="E5721" s="3"/>
      <c r="F5721" s="3"/>
      <c r="G5721" s="3"/>
      <c r="H5721" s="11"/>
      <c r="I5721" s="12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  <c r="AA5721" s="3"/>
      <c r="AB5721" s="3"/>
      <c r="AC5721" s="3"/>
      <c r="AD5721" s="3"/>
      <c r="AE5721" s="3"/>
      <c r="AF5721" s="3"/>
      <c r="AG5721" s="3"/>
      <c r="AH5721" s="3"/>
    </row>
    <row r="5722" spans="1:34" ht="14.25" customHeight="1" x14ac:dyDescent="0.25">
      <c r="A5722" s="3"/>
      <c r="B5722" s="3"/>
      <c r="C5722" s="3"/>
      <c r="D5722" s="3"/>
      <c r="E5722" s="3"/>
      <c r="F5722" s="3"/>
      <c r="G5722" s="3"/>
      <c r="H5722" s="11"/>
      <c r="I5722" s="12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  <c r="AA5722" s="3"/>
      <c r="AB5722" s="3"/>
      <c r="AC5722" s="3"/>
      <c r="AD5722" s="3"/>
      <c r="AE5722" s="3"/>
      <c r="AF5722" s="3"/>
      <c r="AG5722" s="3"/>
      <c r="AH5722" s="3"/>
    </row>
    <row r="5723" spans="1:34" ht="14.25" customHeight="1" x14ac:dyDescent="0.25">
      <c r="A5723" s="3"/>
      <c r="B5723" s="3"/>
      <c r="C5723" s="3"/>
      <c r="D5723" s="3"/>
      <c r="E5723" s="3"/>
      <c r="F5723" s="3"/>
      <c r="G5723" s="3"/>
      <c r="H5723" s="11"/>
      <c r="I5723" s="12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  <c r="AA5723" s="3"/>
      <c r="AB5723" s="3"/>
      <c r="AC5723" s="3"/>
      <c r="AD5723" s="3"/>
      <c r="AE5723" s="3"/>
      <c r="AF5723" s="3"/>
      <c r="AG5723" s="3"/>
      <c r="AH5723" s="3"/>
    </row>
    <row r="5724" spans="1:34" ht="14.25" customHeight="1" x14ac:dyDescent="0.25">
      <c r="A5724" s="3"/>
      <c r="B5724" s="3"/>
      <c r="C5724" s="3"/>
      <c r="D5724" s="3"/>
      <c r="E5724" s="3"/>
      <c r="F5724" s="3"/>
      <c r="G5724" s="3"/>
      <c r="H5724" s="11"/>
      <c r="I5724" s="12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  <c r="AA5724" s="3"/>
      <c r="AB5724" s="3"/>
      <c r="AC5724" s="3"/>
      <c r="AD5724" s="3"/>
      <c r="AE5724" s="3"/>
      <c r="AF5724" s="3"/>
      <c r="AG5724" s="3"/>
      <c r="AH5724" s="3"/>
    </row>
    <row r="5725" spans="1:34" ht="14.25" customHeight="1" x14ac:dyDescent="0.25">
      <c r="A5725" s="3"/>
      <c r="B5725" s="3"/>
      <c r="C5725" s="3"/>
      <c r="D5725" s="3"/>
      <c r="E5725" s="3"/>
      <c r="F5725" s="3"/>
      <c r="G5725" s="3"/>
      <c r="H5725" s="11"/>
      <c r="I5725" s="12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  <c r="AA5725" s="3"/>
      <c r="AB5725" s="3"/>
      <c r="AC5725" s="3"/>
      <c r="AD5725" s="3"/>
      <c r="AE5725" s="3"/>
      <c r="AF5725" s="3"/>
      <c r="AG5725" s="3"/>
      <c r="AH5725" s="3"/>
    </row>
    <row r="5726" spans="1:34" ht="14.25" customHeight="1" x14ac:dyDescent="0.25">
      <c r="A5726" s="3"/>
      <c r="B5726" s="3"/>
      <c r="C5726" s="3"/>
      <c r="D5726" s="3"/>
      <c r="E5726" s="3"/>
      <c r="F5726" s="3"/>
      <c r="G5726" s="3"/>
      <c r="H5726" s="11"/>
      <c r="I5726" s="12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  <c r="AA5726" s="3"/>
      <c r="AB5726" s="3"/>
      <c r="AC5726" s="3"/>
      <c r="AD5726" s="3"/>
      <c r="AE5726" s="3"/>
      <c r="AF5726" s="3"/>
      <c r="AG5726" s="3"/>
      <c r="AH5726" s="3"/>
    </row>
    <row r="5727" spans="1:34" ht="14.25" customHeight="1" x14ac:dyDescent="0.25">
      <c r="A5727" s="3"/>
      <c r="B5727" s="3"/>
      <c r="C5727" s="3"/>
      <c r="D5727" s="3"/>
      <c r="E5727" s="3"/>
      <c r="F5727" s="3"/>
      <c r="G5727" s="3"/>
      <c r="H5727" s="11"/>
      <c r="I5727" s="12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  <c r="AA5727" s="3"/>
      <c r="AB5727" s="3"/>
      <c r="AC5727" s="3"/>
      <c r="AD5727" s="3"/>
      <c r="AE5727" s="3"/>
      <c r="AF5727" s="3"/>
      <c r="AG5727" s="3"/>
      <c r="AH5727" s="3"/>
    </row>
    <row r="5728" spans="1:34" ht="14.25" customHeight="1" x14ac:dyDescent="0.25">
      <c r="A5728" s="3"/>
      <c r="B5728" s="3"/>
      <c r="C5728" s="3"/>
      <c r="D5728" s="3"/>
      <c r="E5728" s="3"/>
      <c r="F5728" s="3"/>
      <c r="G5728" s="3"/>
      <c r="H5728" s="11"/>
      <c r="I5728" s="12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  <c r="AA5728" s="3"/>
      <c r="AB5728" s="3"/>
      <c r="AC5728" s="3"/>
      <c r="AD5728" s="3"/>
      <c r="AE5728" s="3"/>
      <c r="AF5728" s="3"/>
      <c r="AG5728" s="3"/>
      <c r="AH5728" s="3"/>
    </row>
    <row r="5729" spans="1:34" ht="14.25" customHeight="1" x14ac:dyDescent="0.25">
      <c r="A5729" s="3"/>
      <c r="B5729" s="3"/>
      <c r="C5729" s="3"/>
      <c r="D5729" s="3"/>
      <c r="E5729" s="3"/>
      <c r="F5729" s="3"/>
      <c r="G5729" s="3"/>
      <c r="H5729" s="11"/>
      <c r="I5729" s="12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  <c r="AA5729" s="3"/>
      <c r="AB5729" s="3"/>
      <c r="AC5729" s="3"/>
      <c r="AD5729" s="3"/>
      <c r="AE5729" s="3"/>
      <c r="AF5729" s="3"/>
      <c r="AG5729" s="3"/>
      <c r="AH5729" s="3"/>
    </row>
    <row r="5730" spans="1:34" ht="14.25" customHeight="1" x14ac:dyDescent="0.25">
      <c r="A5730" s="3"/>
      <c r="B5730" s="3"/>
      <c r="C5730" s="3"/>
      <c r="D5730" s="3"/>
      <c r="E5730" s="3"/>
      <c r="F5730" s="3"/>
      <c r="G5730" s="3"/>
      <c r="H5730" s="11"/>
      <c r="I5730" s="12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  <c r="AA5730" s="3"/>
      <c r="AB5730" s="3"/>
      <c r="AC5730" s="3"/>
      <c r="AD5730" s="3"/>
      <c r="AE5730" s="3"/>
      <c r="AF5730" s="3"/>
      <c r="AG5730" s="3"/>
      <c r="AH5730" s="3"/>
    </row>
    <row r="5731" spans="1:34" ht="14.25" customHeight="1" x14ac:dyDescent="0.25">
      <c r="A5731" s="3"/>
      <c r="B5731" s="3"/>
      <c r="C5731" s="3"/>
      <c r="D5731" s="3"/>
      <c r="E5731" s="3"/>
      <c r="F5731" s="3"/>
      <c r="G5731" s="3"/>
      <c r="H5731" s="11"/>
      <c r="I5731" s="12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  <c r="AA5731" s="3"/>
      <c r="AB5731" s="3"/>
      <c r="AC5731" s="3"/>
      <c r="AD5731" s="3"/>
      <c r="AE5731" s="3"/>
      <c r="AF5731" s="3"/>
      <c r="AG5731" s="3"/>
      <c r="AH5731" s="3"/>
    </row>
    <row r="5732" spans="1:34" ht="14.25" customHeight="1" x14ac:dyDescent="0.25">
      <c r="A5732" s="3"/>
      <c r="B5732" s="3"/>
      <c r="C5732" s="3"/>
      <c r="D5732" s="3"/>
      <c r="E5732" s="3"/>
      <c r="F5732" s="3"/>
      <c r="G5732" s="3"/>
      <c r="H5732" s="11"/>
      <c r="I5732" s="12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  <c r="AA5732" s="3"/>
      <c r="AB5732" s="3"/>
      <c r="AC5732" s="3"/>
      <c r="AD5732" s="3"/>
      <c r="AE5732" s="3"/>
      <c r="AF5732" s="3"/>
      <c r="AG5732" s="3"/>
      <c r="AH5732" s="3"/>
    </row>
    <row r="5733" spans="1:34" ht="14.25" customHeight="1" x14ac:dyDescent="0.25">
      <c r="A5733" s="3"/>
      <c r="B5733" s="3"/>
      <c r="C5733" s="3"/>
      <c r="D5733" s="3"/>
      <c r="E5733" s="3"/>
      <c r="F5733" s="3"/>
      <c r="G5733" s="3"/>
      <c r="H5733" s="11"/>
      <c r="I5733" s="12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  <c r="AA5733" s="3"/>
      <c r="AB5733" s="3"/>
      <c r="AC5733" s="3"/>
      <c r="AD5733" s="3"/>
      <c r="AE5733" s="3"/>
      <c r="AF5733" s="3"/>
      <c r="AG5733" s="3"/>
      <c r="AH5733" s="3"/>
    </row>
    <row r="5734" spans="1:34" ht="14.25" customHeight="1" x14ac:dyDescent="0.25">
      <c r="A5734" s="3"/>
      <c r="B5734" s="3"/>
      <c r="C5734" s="3"/>
      <c r="D5734" s="3"/>
      <c r="E5734" s="3"/>
      <c r="F5734" s="3"/>
      <c r="G5734" s="3"/>
      <c r="H5734" s="11"/>
      <c r="I5734" s="12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  <c r="AA5734" s="3"/>
      <c r="AB5734" s="3"/>
      <c r="AC5734" s="3"/>
      <c r="AD5734" s="3"/>
      <c r="AE5734" s="3"/>
      <c r="AF5734" s="3"/>
      <c r="AG5734" s="3"/>
      <c r="AH5734" s="3"/>
    </row>
    <row r="5735" spans="1:34" ht="14.25" customHeight="1" x14ac:dyDescent="0.25">
      <c r="A5735" s="3"/>
      <c r="B5735" s="3"/>
      <c r="C5735" s="3"/>
      <c r="D5735" s="3"/>
      <c r="E5735" s="3"/>
      <c r="F5735" s="3"/>
      <c r="G5735" s="3"/>
      <c r="H5735" s="11"/>
      <c r="I5735" s="12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  <c r="AA5735" s="3"/>
      <c r="AB5735" s="3"/>
      <c r="AC5735" s="3"/>
      <c r="AD5735" s="3"/>
      <c r="AE5735" s="3"/>
      <c r="AF5735" s="3"/>
      <c r="AG5735" s="3"/>
      <c r="AH5735" s="3"/>
    </row>
    <row r="5736" spans="1:34" ht="14.25" customHeight="1" x14ac:dyDescent="0.25">
      <c r="A5736" s="3"/>
      <c r="B5736" s="3"/>
      <c r="C5736" s="3"/>
      <c r="D5736" s="3"/>
      <c r="E5736" s="3"/>
      <c r="F5736" s="3"/>
      <c r="G5736" s="3"/>
      <c r="H5736" s="11"/>
      <c r="I5736" s="12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  <c r="AA5736" s="3"/>
      <c r="AB5736" s="3"/>
      <c r="AC5736" s="3"/>
      <c r="AD5736" s="3"/>
      <c r="AE5736" s="3"/>
      <c r="AF5736" s="3"/>
      <c r="AG5736" s="3"/>
      <c r="AH5736" s="3"/>
    </row>
    <row r="5737" spans="1:34" ht="14.25" customHeight="1" x14ac:dyDescent="0.25">
      <c r="A5737" s="3"/>
      <c r="B5737" s="3"/>
      <c r="C5737" s="3"/>
      <c r="D5737" s="3"/>
      <c r="E5737" s="3"/>
      <c r="F5737" s="3"/>
      <c r="G5737" s="3"/>
      <c r="H5737" s="11"/>
      <c r="I5737" s="12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  <c r="AA5737" s="3"/>
      <c r="AB5737" s="3"/>
      <c r="AC5737" s="3"/>
      <c r="AD5737" s="3"/>
      <c r="AE5737" s="3"/>
      <c r="AF5737" s="3"/>
      <c r="AG5737" s="3"/>
      <c r="AH5737" s="3"/>
    </row>
    <row r="5738" spans="1:34" ht="14.25" customHeight="1" x14ac:dyDescent="0.25">
      <c r="A5738" s="3"/>
      <c r="B5738" s="3"/>
      <c r="C5738" s="3"/>
      <c r="D5738" s="3"/>
      <c r="E5738" s="3"/>
      <c r="F5738" s="3"/>
      <c r="G5738" s="3"/>
      <c r="H5738" s="11"/>
      <c r="I5738" s="12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  <c r="AA5738" s="3"/>
      <c r="AB5738" s="3"/>
      <c r="AC5738" s="3"/>
      <c r="AD5738" s="3"/>
      <c r="AE5738" s="3"/>
      <c r="AF5738" s="3"/>
      <c r="AG5738" s="3"/>
      <c r="AH5738" s="3"/>
    </row>
    <row r="5739" spans="1:34" ht="14.25" customHeight="1" x14ac:dyDescent="0.25">
      <c r="A5739" s="3"/>
      <c r="B5739" s="3"/>
      <c r="C5739" s="3"/>
      <c r="D5739" s="3"/>
      <c r="E5739" s="3"/>
      <c r="F5739" s="3"/>
      <c r="G5739" s="3"/>
      <c r="H5739" s="11"/>
      <c r="I5739" s="12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  <c r="AA5739" s="3"/>
      <c r="AB5739" s="3"/>
      <c r="AC5739" s="3"/>
      <c r="AD5739" s="3"/>
      <c r="AE5739" s="3"/>
      <c r="AF5739" s="3"/>
      <c r="AG5739" s="3"/>
      <c r="AH5739" s="3"/>
    </row>
    <row r="5740" spans="1:34" ht="14.25" customHeight="1" x14ac:dyDescent="0.25">
      <c r="A5740" s="3"/>
      <c r="B5740" s="3"/>
      <c r="C5740" s="3"/>
      <c r="D5740" s="3"/>
      <c r="E5740" s="3"/>
      <c r="F5740" s="3"/>
      <c r="G5740" s="3"/>
      <c r="H5740" s="11"/>
      <c r="I5740" s="12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  <c r="AA5740" s="3"/>
      <c r="AB5740" s="3"/>
      <c r="AC5740" s="3"/>
      <c r="AD5740" s="3"/>
      <c r="AE5740" s="3"/>
      <c r="AF5740" s="3"/>
      <c r="AG5740" s="3"/>
      <c r="AH5740" s="3"/>
    </row>
    <row r="5741" spans="1:34" ht="14.25" customHeight="1" x14ac:dyDescent="0.25">
      <c r="A5741" s="3"/>
      <c r="B5741" s="3"/>
      <c r="C5741" s="3"/>
      <c r="D5741" s="3"/>
      <c r="E5741" s="3"/>
      <c r="F5741" s="3"/>
      <c r="G5741" s="3"/>
      <c r="H5741" s="11"/>
      <c r="I5741" s="12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  <c r="AA5741" s="3"/>
      <c r="AB5741" s="3"/>
      <c r="AC5741" s="3"/>
      <c r="AD5741" s="3"/>
      <c r="AE5741" s="3"/>
      <c r="AF5741" s="3"/>
      <c r="AG5741" s="3"/>
      <c r="AH5741" s="3"/>
    </row>
    <row r="5742" spans="1:34" ht="14.25" customHeight="1" x14ac:dyDescent="0.25">
      <c r="A5742" s="3"/>
      <c r="B5742" s="3"/>
      <c r="C5742" s="3"/>
      <c r="D5742" s="3"/>
      <c r="E5742" s="3"/>
      <c r="F5742" s="3"/>
      <c r="G5742" s="3"/>
      <c r="H5742" s="11"/>
      <c r="I5742" s="12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  <c r="AA5742" s="3"/>
      <c r="AB5742" s="3"/>
      <c r="AC5742" s="3"/>
      <c r="AD5742" s="3"/>
      <c r="AE5742" s="3"/>
      <c r="AF5742" s="3"/>
      <c r="AG5742" s="3"/>
      <c r="AH5742" s="3"/>
    </row>
    <row r="5743" spans="1:34" ht="14.25" customHeight="1" x14ac:dyDescent="0.25">
      <c r="A5743" s="3"/>
      <c r="B5743" s="3"/>
      <c r="C5743" s="3"/>
      <c r="D5743" s="3"/>
      <c r="E5743" s="3"/>
      <c r="F5743" s="3"/>
      <c r="G5743" s="3"/>
      <c r="H5743" s="11"/>
      <c r="I5743" s="12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  <c r="AA5743" s="3"/>
      <c r="AB5743" s="3"/>
      <c r="AC5743" s="3"/>
      <c r="AD5743" s="3"/>
      <c r="AE5743" s="3"/>
      <c r="AF5743" s="3"/>
      <c r="AG5743" s="3"/>
      <c r="AH5743" s="3"/>
    </row>
    <row r="5744" spans="1:34" ht="14.25" customHeight="1" x14ac:dyDescent="0.25">
      <c r="A5744" s="3"/>
      <c r="B5744" s="3"/>
      <c r="C5744" s="3"/>
      <c r="D5744" s="3"/>
      <c r="E5744" s="3"/>
      <c r="F5744" s="3"/>
      <c r="G5744" s="3"/>
      <c r="H5744" s="11"/>
      <c r="I5744" s="12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  <c r="AA5744" s="3"/>
      <c r="AB5744" s="3"/>
      <c r="AC5744" s="3"/>
      <c r="AD5744" s="3"/>
      <c r="AE5744" s="3"/>
      <c r="AF5744" s="3"/>
      <c r="AG5744" s="3"/>
      <c r="AH5744" s="3"/>
    </row>
    <row r="5745" spans="1:34" ht="14.25" customHeight="1" x14ac:dyDescent="0.25">
      <c r="A5745" s="3"/>
      <c r="B5745" s="3"/>
      <c r="C5745" s="3"/>
      <c r="D5745" s="3"/>
      <c r="E5745" s="3"/>
      <c r="F5745" s="3"/>
      <c r="G5745" s="3"/>
      <c r="H5745" s="11"/>
      <c r="I5745" s="12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  <c r="AA5745" s="3"/>
      <c r="AB5745" s="3"/>
      <c r="AC5745" s="3"/>
      <c r="AD5745" s="3"/>
      <c r="AE5745" s="3"/>
      <c r="AF5745" s="3"/>
      <c r="AG5745" s="3"/>
      <c r="AH5745" s="3"/>
    </row>
    <row r="5746" spans="1:34" ht="14.25" customHeight="1" x14ac:dyDescent="0.25">
      <c r="A5746" s="3"/>
      <c r="B5746" s="3"/>
      <c r="C5746" s="3"/>
      <c r="D5746" s="3"/>
      <c r="E5746" s="3"/>
      <c r="F5746" s="3"/>
      <c r="G5746" s="3"/>
      <c r="H5746" s="11"/>
      <c r="I5746" s="12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  <c r="AA5746" s="3"/>
      <c r="AB5746" s="3"/>
      <c r="AC5746" s="3"/>
      <c r="AD5746" s="3"/>
      <c r="AE5746" s="3"/>
      <c r="AF5746" s="3"/>
      <c r="AG5746" s="3"/>
      <c r="AH5746" s="3"/>
    </row>
    <row r="5747" spans="1:34" ht="14.25" customHeight="1" x14ac:dyDescent="0.25">
      <c r="A5747" s="3"/>
      <c r="B5747" s="3"/>
      <c r="C5747" s="3"/>
      <c r="D5747" s="3"/>
      <c r="E5747" s="3"/>
      <c r="F5747" s="3"/>
      <c r="G5747" s="3"/>
      <c r="H5747" s="11"/>
      <c r="I5747" s="12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  <c r="AA5747" s="3"/>
      <c r="AB5747" s="3"/>
      <c r="AC5747" s="3"/>
      <c r="AD5747" s="3"/>
      <c r="AE5747" s="3"/>
      <c r="AF5747" s="3"/>
      <c r="AG5747" s="3"/>
      <c r="AH5747" s="3"/>
    </row>
    <row r="5748" spans="1:34" ht="14.25" customHeight="1" x14ac:dyDescent="0.25">
      <c r="A5748" s="3"/>
      <c r="B5748" s="3"/>
      <c r="C5748" s="3"/>
      <c r="D5748" s="3"/>
      <c r="E5748" s="3"/>
      <c r="F5748" s="3"/>
      <c r="G5748" s="3"/>
      <c r="H5748" s="11"/>
      <c r="I5748" s="12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  <c r="AA5748" s="3"/>
      <c r="AB5748" s="3"/>
      <c r="AC5748" s="3"/>
      <c r="AD5748" s="3"/>
      <c r="AE5748" s="3"/>
      <c r="AF5748" s="3"/>
      <c r="AG5748" s="3"/>
      <c r="AH5748" s="3"/>
    </row>
    <row r="5749" spans="1:34" ht="14.25" customHeight="1" x14ac:dyDescent="0.25">
      <c r="A5749" s="3"/>
      <c r="B5749" s="3"/>
      <c r="C5749" s="3"/>
      <c r="D5749" s="3"/>
      <c r="E5749" s="3"/>
      <c r="F5749" s="3"/>
      <c r="G5749" s="3"/>
      <c r="H5749" s="11"/>
      <c r="I5749" s="12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  <c r="AA5749" s="3"/>
      <c r="AB5749" s="3"/>
      <c r="AC5749" s="3"/>
      <c r="AD5749" s="3"/>
      <c r="AE5749" s="3"/>
      <c r="AF5749" s="3"/>
      <c r="AG5749" s="3"/>
      <c r="AH5749" s="3"/>
    </row>
    <row r="5750" spans="1:34" ht="14.25" customHeight="1" x14ac:dyDescent="0.25">
      <c r="A5750" s="3"/>
      <c r="B5750" s="3"/>
      <c r="C5750" s="3"/>
      <c r="D5750" s="3"/>
      <c r="E5750" s="3"/>
      <c r="F5750" s="3"/>
      <c r="G5750" s="3"/>
      <c r="H5750" s="11"/>
      <c r="I5750" s="12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  <c r="AA5750" s="3"/>
      <c r="AB5750" s="3"/>
      <c r="AC5750" s="3"/>
      <c r="AD5750" s="3"/>
      <c r="AE5750" s="3"/>
      <c r="AF5750" s="3"/>
      <c r="AG5750" s="3"/>
      <c r="AH5750" s="3"/>
    </row>
    <row r="5751" spans="1:34" ht="14.25" customHeight="1" x14ac:dyDescent="0.25">
      <c r="A5751" s="3"/>
      <c r="B5751" s="3"/>
      <c r="C5751" s="3"/>
      <c r="D5751" s="3"/>
      <c r="E5751" s="3"/>
      <c r="F5751" s="3"/>
      <c r="G5751" s="3"/>
      <c r="H5751" s="11"/>
      <c r="I5751" s="12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  <c r="AA5751" s="3"/>
      <c r="AB5751" s="3"/>
      <c r="AC5751" s="3"/>
      <c r="AD5751" s="3"/>
      <c r="AE5751" s="3"/>
      <c r="AF5751" s="3"/>
      <c r="AG5751" s="3"/>
      <c r="AH5751" s="3"/>
    </row>
    <row r="5752" spans="1:34" ht="14.25" customHeight="1" x14ac:dyDescent="0.25">
      <c r="A5752" s="3"/>
      <c r="B5752" s="3"/>
      <c r="C5752" s="3"/>
      <c r="D5752" s="3"/>
      <c r="E5752" s="3"/>
      <c r="F5752" s="3"/>
      <c r="G5752" s="3"/>
      <c r="H5752" s="11"/>
      <c r="I5752" s="12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  <c r="AA5752" s="3"/>
      <c r="AB5752" s="3"/>
      <c r="AC5752" s="3"/>
      <c r="AD5752" s="3"/>
      <c r="AE5752" s="3"/>
      <c r="AF5752" s="3"/>
      <c r="AG5752" s="3"/>
      <c r="AH5752" s="3"/>
    </row>
    <row r="5753" spans="1:34" ht="14.25" customHeight="1" x14ac:dyDescent="0.25">
      <c r="A5753" s="3"/>
      <c r="B5753" s="3"/>
      <c r="C5753" s="3"/>
      <c r="D5753" s="3"/>
      <c r="E5753" s="3"/>
      <c r="F5753" s="3"/>
      <c r="G5753" s="3"/>
      <c r="H5753" s="11"/>
      <c r="I5753" s="12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  <c r="AA5753" s="3"/>
      <c r="AB5753" s="3"/>
      <c r="AC5753" s="3"/>
      <c r="AD5753" s="3"/>
      <c r="AE5753" s="3"/>
      <c r="AF5753" s="3"/>
      <c r="AG5753" s="3"/>
      <c r="AH5753" s="3"/>
    </row>
    <row r="5754" spans="1:34" ht="14.25" customHeight="1" x14ac:dyDescent="0.25">
      <c r="A5754" s="3"/>
      <c r="B5754" s="3"/>
      <c r="C5754" s="3"/>
      <c r="D5754" s="3"/>
      <c r="E5754" s="3"/>
      <c r="F5754" s="3"/>
      <c r="G5754" s="3"/>
      <c r="H5754" s="11"/>
      <c r="I5754" s="12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  <c r="AA5754" s="3"/>
      <c r="AB5754" s="3"/>
      <c r="AC5754" s="3"/>
      <c r="AD5754" s="3"/>
      <c r="AE5754" s="3"/>
      <c r="AF5754" s="3"/>
      <c r="AG5754" s="3"/>
      <c r="AH5754" s="3"/>
    </row>
    <row r="5755" spans="1:34" ht="14.25" customHeight="1" x14ac:dyDescent="0.25">
      <c r="A5755" s="3"/>
      <c r="B5755" s="3"/>
      <c r="C5755" s="3"/>
      <c r="D5755" s="3"/>
      <c r="E5755" s="3"/>
      <c r="F5755" s="3"/>
      <c r="G5755" s="3"/>
      <c r="H5755" s="11"/>
      <c r="I5755" s="12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  <c r="AA5755" s="3"/>
      <c r="AB5755" s="3"/>
      <c r="AC5755" s="3"/>
      <c r="AD5755" s="3"/>
      <c r="AE5755" s="3"/>
      <c r="AF5755" s="3"/>
      <c r="AG5755" s="3"/>
      <c r="AH5755" s="3"/>
    </row>
    <row r="5756" spans="1:34" ht="14.25" customHeight="1" x14ac:dyDescent="0.25">
      <c r="A5756" s="3"/>
      <c r="B5756" s="3"/>
      <c r="C5756" s="3"/>
      <c r="D5756" s="3"/>
      <c r="E5756" s="3"/>
      <c r="F5756" s="3"/>
      <c r="G5756" s="3"/>
      <c r="H5756" s="11"/>
      <c r="I5756" s="12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  <c r="AA5756" s="3"/>
      <c r="AB5756" s="3"/>
      <c r="AC5756" s="3"/>
      <c r="AD5756" s="3"/>
      <c r="AE5756" s="3"/>
      <c r="AF5756" s="3"/>
      <c r="AG5756" s="3"/>
      <c r="AH5756" s="3"/>
    </row>
    <row r="5757" spans="1:34" ht="14.25" customHeight="1" x14ac:dyDescent="0.25">
      <c r="A5757" s="3"/>
      <c r="B5757" s="3"/>
      <c r="C5757" s="3"/>
      <c r="D5757" s="3"/>
      <c r="E5757" s="3"/>
      <c r="F5757" s="3"/>
      <c r="G5757" s="3"/>
      <c r="H5757" s="11"/>
      <c r="I5757" s="12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  <c r="AA5757" s="3"/>
      <c r="AB5757" s="3"/>
      <c r="AC5757" s="3"/>
      <c r="AD5757" s="3"/>
      <c r="AE5757" s="3"/>
      <c r="AF5757" s="3"/>
      <c r="AG5757" s="3"/>
      <c r="AH5757" s="3"/>
    </row>
    <row r="5758" spans="1:34" ht="14.25" customHeight="1" x14ac:dyDescent="0.25">
      <c r="A5758" s="3"/>
      <c r="B5758" s="3"/>
      <c r="C5758" s="3"/>
      <c r="D5758" s="3"/>
      <c r="E5758" s="3"/>
      <c r="F5758" s="3"/>
      <c r="G5758" s="3"/>
      <c r="H5758" s="11"/>
      <c r="I5758" s="12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  <c r="AA5758" s="3"/>
      <c r="AB5758" s="3"/>
      <c r="AC5758" s="3"/>
      <c r="AD5758" s="3"/>
      <c r="AE5758" s="3"/>
      <c r="AF5758" s="3"/>
      <c r="AG5758" s="3"/>
      <c r="AH5758" s="3"/>
    </row>
    <row r="5759" spans="1:34" ht="14.25" customHeight="1" x14ac:dyDescent="0.25">
      <c r="A5759" s="3"/>
      <c r="B5759" s="3"/>
      <c r="C5759" s="3"/>
      <c r="D5759" s="3"/>
      <c r="E5759" s="3"/>
      <c r="F5759" s="3"/>
      <c r="G5759" s="3"/>
      <c r="H5759" s="11"/>
      <c r="I5759" s="12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  <c r="AA5759" s="3"/>
      <c r="AB5759" s="3"/>
      <c r="AC5759" s="3"/>
      <c r="AD5759" s="3"/>
      <c r="AE5759" s="3"/>
      <c r="AF5759" s="3"/>
      <c r="AG5759" s="3"/>
      <c r="AH5759" s="3"/>
    </row>
    <row r="5760" spans="1:34" ht="14.25" customHeight="1" x14ac:dyDescent="0.25">
      <c r="A5760" s="3"/>
      <c r="B5760" s="3"/>
      <c r="C5760" s="3"/>
      <c r="D5760" s="3"/>
      <c r="E5760" s="3"/>
      <c r="F5760" s="3"/>
      <c r="G5760" s="3"/>
      <c r="H5760" s="11"/>
      <c r="I5760" s="12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  <c r="AA5760" s="3"/>
      <c r="AB5760" s="3"/>
      <c r="AC5760" s="3"/>
      <c r="AD5760" s="3"/>
      <c r="AE5760" s="3"/>
      <c r="AF5760" s="3"/>
      <c r="AG5760" s="3"/>
      <c r="AH5760" s="3"/>
    </row>
    <row r="5761" spans="1:34" ht="14.25" customHeight="1" x14ac:dyDescent="0.25">
      <c r="A5761" s="3"/>
      <c r="B5761" s="3"/>
      <c r="C5761" s="3"/>
      <c r="D5761" s="3"/>
      <c r="E5761" s="3"/>
      <c r="F5761" s="3"/>
      <c r="G5761" s="3"/>
      <c r="H5761" s="11"/>
      <c r="I5761" s="12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  <c r="AA5761" s="3"/>
      <c r="AB5761" s="3"/>
      <c r="AC5761" s="3"/>
      <c r="AD5761" s="3"/>
      <c r="AE5761" s="3"/>
      <c r="AF5761" s="3"/>
      <c r="AG5761" s="3"/>
      <c r="AH5761" s="3"/>
    </row>
    <row r="5762" spans="1:34" ht="14.25" customHeight="1" x14ac:dyDescent="0.25">
      <c r="A5762" s="3"/>
      <c r="B5762" s="3"/>
      <c r="C5762" s="3"/>
      <c r="D5762" s="3"/>
      <c r="E5762" s="3"/>
      <c r="F5762" s="3"/>
      <c r="G5762" s="14"/>
      <c r="H5762" s="11"/>
      <c r="I5762" s="12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  <c r="AA5762" s="3"/>
      <c r="AB5762" s="3"/>
      <c r="AC5762" s="3"/>
      <c r="AD5762" s="3"/>
      <c r="AE5762" s="3"/>
      <c r="AF5762" s="3"/>
      <c r="AG5762" s="3"/>
      <c r="AH5762" s="3"/>
    </row>
    <row r="5763" spans="1:34" ht="14.25" customHeight="1" x14ac:dyDescent="0.25">
      <c r="A5763" s="3"/>
      <c r="B5763" s="3"/>
      <c r="C5763" s="3"/>
      <c r="D5763" s="3"/>
      <c r="E5763" s="3"/>
      <c r="F5763" s="3"/>
      <c r="G5763" s="3"/>
      <c r="H5763" s="11"/>
      <c r="I5763" s="12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  <c r="AA5763" s="3"/>
      <c r="AB5763" s="3"/>
      <c r="AC5763" s="3"/>
      <c r="AD5763" s="3"/>
      <c r="AE5763" s="3"/>
      <c r="AF5763" s="3"/>
      <c r="AG5763" s="3"/>
      <c r="AH5763" s="3"/>
    </row>
    <row r="5764" spans="1:34" ht="14.25" customHeight="1" x14ac:dyDescent="0.25">
      <c r="A5764" s="3"/>
      <c r="B5764" s="3"/>
      <c r="C5764" s="3"/>
      <c r="D5764" s="3"/>
      <c r="E5764" s="3"/>
      <c r="F5764" s="3"/>
      <c r="G5764" s="3"/>
      <c r="H5764" s="11"/>
      <c r="I5764" s="12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  <c r="AA5764" s="3"/>
      <c r="AB5764" s="3"/>
      <c r="AC5764" s="3"/>
      <c r="AD5764" s="3"/>
      <c r="AE5764" s="3"/>
      <c r="AF5764" s="3"/>
      <c r="AG5764" s="3"/>
      <c r="AH5764" s="3"/>
    </row>
    <row r="5765" spans="1:34" ht="14.25" customHeight="1" x14ac:dyDescent="0.25">
      <c r="A5765" s="3"/>
      <c r="B5765" s="3"/>
      <c r="C5765" s="3"/>
      <c r="D5765" s="3"/>
      <c r="E5765" s="3"/>
      <c r="F5765" s="3"/>
      <c r="G5765" s="3"/>
      <c r="H5765" s="11"/>
      <c r="I5765" s="12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  <c r="AA5765" s="3"/>
      <c r="AB5765" s="3"/>
      <c r="AC5765" s="3"/>
      <c r="AD5765" s="3"/>
      <c r="AE5765" s="3"/>
      <c r="AF5765" s="3"/>
      <c r="AG5765" s="3"/>
      <c r="AH5765" s="3"/>
    </row>
    <row r="5766" spans="1:34" ht="14.25" customHeight="1" x14ac:dyDescent="0.25">
      <c r="A5766" s="3"/>
      <c r="B5766" s="3"/>
      <c r="C5766" s="3"/>
      <c r="D5766" s="3"/>
      <c r="E5766" s="3"/>
      <c r="F5766" s="3"/>
      <c r="G5766" s="3"/>
      <c r="H5766" s="11"/>
      <c r="I5766" s="12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  <c r="AA5766" s="3"/>
      <c r="AB5766" s="3"/>
      <c r="AC5766" s="3"/>
      <c r="AD5766" s="3"/>
      <c r="AE5766" s="3"/>
      <c r="AF5766" s="3"/>
      <c r="AG5766" s="3"/>
      <c r="AH5766" s="3"/>
    </row>
    <row r="5767" spans="1:34" ht="14.25" customHeight="1" x14ac:dyDescent="0.25">
      <c r="A5767" s="3"/>
      <c r="B5767" s="3"/>
      <c r="C5767" s="3"/>
      <c r="D5767" s="3"/>
      <c r="E5767" s="3"/>
      <c r="F5767" s="3"/>
      <c r="G5767" s="3"/>
      <c r="H5767" s="11"/>
      <c r="I5767" s="12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  <c r="AA5767" s="3"/>
      <c r="AB5767" s="3"/>
      <c r="AC5767" s="3"/>
      <c r="AD5767" s="3"/>
      <c r="AE5767" s="3"/>
      <c r="AF5767" s="3"/>
      <c r="AG5767" s="3"/>
      <c r="AH5767" s="3"/>
    </row>
    <row r="5768" spans="1:34" ht="14.25" customHeight="1" x14ac:dyDescent="0.25">
      <c r="A5768" s="3"/>
      <c r="B5768" s="3"/>
      <c r="C5768" s="3"/>
      <c r="D5768" s="3"/>
      <c r="E5768" s="3"/>
      <c r="F5768" s="3"/>
      <c r="G5768" s="3"/>
      <c r="H5768" s="11"/>
      <c r="I5768" s="12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  <c r="AA5768" s="3"/>
      <c r="AB5768" s="3"/>
      <c r="AC5768" s="3"/>
      <c r="AD5768" s="3"/>
      <c r="AE5768" s="3"/>
      <c r="AF5768" s="3"/>
      <c r="AG5768" s="3"/>
      <c r="AH5768" s="3"/>
    </row>
    <row r="5769" spans="1:34" ht="14.25" customHeight="1" x14ac:dyDescent="0.25">
      <c r="A5769" s="3"/>
      <c r="B5769" s="3"/>
      <c r="C5769" s="3"/>
      <c r="D5769" s="3"/>
      <c r="E5769" s="3"/>
      <c r="F5769" s="3"/>
      <c r="G5769" s="3"/>
      <c r="H5769" s="11"/>
      <c r="I5769" s="12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  <c r="AA5769" s="3"/>
      <c r="AB5769" s="3"/>
      <c r="AC5769" s="3"/>
      <c r="AD5769" s="3"/>
      <c r="AE5769" s="3"/>
      <c r="AF5769" s="3"/>
      <c r="AG5769" s="3"/>
      <c r="AH5769" s="3"/>
    </row>
    <row r="5770" spans="1:34" ht="14.25" customHeight="1" x14ac:dyDescent="0.25">
      <c r="A5770" s="3"/>
      <c r="B5770" s="3"/>
      <c r="C5770" s="3"/>
      <c r="D5770" s="3"/>
      <c r="E5770" s="3"/>
      <c r="F5770" s="3"/>
      <c r="G5770" s="3"/>
      <c r="H5770" s="11"/>
      <c r="I5770" s="12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  <c r="AA5770" s="3"/>
      <c r="AB5770" s="3"/>
      <c r="AC5770" s="3"/>
      <c r="AD5770" s="3"/>
      <c r="AE5770" s="3"/>
      <c r="AF5770" s="3"/>
      <c r="AG5770" s="3"/>
      <c r="AH5770" s="3"/>
    </row>
    <row r="5771" spans="1:34" ht="14.25" customHeight="1" x14ac:dyDescent="0.25">
      <c r="A5771" s="3"/>
      <c r="B5771" s="3"/>
      <c r="C5771" s="3"/>
      <c r="D5771" s="3"/>
      <c r="E5771" s="3"/>
      <c r="F5771" s="3"/>
      <c r="G5771" s="3"/>
      <c r="H5771" s="11"/>
      <c r="I5771" s="12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  <c r="AA5771" s="3"/>
      <c r="AB5771" s="3"/>
      <c r="AC5771" s="3"/>
      <c r="AD5771" s="3"/>
      <c r="AE5771" s="3"/>
      <c r="AF5771" s="3"/>
      <c r="AG5771" s="3"/>
      <c r="AH5771" s="3"/>
    </row>
    <row r="5772" spans="1:34" ht="14.25" customHeight="1" x14ac:dyDescent="0.25">
      <c r="A5772" s="3"/>
      <c r="B5772" s="3"/>
      <c r="C5772" s="3"/>
      <c r="D5772" s="3"/>
      <c r="E5772" s="3"/>
      <c r="F5772" s="3"/>
      <c r="G5772" s="3"/>
      <c r="H5772" s="11"/>
      <c r="I5772" s="12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  <c r="AA5772" s="3"/>
      <c r="AB5772" s="3"/>
      <c r="AC5772" s="3"/>
      <c r="AD5772" s="3"/>
      <c r="AE5772" s="3"/>
      <c r="AF5772" s="3"/>
      <c r="AG5772" s="3"/>
      <c r="AH5772" s="3"/>
    </row>
    <row r="5773" spans="1:34" ht="14.25" customHeight="1" x14ac:dyDescent="0.25">
      <c r="A5773" s="3"/>
      <c r="B5773" s="3"/>
      <c r="C5773" s="3"/>
      <c r="D5773" s="3"/>
      <c r="E5773" s="3"/>
      <c r="F5773" s="3"/>
      <c r="G5773" s="3"/>
      <c r="H5773" s="11"/>
      <c r="I5773" s="12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  <c r="AA5773" s="3"/>
      <c r="AB5773" s="3"/>
      <c r="AC5773" s="3"/>
      <c r="AD5773" s="3"/>
      <c r="AE5773" s="3"/>
      <c r="AF5773" s="3"/>
      <c r="AG5773" s="3"/>
      <c r="AH5773" s="3"/>
    </row>
    <row r="5774" spans="1:34" ht="14.25" customHeight="1" x14ac:dyDescent="0.25">
      <c r="A5774" s="3"/>
      <c r="B5774" s="3"/>
      <c r="C5774" s="3"/>
      <c r="D5774" s="3"/>
      <c r="E5774" s="3"/>
      <c r="F5774" s="3"/>
      <c r="G5774" s="3"/>
      <c r="H5774" s="11"/>
      <c r="I5774" s="12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  <c r="AA5774" s="3"/>
      <c r="AB5774" s="3"/>
      <c r="AC5774" s="3"/>
      <c r="AD5774" s="3"/>
      <c r="AE5774" s="3"/>
      <c r="AF5774" s="3"/>
      <c r="AG5774" s="3"/>
      <c r="AH5774" s="3"/>
    </row>
    <row r="5775" spans="1:34" ht="14.25" customHeight="1" x14ac:dyDescent="0.25">
      <c r="A5775" s="3"/>
      <c r="B5775" s="3"/>
      <c r="C5775" s="3"/>
      <c r="D5775" s="3"/>
      <c r="E5775" s="3"/>
      <c r="F5775" s="3"/>
      <c r="G5775" s="3"/>
      <c r="H5775" s="11"/>
      <c r="I5775" s="12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  <c r="AA5775" s="3"/>
      <c r="AB5775" s="3"/>
      <c r="AC5775" s="3"/>
      <c r="AD5775" s="3"/>
      <c r="AE5775" s="3"/>
      <c r="AF5775" s="3"/>
      <c r="AG5775" s="3"/>
      <c r="AH5775" s="3"/>
    </row>
    <row r="5776" spans="1:34" ht="14.25" customHeight="1" x14ac:dyDescent="0.25">
      <c r="A5776" s="3"/>
      <c r="B5776" s="3"/>
      <c r="C5776" s="3"/>
      <c r="D5776" s="3"/>
      <c r="E5776" s="3"/>
      <c r="F5776" s="3"/>
      <c r="G5776" s="3"/>
      <c r="H5776" s="11"/>
      <c r="I5776" s="12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  <c r="AA5776" s="3"/>
      <c r="AB5776" s="3"/>
      <c r="AC5776" s="3"/>
      <c r="AD5776" s="3"/>
      <c r="AE5776" s="3"/>
      <c r="AF5776" s="3"/>
      <c r="AG5776" s="3"/>
      <c r="AH5776" s="3"/>
    </row>
    <row r="5777" spans="1:34" ht="14.25" customHeight="1" x14ac:dyDescent="0.25">
      <c r="A5777" s="3"/>
      <c r="B5777" s="3"/>
      <c r="C5777" s="3"/>
      <c r="D5777" s="3"/>
      <c r="E5777" s="3"/>
      <c r="F5777" s="3"/>
      <c r="G5777" s="3"/>
      <c r="H5777" s="11"/>
      <c r="I5777" s="12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  <c r="AA5777" s="3"/>
      <c r="AB5777" s="3"/>
      <c r="AC5777" s="3"/>
      <c r="AD5777" s="3"/>
      <c r="AE5777" s="3"/>
      <c r="AF5777" s="3"/>
      <c r="AG5777" s="3"/>
      <c r="AH5777" s="3"/>
    </row>
    <row r="5778" spans="1:34" ht="14.25" customHeight="1" x14ac:dyDescent="0.25">
      <c r="A5778" s="3"/>
      <c r="B5778" s="3"/>
      <c r="C5778" s="3"/>
      <c r="D5778" s="3"/>
      <c r="E5778" s="3"/>
      <c r="F5778" s="3"/>
      <c r="G5778" s="3"/>
      <c r="H5778" s="11"/>
      <c r="I5778" s="12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  <c r="AA5778" s="3"/>
      <c r="AB5778" s="3"/>
      <c r="AC5778" s="3"/>
      <c r="AD5778" s="3"/>
      <c r="AE5778" s="3"/>
      <c r="AF5778" s="3"/>
      <c r="AG5778" s="3"/>
      <c r="AH5778" s="3"/>
    </row>
    <row r="5779" spans="1:34" ht="14.25" customHeight="1" x14ac:dyDescent="0.25">
      <c r="A5779" s="3"/>
      <c r="B5779" s="3"/>
      <c r="C5779" s="3"/>
      <c r="D5779" s="3"/>
      <c r="E5779" s="3"/>
      <c r="F5779" s="3"/>
      <c r="G5779" s="3"/>
      <c r="H5779" s="11"/>
      <c r="I5779" s="12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  <c r="AA5779" s="3"/>
      <c r="AB5779" s="3"/>
      <c r="AC5779" s="3"/>
      <c r="AD5779" s="3"/>
      <c r="AE5779" s="3"/>
      <c r="AF5779" s="3"/>
      <c r="AG5779" s="3"/>
      <c r="AH5779" s="3"/>
    </row>
    <row r="5780" spans="1:34" ht="14.25" customHeight="1" x14ac:dyDescent="0.25">
      <c r="A5780" s="3"/>
      <c r="B5780" s="3"/>
      <c r="C5780" s="3"/>
      <c r="D5780" s="3"/>
      <c r="E5780" s="3"/>
      <c r="F5780" s="3"/>
      <c r="G5780" s="3"/>
      <c r="H5780" s="11"/>
      <c r="I5780" s="12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  <c r="AA5780" s="3"/>
      <c r="AB5780" s="3"/>
      <c r="AC5780" s="3"/>
      <c r="AD5780" s="3"/>
      <c r="AE5780" s="3"/>
      <c r="AF5780" s="3"/>
      <c r="AG5780" s="3"/>
      <c r="AH5780" s="3"/>
    </row>
    <row r="5781" spans="1:34" ht="14.25" customHeight="1" x14ac:dyDescent="0.25">
      <c r="A5781" s="3"/>
      <c r="B5781" s="3"/>
      <c r="C5781" s="3"/>
      <c r="D5781" s="3"/>
      <c r="E5781" s="3"/>
      <c r="F5781" s="3"/>
      <c r="G5781" s="3"/>
      <c r="H5781" s="11"/>
      <c r="I5781" s="12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  <c r="AA5781" s="3"/>
      <c r="AB5781" s="3"/>
      <c r="AC5781" s="3"/>
      <c r="AD5781" s="3"/>
      <c r="AE5781" s="3"/>
      <c r="AF5781" s="3"/>
      <c r="AG5781" s="3"/>
      <c r="AH5781" s="3"/>
    </row>
    <row r="5782" spans="1:34" ht="14.25" customHeight="1" x14ac:dyDescent="0.25">
      <c r="A5782" s="3"/>
      <c r="B5782" s="3"/>
      <c r="C5782" s="3"/>
      <c r="D5782" s="3"/>
      <c r="E5782" s="3"/>
      <c r="F5782" s="3"/>
      <c r="G5782" s="3"/>
      <c r="H5782" s="11"/>
      <c r="I5782" s="12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  <c r="AA5782" s="3"/>
      <c r="AB5782" s="3"/>
      <c r="AC5782" s="3"/>
      <c r="AD5782" s="3"/>
      <c r="AE5782" s="3"/>
      <c r="AF5782" s="3"/>
      <c r="AG5782" s="3"/>
      <c r="AH5782" s="3"/>
    </row>
    <row r="5783" spans="1:34" ht="14.25" customHeight="1" x14ac:dyDescent="0.25">
      <c r="A5783" s="3"/>
      <c r="B5783" s="3"/>
      <c r="C5783" s="3"/>
      <c r="D5783" s="3"/>
      <c r="E5783" s="3"/>
      <c r="F5783" s="3"/>
      <c r="G5783" s="3"/>
      <c r="H5783" s="11"/>
      <c r="I5783" s="12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  <c r="AA5783" s="3"/>
      <c r="AB5783" s="3"/>
      <c r="AC5783" s="3"/>
      <c r="AD5783" s="3"/>
      <c r="AE5783" s="3"/>
      <c r="AF5783" s="3"/>
      <c r="AG5783" s="3"/>
      <c r="AH5783" s="3"/>
    </row>
    <row r="5784" spans="1:34" ht="14.25" customHeight="1" x14ac:dyDescent="0.25">
      <c r="A5784" s="3"/>
      <c r="B5784" s="3"/>
      <c r="C5784" s="3"/>
      <c r="D5784" s="3"/>
      <c r="E5784" s="3"/>
      <c r="F5784" s="3"/>
      <c r="G5784" s="3"/>
      <c r="H5784" s="11"/>
      <c r="I5784" s="12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  <c r="AA5784" s="3"/>
      <c r="AB5784" s="3"/>
      <c r="AC5784" s="3"/>
      <c r="AD5784" s="3"/>
      <c r="AE5784" s="3"/>
      <c r="AF5784" s="3"/>
      <c r="AG5784" s="3"/>
      <c r="AH5784" s="3"/>
    </row>
    <row r="5785" spans="1:34" ht="14.25" customHeight="1" x14ac:dyDescent="0.25">
      <c r="A5785" s="3"/>
      <c r="B5785" s="3"/>
      <c r="C5785" s="3"/>
      <c r="D5785" s="3"/>
      <c r="E5785" s="3"/>
      <c r="F5785" s="3"/>
      <c r="G5785" s="3"/>
      <c r="H5785" s="11"/>
      <c r="I5785" s="12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  <c r="AA5785" s="3"/>
      <c r="AB5785" s="3"/>
      <c r="AC5785" s="3"/>
      <c r="AD5785" s="3"/>
      <c r="AE5785" s="3"/>
      <c r="AF5785" s="3"/>
      <c r="AG5785" s="3"/>
      <c r="AH5785" s="3"/>
    </row>
    <row r="5786" spans="1:34" ht="14.25" customHeight="1" x14ac:dyDescent="0.25">
      <c r="A5786" s="3"/>
      <c r="B5786" s="3"/>
      <c r="C5786" s="3"/>
      <c r="D5786" s="3"/>
      <c r="E5786" s="3"/>
      <c r="F5786" s="3"/>
      <c r="G5786" s="3"/>
      <c r="H5786" s="11"/>
      <c r="I5786" s="12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  <c r="AA5786" s="3"/>
      <c r="AB5786" s="3"/>
      <c r="AC5786" s="3"/>
      <c r="AD5786" s="3"/>
      <c r="AE5786" s="3"/>
      <c r="AF5786" s="3"/>
      <c r="AG5786" s="3"/>
      <c r="AH5786" s="3"/>
    </row>
    <row r="5787" spans="1:34" ht="14.25" customHeight="1" x14ac:dyDescent="0.25">
      <c r="A5787" s="3"/>
      <c r="B5787" s="3"/>
      <c r="C5787" s="3"/>
      <c r="D5787" s="3"/>
      <c r="E5787" s="3"/>
      <c r="F5787" s="3"/>
      <c r="G5787" s="3"/>
      <c r="H5787" s="11"/>
      <c r="I5787" s="12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  <c r="AA5787" s="3"/>
      <c r="AB5787" s="3"/>
      <c r="AC5787" s="3"/>
      <c r="AD5787" s="3"/>
      <c r="AE5787" s="3"/>
      <c r="AF5787" s="3"/>
      <c r="AG5787" s="3"/>
      <c r="AH5787" s="3"/>
    </row>
    <row r="5788" spans="1:34" ht="14.25" customHeight="1" x14ac:dyDescent="0.25">
      <c r="A5788" s="3"/>
      <c r="B5788" s="3"/>
      <c r="C5788" s="3"/>
      <c r="D5788" s="3"/>
      <c r="E5788" s="3"/>
      <c r="F5788" s="3"/>
      <c r="G5788" s="3"/>
      <c r="H5788" s="11"/>
      <c r="I5788" s="12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  <c r="AA5788" s="3"/>
      <c r="AB5788" s="3"/>
      <c r="AC5788" s="3"/>
      <c r="AD5788" s="3"/>
      <c r="AE5788" s="3"/>
      <c r="AF5788" s="3"/>
      <c r="AG5788" s="3"/>
      <c r="AH5788" s="3"/>
    </row>
    <row r="5789" spans="1:34" ht="14.25" customHeight="1" x14ac:dyDescent="0.25">
      <c r="A5789" s="3"/>
      <c r="B5789" s="3"/>
      <c r="C5789" s="3"/>
      <c r="D5789" s="3"/>
      <c r="E5789" s="3"/>
      <c r="F5789" s="3"/>
      <c r="G5789" s="3"/>
      <c r="H5789" s="11"/>
      <c r="I5789" s="12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  <c r="AA5789" s="3"/>
      <c r="AB5789" s="3"/>
      <c r="AC5789" s="3"/>
      <c r="AD5789" s="3"/>
      <c r="AE5789" s="3"/>
      <c r="AF5789" s="3"/>
      <c r="AG5789" s="3"/>
      <c r="AH5789" s="3"/>
    </row>
    <row r="5790" spans="1:34" ht="14.25" customHeight="1" x14ac:dyDescent="0.25">
      <c r="A5790" s="3"/>
      <c r="B5790" s="3"/>
      <c r="C5790" s="3"/>
      <c r="D5790" s="3"/>
      <c r="E5790" s="3"/>
      <c r="F5790" s="3"/>
      <c r="G5790" s="3"/>
      <c r="H5790" s="11"/>
      <c r="I5790" s="12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  <c r="AA5790" s="3"/>
      <c r="AB5790" s="3"/>
      <c r="AC5790" s="3"/>
      <c r="AD5790" s="3"/>
      <c r="AE5790" s="3"/>
      <c r="AF5790" s="3"/>
      <c r="AG5790" s="3"/>
      <c r="AH5790" s="3"/>
    </row>
    <row r="5791" spans="1:34" ht="14.25" customHeight="1" x14ac:dyDescent="0.25">
      <c r="A5791" s="3"/>
      <c r="B5791" s="3"/>
      <c r="C5791" s="3"/>
      <c r="D5791" s="3"/>
      <c r="E5791" s="3"/>
      <c r="F5791" s="3"/>
      <c r="G5791" s="3"/>
      <c r="H5791" s="11"/>
      <c r="I5791" s="12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  <c r="AA5791" s="3"/>
      <c r="AB5791" s="3"/>
      <c r="AC5791" s="3"/>
      <c r="AD5791" s="3"/>
      <c r="AE5791" s="3"/>
      <c r="AF5791" s="3"/>
      <c r="AG5791" s="3"/>
      <c r="AH5791" s="3"/>
    </row>
    <row r="5792" spans="1:34" ht="14.25" customHeight="1" x14ac:dyDescent="0.25">
      <c r="A5792" s="3"/>
      <c r="B5792" s="3"/>
      <c r="C5792" s="3"/>
      <c r="D5792" s="3"/>
      <c r="E5792" s="3"/>
      <c r="F5792" s="3"/>
      <c r="G5792" s="3"/>
      <c r="H5792" s="11"/>
      <c r="I5792" s="12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  <c r="AA5792" s="3"/>
      <c r="AB5792" s="3"/>
      <c r="AC5792" s="3"/>
      <c r="AD5792" s="3"/>
      <c r="AE5792" s="3"/>
      <c r="AF5792" s="3"/>
      <c r="AG5792" s="3"/>
      <c r="AH5792" s="3"/>
    </row>
    <row r="5793" spans="1:34" ht="14.25" customHeight="1" x14ac:dyDescent="0.25">
      <c r="A5793" s="3"/>
      <c r="B5793" s="3"/>
      <c r="C5793" s="3"/>
      <c r="D5793" s="3"/>
      <c r="E5793" s="3"/>
      <c r="F5793" s="3"/>
      <c r="G5793" s="3"/>
      <c r="H5793" s="11"/>
      <c r="I5793" s="12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  <c r="AA5793" s="3"/>
      <c r="AB5793" s="3"/>
      <c r="AC5793" s="3"/>
      <c r="AD5793" s="3"/>
      <c r="AE5793" s="3"/>
      <c r="AF5793" s="3"/>
      <c r="AG5793" s="3"/>
      <c r="AH5793" s="3"/>
    </row>
    <row r="5794" spans="1:34" ht="14.25" customHeight="1" x14ac:dyDescent="0.25">
      <c r="A5794" s="3"/>
      <c r="B5794" s="3"/>
      <c r="C5794" s="3"/>
      <c r="D5794" s="3"/>
      <c r="E5794" s="3"/>
      <c r="F5794" s="3"/>
      <c r="G5794" s="3"/>
      <c r="H5794" s="11"/>
      <c r="I5794" s="12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  <c r="AA5794" s="3"/>
      <c r="AB5794" s="3"/>
      <c r="AC5794" s="3"/>
      <c r="AD5794" s="3"/>
      <c r="AE5794" s="3"/>
      <c r="AF5794" s="3"/>
      <c r="AG5794" s="3"/>
      <c r="AH5794" s="3"/>
    </row>
    <row r="5795" spans="1:34" ht="14.25" customHeight="1" x14ac:dyDescent="0.25">
      <c r="A5795" s="3"/>
      <c r="B5795" s="3"/>
      <c r="C5795" s="3"/>
      <c r="D5795" s="3"/>
      <c r="E5795" s="3"/>
      <c r="F5795" s="3"/>
      <c r="G5795" s="3"/>
      <c r="H5795" s="11"/>
      <c r="I5795" s="12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  <c r="AA5795" s="3"/>
      <c r="AB5795" s="3"/>
      <c r="AC5795" s="3"/>
      <c r="AD5795" s="3"/>
      <c r="AE5795" s="3"/>
      <c r="AF5795" s="3"/>
      <c r="AG5795" s="3"/>
      <c r="AH5795" s="3"/>
    </row>
    <row r="5796" spans="1:34" ht="14.25" customHeight="1" x14ac:dyDescent="0.25">
      <c r="A5796" s="3"/>
      <c r="B5796" s="3"/>
      <c r="C5796" s="3"/>
      <c r="D5796" s="3"/>
      <c r="E5796" s="3"/>
      <c r="F5796" s="3"/>
      <c r="G5796" s="3"/>
      <c r="H5796" s="11"/>
      <c r="I5796" s="12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  <c r="AA5796" s="3"/>
      <c r="AB5796" s="3"/>
      <c r="AC5796" s="3"/>
      <c r="AD5796" s="3"/>
      <c r="AE5796" s="3"/>
      <c r="AF5796" s="3"/>
      <c r="AG5796" s="3"/>
      <c r="AH5796" s="3"/>
    </row>
    <row r="5797" spans="1:34" ht="14.25" customHeight="1" x14ac:dyDescent="0.25">
      <c r="A5797" s="3"/>
      <c r="B5797" s="3"/>
      <c r="C5797" s="3"/>
      <c r="D5797" s="3"/>
      <c r="E5797" s="3"/>
      <c r="F5797" s="3"/>
      <c r="G5797" s="3"/>
      <c r="H5797" s="11"/>
      <c r="I5797" s="12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  <c r="AA5797" s="3"/>
      <c r="AB5797" s="3"/>
      <c r="AC5797" s="3"/>
      <c r="AD5797" s="3"/>
      <c r="AE5797" s="3"/>
      <c r="AF5797" s="3"/>
      <c r="AG5797" s="3"/>
      <c r="AH5797" s="3"/>
    </row>
    <row r="5798" spans="1:34" ht="14.25" customHeight="1" x14ac:dyDescent="0.25">
      <c r="A5798" s="3"/>
      <c r="B5798" s="3"/>
      <c r="C5798" s="3"/>
      <c r="D5798" s="3"/>
      <c r="E5798" s="3"/>
      <c r="F5798" s="3"/>
      <c r="G5798" s="3"/>
      <c r="H5798" s="11"/>
      <c r="I5798" s="12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  <c r="AA5798" s="3"/>
      <c r="AB5798" s="3"/>
      <c r="AC5798" s="3"/>
      <c r="AD5798" s="3"/>
      <c r="AE5798" s="3"/>
      <c r="AF5798" s="3"/>
      <c r="AG5798" s="3"/>
      <c r="AH5798" s="3"/>
    </row>
    <row r="5799" spans="1:34" ht="14.25" customHeight="1" x14ac:dyDescent="0.25">
      <c r="A5799" s="3"/>
      <c r="B5799" s="3"/>
      <c r="C5799" s="3"/>
      <c r="D5799" s="3"/>
      <c r="E5799" s="3"/>
      <c r="F5799" s="3"/>
      <c r="G5799" s="3"/>
      <c r="H5799" s="11"/>
      <c r="I5799" s="12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  <c r="AA5799" s="3"/>
      <c r="AB5799" s="3"/>
      <c r="AC5799" s="3"/>
      <c r="AD5799" s="3"/>
      <c r="AE5799" s="3"/>
      <c r="AF5799" s="3"/>
      <c r="AG5799" s="3"/>
      <c r="AH5799" s="3"/>
    </row>
    <row r="5800" spans="1:34" ht="14.25" customHeight="1" x14ac:dyDescent="0.25">
      <c r="A5800" s="3"/>
      <c r="B5800" s="3"/>
      <c r="C5800" s="3"/>
      <c r="D5800" s="3"/>
      <c r="E5800" s="3"/>
      <c r="F5800" s="3"/>
      <c r="G5800" s="3"/>
      <c r="H5800" s="11"/>
      <c r="I5800" s="12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  <c r="AA5800" s="3"/>
      <c r="AB5800" s="3"/>
      <c r="AC5800" s="3"/>
      <c r="AD5800" s="3"/>
      <c r="AE5800" s="3"/>
      <c r="AF5800" s="3"/>
      <c r="AG5800" s="3"/>
      <c r="AH5800" s="3"/>
    </row>
    <row r="5801" spans="1:34" ht="14.25" customHeight="1" x14ac:dyDescent="0.25">
      <c r="A5801" s="3"/>
      <c r="B5801" s="3"/>
      <c r="C5801" s="3"/>
      <c r="D5801" s="3"/>
      <c r="E5801" s="3"/>
      <c r="F5801" s="3"/>
      <c r="G5801" s="3"/>
      <c r="H5801" s="11"/>
      <c r="I5801" s="12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  <c r="AA5801" s="3"/>
      <c r="AB5801" s="3"/>
      <c r="AC5801" s="3"/>
      <c r="AD5801" s="3"/>
      <c r="AE5801" s="3"/>
      <c r="AF5801" s="3"/>
      <c r="AG5801" s="3"/>
      <c r="AH5801" s="3"/>
    </row>
    <row r="5802" spans="1:34" ht="14.25" customHeight="1" x14ac:dyDescent="0.25">
      <c r="A5802" s="3"/>
      <c r="B5802" s="3"/>
      <c r="C5802" s="3"/>
      <c r="D5802" s="3"/>
      <c r="E5802" s="3"/>
      <c r="F5802" s="3"/>
      <c r="G5802" s="3"/>
      <c r="H5802" s="11"/>
      <c r="I5802" s="12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  <c r="AA5802" s="3"/>
      <c r="AB5802" s="3"/>
      <c r="AC5802" s="3"/>
      <c r="AD5802" s="3"/>
      <c r="AE5802" s="3"/>
      <c r="AF5802" s="3"/>
      <c r="AG5802" s="3"/>
      <c r="AH5802" s="3"/>
    </row>
    <row r="5803" spans="1:34" ht="14.25" customHeight="1" x14ac:dyDescent="0.25">
      <c r="A5803" s="3"/>
      <c r="B5803" s="3"/>
      <c r="C5803" s="3"/>
      <c r="D5803" s="3"/>
      <c r="E5803" s="3"/>
      <c r="F5803" s="3"/>
      <c r="G5803" s="3"/>
      <c r="H5803" s="11"/>
      <c r="I5803" s="12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  <c r="AA5803" s="3"/>
      <c r="AB5803" s="3"/>
      <c r="AC5803" s="3"/>
      <c r="AD5803" s="3"/>
      <c r="AE5803" s="3"/>
      <c r="AF5803" s="3"/>
      <c r="AG5803" s="3"/>
      <c r="AH5803" s="3"/>
    </row>
    <row r="5804" spans="1:34" ht="14.25" customHeight="1" x14ac:dyDescent="0.25">
      <c r="A5804" s="3"/>
      <c r="B5804" s="3"/>
      <c r="C5804" s="3"/>
      <c r="D5804" s="3"/>
      <c r="E5804" s="3"/>
      <c r="F5804" s="3"/>
      <c r="G5804" s="3"/>
      <c r="H5804" s="11"/>
      <c r="I5804" s="12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  <c r="AA5804" s="3"/>
      <c r="AB5804" s="3"/>
      <c r="AC5804" s="3"/>
      <c r="AD5804" s="3"/>
      <c r="AE5804" s="3"/>
      <c r="AF5804" s="3"/>
      <c r="AG5804" s="3"/>
      <c r="AH5804" s="3"/>
    </row>
    <row r="5805" spans="1:34" ht="14.25" customHeight="1" x14ac:dyDescent="0.25">
      <c r="A5805" s="3"/>
      <c r="B5805" s="3"/>
      <c r="C5805" s="3"/>
      <c r="D5805" s="3"/>
      <c r="E5805" s="3"/>
      <c r="F5805" s="3"/>
      <c r="G5805" s="3"/>
      <c r="H5805" s="11"/>
      <c r="I5805" s="12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  <c r="AA5805" s="3"/>
      <c r="AB5805" s="3"/>
      <c r="AC5805" s="3"/>
      <c r="AD5805" s="3"/>
      <c r="AE5805" s="3"/>
      <c r="AF5805" s="3"/>
      <c r="AG5805" s="3"/>
      <c r="AH5805" s="3"/>
    </row>
    <row r="5806" spans="1:34" ht="14.25" customHeight="1" x14ac:dyDescent="0.25">
      <c r="A5806" s="3"/>
      <c r="B5806" s="3"/>
      <c r="C5806" s="3"/>
      <c r="D5806" s="3"/>
      <c r="E5806" s="3"/>
      <c r="F5806" s="3"/>
      <c r="G5806" s="3"/>
      <c r="H5806" s="11"/>
      <c r="I5806" s="12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  <c r="AA5806" s="3"/>
      <c r="AB5806" s="3"/>
      <c r="AC5806" s="3"/>
      <c r="AD5806" s="3"/>
      <c r="AE5806" s="3"/>
      <c r="AF5806" s="3"/>
      <c r="AG5806" s="3"/>
      <c r="AH5806" s="3"/>
    </row>
    <row r="5807" spans="1:34" ht="14.25" customHeight="1" x14ac:dyDescent="0.25">
      <c r="A5807" s="3"/>
      <c r="B5807" s="3"/>
      <c r="C5807" s="3"/>
      <c r="D5807" s="3"/>
      <c r="E5807" s="3"/>
      <c r="F5807" s="3"/>
      <c r="G5807" s="3"/>
      <c r="H5807" s="11"/>
      <c r="I5807" s="12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  <c r="AA5807" s="3"/>
      <c r="AB5807" s="3"/>
      <c r="AC5807" s="3"/>
      <c r="AD5807" s="3"/>
      <c r="AE5807" s="3"/>
      <c r="AF5807" s="3"/>
      <c r="AG5807" s="3"/>
      <c r="AH5807" s="3"/>
    </row>
    <row r="5808" spans="1:34" ht="14.25" customHeight="1" x14ac:dyDescent="0.25">
      <c r="A5808" s="3"/>
      <c r="B5808" s="3"/>
      <c r="C5808" s="3"/>
      <c r="D5808" s="3"/>
      <c r="E5808" s="3"/>
      <c r="F5808" s="3"/>
      <c r="G5808" s="3"/>
      <c r="H5808" s="11"/>
      <c r="I5808" s="12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  <c r="AA5808" s="3"/>
      <c r="AB5808" s="3"/>
      <c r="AC5808" s="3"/>
      <c r="AD5808" s="3"/>
      <c r="AE5808" s="3"/>
      <c r="AF5808" s="3"/>
      <c r="AG5808" s="3"/>
      <c r="AH5808" s="3"/>
    </row>
    <row r="5809" spans="1:34" ht="14.25" customHeight="1" x14ac:dyDescent="0.25">
      <c r="A5809" s="3"/>
      <c r="B5809" s="3"/>
      <c r="C5809" s="3"/>
      <c r="D5809" s="3"/>
      <c r="E5809" s="3"/>
      <c r="F5809" s="3"/>
      <c r="G5809" s="3"/>
      <c r="H5809" s="11"/>
      <c r="I5809" s="12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  <c r="AA5809" s="3"/>
      <c r="AB5809" s="3"/>
      <c r="AC5809" s="3"/>
      <c r="AD5809" s="3"/>
      <c r="AE5809" s="3"/>
      <c r="AF5809" s="3"/>
      <c r="AG5809" s="3"/>
      <c r="AH5809" s="3"/>
    </row>
    <row r="5810" spans="1:34" ht="14.25" customHeight="1" x14ac:dyDescent="0.25">
      <c r="A5810" s="3"/>
      <c r="B5810" s="3"/>
      <c r="C5810" s="3"/>
      <c r="D5810" s="3"/>
      <c r="E5810" s="3"/>
      <c r="F5810" s="3"/>
      <c r="G5810" s="14"/>
      <c r="H5810" s="11"/>
      <c r="I5810" s="12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  <c r="AA5810" s="3"/>
      <c r="AB5810" s="3"/>
      <c r="AC5810" s="3"/>
      <c r="AD5810" s="3"/>
      <c r="AE5810" s="3"/>
      <c r="AF5810" s="3"/>
      <c r="AG5810" s="3"/>
      <c r="AH5810" s="3"/>
    </row>
    <row r="5811" spans="1:34" ht="14.25" customHeight="1" x14ac:dyDescent="0.25">
      <c r="A5811" s="3"/>
      <c r="B5811" s="3"/>
      <c r="C5811" s="3"/>
      <c r="D5811" s="3"/>
      <c r="E5811" s="3"/>
      <c r="F5811" s="3"/>
      <c r="G5811" s="3"/>
      <c r="H5811" s="11"/>
      <c r="I5811" s="12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  <c r="AA5811" s="3"/>
      <c r="AB5811" s="3"/>
      <c r="AC5811" s="3"/>
      <c r="AD5811" s="3"/>
      <c r="AE5811" s="3"/>
      <c r="AF5811" s="3"/>
      <c r="AG5811" s="3"/>
      <c r="AH5811" s="3"/>
    </row>
    <row r="5812" spans="1:34" ht="14.25" customHeight="1" x14ac:dyDescent="0.25">
      <c r="A5812" s="3"/>
      <c r="B5812" s="3"/>
      <c r="C5812" s="3"/>
      <c r="D5812" s="3"/>
      <c r="E5812" s="3"/>
      <c r="F5812" s="3"/>
      <c r="G5812" s="3"/>
      <c r="H5812" s="11"/>
      <c r="I5812" s="12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  <c r="AA5812" s="3"/>
      <c r="AB5812" s="3"/>
      <c r="AC5812" s="3"/>
      <c r="AD5812" s="3"/>
      <c r="AE5812" s="3"/>
      <c r="AF5812" s="3"/>
      <c r="AG5812" s="3"/>
      <c r="AH5812" s="3"/>
    </row>
    <row r="5813" spans="1:34" ht="14.25" customHeight="1" x14ac:dyDescent="0.25">
      <c r="A5813" s="3"/>
      <c r="B5813" s="3"/>
      <c r="C5813" s="3"/>
      <c r="D5813" s="3"/>
      <c r="E5813" s="3"/>
      <c r="F5813" s="3"/>
      <c r="G5813" s="3"/>
      <c r="H5813" s="11"/>
      <c r="I5813" s="12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  <c r="AA5813" s="3"/>
      <c r="AB5813" s="3"/>
      <c r="AC5813" s="3"/>
      <c r="AD5813" s="3"/>
      <c r="AE5813" s="3"/>
      <c r="AF5813" s="3"/>
      <c r="AG5813" s="3"/>
      <c r="AH5813" s="3"/>
    </row>
    <row r="5814" spans="1:34" ht="14.25" customHeight="1" x14ac:dyDescent="0.25">
      <c r="A5814" s="3"/>
      <c r="B5814" s="3"/>
      <c r="C5814" s="3"/>
      <c r="D5814" s="3"/>
      <c r="E5814" s="3"/>
      <c r="F5814" s="3"/>
      <c r="G5814" s="3"/>
      <c r="H5814" s="11"/>
      <c r="I5814" s="12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  <c r="AA5814" s="3"/>
      <c r="AB5814" s="3"/>
      <c r="AC5814" s="3"/>
      <c r="AD5814" s="3"/>
      <c r="AE5814" s="3"/>
      <c r="AF5814" s="3"/>
      <c r="AG5814" s="3"/>
      <c r="AH5814" s="3"/>
    </row>
    <row r="5815" spans="1:34" ht="14.25" customHeight="1" x14ac:dyDescent="0.25">
      <c r="A5815" s="3"/>
      <c r="B5815" s="3"/>
      <c r="C5815" s="3"/>
      <c r="D5815" s="3"/>
      <c r="E5815" s="3"/>
      <c r="F5815" s="3"/>
      <c r="G5815" s="3"/>
      <c r="H5815" s="11"/>
      <c r="I5815" s="12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  <c r="AA5815" s="3"/>
      <c r="AB5815" s="3"/>
      <c r="AC5815" s="3"/>
      <c r="AD5815" s="3"/>
      <c r="AE5815" s="3"/>
      <c r="AF5815" s="3"/>
      <c r="AG5815" s="3"/>
      <c r="AH5815" s="3"/>
    </row>
    <row r="5816" spans="1:34" ht="14.25" customHeight="1" x14ac:dyDescent="0.25">
      <c r="A5816" s="3"/>
      <c r="B5816" s="3"/>
      <c r="C5816" s="3"/>
      <c r="D5816" s="3"/>
      <c r="E5816" s="3"/>
      <c r="F5816" s="3"/>
      <c r="G5816" s="3"/>
      <c r="H5816" s="11"/>
      <c r="I5816" s="12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  <c r="AA5816" s="3"/>
      <c r="AB5816" s="3"/>
      <c r="AC5816" s="3"/>
      <c r="AD5816" s="3"/>
      <c r="AE5816" s="3"/>
      <c r="AF5816" s="3"/>
      <c r="AG5816" s="3"/>
      <c r="AH5816" s="3"/>
    </row>
    <row r="5817" spans="1:34" ht="14.25" customHeight="1" x14ac:dyDescent="0.25">
      <c r="A5817" s="3"/>
      <c r="B5817" s="3"/>
      <c r="C5817" s="3"/>
      <c r="D5817" s="3"/>
      <c r="E5817" s="3"/>
      <c r="F5817" s="3"/>
      <c r="G5817" s="3"/>
      <c r="H5817" s="11"/>
      <c r="I5817" s="12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  <c r="AA5817" s="3"/>
      <c r="AB5817" s="3"/>
      <c r="AC5817" s="3"/>
      <c r="AD5817" s="3"/>
      <c r="AE5817" s="3"/>
      <c r="AF5817" s="3"/>
      <c r="AG5817" s="3"/>
      <c r="AH5817" s="3"/>
    </row>
    <row r="5818" spans="1:34" ht="14.25" customHeight="1" x14ac:dyDescent="0.25">
      <c r="A5818" s="3"/>
      <c r="B5818" s="3"/>
      <c r="C5818" s="3"/>
      <c r="D5818" s="3"/>
      <c r="E5818" s="3"/>
      <c r="F5818" s="3"/>
      <c r="G5818" s="3"/>
      <c r="H5818" s="11"/>
      <c r="I5818" s="12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  <c r="AA5818" s="3"/>
      <c r="AB5818" s="3"/>
      <c r="AC5818" s="3"/>
      <c r="AD5818" s="3"/>
      <c r="AE5818" s="3"/>
      <c r="AF5818" s="3"/>
      <c r="AG5818" s="3"/>
      <c r="AH5818" s="3"/>
    </row>
    <row r="5819" spans="1:34" ht="14.25" customHeight="1" x14ac:dyDescent="0.25">
      <c r="A5819" s="3"/>
      <c r="B5819" s="3"/>
      <c r="C5819" s="3"/>
      <c r="D5819" s="3"/>
      <c r="E5819" s="3"/>
      <c r="F5819" s="3"/>
      <c r="G5819" s="3"/>
      <c r="H5819" s="11"/>
      <c r="I5819" s="12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  <c r="AA5819" s="3"/>
      <c r="AB5819" s="3"/>
      <c r="AC5819" s="3"/>
      <c r="AD5819" s="3"/>
      <c r="AE5819" s="3"/>
      <c r="AF5819" s="3"/>
      <c r="AG5819" s="3"/>
      <c r="AH5819" s="3"/>
    </row>
    <row r="5820" spans="1:34" ht="14.25" customHeight="1" x14ac:dyDescent="0.25">
      <c r="A5820" s="3"/>
      <c r="B5820" s="3"/>
      <c r="C5820" s="3"/>
      <c r="D5820" s="3"/>
      <c r="E5820" s="3"/>
      <c r="F5820" s="3"/>
      <c r="G5820" s="3"/>
      <c r="H5820" s="11"/>
      <c r="I5820" s="12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  <c r="AA5820" s="3"/>
      <c r="AB5820" s="3"/>
      <c r="AC5820" s="3"/>
      <c r="AD5820" s="3"/>
      <c r="AE5820" s="3"/>
      <c r="AF5820" s="3"/>
      <c r="AG5820" s="3"/>
      <c r="AH5820" s="3"/>
    </row>
    <row r="5821" spans="1:34" ht="14.25" customHeight="1" x14ac:dyDescent="0.25">
      <c r="A5821" s="3"/>
      <c r="B5821" s="3"/>
      <c r="C5821" s="3"/>
      <c r="D5821" s="3"/>
      <c r="E5821" s="3"/>
      <c r="F5821" s="3"/>
      <c r="G5821" s="3"/>
      <c r="H5821" s="11"/>
      <c r="I5821" s="12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  <c r="AA5821" s="3"/>
      <c r="AB5821" s="3"/>
      <c r="AC5821" s="3"/>
      <c r="AD5821" s="3"/>
      <c r="AE5821" s="3"/>
      <c r="AF5821" s="3"/>
      <c r="AG5821" s="3"/>
      <c r="AH5821" s="3"/>
    </row>
    <row r="5822" spans="1:34" ht="14.25" customHeight="1" x14ac:dyDescent="0.25">
      <c r="A5822" s="3"/>
      <c r="B5822" s="3"/>
      <c r="C5822" s="3"/>
      <c r="D5822" s="3"/>
      <c r="E5822" s="3"/>
      <c r="F5822" s="3"/>
      <c r="G5822" s="3"/>
      <c r="H5822" s="11"/>
      <c r="I5822" s="12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  <c r="AA5822" s="3"/>
      <c r="AB5822" s="3"/>
      <c r="AC5822" s="3"/>
      <c r="AD5822" s="3"/>
      <c r="AE5822" s="3"/>
      <c r="AF5822" s="3"/>
      <c r="AG5822" s="3"/>
      <c r="AH5822" s="3"/>
    </row>
    <row r="5823" spans="1:34" ht="14.25" customHeight="1" x14ac:dyDescent="0.25">
      <c r="A5823" s="3"/>
      <c r="B5823" s="3"/>
      <c r="C5823" s="3"/>
      <c r="D5823" s="3"/>
      <c r="E5823" s="3"/>
      <c r="F5823" s="3"/>
      <c r="G5823" s="3"/>
      <c r="H5823" s="11"/>
      <c r="I5823" s="12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  <c r="AA5823" s="3"/>
      <c r="AB5823" s="3"/>
      <c r="AC5823" s="3"/>
      <c r="AD5823" s="3"/>
      <c r="AE5823" s="3"/>
      <c r="AF5823" s="3"/>
      <c r="AG5823" s="3"/>
      <c r="AH5823" s="3"/>
    </row>
    <row r="5824" spans="1:34" ht="14.25" customHeight="1" x14ac:dyDescent="0.25">
      <c r="A5824" s="3"/>
      <c r="B5824" s="3"/>
      <c r="C5824" s="3"/>
      <c r="D5824" s="3"/>
      <c r="E5824" s="3"/>
      <c r="F5824" s="3"/>
      <c r="G5824" s="3"/>
      <c r="H5824" s="11"/>
      <c r="I5824" s="12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  <c r="AA5824" s="3"/>
      <c r="AB5824" s="3"/>
      <c r="AC5824" s="3"/>
      <c r="AD5824" s="3"/>
      <c r="AE5824" s="3"/>
      <c r="AF5824" s="3"/>
      <c r="AG5824" s="3"/>
      <c r="AH5824" s="3"/>
    </row>
    <row r="5825" spans="1:34" ht="14.25" customHeight="1" x14ac:dyDescent="0.25">
      <c r="A5825" s="3"/>
      <c r="B5825" s="3"/>
      <c r="C5825" s="3"/>
      <c r="D5825" s="3"/>
      <c r="E5825" s="3"/>
      <c r="F5825" s="3"/>
      <c r="G5825" s="3"/>
      <c r="H5825" s="11"/>
      <c r="I5825" s="12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  <c r="AA5825" s="3"/>
      <c r="AB5825" s="3"/>
      <c r="AC5825" s="3"/>
      <c r="AD5825" s="3"/>
      <c r="AE5825" s="3"/>
      <c r="AF5825" s="3"/>
      <c r="AG5825" s="3"/>
      <c r="AH5825" s="3"/>
    </row>
    <row r="5826" spans="1:34" ht="14.25" customHeight="1" x14ac:dyDescent="0.25">
      <c r="A5826" s="3"/>
      <c r="B5826" s="3"/>
      <c r="C5826" s="3"/>
      <c r="D5826" s="3"/>
      <c r="E5826" s="3"/>
      <c r="F5826" s="3"/>
      <c r="G5826" s="3"/>
      <c r="H5826" s="11"/>
      <c r="I5826" s="12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  <c r="AA5826" s="3"/>
      <c r="AB5826" s="3"/>
      <c r="AC5826" s="3"/>
      <c r="AD5826" s="3"/>
      <c r="AE5826" s="3"/>
      <c r="AF5826" s="3"/>
      <c r="AG5826" s="3"/>
      <c r="AH5826" s="3"/>
    </row>
    <row r="5827" spans="1:34" ht="14.25" customHeight="1" x14ac:dyDescent="0.25">
      <c r="A5827" s="3"/>
      <c r="B5827" s="3"/>
      <c r="C5827" s="3"/>
      <c r="D5827" s="3"/>
      <c r="E5827" s="3"/>
      <c r="F5827" s="3"/>
      <c r="G5827" s="3"/>
      <c r="H5827" s="11"/>
      <c r="I5827" s="12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  <c r="AA5827" s="3"/>
      <c r="AB5827" s="3"/>
      <c r="AC5827" s="3"/>
      <c r="AD5827" s="3"/>
      <c r="AE5827" s="3"/>
      <c r="AF5827" s="3"/>
      <c r="AG5827" s="3"/>
      <c r="AH5827" s="3"/>
    </row>
    <row r="5828" spans="1:34" ht="14.25" customHeight="1" x14ac:dyDescent="0.25">
      <c r="A5828" s="3"/>
      <c r="B5828" s="3"/>
      <c r="C5828" s="3"/>
      <c r="D5828" s="3"/>
      <c r="E5828" s="3"/>
      <c r="F5828" s="3"/>
      <c r="G5828" s="3"/>
      <c r="H5828" s="11"/>
      <c r="I5828" s="12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  <c r="AA5828" s="3"/>
      <c r="AB5828" s="3"/>
      <c r="AC5828" s="3"/>
      <c r="AD5828" s="3"/>
      <c r="AE5828" s="3"/>
      <c r="AF5828" s="3"/>
      <c r="AG5828" s="3"/>
      <c r="AH5828" s="3"/>
    </row>
    <row r="5829" spans="1:34" ht="14.25" customHeight="1" x14ac:dyDescent="0.25">
      <c r="A5829" s="3"/>
      <c r="B5829" s="3"/>
      <c r="C5829" s="3"/>
      <c r="D5829" s="3"/>
      <c r="E5829" s="3"/>
      <c r="F5829" s="3"/>
      <c r="G5829" s="3"/>
      <c r="H5829" s="11"/>
      <c r="I5829" s="12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  <c r="AA5829" s="3"/>
      <c r="AB5829" s="3"/>
      <c r="AC5829" s="3"/>
      <c r="AD5829" s="3"/>
      <c r="AE5829" s="3"/>
      <c r="AF5829" s="3"/>
      <c r="AG5829" s="3"/>
      <c r="AH5829" s="3"/>
    </row>
    <row r="5830" spans="1:34" ht="14.25" customHeight="1" x14ac:dyDescent="0.25">
      <c r="A5830" s="3"/>
      <c r="B5830" s="3"/>
      <c r="C5830" s="3"/>
      <c r="D5830" s="3"/>
      <c r="E5830" s="3"/>
      <c r="F5830" s="3"/>
      <c r="G5830" s="3"/>
      <c r="H5830" s="11"/>
      <c r="I5830" s="12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  <c r="AA5830" s="3"/>
      <c r="AB5830" s="3"/>
      <c r="AC5830" s="3"/>
      <c r="AD5830" s="3"/>
      <c r="AE5830" s="3"/>
      <c r="AF5830" s="3"/>
      <c r="AG5830" s="3"/>
      <c r="AH5830" s="3"/>
    </row>
    <row r="5831" spans="1:34" ht="14.25" customHeight="1" x14ac:dyDescent="0.25">
      <c r="A5831" s="3"/>
      <c r="B5831" s="3"/>
      <c r="C5831" s="3"/>
      <c r="D5831" s="3"/>
      <c r="E5831" s="3"/>
      <c r="F5831" s="3"/>
      <c r="G5831" s="3"/>
      <c r="H5831" s="11"/>
      <c r="I5831" s="12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  <c r="AA5831" s="3"/>
      <c r="AB5831" s="3"/>
      <c r="AC5831" s="3"/>
      <c r="AD5831" s="3"/>
      <c r="AE5831" s="3"/>
      <c r="AF5831" s="3"/>
      <c r="AG5831" s="3"/>
      <c r="AH5831" s="3"/>
    </row>
    <row r="5832" spans="1:34" ht="14.25" customHeight="1" x14ac:dyDescent="0.25">
      <c r="A5832" s="3"/>
      <c r="B5832" s="3"/>
      <c r="C5832" s="3"/>
      <c r="D5832" s="3"/>
      <c r="E5832" s="3"/>
      <c r="F5832" s="3"/>
      <c r="G5832" s="3"/>
      <c r="H5832" s="11"/>
      <c r="I5832" s="12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  <c r="AA5832" s="3"/>
      <c r="AB5832" s="3"/>
      <c r="AC5832" s="3"/>
      <c r="AD5832" s="3"/>
      <c r="AE5832" s="3"/>
      <c r="AF5832" s="3"/>
      <c r="AG5832" s="3"/>
      <c r="AH5832" s="3"/>
    </row>
    <row r="5833" spans="1:34" ht="14.25" customHeight="1" x14ac:dyDescent="0.25">
      <c r="A5833" s="3"/>
      <c r="B5833" s="3"/>
      <c r="C5833" s="3"/>
      <c r="D5833" s="3"/>
      <c r="E5833" s="3"/>
      <c r="F5833" s="3"/>
      <c r="G5833" s="3"/>
      <c r="H5833" s="11"/>
      <c r="I5833" s="12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  <c r="AA5833" s="3"/>
      <c r="AB5833" s="3"/>
      <c r="AC5833" s="3"/>
      <c r="AD5833" s="3"/>
      <c r="AE5833" s="3"/>
      <c r="AF5833" s="3"/>
      <c r="AG5833" s="3"/>
      <c r="AH5833" s="3"/>
    </row>
    <row r="5834" spans="1:34" ht="14.25" customHeight="1" x14ac:dyDescent="0.25">
      <c r="A5834" s="3"/>
      <c r="B5834" s="3"/>
      <c r="C5834" s="3"/>
      <c r="D5834" s="3"/>
      <c r="E5834" s="3"/>
      <c r="F5834" s="3"/>
      <c r="G5834" s="3"/>
      <c r="H5834" s="11"/>
      <c r="I5834" s="12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  <c r="AA5834" s="3"/>
      <c r="AB5834" s="3"/>
      <c r="AC5834" s="3"/>
      <c r="AD5834" s="3"/>
      <c r="AE5834" s="3"/>
      <c r="AF5834" s="3"/>
      <c r="AG5834" s="3"/>
      <c r="AH5834" s="3"/>
    </row>
    <row r="5835" spans="1:34" ht="14.25" customHeight="1" x14ac:dyDescent="0.25">
      <c r="A5835" s="3"/>
      <c r="B5835" s="3"/>
      <c r="C5835" s="3"/>
      <c r="D5835" s="3"/>
      <c r="E5835" s="3"/>
      <c r="F5835" s="3"/>
      <c r="G5835" s="3"/>
      <c r="H5835" s="11"/>
      <c r="I5835" s="12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  <c r="AA5835" s="3"/>
      <c r="AB5835" s="3"/>
      <c r="AC5835" s="3"/>
      <c r="AD5835" s="3"/>
      <c r="AE5835" s="3"/>
      <c r="AF5835" s="3"/>
      <c r="AG5835" s="3"/>
      <c r="AH5835" s="3"/>
    </row>
    <row r="5836" spans="1:34" ht="14.25" customHeight="1" x14ac:dyDescent="0.25">
      <c r="A5836" s="3"/>
      <c r="B5836" s="3"/>
      <c r="C5836" s="3"/>
      <c r="D5836" s="3"/>
      <c r="E5836" s="3"/>
      <c r="F5836" s="3"/>
      <c r="G5836" s="3"/>
      <c r="H5836" s="11"/>
      <c r="I5836" s="12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  <c r="AA5836" s="3"/>
      <c r="AB5836" s="3"/>
      <c r="AC5836" s="3"/>
      <c r="AD5836" s="3"/>
      <c r="AE5836" s="3"/>
      <c r="AF5836" s="3"/>
      <c r="AG5836" s="3"/>
      <c r="AH5836" s="3"/>
    </row>
    <row r="5837" spans="1:34" ht="14.25" customHeight="1" x14ac:dyDescent="0.25">
      <c r="A5837" s="3"/>
      <c r="B5837" s="3"/>
      <c r="C5837" s="3"/>
      <c r="D5837" s="3"/>
      <c r="E5837" s="3"/>
      <c r="F5837" s="3"/>
      <c r="G5837" s="3"/>
      <c r="H5837" s="11"/>
      <c r="I5837" s="12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  <c r="AA5837" s="3"/>
      <c r="AB5837" s="3"/>
      <c r="AC5837" s="3"/>
      <c r="AD5837" s="3"/>
      <c r="AE5837" s="3"/>
      <c r="AF5837" s="3"/>
      <c r="AG5837" s="3"/>
      <c r="AH5837" s="3"/>
    </row>
    <row r="5838" spans="1:34" ht="14.25" customHeight="1" x14ac:dyDescent="0.25">
      <c r="A5838" s="3"/>
      <c r="B5838" s="3"/>
      <c r="C5838" s="3"/>
      <c r="D5838" s="3"/>
      <c r="E5838" s="3"/>
      <c r="F5838" s="3"/>
      <c r="G5838" s="3"/>
      <c r="H5838" s="11"/>
      <c r="I5838" s="12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  <c r="AA5838" s="3"/>
      <c r="AB5838" s="3"/>
      <c r="AC5838" s="3"/>
      <c r="AD5838" s="3"/>
      <c r="AE5838" s="3"/>
      <c r="AF5838" s="3"/>
      <c r="AG5838" s="3"/>
      <c r="AH5838" s="3"/>
    </row>
    <row r="5839" spans="1:34" ht="14.25" customHeight="1" x14ac:dyDescent="0.25">
      <c r="A5839" s="3"/>
      <c r="B5839" s="3"/>
      <c r="C5839" s="3"/>
      <c r="D5839" s="3"/>
      <c r="E5839" s="3"/>
      <c r="F5839" s="3"/>
      <c r="G5839" s="3"/>
      <c r="H5839" s="11"/>
      <c r="I5839" s="12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  <c r="AA5839" s="3"/>
      <c r="AB5839" s="3"/>
      <c r="AC5839" s="3"/>
      <c r="AD5839" s="3"/>
      <c r="AE5839" s="3"/>
      <c r="AF5839" s="3"/>
      <c r="AG5839" s="3"/>
      <c r="AH5839" s="3"/>
    </row>
    <row r="5840" spans="1:34" ht="14.25" customHeight="1" x14ac:dyDescent="0.25">
      <c r="A5840" s="3"/>
      <c r="B5840" s="3"/>
      <c r="C5840" s="3"/>
      <c r="D5840" s="3"/>
      <c r="E5840" s="3"/>
      <c r="F5840" s="3"/>
      <c r="G5840" s="3"/>
      <c r="H5840" s="11"/>
      <c r="I5840" s="12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  <c r="AA5840" s="3"/>
      <c r="AB5840" s="3"/>
      <c r="AC5840" s="3"/>
      <c r="AD5840" s="3"/>
      <c r="AE5840" s="3"/>
      <c r="AF5840" s="3"/>
      <c r="AG5840" s="3"/>
      <c r="AH5840" s="3"/>
    </row>
    <row r="5841" spans="1:34" ht="14.25" customHeight="1" x14ac:dyDescent="0.25">
      <c r="A5841" s="3"/>
      <c r="B5841" s="3"/>
      <c r="C5841" s="3"/>
      <c r="D5841" s="3"/>
      <c r="E5841" s="3"/>
      <c r="F5841" s="3"/>
      <c r="G5841" s="3"/>
      <c r="H5841" s="11"/>
      <c r="I5841" s="12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  <c r="AA5841" s="3"/>
      <c r="AB5841" s="3"/>
      <c r="AC5841" s="3"/>
      <c r="AD5841" s="3"/>
      <c r="AE5841" s="3"/>
      <c r="AF5841" s="3"/>
      <c r="AG5841" s="3"/>
      <c r="AH5841" s="3"/>
    </row>
    <row r="5842" spans="1:34" ht="14.25" customHeight="1" x14ac:dyDescent="0.25">
      <c r="A5842" s="3"/>
      <c r="B5842" s="3"/>
      <c r="C5842" s="3"/>
      <c r="D5842" s="3"/>
      <c r="E5842" s="3"/>
      <c r="F5842" s="3"/>
      <c r="G5842" s="3"/>
      <c r="H5842" s="11"/>
      <c r="I5842" s="12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  <c r="AA5842" s="3"/>
      <c r="AB5842" s="3"/>
      <c r="AC5842" s="3"/>
      <c r="AD5842" s="3"/>
      <c r="AE5842" s="3"/>
      <c r="AF5842" s="3"/>
      <c r="AG5842" s="3"/>
      <c r="AH5842" s="3"/>
    </row>
    <row r="5843" spans="1:34" ht="14.25" customHeight="1" x14ac:dyDescent="0.25">
      <c r="A5843" s="3"/>
      <c r="B5843" s="3"/>
      <c r="C5843" s="3"/>
      <c r="D5843" s="3"/>
      <c r="E5843" s="3"/>
      <c r="F5843" s="3"/>
      <c r="G5843" s="3"/>
      <c r="H5843" s="11"/>
      <c r="I5843" s="12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  <c r="AA5843" s="3"/>
      <c r="AB5843" s="3"/>
      <c r="AC5843" s="3"/>
      <c r="AD5843" s="3"/>
      <c r="AE5843" s="3"/>
      <c r="AF5843" s="3"/>
      <c r="AG5843" s="3"/>
      <c r="AH5843" s="3"/>
    </row>
    <row r="5844" spans="1:34" ht="14.25" customHeight="1" x14ac:dyDescent="0.25">
      <c r="A5844" s="3"/>
      <c r="B5844" s="3"/>
      <c r="C5844" s="3"/>
      <c r="D5844" s="3"/>
      <c r="E5844" s="3"/>
      <c r="F5844" s="3"/>
      <c r="G5844" s="3"/>
      <c r="H5844" s="11"/>
      <c r="I5844" s="12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  <c r="AA5844" s="3"/>
      <c r="AB5844" s="3"/>
      <c r="AC5844" s="3"/>
      <c r="AD5844" s="3"/>
      <c r="AE5844" s="3"/>
      <c r="AF5844" s="3"/>
      <c r="AG5844" s="3"/>
      <c r="AH5844" s="3"/>
    </row>
    <row r="5845" spans="1:34" ht="14.25" customHeight="1" x14ac:dyDescent="0.25">
      <c r="A5845" s="3"/>
      <c r="B5845" s="3"/>
      <c r="C5845" s="3"/>
      <c r="D5845" s="3"/>
      <c r="E5845" s="3"/>
      <c r="F5845" s="3"/>
      <c r="G5845" s="3"/>
      <c r="H5845" s="11"/>
      <c r="I5845" s="12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  <c r="AA5845" s="3"/>
      <c r="AB5845" s="3"/>
      <c r="AC5845" s="3"/>
      <c r="AD5845" s="3"/>
      <c r="AE5845" s="3"/>
      <c r="AF5845" s="3"/>
      <c r="AG5845" s="3"/>
      <c r="AH5845" s="3"/>
    </row>
    <row r="5846" spans="1:34" ht="14.25" customHeight="1" x14ac:dyDescent="0.25">
      <c r="A5846" s="3"/>
      <c r="B5846" s="3"/>
      <c r="C5846" s="3"/>
      <c r="D5846" s="3"/>
      <c r="E5846" s="3"/>
      <c r="F5846" s="3"/>
      <c r="G5846" s="3"/>
      <c r="H5846" s="11"/>
      <c r="I5846" s="12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  <c r="AA5846" s="3"/>
      <c r="AB5846" s="3"/>
      <c r="AC5846" s="3"/>
      <c r="AD5846" s="3"/>
      <c r="AE5846" s="3"/>
      <c r="AF5846" s="3"/>
      <c r="AG5846" s="3"/>
      <c r="AH5846" s="3"/>
    </row>
    <row r="5847" spans="1:34" ht="14.25" customHeight="1" x14ac:dyDescent="0.25">
      <c r="A5847" s="3"/>
      <c r="B5847" s="3"/>
      <c r="C5847" s="3"/>
      <c r="D5847" s="3"/>
      <c r="E5847" s="3"/>
      <c r="F5847" s="3"/>
      <c r="G5847" s="3"/>
      <c r="H5847" s="11"/>
      <c r="I5847" s="12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  <c r="AA5847" s="3"/>
      <c r="AB5847" s="3"/>
      <c r="AC5847" s="3"/>
      <c r="AD5847" s="3"/>
      <c r="AE5847" s="3"/>
      <c r="AF5847" s="3"/>
      <c r="AG5847" s="3"/>
      <c r="AH5847" s="3"/>
    </row>
    <row r="5848" spans="1:34" ht="14.25" customHeight="1" x14ac:dyDescent="0.25">
      <c r="A5848" s="3"/>
      <c r="B5848" s="3"/>
      <c r="C5848" s="3"/>
      <c r="D5848" s="3"/>
      <c r="E5848" s="3"/>
      <c r="F5848" s="3"/>
      <c r="G5848" s="3"/>
      <c r="H5848" s="11"/>
      <c r="I5848" s="12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  <c r="AA5848" s="3"/>
      <c r="AB5848" s="3"/>
      <c r="AC5848" s="3"/>
      <c r="AD5848" s="3"/>
      <c r="AE5848" s="3"/>
      <c r="AF5848" s="3"/>
      <c r="AG5848" s="3"/>
      <c r="AH5848" s="3"/>
    </row>
    <row r="5849" spans="1:34" ht="14.25" customHeight="1" x14ac:dyDescent="0.25">
      <c r="A5849" s="3"/>
      <c r="B5849" s="3"/>
      <c r="C5849" s="3"/>
      <c r="D5849" s="3"/>
      <c r="E5849" s="3"/>
      <c r="F5849" s="3"/>
      <c r="G5849" s="3"/>
      <c r="H5849" s="11"/>
      <c r="I5849" s="12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  <c r="AA5849" s="3"/>
      <c r="AB5849" s="3"/>
      <c r="AC5849" s="3"/>
      <c r="AD5849" s="3"/>
      <c r="AE5849" s="3"/>
      <c r="AF5849" s="3"/>
      <c r="AG5849" s="3"/>
      <c r="AH5849" s="3"/>
    </row>
    <row r="5850" spans="1:34" ht="14.25" customHeight="1" x14ac:dyDescent="0.25">
      <c r="A5850" s="3"/>
      <c r="B5850" s="3"/>
      <c r="C5850" s="3"/>
      <c r="D5850" s="3"/>
      <c r="E5850" s="3"/>
      <c r="F5850" s="3"/>
      <c r="G5850" s="3"/>
      <c r="H5850" s="11"/>
      <c r="I5850" s="12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  <c r="AA5850" s="3"/>
      <c r="AB5850" s="3"/>
      <c r="AC5850" s="3"/>
      <c r="AD5850" s="3"/>
      <c r="AE5850" s="3"/>
      <c r="AF5850" s="3"/>
      <c r="AG5850" s="3"/>
      <c r="AH5850" s="3"/>
    </row>
    <row r="5851" spans="1:34" ht="14.25" customHeight="1" x14ac:dyDescent="0.25">
      <c r="A5851" s="3"/>
      <c r="B5851" s="3"/>
      <c r="C5851" s="3"/>
      <c r="D5851" s="3"/>
      <c r="E5851" s="3"/>
      <c r="F5851" s="3"/>
      <c r="G5851" s="3"/>
      <c r="H5851" s="11"/>
      <c r="I5851" s="12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  <c r="AA5851" s="3"/>
      <c r="AB5851" s="3"/>
      <c r="AC5851" s="3"/>
      <c r="AD5851" s="3"/>
      <c r="AE5851" s="3"/>
      <c r="AF5851" s="3"/>
      <c r="AG5851" s="3"/>
      <c r="AH5851" s="3"/>
    </row>
    <row r="5852" spans="1:34" ht="14.25" customHeight="1" x14ac:dyDescent="0.25">
      <c r="A5852" s="3"/>
      <c r="B5852" s="3"/>
      <c r="C5852" s="3"/>
      <c r="D5852" s="3"/>
      <c r="E5852" s="3"/>
      <c r="F5852" s="3"/>
      <c r="G5852" s="3"/>
      <c r="H5852" s="11"/>
      <c r="I5852" s="12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  <c r="AA5852" s="3"/>
      <c r="AB5852" s="3"/>
      <c r="AC5852" s="3"/>
      <c r="AD5852" s="3"/>
      <c r="AE5852" s="3"/>
      <c r="AF5852" s="3"/>
      <c r="AG5852" s="3"/>
      <c r="AH5852" s="3"/>
    </row>
    <row r="5853" spans="1:34" ht="14.25" customHeight="1" x14ac:dyDescent="0.25">
      <c r="A5853" s="3"/>
      <c r="B5853" s="3"/>
      <c r="C5853" s="3"/>
      <c r="D5853" s="3"/>
      <c r="E5853" s="3"/>
      <c r="F5853" s="3"/>
      <c r="G5853" s="3"/>
      <c r="H5853" s="11"/>
      <c r="I5853" s="12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  <c r="AA5853" s="3"/>
      <c r="AB5853" s="3"/>
      <c r="AC5853" s="3"/>
      <c r="AD5853" s="3"/>
      <c r="AE5853" s="3"/>
      <c r="AF5853" s="3"/>
      <c r="AG5853" s="3"/>
      <c r="AH5853" s="3"/>
    </row>
    <row r="5854" spans="1:34" ht="14.25" customHeight="1" x14ac:dyDescent="0.25">
      <c r="A5854" s="3"/>
      <c r="B5854" s="3"/>
      <c r="C5854" s="3"/>
      <c r="D5854" s="3"/>
      <c r="E5854" s="3"/>
      <c r="F5854" s="3"/>
      <c r="G5854" s="3"/>
      <c r="H5854" s="11"/>
      <c r="I5854" s="12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  <c r="AA5854" s="3"/>
      <c r="AB5854" s="3"/>
      <c r="AC5854" s="3"/>
      <c r="AD5854" s="3"/>
      <c r="AE5854" s="3"/>
      <c r="AF5854" s="3"/>
      <c r="AG5854" s="3"/>
      <c r="AH5854" s="3"/>
    </row>
    <row r="5855" spans="1:34" ht="14.25" customHeight="1" x14ac:dyDescent="0.25">
      <c r="A5855" s="3"/>
      <c r="B5855" s="3"/>
      <c r="C5855" s="3"/>
      <c r="D5855" s="3"/>
      <c r="E5855" s="3"/>
      <c r="F5855" s="3"/>
      <c r="G5855" s="3"/>
      <c r="H5855" s="11"/>
      <c r="I5855" s="12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  <c r="AA5855" s="3"/>
      <c r="AB5855" s="3"/>
      <c r="AC5855" s="3"/>
      <c r="AD5855" s="3"/>
      <c r="AE5855" s="3"/>
      <c r="AF5855" s="3"/>
      <c r="AG5855" s="3"/>
      <c r="AH5855" s="3"/>
    </row>
    <row r="5856" spans="1:34" ht="14.25" customHeight="1" x14ac:dyDescent="0.25">
      <c r="A5856" s="3"/>
      <c r="B5856" s="3"/>
      <c r="C5856" s="3"/>
      <c r="D5856" s="3"/>
      <c r="E5856" s="3"/>
      <c r="F5856" s="3"/>
      <c r="G5856" s="3"/>
      <c r="H5856" s="11"/>
      <c r="I5856" s="12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  <c r="AA5856" s="3"/>
      <c r="AB5856" s="3"/>
      <c r="AC5856" s="3"/>
      <c r="AD5856" s="3"/>
      <c r="AE5856" s="3"/>
      <c r="AF5856" s="3"/>
      <c r="AG5856" s="3"/>
      <c r="AH5856" s="3"/>
    </row>
    <row r="5857" spans="1:34" ht="14.25" customHeight="1" x14ac:dyDescent="0.25">
      <c r="A5857" s="3"/>
      <c r="B5857" s="3"/>
      <c r="C5857" s="3"/>
      <c r="D5857" s="3"/>
      <c r="E5857" s="3"/>
      <c r="F5857" s="3"/>
      <c r="G5857" s="3"/>
      <c r="H5857" s="11"/>
      <c r="I5857" s="12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  <c r="AA5857" s="3"/>
      <c r="AB5857" s="3"/>
      <c r="AC5857" s="3"/>
      <c r="AD5857" s="3"/>
      <c r="AE5857" s="3"/>
      <c r="AF5857" s="3"/>
      <c r="AG5857" s="3"/>
      <c r="AH5857" s="3"/>
    </row>
    <row r="5858" spans="1:34" ht="14.25" customHeight="1" x14ac:dyDescent="0.25">
      <c r="A5858" s="3"/>
      <c r="B5858" s="3"/>
      <c r="C5858" s="3"/>
      <c r="D5858" s="3"/>
      <c r="E5858" s="3"/>
      <c r="F5858" s="3"/>
      <c r="G5858" s="3"/>
      <c r="H5858" s="11"/>
      <c r="I5858" s="12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  <c r="AA5858" s="3"/>
      <c r="AB5858" s="3"/>
      <c r="AC5858" s="3"/>
      <c r="AD5858" s="3"/>
      <c r="AE5858" s="3"/>
      <c r="AF5858" s="3"/>
      <c r="AG5858" s="3"/>
      <c r="AH5858" s="3"/>
    </row>
    <row r="5859" spans="1:34" ht="14.25" customHeight="1" x14ac:dyDescent="0.25">
      <c r="A5859" s="3"/>
      <c r="B5859" s="3"/>
      <c r="C5859" s="3"/>
      <c r="D5859" s="3"/>
      <c r="E5859" s="3"/>
      <c r="F5859" s="3"/>
      <c r="G5859" s="3"/>
      <c r="H5859" s="11"/>
      <c r="I5859" s="12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  <c r="AA5859" s="3"/>
      <c r="AB5859" s="3"/>
      <c r="AC5859" s="3"/>
      <c r="AD5859" s="3"/>
      <c r="AE5859" s="3"/>
      <c r="AF5859" s="3"/>
      <c r="AG5859" s="3"/>
      <c r="AH5859" s="3"/>
    </row>
    <row r="5860" spans="1:34" ht="14.25" customHeight="1" x14ac:dyDescent="0.25">
      <c r="A5860" s="3"/>
      <c r="B5860" s="3"/>
      <c r="C5860" s="3"/>
      <c r="D5860" s="3"/>
      <c r="E5860" s="3"/>
      <c r="F5860" s="3"/>
      <c r="G5860" s="3"/>
      <c r="H5860" s="11"/>
      <c r="I5860" s="12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  <c r="AA5860" s="3"/>
      <c r="AB5860" s="3"/>
      <c r="AC5860" s="3"/>
      <c r="AD5860" s="3"/>
      <c r="AE5860" s="3"/>
      <c r="AF5860" s="3"/>
      <c r="AG5860" s="3"/>
      <c r="AH5860" s="3"/>
    </row>
    <row r="5861" spans="1:34" ht="14.25" customHeight="1" x14ac:dyDescent="0.25">
      <c r="A5861" s="3"/>
      <c r="B5861" s="3"/>
      <c r="C5861" s="3"/>
      <c r="D5861" s="3"/>
      <c r="E5861" s="3"/>
      <c r="F5861" s="3"/>
      <c r="G5861" s="3"/>
      <c r="H5861" s="11"/>
      <c r="I5861" s="12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  <c r="AA5861" s="3"/>
      <c r="AB5861" s="3"/>
      <c r="AC5861" s="3"/>
      <c r="AD5861" s="3"/>
      <c r="AE5861" s="3"/>
      <c r="AF5861" s="3"/>
      <c r="AG5861" s="3"/>
      <c r="AH5861" s="3"/>
    </row>
    <row r="5862" spans="1:34" ht="14.25" customHeight="1" x14ac:dyDescent="0.25">
      <c r="A5862" s="3"/>
      <c r="B5862" s="3"/>
      <c r="C5862" s="3"/>
      <c r="D5862" s="3"/>
      <c r="E5862" s="3"/>
      <c r="F5862" s="3"/>
      <c r="G5862" s="3"/>
      <c r="H5862" s="11"/>
      <c r="I5862" s="12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  <c r="AA5862" s="3"/>
      <c r="AB5862" s="3"/>
      <c r="AC5862" s="3"/>
      <c r="AD5862" s="3"/>
      <c r="AE5862" s="3"/>
      <c r="AF5862" s="3"/>
      <c r="AG5862" s="3"/>
      <c r="AH5862" s="3"/>
    </row>
    <row r="5863" spans="1:34" ht="14.25" customHeight="1" x14ac:dyDescent="0.25">
      <c r="A5863" s="3"/>
      <c r="B5863" s="3"/>
      <c r="C5863" s="3"/>
      <c r="D5863" s="3"/>
      <c r="E5863" s="3"/>
      <c r="F5863" s="3"/>
      <c r="G5863" s="3"/>
      <c r="H5863" s="11"/>
      <c r="I5863" s="12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  <c r="AA5863" s="3"/>
      <c r="AB5863" s="3"/>
      <c r="AC5863" s="3"/>
      <c r="AD5863" s="3"/>
      <c r="AE5863" s="3"/>
      <c r="AF5863" s="3"/>
      <c r="AG5863" s="3"/>
      <c r="AH5863" s="3"/>
    </row>
    <row r="5864" spans="1:34" ht="14.25" customHeight="1" x14ac:dyDescent="0.25">
      <c r="A5864" s="3"/>
      <c r="B5864" s="3"/>
      <c r="C5864" s="3"/>
      <c r="D5864" s="3"/>
      <c r="E5864" s="3"/>
      <c r="F5864" s="3"/>
      <c r="G5864" s="3"/>
      <c r="H5864" s="11"/>
      <c r="I5864" s="12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  <c r="AA5864" s="3"/>
      <c r="AB5864" s="3"/>
      <c r="AC5864" s="3"/>
      <c r="AD5864" s="3"/>
      <c r="AE5864" s="3"/>
      <c r="AF5864" s="3"/>
      <c r="AG5864" s="3"/>
      <c r="AH5864" s="3"/>
    </row>
    <row r="5865" spans="1:34" ht="14.25" customHeight="1" x14ac:dyDescent="0.25">
      <c r="A5865" s="3"/>
      <c r="B5865" s="3"/>
      <c r="C5865" s="3"/>
      <c r="D5865" s="3"/>
      <c r="E5865" s="3"/>
      <c r="F5865" s="3"/>
      <c r="G5865" s="3"/>
      <c r="H5865" s="11"/>
      <c r="I5865" s="12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  <c r="AA5865" s="3"/>
      <c r="AB5865" s="3"/>
      <c r="AC5865" s="3"/>
      <c r="AD5865" s="3"/>
      <c r="AE5865" s="3"/>
      <c r="AF5865" s="3"/>
      <c r="AG5865" s="3"/>
      <c r="AH5865" s="3"/>
    </row>
    <row r="5866" spans="1:34" ht="14.25" customHeight="1" x14ac:dyDescent="0.25">
      <c r="A5866" s="3"/>
      <c r="B5866" s="3"/>
      <c r="C5866" s="3"/>
      <c r="D5866" s="3"/>
      <c r="E5866" s="3"/>
      <c r="F5866" s="3"/>
      <c r="G5866" s="3"/>
      <c r="H5866" s="11"/>
      <c r="I5866" s="12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  <c r="AA5866" s="3"/>
      <c r="AB5866" s="3"/>
      <c r="AC5866" s="3"/>
      <c r="AD5866" s="3"/>
      <c r="AE5866" s="3"/>
      <c r="AF5866" s="3"/>
      <c r="AG5866" s="3"/>
      <c r="AH5866" s="3"/>
    </row>
    <row r="5867" spans="1:34" ht="14.25" customHeight="1" x14ac:dyDescent="0.25">
      <c r="A5867" s="3"/>
      <c r="B5867" s="3"/>
      <c r="C5867" s="3"/>
      <c r="D5867" s="3"/>
      <c r="E5867" s="3"/>
      <c r="F5867" s="3"/>
      <c r="G5867" s="3"/>
      <c r="H5867" s="11"/>
      <c r="I5867" s="12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  <c r="AA5867" s="3"/>
      <c r="AB5867" s="3"/>
      <c r="AC5867" s="3"/>
      <c r="AD5867" s="3"/>
      <c r="AE5867" s="3"/>
      <c r="AF5867" s="3"/>
      <c r="AG5867" s="3"/>
      <c r="AH5867" s="3"/>
    </row>
    <row r="5868" spans="1:34" ht="14.25" customHeight="1" x14ac:dyDescent="0.25">
      <c r="A5868" s="3"/>
      <c r="B5868" s="3"/>
      <c r="C5868" s="3"/>
      <c r="D5868" s="3"/>
      <c r="E5868" s="3"/>
      <c r="F5868" s="3"/>
      <c r="G5868" s="3"/>
      <c r="H5868" s="11"/>
      <c r="I5868" s="12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  <c r="AA5868" s="3"/>
      <c r="AB5868" s="3"/>
      <c r="AC5868" s="3"/>
      <c r="AD5868" s="3"/>
      <c r="AE5868" s="3"/>
      <c r="AF5868" s="3"/>
      <c r="AG5868" s="3"/>
      <c r="AH5868" s="3"/>
    </row>
    <row r="5869" spans="1:34" ht="14.25" customHeight="1" x14ac:dyDescent="0.25">
      <c r="A5869" s="3"/>
      <c r="B5869" s="3"/>
      <c r="C5869" s="3"/>
      <c r="D5869" s="3"/>
      <c r="E5869" s="3"/>
      <c r="F5869" s="3"/>
      <c r="G5869" s="3"/>
      <c r="H5869" s="11"/>
      <c r="I5869" s="12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  <c r="AA5869" s="3"/>
      <c r="AB5869" s="3"/>
      <c r="AC5869" s="3"/>
      <c r="AD5869" s="3"/>
      <c r="AE5869" s="3"/>
      <c r="AF5869" s="3"/>
      <c r="AG5869" s="3"/>
      <c r="AH5869" s="3"/>
    </row>
    <row r="5870" spans="1:34" ht="14.25" customHeight="1" x14ac:dyDescent="0.25">
      <c r="A5870" s="3"/>
      <c r="B5870" s="3"/>
      <c r="C5870" s="3"/>
      <c r="D5870" s="3"/>
      <c r="E5870" s="3"/>
      <c r="F5870" s="3"/>
      <c r="G5870" s="3"/>
      <c r="H5870" s="11"/>
      <c r="I5870" s="12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  <c r="AA5870" s="3"/>
      <c r="AB5870" s="3"/>
      <c r="AC5870" s="3"/>
      <c r="AD5870" s="3"/>
      <c r="AE5870" s="3"/>
      <c r="AF5870" s="3"/>
      <c r="AG5870" s="3"/>
      <c r="AH5870" s="3"/>
    </row>
    <row r="5871" spans="1:34" ht="14.25" customHeight="1" x14ac:dyDescent="0.25">
      <c r="A5871" s="3"/>
      <c r="B5871" s="3"/>
      <c r="C5871" s="3"/>
      <c r="D5871" s="3"/>
      <c r="E5871" s="3"/>
      <c r="F5871" s="3"/>
      <c r="G5871" s="3"/>
      <c r="H5871" s="11"/>
      <c r="I5871" s="12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  <c r="AA5871" s="3"/>
      <c r="AB5871" s="3"/>
      <c r="AC5871" s="3"/>
      <c r="AD5871" s="3"/>
      <c r="AE5871" s="3"/>
      <c r="AF5871" s="3"/>
      <c r="AG5871" s="3"/>
      <c r="AH5871" s="3"/>
    </row>
    <row r="5872" spans="1:34" ht="14.25" customHeight="1" x14ac:dyDescent="0.25">
      <c r="A5872" s="3"/>
      <c r="B5872" s="3"/>
      <c r="C5872" s="3"/>
      <c r="D5872" s="3"/>
      <c r="E5872" s="3"/>
      <c r="F5872" s="3"/>
      <c r="G5872" s="3"/>
      <c r="H5872" s="11"/>
      <c r="I5872" s="12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  <c r="AA5872" s="3"/>
      <c r="AB5872" s="3"/>
      <c r="AC5872" s="3"/>
      <c r="AD5872" s="3"/>
      <c r="AE5872" s="3"/>
      <c r="AF5872" s="3"/>
      <c r="AG5872" s="3"/>
      <c r="AH5872" s="3"/>
    </row>
    <row r="5873" spans="1:34" ht="14.25" customHeight="1" x14ac:dyDescent="0.25">
      <c r="A5873" s="3"/>
      <c r="B5873" s="3"/>
      <c r="C5873" s="3"/>
      <c r="D5873" s="3"/>
      <c r="E5873" s="3"/>
      <c r="F5873" s="3"/>
      <c r="G5873" s="3"/>
      <c r="H5873" s="11"/>
      <c r="I5873" s="12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  <c r="AA5873" s="3"/>
      <c r="AB5873" s="3"/>
      <c r="AC5873" s="3"/>
      <c r="AD5873" s="3"/>
      <c r="AE5873" s="3"/>
      <c r="AF5873" s="3"/>
      <c r="AG5873" s="3"/>
      <c r="AH5873" s="3"/>
    </row>
    <row r="5874" spans="1:34" ht="14.25" customHeight="1" x14ac:dyDescent="0.25">
      <c r="A5874" s="3"/>
      <c r="B5874" s="3"/>
      <c r="C5874" s="3"/>
      <c r="D5874" s="3"/>
      <c r="E5874" s="3"/>
      <c r="F5874" s="3"/>
      <c r="G5874" s="3"/>
      <c r="H5874" s="11"/>
      <c r="I5874" s="12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  <c r="AA5874" s="3"/>
      <c r="AB5874" s="3"/>
      <c r="AC5874" s="3"/>
      <c r="AD5874" s="3"/>
      <c r="AE5874" s="3"/>
      <c r="AF5874" s="3"/>
      <c r="AG5874" s="3"/>
      <c r="AH5874" s="3"/>
    </row>
    <row r="5875" spans="1:34" ht="14.25" customHeight="1" x14ac:dyDescent="0.25">
      <c r="A5875" s="3"/>
      <c r="B5875" s="3"/>
      <c r="C5875" s="3"/>
      <c r="D5875" s="3"/>
      <c r="E5875" s="3"/>
      <c r="F5875" s="3"/>
      <c r="G5875" s="3"/>
      <c r="H5875" s="11"/>
      <c r="I5875" s="12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  <c r="AA5875" s="3"/>
      <c r="AB5875" s="3"/>
      <c r="AC5875" s="3"/>
      <c r="AD5875" s="3"/>
      <c r="AE5875" s="3"/>
      <c r="AF5875" s="3"/>
      <c r="AG5875" s="3"/>
      <c r="AH5875" s="3"/>
    </row>
    <row r="5876" spans="1:34" ht="14.25" customHeight="1" x14ac:dyDescent="0.25">
      <c r="A5876" s="3"/>
      <c r="B5876" s="3"/>
      <c r="C5876" s="3"/>
      <c r="D5876" s="3"/>
      <c r="E5876" s="3"/>
      <c r="F5876" s="3"/>
      <c r="G5876" s="3"/>
      <c r="H5876" s="11"/>
      <c r="I5876" s="12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  <c r="AA5876" s="3"/>
      <c r="AB5876" s="3"/>
      <c r="AC5876" s="3"/>
      <c r="AD5876" s="3"/>
      <c r="AE5876" s="3"/>
      <c r="AF5876" s="3"/>
      <c r="AG5876" s="3"/>
      <c r="AH5876" s="3"/>
    </row>
    <row r="5877" spans="1:34" ht="14.25" customHeight="1" x14ac:dyDescent="0.25">
      <c r="A5877" s="3"/>
      <c r="B5877" s="3"/>
      <c r="C5877" s="3"/>
      <c r="D5877" s="3"/>
      <c r="E5877" s="3"/>
      <c r="F5877" s="3"/>
      <c r="G5877" s="3"/>
      <c r="H5877" s="11"/>
      <c r="I5877" s="12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  <c r="AA5877" s="3"/>
      <c r="AB5877" s="3"/>
      <c r="AC5877" s="3"/>
      <c r="AD5877" s="3"/>
      <c r="AE5877" s="3"/>
      <c r="AF5877" s="3"/>
      <c r="AG5877" s="3"/>
      <c r="AH5877" s="3"/>
    </row>
    <row r="5878" spans="1:34" ht="14.25" customHeight="1" x14ac:dyDescent="0.25">
      <c r="A5878" s="3"/>
      <c r="B5878" s="3"/>
      <c r="C5878" s="3"/>
      <c r="D5878" s="3"/>
      <c r="E5878" s="3"/>
      <c r="F5878" s="3"/>
      <c r="G5878" s="3"/>
      <c r="H5878" s="11"/>
      <c r="I5878" s="12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  <c r="AA5878" s="3"/>
      <c r="AB5878" s="3"/>
      <c r="AC5878" s="3"/>
      <c r="AD5878" s="3"/>
      <c r="AE5878" s="3"/>
      <c r="AF5878" s="3"/>
      <c r="AG5878" s="3"/>
      <c r="AH5878" s="3"/>
    </row>
    <row r="5879" spans="1:34" ht="14.25" customHeight="1" x14ac:dyDescent="0.25">
      <c r="A5879" s="3"/>
      <c r="B5879" s="3"/>
      <c r="C5879" s="3"/>
      <c r="D5879" s="3"/>
      <c r="E5879" s="3"/>
      <c r="F5879" s="3"/>
      <c r="G5879" s="3"/>
      <c r="H5879" s="11"/>
      <c r="I5879" s="12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  <c r="AA5879" s="3"/>
      <c r="AB5879" s="3"/>
      <c r="AC5879" s="3"/>
      <c r="AD5879" s="3"/>
      <c r="AE5879" s="3"/>
      <c r="AF5879" s="3"/>
      <c r="AG5879" s="3"/>
      <c r="AH5879" s="3"/>
    </row>
    <row r="5880" spans="1:34" ht="14.25" customHeight="1" x14ac:dyDescent="0.25">
      <c r="A5880" s="3"/>
      <c r="B5880" s="3"/>
      <c r="C5880" s="3"/>
      <c r="D5880" s="3"/>
      <c r="E5880" s="3"/>
      <c r="F5880" s="3"/>
      <c r="G5880" s="3"/>
      <c r="H5880" s="11"/>
      <c r="I5880" s="12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  <c r="AA5880" s="3"/>
      <c r="AB5880" s="3"/>
      <c r="AC5880" s="3"/>
      <c r="AD5880" s="3"/>
      <c r="AE5880" s="3"/>
      <c r="AF5880" s="3"/>
      <c r="AG5880" s="3"/>
      <c r="AH5880" s="3"/>
    </row>
    <row r="5881" spans="1:34" ht="14.25" customHeight="1" x14ac:dyDescent="0.25">
      <c r="A5881" s="3"/>
      <c r="B5881" s="3"/>
      <c r="C5881" s="3"/>
      <c r="D5881" s="3"/>
      <c r="E5881" s="3"/>
      <c r="F5881" s="3"/>
      <c r="G5881" s="3"/>
      <c r="H5881" s="11"/>
      <c r="I5881" s="12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  <c r="AA5881" s="3"/>
      <c r="AB5881" s="3"/>
      <c r="AC5881" s="3"/>
      <c r="AD5881" s="3"/>
      <c r="AE5881" s="3"/>
      <c r="AF5881" s="3"/>
      <c r="AG5881" s="3"/>
      <c r="AH5881" s="3"/>
    </row>
    <row r="5882" spans="1:34" ht="14.25" customHeight="1" x14ac:dyDescent="0.25">
      <c r="A5882" s="3"/>
      <c r="B5882" s="3"/>
      <c r="C5882" s="3"/>
      <c r="D5882" s="3"/>
      <c r="E5882" s="3"/>
      <c r="F5882" s="3"/>
      <c r="G5882" s="3"/>
      <c r="H5882" s="11"/>
      <c r="I5882" s="12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  <c r="AA5882" s="3"/>
      <c r="AB5882" s="3"/>
      <c r="AC5882" s="3"/>
      <c r="AD5882" s="3"/>
      <c r="AE5882" s="3"/>
      <c r="AF5882" s="3"/>
      <c r="AG5882" s="3"/>
      <c r="AH5882" s="3"/>
    </row>
    <row r="5883" spans="1:34" ht="14.25" customHeight="1" x14ac:dyDescent="0.25">
      <c r="A5883" s="3"/>
      <c r="B5883" s="3"/>
      <c r="C5883" s="3"/>
      <c r="D5883" s="3"/>
      <c r="E5883" s="3"/>
      <c r="F5883" s="3"/>
      <c r="G5883" s="3"/>
      <c r="H5883" s="11"/>
      <c r="I5883" s="12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  <c r="AA5883" s="3"/>
      <c r="AB5883" s="3"/>
      <c r="AC5883" s="3"/>
      <c r="AD5883" s="3"/>
      <c r="AE5883" s="3"/>
      <c r="AF5883" s="3"/>
      <c r="AG5883" s="3"/>
      <c r="AH5883" s="3"/>
    </row>
    <row r="5884" spans="1:34" ht="14.25" customHeight="1" x14ac:dyDescent="0.25">
      <c r="A5884" s="3"/>
      <c r="B5884" s="3"/>
      <c r="C5884" s="3"/>
      <c r="D5884" s="3"/>
      <c r="E5884" s="3"/>
      <c r="F5884" s="3"/>
      <c r="G5884" s="3"/>
      <c r="H5884" s="11"/>
      <c r="I5884" s="12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  <c r="AA5884" s="3"/>
      <c r="AB5884" s="3"/>
      <c r="AC5884" s="3"/>
      <c r="AD5884" s="3"/>
      <c r="AE5884" s="3"/>
      <c r="AF5884" s="3"/>
      <c r="AG5884" s="3"/>
      <c r="AH5884" s="3"/>
    </row>
    <row r="5885" spans="1:34" ht="14.25" customHeight="1" x14ac:dyDescent="0.25">
      <c r="A5885" s="3"/>
      <c r="B5885" s="3"/>
      <c r="C5885" s="3"/>
      <c r="D5885" s="3"/>
      <c r="E5885" s="3"/>
      <c r="F5885" s="3"/>
      <c r="G5885" s="3"/>
      <c r="H5885" s="11"/>
      <c r="I5885" s="12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  <c r="AA5885" s="3"/>
      <c r="AB5885" s="3"/>
      <c r="AC5885" s="3"/>
      <c r="AD5885" s="3"/>
      <c r="AE5885" s="3"/>
      <c r="AF5885" s="3"/>
      <c r="AG5885" s="3"/>
      <c r="AH5885" s="3"/>
    </row>
    <row r="5886" spans="1:34" ht="14.25" customHeight="1" x14ac:dyDescent="0.25">
      <c r="A5886" s="3"/>
      <c r="B5886" s="3"/>
      <c r="C5886" s="3"/>
      <c r="D5886" s="3"/>
      <c r="E5886" s="3"/>
      <c r="F5886" s="3"/>
      <c r="G5886" s="3"/>
      <c r="H5886" s="11"/>
      <c r="I5886" s="12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  <c r="AA5886" s="3"/>
      <c r="AB5886" s="3"/>
      <c r="AC5886" s="3"/>
      <c r="AD5886" s="3"/>
      <c r="AE5886" s="3"/>
      <c r="AF5886" s="3"/>
      <c r="AG5886" s="3"/>
      <c r="AH5886" s="3"/>
    </row>
    <row r="5887" spans="1:34" ht="14.25" customHeight="1" x14ac:dyDescent="0.25">
      <c r="A5887" s="3"/>
      <c r="B5887" s="3"/>
      <c r="C5887" s="3"/>
      <c r="D5887" s="3"/>
      <c r="E5887" s="3"/>
      <c r="F5887" s="3"/>
      <c r="G5887" s="3"/>
      <c r="H5887" s="11"/>
      <c r="I5887" s="12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  <c r="AA5887" s="3"/>
      <c r="AB5887" s="3"/>
      <c r="AC5887" s="3"/>
      <c r="AD5887" s="3"/>
      <c r="AE5887" s="3"/>
      <c r="AF5887" s="3"/>
      <c r="AG5887" s="3"/>
      <c r="AH5887" s="3"/>
    </row>
    <row r="5888" spans="1:34" ht="14.25" customHeight="1" x14ac:dyDescent="0.25">
      <c r="A5888" s="3"/>
      <c r="B5888" s="3"/>
      <c r="C5888" s="3"/>
      <c r="D5888" s="3"/>
      <c r="E5888" s="3"/>
      <c r="F5888" s="3"/>
      <c r="G5888" s="3"/>
      <c r="H5888" s="11"/>
      <c r="I5888" s="12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  <c r="AA5888" s="3"/>
      <c r="AB5888" s="3"/>
      <c r="AC5888" s="3"/>
      <c r="AD5888" s="3"/>
      <c r="AE5888" s="3"/>
      <c r="AF5888" s="3"/>
      <c r="AG5888" s="3"/>
      <c r="AH5888" s="3"/>
    </row>
    <row r="5889" spans="1:34" ht="14.25" customHeight="1" x14ac:dyDescent="0.25">
      <c r="A5889" s="3"/>
      <c r="B5889" s="3"/>
      <c r="C5889" s="3"/>
      <c r="D5889" s="3"/>
      <c r="E5889" s="3"/>
      <c r="F5889" s="3"/>
      <c r="G5889" s="3"/>
      <c r="H5889" s="11"/>
      <c r="I5889" s="12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  <c r="AA5889" s="3"/>
      <c r="AB5889" s="3"/>
      <c r="AC5889" s="3"/>
      <c r="AD5889" s="3"/>
      <c r="AE5889" s="3"/>
      <c r="AF5889" s="3"/>
      <c r="AG5889" s="3"/>
      <c r="AH5889" s="3"/>
    </row>
    <row r="5890" spans="1:34" ht="14.25" customHeight="1" x14ac:dyDescent="0.25">
      <c r="A5890" s="3"/>
      <c r="B5890" s="3"/>
      <c r="C5890" s="3"/>
      <c r="D5890" s="3"/>
      <c r="E5890" s="3"/>
      <c r="F5890" s="3"/>
      <c r="G5890" s="3"/>
      <c r="H5890" s="11"/>
      <c r="I5890" s="12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  <c r="AA5890" s="3"/>
      <c r="AB5890" s="3"/>
      <c r="AC5890" s="3"/>
      <c r="AD5890" s="3"/>
      <c r="AE5890" s="3"/>
      <c r="AF5890" s="3"/>
      <c r="AG5890" s="3"/>
      <c r="AH5890" s="3"/>
    </row>
    <row r="5891" spans="1:34" ht="14.25" customHeight="1" x14ac:dyDescent="0.25">
      <c r="A5891" s="3"/>
      <c r="B5891" s="3"/>
      <c r="C5891" s="3"/>
      <c r="D5891" s="3"/>
      <c r="E5891" s="3"/>
      <c r="F5891" s="3"/>
      <c r="G5891" s="3"/>
      <c r="H5891" s="11"/>
      <c r="I5891" s="12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  <c r="AA5891" s="3"/>
      <c r="AB5891" s="3"/>
      <c r="AC5891" s="3"/>
      <c r="AD5891" s="3"/>
      <c r="AE5891" s="3"/>
      <c r="AF5891" s="3"/>
      <c r="AG5891" s="3"/>
      <c r="AH5891" s="3"/>
    </row>
    <row r="5892" spans="1:34" ht="14.25" customHeight="1" x14ac:dyDescent="0.25">
      <c r="A5892" s="3"/>
      <c r="B5892" s="3"/>
      <c r="C5892" s="3"/>
      <c r="D5892" s="3"/>
      <c r="E5892" s="3"/>
      <c r="F5892" s="3"/>
      <c r="G5892" s="3"/>
      <c r="H5892" s="11"/>
      <c r="I5892" s="12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  <c r="AA5892" s="3"/>
      <c r="AB5892" s="3"/>
      <c r="AC5892" s="3"/>
      <c r="AD5892" s="3"/>
      <c r="AE5892" s="3"/>
      <c r="AF5892" s="3"/>
      <c r="AG5892" s="3"/>
      <c r="AH5892" s="3"/>
    </row>
    <row r="5893" spans="1:34" ht="14.25" customHeight="1" x14ac:dyDescent="0.25">
      <c r="A5893" s="3"/>
      <c r="B5893" s="3"/>
      <c r="C5893" s="3"/>
      <c r="D5893" s="3"/>
      <c r="E5893" s="3"/>
      <c r="F5893" s="3"/>
      <c r="G5893" s="3"/>
      <c r="H5893" s="11"/>
      <c r="I5893" s="12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  <c r="AA5893" s="3"/>
      <c r="AB5893" s="3"/>
      <c r="AC5893" s="3"/>
      <c r="AD5893" s="3"/>
      <c r="AE5893" s="3"/>
      <c r="AF5893" s="3"/>
      <c r="AG5893" s="3"/>
      <c r="AH5893" s="3"/>
    </row>
    <row r="5894" spans="1:34" ht="14.25" customHeight="1" x14ac:dyDescent="0.25">
      <c r="A5894" s="3"/>
      <c r="B5894" s="3"/>
      <c r="C5894" s="3"/>
      <c r="D5894" s="3"/>
      <c r="E5894" s="3"/>
      <c r="F5894" s="3"/>
      <c r="G5894" s="3"/>
      <c r="H5894" s="11"/>
      <c r="I5894" s="12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  <c r="AA5894" s="3"/>
      <c r="AB5894" s="3"/>
      <c r="AC5894" s="3"/>
      <c r="AD5894" s="3"/>
      <c r="AE5894" s="3"/>
      <c r="AF5894" s="3"/>
      <c r="AG5894" s="3"/>
      <c r="AH5894" s="3"/>
    </row>
    <row r="5895" spans="1:34" ht="14.25" customHeight="1" x14ac:dyDescent="0.25">
      <c r="A5895" s="3"/>
      <c r="B5895" s="3"/>
      <c r="C5895" s="3"/>
      <c r="D5895" s="3"/>
      <c r="E5895" s="3"/>
      <c r="F5895" s="3"/>
      <c r="G5895" s="3"/>
      <c r="H5895" s="11"/>
      <c r="I5895" s="12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  <c r="AA5895" s="3"/>
      <c r="AB5895" s="3"/>
      <c r="AC5895" s="3"/>
      <c r="AD5895" s="3"/>
      <c r="AE5895" s="3"/>
      <c r="AF5895" s="3"/>
      <c r="AG5895" s="3"/>
      <c r="AH5895" s="3"/>
    </row>
    <row r="5896" spans="1:34" ht="14.25" customHeight="1" x14ac:dyDescent="0.25">
      <c r="A5896" s="3"/>
      <c r="B5896" s="3"/>
      <c r="C5896" s="3"/>
      <c r="D5896" s="3"/>
      <c r="E5896" s="3"/>
      <c r="F5896" s="3"/>
      <c r="G5896" s="3"/>
      <c r="H5896" s="11"/>
      <c r="I5896" s="12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  <c r="AA5896" s="3"/>
      <c r="AB5896" s="3"/>
      <c r="AC5896" s="3"/>
      <c r="AD5896" s="3"/>
      <c r="AE5896" s="3"/>
      <c r="AF5896" s="3"/>
      <c r="AG5896" s="3"/>
      <c r="AH5896" s="3"/>
    </row>
    <row r="5897" spans="1:34" ht="14.25" customHeight="1" x14ac:dyDescent="0.25">
      <c r="A5897" s="3"/>
      <c r="B5897" s="3"/>
      <c r="C5897" s="3"/>
      <c r="D5897" s="3"/>
      <c r="E5897" s="3"/>
      <c r="F5897" s="3"/>
      <c r="G5897" s="3"/>
      <c r="H5897" s="11"/>
      <c r="I5897" s="12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  <c r="AA5897" s="3"/>
      <c r="AB5897" s="3"/>
      <c r="AC5897" s="3"/>
      <c r="AD5897" s="3"/>
      <c r="AE5897" s="3"/>
      <c r="AF5897" s="3"/>
      <c r="AG5897" s="3"/>
      <c r="AH5897" s="3"/>
    </row>
    <row r="5898" spans="1:34" ht="14.25" customHeight="1" x14ac:dyDescent="0.25">
      <c r="A5898" s="3"/>
      <c r="B5898" s="3"/>
      <c r="C5898" s="3"/>
      <c r="D5898" s="3"/>
      <c r="E5898" s="3"/>
      <c r="F5898" s="3"/>
      <c r="G5898" s="3"/>
      <c r="H5898" s="11"/>
      <c r="I5898" s="12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  <c r="AA5898" s="3"/>
      <c r="AB5898" s="3"/>
      <c r="AC5898" s="3"/>
      <c r="AD5898" s="3"/>
      <c r="AE5898" s="3"/>
      <c r="AF5898" s="3"/>
      <c r="AG5898" s="3"/>
      <c r="AH5898" s="3"/>
    </row>
    <row r="5899" spans="1:34" ht="14.25" customHeight="1" x14ac:dyDescent="0.25">
      <c r="A5899" s="3"/>
      <c r="B5899" s="3"/>
      <c r="C5899" s="3"/>
      <c r="D5899" s="3"/>
      <c r="E5899" s="3"/>
      <c r="F5899" s="3"/>
      <c r="G5899" s="3"/>
      <c r="H5899" s="11"/>
      <c r="I5899" s="12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  <c r="AA5899" s="3"/>
      <c r="AB5899" s="3"/>
      <c r="AC5899" s="3"/>
      <c r="AD5899" s="3"/>
      <c r="AE5899" s="3"/>
      <c r="AF5899" s="3"/>
      <c r="AG5899" s="3"/>
      <c r="AH5899" s="3"/>
    </row>
    <row r="5900" spans="1:34" ht="14.25" customHeight="1" x14ac:dyDescent="0.25">
      <c r="A5900" s="3"/>
      <c r="B5900" s="3"/>
      <c r="C5900" s="3"/>
      <c r="D5900" s="3"/>
      <c r="E5900" s="3"/>
      <c r="F5900" s="3"/>
      <c r="G5900" s="3"/>
      <c r="H5900" s="11"/>
      <c r="I5900" s="12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  <c r="AA5900" s="3"/>
      <c r="AB5900" s="3"/>
      <c r="AC5900" s="3"/>
      <c r="AD5900" s="3"/>
      <c r="AE5900" s="3"/>
      <c r="AF5900" s="3"/>
      <c r="AG5900" s="3"/>
      <c r="AH5900" s="3"/>
    </row>
    <row r="5901" spans="1:34" ht="14.25" customHeight="1" x14ac:dyDescent="0.25">
      <c r="A5901" s="3"/>
      <c r="B5901" s="3"/>
      <c r="C5901" s="3"/>
      <c r="D5901" s="3"/>
      <c r="E5901" s="3"/>
      <c r="F5901" s="3"/>
      <c r="G5901" s="3"/>
      <c r="H5901" s="11"/>
      <c r="I5901" s="12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  <c r="AA5901" s="3"/>
      <c r="AB5901" s="3"/>
      <c r="AC5901" s="3"/>
      <c r="AD5901" s="3"/>
      <c r="AE5901" s="3"/>
      <c r="AF5901" s="3"/>
      <c r="AG5901" s="3"/>
      <c r="AH5901" s="3"/>
    </row>
    <row r="5902" spans="1:34" ht="14.25" customHeight="1" x14ac:dyDescent="0.25">
      <c r="A5902" s="3"/>
      <c r="B5902" s="3"/>
      <c r="C5902" s="3"/>
      <c r="D5902" s="3"/>
      <c r="E5902" s="3"/>
      <c r="F5902" s="3"/>
      <c r="G5902" s="3"/>
      <c r="H5902" s="11"/>
      <c r="I5902" s="12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  <c r="AA5902" s="3"/>
      <c r="AB5902" s="3"/>
      <c r="AC5902" s="3"/>
      <c r="AD5902" s="3"/>
      <c r="AE5902" s="3"/>
      <c r="AF5902" s="3"/>
      <c r="AG5902" s="3"/>
      <c r="AH5902" s="3"/>
    </row>
    <row r="5903" spans="1:34" ht="14.25" customHeight="1" x14ac:dyDescent="0.25">
      <c r="A5903" s="3"/>
      <c r="B5903" s="3"/>
      <c r="C5903" s="3"/>
      <c r="D5903" s="3"/>
      <c r="E5903" s="3"/>
      <c r="F5903" s="3"/>
      <c r="G5903" s="3"/>
      <c r="H5903" s="11"/>
      <c r="I5903" s="12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  <c r="AA5903" s="3"/>
      <c r="AB5903" s="3"/>
      <c r="AC5903" s="3"/>
      <c r="AD5903" s="3"/>
      <c r="AE5903" s="3"/>
      <c r="AF5903" s="3"/>
      <c r="AG5903" s="3"/>
      <c r="AH5903" s="3"/>
    </row>
    <row r="5904" spans="1:34" ht="14.25" customHeight="1" x14ac:dyDescent="0.25">
      <c r="A5904" s="3"/>
      <c r="B5904" s="3"/>
      <c r="C5904" s="3"/>
      <c r="D5904" s="3"/>
      <c r="E5904" s="3"/>
      <c r="F5904" s="3"/>
      <c r="G5904" s="3"/>
      <c r="H5904" s="11"/>
      <c r="I5904" s="12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  <c r="AA5904" s="3"/>
      <c r="AB5904" s="3"/>
      <c r="AC5904" s="3"/>
      <c r="AD5904" s="3"/>
      <c r="AE5904" s="3"/>
      <c r="AF5904" s="3"/>
      <c r="AG5904" s="3"/>
      <c r="AH5904" s="3"/>
    </row>
    <row r="5905" spans="1:34" ht="14.25" customHeight="1" x14ac:dyDescent="0.25">
      <c r="A5905" s="3"/>
      <c r="B5905" s="3"/>
      <c r="C5905" s="3"/>
      <c r="D5905" s="3"/>
      <c r="E5905" s="3"/>
      <c r="F5905" s="3"/>
      <c r="G5905" s="3"/>
      <c r="H5905" s="11"/>
      <c r="I5905" s="12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  <c r="AA5905" s="3"/>
      <c r="AB5905" s="3"/>
      <c r="AC5905" s="3"/>
      <c r="AD5905" s="3"/>
      <c r="AE5905" s="3"/>
      <c r="AF5905" s="3"/>
      <c r="AG5905" s="3"/>
      <c r="AH5905" s="3"/>
    </row>
    <row r="5906" spans="1:34" ht="14.25" customHeight="1" x14ac:dyDescent="0.25">
      <c r="A5906" s="3"/>
      <c r="B5906" s="3"/>
      <c r="C5906" s="3"/>
      <c r="D5906" s="3"/>
      <c r="E5906" s="3"/>
      <c r="F5906" s="3"/>
      <c r="G5906" s="3"/>
      <c r="H5906" s="11"/>
      <c r="I5906" s="12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  <c r="AA5906" s="3"/>
      <c r="AB5906" s="3"/>
      <c r="AC5906" s="3"/>
      <c r="AD5906" s="3"/>
      <c r="AE5906" s="3"/>
      <c r="AF5906" s="3"/>
      <c r="AG5906" s="3"/>
      <c r="AH5906" s="3"/>
    </row>
    <row r="5907" spans="1:34" ht="14.25" customHeight="1" x14ac:dyDescent="0.25">
      <c r="A5907" s="3"/>
      <c r="B5907" s="3"/>
      <c r="C5907" s="3"/>
      <c r="D5907" s="3"/>
      <c r="E5907" s="3"/>
      <c r="F5907" s="3"/>
      <c r="G5907" s="3"/>
      <c r="H5907" s="11"/>
      <c r="I5907" s="12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  <c r="AA5907" s="3"/>
      <c r="AB5907" s="3"/>
      <c r="AC5907" s="3"/>
      <c r="AD5907" s="3"/>
      <c r="AE5907" s="3"/>
      <c r="AF5907" s="3"/>
      <c r="AG5907" s="3"/>
      <c r="AH5907" s="3"/>
    </row>
    <row r="5908" spans="1:34" ht="14.25" customHeight="1" x14ac:dyDescent="0.25">
      <c r="A5908" s="3"/>
      <c r="B5908" s="3"/>
      <c r="C5908" s="3"/>
      <c r="D5908" s="3"/>
      <c r="E5908" s="3"/>
      <c r="F5908" s="3"/>
      <c r="G5908" s="3"/>
      <c r="H5908" s="11"/>
      <c r="I5908" s="12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  <c r="AA5908" s="3"/>
      <c r="AB5908" s="3"/>
      <c r="AC5908" s="3"/>
      <c r="AD5908" s="3"/>
      <c r="AE5908" s="3"/>
      <c r="AF5908" s="3"/>
      <c r="AG5908" s="3"/>
      <c r="AH5908" s="3"/>
    </row>
    <row r="5909" spans="1:34" ht="14.25" customHeight="1" x14ac:dyDescent="0.25">
      <c r="A5909" s="3"/>
      <c r="B5909" s="3"/>
      <c r="C5909" s="3"/>
      <c r="D5909" s="3"/>
      <c r="E5909" s="3"/>
      <c r="F5909" s="3"/>
      <c r="G5909" s="3"/>
      <c r="H5909" s="11"/>
      <c r="I5909" s="12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  <c r="AA5909" s="3"/>
      <c r="AB5909" s="3"/>
      <c r="AC5909" s="3"/>
      <c r="AD5909" s="3"/>
      <c r="AE5909" s="3"/>
      <c r="AF5909" s="3"/>
      <c r="AG5909" s="3"/>
      <c r="AH5909" s="3"/>
    </row>
    <row r="5910" spans="1:34" ht="14.25" customHeight="1" x14ac:dyDescent="0.25">
      <c r="A5910" s="3"/>
      <c r="B5910" s="3"/>
      <c r="C5910" s="3"/>
      <c r="D5910" s="3"/>
      <c r="E5910" s="3"/>
      <c r="F5910" s="3"/>
      <c r="G5910" s="3"/>
      <c r="H5910" s="11"/>
      <c r="I5910" s="12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  <c r="AA5910" s="3"/>
      <c r="AB5910" s="3"/>
      <c r="AC5910" s="3"/>
      <c r="AD5910" s="3"/>
      <c r="AE5910" s="3"/>
      <c r="AF5910" s="3"/>
      <c r="AG5910" s="3"/>
      <c r="AH5910" s="3"/>
    </row>
    <row r="5911" spans="1:34" ht="14.25" customHeight="1" x14ac:dyDescent="0.25">
      <c r="A5911" s="3"/>
      <c r="B5911" s="3"/>
      <c r="C5911" s="3"/>
      <c r="D5911" s="3"/>
      <c r="E5911" s="3"/>
      <c r="F5911" s="3"/>
      <c r="G5911" s="3"/>
      <c r="H5911" s="11"/>
      <c r="I5911" s="12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  <c r="AA5911" s="3"/>
      <c r="AB5911" s="3"/>
      <c r="AC5911" s="3"/>
      <c r="AD5911" s="3"/>
      <c r="AE5911" s="3"/>
      <c r="AF5911" s="3"/>
      <c r="AG5911" s="3"/>
      <c r="AH5911" s="3"/>
    </row>
    <row r="5912" spans="1:34" ht="14.25" customHeight="1" x14ac:dyDescent="0.25">
      <c r="A5912" s="3"/>
      <c r="B5912" s="3"/>
      <c r="C5912" s="3"/>
      <c r="D5912" s="3"/>
      <c r="E5912" s="3"/>
      <c r="F5912" s="3"/>
      <c r="G5912" s="3"/>
      <c r="H5912" s="11"/>
      <c r="I5912" s="12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  <c r="AA5912" s="3"/>
      <c r="AB5912" s="3"/>
      <c r="AC5912" s="3"/>
      <c r="AD5912" s="3"/>
      <c r="AE5912" s="3"/>
      <c r="AF5912" s="3"/>
      <c r="AG5912" s="3"/>
      <c r="AH5912" s="3"/>
    </row>
    <row r="5913" spans="1:34" ht="14.25" customHeight="1" x14ac:dyDescent="0.25">
      <c r="A5913" s="3"/>
      <c r="B5913" s="3"/>
      <c r="C5913" s="3"/>
      <c r="D5913" s="3"/>
      <c r="E5913" s="3"/>
      <c r="F5913" s="3"/>
      <c r="G5913" s="3"/>
      <c r="H5913" s="11"/>
      <c r="I5913" s="12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  <c r="AA5913" s="3"/>
      <c r="AB5913" s="3"/>
      <c r="AC5913" s="3"/>
      <c r="AD5913" s="3"/>
      <c r="AE5913" s="3"/>
      <c r="AF5913" s="3"/>
      <c r="AG5913" s="3"/>
      <c r="AH5913" s="3"/>
    </row>
    <row r="5914" spans="1:34" ht="14.25" customHeight="1" x14ac:dyDescent="0.25">
      <c r="A5914" s="3"/>
      <c r="B5914" s="3"/>
      <c r="C5914" s="3"/>
      <c r="D5914" s="3"/>
      <c r="E5914" s="3"/>
      <c r="F5914" s="3"/>
      <c r="G5914" s="3"/>
      <c r="H5914" s="11"/>
      <c r="I5914" s="12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  <c r="AA5914" s="3"/>
      <c r="AB5914" s="3"/>
      <c r="AC5914" s="3"/>
      <c r="AD5914" s="3"/>
      <c r="AE5914" s="3"/>
      <c r="AF5914" s="3"/>
      <c r="AG5914" s="3"/>
      <c r="AH5914" s="3"/>
    </row>
    <row r="5915" spans="1:34" ht="14.25" customHeight="1" x14ac:dyDescent="0.25">
      <c r="A5915" s="3"/>
      <c r="B5915" s="3"/>
      <c r="C5915" s="3"/>
      <c r="D5915" s="3"/>
      <c r="E5915" s="3"/>
      <c r="F5915" s="3"/>
      <c r="G5915" s="3"/>
      <c r="H5915" s="11"/>
      <c r="I5915" s="12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  <c r="AA5915" s="3"/>
      <c r="AB5915" s="3"/>
      <c r="AC5915" s="3"/>
      <c r="AD5915" s="3"/>
      <c r="AE5915" s="3"/>
      <c r="AF5915" s="3"/>
      <c r="AG5915" s="3"/>
      <c r="AH5915" s="3"/>
    </row>
    <row r="5916" spans="1:34" ht="14.25" customHeight="1" x14ac:dyDescent="0.25">
      <c r="A5916" s="3"/>
      <c r="B5916" s="3"/>
      <c r="C5916" s="3"/>
      <c r="D5916" s="3"/>
      <c r="E5916" s="3"/>
      <c r="F5916" s="3"/>
      <c r="G5916" s="3"/>
      <c r="H5916" s="11"/>
      <c r="I5916" s="12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  <c r="AA5916" s="3"/>
      <c r="AB5916" s="3"/>
      <c r="AC5916" s="3"/>
      <c r="AD5916" s="3"/>
      <c r="AE5916" s="3"/>
      <c r="AF5916" s="3"/>
      <c r="AG5916" s="3"/>
      <c r="AH5916" s="3"/>
    </row>
    <row r="5917" spans="1:34" ht="14.25" customHeight="1" x14ac:dyDescent="0.25">
      <c r="A5917" s="3"/>
      <c r="B5917" s="3"/>
      <c r="C5917" s="3"/>
      <c r="D5917" s="3"/>
      <c r="E5917" s="3"/>
      <c r="F5917" s="3"/>
      <c r="G5917" s="14"/>
      <c r="H5917" s="11"/>
      <c r="I5917" s="12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  <c r="AA5917" s="3"/>
      <c r="AB5917" s="3"/>
      <c r="AC5917" s="3"/>
      <c r="AD5917" s="3"/>
      <c r="AE5917" s="3"/>
      <c r="AF5917" s="3"/>
      <c r="AG5917" s="3"/>
      <c r="AH5917" s="3"/>
    </row>
    <row r="5918" spans="1:34" ht="14.25" customHeight="1" x14ac:dyDescent="0.25">
      <c r="A5918" s="3"/>
      <c r="B5918" s="3"/>
      <c r="C5918" s="3"/>
      <c r="D5918" s="3"/>
      <c r="E5918" s="3"/>
      <c r="F5918" s="3"/>
      <c r="G5918" s="3"/>
      <c r="H5918" s="11"/>
      <c r="I5918" s="12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  <c r="AA5918" s="3"/>
      <c r="AB5918" s="3"/>
      <c r="AC5918" s="3"/>
      <c r="AD5918" s="3"/>
      <c r="AE5918" s="3"/>
      <c r="AF5918" s="3"/>
      <c r="AG5918" s="3"/>
      <c r="AH5918" s="3"/>
    </row>
    <row r="5919" spans="1:34" ht="14.25" customHeight="1" x14ac:dyDescent="0.25">
      <c r="A5919" s="3"/>
      <c r="B5919" s="3"/>
      <c r="C5919" s="3"/>
      <c r="D5919" s="3"/>
      <c r="E5919" s="3"/>
      <c r="F5919" s="3"/>
      <c r="G5919" s="3"/>
      <c r="H5919" s="11"/>
      <c r="I5919" s="12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  <c r="AA5919" s="3"/>
      <c r="AB5919" s="3"/>
      <c r="AC5919" s="3"/>
      <c r="AD5919" s="3"/>
      <c r="AE5919" s="3"/>
      <c r="AF5919" s="3"/>
      <c r="AG5919" s="3"/>
      <c r="AH5919" s="3"/>
    </row>
    <row r="5920" spans="1:34" ht="14.25" customHeight="1" x14ac:dyDescent="0.25">
      <c r="A5920" s="3"/>
      <c r="B5920" s="3"/>
      <c r="C5920" s="3"/>
      <c r="D5920" s="3"/>
      <c r="E5920" s="3"/>
      <c r="F5920" s="3"/>
      <c r="G5920" s="3"/>
      <c r="H5920" s="11"/>
      <c r="I5920" s="12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  <c r="AA5920" s="3"/>
      <c r="AB5920" s="3"/>
      <c r="AC5920" s="3"/>
      <c r="AD5920" s="3"/>
      <c r="AE5920" s="3"/>
      <c r="AF5920" s="3"/>
      <c r="AG5920" s="3"/>
      <c r="AH5920" s="3"/>
    </row>
    <row r="5921" spans="1:34" ht="14.25" customHeight="1" x14ac:dyDescent="0.25">
      <c r="A5921" s="3"/>
      <c r="B5921" s="3"/>
      <c r="C5921" s="3"/>
      <c r="D5921" s="3"/>
      <c r="E5921" s="3"/>
      <c r="F5921" s="3"/>
      <c r="G5921" s="3"/>
      <c r="H5921" s="11"/>
      <c r="I5921" s="12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  <c r="AA5921" s="3"/>
      <c r="AB5921" s="3"/>
      <c r="AC5921" s="3"/>
      <c r="AD5921" s="3"/>
      <c r="AE5921" s="3"/>
      <c r="AF5921" s="3"/>
      <c r="AG5921" s="3"/>
      <c r="AH5921" s="3"/>
    </row>
    <row r="5922" spans="1:34" ht="14.25" customHeight="1" x14ac:dyDescent="0.25">
      <c r="A5922" s="3"/>
      <c r="B5922" s="3"/>
      <c r="C5922" s="3"/>
      <c r="D5922" s="3"/>
      <c r="E5922" s="3"/>
      <c r="F5922" s="3"/>
      <c r="G5922" s="3"/>
      <c r="H5922" s="11"/>
      <c r="I5922" s="12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  <c r="AA5922" s="3"/>
      <c r="AB5922" s="3"/>
      <c r="AC5922" s="3"/>
      <c r="AD5922" s="3"/>
      <c r="AE5922" s="3"/>
      <c r="AF5922" s="3"/>
      <c r="AG5922" s="3"/>
      <c r="AH5922" s="3"/>
    </row>
    <row r="5923" spans="1:34" ht="14.25" customHeight="1" x14ac:dyDescent="0.25">
      <c r="A5923" s="3"/>
      <c r="B5923" s="3"/>
      <c r="C5923" s="3"/>
      <c r="D5923" s="3"/>
      <c r="E5923" s="3"/>
      <c r="F5923" s="3"/>
      <c r="G5923" s="3"/>
      <c r="H5923" s="11"/>
      <c r="I5923" s="12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  <c r="AA5923" s="3"/>
      <c r="AB5923" s="3"/>
      <c r="AC5923" s="3"/>
      <c r="AD5923" s="3"/>
      <c r="AE5923" s="3"/>
      <c r="AF5923" s="3"/>
      <c r="AG5923" s="3"/>
      <c r="AH5923" s="3"/>
    </row>
    <row r="5924" spans="1:34" ht="14.25" customHeight="1" x14ac:dyDescent="0.25">
      <c r="A5924" s="3"/>
      <c r="B5924" s="3"/>
      <c r="C5924" s="3"/>
      <c r="D5924" s="3"/>
      <c r="E5924" s="3"/>
      <c r="F5924" s="3"/>
      <c r="G5924" s="3"/>
      <c r="H5924" s="11"/>
      <c r="I5924" s="12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  <c r="AA5924" s="3"/>
      <c r="AB5924" s="3"/>
      <c r="AC5924" s="3"/>
      <c r="AD5924" s="3"/>
      <c r="AE5924" s="3"/>
      <c r="AF5924" s="3"/>
      <c r="AG5924" s="3"/>
      <c r="AH5924" s="3"/>
    </row>
    <row r="5925" spans="1:34" ht="14.25" customHeight="1" x14ac:dyDescent="0.25">
      <c r="A5925" s="3"/>
      <c r="B5925" s="3"/>
      <c r="C5925" s="3"/>
      <c r="D5925" s="3"/>
      <c r="E5925" s="3"/>
      <c r="F5925" s="3"/>
      <c r="G5925" s="3"/>
      <c r="H5925" s="11"/>
      <c r="I5925" s="12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  <c r="AA5925" s="3"/>
      <c r="AB5925" s="3"/>
      <c r="AC5925" s="3"/>
      <c r="AD5925" s="3"/>
      <c r="AE5925" s="3"/>
      <c r="AF5925" s="3"/>
      <c r="AG5925" s="3"/>
      <c r="AH5925" s="3"/>
    </row>
    <row r="5926" spans="1:34" ht="14.25" customHeight="1" x14ac:dyDescent="0.25">
      <c r="A5926" s="3"/>
      <c r="B5926" s="3"/>
      <c r="C5926" s="3"/>
      <c r="D5926" s="3"/>
      <c r="E5926" s="3"/>
      <c r="F5926" s="3"/>
      <c r="G5926" s="3"/>
      <c r="H5926" s="11"/>
      <c r="I5926" s="12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  <c r="AA5926" s="3"/>
      <c r="AB5926" s="3"/>
      <c r="AC5926" s="3"/>
      <c r="AD5926" s="3"/>
      <c r="AE5926" s="3"/>
      <c r="AF5926" s="3"/>
      <c r="AG5926" s="3"/>
      <c r="AH5926" s="3"/>
    </row>
    <row r="5927" spans="1:34" ht="14.25" customHeight="1" x14ac:dyDescent="0.25">
      <c r="A5927" s="3"/>
      <c r="B5927" s="3"/>
      <c r="C5927" s="3"/>
      <c r="D5927" s="3"/>
      <c r="E5927" s="3"/>
      <c r="F5927" s="3"/>
      <c r="G5927" s="3"/>
      <c r="H5927" s="11"/>
      <c r="I5927" s="12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  <c r="AA5927" s="3"/>
      <c r="AB5927" s="3"/>
      <c r="AC5927" s="3"/>
      <c r="AD5927" s="3"/>
      <c r="AE5927" s="3"/>
      <c r="AF5927" s="3"/>
      <c r="AG5927" s="3"/>
      <c r="AH5927" s="3"/>
    </row>
    <row r="5928" spans="1:34" ht="14.25" customHeight="1" x14ac:dyDescent="0.25">
      <c r="A5928" s="3"/>
      <c r="B5928" s="3"/>
      <c r="C5928" s="3"/>
      <c r="D5928" s="3"/>
      <c r="E5928" s="3"/>
      <c r="F5928" s="3"/>
      <c r="G5928" s="3"/>
      <c r="H5928" s="11"/>
      <c r="I5928" s="12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  <c r="AA5928" s="3"/>
      <c r="AB5928" s="3"/>
      <c r="AC5928" s="3"/>
      <c r="AD5928" s="3"/>
      <c r="AE5928" s="3"/>
      <c r="AF5928" s="3"/>
      <c r="AG5928" s="3"/>
      <c r="AH5928" s="3"/>
    </row>
    <row r="5929" spans="1:34" ht="14.25" customHeight="1" x14ac:dyDescent="0.25">
      <c r="A5929" s="3"/>
      <c r="B5929" s="3"/>
      <c r="C5929" s="3"/>
      <c r="D5929" s="3"/>
      <c r="E5929" s="3"/>
      <c r="F5929" s="3"/>
      <c r="G5929" s="3"/>
      <c r="H5929" s="11"/>
      <c r="I5929" s="12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  <c r="AA5929" s="3"/>
      <c r="AB5929" s="3"/>
      <c r="AC5929" s="3"/>
      <c r="AD5929" s="3"/>
      <c r="AE5929" s="3"/>
      <c r="AF5929" s="3"/>
      <c r="AG5929" s="3"/>
      <c r="AH5929" s="3"/>
    </row>
    <row r="5930" spans="1:34" ht="14.25" customHeight="1" x14ac:dyDescent="0.25">
      <c r="A5930" s="3"/>
      <c r="B5930" s="3"/>
      <c r="C5930" s="3"/>
      <c r="D5930" s="3"/>
      <c r="E5930" s="3"/>
      <c r="F5930" s="3"/>
      <c r="G5930" s="3"/>
      <c r="H5930" s="11"/>
      <c r="I5930" s="12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  <c r="AA5930" s="3"/>
      <c r="AB5930" s="3"/>
      <c r="AC5930" s="3"/>
      <c r="AD5930" s="3"/>
      <c r="AE5930" s="3"/>
      <c r="AF5930" s="3"/>
      <c r="AG5930" s="3"/>
      <c r="AH5930" s="3"/>
    </row>
    <row r="5931" spans="1:34" ht="14.25" customHeight="1" x14ac:dyDescent="0.25">
      <c r="A5931" s="3"/>
      <c r="B5931" s="3"/>
      <c r="C5931" s="3"/>
      <c r="D5931" s="3"/>
      <c r="E5931" s="3"/>
      <c r="F5931" s="3"/>
      <c r="G5931" s="3"/>
      <c r="H5931" s="11"/>
      <c r="I5931" s="12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  <c r="AA5931" s="3"/>
      <c r="AB5931" s="3"/>
      <c r="AC5931" s="3"/>
      <c r="AD5931" s="3"/>
      <c r="AE5931" s="3"/>
      <c r="AF5931" s="3"/>
      <c r="AG5931" s="3"/>
      <c r="AH5931" s="3"/>
    </row>
    <row r="5932" spans="1:34" ht="14.25" customHeight="1" x14ac:dyDescent="0.25">
      <c r="A5932" s="3"/>
      <c r="B5932" s="3"/>
      <c r="C5932" s="3"/>
      <c r="D5932" s="3"/>
      <c r="E5932" s="3"/>
      <c r="F5932" s="3"/>
      <c r="G5932" s="3"/>
      <c r="H5932" s="11"/>
      <c r="I5932" s="12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  <c r="AA5932" s="3"/>
      <c r="AB5932" s="3"/>
      <c r="AC5932" s="3"/>
      <c r="AD5932" s="3"/>
      <c r="AE5932" s="3"/>
      <c r="AF5932" s="3"/>
      <c r="AG5932" s="3"/>
      <c r="AH5932" s="3"/>
    </row>
    <row r="5933" spans="1:34" ht="14.25" customHeight="1" x14ac:dyDescent="0.25">
      <c r="A5933" s="3"/>
      <c r="B5933" s="3"/>
      <c r="C5933" s="3"/>
      <c r="D5933" s="3"/>
      <c r="E5933" s="3"/>
      <c r="F5933" s="3"/>
      <c r="G5933" s="3"/>
      <c r="H5933" s="11"/>
      <c r="I5933" s="12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  <c r="AA5933" s="3"/>
      <c r="AB5933" s="3"/>
      <c r="AC5933" s="3"/>
      <c r="AD5933" s="3"/>
      <c r="AE5933" s="3"/>
      <c r="AF5933" s="3"/>
      <c r="AG5933" s="3"/>
      <c r="AH5933" s="3"/>
    </row>
    <row r="5934" spans="1:34" ht="14.25" customHeight="1" x14ac:dyDescent="0.25">
      <c r="A5934" s="3"/>
      <c r="B5934" s="3"/>
      <c r="C5934" s="3"/>
      <c r="D5934" s="3"/>
      <c r="E5934" s="3"/>
      <c r="F5934" s="3"/>
      <c r="G5934" s="3"/>
      <c r="H5934" s="11"/>
      <c r="I5934" s="12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  <c r="AA5934" s="3"/>
      <c r="AB5934" s="3"/>
      <c r="AC5934" s="3"/>
      <c r="AD5934" s="3"/>
      <c r="AE5934" s="3"/>
      <c r="AF5934" s="3"/>
      <c r="AG5934" s="3"/>
      <c r="AH5934" s="3"/>
    </row>
    <row r="5935" spans="1:34" ht="14.25" customHeight="1" x14ac:dyDescent="0.25">
      <c r="A5935" s="3"/>
      <c r="B5935" s="3"/>
      <c r="C5935" s="3"/>
      <c r="D5935" s="3"/>
      <c r="E5935" s="3"/>
      <c r="F5935" s="3"/>
      <c r="G5935" s="3"/>
      <c r="H5935" s="11"/>
      <c r="I5935" s="12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  <c r="AA5935" s="3"/>
      <c r="AB5935" s="3"/>
      <c r="AC5935" s="3"/>
      <c r="AD5935" s="3"/>
      <c r="AE5935" s="3"/>
      <c r="AF5935" s="3"/>
      <c r="AG5935" s="3"/>
      <c r="AH5935" s="3"/>
    </row>
    <row r="5936" spans="1:34" ht="14.25" customHeight="1" x14ac:dyDescent="0.25">
      <c r="A5936" s="3"/>
      <c r="B5936" s="3"/>
      <c r="C5936" s="3"/>
      <c r="D5936" s="3"/>
      <c r="E5936" s="3"/>
      <c r="F5936" s="3"/>
      <c r="G5936" s="3"/>
      <c r="H5936" s="11"/>
      <c r="I5936" s="12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  <c r="AA5936" s="3"/>
      <c r="AB5936" s="3"/>
      <c r="AC5936" s="3"/>
      <c r="AD5936" s="3"/>
      <c r="AE5936" s="3"/>
      <c r="AF5936" s="3"/>
      <c r="AG5936" s="3"/>
      <c r="AH5936" s="3"/>
    </row>
    <row r="5937" spans="1:34" ht="14.25" customHeight="1" x14ac:dyDescent="0.25">
      <c r="A5937" s="3"/>
      <c r="B5937" s="3"/>
      <c r="C5937" s="3"/>
      <c r="D5937" s="3"/>
      <c r="E5937" s="3"/>
      <c r="F5937" s="3"/>
      <c r="G5937" s="3"/>
      <c r="H5937" s="11"/>
      <c r="I5937" s="12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  <c r="AA5937" s="3"/>
      <c r="AB5937" s="3"/>
      <c r="AC5937" s="3"/>
      <c r="AD5937" s="3"/>
      <c r="AE5937" s="3"/>
      <c r="AF5937" s="3"/>
      <c r="AG5937" s="3"/>
      <c r="AH5937" s="3"/>
    </row>
    <row r="5938" spans="1:34" ht="14.25" customHeight="1" x14ac:dyDescent="0.25">
      <c r="A5938" s="3"/>
      <c r="B5938" s="3"/>
      <c r="C5938" s="3"/>
      <c r="D5938" s="3"/>
      <c r="E5938" s="3"/>
      <c r="F5938" s="3"/>
      <c r="G5938" s="3"/>
      <c r="H5938" s="11"/>
      <c r="I5938" s="12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  <c r="AA5938" s="3"/>
      <c r="AB5938" s="3"/>
      <c r="AC5938" s="3"/>
      <c r="AD5938" s="3"/>
      <c r="AE5938" s="3"/>
      <c r="AF5938" s="3"/>
      <c r="AG5938" s="3"/>
      <c r="AH5938" s="3"/>
    </row>
    <row r="5939" spans="1:34" ht="14.25" customHeight="1" x14ac:dyDescent="0.25">
      <c r="A5939" s="3"/>
      <c r="B5939" s="3"/>
      <c r="C5939" s="3"/>
      <c r="D5939" s="3"/>
      <c r="E5939" s="3"/>
      <c r="F5939" s="3"/>
      <c r="G5939" s="3"/>
      <c r="H5939" s="11"/>
      <c r="I5939" s="12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  <c r="AA5939" s="3"/>
      <c r="AB5939" s="3"/>
      <c r="AC5939" s="3"/>
      <c r="AD5939" s="3"/>
      <c r="AE5939" s="3"/>
      <c r="AF5939" s="3"/>
      <c r="AG5939" s="3"/>
      <c r="AH5939" s="3"/>
    </row>
    <row r="5940" spans="1:34" ht="14.25" customHeight="1" x14ac:dyDescent="0.25">
      <c r="A5940" s="3"/>
      <c r="B5940" s="3"/>
      <c r="C5940" s="3"/>
      <c r="D5940" s="3"/>
      <c r="E5940" s="3"/>
      <c r="F5940" s="3"/>
      <c r="G5940" s="3"/>
      <c r="H5940" s="11"/>
      <c r="I5940" s="12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  <c r="AA5940" s="3"/>
      <c r="AB5940" s="3"/>
      <c r="AC5940" s="3"/>
      <c r="AD5940" s="3"/>
      <c r="AE5940" s="3"/>
      <c r="AF5940" s="3"/>
      <c r="AG5940" s="3"/>
      <c r="AH5940" s="3"/>
    </row>
    <row r="5941" spans="1:34" ht="14.25" customHeight="1" x14ac:dyDescent="0.25">
      <c r="A5941" s="3"/>
      <c r="B5941" s="3"/>
      <c r="C5941" s="3"/>
      <c r="D5941" s="3"/>
      <c r="E5941" s="3"/>
      <c r="F5941" s="3"/>
      <c r="G5941" s="3"/>
      <c r="H5941" s="11"/>
      <c r="I5941" s="12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  <c r="AA5941" s="3"/>
      <c r="AB5941" s="3"/>
      <c r="AC5941" s="3"/>
      <c r="AD5941" s="3"/>
      <c r="AE5941" s="3"/>
      <c r="AF5941" s="3"/>
      <c r="AG5941" s="3"/>
      <c r="AH5941" s="3"/>
    </row>
    <row r="5942" spans="1:34" ht="14.25" customHeight="1" x14ac:dyDescent="0.25">
      <c r="A5942" s="3"/>
      <c r="B5942" s="3"/>
      <c r="C5942" s="3"/>
      <c r="D5942" s="3"/>
      <c r="E5942" s="3"/>
      <c r="F5942" s="3"/>
      <c r="G5942" s="3"/>
      <c r="H5942" s="11"/>
      <c r="I5942" s="12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  <c r="AA5942" s="3"/>
      <c r="AB5942" s="3"/>
      <c r="AC5942" s="3"/>
      <c r="AD5942" s="3"/>
      <c r="AE5942" s="3"/>
      <c r="AF5942" s="3"/>
      <c r="AG5942" s="3"/>
      <c r="AH5942" s="3"/>
    </row>
    <row r="5943" spans="1:34" ht="14.25" customHeight="1" x14ac:dyDescent="0.25">
      <c r="A5943" s="3"/>
      <c r="B5943" s="3"/>
      <c r="C5943" s="3"/>
      <c r="D5943" s="3"/>
      <c r="E5943" s="3"/>
      <c r="F5943" s="3"/>
      <c r="G5943" s="3"/>
      <c r="H5943" s="11"/>
      <c r="I5943" s="12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  <c r="AA5943" s="3"/>
      <c r="AB5943" s="3"/>
      <c r="AC5943" s="3"/>
      <c r="AD5943" s="3"/>
      <c r="AE5943" s="3"/>
      <c r="AF5943" s="3"/>
      <c r="AG5943" s="3"/>
      <c r="AH5943" s="3"/>
    </row>
    <row r="5944" spans="1:34" ht="14.25" customHeight="1" x14ac:dyDescent="0.25">
      <c r="A5944" s="3"/>
      <c r="B5944" s="3"/>
      <c r="C5944" s="3"/>
      <c r="D5944" s="3"/>
      <c r="E5944" s="3"/>
      <c r="F5944" s="3"/>
      <c r="G5944" s="3"/>
      <c r="H5944" s="11"/>
      <c r="I5944" s="12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  <c r="AA5944" s="3"/>
      <c r="AB5944" s="3"/>
      <c r="AC5944" s="3"/>
      <c r="AD5944" s="3"/>
      <c r="AE5944" s="3"/>
      <c r="AF5944" s="3"/>
      <c r="AG5944" s="3"/>
      <c r="AH5944" s="3"/>
    </row>
    <row r="5945" spans="1:34" ht="14.25" customHeight="1" x14ac:dyDescent="0.25">
      <c r="A5945" s="3"/>
      <c r="B5945" s="3"/>
      <c r="C5945" s="3"/>
      <c r="D5945" s="3"/>
      <c r="E5945" s="3"/>
      <c r="F5945" s="3"/>
      <c r="G5945" s="14"/>
      <c r="H5945" s="11"/>
      <c r="I5945" s="12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  <c r="AA5945" s="3"/>
      <c r="AB5945" s="3"/>
      <c r="AC5945" s="3"/>
      <c r="AD5945" s="3"/>
      <c r="AE5945" s="3"/>
      <c r="AF5945" s="3"/>
      <c r="AG5945" s="3"/>
      <c r="AH5945" s="3"/>
    </row>
    <row r="5946" spans="1:34" ht="14.25" customHeight="1" x14ac:dyDescent="0.25">
      <c r="A5946" s="3"/>
      <c r="B5946" s="3"/>
      <c r="C5946" s="3"/>
      <c r="D5946" s="3"/>
      <c r="E5946" s="3"/>
      <c r="F5946" s="3"/>
      <c r="G5946" s="3"/>
      <c r="H5946" s="11"/>
      <c r="I5946" s="12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  <c r="AA5946" s="3"/>
      <c r="AB5946" s="3"/>
      <c r="AC5946" s="3"/>
      <c r="AD5946" s="3"/>
      <c r="AE5946" s="3"/>
      <c r="AF5946" s="3"/>
      <c r="AG5946" s="3"/>
      <c r="AH5946" s="3"/>
    </row>
    <row r="5947" spans="1:34" ht="14.25" customHeight="1" x14ac:dyDescent="0.25">
      <c r="A5947" s="3"/>
      <c r="B5947" s="3"/>
      <c r="C5947" s="3"/>
      <c r="D5947" s="3"/>
      <c r="E5947" s="3"/>
      <c r="F5947" s="3"/>
      <c r="G5947" s="3"/>
      <c r="H5947" s="11"/>
      <c r="I5947" s="12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  <c r="AA5947" s="3"/>
      <c r="AB5947" s="3"/>
      <c r="AC5947" s="3"/>
      <c r="AD5947" s="3"/>
      <c r="AE5947" s="3"/>
      <c r="AF5947" s="3"/>
      <c r="AG5947" s="3"/>
      <c r="AH5947" s="3"/>
    </row>
    <row r="5948" spans="1:34" ht="14.25" customHeight="1" x14ac:dyDescent="0.25">
      <c r="A5948" s="3"/>
      <c r="B5948" s="3"/>
      <c r="C5948" s="3"/>
      <c r="D5948" s="3"/>
      <c r="E5948" s="3"/>
      <c r="F5948" s="3"/>
      <c r="G5948" s="3"/>
      <c r="H5948" s="11"/>
      <c r="I5948" s="12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  <c r="AA5948" s="3"/>
      <c r="AB5948" s="3"/>
      <c r="AC5948" s="3"/>
      <c r="AD5948" s="3"/>
      <c r="AE5948" s="3"/>
      <c r="AF5948" s="3"/>
      <c r="AG5948" s="3"/>
      <c r="AH5948" s="3"/>
    </row>
    <row r="5949" spans="1:34" ht="14.25" customHeight="1" x14ac:dyDescent="0.25">
      <c r="A5949" s="3"/>
      <c r="B5949" s="3"/>
      <c r="C5949" s="3"/>
      <c r="D5949" s="3"/>
      <c r="E5949" s="3"/>
      <c r="F5949" s="3"/>
      <c r="G5949" s="3"/>
      <c r="H5949" s="11"/>
      <c r="I5949" s="12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  <c r="AA5949" s="3"/>
      <c r="AB5949" s="3"/>
      <c r="AC5949" s="3"/>
      <c r="AD5949" s="3"/>
      <c r="AE5949" s="3"/>
      <c r="AF5949" s="3"/>
      <c r="AG5949" s="3"/>
      <c r="AH5949" s="3"/>
    </row>
    <row r="5950" spans="1:34" ht="14.25" customHeight="1" x14ac:dyDescent="0.25">
      <c r="A5950" s="3"/>
      <c r="B5950" s="3"/>
      <c r="C5950" s="3"/>
      <c r="D5950" s="3"/>
      <c r="E5950" s="3"/>
      <c r="F5950" s="3"/>
      <c r="G5950" s="3"/>
      <c r="H5950" s="11"/>
      <c r="I5950" s="12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  <c r="AA5950" s="3"/>
      <c r="AB5950" s="3"/>
      <c r="AC5950" s="3"/>
      <c r="AD5950" s="3"/>
      <c r="AE5950" s="3"/>
      <c r="AF5950" s="3"/>
      <c r="AG5950" s="3"/>
      <c r="AH5950" s="3"/>
    </row>
    <row r="5951" spans="1:34" ht="14.25" customHeight="1" x14ac:dyDescent="0.25">
      <c r="A5951" s="3"/>
      <c r="B5951" s="3"/>
      <c r="C5951" s="3"/>
      <c r="D5951" s="3"/>
      <c r="E5951" s="3"/>
      <c r="F5951" s="3"/>
      <c r="G5951" s="3"/>
      <c r="H5951" s="11"/>
      <c r="I5951" s="12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  <c r="AA5951" s="3"/>
      <c r="AB5951" s="3"/>
      <c r="AC5951" s="3"/>
      <c r="AD5951" s="3"/>
      <c r="AE5951" s="3"/>
      <c r="AF5951" s="3"/>
      <c r="AG5951" s="3"/>
      <c r="AH5951" s="3"/>
    </row>
    <row r="5952" spans="1:34" ht="14.25" customHeight="1" x14ac:dyDescent="0.25">
      <c r="A5952" s="3"/>
      <c r="B5952" s="3"/>
      <c r="C5952" s="3"/>
      <c r="D5952" s="3"/>
      <c r="E5952" s="3"/>
      <c r="F5952" s="3"/>
      <c r="G5952" s="3"/>
      <c r="H5952" s="11"/>
      <c r="I5952" s="12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  <c r="AA5952" s="3"/>
      <c r="AB5952" s="3"/>
      <c r="AC5952" s="3"/>
      <c r="AD5952" s="3"/>
      <c r="AE5952" s="3"/>
      <c r="AF5952" s="3"/>
      <c r="AG5952" s="3"/>
      <c r="AH5952" s="3"/>
    </row>
    <row r="5953" spans="1:34" ht="14.25" customHeight="1" x14ac:dyDescent="0.25">
      <c r="A5953" s="3"/>
      <c r="B5953" s="3"/>
      <c r="C5953" s="3"/>
      <c r="D5953" s="3"/>
      <c r="E5953" s="3"/>
      <c r="F5953" s="3"/>
      <c r="G5953" s="3"/>
      <c r="H5953" s="11"/>
      <c r="I5953" s="12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  <c r="AA5953" s="3"/>
      <c r="AB5953" s="3"/>
      <c r="AC5953" s="3"/>
      <c r="AD5953" s="3"/>
      <c r="AE5953" s="3"/>
      <c r="AF5953" s="3"/>
      <c r="AG5953" s="3"/>
      <c r="AH5953" s="3"/>
    </row>
    <row r="5954" spans="1:34" ht="14.25" customHeight="1" x14ac:dyDescent="0.25">
      <c r="A5954" s="3"/>
      <c r="B5954" s="3"/>
      <c r="C5954" s="3"/>
      <c r="D5954" s="3"/>
      <c r="E5954" s="3"/>
      <c r="F5954" s="3"/>
      <c r="G5954" s="3"/>
      <c r="H5954" s="11"/>
      <c r="I5954" s="12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  <c r="AA5954" s="3"/>
      <c r="AB5954" s="3"/>
      <c r="AC5954" s="3"/>
      <c r="AD5954" s="3"/>
      <c r="AE5954" s="3"/>
      <c r="AF5954" s="3"/>
      <c r="AG5954" s="3"/>
      <c r="AH5954" s="3"/>
    </row>
    <row r="5955" spans="1:34" ht="14.25" customHeight="1" x14ac:dyDescent="0.25">
      <c r="A5955" s="3"/>
      <c r="B5955" s="3"/>
      <c r="C5955" s="3"/>
      <c r="D5955" s="3"/>
      <c r="E5955" s="3"/>
      <c r="F5955" s="3"/>
      <c r="G5955" s="3"/>
      <c r="H5955" s="11"/>
      <c r="I5955" s="12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  <c r="AA5955" s="3"/>
      <c r="AB5955" s="3"/>
      <c r="AC5955" s="3"/>
      <c r="AD5955" s="3"/>
      <c r="AE5955" s="3"/>
      <c r="AF5955" s="3"/>
      <c r="AG5955" s="3"/>
      <c r="AH5955" s="3"/>
    </row>
    <row r="5956" spans="1:34" ht="14.25" customHeight="1" x14ac:dyDescent="0.25">
      <c r="A5956" s="3"/>
      <c r="B5956" s="3"/>
      <c r="C5956" s="3"/>
      <c r="D5956" s="3"/>
      <c r="E5956" s="3"/>
      <c r="F5956" s="3"/>
      <c r="G5956" s="3"/>
      <c r="H5956" s="11"/>
      <c r="I5956" s="12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  <c r="AA5956" s="3"/>
      <c r="AB5956" s="3"/>
      <c r="AC5956" s="3"/>
      <c r="AD5956" s="3"/>
      <c r="AE5956" s="3"/>
      <c r="AF5956" s="3"/>
      <c r="AG5956" s="3"/>
      <c r="AH5956" s="3"/>
    </row>
    <row r="5957" spans="1:34" ht="14.25" customHeight="1" x14ac:dyDescent="0.25">
      <c r="A5957" s="3"/>
      <c r="B5957" s="3"/>
      <c r="C5957" s="3"/>
      <c r="D5957" s="3"/>
      <c r="E5957" s="3"/>
      <c r="F5957" s="3"/>
      <c r="G5957" s="3"/>
      <c r="H5957" s="11"/>
      <c r="I5957" s="12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  <c r="AA5957" s="3"/>
      <c r="AB5957" s="3"/>
      <c r="AC5957" s="3"/>
      <c r="AD5957" s="3"/>
      <c r="AE5957" s="3"/>
      <c r="AF5957" s="3"/>
      <c r="AG5957" s="3"/>
      <c r="AH5957" s="3"/>
    </row>
    <row r="5958" spans="1:34" ht="14.25" customHeight="1" x14ac:dyDescent="0.25">
      <c r="A5958" s="3"/>
      <c r="B5958" s="3"/>
      <c r="C5958" s="3"/>
      <c r="D5958" s="3"/>
      <c r="E5958" s="3"/>
      <c r="F5958" s="3"/>
      <c r="G5958" s="3"/>
      <c r="H5958" s="11"/>
      <c r="I5958" s="12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  <c r="AA5958" s="3"/>
      <c r="AB5958" s="3"/>
      <c r="AC5958" s="3"/>
      <c r="AD5958" s="3"/>
      <c r="AE5958" s="3"/>
      <c r="AF5958" s="3"/>
      <c r="AG5958" s="3"/>
      <c r="AH5958" s="3"/>
    </row>
    <row r="5959" spans="1:34" ht="14.25" customHeight="1" x14ac:dyDescent="0.25">
      <c r="A5959" s="3"/>
      <c r="B5959" s="3"/>
      <c r="C5959" s="3"/>
      <c r="D5959" s="3"/>
      <c r="E5959" s="3"/>
      <c r="F5959" s="3"/>
      <c r="G5959" s="3"/>
      <c r="H5959" s="11"/>
      <c r="I5959" s="12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  <c r="AA5959" s="3"/>
      <c r="AB5959" s="3"/>
      <c r="AC5959" s="3"/>
      <c r="AD5959" s="3"/>
      <c r="AE5959" s="3"/>
      <c r="AF5959" s="3"/>
      <c r="AG5959" s="3"/>
      <c r="AH5959" s="3"/>
    </row>
    <row r="5960" spans="1:34" ht="14.25" customHeight="1" x14ac:dyDescent="0.25">
      <c r="A5960" s="3"/>
      <c r="B5960" s="3"/>
      <c r="C5960" s="3"/>
      <c r="D5960" s="3"/>
      <c r="E5960" s="3"/>
      <c r="F5960" s="3"/>
      <c r="G5960" s="3"/>
      <c r="H5960" s="11"/>
      <c r="I5960" s="12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  <c r="AA5960" s="3"/>
      <c r="AB5960" s="3"/>
      <c r="AC5960" s="3"/>
      <c r="AD5960" s="3"/>
      <c r="AE5960" s="3"/>
      <c r="AF5960" s="3"/>
      <c r="AG5960" s="3"/>
      <c r="AH5960" s="3"/>
    </row>
    <row r="5961" spans="1:34" ht="14.25" customHeight="1" x14ac:dyDescent="0.25">
      <c r="A5961" s="3"/>
      <c r="B5961" s="3"/>
      <c r="C5961" s="3"/>
      <c r="D5961" s="3"/>
      <c r="E5961" s="3"/>
      <c r="F5961" s="3"/>
      <c r="G5961" s="3"/>
      <c r="H5961" s="11"/>
      <c r="I5961" s="12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  <c r="AA5961" s="3"/>
      <c r="AB5961" s="3"/>
      <c r="AC5961" s="3"/>
      <c r="AD5961" s="3"/>
      <c r="AE5961" s="3"/>
      <c r="AF5961" s="3"/>
      <c r="AG5961" s="3"/>
      <c r="AH5961" s="3"/>
    </row>
    <row r="5962" spans="1:34" ht="14.25" customHeight="1" x14ac:dyDescent="0.25">
      <c r="A5962" s="3"/>
      <c r="B5962" s="3"/>
      <c r="C5962" s="3"/>
      <c r="D5962" s="3"/>
      <c r="E5962" s="3"/>
      <c r="F5962" s="3"/>
      <c r="G5962" s="3"/>
      <c r="H5962" s="11"/>
      <c r="I5962" s="12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  <c r="AA5962" s="3"/>
      <c r="AB5962" s="3"/>
      <c r="AC5962" s="3"/>
      <c r="AD5962" s="3"/>
      <c r="AE5962" s="3"/>
      <c r="AF5962" s="3"/>
      <c r="AG5962" s="3"/>
      <c r="AH5962" s="3"/>
    </row>
    <row r="5963" spans="1:34" ht="14.25" customHeight="1" x14ac:dyDescent="0.25">
      <c r="A5963" s="3"/>
      <c r="B5963" s="3"/>
      <c r="C5963" s="3"/>
      <c r="D5963" s="3"/>
      <c r="E5963" s="3"/>
      <c r="F5963" s="3"/>
      <c r="G5963" s="3"/>
      <c r="H5963" s="11"/>
      <c r="I5963" s="12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  <c r="AA5963" s="3"/>
      <c r="AB5963" s="3"/>
      <c r="AC5963" s="3"/>
      <c r="AD5963" s="3"/>
      <c r="AE5963" s="3"/>
      <c r="AF5963" s="3"/>
      <c r="AG5963" s="3"/>
      <c r="AH5963" s="3"/>
    </row>
    <row r="5964" spans="1:34" ht="14.25" customHeight="1" x14ac:dyDescent="0.25">
      <c r="A5964" s="3"/>
      <c r="B5964" s="3"/>
      <c r="C5964" s="3"/>
      <c r="D5964" s="3"/>
      <c r="E5964" s="3"/>
      <c r="F5964" s="3"/>
      <c r="G5964" s="3"/>
      <c r="H5964" s="11"/>
      <c r="I5964" s="12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  <c r="AA5964" s="3"/>
      <c r="AB5964" s="3"/>
      <c r="AC5964" s="3"/>
      <c r="AD5964" s="3"/>
      <c r="AE5964" s="3"/>
      <c r="AF5964" s="3"/>
      <c r="AG5964" s="3"/>
      <c r="AH5964" s="3"/>
    </row>
    <row r="5965" spans="1:34" ht="14.25" customHeight="1" x14ac:dyDescent="0.25">
      <c r="A5965" s="3"/>
      <c r="B5965" s="3"/>
      <c r="C5965" s="3"/>
      <c r="D5965" s="3"/>
      <c r="E5965" s="3"/>
      <c r="F5965" s="3"/>
      <c r="G5965" s="3"/>
      <c r="H5965" s="11"/>
      <c r="I5965" s="12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  <c r="AA5965" s="3"/>
      <c r="AB5965" s="3"/>
      <c r="AC5965" s="3"/>
      <c r="AD5965" s="3"/>
      <c r="AE5965" s="3"/>
      <c r="AF5965" s="3"/>
      <c r="AG5965" s="3"/>
      <c r="AH5965" s="3"/>
    </row>
    <row r="5966" spans="1:34" ht="14.25" customHeight="1" x14ac:dyDescent="0.25">
      <c r="A5966" s="3"/>
      <c r="B5966" s="3"/>
      <c r="C5966" s="3"/>
      <c r="D5966" s="3"/>
      <c r="E5966" s="3"/>
      <c r="F5966" s="3"/>
      <c r="G5966" s="3"/>
      <c r="H5966" s="11"/>
      <c r="I5966" s="12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  <c r="AA5966" s="3"/>
      <c r="AB5966" s="3"/>
      <c r="AC5966" s="3"/>
      <c r="AD5966" s="3"/>
      <c r="AE5966" s="3"/>
      <c r="AF5966" s="3"/>
      <c r="AG5966" s="3"/>
      <c r="AH5966" s="3"/>
    </row>
    <row r="5967" spans="1:34" ht="14.25" customHeight="1" x14ac:dyDescent="0.25">
      <c r="A5967" s="3"/>
      <c r="B5967" s="3"/>
      <c r="C5967" s="3"/>
      <c r="D5967" s="3"/>
      <c r="E5967" s="3"/>
      <c r="F5967" s="3"/>
      <c r="G5967" s="3"/>
      <c r="H5967" s="11"/>
      <c r="I5967" s="12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  <c r="AA5967" s="3"/>
      <c r="AB5967" s="3"/>
      <c r="AC5967" s="3"/>
      <c r="AD5967" s="3"/>
      <c r="AE5967" s="3"/>
      <c r="AF5967" s="3"/>
      <c r="AG5967" s="3"/>
      <c r="AH5967" s="3"/>
    </row>
    <row r="5968" spans="1:34" ht="14.25" customHeight="1" x14ac:dyDescent="0.25">
      <c r="A5968" s="3"/>
      <c r="B5968" s="3"/>
      <c r="C5968" s="3"/>
      <c r="D5968" s="3"/>
      <c r="E5968" s="3"/>
      <c r="F5968" s="3"/>
      <c r="G5968" s="3"/>
      <c r="H5968" s="11"/>
      <c r="I5968" s="12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  <c r="AA5968" s="3"/>
      <c r="AB5968" s="3"/>
      <c r="AC5968" s="3"/>
      <c r="AD5968" s="3"/>
      <c r="AE5968" s="3"/>
      <c r="AF5968" s="3"/>
      <c r="AG5968" s="3"/>
      <c r="AH5968" s="3"/>
    </row>
    <row r="5969" spans="1:34" ht="14.25" customHeight="1" x14ac:dyDescent="0.25">
      <c r="A5969" s="3"/>
      <c r="B5969" s="3"/>
      <c r="C5969" s="3"/>
      <c r="D5969" s="3"/>
      <c r="E5969" s="3"/>
      <c r="F5969" s="3"/>
      <c r="G5969" s="3"/>
      <c r="H5969" s="11"/>
      <c r="I5969" s="12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  <c r="AA5969" s="3"/>
      <c r="AB5969" s="3"/>
      <c r="AC5969" s="3"/>
      <c r="AD5969" s="3"/>
      <c r="AE5969" s="3"/>
      <c r="AF5969" s="3"/>
      <c r="AG5969" s="3"/>
      <c r="AH5969" s="3"/>
    </row>
    <row r="5970" spans="1:34" ht="14.25" customHeight="1" x14ac:dyDescent="0.25">
      <c r="A5970" s="3"/>
      <c r="B5970" s="3"/>
      <c r="C5970" s="3"/>
      <c r="D5970" s="3"/>
      <c r="E5970" s="3"/>
      <c r="F5970" s="3"/>
      <c r="G5970" s="3"/>
      <c r="H5970" s="11"/>
      <c r="I5970" s="12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  <c r="AA5970" s="3"/>
      <c r="AB5970" s="3"/>
      <c r="AC5970" s="3"/>
      <c r="AD5970" s="3"/>
      <c r="AE5970" s="3"/>
      <c r="AF5970" s="3"/>
      <c r="AG5970" s="3"/>
      <c r="AH5970" s="3"/>
    </row>
    <row r="5971" spans="1:34" ht="14.25" customHeight="1" x14ac:dyDescent="0.25">
      <c r="A5971" s="3"/>
      <c r="B5971" s="3"/>
      <c r="C5971" s="3"/>
      <c r="D5971" s="3"/>
      <c r="E5971" s="3"/>
      <c r="F5971" s="3"/>
      <c r="G5971" s="3"/>
      <c r="H5971" s="11"/>
      <c r="I5971" s="12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  <c r="AA5971" s="3"/>
      <c r="AB5971" s="3"/>
      <c r="AC5971" s="3"/>
      <c r="AD5971" s="3"/>
      <c r="AE5971" s="3"/>
      <c r="AF5971" s="3"/>
      <c r="AG5971" s="3"/>
      <c r="AH5971" s="3"/>
    </row>
    <row r="5972" spans="1:34" ht="14.25" customHeight="1" x14ac:dyDescent="0.25">
      <c r="A5972" s="3"/>
      <c r="B5972" s="3"/>
      <c r="C5972" s="3"/>
      <c r="D5972" s="3"/>
      <c r="E5972" s="3"/>
      <c r="F5972" s="3"/>
      <c r="G5972" s="3"/>
      <c r="H5972" s="11"/>
      <c r="I5972" s="12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  <c r="AA5972" s="3"/>
      <c r="AB5972" s="3"/>
      <c r="AC5972" s="3"/>
      <c r="AD5972" s="3"/>
      <c r="AE5972" s="3"/>
      <c r="AF5972" s="3"/>
      <c r="AG5972" s="3"/>
      <c r="AH5972" s="3"/>
    </row>
    <row r="5973" spans="1:34" ht="14.25" customHeight="1" x14ac:dyDescent="0.25">
      <c r="A5973" s="3"/>
      <c r="B5973" s="3"/>
      <c r="C5973" s="3"/>
      <c r="D5973" s="3"/>
      <c r="E5973" s="3"/>
      <c r="F5973" s="3"/>
      <c r="G5973" s="3"/>
      <c r="H5973" s="11"/>
      <c r="I5973" s="12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  <c r="AA5973" s="3"/>
      <c r="AB5973" s="3"/>
      <c r="AC5973" s="3"/>
      <c r="AD5973" s="3"/>
      <c r="AE5973" s="3"/>
      <c r="AF5973" s="3"/>
      <c r="AG5973" s="3"/>
      <c r="AH5973" s="3"/>
    </row>
    <row r="5974" spans="1:34" ht="14.25" customHeight="1" x14ac:dyDescent="0.25">
      <c r="A5974" s="3"/>
      <c r="B5974" s="3"/>
      <c r="C5974" s="3"/>
      <c r="D5974" s="3"/>
      <c r="E5974" s="3"/>
      <c r="F5974" s="3"/>
      <c r="G5974" s="3"/>
      <c r="H5974" s="11"/>
      <c r="I5974" s="12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  <c r="AA5974" s="3"/>
      <c r="AB5974" s="3"/>
      <c r="AC5974" s="3"/>
      <c r="AD5974" s="3"/>
      <c r="AE5974" s="3"/>
      <c r="AF5974" s="3"/>
      <c r="AG5974" s="3"/>
      <c r="AH5974" s="3"/>
    </row>
    <row r="5975" spans="1:34" ht="14.25" customHeight="1" x14ac:dyDescent="0.25">
      <c r="A5975" s="3"/>
      <c r="B5975" s="3"/>
      <c r="C5975" s="3"/>
      <c r="D5975" s="3"/>
      <c r="E5975" s="3"/>
      <c r="F5975" s="3"/>
      <c r="G5975" s="3"/>
      <c r="H5975" s="11"/>
      <c r="I5975" s="12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  <c r="AA5975" s="3"/>
      <c r="AB5975" s="3"/>
      <c r="AC5975" s="3"/>
      <c r="AD5975" s="3"/>
      <c r="AE5975" s="3"/>
      <c r="AF5975" s="3"/>
      <c r="AG5975" s="3"/>
      <c r="AH5975" s="3"/>
    </row>
    <row r="5976" spans="1:34" ht="14.25" customHeight="1" x14ac:dyDescent="0.25">
      <c r="A5976" s="3"/>
      <c r="B5976" s="3"/>
      <c r="C5976" s="3"/>
      <c r="D5976" s="3"/>
      <c r="E5976" s="3"/>
      <c r="F5976" s="3"/>
      <c r="G5976" s="3"/>
      <c r="H5976" s="11"/>
      <c r="I5976" s="12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  <c r="AA5976" s="3"/>
      <c r="AB5976" s="3"/>
      <c r="AC5976" s="3"/>
      <c r="AD5976" s="3"/>
      <c r="AE5976" s="3"/>
      <c r="AF5976" s="3"/>
      <c r="AG5976" s="3"/>
      <c r="AH5976" s="3"/>
    </row>
    <row r="5977" spans="1:34" ht="14.25" customHeight="1" x14ac:dyDescent="0.25">
      <c r="A5977" s="3"/>
      <c r="B5977" s="3"/>
      <c r="C5977" s="3"/>
      <c r="D5977" s="3"/>
      <c r="E5977" s="3"/>
      <c r="F5977" s="3"/>
      <c r="G5977" s="3"/>
      <c r="H5977" s="11"/>
      <c r="I5977" s="12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  <c r="AA5977" s="3"/>
      <c r="AB5977" s="3"/>
      <c r="AC5977" s="3"/>
      <c r="AD5977" s="3"/>
      <c r="AE5977" s="3"/>
      <c r="AF5977" s="3"/>
      <c r="AG5977" s="3"/>
      <c r="AH5977" s="3"/>
    </row>
    <row r="5978" spans="1:34" ht="14.25" customHeight="1" x14ac:dyDescent="0.25">
      <c r="A5978" s="3"/>
      <c r="B5978" s="3"/>
      <c r="C5978" s="3"/>
      <c r="D5978" s="3"/>
      <c r="E5978" s="3"/>
      <c r="F5978" s="3"/>
      <c r="G5978" s="3"/>
      <c r="H5978" s="11"/>
      <c r="I5978" s="12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  <c r="AA5978" s="3"/>
      <c r="AB5978" s="3"/>
      <c r="AC5978" s="3"/>
      <c r="AD5978" s="3"/>
      <c r="AE5978" s="3"/>
      <c r="AF5978" s="3"/>
      <c r="AG5978" s="3"/>
      <c r="AH5978" s="3"/>
    </row>
    <row r="5979" spans="1:34" ht="14.25" customHeight="1" x14ac:dyDescent="0.25">
      <c r="A5979" s="3"/>
      <c r="B5979" s="3"/>
      <c r="C5979" s="3"/>
      <c r="D5979" s="3"/>
      <c r="E5979" s="3"/>
      <c r="F5979" s="3"/>
      <c r="G5979" s="3"/>
      <c r="H5979" s="11"/>
      <c r="I5979" s="12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  <c r="AA5979" s="3"/>
      <c r="AB5979" s="3"/>
      <c r="AC5979" s="3"/>
      <c r="AD5979" s="3"/>
      <c r="AE5979" s="3"/>
      <c r="AF5979" s="3"/>
      <c r="AG5979" s="3"/>
      <c r="AH5979" s="3"/>
    </row>
    <row r="5980" spans="1:34" ht="14.25" customHeight="1" x14ac:dyDescent="0.25">
      <c r="A5980" s="3"/>
      <c r="B5980" s="3"/>
      <c r="C5980" s="3"/>
      <c r="D5980" s="3"/>
      <c r="E5980" s="3"/>
      <c r="F5980" s="3"/>
      <c r="G5980" s="3"/>
      <c r="H5980" s="11"/>
      <c r="I5980" s="12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  <c r="AA5980" s="3"/>
      <c r="AB5980" s="3"/>
      <c r="AC5980" s="3"/>
      <c r="AD5980" s="3"/>
      <c r="AE5980" s="3"/>
      <c r="AF5980" s="3"/>
      <c r="AG5980" s="3"/>
      <c r="AH5980" s="3"/>
    </row>
    <row r="5981" spans="1:34" ht="14.25" customHeight="1" x14ac:dyDescent="0.25">
      <c r="A5981" s="3"/>
      <c r="B5981" s="3"/>
      <c r="C5981" s="3"/>
      <c r="D5981" s="3"/>
      <c r="E5981" s="3"/>
      <c r="F5981" s="3"/>
      <c r="G5981" s="3"/>
      <c r="H5981" s="11"/>
      <c r="I5981" s="12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  <c r="AA5981" s="3"/>
      <c r="AB5981" s="3"/>
      <c r="AC5981" s="3"/>
      <c r="AD5981" s="3"/>
      <c r="AE5981" s="3"/>
      <c r="AF5981" s="3"/>
      <c r="AG5981" s="3"/>
      <c r="AH5981" s="3"/>
    </row>
    <row r="5982" spans="1:34" ht="14.25" customHeight="1" x14ac:dyDescent="0.25">
      <c r="A5982" s="3"/>
      <c r="B5982" s="3"/>
      <c r="C5982" s="3"/>
      <c r="D5982" s="3"/>
      <c r="E5982" s="3"/>
      <c r="F5982" s="3"/>
      <c r="G5982" s="3"/>
      <c r="H5982" s="11"/>
      <c r="I5982" s="12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  <c r="AA5982" s="3"/>
      <c r="AB5982" s="3"/>
      <c r="AC5982" s="3"/>
      <c r="AD5982" s="3"/>
      <c r="AE5982" s="3"/>
      <c r="AF5982" s="3"/>
      <c r="AG5982" s="3"/>
      <c r="AH5982" s="3"/>
    </row>
    <row r="5983" spans="1:34" ht="14.25" customHeight="1" x14ac:dyDescent="0.25">
      <c r="A5983" s="3"/>
      <c r="B5983" s="3"/>
      <c r="C5983" s="3"/>
      <c r="D5983" s="3"/>
      <c r="E5983" s="3"/>
      <c r="F5983" s="3"/>
      <c r="G5983" s="3"/>
      <c r="H5983" s="11"/>
      <c r="I5983" s="12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  <c r="AA5983" s="3"/>
      <c r="AB5983" s="3"/>
      <c r="AC5983" s="3"/>
      <c r="AD5983" s="3"/>
      <c r="AE5983" s="3"/>
      <c r="AF5983" s="3"/>
      <c r="AG5983" s="3"/>
      <c r="AH5983" s="3"/>
    </row>
    <row r="5984" spans="1:34" ht="14.25" customHeight="1" x14ac:dyDescent="0.25">
      <c r="A5984" s="3"/>
      <c r="B5984" s="3"/>
      <c r="C5984" s="3"/>
      <c r="D5984" s="3"/>
      <c r="E5984" s="3"/>
      <c r="F5984" s="3"/>
      <c r="G5984" s="3"/>
      <c r="H5984" s="11"/>
      <c r="I5984" s="12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  <c r="AA5984" s="3"/>
      <c r="AB5984" s="3"/>
      <c r="AC5984" s="3"/>
      <c r="AD5984" s="3"/>
      <c r="AE5984" s="3"/>
      <c r="AF5984" s="3"/>
      <c r="AG5984" s="3"/>
      <c r="AH5984" s="3"/>
    </row>
    <row r="5985" spans="1:34" ht="14.25" customHeight="1" x14ac:dyDescent="0.25">
      <c r="A5985" s="3"/>
      <c r="B5985" s="3"/>
      <c r="C5985" s="3"/>
      <c r="D5985" s="3"/>
      <c r="E5985" s="3"/>
      <c r="F5985" s="3"/>
      <c r="G5985" s="3"/>
      <c r="H5985" s="11"/>
      <c r="I5985" s="12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  <c r="AA5985" s="3"/>
      <c r="AB5985" s="3"/>
      <c r="AC5985" s="3"/>
      <c r="AD5985" s="3"/>
      <c r="AE5985" s="3"/>
      <c r="AF5985" s="3"/>
      <c r="AG5985" s="3"/>
      <c r="AH5985" s="3"/>
    </row>
    <row r="5986" spans="1:34" ht="14.25" customHeight="1" x14ac:dyDescent="0.25">
      <c r="A5986" s="3"/>
      <c r="B5986" s="3"/>
      <c r="C5986" s="3"/>
      <c r="D5986" s="3"/>
      <c r="E5986" s="3"/>
      <c r="F5986" s="3"/>
      <c r="G5986" s="3"/>
      <c r="H5986" s="11"/>
      <c r="I5986" s="12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  <c r="AA5986" s="3"/>
      <c r="AB5986" s="3"/>
      <c r="AC5986" s="3"/>
      <c r="AD5986" s="3"/>
      <c r="AE5986" s="3"/>
      <c r="AF5986" s="3"/>
      <c r="AG5986" s="3"/>
      <c r="AH5986" s="3"/>
    </row>
    <row r="5987" spans="1:34" ht="14.25" customHeight="1" x14ac:dyDescent="0.25">
      <c r="A5987" s="3"/>
      <c r="B5987" s="3"/>
      <c r="C5987" s="3"/>
      <c r="D5987" s="3"/>
      <c r="E5987" s="3"/>
      <c r="F5987" s="3"/>
      <c r="G5987" s="3"/>
      <c r="H5987" s="11"/>
      <c r="I5987" s="12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  <c r="AA5987" s="3"/>
      <c r="AB5987" s="3"/>
      <c r="AC5987" s="3"/>
      <c r="AD5987" s="3"/>
      <c r="AE5987" s="3"/>
      <c r="AF5987" s="3"/>
      <c r="AG5987" s="3"/>
      <c r="AH5987" s="3"/>
    </row>
    <row r="5988" spans="1:34" ht="14.25" customHeight="1" x14ac:dyDescent="0.25">
      <c r="A5988" s="3"/>
      <c r="B5988" s="3"/>
      <c r="C5988" s="3"/>
      <c r="D5988" s="3"/>
      <c r="E5988" s="3"/>
      <c r="F5988" s="3"/>
      <c r="G5988" s="3"/>
      <c r="H5988" s="11"/>
      <c r="I5988" s="12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  <c r="AA5988" s="3"/>
      <c r="AB5988" s="3"/>
      <c r="AC5988" s="3"/>
      <c r="AD5988" s="3"/>
      <c r="AE5988" s="3"/>
      <c r="AF5988" s="3"/>
      <c r="AG5988" s="3"/>
      <c r="AH5988" s="3"/>
    </row>
    <row r="5989" spans="1:34" ht="14.25" customHeight="1" x14ac:dyDescent="0.25">
      <c r="A5989" s="3"/>
      <c r="B5989" s="3"/>
      <c r="C5989" s="3"/>
      <c r="D5989" s="3"/>
      <c r="E5989" s="3"/>
      <c r="F5989" s="3"/>
      <c r="G5989" s="3"/>
      <c r="H5989" s="11"/>
      <c r="I5989" s="12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  <c r="AA5989" s="3"/>
      <c r="AB5989" s="3"/>
      <c r="AC5989" s="3"/>
      <c r="AD5989" s="3"/>
      <c r="AE5989" s="3"/>
      <c r="AF5989" s="3"/>
      <c r="AG5989" s="3"/>
      <c r="AH5989" s="3"/>
    </row>
    <row r="5990" spans="1:34" ht="14.25" customHeight="1" x14ac:dyDescent="0.25">
      <c r="A5990" s="3"/>
      <c r="B5990" s="3"/>
      <c r="C5990" s="3"/>
      <c r="D5990" s="3"/>
      <c r="E5990" s="3"/>
      <c r="F5990" s="3"/>
      <c r="G5990" s="3"/>
      <c r="H5990" s="11"/>
      <c r="I5990" s="12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  <c r="AA5990" s="3"/>
      <c r="AB5990" s="3"/>
      <c r="AC5990" s="3"/>
      <c r="AD5990" s="3"/>
      <c r="AE5990" s="3"/>
      <c r="AF5990" s="3"/>
      <c r="AG5990" s="3"/>
      <c r="AH5990" s="3"/>
    </row>
    <row r="5991" spans="1:34" ht="14.25" customHeight="1" x14ac:dyDescent="0.25">
      <c r="A5991" s="3"/>
      <c r="B5991" s="3"/>
      <c r="C5991" s="3"/>
      <c r="D5991" s="3"/>
      <c r="E5991" s="3"/>
      <c r="F5991" s="3"/>
      <c r="G5991" s="3"/>
      <c r="H5991" s="11"/>
      <c r="I5991" s="12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  <c r="AA5991" s="3"/>
      <c r="AB5991" s="3"/>
      <c r="AC5991" s="3"/>
      <c r="AD5991" s="3"/>
      <c r="AE5991" s="3"/>
      <c r="AF5991" s="3"/>
      <c r="AG5991" s="3"/>
      <c r="AH5991" s="3"/>
    </row>
    <row r="5992" spans="1:34" ht="14.25" customHeight="1" x14ac:dyDescent="0.25">
      <c r="A5992" s="3"/>
      <c r="B5992" s="3"/>
      <c r="C5992" s="3"/>
      <c r="D5992" s="3"/>
      <c r="E5992" s="3"/>
      <c r="F5992" s="3"/>
      <c r="G5992" s="3"/>
      <c r="H5992" s="11"/>
      <c r="I5992" s="12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  <c r="AA5992" s="3"/>
      <c r="AB5992" s="3"/>
      <c r="AC5992" s="3"/>
      <c r="AD5992" s="3"/>
      <c r="AE5992" s="3"/>
      <c r="AF5992" s="3"/>
      <c r="AG5992" s="3"/>
      <c r="AH5992" s="3"/>
    </row>
    <row r="5993" spans="1:34" ht="14.25" customHeight="1" x14ac:dyDescent="0.25">
      <c r="A5993" s="3"/>
      <c r="B5993" s="3"/>
      <c r="C5993" s="3"/>
      <c r="D5993" s="3"/>
      <c r="E5993" s="3"/>
      <c r="F5993" s="3"/>
      <c r="G5993" s="3"/>
      <c r="H5993" s="11"/>
      <c r="I5993" s="12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  <c r="AA5993" s="3"/>
      <c r="AB5993" s="3"/>
      <c r="AC5993" s="3"/>
      <c r="AD5993" s="3"/>
      <c r="AE5993" s="3"/>
      <c r="AF5993" s="3"/>
      <c r="AG5993" s="3"/>
      <c r="AH5993" s="3"/>
    </row>
    <row r="5994" spans="1:34" ht="14.25" customHeight="1" x14ac:dyDescent="0.25">
      <c r="A5994" s="3"/>
      <c r="B5994" s="3"/>
      <c r="C5994" s="3"/>
      <c r="D5994" s="3"/>
      <c r="E5994" s="3"/>
      <c r="F5994" s="3"/>
      <c r="G5994" s="3"/>
      <c r="H5994" s="11"/>
      <c r="I5994" s="12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  <c r="AA5994" s="3"/>
      <c r="AB5994" s="3"/>
      <c r="AC5994" s="3"/>
      <c r="AD5994" s="3"/>
      <c r="AE5994" s="3"/>
      <c r="AF5994" s="3"/>
      <c r="AG5994" s="3"/>
      <c r="AH5994" s="3"/>
    </row>
    <row r="5995" spans="1:34" ht="14.25" customHeight="1" x14ac:dyDescent="0.25">
      <c r="A5995" s="3"/>
      <c r="B5995" s="3"/>
      <c r="C5995" s="3"/>
      <c r="D5995" s="3"/>
      <c r="E5995" s="3"/>
      <c r="F5995" s="3"/>
      <c r="G5995" s="3"/>
      <c r="H5995" s="11"/>
      <c r="I5995" s="12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  <c r="AA5995" s="3"/>
      <c r="AB5995" s="3"/>
      <c r="AC5995" s="3"/>
      <c r="AD5995" s="3"/>
      <c r="AE5995" s="3"/>
      <c r="AF5995" s="3"/>
      <c r="AG5995" s="3"/>
      <c r="AH5995" s="3"/>
    </row>
    <row r="5996" spans="1:34" ht="14.25" customHeight="1" x14ac:dyDescent="0.25">
      <c r="A5996" s="3"/>
      <c r="B5996" s="3"/>
      <c r="C5996" s="3"/>
      <c r="D5996" s="3"/>
      <c r="E5996" s="3"/>
      <c r="F5996" s="3"/>
      <c r="G5996" s="3"/>
      <c r="H5996" s="11"/>
      <c r="I5996" s="12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  <c r="AA5996" s="3"/>
      <c r="AB5996" s="3"/>
      <c r="AC5996" s="3"/>
      <c r="AD5996" s="3"/>
      <c r="AE5996" s="3"/>
      <c r="AF5996" s="3"/>
      <c r="AG5996" s="3"/>
      <c r="AH5996" s="3"/>
    </row>
    <row r="5997" spans="1:34" ht="14.25" customHeight="1" x14ac:dyDescent="0.25">
      <c r="A5997" s="3"/>
      <c r="B5997" s="3"/>
      <c r="C5997" s="3"/>
      <c r="D5997" s="3"/>
      <c r="E5997" s="3"/>
      <c r="F5997" s="3"/>
      <c r="G5997" s="3"/>
      <c r="H5997" s="11"/>
      <c r="I5997" s="12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  <c r="AA5997" s="3"/>
      <c r="AB5997" s="3"/>
      <c r="AC5997" s="3"/>
      <c r="AD5997" s="3"/>
      <c r="AE5997" s="3"/>
      <c r="AF5997" s="3"/>
      <c r="AG5997" s="3"/>
      <c r="AH5997" s="3"/>
    </row>
    <row r="5998" spans="1:34" ht="14.25" customHeight="1" x14ac:dyDescent="0.25">
      <c r="A5998" s="3"/>
      <c r="B5998" s="3"/>
      <c r="C5998" s="3"/>
      <c r="D5998" s="3"/>
      <c r="E5998" s="3"/>
      <c r="F5998" s="3"/>
      <c r="G5998" s="3"/>
      <c r="H5998" s="11"/>
      <c r="I5998" s="12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  <c r="AA5998" s="3"/>
      <c r="AB5998" s="3"/>
      <c r="AC5998" s="3"/>
      <c r="AD5998" s="3"/>
      <c r="AE5998" s="3"/>
      <c r="AF5998" s="3"/>
      <c r="AG5998" s="3"/>
      <c r="AH5998" s="3"/>
    </row>
    <row r="5999" spans="1:34" ht="14.25" customHeight="1" x14ac:dyDescent="0.25">
      <c r="A5999" s="3"/>
      <c r="B5999" s="3"/>
      <c r="C5999" s="3"/>
      <c r="D5999" s="3"/>
      <c r="E5999" s="3"/>
      <c r="F5999" s="3"/>
      <c r="G5999" s="3"/>
      <c r="H5999" s="11"/>
      <c r="I5999" s="12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  <c r="AA5999" s="3"/>
      <c r="AB5999" s="3"/>
      <c r="AC5999" s="3"/>
      <c r="AD5999" s="3"/>
      <c r="AE5999" s="3"/>
      <c r="AF5999" s="3"/>
      <c r="AG5999" s="3"/>
      <c r="AH5999" s="3"/>
    </row>
    <row r="6000" spans="1:34" ht="14.25" customHeight="1" x14ac:dyDescent="0.25">
      <c r="A6000" s="3"/>
      <c r="B6000" s="3"/>
      <c r="C6000" s="3"/>
      <c r="D6000" s="3"/>
      <c r="E6000" s="3"/>
      <c r="F6000" s="3"/>
      <c r="G6000" s="3"/>
      <c r="H6000" s="11"/>
      <c r="I6000" s="12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  <c r="AA6000" s="3"/>
      <c r="AB6000" s="3"/>
      <c r="AC6000" s="3"/>
      <c r="AD6000" s="3"/>
      <c r="AE6000" s="3"/>
      <c r="AF6000" s="3"/>
      <c r="AG6000" s="3"/>
      <c r="AH6000" s="3"/>
    </row>
    <row r="6001" spans="1:34" ht="14.25" customHeight="1" x14ac:dyDescent="0.25">
      <c r="A6001" s="3"/>
      <c r="B6001" s="3"/>
      <c r="C6001" s="3"/>
      <c r="D6001" s="3"/>
      <c r="E6001" s="3"/>
      <c r="F6001" s="3"/>
      <c r="G6001" s="3"/>
      <c r="H6001" s="11"/>
      <c r="I6001" s="12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  <c r="AA6001" s="3"/>
      <c r="AB6001" s="3"/>
      <c r="AC6001" s="3"/>
      <c r="AD6001" s="3"/>
      <c r="AE6001" s="3"/>
      <c r="AF6001" s="3"/>
      <c r="AG6001" s="3"/>
      <c r="AH6001" s="3"/>
    </row>
    <row r="6002" spans="1:34" ht="14.25" customHeight="1" x14ac:dyDescent="0.25">
      <c r="A6002" s="3"/>
      <c r="B6002" s="3"/>
      <c r="C6002" s="3"/>
      <c r="D6002" s="3"/>
      <c r="E6002" s="3"/>
      <c r="F6002" s="3"/>
      <c r="G6002" s="3"/>
      <c r="H6002" s="11"/>
      <c r="I6002" s="12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  <c r="AA6002" s="3"/>
      <c r="AB6002" s="3"/>
      <c r="AC6002" s="3"/>
      <c r="AD6002" s="3"/>
      <c r="AE6002" s="3"/>
      <c r="AF6002" s="3"/>
      <c r="AG6002" s="3"/>
      <c r="AH6002" s="3"/>
    </row>
    <row r="6003" spans="1:34" ht="14.25" customHeight="1" x14ac:dyDescent="0.25">
      <c r="A6003" s="3"/>
      <c r="B6003" s="3"/>
      <c r="C6003" s="3"/>
      <c r="D6003" s="3"/>
      <c r="E6003" s="3"/>
      <c r="F6003" s="3"/>
      <c r="G6003" s="3"/>
      <c r="H6003" s="11"/>
      <c r="I6003" s="12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  <c r="AA6003" s="3"/>
      <c r="AB6003" s="3"/>
      <c r="AC6003" s="3"/>
      <c r="AD6003" s="3"/>
      <c r="AE6003" s="3"/>
      <c r="AF6003" s="3"/>
      <c r="AG6003" s="3"/>
      <c r="AH6003" s="3"/>
    </row>
    <row r="6004" spans="1:34" ht="14.25" customHeight="1" x14ac:dyDescent="0.25">
      <c r="A6004" s="3"/>
      <c r="B6004" s="3"/>
      <c r="C6004" s="3"/>
      <c r="D6004" s="3"/>
      <c r="E6004" s="3"/>
      <c r="F6004" s="3"/>
      <c r="G6004" s="3"/>
      <c r="H6004" s="11"/>
      <c r="I6004" s="12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  <c r="AA6004" s="3"/>
      <c r="AB6004" s="3"/>
      <c r="AC6004" s="3"/>
      <c r="AD6004" s="3"/>
      <c r="AE6004" s="3"/>
      <c r="AF6004" s="3"/>
      <c r="AG6004" s="3"/>
      <c r="AH6004" s="3"/>
    </row>
    <row r="6005" spans="1:34" ht="14.25" customHeight="1" x14ac:dyDescent="0.25">
      <c r="A6005" s="3"/>
      <c r="B6005" s="3"/>
      <c r="C6005" s="3"/>
      <c r="D6005" s="3"/>
      <c r="E6005" s="3"/>
      <c r="F6005" s="3"/>
      <c r="G6005" s="3"/>
      <c r="H6005" s="11"/>
      <c r="I6005" s="12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  <c r="AA6005" s="3"/>
      <c r="AB6005" s="3"/>
      <c r="AC6005" s="3"/>
      <c r="AD6005" s="3"/>
      <c r="AE6005" s="3"/>
      <c r="AF6005" s="3"/>
      <c r="AG6005" s="3"/>
      <c r="AH6005" s="3"/>
    </row>
    <row r="6006" spans="1:34" ht="14.25" customHeight="1" x14ac:dyDescent="0.25">
      <c r="A6006" s="3"/>
      <c r="B6006" s="3"/>
      <c r="C6006" s="3"/>
      <c r="D6006" s="3"/>
      <c r="E6006" s="3"/>
      <c r="F6006" s="3"/>
      <c r="G6006" s="14"/>
      <c r="H6006" s="11"/>
      <c r="I6006" s="12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  <c r="AA6006" s="3"/>
      <c r="AB6006" s="3"/>
      <c r="AC6006" s="3"/>
      <c r="AD6006" s="3"/>
      <c r="AE6006" s="3"/>
      <c r="AF6006" s="3"/>
      <c r="AG6006" s="3"/>
      <c r="AH6006" s="3"/>
    </row>
    <row r="6007" spans="1:34" ht="14.25" customHeight="1" x14ac:dyDescent="0.25">
      <c r="A6007" s="3"/>
      <c r="B6007" s="3"/>
      <c r="C6007" s="3"/>
      <c r="D6007" s="3"/>
      <c r="E6007" s="3"/>
      <c r="F6007" s="3"/>
      <c r="G6007" s="3"/>
      <c r="H6007" s="11"/>
      <c r="I6007" s="12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  <c r="AA6007" s="3"/>
      <c r="AB6007" s="3"/>
      <c r="AC6007" s="3"/>
      <c r="AD6007" s="3"/>
      <c r="AE6007" s="3"/>
      <c r="AF6007" s="3"/>
      <c r="AG6007" s="3"/>
      <c r="AH6007" s="3"/>
    </row>
    <row r="6008" spans="1:34" ht="14.25" customHeight="1" x14ac:dyDescent="0.25">
      <c r="A6008" s="3"/>
      <c r="B6008" s="3"/>
      <c r="C6008" s="3"/>
      <c r="D6008" s="3"/>
      <c r="E6008" s="3"/>
      <c r="F6008" s="3"/>
      <c r="G6008" s="3"/>
      <c r="H6008" s="11"/>
      <c r="I6008" s="12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  <c r="AA6008" s="3"/>
      <c r="AB6008" s="3"/>
      <c r="AC6008" s="3"/>
      <c r="AD6008" s="3"/>
      <c r="AE6008" s="3"/>
      <c r="AF6008" s="3"/>
      <c r="AG6008" s="3"/>
      <c r="AH6008" s="3"/>
    </row>
    <row r="6009" spans="1:34" ht="14.25" customHeight="1" x14ac:dyDescent="0.25">
      <c r="A6009" s="3"/>
      <c r="B6009" s="3"/>
      <c r="C6009" s="3"/>
      <c r="D6009" s="3"/>
      <c r="E6009" s="3"/>
      <c r="F6009" s="3"/>
      <c r="G6009" s="3"/>
      <c r="H6009" s="11"/>
      <c r="I6009" s="12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  <c r="AA6009" s="3"/>
      <c r="AB6009" s="3"/>
      <c r="AC6009" s="3"/>
      <c r="AD6009" s="3"/>
      <c r="AE6009" s="3"/>
      <c r="AF6009" s="3"/>
      <c r="AG6009" s="3"/>
      <c r="AH6009" s="3"/>
    </row>
    <row r="6010" spans="1:34" ht="14.25" customHeight="1" x14ac:dyDescent="0.25">
      <c r="A6010" s="3"/>
      <c r="B6010" s="3"/>
      <c r="C6010" s="3"/>
      <c r="D6010" s="3"/>
      <c r="E6010" s="3"/>
      <c r="F6010" s="3"/>
      <c r="G6010" s="3"/>
      <c r="H6010" s="11"/>
      <c r="I6010" s="12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  <c r="AA6010" s="3"/>
      <c r="AB6010" s="3"/>
      <c r="AC6010" s="3"/>
      <c r="AD6010" s="3"/>
      <c r="AE6010" s="3"/>
      <c r="AF6010" s="3"/>
      <c r="AG6010" s="3"/>
      <c r="AH6010" s="3"/>
    </row>
    <row r="6011" spans="1:34" ht="14.25" customHeight="1" x14ac:dyDescent="0.25">
      <c r="A6011" s="3"/>
      <c r="B6011" s="3"/>
      <c r="C6011" s="3"/>
      <c r="D6011" s="3"/>
      <c r="E6011" s="3"/>
      <c r="F6011" s="3"/>
      <c r="G6011" s="3"/>
      <c r="H6011" s="11"/>
      <c r="I6011" s="12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  <c r="AA6011" s="3"/>
      <c r="AB6011" s="3"/>
      <c r="AC6011" s="3"/>
      <c r="AD6011" s="3"/>
      <c r="AE6011" s="3"/>
      <c r="AF6011" s="3"/>
      <c r="AG6011" s="3"/>
      <c r="AH6011" s="3"/>
    </row>
    <row r="6012" spans="1:34" ht="14.25" customHeight="1" x14ac:dyDescent="0.25">
      <c r="A6012" s="3"/>
      <c r="B6012" s="3"/>
      <c r="C6012" s="3"/>
      <c r="D6012" s="3"/>
      <c r="E6012" s="3"/>
      <c r="F6012" s="3"/>
      <c r="G6012" s="3"/>
      <c r="H6012" s="11"/>
      <c r="I6012" s="12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  <c r="AA6012" s="3"/>
      <c r="AB6012" s="3"/>
      <c r="AC6012" s="3"/>
      <c r="AD6012" s="3"/>
      <c r="AE6012" s="3"/>
      <c r="AF6012" s="3"/>
      <c r="AG6012" s="3"/>
      <c r="AH6012" s="3"/>
    </row>
    <row r="6013" spans="1:34" ht="14.25" customHeight="1" x14ac:dyDescent="0.25">
      <c r="A6013" s="3"/>
      <c r="B6013" s="3"/>
      <c r="C6013" s="3"/>
      <c r="D6013" s="3"/>
      <c r="E6013" s="3"/>
      <c r="F6013" s="3"/>
      <c r="G6013" s="3"/>
      <c r="H6013" s="11"/>
      <c r="I6013" s="12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  <c r="AA6013" s="3"/>
      <c r="AB6013" s="3"/>
      <c r="AC6013" s="3"/>
      <c r="AD6013" s="3"/>
      <c r="AE6013" s="3"/>
      <c r="AF6013" s="3"/>
      <c r="AG6013" s="3"/>
      <c r="AH6013" s="3"/>
    </row>
    <row r="6014" spans="1:34" ht="14.25" customHeight="1" x14ac:dyDescent="0.25">
      <c r="A6014" s="3"/>
      <c r="B6014" s="3"/>
      <c r="C6014" s="3"/>
      <c r="D6014" s="3"/>
      <c r="E6014" s="3"/>
      <c r="F6014" s="3"/>
      <c r="G6014" s="3"/>
      <c r="H6014" s="11"/>
      <c r="I6014" s="12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  <c r="AA6014" s="3"/>
      <c r="AB6014" s="3"/>
      <c r="AC6014" s="3"/>
      <c r="AD6014" s="3"/>
      <c r="AE6014" s="3"/>
      <c r="AF6014" s="3"/>
      <c r="AG6014" s="3"/>
      <c r="AH6014" s="3"/>
    </row>
    <row r="6015" spans="1:34" ht="14.25" customHeight="1" x14ac:dyDescent="0.25">
      <c r="A6015" s="3"/>
      <c r="B6015" s="3"/>
      <c r="C6015" s="3"/>
      <c r="D6015" s="3"/>
      <c r="E6015" s="3"/>
      <c r="F6015" s="3"/>
      <c r="G6015" s="3"/>
      <c r="H6015" s="11"/>
      <c r="I6015" s="12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  <c r="AA6015" s="3"/>
      <c r="AB6015" s="3"/>
      <c r="AC6015" s="3"/>
      <c r="AD6015" s="3"/>
      <c r="AE6015" s="3"/>
      <c r="AF6015" s="3"/>
      <c r="AG6015" s="3"/>
      <c r="AH6015" s="3"/>
    </row>
    <row r="6016" spans="1:34" ht="14.25" customHeight="1" x14ac:dyDescent="0.25">
      <c r="A6016" s="3"/>
      <c r="B6016" s="3"/>
      <c r="C6016" s="3"/>
      <c r="D6016" s="3"/>
      <c r="E6016" s="3"/>
      <c r="F6016" s="3"/>
      <c r="G6016" s="3"/>
      <c r="H6016" s="11"/>
      <c r="I6016" s="12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  <c r="AA6016" s="3"/>
      <c r="AB6016" s="3"/>
      <c r="AC6016" s="3"/>
      <c r="AD6016" s="3"/>
      <c r="AE6016" s="3"/>
      <c r="AF6016" s="3"/>
      <c r="AG6016" s="3"/>
      <c r="AH6016" s="3"/>
    </row>
    <row r="6017" spans="1:34" ht="14.25" customHeight="1" x14ac:dyDescent="0.25">
      <c r="A6017" s="3"/>
      <c r="B6017" s="3"/>
      <c r="C6017" s="3"/>
      <c r="D6017" s="3"/>
      <c r="E6017" s="3"/>
      <c r="F6017" s="3"/>
      <c r="G6017" s="3"/>
      <c r="H6017" s="11"/>
      <c r="I6017" s="12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  <c r="AA6017" s="3"/>
      <c r="AB6017" s="3"/>
      <c r="AC6017" s="3"/>
      <c r="AD6017" s="3"/>
      <c r="AE6017" s="3"/>
      <c r="AF6017" s="3"/>
      <c r="AG6017" s="3"/>
      <c r="AH6017" s="3"/>
    </row>
    <row r="6018" spans="1:34" ht="14.25" customHeight="1" x14ac:dyDescent="0.25">
      <c r="A6018" s="3"/>
      <c r="B6018" s="3"/>
      <c r="C6018" s="3"/>
      <c r="D6018" s="3"/>
      <c r="E6018" s="3"/>
      <c r="F6018" s="3"/>
      <c r="G6018" s="3"/>
      <c r="H6018" s="11"/>
      <c r="I6018" s="12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  <c r="AA6018" s="3"/>
      <c r="AB6018" s="3"/>
      <c r="AC6018" s="3"/>
      <c r="AD6018" s="3"/>
      <c r="AE6018" s="3"/>
      <c r="AF6018" s="3"/>
      <c r="AG6018" s="3"/>
      <c r="AH6018" s="3"/>
    </row>
    <row r="6019" spans="1:34" ht="14.25" customHeight="1" x14ac:dyDescent="0.25">
      <c r="A6019" s="3"/>
      <c r="B6019" s="3"/>
      <c r="C6019" s="3"/>
      <c r="D6019" s="3"/>
      <c r="E6019" s="3"/>
      <c r="F6019" s="3"/>
      <c r="G6019" s="3"/>
      <c r="H6019" s="11"/>
      <c r="I6019" s="12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  <c r="AA6019" s="3"/>
      <c r="AB6019" s="3"/>
      <c r="AC6019" s="3"/>
      <c r="AD6019" s="3"/>
      <c r="AE6019" s="3"/>
      <c r="AF6019" s="3"/>
      <c r="AG6019" s="3"/>
      <c r="AH6019" s="3"/>
    </row>
    <row r="6020" spans="1:34" ht="14.25" customHeight="1" x14ac:dyDescent="0.25">
      <c r="A6020" s="3"/>
      <c r="B6020" s="3"/>
      <c r="C6020" s="3"/>
      <c r="D6020" s="3"/>
      <c r="E6020" s="3"/>
      <c r="F6020" s="3"/>
      <c r="G6020" s="3"/>
      <c r="H6020" s="11"/>
      <c r="I6020" s="12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  <c r="AA6020" s="3"/>
      <c r="AB6020" s="3"/>
      <c r="AC6020" s="3"/>
      <c r="AD6020" s="3"/>
      <c r="AE6020" s="3"/>
      <c r="AF6020" s="3"/>
      <c r="AG6020" s="3"/>
      <c r="AH6020" s="3"/>
    </row>
    <row r="6021" spans="1:34" ht="14.25" customHeight="1" x14ac:dyDescent="0.25">
      <c r="A6021" s="3"/>
      <c r="B6021" s="3"/>
      <c r="C6021" s="3"/>
      <c r="D6021" s="3"/>
      <c r="E6021" s="3"/>
      <c r="F6021" s="3"/>
      <c r="G6021" s="3"/>
      <c r="H6021" s="11"/>
      <c r="I6021" s="12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  <c r="AA6021" s="3"/>
      <c r="AB6021" s="3"/>
      <c r="AC6021" s="3"/>
      <c r="AD6021" s="3"/>
      <c r="AE6021" s="3"/>
      <c r="AF6021" s="3"/>
      <c r="AG6021" s="3"/>
      <c r="AH6021" s="3"/>
    </row>
    <row r="6022" spans="1:34" ht="14.25" customHeight="1" x14ac:dyDescent="0.25">
      <c r="A6022" s="3"/>
      <c r="B6022" s="3"/>
      <c r="C6022" s="3"/>
      <c r="D6022" s="3"/>
      <c r="E6022" s="3"/>
      <c r="F6022" s="3"/>
      <c r="G6022" s="3"/>
      <c r="H6022" s="11"/>
      <c r="I6022" s="12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  <c r="AA6022" s="3"/>
      <c r="AB6022" s="3"/>
      <c r="AC6022" s="3"/>
      <c r="AD6022" s="3"/>
      <c r="AE6022" s="3"/>
      <c r="AF6022" s="3"/>
      <c r="AG6022" s="3"/>
      <c r="AH6022" s="3"/>
    </row>
    <row r="6023" spans="1:34" ht="14.25" customHeight="1" x14ac:dyDescent="0.25">
      <c r="A6023" s="3"/>
      <c r="B6023" s="3"/>
      <c r="C6023" s="3"/>
      <c r="D6023" s="3"/>
      <c r="E6023" s="3"/>
      <c r="F6023" s="3"/>
      <c r="G6023" s="3"/>
      <c r="H6023" s="11"/>
      <c r="I6023" s="12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  <c r="AA6023" s="3"/>
      <c r="AB6023" s="3"/>
      <c r="AC6023" s="3"/>
      <c r="AD6023" s="3"/>
      <c r="AE6023" s="3"/>
      <c r="AF6023" s="3"/>
      <c r="AG6023" s="3"/>
      <c r="AH6023" s="3"/>
    </row>
    <row r="6024" spans="1:34" ht="14.25" customHeight="1" x14ac:dyDescent="0.25">
      <c r="A6024" s="3"/>
      <c r="B6024" s="3"/>
      <c r="C6024" s="3"/>
      <c r="D6024" s="3"/>
      <c r="E6024" s="3"/>
      <c r="F6024" s="3"/>
      <c r="G6024" s="3"/>
      <c r="H6024" s="11"/>
      <c r="I6024" s="12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  <c r="AA6024" s="3"/>
      <c r="AB6024" s="3"/>
      <c r="AC6024" s="3"/>
      <c r="AD6024" s="3"/>
      <c r="AE6024" s="3"/>
      <c r="AF6024" s="3"/>
      <c r="AG6024" s="3"/>
      <c r="AH6024" s="3"/>
    </row>
    <row r="6025" spans="1:34" ht="14.25" customHeight="1" x14ac:dyDescent="0.25">
      <c r="A6025" s="3"/>
      <c r="B6025" s="3"/>
      <c r="C6025" s="3"/>
      <c r="D6025" s="3"/>
      <c r="E6025" s="3"/>
      <c r="F6025" s="3"/>
      <c r="G6025" s="3"/>
      <c r="H6025" s="11"/>
      <c r="I6025" s="12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  <c r="AA6025" s="3"/>
      <c r="AB6025" s="3"/>
      <c r="AC6025" s="3"/>
      <c r="AD6025" s="3"/>
      <c r="AE6025" s="3"/>
      <c r="AF6025" s="3"/>
      <c r="AG6025" s="3"/>
      <c r="AH6025" s="3"/>
    </row>
    <row r="6026" spans="1:34" ht="14.25" customHeight="1" x14ac:dyDescent="0.25">
      <c r="A6026" s="3"/>
      <c r="B6026" s="3"/>
      <c r="C6026" s="3"/>
      <c r="D6026" s="3"/>
      <c r="E6026" s="3"/>
      <c r="F6026" s="3"/>
      <c r="G6026" s="3"/>
      <c r="H6026" s="11"/>
      <c r="I6026" s="12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  <c r="AA6026" s="3"/>
      <c r="AB6026" s="3"/>
      <c r="AC6026" s="3"/>
      <c r="AD6026" s="3"/>
      <c r="AE6026" s="3"/>
      <c r="AF6026" s="3"/>
      <c r="AG6026" s="3"/>
      <c r="AH6026" s="3"/>
    </row>
    <row r="6027" spans="1:34" ht="14.25" customHeight="1" x14ac:dyDescent="0.25">
      <c r="A6027" s="3"/>
      <c r="B6027" s="3"/>
      <c r="C6027" s="3"/>
      <c r="D6027" s="3"/>
      <c r="E6027" s="3"/>
      <c r="F6027" s="3"/>
      <c r="G6027" s="3"/>
      <c r="H6027" s="11"/>
      <c r="I6027" s="12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  <c r="AA6027" s="3"/>
      <c r="AB6027" s="3"/>
      <c r="AC6027" s="3"/>
      <c r="AD6027" s="3"/>
      <c r="AE6027" s="3"/>
      <c r="AF6027" s="3"/>
      <c r="AG6027" s="3"/>
      <c r="AH6027" s="3"/>
    </row>
    <row r="6028" spans="1:34" ht="14.25" customHeight="1" x14ac:dyDescent="0.25">
      <c r="A6028" s="3"/>
      <c r="B6028" s="3"/>
      <c r="C6028" s="3"/>
      <c r="D6028" s="3"/>
      <c r="E6028" s="3"/>
      <c r="F6028" s="3"/>
      <c r="G6028" s="3"/>
      <c r="H6028" s="11"/>
      <c r="I6028" s="12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  <c r="AA6028" s="3"/>
      <c r="AB6028" s="3"/>
      <c r="AC6028" s="3"/>
      <c r="AD6028" s="3"/>
      <c r="AE6028" s="3"/>
      <c r="AF6028" s="3"/>
      <c r="AG6028" s="3"/>
      <c r="AH6028" s="3"/>
    </row>
    <row r="6029" spans="1:34" ht="14.25" customHeight="1" x14ac:dyDescent="0.25">
      <c r="A6029" s="3"/>
      <c r="B6029" s="3"/>
      <c r="C6029" s="3"/>
      <c r="D6029" s="3"/>
      <c r="E6029" s="3"/>
      <c r="F6029" s="3"/>
      <c r="G6029" s="3"/>
      <c r="H6029" s="11"/>
      <c r="I6029" s="12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  <c r="AA6029" s="3"/>
      <c r="AB6029" s="3"/>
      <c r="AC6029" s="3"/>
      <c r="AD6029" s="3"/>
      <c r="AE6029" s="3"/>
      <c r="AF6029" s="3"/>
      <c r="AG6029" s="3"/>
      <c r="AH6029" s="3"/>
    </row>
    <row r="6030" spans="1:34" ht="14.25" customHeight="1" x14ac:dyDescent="0.25">
      <c r="A6030" s="3"/>
      <c r="B6030" s="3"/>
      <c r="C6030" s="3"/>
      <c r="D6030" s="3"/>
      <c r="E6030" s="3"/>
      <c r="F6030" s="3"/>
      <c r="G6030" s="3"/>
      <c r="H6030" s="11"/>
      <c r="I6030" s="12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  <c r="AA6030" s="3"/>
      <c r="AB6030" s="3"/>
      <c r="AC6030" s="3"/>
      <c r="AD6030" s="3"/>
      <c r="AE6030" s="3"/>
      <c r="AF6030" s="3"/>
      <c r="AG6030" s="3"/>
      <c r="AH6030" s="3"/>
    </row>
    <row r="6031" spans="1:34" ht="14.25" customHeight="1" x14ac:dyDescent="0.25">
      <c r="A6031" s="3"/>
      <c r="B6031" s="3"/>
      <c r="C6031" s="3"/>
      <c r="D6031" s="3"/>
      <c r="E6031" s="3"/>
      <c r="F6031" s="3"/>
      <c r="G6031" s="3"/>
      <c r="H6031" s="11"/>
      <c r="I6031" s="12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  <c r="AA6031" s="3"/>
      <c r="AB6031" s="3"/>
      <c r="AC6031" s="3"/>
      <c r="AD6031" s="3"/>
      <c r="AE6031" s="3"/>
      <c r="AF6031" s="3"/>
      <c r="AG6031" s="3"/>
      <c r="AH6031" s="3"/>
    </row>
    <row r="6032" spans="1:34" ht="14.25" customHeight="1" x14ac:dyDescent="0.25">
      <c r="A6032" s="3"/>
      <c r="B6032" s="3"/>
      <c r="C6032" s="3"/>
      <c r="D6032" s="3"/>
      <c r="E6032" s="3"/>
      <c r="F6032" s="3"/>
      <c r="G6032" s="3"/>
      <c r="H6032" s="11"/>
      <c r="I6032" s="12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  <c r="AA6032" s="3"/>
      <c r="AB6032" s="3"/>
      <c r="AC6032" s="3"/>
      <c r="AD6032" s="3"/>
      <c r="AE6032" s="3"/>
      <c r="AF6032" s="3"/>
      <c r="AG6032" s="3"/>
      <c r="AH6032" s="3"/>
    </row>
    <row r="6033" spans="1:34" ht="14.25" customHeight="1" x14ac:dyDescent="0.25">
      <c r="A6033" s="3"/>
      <c r="B6033" s="3"/>
      <c r="C6033" s="3"/>
      <c r="D6033" s="3"/>
      <c r="E6033" s="3"/>
      <c r="F6033" s="3"/>
      <c r="G6033" s="3"/>
      <c r="H6033" s="11"/>
      <c r="I6033" s="12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  <c r="AA6033" s="3"/>
      <c r="AB6033" s="3"/>
      <c r="AC6033" s="3"/>
      <c r="AD6033" s="3"/>
      <c r="AE6033" s="3"/>
      <c r="AF6033" s="3"/>
      <c r="AG6033" s="3"/>
      <c r="AH6033" s="3"/>
    </row>
    <row r="6034" spans="1:34" ht="14.25" customHeight="1" x14ac:dyDescent="0.25">
      <c r="A6034" s="3"/>
      <c r="B6034" s="3"/>
      <c r="C6034" s="3"/>
      <c r="D6034" s="3"/>
      <c r="E6034" s="3"/>
      <c r="F6034" s="3"/>
      <c r="G6034" s="3"/>
      <c r="H6034" s="11"/>
      <c r="I6034" s="12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  <c r="AA6034" s="3"/>
      <c r="AB6034" s="3"/>
      <c r="AC6034" s="3"/>
      <c r="AD6034" s="3"/>
      <c r="AE6034" s="3"/>
      <c r="AF6034" s="3"/>
      <c r="AG6034" s="3"/>
      <c r="AH6034" s="3"/>
    </row>
    <row r="6035" spans="1:34" ht="14.25" customHeight="1" x14ac:dyDescent="0.25">
      <c r="A6035" s="3"/>
      <c r="B6035" s="3"/>
      <c r="C6035" s="3"/>
      <c r="D6035" s="3"/>
      <c r="E6035" s="3"/>
      <c r="F6035" s="3"/>
      <c r="G6035" s="3"/>
      <c r="H6035" s="11"/>
      <c r="I6035" s="12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  <c r="AA6035" s="3"/>
      <c r="AB6035" s="3"/>
      <c r="AC6035" s="3"/>
      <c r="AD6035" s="3"/>
      <c r="AE6035" s="3"/>
      <c r="AF6035" s="3"/>
      <c r="AG6035" s="3"/>
      <c r="AH6035" s="3"/>
    </row>
    <row r="6036" spans="1:34" ht="14.25" customHeight="1" x14ac:dyDescent="0.25">
      <c r="A6036" s="3"/>
      <c r="B6036" s="3"/>
      <c r="C6036" s="3"/>
      <c r="D6036" s="3"/>
      <c r="E6036" s="3"/>
      <c r="F6036" s="3"/>
      <c r="G6036" s="3"/>
      <c r="H6036" s="11"/>
      <c r="I6036" s="12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  <c r="AA6036" s="3"/>
      <c r="AB6036" s="3"/>
      <c r="AC6036" s="3"/>
      <c r="AD6036" s="3"/>
      <c r="AE6036" s="3"/>
      <c r="AF6036" s="3"/>
      <c r="AG6036" s="3"/>
      <c r="AH6036" s="3"/>
    </row>
    <row r="6037" spans="1:34" ht="14.25" customHeight="1" x14ac:dyDescent="0.25">
      <c r="A6037" s="3"/>
      <c r="B6037" s="3"/>
      <c r="C6037" s="3"/>
      <c r="D6037" s="3"/>
      <c r="E6037" s="3"/>
      <c r="F6037" s="3"/>
      <c r="G6037" s="3"/>
      <c r="H6037" s="11"/>
      <c r="I6037" s="12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  <c r="AA6037" s="3"/>
      <c r="AB6037" s="3"/>
      <c r="AC6037" s="3"/>
      <c r="AD6037" s="3"/>
      <c r="AE6037" s="3"/>
      <c r="AF6037" s="3"/>
      <c r="AG6037" s="3"/>
      <c r="AH6037" s="3"/>
    </row>
    <row r="6038" spans="1:34" ht="14.25" customHeight="1" x14ac:dyDescent="0.25">
      <c r="A6038" s="3"/>
      <c r="B6038" s="3"/>
      <c r="C6038" s="3"/>
      <c r="D6038" s="3"/>
      <c r="E6038" s="3"/>
      <c r="F6038" s="3"/>
      <c r="G6038" s="3"/>
      <c r="H6038" s="11"/>
      <c r="I6038" s="12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  <c r="AA6038" s="3"/>
      <c r="AB6038" s="3"/>
      <c r="AC6038" s="3"/>
      <c r="AD6038" s="3"/>
      <c r="AE6038" s="3"/>
      <c r="AF6038" s="3"/>
      <c r="AG6038" s="3"/>
      <c r="AH6038" s="3"/>
    </row>
    <row r="6039" spans="1:34" ht="14.25" customHeight="1" x14ac:dyDescent="0.25">
      <c r="A6039" s="3"/>
      <c r="B6039" s="3"/>
      <c r="C6039" s="3"/>
      <c r="D6039" s="3"/>
      <c r="E6039" s="3"/>
      <c r="F6039" s="3"/>
      <c r="G6039" s="3"/>
      <c r="H6039" s="11"/>
      <c r="I6039" s="12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  <c r="AA6039" s="3"/>
      <c r="AB6039" s="3"/>
      <c r="AC6039" s="3"/>
      <c r="AD6039" s="3"/>
      <c r="AE6039" s="3"/>
      <c r="AF6039" s="3"/>
      <c r="AG6039" s="3"/>
      <c r="AH6039" s="3"/>
    </row>
    <row r="6040" spans="1:34" ht="14.25" customHeight="1" x14ac:dyDescent="0.25">
      <c r="A6040" s="3"/>
      <c r="B6040" s="3"/>
      <c r="C6040" s="3"/>
      <c r="D6040" s="3"/>
      <c r="E6040" s="3"/>
      <c r="F6040" s="3"/>
      <c r="G6040" s="3"/>
      <c r="H6040" s="11"/>
      <c r="I6040" s="12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  <c r="AA6040" s="3"/>
      <c r="AB6040" s="3"/>
      <c r="AC6040" s="3"/>
      <c r="AD6040" s="3"/>
      <c r="AE6040" s="3"/>
      <c r="AF6040" s="3"/>
      <c r="AG6040" s="3"/>
      <c r="AH6040" s="3"/>
    </row>
    <row r="6041" spans="1:34" ht="14.25" customHeight="1" x14ac:dyDescent="0.25">
      <c r="A6041" s="3"/>
      <c r="B6041" s="3"/>
      <c r="C6041" s="3"/>
      <c r="D6041" s="3"/>
      <c r="E6041" s="3"/>
      <c r="F6041" s="3"/>
      <c r="G6041" s="3"/>
      <c r="H6041" s="11"/>
      <c r="I6041" s="12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  <c r="AA6041" s="3"/>
      <c r="AB6041" s="3"/>
      <c r="AC6041" s="3"/>
      <c r="AD6041" s="3"/>
      <c r="AE6041" s="3"/>
      <c r="AF6041" s="3"/>
      <c r="AG6041" s="3"/>
      <c r="AH6041" s="3"/>
    </row>
    <row r="6042" spans="1:34" ht="14.25" customHeight="1" x14ac:dyDescent="0.25">
      <c r="A6042" s="3"/>
      <c r="B6042" s="3"/>
      <c r="C6042" s="3"/>
      <c r="D6042" s="3"/>
      <c r="E6042" s="3"/>
      <c r="F6042" s="3"/>
      <c r="G6042" s="3"/>
      <c r="H6042" s="11"/>
      <c r="I6042" s="12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  <c r="AA6042" s="3"/>
      <c r="AB6042" s="3"/>
      <c r="AC6042" s="3"/>
      <c r="AD6042" s="3"/>
      <c r="AE6042" s="3"/>
      <c r="AF6042" s="3"/>
      <c r="AG6042" s="3"/>
      <c r="AH6042" s="3"/>
    </row>
    <row r="6043" spans="1:34" ht="14.25" customHeight="1" x14ac:dyDescent="0.25">
      <c r="A6043" s="3"/>
      <c r="B6043" s="3"/>
      <c r="C6043" s="3"/>
      <c r="D6043" s="3"/>
      <c r="E6043" s="3"/>
      <c r="F6043" s="3"/>
      <c r="G6043" s="3"/>
      <c r="H6043" s="11"/>
      <c r="I6043" s="12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  <c r="AA6043" s="3"/>
      <c r="AB6043" s="3"/>
      <c r="AC6043" s="3"/>
      <c r="AD6043" s="3"/>
      <c r="AE6043" s="3"/>
      <c r="AF6043" s="3"/>
      <c r="AG6043" s="3"/>
      <c r="AH6043" s="3"/>
    </row>
    <row r="6044" spans="1:34" ht="14.25" customHeight="1" x14ac:dyDescent="0.25">
      <c r="A6044" s="3"/>
      <c r="B6044" s="3"/>
      <c r="C6044" s="3"/>
      <c r="D6044" s="3"/>
      <c r="E6044" s="3"/>
      <c r="F6044" s="3"/>
      <c r="G6044" s="3"/>
      <c r="H6044" s="11"/>
      <c r="I6044" s="12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  <c r="AA6044" s="3"/>
      <c r="AB6044" s="3"/>
      <c r="AC6044" s="3"/>
      <c r="AD6044" s="3"/>
      <c r="AE6044" s="3"/>
      <c r="AF6044" s="3"/>
      <c r="AG6044" s="3"/>
      <c r="AH6044" s="3"/>
    </row>
    <row r="6045" spans="1:34" ht="14.25" customHeight="1" x14ac:dyDescent="0.25">
      <c r="A6045" s="3"/>
      <c r="B6045" s="3"/>
      <c r="C6045" s="3"/>
      <c r="D6045" s="3"/>
      <c r="E6045" s="3"/>
      <c r="F6045" s="3"/>
      <c r="G6045" s="3"/>
      <c r="H6045" s="11"/>
      <c r="I6045" s="12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  <c r="AA6045" s="3"/>
      <c r="AB6045" s="3"/>
      <c r="AC6045" s="3"/>
      <c r="AD6045" s="3"/>
      <c r="AE6045" s="3"/>
      <c r="AF6045" s="3"/>
      <c r="AG6045" s="3"/>
      <c r="AH6045" s="3"/>
    </row>
    <row r="6046" spans="1:34" ht="14.25" customHeight="1" x14ac:dyDescent="0.25">
      <c r="A6046" s="3"/>
      <c r="B6046" s="3"/>
      <c r="C6046" s="3"/>
      <c r="D6046" s="3"/>
      <c r="E6046" s="3"/>
      <c r="F6046" s="3"/>
      <c r="G6046" s="3"/>
      <c r="H6046" s="11"/>
      <c r="I6046" s="12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  <c r="AA6046" s="3"/>
      <c r="AB6046" s="3"/>
      <c r="AC6046" s="3"/>
      <c r="AD6046" s="3"/>
      <c r="AE6046" s="3"/>
      <c r="AF6046" s="3"/>
      <c r="AG6046" s="3"/>
      <c r="AH6046" s="3"/>
    </row>
    <row r="6047" spans="1:34" ht="14.25" customHeight="1" x14ac:dyDescent="0.25">
      <c r="A6047" s="3"/>
      <c r="B6047" s="3"/>
      <c r="C6047" s="3"/>
      <c r="D6047" s="3"/>
      <c r="E6047" s="3"/>
      <c r="F6047" s="3"/>
      <c r="G6047" s="3"/>
      <c r="H6047" s="11"/>
      <c r="I6047" s="12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  <c r="AA6047" s="3"/>
      <c r="AB6047" s="3"/>
      <c r="AC6047" s="3"/>
      <c r="AD6047" s="3"/>
      <c r="AE6047" s="3"/>
      <c r="AF6047" s="3"/>
      <c r="AG6047" s="3"/>
      <c r="AH6047" s="3"/>
    </row>
    <row r="6048" spans="1:34" ht="14.25" customHeight="1" x14ac:dyDescent="0.25">
      <c r="A6048" s="3"/>
      <c r="B6048" s="3"/>
      <c r="C6048" s="3"/>
      <c r="D6048" s="3"/>
      <c r="E6048" s="3"/>
      <c r="F6048" s="3"/>
      <c r="G6048" s="3"/>
      <c r="H6048" s="11"/>
      <c r="I6048" s="12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  <c r="AA6048" s="3"/>
      <c r="AB6048" s="3"/>
      <c r="AC6048" s="3"/>
      <c r="AD6048" s="3"/>
      <c r="AE6048" s="3"/>
      <c r="AF6048" s="3"/>
      <c r="AG6048" s="3"/>
      <c r="AH6048" s="3"/>
    </row>
    <row r="6049" spans="1:34" ht="14.25" customHeight="1" x14ac:dyDescent="0.25">
      <c r="A6049" s="3"/>
      <c r="B6049" s="3"/>
      <c r="C6049" s="3"/>
      <c r="D6049" s="3"/>
      <c r="E6049" s="3"/>
      <c r="F6049" s="3"/>
      <c r="G6049" s="3"/>
      <c r="H6049" s="11"/>
      <c r="I6049" s="12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  <c r="AA6049" s="3"/>
      <c r="AB6049" s="3"/>
      <c r="AC6049" s="3"/>
      <c r="AD6049" s="3"/>
      <c r="AE6049" s="3"/>
      <c r="AF6049" s="3"/>
      <c r="AG6049" s="3"/>
      <c r="AH6049" s="3"/>
    </row>
    <row r="6050" spans="1:34" ht="14.25" customHeight="1" x14ac:dyDescent="0.25">
      <c r="A6050" s="3"/>
      <c r="B6050" s="3"/>
      <c r="C6050" s="3"/>
      <c r="D6050" s="3"/>
      <c r="E6050" s="3"/>
      <c r="F6050" s="3"/>
      <c r="G6050" s="3"/>
      <c r="H6050" s="11"/>
      <c r="I6050" s="12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  <c r="AA6050" s="3"/>
      <c r="AB6050" s="3"/>
      <c r="AC6050" s="3"/>
      <c r="AD6050" s="3"/>
      <c r="AE6050" s="3"/>
      <c r="AF6050" s="3"/>
      <c r="AG6050" s="3"/>
      <c r="AH6050" s="3"/>
    </row>
    <row r="6051" spans="1:34" ht="14.25" customHeight="1" x14ac:dyDescent="0.25">
      <c r="A6051" s="3"/>
      <c r="B6051" s="3"/>
      <c r="C6051" s="3"/>
      <c r="D6051" s="3"/>
      <c r="E6051" s="3"/>
      <c r="F6051" s="3"/>
      <c r="G6051" s="3"/>
      <c r="H6051" s="11"/>
      <c r="I6051" s="12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  <c r="AA6051" s="3"/>
      <c r="AB6051" s="3"/>
      <c r="AC6051" s="3"/>
      <c r="AD6051" s="3"/>
      <c r="AE6051" s="3"/>
      <c r="AF6051" s="3"/>
      <c r="AG6051" s="3"/>
      <c r="AH6051" s="3"/>
    </row>
    <row r="6052" spans="1:34" ht="14.25" customHeight="1" x14ac:dyDescent="0.25">
      <c r="A6052" s="3"/>
      <c r="B6052" s="3"/>
      <c r="C6052" s="3"/>
      <c r="D6052" s="3"/>
      <c r="E6052" s="3"/>
      <c r="F6052" s="3"/>
      <c r="G6052" s="3"/>
      <c r="H6052" s="11"/>
      <c r="I6052" s="12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  <c r="AA6052" s="3"/>
      <c r="AB6052" s="3"/>
      <c r="AC6052" s="3"/>
      <c r="AD6052" s="3"/>
      <c r="AE6052" s="3"/>
      <c r="AF6052" s="3"/>
      <c r="AG6052" s="3"/>
      <c r="AH6052" s="3"/>
    </row>
    <row r="6053" spans="1:34" ht="14.25" customHeight="1" x14ac:dyDescent="0.25">
      <c r="A6053" s="3"/>
      <c r="B6053" s="3"/>
      <c r="C6053" s="3"/>
      <c r="D6053" s="3"/>
      <c r="E6053" s="3"/>
      <c r="F6053" s="3"/>
      <c r="G6053" s="3"/>
      <c r="H6053" s="11"/>
      <c r="I6053" s="12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  <c r="AA6053" s="3"/>
      <c r="AB6053" s="3"/>
      <c r="AC6053" s="3"/>
      <c r="AD6053" s="3"/>
      <c r="AE6053" s="3"/>
      <c r="AF6053" s="3"/>
      <c r="AG6053" s="3"/>
      <c r="AH6053" s="3"/>
    </row>
    <row r="6054" spans="1:34" ht="14.25" customHeight="1" x14ac:dyDescent="0.25">
      <c r="A6054" s="3"/>
      <c r="B6054" s="3"/>
      <c r="C6054" s="3"/>
      <c r="D6054" s="3"/>
      <c r="E6054" s="3"/>
      <c r="F6054" s="3"/>
      <c r="G6054" s="3"/>
      <c r="H6054" s="11"/>
      <c r="I6054" s="12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  <c r="AA6054" s="3"/>
      <c r="AB6054" s="3"/>
      <c r="AC6054" s="3"/>
      <c r="AD6054" s="3"/>
      <c r="AE6054" s="3"/>
      <c r="AF6054" s="3"/>
      <c r="AG6054" s="3"/>
      <c r="AH6054" s="3"/>
    </row>
    <row r="6055" spans="1:34" ht="14.25" customHeight="1" x14ac:dyDescent="0.25">
      <c r="A6055" s="3"/>
      <c r="B6055" s="3"/>
      <c r="C6055" s="3"/>
      <c r="D6055" s="3"/>
      <c r="E6055" s="3"/>
      <c r="F6055" s="3"/>
      <c r="G6055" s="3"/>
      <c r="H6055" s="11"/>
      <c r="I6055" s="12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  <c r="AA6055" s="3"/>
      <c r="AB6055" s="3"/>
      <c r="AC6055" s="3"/>
      <c r="AD6055" s="3"/>
      <c r="AE6055" s="3"/>
      <c r="AF6055" s="3"/>
      <c r="AG6055" s="3"/>
      <c r="AH6055" s="3"/>
    </row>
    <row r="6056" spans="1:34" ht="14.25" customHeight="1" x14ac:dyDescent="0.25">
      <c r="A6056" s="3"/>
      <c r="B6056" s="3"/>
      <c r="C6056" s="3"/>
      <c r="D6056" s="3"/>
      <c r="E6056" s="3"/>
      <c r="F6056" s="3"/>
      <c r="G6056" s="3"/>
      <c r="H6056" s="11"/>
      <c r="I6056" s="12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  <c r="AA6056" s="3"/>
      <c r="AB6056" s="3"/>
      <c r="AC6056" s="3"/>
      <c r="AD6056" s="3"/>
      <c r="AE6056" s="3"/>
      <c r="AF6056" s="3"/>
      <c r="AG6056" s="3"/>
      <c r="AH6056" s="3"/>
    </row>
    <row r="6057" spans="1:34" ht="14.25" customHeight="1" x14ac:dyDescent="0.25">
      <c r="A6057" s="3"/>
      <c r="B6057" s="3"/>
      <c r="C6057" s="3"/>
      <c r="D6057" s="3"/>
      <c r="E6057" s="3"/>
      <c r="F6057" s="3"/>
      <c r="G6057" s="3"/>
      <c r="H6057" s="11"/>
      <c r="I6057" s="12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  <c r="AA6057" s="3"/>
      <c r="AB6057" s="3"/>
      <c r="AC6057" s="3"/>
      <c r="AD6057" s="3"/>
      <c r="AE6057" s="3"/>
      <c r="AF6057" s="3"/>
      <c r="AG6057" s="3"/>
      <c r="AH6057" s="3"/>
    </row>
    <row r="6058" spans="1:34" ht="14.25" customHeight="1" x14ac:dyDescent="0.25">
      <c r="A6058" s="3"/>
      <c r="B6058" s="3"/>
      <c r="C6058" s="3"/>
      <c r="D6058" s="3"/>
      <c r="E6058" s="3"/>
      <c r="F6058" s="3"/>
      <c r="G6058" s="3"/>
      <c r="H6058" s="11"/>
      <c r="I6058" s="12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  <c r="AA6058" s="3"/>
      <c r="AB6058" s="3"/>
      <c r="AC6058" s="3"/>
      <c r="AD6058" s="3"/>
      <c r="AE6058" s="3"/>
      <c r="AF6058" s="3"/>
      <c r="AG6058" s="3"/>
      <c r="AH6058" s="3"/>
    </row>
    <row r="6059" spans="1:34" ht="14.25" customHeight="1" x14ac:dyDescent="0.25">
      <c r="A6059" s="3"/>
      <c r="B6059" s="3"/>
      <c r="C6059" s="3"/>
      <c r="D6059" s="3"/>
      <c r="E6059" s="3"/>
      <c r="F6059" s="3"/>
      <c r="G6059" s="3"/>
      <c r="H6059" s="11"/>
      <c r="I6059" s="12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  <c r="AA6059" s="3"/>
      <c r="AB6059" s="3"/>
      <c r="AC6059" s="3"/>
      <c r="AD6059" s="3"/>
      <c r="AE6059" s="3"/>
      <c r="AF6059" s="3"/>
      <c r="AG6059" s="3"/>
      <c r="AH6059" s="3"/>
    </row>
    <row r="6060" spans="1:34" ht="14.25" customHeight="1" x14ac:dyDescent="0.25">
      <c r="A6060" s="3"/>
      <c r="B6060" s="3"/>
      <c r="C6060" s="3"/>
      <c r="D6060" s="3"/>
      <c r="E6060" s="3"/>
      <c r="F6060" s="3"/>
      <c r="G6060" s="3"/>
      <c r="H6060" s="11"/>
      <c r="I6060" s="12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  <c r="AA6060" s="3"/>
      <c r="AB6060" s="3"/>
      <c r="AC6060" s="3"/>
      <c r="AD6060" s="3"/>
      <c r="AE6060" s="3"/>
      <c r="AF6060" s="3"/>
      <c r="AG6060" s="3"/>
      <c r="AH6060" s="3"/>
    </row>
    <row r="6061" spans="1:34" ht="14.25" customHeight="1" x14ac:dyDescent="0.25">
      <c r="A6061" s="3"/>
      <c r="B6061" s="3"/>
      <c r="C6061" s="3"/>
      <c r="D6061" s="3"/>
      <c r="E6061" s="3"/>
      <c r="F6061" s="3"/>
      <c r="G6061" s="3"/>
      <c r="H6061" s="11"/>
      <c r="I6061" s="12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  <c r="AA6061" s="3"/>
      <c r="AB6061" s="3"/>
      <c r="AC6061" s="3"/>
      <c r="AD6061" s="3"/>
      <c r="AE6061" s="3"/>
      <c r="AF6061" s="3"/>
      <c r="AG6061" s="3"/>
      <c r="AH6061" s="3"/>
    </row>
    <row r="6062" spans="1:34" ht="14.25" customHeight="1" x14ac:dyDescent="0.25">
      <c r="A6062" s="3"/>
      <c r="B6062" s="3"/>
      <c r="C6062" s="3"/>
      <c r="D6062" s="3"/>
      <c r="E6062" s="3"/>
      <c r="F6062" s="3"/>
      <c r="G6062" s="3"/>
      <c r="H6062" s="11"/>
      <c r="I6062" s="12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  <c r="AA6062" s="3"/>
      <c r="AB6062" s="3"/>
      <c r="AC6062" s="3"/>
      <c r="AD6062" s="3"/>
      <c r="AE6062" s="3"/>
      <c r="AF6062" s="3"/>
      <c r="AG6062" s="3"/>
      <c r="AH6062" s="3"/>
    </row>
    <row r="6063" spans="1:34" ht="14.25" customHeight="1" x14ac:dyDescent="0.25">
      <c r="A6063" s="3"/>
      <c r="B6063" s="3"/>
      <c r="C6063" s="3"/>
      <c r="D6063" s="3"/>
      <c r="E6063" s="3"/>
      <c r="F6063" s="3"/>
      <c r="G6063" s="3"/>
      <c r="H6063" s="11"/>
      <c r="I6063" s="12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  <c r="AA6063" s="3"/>
      <c r="AB6063" s="3"/>
      <c r="AC6063" s="3"/>
      <c r="AD6063" s="3"/>
      <c r="AE6063" s="3"/>
      <c r="AF6063" s="3"/>
      <c r="AG6063" s="3"/>
      <c r="AH6063" s="3"/>
    </row>
    <row r="6064" spans="1:34" ht="14.25" customHeight="1" x14ac:dyDescent="0.25">
      <c r="A6064" s="3"/>
      <c r="B6064" s="3"/>
      <c r="C6064" s="3"/>
      <c r="D6064" s="3"/>
      <c r="E6064" s="3"/>
      <c r="F6064" s="3"/>
      <c r="G6064" s="3"/>
      <c r="H6064" s="11"/>
      <c r="I6064" s="12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  <c r="AA6064" s="3"/>
      <c r="AB6064" s="3"/>
      <c r="AC6064" s="3"/>
      <c r="AD6064" s="3"/>
      <c r="AE6064" s="3"/>
      <c r="AF6064" s="3"/>
      <c r="AG6064" s="3"/>
      <c r="AH6064" s="3"/>
    </row>
    <row r="6065" spans="1:34" ht="14.25" customHeight="1" x14ac:dyDescent="0.25">
      <c r="A6065" s="3"/>
      <c r="B6065" s="3"/>
      <c r="C6065" s="3"/>
      <c r="D6065" s="3"/>
      <c r="E6065" s="3"/>
      <c r="F6065" s="3"/>
      <c r="G6065" s="3"/>
      <c r="H6065" s="11"/>
      <c r="I6065" s="12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  <c r="AA6065" s="3"/>
      <c r="AB6065" s="3"/>
      <c r="AC6065" s="3"/>
      <c r="AD6065" s="3"/>
      <c r="AE6065" s="3"/>
      <c r="AF6065" s="3"/>
      <c r="AG6065" s="3"/>
      <c r="AH6065" s="3"/>
    </row>
    <row r="6066" spans="1:34" ht="14.25" customHeight="1" x14ac:dyDescent="0.25">
      <c r="A6066" s="3"/>
      <c r="B6066" s="3"/>
      <c r="C6066" s="3"/>
      <c r="D6066" s="3"/>
      <c r="E6066" s="3"/>
      <c r="F6066" s="3"/>
      <c r="G6066" s="3"/>
      <c r="H6066" s="11"/>
      <c r="I6066" s="12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  <c r="AA6066" s="3"/>
      <c r="AB6066" s="3"/>
      <c r="AC6066" s="3"/>
      <c r="AD6066" s="3"/>
      <c r="AE6066" s="3"/>
      <c r="AF6066" s="3"/>
      <c r="AG6066" s="3"/>
      <c r="AH6066" s="3"/>
    </row>
    <row r="6067" spans="1:34" ht="14.25" customHeight="1" x14ac:dyDescent="0.25">
      <c r="A6067" s="3"/>
      <c r="B6067" s="3"/>
      <c r="C6067" s="3"/>
      <c r="D6067" s="3"/>
      <c r="E6067" s="3"/>
      <c r="F6067" s="3"/>
      <c r="G6067" s="3"/>
      <c r="H6067" s="11"/>
      <c r="I6067" s="12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  <c r="AA6067" s="3"/>
      <c r="AB6067" s="3"/>
      <c r="AC6067" s="3"/>
      <c r="AD6067" s="3"/>
      <c r="AE6067" s="3"/>
      <c r="AF6067" s="3"/>
      <c r="AG6067" s="3"/>
      <c r="AH6067" s="3"/>
    </row>
    <row r="6068" spans="1:34" ht="14.25" customHeight="1" x14ac:dyDescent="0.25">
      <c r="A6068" s="3"/>
      <c r="B6068" s="3"/>
      <c r="C6068" s="3"/>
      <c r="D6068" s="3"/>
      <c r="E6068" s="3"/>
      <c r="F6068" s="3"/>
      <c r="G6068" s="14"/>
      <c r="H6068" s="11"/>
      <c r="I6068" s="12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  <c r="AA6068" s="3"/>
      <c r="AB6068" s="3"/>
      <c r="AC6068" s="3"/>
      <c r="AD6068" s="3"/>
      <c r="AE6068" s="3"/>
      <c r="AF6068" s="3"/>
      <c r="AG6068" s="3"/>
      <c r="AH6068" s="3"/>
    </row>
    <row r="6069" spans="1:34" ht="14.25" customHeight="1" x14ac:dyDescent="0.25">
      <c r="A6069" s="3"/>
      <c r="B6069" s="3"/>
      <c r="C6069" s="3"/>
      <c r="D6069" s="3"/>
      <c r="E6069" s="3"/>
      <c r="F6069" s="3"/>
      <c r="G6069" s="3"/>
      <c r="H6069" s="11"/>
      <c r="I6069" s="12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  <c r="AA6069" s="3"/>
      <c r="AB6069" s="3"/>
      <c r="AC6069" s="3"/>
      <c r="AD6069" s="3"/>
      <c r="AE6069" s="3"/>
      <c r="AF6069" s="3"/>
      <c r="AG6069" s="3"/>
      <c r="AH6069" s="3"/>
    </row>
    <row r="6070" spans="1:34" ht="14.25" customHeight="1" x14ac:dyDescent="0.25">
      <c r="A6070" s="3"/>
      <c r="B6070" s="3"/>
      <c r="C6070" s="3"/>
      <c r="D6070" s="3"/>
      <c r="E6070" s="3"/>
      <c r="F6070" s="3"/>
      <c r="G6070" s="3"/>
      <c r="H6070" s="11"/>
      <c r="I6070" s="12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  <c r="AA6070" s="3"/>
      <c r="AB6070" s="3"/>
      <c r="AC6070" s="3"/>
      <c r="AD6070" s="3"/>
      <c r="AE6070" s="3"/>
      <c r="AF6070" s="3"/>
      <c r="AG6070" s="3"/>
      <c r="AH6070" s="3"/>
    </row>
    <row r="6071" spans="1:34" ht="14.25" customHeight="1" x14ac:dyDescent="0.25">
      <c r="A6071" s="3"/>
      <c r="B6071" s="3"/>
      <c r="C6071" s="3"/>
      <c r="D6071" s="3"/>
      <c r="E6071" s="3"/>
      <c r="F6071" s="3"/>
      <c r="G6071" s="3"/>
      <c r="H6071" s="11"/>
      <c r="I6071" s="12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  <c r="AA6071" s="3"/>
      <c r="AB6071" s="3"/>
      <c r="AC6071" s="3"/>
      <c r="AD6071" s="3"/>
      <c r="AE6071" s="3"/>
      <c r="AF6071" s="3"/>
      <c r="AG6071" s="3"/>
      <c r="AH6071" s="3"/>
    </row>
    <row r="6072" spans="1:34" ht="14.25" customHeight="1" x14ac:dyDescent="0.25">
      <c r="A6072" s="3"/>
      <c r="B6072" s="3"/>
      <c r="C6072" s="3"/>
      <c r="D6072" s="3"/>
      <c r="E6072" s="3"/>
      <c r="F6072" s="3"/>
      <c r="G6072" s="3"/>
      <c r="H6072" s="11"/>
      <c r="I6072" s="12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  <c r="AA6072" s="3"/>
      <c r="AB6072" s="3"/>
      <c r="AC6072" s="3"/>
      <c r="AD6072" s="3"/>
      <c r="AE6072" s="3"/>
      <c r="AF6072" s="3"/>
      <c r="AG6072" s="3"/>
      <c r="AH6072" s="3"/>
    </row>
    <row r="6073" spans="1:34" ht="14.25" customHeight="1" x14ac:dyDescent="0.25">
      <c r="A6073" s="3"/>
      <c r="B6073" s="3"/>
      <c r="C6073" s="3"/>
      <c r="D6073" s="3"/>
      <c r="E6073" s="3"/>
      <c r="F6073" s="3"/>
      <c r="G6073" s="3"/>
      <c r="H6073" s="11"/>
      <c r="I6073" s="12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  <c r="AA6073" s="3"/>
      <c r="AB6073" s="3"/>
      <c r="AC6073" s="3"/>
      <c r="AD6073" s="3"/>
      <c r="AE6073" s="3"/>
      <c r="AF6073" s="3"/>
      <c r="AG6073" s="3"/>
      <c r="AH6073" s="3"/>
    </row>
    <row r="6074" spans="1:34" ht="14.25" customHeight="1" x14ac:dyDescent="0.25">
      <c r="A6074" s="3"/>
      <c r="B6074" s="3"/>
      <c r="C6074" s="3"/>
      <c r="D6074" s="3"/>
      <c r="E6074" s="3"/>
      <c r="F6074" s="3"/>
      <c r="G6074" s="3"/>
      <c r="H6074" s="11"/>
      <c r="I6074" s="12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  <c r="AA6074" s="3"/>
      <c r="AB6074" s="3"/>
      <c r="AC6074" s="3"/>
      <c r="AD6074" s="3"/>
      <c r="AE6074" s="3"/>
      <c r="AF6074" s="3"/>
      <c r="AG6074" s="3"/>
      <c r="AH6074" s="3"/>
    </row>
    <row r="6075" spans="1:34" ht="14.25" customHeight="1" x14ac:dyDescent="0.25">
      <c r="A6075" s="3"/>
      <c r="B6075" s="3"/>
      <c r="C6075" s="3"/>
      <c r="D6075" s="3"/>
      <c r="E6075" s="3"/>
      <c r="F6075" s="3"/>
      <c r="G6075" s="3"/>
      <c r="H6075" s="11"/>
      <c r="I6075" s="12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  <c r="AA6075" s="3"/>
      <c r="AB6075" s="3"/>
      <c r="AC6075" s="3"/>
      <c r="AD6075" s="3"/>
      <c r="AE6075" s="3"/>
      <c r="AF6075" s="3"/>
      <c r="AG6075" s="3"/>
      <c r="AH6075" s="3"/>
    </row>
    <row r="6076" spans="1:34" ht="14.25" customHeight="1" x14ac:dyDescent="0.25">
      <c r="A6076" s="3"/>
      <c r="B6076" s="3"/>
      <c r="C6076" s="3"/>
      <c r="D6076" s="3"/>
      <c r="E6076" s="3"/>
      <c r="F6076" s="3"/>
      <c r="G6076" s="3"/>
      <c r="H6076" s="11"/>
      <c r="I6076" s="12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  <c r="AA6076" s="3"/>
      <c r="AB6076" s="3"/>
      <c r="AC6076" s="3"/>
      <c r="AD6076" s="3"/>
      <c r="AE6076" s="3"/>
      <c r="AF6076" s="3"/>
      <c r="AG6076" s="3"/>
      <c r="AH6076" s="3"/>
    </row>
    <row r="6077" spans="1:34" ht="14.25" customHeight="1" x14ac:dyDescent="0.25">
      <c r="A6077" s="3"/>
      <c r="B6077" s="3"/>
      <c r="C6077" s="3"/>
      <c r="D6077" s="3"/>
      <c r="E6077" s="3"/>
      <c r="F6077" s="3"/>
      <c r="G6077" s="3"/>
      <c r="H6077" s="11"/>
      <c r="I6077" s="12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  <c r="AA6077" s="3"/>
      <c r="AB6077" s="3"/>
      <c r="AC6077" s="3"/>
      <c r="AD6077" s="3"/>
      <c r="AE6077" s="3"/>
      <c r="AF6077" s="3"/>
      <c r="AG6077" s="3"/>
      <c r="AH6077" s="3"/>
    </row>
    <row r="6078" spans="1:34" ht="14.25" customHeight="1" x14ac:dyDescent="0.25">
      <c r="A6078" s="3"/>
      <c r="B6078" s="3"/>
      <c r="C6078" s="3"/>
      <c r="D6078" s="3"/>
      <c r="E6078" s="3"/>
      <c r="F6078" s="3"/>
      <c r="G6078" s="3"/>
      <c r="H6078" s="11"/>
      <c r="I6078" s="12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  <c r="AA6078" s="3"/>
      <c r="AB6078" s="3"/>
      <c r="AC6078" s="3"/>
      <c r="AD6078" s="3"/>
      <c r="AE6078" s="3"/>
      <c r="AF6078" s="3"/>
      <c r="AG6078" s="3"/>
      <c r="AH6078" s="3"/>
    </row>
    <row r="6079" spans="1:34" ht="14.25" customHeight="1" x14ac:dyDescent="0.25">
      <c r="A6079" s="3"/>
      <c r="B6079" s="3"/>
      <c r="C6079" s="3"/>
      <c r="D6079" s="3"/>
      <c r="E6079" s="3"/>
      <c r="F6079" s="3"/>
      <c r="G6079" s="3"/>
      <c r="H6079" s="11"/>
      <c r="I6079" s="12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  <c r="AA6079" s="3"/>
      <c r="AB6079" s="3"/>
      <c r="AC6079" s="3"/>
      <c r="AD6079" s="3"/>
      <c r="AE6079" s="3"/>
      <c r="AF6079" s="3"/>
      <c r="AG6079" s="3"/>
      <c r="AH6079" s="3"/>
    </row>
    <row r="6080" spans="1:34" ht="14.25" customHeight="1" x14ac:dyDescent="0.25">
      <c r="A6080" s="3"/>
      <c r="B6080" s="3"/>
      <c r="C6080" s="3"/>
      <c r="D6080" s="3"/>
      <c r="E6080" s="3"/>
      <c r="F6080" s="3"/>
      <c r="G6080" s="3"/>
      <c r="H6080" s="11"/>
      <c r="I6080" s="12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  <c r="AA6080" s="3"/>
      <c r="AB6080" s="3"/>
      <c r="AC6080" s="3"/>
      <c r="AD6080" s="3"/>
      <c r="AE6080" s="3"/>
      <c r="AF6080" s="3"/>
      <c r="AG6080" s="3"/>
      <c r="AH6080" s="3"/>
    </row>
    <row r="6081" spans="1:34" ht="14.25" customHeight="1" x14ac:dyDescent="0.25">
      <c r="A6081" s="3"/>
      <c r="B6081" s="3"/>
      <c r="C6081" s="3"/>
      <c r="D6081" s="3"/>
      <c r="E6081" s="3"/>
      <c r="F6081" s="3"/>
      <c r="G6081" s="3"/>
      <c r="H6081" s="11"/>
      <c r="I6081" s="12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  <c r="AA6081" s="3"/>
      <c r="AB6081" s="3"/>
      <c r="AC6081" s="3"/>
      <c r="AD6081" s="3"/>
      <c r="AE6081" s="3"/>
      <c r="AF6081" s="3"/>
      <c r="AG6081" s="3"/>
      <c r="AH6081" s="3"/>
    </row>
    <row r="6082" spans="1:34" ht="14.25" customHeight="1" x14ac:dyDescent="0.25">
      <c r="A6082" s="3"/>
      <c r="B6082" s="3"/>
      <c r="C6082" s="3"/>
      <c r="D6082" s="3"/>
      <c r="E6082" s="3"/>
      <c r="F6082" s="3"/>
      <c r="G6082" s="3"/>
      <c r="H6082" s="11"/>
      <c r="I6082" s="12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  <c r="AA6082" s="3"/>
      <c r="AB6082" s="3"/>
      <c r="AC6082" s="3"/>
      <c r="AD6082" s="3"/>
      <c r="AE6082" s="3"/>
      <c r="AF6082" s="3"/>
      <c r="AG6082" s="3"/>
      <c r="AH6082" s="3"/>
    </row>
    <row r="6083" spans="1:34" ht="14.25" customHeight="1" x14ac:dyDescent="0.25">
      <c r="A6083" s="3"/>
      <c r="B6083" s="3"/>
      <c r="C6083" s="3"/>
      <c r="D6083" s="3"/>
      <c r="E6083" s="3"/>
      <c r="F6083" s="3"/>
      <c r="G6083" s="3"/>
      <c r="H6083" s="11"/>
      <c r="I6083" s="12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  <c r="AA6083" s="3"/>
      <c r="AB6083" s="3"/>
      <c r="AC6083" s="3"/>
      <c r="AD6083" s="3"/>
      <c r="AE6083" s="3"/>
      <c r="AF6083" s="3"/>
      <c r="AG6083" s="3"/>
      <c r="AH6083" s="3"/>
    </row>
    <row r="6084" spans="1:34" ht="14.25" customHeight="1" x14ac:dyDescent="0.25">
      <c r="A6084" s="3"/>
      <c r="B6084" s="3"/>
      <c r="C6084" s="3"/>
      <c r="D6084" s="3"/>
      <c r="E6084" s="3"/>
      <c r="F6084" s="3"/>
      <c r="G6084" s="3"/>
      <c r="H6084" s="11"/>
      <c r="I6084" s="12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  <c r="AA6084" s="3"/>
      <c r="AB6084" s="3"/>
      <c r="AC6084" s="3"/>
      <c r="AD6084" s="3"/>
      <c r="AE6084" s="3"/>
      <c r="AF6084" s="3"/>
      <c r="AG6084" s="3"/>
      <c r="AH6084" s="3"/>
    </row>
    <row r="6085" spans="1:34" ht="14.25" customHeight="1" x14ac:dyDescent="0.25">
      <c r="A6085" s="3"/>
      <c r="B6085" s="3"/>
      <c r="C6085" s="3"/>
      <c r="D6085" s="3"/>
      <c r="E6085" s="3"/>
      <c r="F6085" s="3"/>
      <c r="G6085" s="14"/>
      <c r="H6085" s="11"/>
      <c r="I6085" s="12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  <c r="AA6085" s="3"/>
      <c r="AB6085" s="3"/>
      <c r="AC6085" s="3"/>
      <c r="AD6085" s="3"/>
      <c r="AE6085" s="3"/>
      <c r="AF6085" s="3"/>
      <c r="AG6085" s="3"/>
      <c r="AH6085" s="3"/>
    </row>
    <row r="6086" spans="1:34" ht="14.25" customHeight="1" x14ac:dyDescent="0.25">
      <c r="A6086" s="3"/>
      <c r="B6086" s="3"/>
      <c r="C6086" s="3"/>
      <c r="D6086" s="3"/>
      <c r="E6086" s="3"/>
      <c r="F6086" s="3"/>
      <c r="G6086" s="3"/>
      <c r="H6086" s="11"/>
      <c r="I6086" s="12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  <c r="AA6086" s="3"/>
      <c r="AB6086" s="3"/>
      <c r="AC6086" s="3"/>
      <c r="AD6086" s="3"/>
      <c r="AE6086" s="3"/>
      <c r="AF6086" s="3"/>
      <c r="AG6086" s="3"/>
      <c r="AH6086" s="3"/>
    </row>
    <row r="6087" spans="1:34" ht="14.25" customHeight="1" x14ac:dyDescent="0.25">
      <c r="A6087" s="3"/>
      <c r="B6087" s="3"/>
      <c r="C6087" s="3"/>
      <c r="D6087" s="3"/>
      <c r="E6087" s="3"/>
      <c r="F6087" s="3"/>
      <c r="G6087" s="3"/>
      <c r="H6087" s="11"/>
      <c r="I6087" s="12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  <c r="AA6087" s="3"/>
      <c r="AB6087" s="3"/>
      <c r="AC6087" s="3"/>
      <c r="AD6087" s="3"/>
      <c r="AE6087" s="3"/>
      <c r="AF6087" s="3"/>
      <c r="AG6087" s="3"/>
      <c r="AH6087" s="3"/>
    </row>
    <row r="6088" spans="1:34" ht="14.25" customHeight="1" x14ac:dyDescent="0.25">
      <c r="A6088" s="3"/>
      <c r="B6088" s="3"/>
      <c r="C6088" s="3"/>
      <c r="D6088" s="3"/>
      <c r="E6088" s="3"/>
      <c r="F6088" s="3"/>
      <c r="G6088" s="3"/>
      <c r="H6088" s="11"/>
      <c r="I6088" s="12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  <c r="AA6088" s="3"/>
      <c r="AB6088" s="3"/>
      <c r="AC6088" s="3"/>
      <c r="AD6088" s="3"/>
      <c r="AE6088" s="3"/>
      <c r="AF6088" s="3"/>
      <c r="AG6088" s="3"/>
      <c r="AH6088" s="3"/>
    </row>
    <row r="6089" spans="1:34" ht="14.25" customHeight="1" x14ac:dyDescent="0.25">
      <c r="A6089" s="3"/>
      <c r="B6089" s="3"/>
      <c r="C6089" s="3"/>
      <c r="D6089" s="3"/>
      <c r="E6089" s="3"/>
      <c r="F6089" s="3"/>
      <c r="G6089" s="3"/>
      <c r="H6089" s="11"/>
      <c r="I6089" s="12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  <c r="AA6089" s="3"/>
      <c r="AB6089" s="3"/>
      <c r="AC6089" s="3"/>
      <c r="AD6089" s="3"/>
      <c r="AE6089" s="3"/>
      <c r="AF6089" s="3"/>
      <c r="AG6089" s="3"/>
      <c r="AH6089" s="3"/>
    </row>
    <row r="6090" spans="1:34" ht="14.25" customHeight="1" x14ac:dyDescent="0.25">
      <c r="A6090" s="3"/>
      <c r="B6090" s="3"/>
      <c r="C6090" s="3"/>
      <c r="D6090" s="3"/>
      <c r="E6090" s="3"/>
      <c r="F6090" s="3"/>
      <c r="G6090" s="3"/>
      <c r="H6090" s="11"/>
      <c r="I6090" s="12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  <c r="AA6090" s="3"/>
      <c r="AB6090" s="3"/>
      <c r="AC6090" s="3"/>
      <c r="AD6090" s="3"/>
      <c r="AE6090" s="3"/>
      <c r="AF6090" s="3"/>
      <c r="AG6090" s="3"/>
      <c r="AH6090" s="3"/>
    </row>
    <row r="6091" spans="1:34" ht="14.25" customHeight="1" x14ac:dyDescent="0.25">
      <c r="A6091" s="3"/>
      <c r="B6091" s="3"/>
      <c r="C6091" s="3"/>
      <c r="D6091" s="3"/>
      <c r="E6091" s="3"/>
      <c r="F6091" s="3"/>
      <c r="G6091" s="3"/>
      <c r="H6091" s="11"/>
      <c r="I6091" s="12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  <c r="AA6091" s="3"/>
      <c r="AB6091" s="3"/>
      <c r="AC6091" s="3"/>
      <c r="AD6091" s="3"/>
      <c r="AE6091" s="3"/>
      <c r="AF6091" s="3"/>
      <c r="AG6091" s="3"/>
      <c r="AH6091" s="3"/>
    </row>
    <row r="6092" spans="1:34" ht="14.25" customHeight="1" x14ac:dyDescent="0.25">
      <c r="A6092" s="3"/>
      <c r="B6092" s="3"/>
      <c r="C6092" s="3"/>
      <c r="D6092" s="3"/>
      <c r="E6092" s="3"/>
      <c r="F6092" s="3"/>
      <c r="G6092" s="3"/>
      <c r="H6092" s="11"/>
      <c r="I6092" s="12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  <c r="AA6092" s="3"/>
      <c r="AB6092" s="3"/>
      <c r="AC6092" s="3"/>
      <c r="AD6092" s="3"/>
      <c r="AE6092" s="3"/>
      <c r="AF6092" s="3"/>
      <c r="AG6092" s="3"/>
      <c r="AH6092" s="3"/>
    </row>
    <row r="6093" spans="1:34" ht="14.25" customHeight="1" x14ac:dyDescent="0.25">
      <c r="A6093" s="3"/>
      <c r="B6093" s="3"/>
      <c r="C6093" s="3"/>
      <c r="D6093" s="3"/>
      <c r="E6093" s="3"/>
      <c r="F6093" s="3"/>
      <c r="G6093" s="3"/>
      <c r="H6093" s="11"/>
      <c r="I6093" s="12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  <c r="AA6093" s="3"/>
      <c r="AB6093" s="3"/>
      <c r="AC6093" s="3"/>
      <c r="AD6093" s="3"/>
      <c r="AE6093" s="3"/>
      <c r="AF6093" s="3"/>
      <c r="AG6093" s="3"/>
      <c r="AH6093" s="3"/>
    </row>
    <row r="6094" spans="1:34" ht="14.25" customHeight="1" x14ac:dyDescent="0.25">
      <c r="A6094" s="3"/>
      <c r="B6094" s="3"/>
      <c r="C6094" s="3"/>
      <c r="D6094" s="3"/>
      <c r="E6094" s="3"/>
      <c r="F6094" s="3"/>
      <c r="G6094" s="3"/>
      <c r="H6094" s="11"/>
      <c r="I6094" s="12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  <c r="AA6094" s="3"/>
      <c r="AB6094" s="3"/>
      <c r="AC6094" s="3"/>
      <c r="AD6094" s="3"/>
      <c r="AE6094" s="3"/>
      <c r="AF6094" s="3"/>
      <c r="AG6094" s="3"/>
      <c r="AH6094" s="3"/>
    </row>
    <row r="6095" spans="1:34" ht="14.25" customHeight="1" x14ac:dyDescent="0.25">
      <c r="A6095" s="3"/>
      <c r="B6095" s="3"/>
      <c r="C6095" s="3"/>
      <c r="D6095" s="3"/>
      <c r="E6095" s="3"/>
      <c r="F6095" s="3"/>
      <c r="G6095" s="3"/>
      <c r="H6095" s="11"/>
      <c r="I6095" s="12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  <c r="AA6095" s="3"/>
      <c r="AB6095" s="3"/>
      <c r="AC6095" s="3"/>
      <c r="AD6095" s="3"/>
      <c r="AE6095" s="3"/>
      <c r="AF6095" s="3"/>
      <c r="AG6095" s="3"/>
      <c r="AH6095" s="3"/>
    </row>
    <row r="6096" spans="1:34" ht="14.25" customHeight="1" x14ac:dyDescent="0.25">
      <c r="A6096" s="3"/>
      <c r="B6096" s="3"/>
      <c r="C6096" s="3"/>
      <c r="D6096" s="3"/>
      <c r="E6096" s="3"/>
      <c r="F6096" s="3"/>
      <c r="G6096" s="3"/>
      <c r="H6096" s="11"/>
      <c r="I6096" s="12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  <c r="AA6096" s="3"/>
      <c r="AB6096" s="3"/>
      <c r="AC6096" s="3"/>
      <c r="AD6096" s="3"/>
      <c r="AE6096" s="3"/>
      <c r="AF6096" s="3"/>
      <c r="AG6096" s="3"/>
      <c r="AH6096" s="3"/>
    </row>
    <row r="6097" spans="1:34" ht="14.25" customHeight="1" x14ac:dyDescent="0.25">
      <c r="A6097" s="3"/>
      <c r="B6097" s="3"/>
      <c r="C6097" s="3"/>
      <c r="D6097" s="3"/>
      <c r="E6097" s="3"/>
      <c r="F6097" s="3"/>
      <c r="G6097" s="3"/>
      <c r="H6097" s="11"/>
      <c r="I6097" s="12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  <c r="AA6097" s="3"/>
      <c r="AB6097" s="3"/>
      <c r="AC6097" s="3"/>
      <c r="AD6097" s="3"/>
      <c r="AE6097" s="3"/>
      <c r="AF6097" s="3"/>
      <c r="AG6097" s="3"/>
      <c r="AH6097" s="3"/>
    </row>
    <row r="6098" spans="1:34" ht="14.25" customHeight="1" x14ac:dyDescent="0.25">
      <c r="A6098" s="3"/>
      <c r="B6098" s="3"/>
      <c r="C6098" s="3"/>
      <c r="D6098" s="3"/>
      <c r="E6098" s="3"/>
      <c r="F6098" s="3"/>
      <c r="G6098" s="3"/>
      <c r="H6098" s="11"/>
      <c r="I6098" s="12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  <c r="AA6098" s="3"/>
      <c r="AB6098" s="3"/>
      <c r="AC6098" s="3"/>
      <c r="AD6098" s="3"/>
      <c r="AE6098" s="3"/>
      <c r="AF6098" s="3"/>
      <c r="AG6098" s="3"/>
      <c r="AH6098" s="3"/>
    </row>
    <row r="6099" spans="1:34" ht="14.25" customHeight="1" x14ac:dyDescent="0.25">
      <c r="A6099" s="3"/>
      <c r="B6099" s="3"/>
      <c r="C6099" s="3"/>
      <c r="D6099" s="3"/>
      <c r="E6099" s="3"/>
      <c r="F6099" s="3"/>
      <c r="G6099" s="3"/>
      <c r="H6099" s="11"/>
      <c r="I6099" s="12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  <c r="AA6099" s="3"/>
      <c r="AB6099" s="3"/>
      <c r="AC6099" s="3"/>
      <c r="AD6099" s="3"/>
      <c r="AE6099" s="3"/>
      <c r="AF6099" s="3"/>
      <c r="AG6099" s="3"/>
      <c r="AH6099" s="3"/>
    </row>
    <row r="6100" spans="1:34" ht="14.25" customHeight="1" x14ac:dyDescent="0.25">
      <c r="A6100" s="3"/>
      <c r="B6100" s="3"/>
      <c r="C6100" s="3"/>
      <c r="D6100" s="3"/>
      <c r="E6100" s="3"/>
      <c r="F6100" s="3"/>
      <c r="G6100" s="3"/>
      <c r="H6100" s="11"/>
      <c r="I6100" s="12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  <c r="AA6100" s="3"/>
      <c r="AB6100" s="3"/>
      <c r="AC6100" s="3"/>
      <c r="AD6100" s="3"/>
      <c r="AE6100" s="3"/>
      <c r="AF6100" s="3"/>
      <c r="AG6100" s="3"/>
      <c r="AH6100" s="3"/>
    </row>
    <row r="6101" spans="1:34" ht="14.25" customHeight="1" x14ac:dyDescent="0.25">
      <c r="A6101" s="3"/>
      <c r="B6101" s="3"/>
      <c r="C6101" s="3"/>
      <c r="D6101" s="3"/>
      <c r="E6101" s="3"/>
      <c r="F6101" s="3"/>
      <c r="G6101" s="3"/>
      <c r="H6101" s="11"/>
      <c r="I6101" s="12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  <c r="AA6101" s="3"/>
      <c r="AB6101" s="3"/>
      <c r="AC6101" s="3"/>
      <c r="AD6101" s="3"/>
      <c r="AE6101" s="3"/>
      <c r="AF6101" s="3"/>
      <c r="AG6101" s="3"/>
      <c r="AH6101" s="3"/>
    </row>
    <row r="6102" spans="1:34" ht="14.25" customHeight="1" x14ac:dyDescent="0.25">
      <c r="A6102" s="3"/>
      <c r="B6102" s="3"/>
      <c r="C6102" s="3"/>
      <c r="D6102" s="3"/>
      <c r="E6102" s="3"/>
      <c r="F6102" s="3"/>
      <c r="G6102" s="3"/>
      <c r="H6102" s="11"/>
      <c r="I6102" s="12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  <c r="AA6102" s="3"/>
      <c r="AB6102" s="3"/>
      <c r="AC6102" s="3"/>
      <c r="AD6102" s="3"/>
      <c r="AE6102" s="3"/>
      <c r="AF6102" s="3"/>
      <c r="AG6102" s="3"/>
      <c r="AH6102" s="3"/>
    </row>
    <row r="6103" spans="1:34" ht="14.25" customHeight="1" x14ac:dyDescent="0.25">
      <c r="A6103" s="3"/>
      <c r="B6103" s="3"/>
      <c r="C6103" s="3"/>
      <c r="D6103" s="3"/>
      <c r="E6103" s="3"/>
      <c r="F6103" s="3"/>
      <c r="G6103" s="3"/>
      <c r="H6103" s="11"/>
      <c r="I6103" s="12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  <c r="AA6103" s="3"/>
      <c r="AB6103" s="3"/>
      <c r="AC6103" s="3"/>
      <c r="AD6103" s="3"/>
      <c r="AE6103" s="3"/>
      <c r="AF6103" s="3"/>
      <c r="AG6103" s="3"/>
      <c r="AH6103" s="3"/>
    </row>
    <row r="6104" spans="1:34" ht="14.25" customHeight="1" x14ac:dyDescent="0.25">
      <c r="A6104" s="3"/>
      <c r="B6104" s="3"/>
      <c r="C6104" s="3"/>
      <c r="D6104" s="3"/>
      <c r="E6104" s="3"/>
      <c r="F6104" s="3"/>
      <c r="G6104" s="3"/>
      <c r="H6104" s="11"/>
      <c r="I6104" s="12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  <c r="AA6104" s="3"/>
      <c r="AB6104" s="3"/>
      <c r="AC6104" s="3"/>
      <c r="AD6104" s="3"/>
      <c r="AE6104" s="3"/>
      <c r="AF6104" s="3"/>
      <c r="AG6104" s="3"/>
      <c r="AH6104" s="3"/>
    </row>
    <row r="6105" spans="1:34" ht="14.25" customHeight="1" x14ac:dyDescent="0.25">
      <c r="A6105" s="3"/>
      <c r="B6105" s="3"/>
      <c r="C6105" s="3"/>
      <c r="D6105" s="3"/>
      <c r="E6105" s="3"/>
      <c r="F6105" s="3"/>
      <c r="G6105" s="3"/>
      <c r="H6105" s="11"/>
      <c r="I6105" s="12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  <c r="AA6105" s="3"/>
      <c r="AB6105" s="3"/>
      <c r="AC6105" s="3"/>
      <c r="AD6105" s="3"/>
      <c r="AE6105" s="3"/>
      <c r="AF6105" s="3"/>
      <c r="AG6105" s="3"/>
      <c r="AH6105" s="3"/>
    </row>
    <row r="6106" spans="1:34" ht="14.25" customHeight="1" x14ac:dyDescent="0.25">
      <c r="A6106" s="3"/>
      <c r="B6106" s="3"/>
      <c r="C6106" s="3"/>
      <c r="D6106" s="3"/>
      <c r="E6106" s="3"/>
      <c r="F6106" s="3"/>
      <c r="G6106" s="3"/>
      <c r="H6106" s="11"/>
      <c r="I6106" s="12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  <c r="AA6106" s="3"/>
      <c r="AB6106" s="3"/>
      <c r="AC6106" s="3"/>
      <c r="AD6106" s="3"/>
      <c r="AE6106" s="3"/>
      <c r="AF6106" s="3"/>
      <c r="AG6106" s="3"/>
      <c r="AH6106" s="3"/>
    </row>
    <row r="6107" spans="1:34" ht="14.25" customHeight="1" x14ac:dyDescent="0.25">
      <c r="A6107" s="3"/>
      <c r="B6107" s="3"/>
      <c r="C6107" s="3"/>
      <c r="D6107" s="3"/>
      <c r="E6107" s="3"/>
      <c r="F6107" s="3"/>
      <c r="G6107" s="3"/>
      <c r="H6107" s="11"/>
      <c r="I6107" s="12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  <c r="AA6107" s="3"/>
      <c r="AB6107" s="3"/>
      <c r="AC6107" s="3"/>
      <c r="AD6107" s="3"/>
      <c r="AE6107" s="3"/>
      <c r="AF6107" s="3"/>
      <c r="AG6107" s="3"/>
      <c r="AH6107" s="3"/>
    </row>
    <row r="6108" spans="1:34" ht="14.25" customHeight="1" x14ac:dyDescent="0.25">
      <c r="A6108" s="3"/>
      <c r="B6108" s="3"/>
      <c r="C6108" s="3"/>
      <c r="D6108" s="3"/>
      <c r="E6108" s="3"/>
      <c r="F6108" s="3"/>
      <c r="G6108" s="3"/>
      <c r="H6108" s="11"/>
      <c r="I6108" s="12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  <c r="AA6108" s="3"/>
      <c r="AB6108" s="3"/>
      <c r="AC6108" s="3"/>
      <c r="AD6108" s="3"/>
      <c r="AE6108" s="3"/>
      <c r="AF6108" s="3"/>
      <c r="AG6108" s="3"/>
      <c r="AH6108" s="3"/>
    </row>
    <row r="6109" spans="1:34" ht="14.25" customHeight="1" x14ac:dyDescent="0.25">
      <c r="A6109" s="3"/>
      <c r="B6109" s="3"/>
      <c r="C6109" s="3"/>
      <c r="D6109" s="3"/>
      <c r="E6109" s="3"/>
      <c r="F6109" s="3"/>
      <c r="G6109" s="3"/>
      <c r="H6109" s="11"/>
      <c r="I6109" s="12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  <c r="AA6109" s="3"/>
      <c r="AB6109" s="3"/>
      <c r="AC6109" s="3"/>
      <c r="AD6109" s="3"/>
      <c r="AE6109" s="3"/>
      <c r="AF6109" s="3"/>
      <c r="AG6109" s="3"/>
      <c r="AH6109" s="3"/>
    </row>
    <row r="6110" spans="1:34" ht="14.25" customHeight="1" x14ac:dyDescent="0.25">
      <c r="A6110" s="3"/>
      <c r="B6110" s="3"/>
      <c r="C6110" s="3"/>
      <c r="D6110" s="3"/>
      <c r="E6110" s="3"/>
      <c r="F6110" s="3"/>
      <c r="G6110" s="3"/>
      <c r="H6110" s="11"/>
      <c r="I6110" s="12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  <c r="AA6110" s="3"/>
      <c r="AB6110" s="3"/>
      <c r="AC6110" s="3"/>
      <c r="AD6110" s="3"/>
      <c r="AE6110" s="3"/>
      <c r="AF6110" s="3"/>
      <c r="AG6110" s="3"/>
      <c r="AH6110" s="3"/>
    </row>
    <row r="6111" spans="1:34" ht="14.25" customHeight="1" x14ac:dyDescent="0.25">
      <c r="A6111" s="3"/>
      <c r="B6111" s="3"/>
      <c r="C6111" s="3"/>
      <c r="D6111" s="3"/>
      <c r="E6111" s="3"/>
      <c r="F6111" s="3"/>
      <c r="G6111" s="3"/>
      <c r="H6111" s="11"/>
      <c r="I6111" s="12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  <c r="AA6111" s="3"/>
      <c r="AB6111" s="3"/>
      <c r="AC6111" s="3"/>
      <c r="AD6111" s="3"/>
      <c r="AE6111" s="3"/>
      <c r="AF6111" s="3"/>
      <c r="AG6111" s="3"/>
      <c r="AH6111" s="3"/>
    </row>
    <row r="6112" spans="1:34" ht="14.25" customHeight="1" x14ac:dyDescent="0.25">
      <c r="A6112" s="3"/>
      <c r="B6112" s="3"/>
      <c r="C6112" s="3"/>
      <c r="D6112" s="3"/>
      <c r="E6112" s="3"/>
      <c r="F6112" s="3"/>
      <c r="G6112" s="3"/>
      <c r="H6112" s="11"/>
      <c r="I6112" s="12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  <c r="AA6112" s="3"/>
      <c r="AB6112" s="3"/>
      <c r="AC6112" s="3"/>
      <c r="AD6112" s="3"/>
      <c r="AE6112" s="3"/>
      <c r="AF6112" s="3"/>
      <c r="AG6112" s="3"/>
      <c r="AH6112" s="3"/>
    </row>
    <row r="6113" spans="1:34" ht="14.25" customHeight="1" x14ac:dyDescent="0.25">
      <c r="A6113" s="3"/>
      <c r="B6113" s="3"/>
      <c r="C6113" s="3"/>
      <c r="D6113" s="3"/>
      <c r="E6113" s="3"/>
      <c r="F6113" s="3"/>
      <c r="G6113" s="3"/>
      <c r="H6113" s="11"/>
      <c r="I6113" s="12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  <c r="AA6113" s="3"/>
      <c r="AB6113" s="3"/>
      <c r="AC6113" s="3"/>
      <c r="AD6113" s="3"/>
      <c r="AE6113" s="3"/>
      <c r="AF6113" s="3"/>
      <c r="AG6113" s="3"/>
      <c r="AH6113" s="3"/>
    </row>
    <row r="6114" spans="1:34" ht="14.25" customHeight="1" x14ac:dyDescent="0.25">
      <c r="A6114" s="3"/>
      <c r="B6114" s="3"/>
      <c r="C6114" s="3"/>
      <c r="D6114" s="3"/>
      <c r="E6114" s="3"/>
      <c r="F6114" s="3"/>
      <c r="G6114" s="3"/>
      <c r="H6114" s="11"/>
      <c r="I6114" s="12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  <c r="AA6114" s="3"/>
      <c r="AB6114" s="3"/>
      <c r="AC6114" s="3"/>
      <c r="AD6114" s="3"/>
      <c r="AE6114" s="3"/>
      <c r="AF6114" s="3"/>
      <c r="AG6114" s="3"/>
      <c r="AH6114" s="3"/>
    </row>
    <row r="6115" spans="1:34" ht="14.25" customHeight="1" x14ac:dyDescent="0.25">
      <c r="A6115" s="3"/>
      <c r="B6115" s="3"/>
      <c r="C6115" s="3"/>
      <c r="D6115" s="3"/>
      <c r="E6115" s="3"/>
      <c r="F6115" s="3"/>
      <c r="G6115" s="3"/>
      <c r="H6115" s="11"/>
      <c r="I6115" s="12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  <c r="AA6115" s="3"/>
      <c r="AB6115" s="3"/>
      <c r="AC6115" s="3"/>
      <c r="AD6115" s="3"/>
      <c r="AE6115" s="3"/>
      <c r="AF6115" s="3"/>
      <c r="AG6115" s="3"/>
      <c r="AH6115" s="3"/>
    </row>
    <row r="6116" spans="1:34" ht="14.25" customHeight="1" x14ac:dyDescent="0.25">
      <c r="A6116" s="3"/>
      <c r="B6116" s="3"/>
      <c r="C6116" s="3"/>
      <c r="D6116" s="3"/>
      <c r="E6116" s="3"/>
      <c r="F6116" s="3"/>
      <c r="G6116" s="3"/>
      <c r="H6116" s="11"/>
      <c r="I6116" s="12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  <c r="AA6116" s="3"/>
      <c r="AB6116" s="3"/>
      <c r="AC6116" s="3"/>
      <c r="AD6116" s="3"/>
      <c r="AE6116" s="3"/>
      <c r="AF6116" s="3"/>
      <c r="AG6116" s="3"/>
      <c r="AH6116" s="3"/>
    </row>
    <row r="6117" spans="1:34" ht="14.25" customHeight="1" x14ac:dyDescent="0.25">
      <c r="A6117" s="3"/>
      <c r="B6117" s="3"/>
      <c r="C6117" s="3"/>
      <c r="D6117" s="3"/>
      <c r="E6117" s="3"/>
      <c r="F6117" s="3"/>
      <c r="G6117" s="3"/>
      <c r="H6117" s="11"/>
      <c r="I6117" s="12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  <c r="AA6117" s="3"/>
      <c r="AB6117" s="3"/>
      <c r="AC6117" s="3"/>
      <c r="AD6117" s="3"/>
      <c r="AE6117" s="3"/>
      <c r="AF6117" s="3"/>
      <c r="AG6117" s="3"/>
      <c r="AH6117" s="3"/>
    </row>
    <row r="6118" spans="1:34" ht="14.25" customHeight="1" x14ac:dyDescent="0.25">
      <c r="A6118" s="3"/>
      <c r="B6118" s="3"/>
      <c r="C6118" s="3"/>
      <c r="D6118" s="3"/>
      <c r="E6118" s="3"/>
      <c r="F6118" s="3"/>
      <c r="G6118" s="3"/>
      <c r="H6118" s="11"/>
      <c r="I6118" s="12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  <c r="AA6118" s="3"/>
      <c r="AB6118" s="3"/>
      <c r="AC6118" s="3"/>
      <c r="AD6118" s="3"/>
      <c r="AE6118" s="3"/>
      <c r="AF6118" s="3"/>
      <c r="AG6118" s="3"/>
      <c r="AH6118" s="3"/>
    </row>
    <row r="6119" spans="1:34" ht="14.25" customHeight="1" x14ac:dyDescent="0.25">
      <c r="A6119" s="3"/>
      <c r="B6119" s="3"/>
      <c r="C6119" s="3"/>
      <c r="D6119" s="3"/>
      <c r="E6119" s="3"/>
      <c r="F6119" s="3"/>
      <c r="G6119" s="3"/>
      <c r="H6119" s="11"/>
      <c r="I6119" s="12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  <c r="AA6119" s="3"/>
      <c r="AB6119" s="3"/>
      <c r="AC6119" s="3"/>
      <c r="AD6119" s="3"/>
      <c r="AE6119" s="3"/>
      <c r="AF6119" s="3"/>
      <c r="AG6119" s="3"/>
      <c r="AH6119" s="3"/>
    </row>
    <row r="6120" spans="1:34" ht="14.25" customHeight="1" x14ac:dyDescent="0.25">
      <c r="A6120" s="3"/>
      <c r="B6120" s="3"/>
      <c r="C6120" s="3"/>
      <c r="D6120" s="3"/>
      <c r="E6120" s="3"/>
      <c r="F6120" s="3"/>
      <c r="G6120" s="3"/>
      <c r="H6120" s="11"/>
      <c r="I6120" s="12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  <c r="AA6120" s="3"/>
      <c r="AB6120" s="3"/>
      <c r="AC6120" s="3"/>
      <c r="AD6120" s="3"/>
      <c r="AE6120" s="3"/>
      <c r="AF6120" s="3"/>
      <c r="AG6120" s="3"/>
      <c r="AH6120" s="3"/>
    </row>
    <row r="6121" spans="1:34" ht="14.25" customHeight="1" x14ac:dyDescent="0.25">
      <c r="A6121" s="3"/>
      <c r="B6121" s="3"/>
      <c r="C6121" s="3"/>
      <c r="D6121" s="3"/>
      <c r="E6121" s="3"/>
      <c r="F6121" s="3"/>
      <c r="G6121" s="3"/>
      <c r="H6121" s="11"/>
      <c r="I6121" s="12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  <c r="AA6121" s="3"/>
      <c r="AB6121" s="3"/>
      <c r="AC6121" s="3"/>
      <c r="AD6121" s="3"/>
      <c r="AE6121" s="3"/>
      <c r="AF6121" s="3"/>
      <c r="AG6121" s="3"/>
      <c r="AH6121" s="3"/>
    </row>
    <row r="6122" spans="1:34" ht="14.25" customHeight="1" x14ac:dyDescent="0.25">
      <c r="A6122" s="3"/>
      <c r="B6122" s="3"/>
      <c r="C6122" s="3"/>
      <c r="D6122" s="3"/>
      <c r="E6122" s="3"/>
      <c r="F6122" s="3"/>
      <c r="G6122" s="3"/>
      <c r="H6122" s="11"/>
      <c r="I6122" s="12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  <c r="AA6122" s="3"/>
      <c r="AB6122" s="3"/>
      <c r="AC6122" s="3"/>
      <c r="AD6122" s="3"/>
      <c r="AE6122" s="3"/>
      <c r="AF6122" s="3"/>
      <c r="AG6122" s="3"/>
      <c r="AH6122" s="3"/>
    </row>
    <row r="6123" spans="1:34" ht="14.25" customHeight="1" x14ac:dyDescent="0.25">
      <c r="A6123" s="3"/>
      <c r="B6123" s="3"/>
      <c r="C6123" s="3"/>
      <c r="D6123" s="3"/>
      <c r="E6123" s="3"/>
      <c r="F6123" s="3"/>
      <c r="G6123" s="3"/>
      <c r="H6123" s="11"/>
      <c r="I6123" s="12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  <c r="AA6123" s="3"/>
      <c r="AB6123" s="3"/>
      <c r="AC6123" s="3"/>
      <c r="AD6123" s="3"/>
      <c r="AE6123" s="3"/>
      <c r="AF6123" s="3"/>
      <c r="AG6123" s="3"/>
      <c r="AH6123" s="3"/>
    </row>
    <row r="6124" spans="1:34" ht="14.25" customHeight="1" x14ac:dyDescent="0.25">
      <c r="A6124" s="3"/>
      <c r="B6124" s="3"/>
      <c r="C6124" s="3"/>
      <c r="D6124" s="3"/>
      <c r="E6124" s="3"/>
      <c r="F6124" s="3"/>
      <c r="G6124" s="3"/>
      <c r="H6124" s="11"/>
      <c r="I6124" s="12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  <c r="AA6124" s="3"/>
      <c r="AB6124" s="3"/>
      <c r="AC6124" s="3"/>
      <c r="AD6124" s="3"/>
      <c r="AE6124" s="3"/>
      <c r="AF6124" s="3"/>
      <c r="AG6124" s="3"/>
      <c r="AH6124" s="3"/>
    </row>
    <row r="6125" spans="1:34" ht="14.25" customHeight="1" x14ac:dyDescent="0.25">
      <c r="A6125" s="3"/>
      <c r="B6125" s="3"/>
      <c r="C6125" s="3"/>
      <c r="D6125" s="3"/>
      <c r="E6125" s="3"/>
      <c r="F6125" s="3"/>
      <c r="G6125" s="3"/>
      <c r="H6125" s="11"/>
      <c r="I6125" s="12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  <c r="AA6125" s="3"/>
      <c r="AB6125" s="3"/>
      <c r="AC6125" s="3"/>
      <c r="AD6125" s="3"/>
      <c r="AE6125" s="3"/>
      <c r="AF6125" s="3"/>
      <c r="AG6125" s="3"/>
      <c r="AH6125" s="3"/>
    </row>
    <row r="6126" spans="1:34" ht="14.25" customHeight="1" x14ac:dyDescent="0.25">
      <c r="A6126" s="3"/>
      <c r="B6126" s="3"/>
      <c r="C6126" s="3"/>
      <c r="D6126" s="3"/>
      <c r="E6126" s="3"/>
      <c r="F6126" s="3"/>
      <c r="G6126" s="3"/>
      <c r="H6126" s="11"/>
      <c r="I6126" s="12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  <c r="AA6126" s="3"/>
      <c r="AB6126" s="3"/>
      <c r="AC6126" s="3"/>
      <c r="AD6126" s="3"/>
      <c r="AE6126" s="3"/>
      <c r="AF6126" s="3"/>
      <c r="AG6126" s="3"/>
      <c r="AH6126" s="3"/>
    </row>
    <row r="6127" spans="1:34" ht="14.25" customHeight="1" x14ac:dyDescent="0.25">
      <c r="A6127" s="3"/>
      <c r="B6127" s="3"/>
      <c r="C6127" s="3"/>
      <c r="D6127" s="3"/>
      <c r="E6127" s="3"/>
      <c r="F6127" s="3"/>
      <c r="G6127" s="3"/>
      <c r="H6127" s="11"/>
      <c r="I6127" s="12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  <c r="AA6127" s="3"/>
      <c r="AB6127" s="3"/>
      <c r="AC6127" s="3"/>
      <c r="AD6127" s="3"/>
      <c r="AE6127" s="3"/>
      <c r="AF6127" s="3"/>
      <c r="AG6127" s="3"/>
      <c r="AH6127" s="3"/>
    </row>
    <row r="6128" spans="1:34" ht="14.25" customHeight="1" x14ac:dyDescent="0.25">
      <c r="A6128" s="3"/>
      <c r="B6128" s="3"/>
      <c r="C6128" s="3"/>
      <c r="D6128" s="3"/>
      <c r="E6128" s="3"/>
      <c r="F6128" s="3"/>
      <c r="G6128" s="3"/>
      <c r="H6128" s="11"/>
      <c r="I6128" s="12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  <c r="AA6128" s="3"/>
      <c r="AB6128" s="3"/>
      <c r="AC6128" s="3"/>
      <c r="AD6128" s="3"/>
      <c r="AE6128" s="3"/>
      <c r="AF6128" s="3"/>
      <c r="AG6128" s="3"/>
      <c r="AH6128" s="3"/>
    </row>
    <row r="6129" spans="1:34" ht="14.25" customHeight="1" x14ac:dyDescent="0.25">
      <c r="A6129" s="3"/>
      <c r="B6129" s="3"/>
      <c r="C6129" s="3"/>
      <c r="D6129" s="3"/>
      <c r="E6129" s="3"/>
      <c r="F6129" s="3"/>
      <c r="G6129" s="3"/>
      <c r="H6129" s="11"/>
      <c r="I6129" s="12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  <c r="AA6129" s="3"/>
      <c r="AB6129" s="3"/>
      <c r="AC6129" s="3"/>
      <c r="AD6129" s="3"/>
      <c r="AE6129" s="3"/>
      <c r="AF6129" s="3"/>
      <c r="AG6129" s="3"/>
      <c r="AH6129" s="3"/>
    </row>
    <row r="6130" spans="1:34" ht="14.25" customHeight="1" x14ac:dyDescent="0.25">
      <c r="A6130" s="3"/>
      <c r="B6130" s="3"/>
      <c r="C6130" s="3"/>
      <c r="D6130" s="3"/>
      <c r="E6130" s="3"/>
      <c r="F6130" s="3"/>
      <c r="G6130" s="3"/>
      <c r="H6130" s="11"/>
      <c r="I6130" s="12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  <c r="AA6130" s="3"/>
      <c r="AB6130" s="3"/>
      <c r="AC6130" s="3"/>
      <c r="AD6130" s="3"/>
      <c r="AE6130" s="3"/>
      <c r="AF6130" s="3"/>
      <c r="AG6130" s="3"/>
      <c r="AH6130" s="3"/>
    </row>
    <row r="6131" spans="1:34" ht="14.25" customHeight="1" x14ac:dyDescent="0.25">
      <c r="A6131" s="3"/>
      <c r="B6131" s="3"/>
      <c r="C6131" s="3"/>
      <c r="D6131" s="3"/>
      <c r="E6131" s="3"/>
      <c r="F6131" s="3"/>
      <c r="G6131" s="3"/>
      <c r="H6131" s="11"/>
      <c r="I6131" s="12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  <c r="AA6131" s="3"/>
      <c r="AB6131" s="3"/>
      <c r="AC6131" s="3"/>
      <c r="AD6131" s="3"/>
      <c r="AE6131" s="3"/>
      <c r="AF6131" s="3"/>
      <c r="AG6131" s="3"/>
      <c r="AH6131" s="3"/>
    </row>
    <row r="6132" spans="1:34" ht="14.25" customHeight="1" x14ac:dyDescent="0.25">
      <c r="A6132" s="3"/>
      <c r="B6132" s="3"/>
      <c r="C6132" s="3"/>
      <c r="D6132" s="3"/>
      <c r="E6132" s="3"/>
      <c r="F6132" s="3"/>
      <c r="G6132" s="3"/>
      <c r="H6132" s="11"/>
      <c r="I6132" s="12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  <c r="AA6132" s="3"/>
      <c r="AB6132" s="3"/>
      <c r="AC6132" s="3"/>
      <c r="AD6132" s="3"/>
      <c r="AE6132" s="3"/>
      <c r="AF6132" s="3"/>
      <c r="AG6132" s="3"/>
      <c r="AH6132" s="3"/>
    </row>
    <row r="6133" spans="1:34" ht="14.25" customHeight="1" x14ac:dyDescent="0.25">
      <c r="A6133" s="3"/>
      <c r="B6133" s="3"/>
      <c r="C6133" s="3"/>
      <c r="D6133" s="3"/>
      <c r="E6133" s="3"/>
      <c r="F6133" s="3"/>
      <c r="G6133" s="3"/>
      <c r="H6133" s="11"/>
      <c r="I6133" s="12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  <c r="AA6133" s="3"/>
      <c r="AB6133" s="3"/>
      <c r="AC6133" s="3"/>
      <c r="AD6133" s="3"/>
      <c r="AE6133" s="3"/>
      <c r="AF6133" s="3"/>
      <c r="AG6133" s="3"/>
      <c r="AH6133" s="3"/>
    </row>
    <row r="6134" spans="1:34" ht="14.25" customHeight="1" x14ac:dyDescent="0.25">
      <c r="A6134" s="3"/>
      <c r="B6134" s="3"/>
      <c r="C6134" s="3"/>
      <c r="D6134" s="3"/>
      <c r="E6134" s="3"/>
      <c r="F6134" s="3"/>
      <c r="G6134" s="3"/>
      <c r="H6134" s="11"/>
      <c r="I6134" s="12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  <c r="AA6134" s="3"/>
      <c r="AB6134" s="3"/>
      <c r="AC6134" s="3"/>
      <c r="AD6134" s="3"/>
      <c r="AE6134" s="3"/>
      <c r="AF6134" s="3"/>
      <c r="AG6134" s="3"/>
      <c r="AH6134" s="3"/>
    </row>
    <row r="6135" spans="1:34" ht="14.25" customHeight="1" x14ac:dyDescent="0.25">
      <c r="A6135" s="3"/>
      <c r="B6135" s="3"/>
      <c r="C6135" s="3"/>
      <c r="D6135" s="3"/>
      <c r="E6135" s="3"/>
      <c r="F6135" s="3"/>
      <c r="G6135" s="3"/>
      <c r="H6135" s="11"/>
      <c r="I6135" s="12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  <c r="AA6135" s="3"/>
      <c r="AB6135" s="3"/>
      <c r="AC6135" s="3"/>
      <c r="AD6135" s="3"/>
      <c r="AE6135" s="3"/>
      <c r="AF6135" s="3"/>
      <c r="AG6135" s="3"/>
      <c r="AH6135" s="3"/>
    </row>
    <row r="6136" spans="1:34" ht="14.25" customHeight="1" x14ac:dyDescent="0.25">
      <c r="A6136" s="3"/>
      <c r="B6136" s="3"/>
      <c r="C6136" s="3"/>
      <c r="D6136" s="3"/>
      <c r="E6136" s="3"/>
      <c r="F6136" s="3"/>
      <c r="G6136" s="3"/>
      <c r="H6136" s="11"/>
      <c r="I6136" s="12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  <c r="AA6136" s="3"/>
      <c r="AB6136" s="3"/>
      <c r="AC6136" s="3"/>
      <c r="AD6136" s="3"/>
      <c r="AE6136" s="3"/>
      <c r="AF6136" s="3"/>
      <c r="AG6136" s="3"/>
      <c r="AH6136" s="3"/>
    </row>
    <row r="6137" spans="1:34" ht="14.25" customHeight="1" x14ac:dyDescent="0.25">
      <c r="A6137" s="3"/>
      <c r="B6137" s="3"/>
      <c r="C6137" s="3"/>
      <c r="D6137" s="3"/>
      <c r="E6137" s="3"/>
      <c r="F6137" s="3"/>
      <c r="G6137" s="3"/>
      <c r="H6137" s="11"/>
      <c r="I6137" s="12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  <c r="AA6137" s="3"/>
      <c r="AB6137" s="3"/>
      <c r="AC6137" s="3"/>
      <c r="AD6137" s="3"/>
      <c r="AE6137" s="3"/>
      <c r="AF6137" s="3"/>
      <c r="AG6137" s="3"/>
      <c r="AH6137" s="3"/>
    </row>
    <row r="6138" spans="1:34" ht="14.25" customHeight="1" x14ac:dyDescent="0.25">
      <c r="A6138" s="3"/>
      <c r="B6138" s="3"/>
      <c r="C6138" s="3"/>
      <c r="D6138" s="3"/>
      <c r="E6138" s="3"/>
      <c r="F6138" s="3"/>
      <c r="G6138" s="3"/>
      <c r="H6138" s="11"/>
      <c r="I6138" s="12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  <c r="AA6138" s="3"/>
      <c r="AB6138" s="3"/>
      <c r="AC6138" s="3"/>
      <c r="AD6138" s="3"/>
      <c r="AE6138" s="3"/>
      <c r="AF6138" s="3"/>
      <c r="AG6138" s="3"/>
      <c r="AH6138" s="3"/>
    </row>
    <row r="6139" spans="1:34" ht="14.25" customHeight="1" x14ac:dyDescent="0.25">
      <c r="A6139" s="3"/>
      <c r="B6139" s="3"/>
      <c r="C6139" s="3"/>
      <c r="D6139" s="3"/>
      <c r="E6139" s="3"/>
      <c r="F6139" s="3"/>
      <c r="G6139" s="3"/>
      <c r="H6139" s="11"/>
      <c r="I6139" s="12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  <c r="AA6139" s="3"/>
      <c r="AB6139" s="3"/>
      <c r="AC6139" s="3"/>
      <c r="AD6139" s="3"/>
      <c r="AE6139" s="3"/>
      <c r="AF6139" s="3"/>
      <c r="AG6139" s="3"/>
      <c r="AH6139" s="3"/>
    </row>
    <row r="6140" spans="1:34" ht="14.25" customHeight="1" x14ac:dyDescent="0.25">
      <c r="A6140" s="3"/>
      <c r="B6140" s="3"/>
      <c r="C6140" s="3"/>
      <c r="D6140" s="3"/>
      <c r="E6140" s="3"/>
      <c r="F6140" s="3"/>
      <c r="G6140" s="3"/>
      <c r="H6140" s="11"/>
      <c r="I6140" s="12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  <c r="AA6140" s="3"/>
      <c r="AB6140" s="3"/>
      <c r="AC6140" s="3"/>
      <c r="AD6140" s="3"/>
      <c r="AE6140" s="3"/>
      <c r="AF6140" s="3"/>
      <c r="AG6140" s="3"/>
      <c r="AH6140" s="3"/>
    </row>
    <row r="6141" spans="1:34" ht="14.25" customHeight="1" x14ac:dyDescent="0.25">
      <c r="A6141" s="3"/>
      <c r="B6141" s="3"/>
      <c r="C6141" s="3"/>
      <c r="D6141" s="3"/>
      <c r="E6141" s="3"/>
      <c r="F6141" s="3"/>
      <c r="G6141" s="3"/>
      <c r="H6141" s="11"/>
      <c r="I6141" s="12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  <c r="AA6141" s="3"/>
      <c r="AB6141" s="3"/>
      <c r="AC6141" s="3"/>
      <c r="AD6141" s="3"/>
      <c r="AE6141" s="3"/>
      <c r="AF6141" s="3"/>
      <c r="AG6141" s="3"/>
      <c r="AH6141" s="3"/>
    </row>
    <row r="6142" spans="1:34" ht="14.25" customHeight="1" x14ac:dyDescent="0.25">
      <c r="A6142" s="3"/>
      <c r="B6142" s="3"/>
      <c r="C6142" s="3"/>
      <c r="D6142" s="3"/>
      <c r="E6142" s="3"/>
      <c r="F6142" s="3"/>
      <c r="G6142" s="3"/>
      <c r="H6142" s="11"/>
      <c r="I6142" s="12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  <c r="AA6142" s="3"/>
      <c r="AB6142" s="3"/>
      <c r="AC6142" s="3"/>
      <c r="AD6142" s="3"/>
      <c r="AE6142" s="3"/>
      <c r="AF6142" s="3"/>
      <c r="AG6142" s="3"/>
      <c r="AH6142" s="3"/>
    </row>
    <row r="6143" spans="1:34" ht="14.25" customHeight="1" x14ac:dyDescent="0.25">
      <c r="A6143" s="3"/>
      <c r="B6143" s="3"/>
      <c r="C6143" s="3"/>
      <c r="D6143" s="3"/>
      <c r="E6143" s="3"/>
      <c r="F6143" s="3"/>
      <c r="G6143" s="3"/>
      <c r="H6143" s="11"/>
      <c r="I6143" s="12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  <c r="AA6143" s="3"/>
      <c r="AB6143" s="3"/>
      <c r="AC6143" s="3"/>
      <c r="AD6143" s="3"/>
      <c r="AE6143" s="3"/>
      <c r="AF6143" s="3"/>
      <c r="AG6143" s="3"/>
      <c r="AH6143" s="3"/>
    </row>
    <row r="6144" spans="1:34" ht="14.25" customHeight="1" x14ac:dyDescent="0.25">
      <c r="A6144" s="3"/>
      <c r="B6144" s="3"/>
      <c r="C6144" s="3"/>
      <c r="D6144" s="3"/>
      <c r="E6144" s="3"/>
      <c r="F6144" s="3"/>
      <c r="G6144" s="3"/>
      <c r="H6144" s="11"/>
      <c r="I6144" s="12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  <c r="AA6144" s="3"/>
      <c r="AB6144" s="3"/>
      <c r="AC6144" s="3"/>
      <c r="AD6144" s="3"/>
      <c r="AE6144" s="3"/>
      <c r="AF6144" s="3"/>
      <c r="AG6144" s="3"/>
      <c r="AH6144" s="3"/>
    </row>
    <row r="6145" spans="1:34" ht="14.25" customHeight="1" x14ac:dyDescent="0.25">
      <c r="A6145" s="3"/>
      <c r="B6145" s="3"/>
      <c r="C6145" s="3"/>
      <c r="D6145" s="3"/>
      <c r="E6145" s="3"/>
      <c r="F6145" s="3"/>
      <c r="G6145" s="3"/>
      <c r="H6145" s="11"/>
      <c r="I6145" s="12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  <c r="AA6145" s="3"/>
      <c r="AB6145" s="3"/>
      <c r="AC6145" s="3"/>
      <c r="AD6145" s="3"/>
      <c r="AE6145" s="3"/>
      <c r="AF6145" s="3"/>
      <c r="AG6145" s="3"/>
      <c r="AH6145" s="3"/>
    </row>
    <row r="6146" spans="1:34" ht="14.25" customHeight="1" x14ac:dyDescent="0.25">
      <c r="A6146" s="3"/>
      <c r="B6146" s="3"/>
      <c r="C6146" s="3"/>
      <c r="D6146" s="3"/>
      <c r="E6146" s="3"/>
      <c r="F6146" s="3"/>
      <c r="G6146" s="3"/>
      <c r="H6146" s="11"/>
      <c r="I6146" s="12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  <c r="AA6146" s="3"/>
      <c r="AB6146" s="3"/>
      <c r="AC6146" s="3"/>
      <c r="AD6146" s="3"/>
      <c r="AE6146" s="3"/>
      <c r="AF6146" s="3"/>
      <c r="AG6146" s="3"/>
      <c r="AH6146" s="3"/>
    </row>
    <row r="6147" spans="1:34" ht="14.25" customHeight="1" x14ac:dyDescent="0.25">
      <c r="A6147" s="3"/>
      <c r="B6147" s="3"/>
      <c r="C6147" s="3"/>
      <c r="D6147" s="3"/>
      <c r="E6147" s="3"/>
      <c r="F6147" s="3"/>
      <c r="G6147" s="3"/>
      <c r="H6147" s="11"/>
      <c r="I6147" s="12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  <c r="AA6147" s="3"/>
      <c r="AB6147" s="3"/>
      <c r="AC6147" s="3"/>
      <c r="AD6147" s="3"/>
      <c r="AE6147" s="3"/>
      <c r="AF6147" s="3"/>
      <c r="AG6147" s="3"/>
      <c r="AH6147" s="3"/>
    </row>
    <row r="6148" spans="1:34" ht="14.25" customHeight="1" x14ac:dyDescent="0.25">
      <c r="A6148" s="3"/>
      <c r="B6148" s="3"/>
      <c r="C6148" s="3"/>
      <c r="D6148" s="3"/>
      <c r="E6148" s="3"/>
      <c r="F6148" s="3"/>
      <c r="G6148" s="3"/>
      <c r="H6148" s="11"/>
      <c r="I6148" s="12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  <c r="AA6148" s="3"/>
      <c r="AB6148" s="3"/>
      <c r="AC6148" s="3"/>
      <c r="AD6148" s="3"/>
      <c r="AE6148" s="3"/>
      <c r="AF6148" s="3"/>
      <c r="AG6148" s="3"/>
      <c r="AH6148" s="3"/>
    </row>
    <row r="6149" spans="1:34" ht="14.25" customHeight="1" x14ac:dyDescent="0.25">
      <c r="A6149" s="3"/>
      <c r="B6149" s="3"/>
      <c r="C6149" s="3"/>
      <c r="D6149" s="3"/>
      <c r="E6149" s="3"/>
      <c r="F6149" s="3"/>
      <c r="G6149" s="3"/>
      <c r="H6149" s="11"/>
      <c r="I6149" s="12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  <c r="AA6149" s="3"/>
      <c r="AB6149" s="3"/>
      <c r="AC6149" s="3"/>
      <c r="AD6149" s="3"/>
      <c r="AE6149" s="3"/>
      <c r="AF6149" s="3"/>
      <c r="AG6149" s="3"/>
      <c r="AH6149" s="3"/>
    </row>
    <row r="6150" spans="1:34" ht="14.25" customHeight="1" x14ac:dyDescent="0.25">
      <c r="A6150" s="3"/>
      <c r="B6150" s="3"/>
      <c r="C6150" s="3"/>
      <c r="D6150" s="3"/>
      <c r="E6150" s="3"/>
      <c r="F6150" s="3"/>
      <c r="G6150" s="3"/>
      <c r="H6150" s="11"/>
      <c r="I6150" s="12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  <c r="AA6150" s="3"/>
      <c r="AB6150" s="3"/>
      <c r="AC6150" s="3"/>
      <c r="AD6150" s="3"/>
      <c r="AE6150" s="3"/>
      <c r="AF6150" s="3"/>
      <c r="AG6150" s="3"/>
      <c r="AH6150" s="3"/>
    </row>
    <row r="6151" spans="1:34" ht="14.25" customHeight="1" x14ac:dyDescent="0.25">
      <c r="A6151" s="3"/>
      <c r="B6151" s="3"/>
      <c r="C6151" s="3"/>
      <c r="D6151" s="3"/>
      <c r="E6151" s="3"/>
      <c r="F6151" s="3"/>
      <c r="G6151" s="3"/>
      <c r="H6151" s="11"/>
      <c r="I6151" s="12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  <c r="AA6151" s="3"/>
      <c r="AB6151" s="3"/>
      <c r="AC6151" s="3"/>
      <c r="AD6151" s="3"/>
      <c r="AE6151" s="3"/>
      <c r="AF6151" s="3"/>
      <c r="AG6151" s="3"/>
      <c r="AH6151" s="3"/>
    </row>
    <row r="6152" spans="1:34" ht="14.25" customHeight="1" x14ac:dyDescent="0.25">
      <c r="A6152" s="3"/>
      <c r="B6152" s="3"/>
      <c r="C6152" s="3"/>
      <c r="D6152" s="3"/>
      <c r="E6152" s="3"/>
      <c r="F6152" s="3"/>
      <c r="G6152" s="3"/>
      <c r="H6152" s="11"/>
      <c r="I6152" s="12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  <c r="AA6152" s="3"/>
      <c r="AB6152" s="3"/>
      <c r="AC6152" s="3"/>
      <c r="AD6152" s="3"/>
      <c r="AE6152" s="3"/>
      <c r="AF6152" s="3"/>
      <c r="AG6152" s="3"/>
      <c r="AH6152" s="3"/>
    </row>
    <row r="6153" spans="1:34" ht="14.25" customHeight="1" x14ac:dyDescent="0.25">
      <c r="A6153" s="3"/>
      <c r="B6153" s="3"/>
      <c r="C6153" s="3"/>
      <c r="D6153" s="3"/>
      <c r="E6153" s="3"/>
      <c r="F6153" s="3"/>
      <c r="G6153" s="3"/>
      <c r="H6153" s="11"/>
      <c r="I6153" s="12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  <c r="AA6153" s="3"/>
      <c r="AB6153" s="3"/>
      <c r="AC6153" s="3"/>
      <c r="AD6153" s="3"/>
      <c r="AE6153" s="3"/>
      <c r="AF6153" s="3"/>
      <c r="AG6153" s="3"/>
      <c r="AH6153" s="3"/>
    </row>
    <row r="6154" spans="1:34" ht="14.25" customHeight="1" x14ac:dyDescent="0.25">
      <c r="A6154" s="3"/>
      <c r="B6154" s="3"/>
      <c r="C6154" s="3"/>
      <c r="D6154" s="3"/>
      <c r="E6154" s="3"/>
      <c r="F6154" s="3"/>
      <c r="G6154" s="14"/>
      <c r="H6154" s="11"/>
      <c r="I6154" s="12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  <c r="AA6154" s="3"/>
      <c r="AB6154" s="3"/>
      <c r="AC6154" s="3"/>
      <c r="AD6154" s="3"/>
      <c r="AE6154" s="3"/>
      <c r="AF6154" s="3"/>
      <c r="AG6154" s="3"/>
      <c r="AH6154" s="3"/>
    </row>
    <row r="6155" spans="1:34" ht="14.25" customHeight="1" x14ac:dyDescent="0.25">
      <c r="A6155" s="3"/>
      <c r="B6155" s="3"/>
      <c r="C6155" s="3"/>
      <c r="D6155" s="3"/>
      <c r="E6155" s="3"/>
      <c r="F6155" s="3"/>
      <c r="G6155" s="3"/>
      <c r="H6155" s="11"/>
      <c r="I6155" s="12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  <c r="AA6155" s="3"/>
      <c r="AB6155" s="3"/>
      <c r="AC6155" s="3"/>
      <c r="AD6155" s="3"/>
      <c r="AE6155" s="3"/>
      <c r="AF6155" s="3"/>
      <c r="AG6155" s="3"/>
      <c r="AH6155" s="3"/>
    </row>
    <row r="6156" spans="1:34" ht="14.25" customHeight="1" x14ac:dyDescent="0.25">
      <c r="A6156" s="3"/>
      <c r="B6156" s="3"/>
      <c r="C6156" s="3"/>
      <c r="D6156" s="3"/>
      <c r="E6156" s="3"/>
      <c r="F6156" s="3"/>
      <c r="G6156" s="3"/>
      <c r="H6156" s="11"/>
      <c r="I6156" s="12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  <c r="AA6156" s="3"/>
      <c r="AB6156" s="3"/>
      <c r="AC6156" s="3"/>
      <c r="AD6156" s="3"/>
      <c r="AE6156" s="3"/>
      <c r="AF6156" s="3"/>
      <c r="AG6156" s="3"/>
      <c r="AH6156" s="3"/>
    </row>
    <row r="6157" spans="1:34" ht="14.25" customHeight="1" x14ac:dyDescent="0.25">
      <c r="A6157" s="3"/>
      <c r="B6157" s="3"/>
      <c r="C6157" s="3"/>
      <c r="D6157" s="3"/>
      <c r="E6157" s="3"/>
      <c r="F6157" s="3"/>
      <c r="G6157" s="3"/>
      <c r="H6157" s="11"/>
      <c r="I6157" s="12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  <c r="AA6157" s="3"/>
      <c r="AB6157" s="3"/>
      <c r="AC6157" s="3"/>
      <c r="AD6157" s="3"/>
      <c r="AE6157" s="3"/>
      <c r="AF6157" s="3"/>
      <c r="AG6157" s="3"/>
      <c r="AH6157" s="3"/>
    </row>
    <row r="6158" spans="1:34" ht="14.25" customHeight="1" x14ac:dyDescent="0.25">
      <c r="A6158" s="3"/>
      <c r="B6158" s="3"/>
      <c r="C6158" s="3"/>
      <c r="D6158" s="3"/>
      <c r="E6158" s="3"/>
      <c r="F6158" s="3"/>
      <c r="G6158" s="3"/>
      <c r="H6158" s="11"/>
      <c r="I6158" s="12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  <c r="AA6158" s="3"/>
      <c r="AB6158" s="3"/>
      <c r="AC6158" s="3"/>
      <c r="AD6158" s="3"/>
      <c r="AE6158" s="3"/>
      <c r="AF6158" s="3"/>
      <c r="AG6158" s="3"/>
      <c r="AH6158" s="3"/>
    </row>
    <row r="6159" spans="1:34" ht="14.25" customHeight="1" x14ac:dyDescent="0.25">
      <c r="A6159" s="3"/>
      <c r="B6159" s="3"/>
      <c r="C6159" s="3"/>
      <c r="D6159" s="3"/>
      <c r="E6159" s="3"/>
      <c r="F6159" s="3"/>
      <c r="G6159" s="3"/>
      <c r="H6159" s="11"/>
      <c r="I6159" s="12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  <c r="AA6159" s="3"/>
      <c r="AB6159" s="3"/>
      <c r="AC6159" s="3"/>
      <c r="AD6159" s="3"/>
      <c r="AE6159" s="3"/>
      <c r="AF6159" s="3"/>
      <c r="AG6159" s="3"/>
      <c r="AH6159" s="3"/>
    </row>
    <row r="6160" spans="1:34" ht="14.25" customHeight="1" x14ac:dyDescent="0.25">
      <c r="A6160" s="3"/>
      <c r="B6160" s="3"/>
      <c r="C6160" s="3"/>
      <c r="D6160" s="3"/>
      <c r="E6160" s="3"/>
      <c r="F6160" s="3"/>
      <c r="G6160" s="3"/>
      <c r="H6160" s="11"/>
      <c r="I6160" s="12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  <c r="AA6160" s="3"/>
      <c r="AB6160" s="3"/>
      <c r="AC6160" s="3"/>
      <c r="AD6160" s="3"/>
      <c r="AE6160" s="3"/>
      <c r="AF6160" s="3"/>
      <c r="AG6160" s="3"/>
      <c r="AH6160" s="3"/>
    </row>
    <row r="6161" spans="1:34" ht="14.25" customHeight="1" x14ac:dyDescent="0.25">
      <c r="A6161" s="3"/>
      <c r="B6161" s="3"/>
      <c r="C6161" s="3"/>
      <c r="D6161" s="3"/>
      <c r="E6161" s="3"/>
      <c r="F6161" s="3"/>
      <c r="G6161" s="3"/>
      <c r="H6161" s="11"/>
      <c r="I6161" s="12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  <c r="AA6161" s="3"/>
      <c r="AB6161" s="3"/>
      <c r="AC6161" s="3"/>
      <c r="AD6161" s="3"/>
      <c r="AE6161" s="3"/>
      <c r="AF6161" s="3"/>
      <c r="AG6161" s="3"/>
      <c r="AH6161" s="3"/>
    </row>
    <row r="6162" spans="1:34" ht="14.25" customHeight="1" x14ac:dyDescent="0.25">
      <c r="A6162" s="3"/>
      <c r="B6162" s="3"/>
      <c r="C6162" s="3"/>
      <c r="D6162" s="3"/>
      <c r="E6162" s="3"/>
      <c r="F6162" s="3"/>
      <c r="G6162" s="3"/>
      <c r="H6162" s="11"/>
      <c r="I6162" s="12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  <c r="AA6162" s="3"/>
      <c r="AB6162" s="3"/>
      <c r="AC6162" s="3"/>
      <c r="AD6162" s="3"/>
      <c r="AE6162" s="3"/>
      <c r="AF6162" s="3"/>
      <c r="AG6162" s="3"/>
      <c r="AH6162" s="3"/>
    </row>
    <row r="6163" spans="1:34" ht="14.25" customHeight="1" x14ac:dyDescent="0.25">
      <c r="A6163" s="3"/>
      <c r="B6163" s="3"/>
      <c r="C6163" s="3"/>
      <c r="D6163" s="3"/>
      <c r="E6163" s="3"/>
      <c r="F6163" s="3"/>
      <c r="G6163" s="3"/>
      <c r="H6163" s="11"/>
      <c r="I6163" s="12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  <c r="AA6163" s="3"/>
      <c r="AB6163" s="3"/>
      <c r="AC6163" s="3"/>
      <c r="AD6163" s="3"/>
      <c r="AE6163" s="3"/>
      <c r="AF6163" s="3"/>
      <c r="AG6163" s="3"/>
      <c r="AH6163" s="3"/>
    </row>
    <row r="6164" spans="1:34" ht="14.25" customHeight="1" x14ac:dyDescent="0.25">
      <c r="A6164" s="3"/>
      <c r="B6164" s="3"/>
      <c r="C6164" s="3"/>
      <c r="D6164" s="3"/>
      <c r="E6164" s="3"/>
      <c r="F6164" s="3"/>
      <c r="G6164" s="3"/>
      <c r="H6164" s="11"/>
      <c r="I6164" s="12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  <c r="AA6164" s="3"/>
      <c r="AB6164" s="3"/>
      <c r="AC6164" s="3"/>
      <c r="AD6164" s="3"/>
      <c r="AE6164" s="3"/>
      <c r="AF6164" s="3"/>
      <c r="AG6164" s="3"/>
      <c r="AH6164" s="3"/>
    </row>
    <row r="6165" spans="1:34" ht="14.25" customHeight="1" x14ac:dyDescent="0.25">
      <c r="A6165" s="3"/>
      <c r="B6165" s="3"/>
      <c r="C6165" s="3"/>
      <c r="D6165" s="3"/>
      <c r="E6165" s="3"/>
      <c r="F6165" s="3"/>
      <c r="G6165" s="3"/>
      <c r="H6165" s="11"/>
      <c r="I6165" s="12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  <c r="AA6165" s="3"/>
      <c r="AB6165" s="3"/>
      <c r="AC6165" s="3"/>
      <c r="AD6165" s="3"/>
      <c r="AE6165" s="3"/>
      <c r="AF6165" s="3"/>
      <c r="AG6165" s="3"/>
      <c r="AH6165" s="3"/>
    </row>
    <row r="6166" spans="1:34" ht="14.25" customHeight="1" x14ac:dyDescent="0.25">
      <c r="A6166" s="3"/>
      <c r="B6166" s="3"/>
      <c r="C6166" s="3"/>
      <c r="D6166" s="3"/>
      <c r="E6166" s="3"/>
      <c r="F6166" s="3"/>
      <c r="G6166" s="3"/>
      <c r="H6166" s="11"/>
      <c r="I6166" s="12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  <c r="AA6166" s="3"/>
      <c r="AB6166" s="3"/>
      <c r="AC6166" s="3"/>
      <c r="AD6166" s="3"/>
      <c r="AE6166" s="3"/>
      <c r="AF6166" s="3"/>
      <c r="AG6166" s="3"/>
      <c r="AH6166" s="3"/>
    </row>
    <row r="6167" spans="1:34" ht="14.25" customHeight="1" x14ac:dyDescent="0.25">
      <c r="A6167" s="3"/>
      <c r="B6167" s="3"/>
      <c r="C6167" s="3"/>
      <c r="D6167" s="3"/>
      <c r="E6167" s="3"/>
      <c r="F6167" s="3"/>
      <c r="G6167" s="3"/>
      <c r="H6167" s="11"/>
      <c r="I6167" s="12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  <c r="AA6167" s="3"/>
      <c r="AB6167" s="3"/>
      <c r="AC6167" s="3"/>
      <c r="AD6167" s="3"/>
      <c r="AE6167" s="3"/>
      <c r="AF6167" s="3"/>
      <c r="AG6167" s="3"/>
      <c r="AH6167" s="3"/>
    </row>
    <row r="6168" spans="1:34" ht="14.25" customHeight="1" x14ac:dyDescent="0.25">
      <c r="A6168" s="3"/>
      <c r="B6168" s="3"/>
      <c r="C6168" s="3"/>
      <c r="D6168" s="3"/>
      <c r="E6168" s="3"/>
      <c r="F6168" s="3"/>
      <c r="G6168" s="14"/>
      <c r="H6168" s="11"/>
      <c r="I6168" s="12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  <c r="AA6168" s="3"/>
      <c r="AB6168" s="3"/>
      <c r="AC6168" s="3"/>
      <c r="AD6168" s="3"/>
      <c r="AE6168" s="3"/>
      <c r="AF6168" s="3"/>
      <c r="AG6168" s="3"/>
      <c r="AH6168" s="3"/>
    </row>
    <row r="6169" spans="1:34" ht="14.25" customHeight="1" x14ac:dyDescent="0.25">
      <c r="A6169" s="3"/>
      <c r="B6169" s="3"/>
      <c r="C6169" s="3"/>
      <c r="D6169" s="3"/>
      <c r="E6169" s="3"/>
      <c r="F6169" s="3"/>
      <c r="G6169" s="3"/>
      <c r="H6169" s="11"/>
      <c r="I6169" s="12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  <c r="AA6169" s="3"/>
      <c r="AB6169" s="3"/>
      <c r="AC6169" s="3"/>
      <c r="AD6169" s="3"/>
      <c r="AE6169" s="3"/>
      <c r="AF6169" s="3"/>
      <c r="AG6169" s="3"/>
      <c r="AH6169" s="3"/>
    </row>
    <row r="6170" spans="1:34" ht="14.25" customHeight="1" x14ac:dyDescent="0.25">
      <c r="A6170" s="3"/>
      <c r="B6170" s="3"/>
      <c r="C6170" s="3"/>
      <c r="D6170" s="3"/>
      <c r="E6170" s="3"/>
      <c r="F6170" s="3"/>
      <c r="G6170" s="3"/>
      <c r="H6170" s="11"/>
      <c r="I6170" s="12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  <c r="AA6170" s="3"/>
      <c r="AB6170" s="3"/>
      <c r="AC6170" s="3"/>
      <c r="AD6170" s="3"/>
      <c r="AE6170" s="3"/>
      <c r="AF6170" s="3"/>
      <c r="AG6170" s="3"/>
      <c r="AH6170" s="3"/>
    </row>
    <row r="6171" spans="1:34" ht="14.25" customHeight="1" x14ac:dyDescent="0.25">
      <c r="A6171" s="3"/>
      <c r="B6171" s="3"/>
      <c r="C6171" s="3"/>
      <c r="D6171" s="3"/>
      <c r="E6171" s="3"/>
      <c r="F6171" s="3"/>
      <c r="G6171" s="3"/>
      <c r="H6171" s="11"/>
      <c r="I6171" s="12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  <c r="AA6171" s="3"/>
      <c r="AB6171" s="3"/>
      <c r="AC6171" s="3"/>
      <c r="AD6171" s="3"/>
      <c r="AE6171" s="3"/>
      <c r="AF6171" s="3"/>
      <c r="AG6171" s="3"/>
      <c r="AH6171" s="3"/>
    </row>
    <row r="6172" spans="1:34" ht="14.25" customHeight="1" x14ac:dyDescent="0.25">
      <c r="A6172" s="3"/>
      <c r="B6172" s="3"/>
      <c r="C6172" s="3"/>
      <c r="D6172" s="3"/>
      <c r="E6172" s="3"/>
      <c r="F6172" s="3"/>
      <c r="G6172" s="3"/>
      <c r="H6172" s="11"/>
      <c r="I6172" s="12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  <c r="AA6172" s="3"/>
      <c r="AB6172" s="3"/>
      <c r="AC6172" s="3"/>
      <c r="AD6172" s="3"/>
      <c r="AE6172" s="3"/>
      <c r="AF6172" s="3"/>
      <c r="AG6172" s="3"/>
      <c r="AH6172" s="3"/>
    </row>
    <row r="6173" spans="1:34" ht="14.25" customHeight="1" x14ac:dyDescent="0.25">
      <c r="A6173" s="3"/>
      <c r="B6173" s="3"/>
      <c r="C6173" s="3"/>
      <c r="D6173" s="3"/>
      <c r="E6173" s="3"/>
      <c r="F6173" s="3"/>
      <c r="G6173" s="3"/>
      <c r="H6173" s="11"/>
      <c r="I6173" s="12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  <c r="AA6173" s="3"/>
      <c r="AB6173" s="3"/>
      <c r="AC6173" s="3"/>
      <c r="AD6173" s="3"/>
      <c r="AE6173" s="3"/>
      <c r="AF6173" s="3"/>
      <c r="AG6173" s="3"/>
      <c r="AH6173" s="3"/>
    </row>
    <row r="6174" spans="1:34" ht="14.25" customHeight="1" x14ac:dyDescent="0.25">
      <c r="A6174" s="3"/>
      <c r="B6174" s="3"/>
      <c r="C6174" s="3"/>
      <c r="D6174" s="3"/>
      <c r="E6174" s="3"/>
      <c r="F6174" s="3"/>
      <c r="G6174" s="3"/>
      <c r="H6174" s="11"/>
      <c r="I6174" s="12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  <c r="AA6174" s="3"/>
      <c r="AB6174" s="3"/>
      <c r="AC6174" s="3"/>
      <c r="AD6174" s="3"/>
      <c r="AE6174" s="3"/>
      <c r="AF6174" s="3"/>
      <c r="AG6174" s="3"/>
      <c r="AH6174" s="3"/>
    </row>
    <row r="6175" spans="1:34" ht="14.25" customHeight="1" x14ac:dyDescent="0.25">
      <c r="A6175" s="3"/>
      <c r="B6175" s="3"/>
      <c r="C6175" s="3"/>
      <c r="D6175" s="3"/>
      <c r="E6175" s="3"/>
      <c r="F6175" s="3"/>
      <c r="G6175" s="3"/>
      <c r="H6175" s="11"/>
      <c r="I6175" s="12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  <c r="AA6175" s="3"/>
      <c r="AB6175" s="3"/>
      <c r="AC6175" s="3"/>
      <c r="AD6175" s="3"/>
      <c r="AE6175" s="3"/>
      <c r="AF6175" s="3"/>
      <c r="AG6175" s="3"/>
      <c r="AH6175" s="3"/>
    </row>
    <row r="6176" spans="1:34" ht="14.25" customHeight="1" x14ac:dyDescent="0.25">
      <c r="A6176" s="3"/>
      <c r="B6176" s="3"/>
      <c r="C6176" s="3"/>
      <c r="D6176" s="3"/>
      <c r="E6176" s="3"/>
      <c r="F6176" s="3"/>
      <c r="G6176" s="14"/>
      <c r="H6176" s="11"/>
      <c r="I6176" s="12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  <c r="AA6176" s="3"/>
      <c r="AB6176" s="3"/>
      <c r="AC6176" s="3"/>
      <c r="AD6176" s="3"/>
      <c r="AE6176" s="3"/>
      <c r="AF6176" s="3"/>
      <c r="AG6176" s="3"/>
      <c r="AH6176" s="3"/>
    </row>
    <row r="6177" spans="1:34" ht="14.25" customHeight="1" x14ac:dyDescent="0.25">
      <c r="A6177" s="3"/>
      <c r="B6177" s="3"/>
      <c r="C6177" s="3"/>
      <c r="D6177" s="3"/>
      <c r="E6177" s="3"/>
      <c r="F6177" s="3"/>
      <c r="G6177" s="3"/>
      <c r="H6177" s="11"/>
      <c r="I6177" s="12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  <c r="AA6177" s="3"/>
      <c r="AB6177" s="3"/>
      <c r="AC6177" s="3"/>
      <c r="AD6177" s="3"/>
      <c r="AE6177" s="3"/>
      <c r="AF6177" s="3"/>
      <c r="AG6177" s="3"/>
      <c r="AH6177" s="3"/>
    </row>
    <row r="6178" spans="1:34" ht="14.25" customHeight="1" x14ac:dyDescent="0.25">
      <c r="A6178" s="3"/>
      <c r="B6178" s="3"/>
      <c r="C6178" s="3"/>
      <c r="D6178" s="3"/>
      <c r="E6178" s="3"/>
      <c r="F6178" s="3"/>
      <c r="G6178" s="3"/>
      <c r="H6178" s="11"/>
      <c r="I6178" s="12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  <c r="AA6178" s="3"/>
      <c r="AB6178" s="3"/>
      <c r="AC6178" s="3"/>
      <c r="AD6178" s="3"/>
      <c r="AE6178" s="3"/>
      <c r="AF6178" s="3"/>
      <c r="AG6178" s="3"/>
      <c r="AH6178" s="3"/>
    </row>
    <row r="6179" spans="1:34" ht="14.25" customHeight="1" x14ac:dyDescent="0.25">
      <c r="A6179" s="3"/>
      <c r="B6179" s="3"/>
      <c r="C6179" s="3"/>
      <c r="D6179" s="3"/>
      <c r="E6179" s="3"/>
      <c r="F6179" s="3"/>
      <c r="G6179" s="3"/>
      <c r="H6179" s="11"/>
      <c r="I6179" s="12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  <c r="AA6179" s="3"/>
      <c r="AB6179" s="3"/>
      <c r="AC6179" s="3"/>
      <c r="AD6179" s="3"/>
      <c r="AE6179" s="3"/>
      <c r="AF6179" s="3"/>
      <c r="AG6179" s="3"/>
      <c r="AH6179" s="3"/>
    </row>
    <row r="6180" spans="1:34" ht="14.25" customHeight="1" x14ac:dyDescent="0.25">
      <c r="A6180" s="3"/>
      <c r="B6180" s="3"/>
      <c r="C6180" s="3"/>
      <c r="D6180" s="3"/>
      <c r="E6180" s="3"/>
      <c r="F6180" s="3"/>
      <c r="G6180" s="3"/>
      <c r="H6180" s="11"/>
      <c r="I6180" s="12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  <c r="AA6180" s="3"/>
      <c r="AB6180" s="3"/>
      <c r="AC6180" s="3"/>
      <c r="AD6180" s="3"/>
      <c r="AE6180" s="3"/>
      <c r="AF6180" s="3"/>
      <c r="AG6180" s="3"/>
      <c r="AH6180" s="3"/>
    </row>
    <row r="6181" spans="1:34" ht="14.25" customHeight="1" x14ac:dyDescent="0.25">
      <c r="A6181" s="3"/>
      <c r="B6181" s="3"/>
      <c r="C6181" s="3"/>
      <c r="D6181" s="3"/>
      <c r="E6181" s="3"/>
      <c r="F6181" s="3"/>
      <c r="G6181" s="3"/>
      <c r="H6181" s="11"/>
      <c r="I6181" s="12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  <c r="AA6181" s="3"/>
      <c r="AB6181" s="3"/>
      <c r="AC6181" s="3"/>
      <c r="AD6181" s="3"/>
      <c r="AE6181" s="3"/>
      <c r="AF6181" s="3"/>
      <c r="AG6181" s="3"/>
      <c r="AH6181" s="3"/>
    </row>
    <row r="6182" spans="1:34" ht="14.25" customHeight="1" x14ac:dyDescent="0.25">
      <c r="A6182" s="3"/>
      <c r="B6182" s="3"/>
      <c r="C6182" s="3"/>
      <c r="D6182" s="3"/>
      <c r="E6182" s="3"/>
      <c r="F6182" s="3"/>
      <c r="G6182" s="3"/>
      <c r="H6182" s="11"/>
      <c r="I6182" s="12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  <c r="AA6182" s="3"/>
      <c r="AB6182" s="3"/>
      <c r="AC6182" s="3"/>
      <c r="AD6182" s="3"/>
      <c r="AE6182" s="3"/>
      <c r="AF6182" s="3"/>
      <c r="AG6182" s="3"/>
      <c r="AH6182" s="3"/>
    </row>
    <row r="6183" spans="1:34" ht="14.25" customHeight="1" x14ac:dyDescent="0.25">
      <c r="A6183" s="3"/>
      <c r="B6183" s="3"/>
      <c r="C6183" s="3"/>
      <c r="D6183" s="3"/>
      <c r="E6183" s="3"/>
      <c r="F6183" s="3"/>
      <c r="G6183" s="3"/>
      <c r="H6183" s="11"/>
      <c r="I6183" s="12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  <c r="AA6183" s="3"/>
      <c r="AB6183" s="3"/>
      <c r="AC6183" s="3"/>
      <c r="AD6183" s="3"/>
      <c r="AE6183" s="3"/>
      <c r="AF6183" s="3"/>
      <c r="AG6183" s="3"/>
      <c r="AH6183" s="3"/>
    </row>
    <row r="6184" spans="1:34" ht="14.25" customHeight="1" x14ac:dyDescent="0.25">
      <c r="A6184" s="3"/>
      <c r="B6184" s="3"/>
      <c r="C6184" s="3"/>
      <c r="D6184" s="3"/>
      <c r="E6184" s="3"/>
      <c r="F6184" s="3"/>
      <c r="G6184" s="3"/>
      <c r="H6184" s="11"/>
      <c r="I6184" s="12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  <c r="AA6184" s="3"/>
      <c r="AB6184" s="3"/>
      <c r="AC6184" s="3"/>
      <c r="AD6184" s="3"/>
      <c r="AE6184" s="3"/>
      <c r="AF6184" s="3"/>
      <c r="AG6184" s="3"/>
      <c r="AH6184" s="3"/>
    </row>
    <row r="6185" spans="1:34" ht="14.25" customHeight="1" x14ac:dyDescent="0.25">
      <c r="A6185" s="3"/>
      <c r="B6185" s="3"/>
      <c r="C6185" s="3"/>
      <c r="D6185" s="3"/>
      <c r="E6185" s="3"/>
      <c r="F6185" s="3"/>
      <c r="G6185" s="3"/>
      <c r="H6185" s="11"/>
      <c r="I6185" s="12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  <c r="AA6185" s="3"/>
      <c r="AB6185" s="3"/>
      <c r="AC6185" s="3"/>
      <c r="AD6185" s="3"/>
      <c r="AE6185" s="3"/>
      <c r="AF6185" s="3"/>
      <c r="AG6185" s="3"/>
      <c r="AH6185" s="3"/>
    </row>
    <row r="6186" spans="1:34" ht="14.25" customHeight="1" x14ac:dyDescent="0.25">
      <c r="A6186" s="3"/>
      <c r="B6186" s="3"/>
      <c r="C6186" s="3"/>
      <c r="D6186" s="3"/>
      <c r="E6186" s="3"/>
      <c r="F6186" s="3"/>
      <c r="G6186" s="3"/>
      <c r="H6186" s="11"/>
      <c r="I6186" s="12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  <c r="AA6186" s="3"/>
      <c r="AB6186" s="3"/>
      <c r="AC6186" s="3"/>
      <c r="AD6186" s="3"/>
      <c r="AE6186" s="3"/>
      <c r="AF6186" s="3"/>
      <c r="AG6186" s="3"/>
      <c r="AH6186" s="3"/>
    </row>
    <row r="6187" spans="1:34" ht="14.25" customHeight="1" x14ac:dyDescent="0.25">
      <c r="A6187" s="3"/>
      <c r="B6187" s="3"/>
      <c r="C6187" s="3"/>
      <c r="D6187" s="3"/>
      <c r="E6187" s="3"/>
      <c r="F6187" s="3"/>
      <c r="G6187" s="3"/>
      <c r="H6187" s="11"/>
      <c r="I6187" s="12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  <c r="AA6187" s="3"/>
      <c r="AB6187" s="3"/>
      <c r="AC6187" s="3"/>
      <c r="AD6187" s="3"/>
      <c r="AE6187" s="3"/>
      <c r="AF6187" s="3"/>
      <c r="AG6187" s="3"/>
      <c r="AH6187" s="3"/>
    </row>
    <row r="6188" spans="1:34" ht="14.25" customHeight="1" x14ac:dyDescent="0.25">
      <c r="A6188" s="3"/>
      <c r="B6188" s="3"/>
      <c r="C6188" s="3"/>
      <c r="D6188" s="3"/>
      <c r="E6188" s="3"/>
      <c r="F6188" s="3"/>
      <c r="G6188" s="3"/>
      <c r="H6188" s="11"/>
      <c r="I6188" s="12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  <c r="AA6188" s="3"/>
      <c r="AB6188" s="3"/>
      <c r="AC6188" s="3"/>
      <c r="AD6188" s="3"/>
      <c r="AE6188" s="3"/>
      <c r="AF6188" s="3"/>
      <c r="AG6188" s="3"/>
      <c r="AH6188" s="3"/>
    </row>
    <row r="6189" spans="1:34" ht="14.25" customHeight="1" x14ac:dyDescent="0.25">
      <c r="A6189" s="3"/>
      <c r="B6189" s="3"/>
      <c r="C6189" s="3"/>
      <c r="D6189" s="3"/>
      <c r="E6189" s="3"/>
      <c r="F6189" s="3"/>
      <c r="G6189" s="3"/>
      <c r="H6189" s="11"/>
      <c r="I6189" s="12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  <c r="AA6189" s="3"/>
      <c r="AB6189" s="3"/>
      <c r="AC6189" s="3"/>
      <c r="AD6189" s="3"/>
      <c r="AE6189" s="3"/>
      <c r="AF6189" s="3"/>
      <c r="AG6189" s="3"/>
      <c r="AH6189" s="3"/>
    </row>
    <row r="6190" spans="1:34" ht="14.25" customHeight="1" x14ac:dyDescent="0.25">
      <c r="A6190" s="3"/>
      <c r="B6190" s="3"/>
      <c r="C6190" s="3"/>
      <c r="D6190" s="3"/>
      <c r="E6190" s="3"/>
      <c r="F6190" s="3"/>
      <c r="G6190" s="3"/>
      <c r="H6190" s="11"/>
      <c r="I6190" s="12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  <c r="AA6190" s="3"/>
      <c r="AB6190" s="3"/>
      <c r="AC6190" s="3"/>
      <c r="AD6190" s="3"/>
      <c r="AE6190" s="3"/>
      <c r="AF6190" s="3"/>
      <c r="AG6190" s="3"/>
      <c r="AH6190" s="3"/>
    </row>
    <row r="6191" spans="1:34" ht="14.25" customHeight="1" x14ac:dyDescent="0.25">
      <c r="A6191" s="3"/>
      <c r="B6191" s="3"/>
      <c r="C6191" s="3"/>
      <c r="D6191" s="3"/>
      <c r="E6191" s="3"/>
      <c r="F6191" s="3"/>
      <c r="G6191" s="3"/>
      <c r="H6191" s="11"/>
      <c r="I6191" s="12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  <c r="AA6191" s="3"/>
      <c r="AB6191" s="3"/>
      <c r="AC6191" s="3"/>
      <c r="AD6191" s="3"/>
      <c r="AE6191" s="3"/>
      <c r="AF6191" s="3"/>
      <c r="AG6191" s="3"/>
      <c r="AH6191" s="3"/>
    </row>
    <row r="6192" spans="1:34" ht="14.25" customHeight="1" x14ac:dyDescent="0.25">
      <c r="A6192" s="3"/>
      <c r="B6192" s="3"/>
      <c r="C6192" s="3"/>
      <c r="D6192" s="3"/>
      <c r="E6192" s="3"/>
      <c r="F6192" s="3"/>
      <c r="G6192" s="3"/>
      <c r="H6192" s="11"/>
      <c r="I6192" s="12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  <c r="AA6192" s="3"/>
      <c r="AB6192" s="3"/>
      <c r="AC6192" s="3"/>
      <c r="AD6192" s="3"/>
      <c r="AE6192" s="3"/>
      <c r="AF6192" s="3"/>
      <c r="AG6192" s="3"/>
      <c r="AH6192" s="3"/>
    </row>
    <row r="6193" spans="1:34" ht="14.25" customHeight="1" x14ac:dyDescent="0.25">
      <c r="A6193" s="3"/>
      <c r="B6193" s="3"/>
      <c r="C6193" s="3"/>
      <c r="D6193" s="3"/>
      <c r="E6193" s="3"/>
      <c r="F6193" s="3"/>
      <c r="G6193" s="14"/>
      <c r="H6193" s="11"/>
      <c r="I6193" s="12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  <c r="AA6193" s="3"/>
      <c r="AB6193" s="3"/>
      <c r="AC6193" s="3"/>
      <c r="AD6193" s="3"/>
      <c r="AE6193" s="3"/>
      <c r="AF6193" s="3"/>
      <c r="AG6193" s="3"/>
      <c r="AH6193" s="3"/>
    </row>
    <row r="6194" spans="1:34" ht="14.25" customHeight="1" x14ac:dyDescent="0.25">
      <c r="A6194" s="3"/>
      <c r="B6194" s="3"/>
      <c r="C6194" s="3"/>
      <c r="D6194" s="3"/>
      <c r="E6194" s="3"/>
      <c r="F6194" s="3"/>
      <c r="G6194" s="3"/>
      <c r="H6194" s="11"/>
      <c r="I6194" s="12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  <c r="AA6194" s="3"/>
      <c r="AB6194" s="3"/>
      <c r="AC6194" s="3"/>
      <c r="AD6194" s="3"/>
      <c r="AE6194" s="3"/>
      <c r="AF6194" s="3"/>
      <c r="AG6194" s="3"/>
      <c r="AH6194" s="3"/>
    </row>
    <row r="6195" spans="1:34" ht="14.25" customHeight="1" x14ac:dyDescent="0.25">
      <c r="A6195" s="3"/>
      <c r="B6195" s="3"/>
      <c r="C6195" s="3"/>
      <c r="D6195" s="3"/>
      <c r="E6195" s="3"/>
      <c r="F6195" s="3"/>
      <c r="G6195" s="3"/>
      <c r="H6195" s="11"/>
      <c r="I6195" s="12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  <c r="AA6195" s="3"/>
      <c r="AB6195" s="3"/>
      <c r="AC6195" s="3"/>
      <c r="AD6195" s="3"/>
      <c r="AE6195" s="3"/>
      <c r="AF6195" s="3"/>
      <c r="AG6195" s="3"/>
      <c r="AH6195" s="3"/>
    </row>
    <row r="6196" spans="1:34" ht="14.25" customHeight="1" x14ac:dyDescent="0.25">
      <c r="A6196" s="3"/>
      <c r="B6196" s="3"/>
      <c r="C6196" s="3"/>
      <c r="D6196" s="3"/>
      <c r="E6196" s="3"/>
      <c r="F6196" s="3"/>
      <c r="G6196" s="3"/>
      <c r="H6196" s="11"/>
      <c r="I6196" s="12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  <c r="AA6196" s="3"/>
      <c r="AB6196" s="3"/>
      <c r="AC6196" s="3"/>
      <c r="AD6196" s="3"/>
      <c r="AE6196" s="3"/>
      <c r="AF6196" s="3"/>
      <c r="AG6196" s="3"/>
      <c r="AH6196" s="3"/>
    </row>
    <row r="6197" spans="1:34" ht="14.25" customHeight="1" x14ac:dyDescent="0.25">
      <c r="A6197" s="3"/>
      <c r="B6197" s="3"/>
      <c r="C6197" s="3"/>
      <c r="D6197" s="3"/>
      <c r="E6197" s="3"/>
      <c r="F6197" s="3"/>
      <c r="G6197" s="3"/>
      <c r="H6197" s="11"/>
      <c r="I6197" s="12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  <c r="AA6197" s="3"/>
      <c r="AB6197" s="3"/>
      <c r="AC6197" s="3"/>
      <c r="AD6197" s="3"/>
      <c r="AE6197" s="3"/>
      <c r="AF6197" s="3"/>
      <c r="AG6197" s="3"/>
      <c r="AH6197" s="3"/>
    </row>
    <row r="6198" spans="1:34" ht="14.25" customHeight="1" x14ac:dyDescent="0.25">
      <c r="A6198" s="3"/>
      <c r="B6198" s="3"/>
      <c r="C6198" s="3"/>
      <c r="D6198" s="3"/>
      <c r="E6198" s="3"/>
      <c r="F6198" s="3"/>
      <c r="G6198" s="3"/>
      <c r="H6198" s="11"/>
      <c r="I6198" s="12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  <c r="AA6198" s="3"/>
      <c r="AB6198" s="3"/>
      <c r="AC6198" s="3"/>
      <c r="AD6198" s="3"/>
      <c r="AE6198" s="3"/>
      <c r="AF6198" s="3"/>
      <c r="AG6198" s="3"/>
      <c r="AH6198" s="3"/>
    </row>
    <row r="6199" spans="1:34" ht="14.25" customHeight="1" x14ac:dyDescent="0.25">
      <c r="A6199" s="3"/>
      <c r="B6199" s="3"/>
      <c r="C6199" s="3"/>
      <c r="D6199" s="3"/>
      <c r="E6199" s="3"/>
      <c r="F6199" s="3"/>
      <c r="G6199" s="3"/>
      <c r="H6199" s="11"/>
      <c r="I6199" s="12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  <c r="AA6199" s="3"/>
      <c r="AB6199" s="3"/>
      <c r="AC6199" s="3"/>
      <c r="AD6199" s="3"/>
      <c r="AE6199" s="3"/>
      <c r="AF6199" s="3"/>
      <c r="AG6199" s="3"/>
      <c r="AH6199" s="3"/>
    </row>
    <row r="6200" spans="1:34" ht="14.25" customHeight="1" x14ac:dyDescent="0.25">
      <c r="A6200" s="3"/>
      <c r="B6200" s="3"/>
      <c r="C6200" s="3"/>
      <c r="D6200" s="3"/>
      <c r="E6200" s="3"/>
      <c r="F6200" s="3"/>
      <c r="G6200" s="3"/>
      <c r="H6200" s="11"/>
      <c r="I6200" s="12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  <c r="AA6200" s="3"/>
      <c r="AB6200" s="3"/>
      <c r="AC6200" s="3"/>
      <c r="AD6200" s="3"/>
      <c r="AE6200" s="3"/>
      <c r="AF6200" s="3"/>
      <c r="AG6200" s="3"/>
      <c r="AH6200" s="3"/>
    </row>
    <row r="6201" spans="1:34" ht="14.25" customHeight="1" x14ac:dyDescent="0.25">
      <c r="A6201" s="3"/>
      <c r="B6201" s="3"/>
      <c r="C6201" s="3"/>
      <c r="D6201" s="3"/>
      <c r="E6201" s="3"/>
      <c r="F6201" s="3"/>
      <c r="G6201" s="3"/>
      <c r="H6201" s="11"/>
      <c r="I6201" s="12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  <c r="AA6201" s="3"/>
      <c r="AB6201" s="3"/>
      <c r="AC6201" s="3"/>
      <c r="AD6201" s="3"/>
      <c r="AE6201" s="3"/>
      <c r="AF6201" s="3"/>
      <c r="AG6201" s="3"/>
      <c r="AH6201" s="3"/>
    </row>
    <row r="6202" spans="1:34" ht="14.25" customHeight="1" x14ac:dyDescent="0.25">
      <c r="A6202" s="3"/>
      <c r="B6202" s="3"/>
      <c r="C6202" s="3"/>
      <c r="D6202" s="3"/>
      <c r="E6202" s="3"/>
      <c r="F6202" s="3"/>
      <c r="G6202" s="3"/>
      <c r="H6202" s="11"/>
      <c r="I6202" s="12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  <c r="AA6202" s="3"/>
      <c r="AB6202" s="3"/>
      <c r="AC6202" s="3"/>
      <c r="AD6202" s="3"/>
      <c r="AE6202" s="3"/>
      <c r="AF6202" s="3"/>
      <c r="AG6202" s="3"/>
      <c r="AH6202" s="3"/>
    </row>
    <row r="6203" spans="1:34" ht="14.25" customHeight="1" x14ac:dyDescent="0.25">
      <c r="A6203" s="3"/>
      <c r="B6203" s="3"/>
      <c r="C6203" s="3"/>
      <c r="D6203" s="3"/>
      <c r="E6203" s="3"/>
      <c r="F6203" s="3"/>
      <c r="G6203" s="3"/>
      <c r="H6203" s="11"/>
      <c r="I6203" s="12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  <c r="AA6203" s="3"/>
      <c r="AB6203" s="3"/>
      <c r="AC6203" s="3"/>
      <c r="AD6203" s="3"/>
      <c r="AE6203" s="3"/>
      <c r="AF6203" s="3"/>
      <c r="AG6203" s="3"/>
      <c r="AH6203" s="3"/>
    </row>
    <row r="6204" spans="1:34" ht="14.25" customHeight="1" x14ac:dyDescent="0.25">
      <c r="A6204" s="3"/>
      <c r="B6204" s="3"/>
      <c r="C6204" s="3"/>
      <c r="D6204" s="3"/>
      <c r="E6204" s="3"/>
      <c r="F6204" s="3"/>
      <c r="G6204" s="3"/>
      <c r="H6204" s="11"/>
      <c r="I6204" s="12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  <c r="AA6204" s="3"/>
      <c r="AB6204" s="3"/>
      <c r="AC6204" s="3"/>
      <c r="AD6204" s="3"/>
      <c r="AE6204" s="3"/>
      <c r="AF6204" s="3"/>
      <c r="AG6204" s="3"/>
      <c r="AH6204" s="3"/>
    </row>
    <row r="6205" spans="1:34" ht="14.25" customHeight="1" x14ac:dyDescent="0.25">
      <c r="A6205" s="3"/>
      <c r="B6205" s="3"/>
      <c r="C6205" s="3"/>
      <c r="D6205" s="3"/>
      <c r="E6205" s="3"/>
      <c r="F6205" s="3"/>
      <c r="G6205" s="14"/>
      <c r="H6205" s="11"/>
      <c r="I6205" s="12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  <c r="AA6205" s="3"/>
      <c r="AB6205" s="3"/>
      <c r="AC6205" s="3"/>
      <c r="AD6205" s="3"/>
      <c r="AE6205" s="3"/>
      <c r="AF6205" s="3"/>
      <c r="AG6205" s="3"/>
      <c r="AH6205" s="3"/>
    </row>
    <row r="6206" spans="1:34" ht="14.25" customHeight="1" x14ac:dyDescent="0.25">
      <c r="A6206" s="3"/>
      <c r="B6206" s="3"/>
      <c r="C6206" s="3"/>
      <c r="D6206" s="3"/>
      <c r="E6206" s="3"/>
      <c r="F6206" s="3"/>
      <c r="G6206" s="3"/>
      <c r="H6206" s="11"/>
      <c r="I6206" s="12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  <c r="AA6206" s="3"/>
      <c r="AB6206" s="3"/>
      <c r="AC6206" s="3"/>
      <c r="AD6206" s="3"/>
      <c r="AE6206" s="3"/>
      <c r="AF6206" s="3"/>
      <c r="AG6206" s="3"/>
      <c r="AH6206" s="3"/>
    </row>
    <row r="6207" spans="1:34" ht="14.25" customHeight="1" x14ac:dyDescent="0.25">
      <c r="A6207" s="3"/>
      <c r="B6207" s="3"/>
      <c r="C6207" s="3"/>
      <c r="D6207" s="3"/>
      <c r="E6207" s="3"/>
      <c r="F6207" s="3"/>
      <c r="G6207" s="3"/>
      <c r="H6207" s="11"/>
      <c r="I6207" s="12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  <c r="AA6207" s="3"/>
      <c r="AB6207" s="3"/>
      <c r="AC6207" s="3"/>
      <c r="AD6207" s="3"/>
      <c r="AE6207" s="3"/>
      <c r="AF6207" s="3"/>
      <c r="AG6207" s="3"/>
      <c r="AH6207" s="3"/>
    </row>
    <row r="6208" spans="1:34" ht="14.25" customHeight="1" x14ac:dyDescent="0.25">
      <c r="A6208" s="3"/>
      <c r="B6208" s="3"/>
      <c r="C6208" s="3"/>
      <c r="D6208" s="3"/>
      <c r="E6208" s="3"/>
      <c r="F6208" s="3"/>
      <c r="G6208" s="3"/>
      <c r="H6208" s="11"/>
      <c r="I6208" s="12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  <c r="AA6208" s="3"/>
      <c r="AB6208" s="3"/>
      <c r="AC6208" s="3"/>
      <c r="AD6208" s="3"/>
      <c r="AE6208" s="3"/>
      <c r="AF6208" s="3"/>
      <c r="AG6208" s="3"/>
      <c r="AH6208" s="3"/>
    </row>
    <row r="6209" spans="1:34" ht="14.25" customHeight="1" x14ac:dyDescent="0.25">
      <c r="A6209" s="3"/>
      <c r="B6209" s="3"/>
      <c r="C6209" s="3"/>
      <c r="D6209" s="3"/>
      <c r="E6209" s="3"/>
      <c r="F6209" s="3"/>
      <c r="G6209" s="3"/>
      <c r="H6209" s="11"/>
      <c r="I6209" s="12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  <c r="AA6209" s="3"/>
      <c r="AB6209" s="3"/>
      <c r="AC6209" s="3"/>
      <c r="AD6209" s="3"/>
      <c r="AE6209" s="3"/>
      <c r="AF6209" s="3"/>
      <c r="AG6209" s="3"/>
      <c r="AH6209" s="3"/>
    </row>
    <row r="6210" spans="1:34" ht="14.25" customHeight="1" x14ac:dyDescent="0.25">
      <c r="A6210" s="3"/>
      <c r="B6210" s="3"/>
      <c r="C6210" s="3"/>
      <c r="D6210" s="3"/>
      <c r="E6210" s="3"/>
      <c r="F6210" s="3"/>
      <c r="G6210" s="3"/>
      <c r="H6210" s="11"/>
      <c r="I6210" s="12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  <c r="AA6210" s="3"/>
      <c r="AB6210" s="3"/>
      <c r="AC6210" s="3"/>
      <c r="AD6210" s="3"/>
      <c r="AE6210" s="3"/>
      <c r="AF6210" s="3"/>
      <c r="AG6210" s="3"/>
      <c r="AH6210" s="3"/>
    </row>
    <row r="6211" spans="1:34" ht="14.25" customHeight="1" x14ac:dyDescent="0.25">
      <c r="A6211" s="3"/>
      <c r="B6211" s="3"/>
      <c r="C6211" s="3"/>
      <c r="D6211" s="3"/>
      <c r="E6211" s="3"/>
      <c r="F6211" s="3"/>
      <c r="G6211" s="3"/>
      <c r="H6211" s="11"/>
      <c r="I6211" s="12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  <c r="AA6211" s="3"/>
      <c r="AB6211" s="3"/>
      <c r="AC6211" s="3"/>
      <c r="AD6211" s="3"/>
      <c r="AE6211" s="3"/>
      <c r="AF6211" s="3"/>
      <c r="AG6211" s="3"/>
      <c r="AH6211" s="3"/>
    </row>
    <row r="6212" spans="1:34" ht="14.25" customHeight="1" x14ac:dyDescent="0.25">
      <c r="A6212" s="3"/>
      <c r="B6212" s="3"/>
      <c r="C6212" s="3"/>
      <c r="D6212" s="3"/>
      <c r="E6212" s="3"/>
      <c r="F6212" s="3"/>
      <c r="G6212" s="3"/>
      <c r="H6212" s="11"/>
      <c r="I6212" s="12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  <c r="AA6212" s="3"/>
      <c r="AB6212" s="3"/>
      <c r="AC6212" s="3"/>
      <c r="AD6212" s="3"/>
      <c r="AE6212" s="3"/>
      <c r="AF6212" s="3"/>
      <c r="AG6212" s="3"/>
      <c r="AH6212" s="3"/>
    </row>
    <row r="6213" spans="1:34" ht="14.25" customHeight="1" x14ac:dyDescent="0.25">
      <c r="A6213" s="3"/>
      <c r="B6213" s="3"/>
      <c r="C6213" s="3"/>
      <c r="D6213" s="3"/>
      <c r="E6213" s="3"/>
      <c r="F6213" s="3"/>
      <c r="G6213" s="3"/>
      <c r="H6213" s="11"/>
      <c r="I6213" s="12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  <c r="AA6213" s="3"/>
      <c r="AB6213" s="3"/>
      <c r="AC6213" s="3"/>
      <c r="AD6213" s="3"/>
      <c r="AE6213" s="3"/>
      <c r="AF6213" s="3"/>
      <c r="AG6213" s="3"/>
      <c r="AH6213" s="3"/>
    </row>
    <row r="6214" spans="1:34" ht="14.25" customHeight="1" x14ac:dyDescent="0.25">
      <c r="A6214" s="3"/>
      <c r="B6214" s="3"/>
      <c r="C6214" s="3"/>
      <c r="D6214" s="3"/>
      <c r="E6214" s="3"/>
      <c r="F6214" s="3"/>
      <c r="G6214" s="3"/>
      <c r="H6214" s="11"/>
      <c r="I6214" s="12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  <c r="AA6214" s="3"/>
      <c r="AB6214" s="3"/>
      <c r="AC6214" s="3"/>
      <c r="AD6214" s="3"/>
      <c r="AE6214" s="3"/>
      <c r="AF6214" s="3"/>
      <c r="AG6214" s="3"/>
      <c r="AH6214" s="3"/>
    </row>
    <row r="6215" spans="1:34" ht="14.25" customHeight="1" x14ac:dyDescent="0.25">
      <c r="A6215" s="3"/>
      <c r="B6215" s="3"/>
      <c r="C6215" s="3"/>
      <c r="D6215" s="3"/>
      <c r="E6215" s="3"/>
      <c r="F6215" s="3"/>
      <c r="G6215" s="3"/>
      <c r="H6215" s="11"/>
      <c r="I6215" s="12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  <c r="AA6215" s="3"/>
      <c r="AB6215" s="3"/>
      <c r="AC6215" s="3"/>
      <c r="AD6215" s="3"/>
      <c r="AE6215" s="3"/>
      <c r="AF6215" s="3"/>
      <c r="AG6215" s="3"/>
      <c r="AH6215" s="3"/>
    </row>
    <row r="6216" spans="1:34" ht="14.25" customHeight="1" x14ac:dyDescent="0.25">
      <c r="A6216" s="3"/>
      <c r="B6216" s="3"/>
      <c r="C6216" s="3"/>
      <c r="D6216" s="3"/>
      <c r="E6216" s="3"/>
      <c r="F6216" s="3"/>
      <c r="G6216" s="3"/>
      <c r="H6216" s="11"/>
      <c r="I6216" s="12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  <c r="AA6216" s="3"/>
      <c r="AB6216" s="3"/>
      <c r="AC6216" s="3"/>
      <c r="AD6216" s="3"/>
      <c r="AE6216" s="3"/>
      <c r="AF6216" s="3"/>
      <c r="AG6216" s="3"/>
      <c r="AH6216" s="3"/>
    </row>
    <row r="6217" spans="1:34" ht="14.25" customHeight="1" x14ac:dyDescent="0.25">
      <c r="A6217" s="3"/>
      <c r="B6217" s="3"/>
      <c r="C6217" s="3"/>
      <c r="D6217" s="3"/>
      <c r="E6217" s="3"/>
      <c r="F6217" s="3"/>
      <c r="G6217" s="3"/>
      <c r="H6217" s="11"/>
      <c r="I6217" s="12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  <c r="AA6217" s="3"/>
      <c r="AB6217" s="3"/>
      <c r="AC6217" s="3"/>
      <c r="AD6217" s="3"/>
      <c r="AE6217" s="3"/>
      <c r="AF6217" s="3"/>
      <c r="AG6217" s="3"/>
      <c r="AH6217" s="3"/>
    </row>
    <row r="6218" spans="1:34" ht="14.25" customHeight="1" x14ac:dyDescent="0.25">
      <c r="A6218" s="3"/>
      <c r="B6218" s="3"/>
      <c r="C6218" s="3"/>
      <c r="D6218" s="3"/>
      <c r="E6218" s="3"/>
      <c r="F6218" s="3"/>
      <c r="G6218" s="3"/>
      <c r="H6218" s="11"/>
      <c r="I6218" s="12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  <c r="AA6218" s="3"/>
      <c r="AB6218" s="3"/>
      <c r="AC6218" s="3"/>
      <c r="AD6218" s="3"/>
      <c r="AE6218" s="3"/>
      <c r="AF6218" s="3"/>
      <c r="AG6218" s="3"/>
      <c r="AH6218" s="3"/>
    </row>
    <row r="6219" spans="1:34" ht="14.25" customHeight="1" x14ac:dyDescent="0.25">
      <c r="A6219" s="3"/>
      <c r="B6219" s="3"/>
      <c r="C6219" s="3"/>
      <c r="D6219" s="3"/>
      <c r="E6219" s="3"/>
      <c r="F6219" s="3"/>
      <c r="G6219" s="3"/>
      <c r="H6219" s="11"/>
      <c r="I6219" s="12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  <c r="AA6219" s="3"/>
      <c r="AB6219" s="3"/>
      <c r="AC6219" s="3"/>
      <c r="AD6219" s="3"/>
      <c r="AE6219" s="3"/>
      <c r="AF6219" s="3"/>
      <c r="AG6219" s="3"/>
      <c r="AH6219" s="3"/>
    </row>
    <row r="6220" spans="1:34" ht="14.25" customHeight="1" x14ac:dyDescent="0.25">
      <c r="A6220" s="3"/>
      <c r="B6220" s="3"/>
      <c r="C6220" s="3"/>
      <c r="D6220" s="3"/>
      <c r="E6220" s="3"/>
      <c r="F6220" s="3"/>
      <c r="G6220" s="3"/>
      <c r="H6220" s="11"/>
      <c r="I6220" s="12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  <c r="AA6220" s="3"/>
      <c r="AB6220" s="3"/>
      <c r="AC6220" s="3"/>
      <c r="AD6220" s="3"/>
      <c r="AE6220" s="3"/>
      <c r="AF6220" s="3"/>
      <c r="AG6220" s="3"/>
      <c r="AH6220" s="3"/>
    </row>
    <row r="6221" spans="1:34" ht="14.25" customHeight="1" x14ac:dyDescent="0.25">
      <c r="A6221" s="3"/>
      <c r="B6221" s="3"/>
      <c r="C6221" s="3"/>
      <c r="D6221" s="3"/>
      <c r="E6221" s="3"/>
      <c r="F6221" s="3"/>
      <c r="G6221" s="3"/>
      <c r="H6221" s="11"/>
      <c r="I6221" s="12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  <c r="AA6221" s="3"/>
      <c r="AB6221" s="3"/>
      <c r="AC6221" s="3"/>
      <c r="AD6221" s="3"/>
      <c r="AE6221" s="3"/>
      <c r="AF6221" s="3"/>
      <c r="AG6221" s="3"/>
      <c r="AH6221" s="3"/>
    </row>
    <row r="6222" spans="1:34" ht="14.25" customHeight="1" x14ac:dyDescent="0.25">
      <c r="A6222" s="3"/>
      <c r="B6222" s="3"/>
      <c r="C6222" s="3"/>
      <c r="D6222" s="3"/>
      <c r="E6222" s="3"/>
      <c r="F6222" s="3"/>
      <c r="G6222" s="3"/>
      <c r="H6222" s="11"/>
      <c r="I6222" s="12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  <c r="AA6222" s="3"/>
      <c r="AB6222" s="3"/>
      <c r="AC6222" s="3"/>
      <c r="AD6222" s="3"/>
      <c r="AE6222" s="3"/>
      <c r="AF6222" s="3"/>
      <c r="AG6222" s="3"/>
      <c r="AH6222" s="3"/>
    </row>
    <row r="6223" spans="1:34" ht="14.25" customHeight="1" x14ac:dyDescent="0.25">
      <c r="A6223" s="3"/>
      <c r="B6223" s="3"/>
      <c r="C6223" s="3"/>
      <c r="D6223" s="3"/>
      <c r="E6223" s="3"/>
      <c r="F6223" s="3"/>
      <c r="G6223" s="3"/>
      <c r="H6223" s="11"/>
      <c r="I6223" s="12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  <c r="AA6223" s="3"/>
      <c r="AB6223" s="3"/>
      <c r="AC6223" s="3"/>
      <c r="AD6223" s="3"/>
      <c r="AE6223" s="3"/>
      <c r="AF6223" s="3"/>
      <c r="AG6223" s="3"/>
      <c r="AH6223" s="3"/>
    </row>
    <row r="6224" spans="1:34" ht="14.25" customHeight="1" x14ac:dyDescent="0.25">
      <c r="A6224" s="3"/>
      <c r="B6224" s="3"/>
      <c r="C6224" s="3"/>
      <c r="D6224" s="3"/>
      <c r="E6224" s="3"/>
      <c r="F6224" s="3"/>
      <c r="G6224" s="3"/>
      <c r="H6224" s="11"/>
      <c r="I6224" s="12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  <c r="AA6224" s="3"/>
      <c r="AB6224" s="3"/>
      <c r="AC6224" s="3"/>
      <c r="AD6224" s="3"/>
      <c r="AE6224" s="3"/>
      <c r="AF6224" s="3"/>
      <c r="AG6224" s="3"/>
      <c r="AH6224" s="3"/>
    </row>
    <row r="6225" spans="1:34" ht="14.25" customHeight="1" x14ac:dyDescent="0.25">
      <c r="A6225" s="3"/>
      <c r="B6225" s="3"/>
      <c r="C6225" s="3"/>
      <c r="D6225" s="3"/>
      <c r="E6225" s="3"/>
      <c r="F6225" s="3"/>
      <c r="G6225" s="3"/>
      <c r="H6225" s="11"/>
      <c r="I6225" s="12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  <c r="AA6225" s="3"/>
      <c r="AB6225" s="3"/>
      <c r="AC6225" s="3"/>
      <c r="AD6225" s="3"/>
      <c r="AE6225" s="3"/>
      <c r="AF6225" s="3"/>
      <c r="AG6225" s="3"/>
      <c r="AH6225" s="3"/>
    </row>
    <row r="6226" spans="1:34" ht="14.25" customHeight="1" x14ac:dyDescent="0.25">
      <c r="A6226" s="3"/>
      <c r="B6226" s="3"/>
      <c r="C6226" s="3"/>
      <c r="D6226" s="3"/>
      <c r="E6226" s="3"/>
      <c r="F6226" s="3"/>
      <c r="G6226" s="3"/>
      <c r="H6226" s="11"/>
      <c r="I6226" s="12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  <c r="AA6226" s="3"/>
      <c r="AB6226" s="3"/>
      <c r="AC6226" s="3"/>
      <c r="AD6226" s="3"/>
      <c r="AE6226" s="3"/>
      <c r="AF6226" s="3"/>
      <c r="AG6226" s="3"/>
      <c r="AH6226" s="3"/>
    </row>
    <row r="6227" spans="1:34" ht="14.25" customHeight="1" x14ac:dyDescent="0.25">
      <c r="A6227" s="3"/>
      <c r="B6227" s="3"/>
      <c r="C6227" s="3"/>
      <c r="D6227" s="3"/>
      <c r="E6227" s="3"/>
      <c r="F6227" s="3"/>
      <c r="G6227" s="3"/>
      <c r="H6227" s="11"/>
      <c r="I6227" s="12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  <c r="AA6227" s="3"/>
      <c r="AB6227" s="3"/>
      <c r="AC6227" s="3"/>
      <c r="AD6227" s="3"/>
      <c r="AE6227" s="3"/>
      <c r="AF6227" s="3"/>
      <c r="AG6227" s="3"/>
      <c r="AH6227" s="3"/>
    </row>
    <row r="6228" spans="1:34" ht="14.25" customHeight="1" x14ac:dyDescent="0.25">
      <c r="A6228" s="3"/>
      <c r="B6228" s="3"/>
      <c r="C6228" s="3"/>
      <c r="D6228" s="3"/>
      <c r="E6228" s="3"/>
      <c r="F6228" s="3"/>
      <c r="G6228" s="3"/>
      <c r="H6228" s="11"/>
      <c r="I6228" s="12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  <c r="AA6228" s="3"/>
      <c r="AB6228" s="3"/>
      <c r="AC6228" s="3"/>
      <c r="AD6228" s="3"/>
      <c r="AE6228" s="3"/>
      <c r="AF6228" s="3"/>
      <c r="AG6228" s="3"/>
      <c r="AH6228" s="3"/>
    </row>
    <row r="6229" spans="1:34" ht="14.25" customHeight="1" x14ac:dyDescent="0.25">
      <c r="A6229" s="3"/>
      <c r="B6229" s="3"/>
      <c r="C6229" s="3"/>
      <c r="D6229" s="3"/>
      <c r="E6229" s="3"/>
      <c r="F6229" s="3"/>
      <c r="G6229" s="3"/>
      <c r="H6229" s="11"/>
      <c r="I6229" s="12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  <c r="AA6229" s="3"/>
      <c r="AB6229" s="3"/>
      <c r="AC6229" s="3"/>
      <c r="AD6229" s="3"/>
      <c r="AE6229" s="3"/>
      <c r="AF6229" s="3"/>
      <c r="AG6229" s="3"/>
      <c r="AH6229" s="3"/>
    </row>
    <row r="6230" spans="1:34" ht="14.25" customHeight="1" x14ac:dyDescent="0.25">
      <c r="A6230" s="3"/>
      <c r="B6230" s="3"/>
      <c r="C6230" s="3"/>
      <c r="D6230" s="3"/>
      <c r="E6230" s="3"/>
      <c r="F6230" s="3"/>
      <c r="G6230" s="3"/>
      <c r="H6230" s="11"/>
      <c r="I6230" s="12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  <c r="AA6230" s="3"/>
      <c r="AB6230" s="3"/>
      <c r="AC6230" s="3"/>
      <c r="AD6230" s="3"/>
      <c r="AE6230" s="3"/>
      <c r="AF6230" s="3"/>
      <c r="AG6230" s="3"/>
      <c r="AH6230" s="3"/>
    </row>
    <row r="6231" spans="1:34" ht="14.25" customHeight="1" x14ac:dyDescent="0.25">
      <c r="A6231" s="3"/>
      <c r="B6231" s="3"/>
      <c r="C6231" s="3"/>
      <c r="D6231" s="3"/>
      <c r="E6231" s="3"/>
      <c r="F6231" s="3"/>
      <c r="G6231" s="3"/>
      <c r="H6231" s="11"/>
      <c r="I6231" s="12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  <c r="AA6231" s="3"/>
      <c r="AB6231" s="3"/>
      <c r="AC6231" s="3"/>
      <c r="AD6231" s="3"/>
      <c r="AE6231" s="3"/>
      <c r="AF6231" s="3"/>
      <c r="AG6231" s="3"/>
      <c r="AH6231" s="3"/>
    </row>
    <row r="6232" spans="1:34" ht="14.25" customHeight="1" x14ac:dyDescent="0.25">
      <c r="A6232" s="3"/>
      <c r="B6232" s="3"/>
      <c r="C6232" s="3"/>
      <c r="D6232" s="3"/>
      <c r="E6232" s="3"/>
      <c r="F6232" s="3"/>
      <c r="G6232" s="3"/>
      <c r="H6232" s="11"/>
      <c r="I6232" s="12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  <c r="AA6232" s="3"/>
      <c r="AB6232" s="3"/>
      <c r="AC6232" s="3"/>
      <c r="AD6232" s="3"/>
      <c r="AE6232" s="3"/>
      <c r="AF6232" s="3"/>
      <c r="AG6232" s="3"/>
      <c r="AH6232" s="3"/>
    </row>
    <row r="6233" spans="1:34" ht="14.25" customHeight="1" x14ac:dyDescent="0.25">
      <c r="A6233" s="3"/>
      <c r="B6233" s="3"/>
      <c r="C6233" s="3"/>
      <c r="D6233" s="3"/>
      <c r="E6233" s="3"/>
      <c r="F6233" s="3"/>
      <c r="G6233" s="3"/>
      <c r="H6233" s="11"/>
      <c r="I6233" s="12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  <c r="AA6233" s="3"/>
      <c r="AB6233" s="3"/>
      <c r="AC6233" s="3"/>
      <c r="AD6233" s="3"/>
      <c r="AE6233" s="3"/>
      <c r="AF6233" s="3"/>
      <c r="AG6233" s="3"/>
      <c r="AH6233" s="3"/>
    </row>
    <row r="6234" spans="1:34" ht="14.25" customHeight="1" x14ac:dyDescent="0.25">
      <c r="A6234" s="3"/>
      <c r="B6234" s="3"/>
      <c r="C6234" s="3"/>
      <c r="D6234" s="3"/>
      <c r="E6234" s="3"/>
      <c r="F6234" s="3"/>
      <c r="G6234" s="3"/>
      <c r="H6234" s="11"/>
      <c r="I6234" s="12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  <c r="AA6234" s="3"/>
      <c r="AB6234" s="3"/>
      <c r="AC6234" s="3"/>
      <c r="AD6234" s="3"/>
      <c r="AE6234" s="3"/>
      <c r="AF6234" s="3"/>
      <c r="AG6234" s="3"/>
      <c r="AH6234" s="3"/>
    </row>
    <row r="6235" spans="1:34" ht="14.25" customHeight="1" x14ac:dyDescent="0.25">
      <c r="A6235" s="3"/>
      <c r="B6235" s="3"/>
      <c r="C6235" s="3"/>
      <c r="D6235" s="3"/>
      <c r="E6235" s="3"/>
      <c r="F6235" s="3"/>
      <c r="G6235" s="3"/>
      <c r="H6235" s="11"/>
      <c r="I6235" s="12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  <c r="AA6235" s="3"/>
      <c r="AB6235" s="3"/>
      <c r="AC6235" s="3"/>
      <c r="AD6235" s="3"/>
      <c r="AE6235" s="3"/>
      <c r="AF6235" s="3"/>
      <c r="AG6235" s="3"/>
      <c r="AH6235" s="3"/>
    </row>
    <row r="6236" spans="1:34" ht="14.25" customHeight="1" x14ac:dyDescent="0.25">
      <c r="A6236" s="3"/>
      <c r="B6236" s="3"/>
      <c r="C6236" s="3"/>
      <c r="D6236" s="3"/>
      <c r="E6236" s="3"/>
      <c r="F6236" s="3"/>
      <c r="G6236" s="3"/>
      <c r="H6236" s="11"/>
      <c r="I6236" s="12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  <c r="AA6236" s="3"/>
      <c r="AB6236" s="3"/>
      <c r="AC6236" s="3"/>
      <c r="AD6236" s="3"/>
      <c r="AE6236" s="3"/>
      <c r="AF6236" s="3"/>
      <c r="AG6236" s="3"/>
      <c r="AH6236" s="3"/>
    </row>
    <row r="6237" spans="1:34" ht="14.25" customHeight="1" x14ac:dyDescent="0.25">
      <c r="A6237" s="3"/>
      <c r="B6237" s="3"/>
      <c r="C6237" s="3"/>
      <c r="D6237" s="3"/>
      <c r="E6237" s="3"/>
      <c r="F6237" s="3"/>
      <c r="G6237" s="3"/>
      <c r="H6237" s="11"/>
      <c r="I6237" s="12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  <c r="AA6237" s="3"/>
      <c r="AB6237" s="3"/>
      <c r="AC6237" s="3"/>
      <c r="AD6237" s="3"/>
      <c r="AE6237" s="3"/>
      <c r="AF6237" s="3"/>
      <c r="AG6237" s="3"/>
      <c r="AH6237" s="3"/>
    </row>
    <row r="6238" spans="1:34" ht="14.25" customHeight="1" x14ac:dyDescent="0.25">
      <c r="A6238" s="3"/>
      <c r="B6238" s="3"/>
      <c r="C6238" s="3"/>
      <c r="D6238" s="3"/>
      <c r="E6238" s="3"/>
      <c r="F6238" s="3"/>
      <c r="G6238" s="3"/>
      <c r="H6238" s="11"/>
      <c r="I6238" s="12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  <c r="AA6238" s="3"/>
      <c r="AB6238" s="3"/>
      <c r="AC6238" s="3"/>
      <c r="AD6238" s="3"/>
      <c r="AE6238" s="3"/>
      <c r="AF6238" s="3"/>
      <c r="AG6238" s="3"/>
      <c r="AH6238" s="3"/>
    </row>
    <row r="6239" spans="1:34" ht="14.25" customHeight="1" x14ac:dyDescent="0.25">
      <c r="A6239" s="3"/>
      <c r="B6239" s="3"/>
      <c r="C6239" s="3"/>
      <c r="D6239" s="3"/>
      <c r="E6239" s="3"/>
      <c r="F6239" s="3"/>
      <c r="G6239" s="3"/>
      <c r="H6239" s="11"/>
      <c r="I6239" s="12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  <c r="AA6239" s="3"/>
      <c r="AB6239" s="3"/>
      <c r="AC6239" s="3"/>
      <c r="AD6239" s="3"/>
      <c r="AE6239" s="3"/>
      <c r="AF6239" s="3"/>
      <c r="AG6239" s="3"/>
      <c r="AH6239" s="3"/>
    </row>
    <row r="6240" spans="1:34" ht="14.25" customHeight="1" x14ac:dyDescent="0.25">
      <c r="A6240" s="3"/>
      <c r="B6240" s="3"/>
      <c r="C6240" s="3"/>
      <c r="D6240" s="3"/>
      <c r="E6240" s="3"/>
      <c r="F6240" s="3"/>
      <c r="G6240" s="3"/>
      <c r="H6240" s="11"/>
      <c r="I6240" s="12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  <c r="AA6240" s="3"/>
      <c r="AB6240" s="3"/>
      <c r="AC6240" s="3"/>
      <c r="AD6240" s="3"/>
      <c r="AE6240" s="3"/>
      <c r="AF6240" s="3"/>
      <c r="AG6240" s="3"/>
      <c r="AH6240" s="3"/>
    </row>
    <row r="6241" spans="1:34" ht="14.25" customHeight="1" x14ac:dyDescent="0.25">
      <c r="A6241" s="3"/>
      <c r="B6241" s="3"/>
      <c r="C6241" s="3"/>
      <c r="D6241" s="3"/>
      <c r="E6241" s="3"/>
      <c r="F6241" s="3"/>
      <c r="G6241" s="3"/>
      <c r="H6241" s="11"/>
      <c r="I6241" s="12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  <c r="AA6241" s="3"/>
      <c r="AB6241" s="3"/>
      <c r="AC6241" s="3"/>
      <c r="AD6241" s="3"/>
      <c r="AE6241" s="3"/>
      <c r="AF6241" s="3"/>
      <c r="AG6241" s="3"/>
      <c r="AH6241" s="3"/>
    </row>
    <row r="6242" spans="1:34" ht="14.25" customHeight="1" x14ac:dyDescent="0.25">
      <c r="A6242" s="3"/>
      <c r="B6242" s="3"/>
      <c r="C6242" s="3"/>
      <c r="D6242" s="3"/>
      <c r="E6242" s="3"/>
      <c r="F6242" s="3"/>
      <c r="G6242" s="3"/>
      <c r="H6242" s="11"/>
      <c r="I6242" s="12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  <c r="AA6242" s="3"/>
      <c r="AB6242" s="3"/>
      <c r="AC6242" s="3"/>
      <c r="AD6242" s="3"/>
      <c r="AE6242" s="3"/>
      <c r="AF6242" s="3"/>
      <c r="AG6242" s="3"/>
      <c r="AH6242" s="3"/>
    </row>
    <row r="6243" spans="1:34" ht="14.25" customHeight="1" x14ac:dyDescent="0.25">
      <c r="A6243" s="3"/>
      <c r="B6243" s="3"/>
      <c r="C6243" s="3"/>
      <c r="D6243" s="3"/>
      <c r="E6243" s="3"/>
      <c r="F6243" s="3"/>
      <c r="G6243" s="3"/>
      <c r="H6243" s="11"/>
      <c r="I6243" s="12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  <c r="AA6243" s="3"/>
      <c r="AB6243" s="3"/>
      <c r="AC6243" s="3"/>
      <c r="AD6243" s="3"/>
      <c r="AE6243" s="3"/>
      <c r="AF6243" s="3"/>
      <c r="AG6243" s="3"/>
      <c r="AH6243" s="3"/>
    </row>
    <row r="6244" spans="1:34" ht="14.25" customHeight="1" x14ac:dyDescent="0.25">
      <c r="A6244" s="3"/>
      <c r="B6244" s="3"/>
      <c r="C6244" s="3"/>
      <c r="D6244" s="3"/>
      <c r="E6244" s="3"/>
      <c r="F6244" s="3"/>
      <c r="G6244" s="3"/>
      <c r="H6244" s="11"/>
      <c r="I6244" s="12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  <c r="AA6244" s="3"/>
      <c r="AB6244" s="3"/>
      <c r="AC6244" s="3"/>
      <c r="AD6244" s="3"/>
      <c r="AE6244" s="3"/>
      <c r="AF6244" s="3"/>
      <c r="AG6244" s="3"/>
      <c r="AH6244" s="3"/>
    </row>
    <row r="6245" spans="1:34" ht="14.25" customHeight="1" x14ac:dyDescent="0.25">
      <c r="A6245" s="3"/>
      <c r="B6245" s="3"/>
      <c r="C6245" s="3"/>
      <c r="D6245" s="3"/>
      <c r="E6245" s="3"/>
      <c r="F6245" s="3"/>
      <c r="G6245" s="3"/>
      <c r="H6245" s="11"/>
      <c r="I6245" s="12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  <c r="AA6245" s="3"/>
      <c r="AB6245" s="3"/>
      <c r="AC6245" s="3"/>
      <c r="AD6245" s="3"/>
      <c r="AE6245" s="3"/>
      <c r="AF6245" s="3"/>
      <c r="AG6245" s="3"/>
      <c r="AH6245" s="3"/>
    </row>
    <row r="6246" spans="1:34" ht="14.25" customHeight="1" x14ac:dyDescent="0.25">
      <c r="A6246" s="3"/>
      <c r="B6246" s="3"/>
      <c r="C6246" s="3"/>
      <c r="D6246" s="3"/>
      <c r="E6246" s="3"/>
      <c r="F6246" s="3"/>
      <c r="G6246" s="3"/>
      <c r="H6246" s="11"/>
      <c r="I6246" s="12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  <c r="AA6246" s="3"/>
      <c r="AB6246" s="3"/>
      <c r="AC6246" s="3"/>
      <c r="AD6246" s="3"/>
      <c r="AE6246" s="3"/>
      <c r="AF6246" s="3"/>
      <c r="AG6246" s="3"/>
      <c r="AH6246" s="3"/>
    </row>
    <row r="6247" spans="1:34" ht="14.25" customHeight="1" x14ac:dyDescent="0.25">
      <c r="A6247" s="3"/>
      <c r="B6247" s="3"/>
      <c r="C6247" s="3"/>
      <c r="D6247" s="3"/>
      <c r="E6247" s="3"/>
      <c r="F6247" s="3"/>
      <c r="G6247" s="3"/>
      <c r="H6247" s="11"/>
      <c r="I6247" s="12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  <c r="AA6247" s="3"/>
      <c r="AB6247" s="3"/>
      <c r="AC6247" s="3"/>
      <c r="AD6247" s="3"/>
      <c r="AE6247" s="3"/>
      <c r="AF6247" s="3"/>
      <c r="AG6247" s="3"/>
      <c r="AH6247" s="3"/>
    </row>
    <row r="6248" spans="1:34" ht="14.25" customHeight="1" x14ac:dyDescent="0.25">
      <c r="A6248" s="3"/>
      <c r="B6248" s="3"/>
      <c r="C6248" s="3"/>
      <c r="D6248" s="3"/>
      <c r="E6248" s="3"/>
      <c r="F6248" s="3"/>
      <c r="G6248" s="3"/>
      <c r="H6248" s="11"/>
      <c r="I6248" s="12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  <c r="AA6248" s="3"/>
      <c r="AB6248" s="3"/>
      <c r="AC6248" s="3"/>
      <c r="AD6248" s="3"/>
      <c r="AE6248" s="3"/>
      <c r="AF6248" s="3"/>
      <c r="AG6248" s="3"/>
      <c r="AH6248" s="3"/>
    </row>
    <row r="6249" spans="1:34" ht="14.25" customHeight="1" x14ac:dyDescent="0.25">
      <c r="A6249" s="3"/>
      <c r="B6249" s="3"/>
      <c r="C6249" s="3"/>
      <c r="D6249" s="3"/>
      <c r="E6249" s="3"/>
      <c r="F6249" s="3"/>
      <c r="G6249" s="3"/>
      <c r="H6249" s="11"/>
      <c r="I6249" s="12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  <c r="AA6249" s="3"/>
      <c r="AB6249" s="3"/>
      <c r="AC6249" s="3"/>
      <c r="AD6249" s="3"/>
      <c r="AE6249" s="3"/>
      <c r="AF6249" s="3"/>
      <c r="AG6249" s="3"/>
      <c r="AH6249" s="3"/>
    </row>
    <row r="6250" spans="1:34" ht="14.25" customHeight="1" x14ac:dyDescent="0.25">
      <c r="A6250" s="3"/>
      <c r="B6250" s="3"/>
      <c r="C6250" s="3"/>
      <c r="D6250" s="3"/>
      <c r="E6250" s="3"/>
      <c r="F6250" s="3"/>
      <c r="G6250" s="3"/>
      <c r="H6250" s="11"/>
      <c r="I6250" s="12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  <c r="AA6250" s="3"/>
      <c r="AB6250" s="3"/>
      <c r="AC6250" s="3"/>
      <c r="AD6250" s="3"/>
      <c r="AE6250" s="3"/>
      <c r="AF6250" s="3"/>
      <c r="AG6250" s="3"/>
      <c r="AH6250" s="3"/>
    </row>
    <row r="6251" spans="1:34" ht="14.25" customHeight="1" x14ac:dyDescent="0.25">
      <c r="A6251" s="3"/>
      <c r="B6251" s="3"/>
      <c r="C6251" s="3"/>
      <c r="D6251" s="3"/>
      <c r="E6251" s="3"/>
      <c r="F6251" s="3"/>
      <c r="G6251" s="3"/>
      <c r="H6251" s="11"/>
      <c r="I6251" s="12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  <c r="AA6251" s="3"/>
      <c r="AB6251" s="3"/>
      <c r="AC6251" s="3"/>
      <c r="AD6251" s="3"/>
      <c r="AE6251" s="3"/>
      <c r="AF6251" s="3"/>
      <c r="AG6251" s="3"/>
      <c r="AH6251" s="3"/>
    </row>
    <row r="6252" spans="1:34" ht="14.25" customHeight="1" x14ac:dyDescent="0.25">
      <c r="A6252" s="3"/>
      <c r="B6252" s="3"/>
      <c r="C6252" s="3"/>
      <c r="D6252" s="3"/>
      <c r="E6252" s="3"/>
      <c r="F6252" s="3"/>
      <c r="G6252" s="3"/>
      <c r="H6252" s="11"/>
      <c r="I6252" s="12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  <c r="AA6252" s="3"/>
      <c r="AB6252" s="3"/>
      <c r="AC6252" s="3"/>
      <c r="AD6252" s="3"/>
      <c r="AE6252" s="3"/>
      <c r="AF6252" s="3"/>
      <c r="AG6252" s="3"/>
      <c r="AH6252" s="3"/>
    </row>
    <row r="6253" spans="1:34" ht="14.25" customHeight="1" x14ac:dyDescent="0.25">
      <c r="A6253" s="3"/>
      <c r="B6253" s="3"/>
      <c r="C6253" s="3"/>
      <c r="D6253" s="3"/>
      <c r="E6253" s="3"/>
      <c r="F6253" s="3"/>
      <c r="G6253" s="3"/>
      <c r="H6253" s="11"/>
      <c r="I6253" s="12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  <c r="AA6253" s="3"/>
      <c r="AB6253" s="3"/>
      <c r="AC6253" s="3"/>
      <c r="AD6253" s="3"/>
      <c r="AE6253" s="3"/>
      <c r="AF6253" s="3"/>
      <c r="AG6253" s="3"/>
      <c r="AH6253" s="3"/>
    </row>
    <row r="6254" spans="1:34" ht="14.25" customHeight="1" x14ac:dyDescent="0.25">
      <c r="A6254" s="3"/>
      <c r="B6254" s="3"/>
      <c r="C6254" s="3"/>
      <c r="D6254" s="3"/>
      <c r="E6254" s="3"/>
      <c r="F6254" s="3"/>
      <c r="G6254" s="3"/>
      <c r="H6254" s="11"/>
      <c r="I6254" s="12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  <c r="AA6254" s="3"/>
      <c r="AB6254" s="3"/>
      <c r="AC6254" s="3"/>
      <c r="AD6254" s="3"/>
      <c r="AE6254" s="3"/>
      <c r="AF6254" s="3"/>
      <c r="AG6254" s="3"/>
      <c r="AH6254" s="3"/>
    </row>
    <row r="6255" spans="1:34" ht="14.25" customHeight="1" x14ac:dyDescent="0.25">
      <c r="A6255" s="3"/>
      <c r="B6255" s="3"/>
      <c r="C6255" s="3"/>
      <c r="D6255" s="3"/>
      <c r="E6255" s="3"/>
      <c r="F6255" s="3"/>
      <c r="G6255" s="3"/>
      <c r="H6255" s="11"/>
      <c r="I6255" s="12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  <c r="AA6255" s="3"/>
      <c r="AB6255" s="3"/>
      <c r="AC6255" s="3"/>
      <c r="AD6255" s="3"/>
      <c r="AE6255" s="3"/>
      <c r="AF6255" s="3"/>
      <c r="AG6255" s="3"/>
      <c r="AH6255" s="3"/>
    </row>
    <row r="6256" spans="1:34" ht="14.25" customHeight="1" x14ac:dyDescent="0.25">
      <c r="A6256" s="3"/>
      <c r="B6256" s="3"/>
      <c r="C6256" s="3"/>
      <c r="D6256" s="3"/>
      <c r="E6256" s="3"/>
      <c r="F6256" s="3"/>
      <c r="G6256" s="3"/>
      <c r="H6256" s="11"/>
      <c r="I6256" s="12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  <c r="AA6256" s="3"/>
      <c r="AB6256" s="3"/>
      <c r="AC6256" s="3"/>
      <c r="AD6256" s="3"/>
      <c r="AE6256" s="3"/>
      <c r="AF6256" s="3"/>
      <c r="AG6256" s="3"/>
      <c r="AH6256" s="3"/>
    </row>
    <row r="6257" spans="1:34" ht="14.25" customHeight="1" x14ac:dyDescent="0.25">
      <c r="A6257" s="3"/>
      <c r="B6257" s="3"/>
      <c r="C6257" s="3"/>
      <c r="D6257" s="3"/>
      <c r="E6257" s="3"/>
      <c r="F6257" s="3"/>
      <c r="G6257" s="3"/>
      <c r="H6257" s="11"/>
      <c r="I6257" s="12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  <c r="AA6257" s="3"/>
      <c r="AB6257" s="3"/>
      <c r="AC6257" s="3"/>
      <c r="AD6257" s="3"/>
      <c r="AE6257" s="3"/>
      <c r="AF6257" s="3"/>
      <c r="AG6257" s="3"/>
      <c r="AH6257" s="3"/>
    </row>
    <row r="6258" spans="1:34" ht="14.25" customHeight="1" x14ac:dyDescent="0.25">
      <c r="A6258" s="3"/>
      <c r="B6258" s="3"/>
      <c r="C6258" s="3"/>
      <c r="D6258" s="3"/>
      <c r="E6258" s="3"/>
      <c r="F6258" s="3"/>
      <c r="G6258" s="3"/>
      <c r="H6258" s="11"/>
      <c r="I6258" s="12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  <c r="AA6258" s="3"/>
      <c r="AB6258" s="3"/>
      <c r="AC6258" s="3"/>
      <c r="AD6258" s="3"/>
      <c r="AE6258" s="3"/>
      <c r="AF6258" s="3"/>
      <c r="AG6258" s="3"/>
      <c r="AH6258" s="3"/>
    </row>
    <row r="6259" spans="1:34" ht="14.25" customHeight="1" x14ac:dyDescent="0.25">
      <c r="A6259" s="3"/>
      <c r="B6259" s="3"/>
      <c r="C6259" s="3"/>
      <c r="D6259" s="3"/>
      <c r="E6259" s="3"/>
      <c r="F6259" s="3"/>
      <c r="G6259" s="3"/>
      <c r="H6259" s="11"/>
      <c r="I6259" s="12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  <c r="AA6259" s="3"/>
      <c r="AB6259" s="3"/>
      <c r="AC6259" s="3"/>
      <c r="AD6259" s="3"/>
      <c r="AE6259" s="3"/>
      <c r="AF6259" s="3"/>
      <c r="AG6259" s="3"/>
      <c r="AH6259" s="3"/>
    </row>
    <row r="6260" spans="1:34" ht="14.25" customHeight="1" x14ac:dyDescent="0.25">
      <c r="A6260" s="3"/>
      <c r="B6260" s="3"/>
      <c r="C6260" s="3"/>
      <c r="D6260" s="3"/>
      <c r="E6260" s="3"/>
      <c r="F6260" s="3"/>
      <c r="G6260" s="3"/>
      <c r="H6260" s="11"/>
      <c r="I6260" s="12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  <c r="AA6260" s="3"/>
      <c r="AB6260" s="3"/>
      <c r="AC6260" s="3"/>
      <c r="AD6260" s="3"/>
      <c r="AE6260" s="3"/>
      <c r="AF6260" s="3"/>
      <c r="AG6260" s="3"/>
      <c r="AH6260" s="3"/>
    </row>
    <row r="6261" spans="1:34" ht="14.25" customHeight="1" x14ac:dyDescent="0.25">
      <c r="A6261" s="3"/>
      <c r="B6261" s="3"/>
      <c r="C6261" s="3"/>
      <c r="D6261" s="3"/>
      <c r="E6261" s="3"/>
      <c r="F6261" s="3"/>
      <c r="G6261" s="3"/>
      <c r="H6261" s="11"/>
      <c r="I6261" s="12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  <c r="AA6261" s="3"/>
      <c r="AB6261" s="3"/>
      <c r="AC6261" s="3"/>
      <c r="AD6261" s="3"/>
      <c r="AE6261" s="3"/>
      <c r="AF6261" s="3"/>
      <c r="AG6261" s="3"/>
      <c r="AH6261" s="3"/>
    </row>
    <row r="6262" spans="1:34" ht="14.25" customHeight="1" x14ac:dyDescent="0.25">
      <c r="A6262" s="3"/>
      <c r="B6262" s="3"/>
      <c r="C6262" s="3"/>
      <c r="D6262" s="3"/>
      <c r="E6262" s="3"/>
      <c r="F6262" s="3"/>
      <c r="G6262" s="3"/>
      <c r="H6262" s="11"/>
      <c r="I6262" s="12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  <c r="AA6262" s="3"/>
      <c r="AB6262" s="3"/>
      <c r="AC6262" s="3"/>
      <c r="AD6262" s="3"/>
      <c r="AE6262" s="3"/>
      <c r="AF6262" s="3"/>
      <c r="AG6262" s="3"/>
      <c r="AH6262" s="3"/>
    </row>
    <row r="6263" spans="1:34" ht="14.25" customHeight="1" x14ac:dyDescent="0.25">
      <c r="A6263" s="3"/>
      <c r="B6263" s="3"/>
      <c r="C6263" s="3"/>
      <c r="D6263" s="3"/>
      <c r="E6263" s="3"/>
      <c r="F6263" s="3"/>
      <c r="G6263" s="3"/>
      <c r="H6263" s="11"/>
      <c r="I6263" s="12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  <c r="AA6263" s="3"/>
      <c r="AB6263" s="3"/>
      <c r="AC6263" s="3"/>
      <c r="AD6263" s="3"/>
      <c r="AE6263" s="3"/>
      <c r="AF6263" s="3"/>
      <c r="AG6263" s="3"/>
      <c r="AH6263" s="3"/>
    </row>
    <row r="6264" spans="1:34" ht="14.25" customHeight="1" x14ac:dyDescent="0.25">
      <c r="A6264" s="3"/>
      <c r="B6264" s="3"/>
      <c r="C6264" s="3"/>
      <c r="D6264" s="3"/>
      <c r="E6264" s="3"/>
      <c r="F6264" s="3"/>
      <c r="G6264" s="3"/>
      <c r="H6264" s="11"/>
      <c r="I6264" s="12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  <c r="AA6264" s="3"/>
      <c r="AB6264" s="3"/>
      <c r="AC6264" s="3"/>
      <c r="AD6264" s="3"/>
      <c r="AE6264" s="3"/>
      <c r="AF6264" s="3"/>
      <c r="AG6264" s="3"/>
      <c r="AH6264" s="3"/>
    </row>
    <row r="6265" spans="1:34" ht="14.25" customHeight="1" x14ac:dyDescent="0.25">
      <c r="A6265" s="3"/>
      <c r="B6265" s="3"/>
      <c r="C6265" s="3"/>
      <c r="D6265" s="3"/>
      <c r="E6265" s="3"/>
      <c r="F6265" s="3"/>
      <c r="G6265" s="3"/>
      <c r="H6265" s="11"/>
      <c r="I6265" s="12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  <c r="AA6265" s="3"/>
      <c r="AB6265" s="3"/>
      <c r="AC6265" s="3"/>
      <c r="AD6265" s="3"/>
      <c r="AE6265" s="3"/>
      <c r="AF6265" s="3"/>
      <c r="AG6265" s="3"/>
      <c r="AH6265" s="3"/>
    </row>
    <row r="6266" spans="1:34" ht="14.25" customHeight="1" x14ac:dyDescent="0.25">
      <c r="A6266" s="3"/>
      <c r="B6266" s="3"/>
      <c r="C6266" s="3"/>
      <c r="D6266" s="3"/>
      <c r="E6266" s="3"/>
      <c r="F6266" s="3"/>
      <c r="G6266" s="3"/>
      <c r="H6266" s="11"/>
      <c r="I6266" s="12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  <c r="AA6266" s="3"/>
      <c r="AB6266" s="3"/>
      <c r="AC6266" s="3"/>
      <c r="AD6266" s="3"/>
      <c r="AE6266" s="3"/>
      <c r="AF6266" s="3"/>
      <c r="AG6266" s="3"/>
      <c r="AH6266" s="3"/>
    </row>
    <row r="6267" spans="1:34" ht="14.25" customHeight="1" x14ac:dyDescent="0.25">
      <c r="A6267" s="3"/>
      <c r="B6267" s="3"/>
      <c r="C6267" s="3"/>
      <c r="D6267" s="3"/>
      <c r="E6267" s="3"/>
      <c r="F6267" s="3"/>
      <c r="G6267" s="3"/>
      <c r="H6267" s="11"/>
      <c r="I6267" s="12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  <c r="AA6267" s="3"/>
      <c r="AB6267" s="3"/>
      <c r="AC6267" s="3"/>
      <c r="AD6267" s="3"/>
      <c r="AE6267" s="3"/>
      <c r="AF6267" s="3"/>
      <c r="AG6267" s="3"/>
      <c r="AH6267" s="3"/>
    </row>
    <row r="6268" spans="1:34" ht="14.25" customHeight="1" x14ac:dyDescent="0.25">
      <c r="A6268" s="3"/>
      <c r="B6268" s="3"/>
      <c r="C6268" s="3"/>
      <c r="D6268" s="3"/>
      <c r="E6268" s="3"/>
      <c r="F6268" s="3"/>
      <c r="G6268" s="3"/>
      <c r="H6268" s="11"/>
      <c r="I6268" s="12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  <c r="AA6268" s="3"/>
      <c r="AB6268" s="3"/>
      <c r="AC6268" s="3"/>
      <c r="AD6268" s="3"/>
      <c r="AE6268" s="3"/>
      <c r="AF6268" s="3"/>
      <c r="AG6268" s="3"/>
      <c r="AH6268" s="3"/>
    </row>
    <row r="6269" spans="1:34" ht="14.25" customHeight="1" x14ac:dyDescent="0.25">
      <c r="A6269" s="3"/>
      <c r="B6269" s="3"/>
      <c r="C6269" s="3"/>
      <c r="D6269" s="3"/>
      <c r="E6269" s="3"/>
      <c r="F6269" s="3"/>
      <c r="G6269" s="3"/>
      <c r="H6269" s="11"/>
      <c r="I6269" s="12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  <c r="AA6269" s="3"/>
      <c r="AB6269" s="3"/>
      <c r="AC6269" s="3"/>
      <c r="AD6269" s="3"/>
      <c r="AE6269" s="3"/>
      <c r="AF6269" s="3"/>
      <c r="AG6269" s="3"/>
      <c r="AH6269" s="3"/>
    </row>
    <row r="6270" spans="1:34" ht="14.25" customHeight="1" x14ac:dyDescent="0.25">
      <c r="A6270" s="3"/>
      <c r="B6270" s="3"/>
      <c r="C6270" s="3"/>
      <c r="D6270" s="3"/>
      <c r="E6270" s="3"/>
      <c r="F6270" s="3"/>
      <c r="G6270" s="3"/>
      <c r="H6270" s="11"/>
      <c r="I6270" s="12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  <c r="AA6270" s="3"/>
      <c r="AB6270" s="3"/>
      <c r="AC6270" s="3"/>
      <c r="AD6270" s="3"/>
      <c r="AE6270" s="3"/>
      <c r="AF6270" s="3"/>
      <c r="AG6270" s="3"/>
      <c r="AH6270" s="3"/>
    </row>
    <row r="6271" spans="1:34" ht="14.25" customHeight="1" x14ac:dyDescent="0.25">
      <c r="A6271" s="3"/>
      <c r="B6271" s="3"/>
      <c r="C6271" s="3"/>
      <c r="D6271" s="3"/>
      <c r="E6271" s="3"/>
      <c r="F6271" s="3"/>
      <c r="G6271" s="3"/>
      <c r="H6271" s="11"/>
      <c r="I6271" s="12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  <c r="AA6271" s="3"/>
      <c r="AB6271" s="3"/>
      <c r="AC6271" s="3"/>
      <c r="AD6271" s="3"/>
      <c r="AE6271" s="3"/>
      <c r="AF6271" s="3"/>
      <c r="AG6271" s="3"/>
      <c r="AH6271" s="3"/>
    </row>
    <row r="6272" spans="1:34" ht="14.25" customHeight="1" x14ac:dyDescent="0.25">
      <c r="A6272" s="3"/>
      <c r="B6272" s="3"/>
      <c r="C6272" s="3"/>
      <c r="D6272" s="3"/>
      <c r="E6272" s="3"/>
      <c r="F6272" s="3"/>
      <c r="G6272" s="3"/>
      <c r="H6272" s="11"/>
      <c r="I6272" s="12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  <c r="AA6272" s="3"/>
      <c r="AB6272" s="3"/>
      <c r="AC6272" s="3"/>
      <c r="AD6272" s="3"/>
      <c r="AE6272" s="3"/>
      <c r="AF6272" s="3"/>
      <c r="AG6272" s="3"/>
      <c r="AH6272" s="3"/>
    </row>
    <row r="6273" spans="1:34" ht="14.25" customHeight="1" x14ac:dyDescent="0.25">
      <c r="A6273" s="3"/>
      <c r="B6273" s="3"/>
      <c r="C6273" s="3"/>
      <c r="D6273" s="3"/>
      <c r="E6273" s="3"/>
      <c r="F6273" s="3"/>
      <c r="G6273" s="3"/>
      <c r="H6273" s="11"/>
      <c r="I6273" s="12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  <c r="AA6273" s="3"/>
      <c r="AB6273" s="3"/>
      <c r="AC6273" s="3"/>
      <c r="AD6273" s="3"/>
      <c r="AE6273" s="3"/>
      <c r="AF6273" s="3"/>
      <c r="AG6273" s="3"/>
      <c r="AH6273" s="3"/>
    </row>
    <row r="6274" spans="1:34" ht="14.25" customHeight="1" x14ac:dyDescent="0.25">
      <c r="A6274" s="3"/>
      <c r="B6274" s="3"/>
      <c r="C6274" s="3"/>
      <c r="D6274" s="3"/>
      <c r="E6274" s="3"/>
      <c r="F6274" s="3"/>
      <c r="G6274" s="3"/>
      <c r="H6274" s="11"/>
      <c r="I6274" s="12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  <c r="AA6274" s="3"/>
      <c r="AB6274" s="3"/>
      <c r="AC6274" s="3"/>
      <c r="AD6274" s="3"/>
      <c r="AE6274" s="3"/>
      <c r="AF6274" s="3"/>
      <c r="AG6274" s="3"/>
      <c r="AH6274" s="3"/>
    </row>
    <row r="6275" spans="1:34" ht="14.25" customHeight="1" x14ac:dyDescent="0.25">
      <c r="A6275" s="3"/>
      <c r="B6275" s="3"/>
      <c r="C6275" s="3"/>
      <c r="D6275" s="3"/>
      <c r="E6275" s="3"/>
      <c r="F6275" s="3"/>
      <c r="G6275" s="3"/>
      <c r="H6275" s="11"/>
      <c r="I6275" s="12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  <c r="AA6275" s="3"/>
      <c r="AB6275" s="3"/>
      <c r="AC6275" s="3"/>
      <c r="AD6275" s="3"/>
      <c r="AE6275" s="3"/>
      <c r="AF6275" s="3"/>
      <c r="AG6275" s="3"/>
      <c r="AH6275" s="3"/>
    </row>
    <row r="6276" spans="1:34" ht="14.25" customHeight="1" x14ac:dyDescent="0.25">
      <c r="A6276" s="3"/>
      <c r="B6276" s="3"/>
      <c r="C6276" s="3"/>
      <c r="D6276" s="3"/>
      <c r="E6276" s="3"/>
      <c r="F6276" s="3"/>
      <c r="G6276" s="3"/>
      <c r="H6276" s="11"/>
      <c r="I6276" s="12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  <c r="AA6276" s="3"/>
      <c r="AB6276" s="3"/>
      <c r="AC6276" s="3"/>
      <c r="AD6276" s="3"/>
      <c r="AE6276" s="3"/>
      <c r="AF6276" s="3"/>
      <c r="AG6276" s="3"/>
      <c r="AH6276" s="3"/>
    </row>
    <row r="6277" spans="1:34" ht="14.25" customHeight="1" x14ac:dyDescent="0.25">
      <c r="A6277" s="3"/>
      <c r="B6277" s="3"/>
      <c r="C6277" s="3"/>
      <c r="D6277" s="3"/>
      <c r="E6277" s="3"/>
      <c r="F6277" s="3"/>
      <c r="G6277" s="3"/>
      <c r="H6277" s="11"/>
      <c r="I6277" s="12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  <c r="AA6277" s="3"/>
      <c r="AB6277" s="3"/>
      <c r="AC6277" s="3"/>
      <c r="AD6277" s="3"/>
      <c r="AE6277" s="3"/>
      <c r="AF6277" s="3"/>
      <c r="AG6277" s="3"/>
      <c r="AH6277" s="3"/>
    </row>
    <row r="6278" spans="1:34" ht="14.25" customHeight="1" x14ac:dyDescent="0.25">
      <c r="A6278" s="3"/>
      <c r="B6278" s="3"/>
      <c r="C6278" s="3"/>
      <c r="D6278" s="3"/>
      <c r="E6278" s="3"/>
      <c r="F6278" s="3"/>
      <c r="G6278" s="3"/>
      <c r="H6278" s="11"/>
      <c r="I6278" s="12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  <c r="AA6278" s="3"/>
      <c r="AB6278" s="3"/>
      <c r="AC6278" s="3"/>
      <c r="AD6278" s="3"/>
      <c r="AE6278" s="3"/>
      <c r="AF6278" s="3"/>
      <c r="AG6278" s="3"/>
      <c r="AH6278" s="3"/>
    </row>
    <row r="6279" spans="1:34" ht="14.25" customHeight="1" x14ac:dyDescent="0.25">
      <c r="A6279" s="3"/>
      <c r="B6279" s="3"/>
      <c r="C6279" s="3"/>
      <c r="D6279" s="3"/>
      <c r="E6279" s="3"/>
      <c r="F6279" s="3"/>
      <c r="G6279" s="3"/>
      <c r="H6279" s="11"/>
      <c r="I6279" s="12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  <c r="AA6279" s="3"/>
      <c r="AB6279" s="3"/>
      <c r="AC6279" s="3"/>
      <c r="AD6279" s="3"/>
      <c r="AE6279" s="3"/>
      <c r="AF6279" s="3"/>
      <c r="AG6279" s="3"/>
      <c r="AH6279" s="3"/>
    </row>
    <row r="6280" spans="1:34" ht="14.25" customHeight="1" x14ac:dyDescent="0.25">
      <c r="A6280" s="3"/>
      <c r="B6280" s="3"/>
      <c r="C6280" s="3"/>
      <c r="D6280" s="3"/>
      <c r="E6280" s="3"/>
      <c r="F6280" s="3"/>
      <c r="G6280" s="14"/>
      <c r="H6280" s="11"/>
      <c r="I6280" s="12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  <c r="AA6280" s="3"/>
      <c r="AB6280" s="3"/>
      <c r="AC6280" s="3"/>
      <c r="AD6280" s="3"/>
      <c r="AE6280" s="3"/>
      <c r="AF6280" s="3"/>
      <c r="AG6280" s="3"/>
      <c r="AH6280" s="3"/>
    </row>
    <row r="6281" spans="1:34" ht="14.25" customHeight="1" x14ac:dyDescent="0.25">
      <c r="A6281" s="3"/>
      <c r="B6281" s="3"/>
      <c r="C6281" s="3"/>
      <c r="D6281" s="3"/>
      <c r="E6281" s="3"/>
      <c r="F6281" s="3"/>
      <c r="G6281" s="3"/>
      <c r="H6281" s="11"/>
      <c r="I6281" s="12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  <c r="AA6281" s="3"/>
      <c r="AB6281" s="3"/>
      <c r="AC6281" s="3"/>
      <c r="AD6281" s="3"/>
      <c r="AE6281" s="3"/>
      <c r="AF6281" s="3"/>
      <c r="AG6281" s="3"/>
      <c r="AH6281" s="3"/>
    </row>
    <row r="6282" spans="1:34" ht="14.25" customHeight="1" x14ac:dyDescent="0.25">
      <c r="A6282" s="3"/>
      <c r="B6282" s="3"/>
      <c r="C6282" s="3"/>
      <c r="D6282" s="3"/>
      <c r="E6282" s="3"/>
      <c r="F6282" s="3"/>
      <c r="G6282" s="3"/>
      <c r="H6282" s="11"/>
      <c r="I6282" s="12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  <c r="AA6282" s="3"/>
      <c r="AB6282" s="3"/>
      <c r="AC6282" s="3"/>
      <c r="AD6282" s="3"/>
      <c r="AE6282" s="3"/>
      <c r="AF6282" s="3"/>
      <c r="AG6282" s="3"/>
      <c r="AH6282" s="3"/>
    </row>
    <row r="6283" spans="1:34" ht="14.25" customHeight="1" x14ac:dyDescent="0.25">
      <c r="A6283" s="3"/>
      <c r="B6283" s="3"/>
      <c r="C6283" s="3"/>
      <c r="D6283" s="3"/>
      <c r="E6283" s="3"/>
      <c r="F6283" s="3"/>
      <c r="G6283" s="3"/>
      <c r="H6283" s="11"/>
      <c r="I6283" s="12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  <c r="AA6283" s="3"/>
      <c r="AB6283" s="3"/>
      <c r="AC6283" s="3"/>
      <c r="AD6283" s="3"/>
      <c r="AE6283" s="3"/>
      <c r="AF6283" s="3"/>
      <c r="AG6283" s="3"/>
      <c r="AH6283" s="3"/>
    </row>
    <row r="6284" spans="1:34" ht="14.25" customHeight="1" x14ac:dyDescent="0.25">
      <c r="A6284" s="3"/>
      <c r="B6284" s="3"/>
      <c r="C6284" s="3"/>
      <c r="D6284" s="3"/>
      <c r="E6284" s="3"/>
      <c r="F6284" s="3"/>
      <c r="G6284" s="3"/>
      <c r="H6284" s="11"/>
      <c r="I6284" s="12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  <c r="AA6284" s="3"/>
      <c r="AB6284" s="3"/>
      <c r="AC6284" s="3"/>
      <c r="AD6284" s="3"/>
      <c r="AE6284" s="3"/>
      <c r="AF6284" s="3"/>
      <c r="AG6284" s="3"/>
      <c r="AH6284" s="3"/>
    </row>
    <row r="6285" spans="1:34" ht="14.25" customHeight="1" x14ac:dyDescent="0.25">
      <c r="A6285" s="3"/>
      <c r="B6285" s="3"/>
      <c r="C6285" s="3"/>
      <c r="D6285" s="3"/>
      <c r="E6285" s="3"/>
      <c r="F6285" s="3"/>
      <c r="G6285" s="3"/>
      <c r="H6285" s="11"/>
      <c r="I6285" s="12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  <c r="AA6285" s="3"/>
      <c r="AB6285" s="3"/>
      <c r="AC6285" s="3"/>
      <c r="AD6285" s="3"/>
      <c r="AE6285" s="3"/>
      <c r="AF6285" s="3"/>
      <c r="AG6285" s="3"/>
      <c r="AH6285" s="3"/>
    </row>
    <row r="6286" spans="1:34" ht="14.25" customHeight="1" x14ac:dyDescent="0.25">
      <c r="A6286" s="3"/>
      <c r="B6286" s="3"/>
      <c r="C6286" s="3"/>
      <c r="D6286" s="3"/>
      <c r="E6286" s="3"/>
      <c r="F6286" s="3"/>
      <c r="G6286" s="3"/>
      <c r="H6286" s="11"/>
      <c r="I6286" s="12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  <c r="AA6286" s="3"/>
      <c r="AB6286" s="3"/>
      <c r="AC6286" s="3"/>
      <c r="AD6286" s="3"/>
      <c r="AE6286" s="3"/>
      <c r="AF6286" s="3"/>
      <c r="AG6286" s="3"/>
      <c r="AH6286" s="3"/>
    </row>
    <row r="6287" spans="1:34" ht="14.25" customHeight="1" x14ac:dyDescent="0.25">
      <c r="A6287" s="3"/>
      <c r="B6287" s="3"/>
      <c r="C6287" s="3"/>
      <c r="D6287" s="3"/>
      <c r="E6287" s="3"/>
      <c r="F6287" s="3"/>
      <c r="G6287" s="3"/>
      <c r="H6287" s="11"/>
      <c r="I6287" s="12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  <c r="AA6287" s="3"/>
      <c r="AB6287" s="3"/>
      <c r="AC6287" s="3"/>
      <c r="AD6287" s="3"/>
      <c r="AE6287" s="3"/>
      <c r="AF6287" s="3"/>
      <c r="AG6287" s="3"/>
      <c r="AH6287" s="3"/>
    </row>
    <row r="6288" spans="1:34" ht="14.25" customHeight="1" x14ac:dyDescent="0.25">
      <c r="A6288" s="3"/>
      <c r="B6288" s="3"/>
      <c r="C6288" s="3"/>
      <c r="D6288" s="3"/>
      <c r="E6288" s="3"/>
      <c r="F6288" s="3"/>
      <c r="G6288" s="3"/>
      <c r="H6288" s="11"/>
      <c r="I6288" s="12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  <c r="AA6288" s="3"/>
      <c r="AB6288" s="3"/>
      <c r="AC6288" s="3"/>
      <c r="AD6288" s="3"/>
      <c r="AE6288" s="3"/>
      <c r="AF6288" s="3"/>
      <c r="AG6288" s="3"/>
      <c r="AH6288" s="3"/>
    </row>
    <row r="6289" spans="1:34" ht="14.25" customHeight="1" x14ac:dyDescent="0.25">
      <c r="A6289" s="3"/>
      <c r="B6289" s="3"/>
      <c r="C6289" s="3"/>
      <c r="D6289" s="3"/>
      <c r="E6289" s="3"/>
      <c r="F6289" s="3"/>
      <c r="G6289" s="3"/>
      <c r="H6289" s="11"/>
      <c r="I6289" s="12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  <c r="AA6289" s="3"/>
      <c r="AB6289" s="3"/>
      <c r="AC6289" s="3"/>
      <c r="AD6289" s="3"/>
      <c r="AE6289" s="3"/>
      <c r="AF6289" s="3"/>
      <c r="AG6289" s="3"/>
      <c r="AH6289" s="3"/>
    </row>
    <row r="6290" spans="1:34" ht="14.25" customHeight="1" x14ac:dyDescent="0.25">
      <c r="A6290" s="3"/>
      <c r="B6290" s="3"/>
      <c r="C6290" s="3"/>
      <c r="D6290" s="3"/>
      <c r="E6290" s="3"/>
      <c r="F6290" s="3"/>
      <c r="G6290" s="3"/>
      <c r="H6290" s="11"/>
      <c r="I6290" s="12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  <c r="AA6290" s="3"/>
      <c r="AB6290" s="3"/>
      <c r="AC6290" s="3"/>
      <c r="AD6290" s="3"/>
      <c r="AE6290" s="3"/>
      <c r="AF6290" s="3"/>
      <c r="AG6290" s="3"/>
      <c r="AH6290" s="3"/>
    </row>
    <row r="6291" spans="1:34" ht="14.25" customHeight="1" x14ac:dyDescent="0.25">
      <c r="A6291" s="3"/>
      <c r="B6291" s="3"/>
      <c r="C6291" s="3"/>
      <c r="D6291" s="3"/>
      <c r="E6291" s="3"/>
      <c r="F6291" s="3"/>
      <c r="G6291" s="3"/>
      <c r="H6291" s="11"/>
      <c r="I6291" s="12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  <c r="AA6291" s="3"/>
      <c r="AB6291" s="3"/>
      <c r="AC6291" s="3"/>
      <c r="AD6291" s="3"/>
      <c r="AE6291" s="3"/>
      <c r="AF6291" s="3"/>
      <c r="AG6291" s="3"/>
      <c r="AH6291" s="3"/>
    </row>
    <row r="6292" spans="1:34" ht="14.25" customHeight="1" x14ac:dyDescent="0.25">
      <c r="A6292" s="3"/>
      <c r="B6292" s="3"/>
      <c r="C6292" s="3"/>
      <c r="D6292" s="3"/>
      <c r="E6292" s="3"/>
      <c r="F6292" s="3"/>
      <c r="G6292" s="3"/>
      <c r="H6292" s="11"/>
      <c r="I6292" s="12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  <c r="AA6292" s="3"/>
      <c r="AB6292" s="3"/>
      <c r="AC6292" s="3"/>
      <c r="AD6292" s="3"/>
      <c r="AE6292" s="3"/>
      <c r="AF6292" s="3"/>
      <c r="AG6292" s="3"/>
      <c r="AH6292" s="3"/>
    </row>
    <row r="6293" spans="1:34" ht="14.25" customHeight="1" x14ac:dyDescent="0.25">
      <c r="A6293" s="3"/>
      <c r="B6293" s="3"/>
      <c r="C6293" s="3"/>
      <c r="D6293" s="3"/>
      <c r="E6293" s="3"/>
      <c r="F6293" s="3"/>
      <c r="G6293" s="3"/>
      <c r="H6293" s="11"/>
      <c r="I6293" s="12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  <c r="AA6293" s="3"/>
      <c r="AB6293" s="3"/>
      <c r="AC6293" s="3"/>
      <c r="AD6293" s="3"/>
      <c r="AE6293" s="3"/>
      <c r="AF6293" s="3"/>
      <c r="AG6293" s="3"/>
      <c r="AH6293" s="3"/>
    </row>
    <row r="6294" spans="1:34" ht="14.25" customHeight="1" x14ac:dyDescent="0.25">
      <c r="A6294" s="3"/>
      <c r="B6294" s="3"/>
      <c r="C6294" s="3"/>
      <c r="D6294" s="3"/>
      <c r="E6294" s="3"/>
      <c r="F6294" s="3"/>
      <c r="G6294" s="3"/>
      <c r="H6294" s="11"/>
      <c r="I6294" s="12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  <c r="AA6294" s="3"/>
      <c r="AB6294" s="3"/>
      <c r="AC6294" s="3"/>
      <c r="AD6294" s="3"/>
      <c r="AE6294" s="3"/>
      <c r="AF6294" s="3"/>
      <c r="AG6294" s="3"/>
      <c r="AH6294" s="3"/>
    </row>
    <row r="6295" spans="1:34" ht="14.25" customHeight="1" x14ac:dyDescent="0.25">
      <c r="A6295" s="3"/>
      <c r="B6295" s="3"/>
      <c r="C6295" s="3"/>
      <c r="D6295" s="3"/>
      <c r="E6295" s="3"/>
      <c r="F6295" s="3"/>
      <c r="G6295" s="3"/>
      <c r="H6295" s="11"/>
      <c r="I6295" s="12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  <c r="AA6295" s="3"/>
      <c r="AB6295" s="3"/>
      <c r="AC6295" s="3"/>
      <c r="AD6295" s="3"/>
      <c r="AE6295" s="3"/>
      <c r="AF6295" s="3"/>
      <c r="AG6295" s="3"/>
      <c r="AH6295" s="3"/>
    </row>
    <row r="6296" spans="1:34" ht="14.25" customHeight="1" x14ac:dyDescent="0.25">
      <c r="A6296" s="3"/>
      <c r="B6296" s="3"/>
      <c r="C6296" s="3"/>
      <c r="D6296" s="3"/>
      <c r="E6296" s="3"/>
      <c r="F6296" s="3"/>
      <c r="G6296" s="3"/>
      <c r="H6296" s="11"/>
      <c r="I6296" s="12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  <c r="AA6296" s="3"/>
      <c r="AB6296" s="3"/>
      <c r="AC6296" s="3"/>
      <c r="AD6296" s="3"/>
      <c r="AE6296" s="3"/>
      <c r="AF6296" s="3"/>
      <c r="AG6296" s="3"/>
      <c r="AH6296" s="3"/>
    </row>
    <row r="6297" spans="1:34" ht="14.25" customHeight="1" x14ac:dyDescent="0.25">
      <c r="A6297" s="3"/>
      <c r="B6297" s="3"/>
      <c r="C6297" s="3"/>
      <c r="D6297" s="3"/>
      <c r="E6297" s="3"/>
      <c r="F6297" s="3"/>
      <c r="G6297" s="3"/>
      <c r="H6297" s="11"/>
      <c r="I6297" s="12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  <c r="AA6297" s="3"/>
      <c r="AB6297" s="3"/>
      <c r="AC6297" s="3"/>
      <c r="AD6297" s="3"/>
      <c r="AE6297" s="3"/>
      <c r="AF6297" s="3"/>
      <c r="AG6297" s="3"/>
      <c r="AH6297" s="3"/>
    </row>
    <row r="6298" spans="1:34" ht="14.25" customHeight="1" x14ac:dyDescent="0.25">
      <c r="A6298" s="3"/>
      <c r="B6298" s="3"/>
      <c r="C6298" s="3"/>
      <c r="D6298" s="3"/>
      <c r="E6298" s="3"/>
      <c r="F6298" s="3"/>
      <c r="G6298" s="3"/>
      <c r="H6298" s="11"/>
      <c r="I6298" s="12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  <c r="AA6298" s="3"/>
      <c r="AB6298" s="3"/>
      <c r="AC6298" s="3"/>
      <c r="AD6298" s="3"/>
      <c r="AE6298" s="3"/>
      <c r="AF6298" s="3"/>
      <c r="AG6298" s="3"/>
      <c r="AH6298" s="3"/>
    </row>
    <row r="6299" spans="1:34" ht="14.25" customHeight="1" x14ac:dyDescent="0.25">
      <c r="A6299" s="3"/>
      <c r="B6299" s="3"/>
      <c r="C6299" s="3"/>
      <c r="D6299" s="3"/>
      <c r="E6299" s="3"/>
      <c r="F6299" s="3"/>
      <c r="G6299" s="3"/>
      <c r="H6299" s="11"/>
      <c r="I6299" s="12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  <c r="AA6299" s="3"/>
      <c r="AB6299" s="3"/>
      <c r="AC6299" s="3"/>
      <c r="AD6299" s="3"/>
      <c r="AE6299" s="3"/>
      <c r="AF6299" s="3"/>
      <c r="AG6299" s="3"/>
      <c r="AH6299" s="3"/>
    </row>
    <row r="6300" spans="1:34" ht="14.25" customHeight="1" x14ac:dyDescent="0.25">
      <c r="A6300" s="3"/>
      <c r="B6300" s="3"/>
      <c r="C6300" s="3"/>
      <c r="D6300" s="3"/>
      <c r="E6300" s="3"/>
      <c r="F6300" s="3"/>
      <c r="G6300" s="3"/>
      <c r="H6300" s="11"/>
      <c r="I6300" s="12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  <c r="AA6300" s="3"/>
      <c r="AB6300" s="3"/>
      <c r="AC6300" s="3"/>
      <c r="AD6300" s="3"/>
      <c r="AE6300" s="3"/>
      <c r="AF6300" s="3"/>
      <c r="AG6300" s="3"/>
      <c r="AH6300" s="3"/>
    </row>
    <row r="6301" spans="1:34" ht="14.25" customHeight="1" x14ac:dyDescent="0.25">
      <c r="A6301" s="3"/>
      <c r="B6301" s="3"/>
      <c r="C6301" s="3"/>
      <c r="D6301" s="3"/>
      <c r="E6301" s="3"/>
      <c r="F6301" s="3"/>
      <c r="G6301" s="3"/>
      <c r="H6301" s="11"/>
      <c r="I6301" s="12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  <c r="AA6301" s="3"/>
      <c r="AB6301" s="3"/>
      <c r="AC6301" s="3"/>
      <c r="AD6301" s="3"/>
      <c r="AE6301" s="3"/>
      <c r="AF6301" s="3"/>
      <c r="AG6301" s="3"/>
      <c r="AH6301" s="3"/>
    </row>
    <row r="6302" spans="1:34" ht="14.25" customHeight="1" x14ac:dyDescent="0.25">
      <c r="A6302" s="3"/>
      <c r="B6302" s="3"/>
      <c r="C6302" s="3"/>
      <c r="D6302" s="3"/>
      <c r="E6302" s="3"/>
      <c r="F6302" s="3"/>
      <c r="G6302" s="3"/>
      <c r="H6302" s="11"/>
      <c r="I6302" s="12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  <c r="AA6302" s="3"/>
      <c r="AB6302" s="3"/>
      <c r="AC6302" s="3"/>
      <c r="AD6302" s="3"/>
      <c r="AE6302" s="3"/>
      <c r="AF6302" s="3"/>
      <c r="AG6302" s="3"/>
      <c r="AH6302" s="3"/>
    </row>
    <row r="6303" spans="1:34" ht="14.25" customHeight="1" x14ac:dyDescent="0.25">
      <c r="A6303" s="3"/>
      <c r="B6303" s="3"/>
      <c r="C6303" s="3"/>
      <c r="D6303" s="3"/>
      <c r="E6303" s="3"/>
      <c r="F6303" s="3"/>
      <c r="G6303" s="3"/>
      <c r="H6303" s="11"/>
      <c r="I6303" s="12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  <c r="AA6303" s="3"/>
      <c r="AB6303" s="3"/>
      <c r="AC6303" s="3"/>
      <c r="AD6303" s="3"/>
      <c r="AE6303" s="3"/>
      <c r="AF6303" s="3"/>
      <c r="AG6303" s="3"/>
      <c r="AH6303" s="3"/>
    </row>
    <row r="6304" spans="1:34" ht="14.25" customHeight="1" x14ac:dyDescent="0.25">
      <c r="A6304" s="3"/>
      <c r="B6304" s="3"/>
      <c r="C6304" s="3"/>
      <c r="D6304" s="3"/>
      <c r="E6304" s="3"/>
      <c r="F6304" s="3"/>
      <c r="G6304" s="3"/>
      <c r="H6304" s="11"/>
      <c r="I6304" s="12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  <c r="AA6304" s="3"/>
      <c r="AB6304" s="3"/>
      <c r="AC6304" s="3"/>
      <c r="AD6304" s="3"/>
      <c r="AE6304" s="3"/>
      <c r="AF6304" s="3"/>
      <c r="AG6304" s="3"/>
      <c r="AH6304" s="3"/>
    </row>
    <row r="6305" spans="1:34" ht="14.25" customHeight="1" x14ac:dyDescent="0.25">
      <c r="A6305" s="3"/>
      <c r="B6305" s="3"/>
      <c r="C6305" s="3"/>
      <c r="D6305" s="3"/>
      <c r="E6305" s="3"/>
      <c r="F6305" s="3"/>
      <c r="G6305" s="3"/>
      <c r="H6305" s="11"/>
      <c r="I6305" s="12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  <c r="AA6305" s="3"/>
      <c r="AB6305" s="3"/>
      <c r="AC6305" s="3"/>
      <c r="AD6305" s="3"/>
      <c r="AE6305" s="3"/>
      <c r="AF6305" s="3"/>
      <c r="AG6305" s="3"/>
      <c r="AH6305" s="3"/>
    </row>
    <row r="6306" spans="1:34" ht="14.25" customHeight="1" x14ac:dyDescent="0.25">
      <c r="A6306" s="3"/>
      <c r="B6306" s="3"/>
      <c r="C6306" s="3"/>
      <c r="D6306" s="3"/>
      <c r="E6306" s="3"/>
      <c r="F6306" s="3"/>
      <c r="G6306" s="3"/>
      <c r="H6306" s="11"/>
      <c r="I6306" s="12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  <c r="AA6306" s="3"/>
      <c r="AB6306" s="3"/>
      <c r="AC6306" s="3"/>
      <c r="AD6306" s="3"/>
      <c r="AE6306" s="3"/>
      <c r="AF6306" s="3"/>
      <c r="AG6306" s="3"/>
      <c r="AH6306" s="3"/>
    </row>
    <row r="6307" spans="1:34" ht="14.25" customHeight="1" x14ac:dyDescent="0.25">
      <c r="A6307" s="3"/>
      <c r="B6307" s="3"/>
      <c r="C6307" s="3"/>
      <c r="D6307" s="3"/>
      <c r="E6307" s="3"/>
      <c r="F6307" s="3"/>
      <c r="G6307" s="3"/>
      <c r="H6307" s="11"/>
      <c r="I6307" s="12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  <c r="AA6307" s="3"/>
      <c r="AB6307" s="3"/>
      <c r="AC6307" s="3"/>
      <c r="AD6307" s="3"/>
      <c r="AE6307" s="3"/>
      <c r="AF6307" s="3"/>
      <c r="AG6307" s="3"/>
      <c r="AH6307" s="3"/>
    </row>
    <row r="6308" spans="1:34" ht="14.25" customHeight="1" x14ac:dyDescent="0.25">
      <c r="A6308" s="3"/>
      <c r="B6308" s="3"/>
      <c r="C6308" s="3"/>
      <c r="D6308" s="3"/>
      <c r="E6308" s="3"/>
      <c r="F6308" s="3"/>
      <c r="G6308" s="3"/>
      <c r="H6308" s="11"/>
      <c r="I6308" s="12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  <c r="AA6308" s="3"/>
      <c r="AB6308" s="3"/>
      <c r="AC6308" s="3"/>
      <c r="AD6308" s="3"/>
      <c r="AE6308" s="3"/>
      <c r="AF6308" s="3"/>
      <c r="AG6308" s="3"/>
      <c r="AH6308" s="3"/>
    </row>
    <row r="6309" spans="1:34" ht="14.25" customHeight="1" x14ac:dyDescent="0.25">
      <c r="A6309" s="3"/>
      <c r="B6309" s="3"/>
      <c r="C6309" s="3"/>
      <c r="D6309" s="3"/>
      <c r="E6309" s="3"/>
      <c r="F6309" s="3"/>
      <c r="G6309" s="3"/>
      <c r="H6309" s="11"/>
      <c r="I6309" s="12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  <c r="AA6309" s="3"/>
      <c r="AB6309" s="3"/>
      <c r="AC6309" s="3"/>
      <c r="AD6309" s="3"/>
      <c r="AE6309" s="3"/>
      <c r="AF6309" s="3"/>
      <c r="AG6309" s="3"/>
      <c r="AH6309" s="3"/>
    </row>
    <row r="6310" spans="1:34" ht="14.25" customHeight="1" x14ac:dyDescent="0.25">
      <c r="A6310" s="3"/>
      <c r="B6310" s="3"/>
      <c r="C6310" s="3"/>
      <c r="D6310" s="3"/>
      <c r="E6310" s="3"/>
      <c r="F6310" s="3"/>
      <c r="G6310" s="3"/>
      <c r="H6310" s="11"/>
      <c r="I6310" s="12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  <c r="AA6310" s="3"/>
      <c r="AB6310" s="3"/>
      <c r="AC6310" s="3"/>
      <c r="AD6310" s="3"/>
      <c r="AE6310" s="3"/>
      <c r="AF6310" s="3"/>
      <c r="AG6310" s="3"/>
      <c r="AH6310" s="3"/>
    </row>
    <row r="6311" spans="1:34" ht="14.25" customHeight="1" x14ac:dyDescent="0.25">
      <c r="A6311" s="3"/>
      <c r="B6311" s="3"/>
      <c r="C6311" s="3"/>
      <c r="D6311" s="3"/>
      <c r="E6311" s="3"/>
      <c r="F6311" s="3"/>
      <c r="G6311" s="3"/>
      <c r="H6311" s="11"/>
      <c r="I6311" s="12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  <c r="AA6311" s="3"/>
      <c r="AB6311" s="3"/>
      <c r="AC6311" s="3"/>
      <c r="AD6311" s="3"/>
      <c r="AE6311" s="3"/>
      <c r="AF6311" s="3"/>
      <c r="AG6311" s="3"/>
      <c r="AH6311" s="3"/>
    </row>
    <row r="6312" spans="1:34" ht="14.25" customHeight="1" x14ac:dyDescent="0.25">
      <c r="A6312" s="3"/>
      <c r="B6312" s="3"/>
      <c r="C6312" s="3"/>
      <c r="D6312" s="3"/>
      <c r="E6312" s="3"/>
      <c r="F6312" s="3"/>
      <c r="G6312" s="3"/>
      <c r="H6312" s="11"/>
      <c r="I6312" s="12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  <c r="AA6312" s="3"/>
      <c r="AB6312" s="3"/>
      <c r="AC6312" s="3"/>
      <c r="AD6312" s="3"/>
      <c r="AE6312" s="3"/>
      <c r="AF6312" s="3"/>
      <c r="AG6312" s="3"/>
      <c r="AH6312" s="3"/>
    </row>
    <row r="6313" spans="1:34" ht="14.25" customHeight="1" x14ac:dyDescent="0.25">
      <c r="A6313" s="3"/>
      <c r="B6313" s="3"/>
      <c r="C6313" s="3"/>
      <c r="D6313" s="3"/>
      <c r="E6313" s="3"/>
      <c r="F6313" s="3"/>
      <c r="G6313" s="3"/>
      <c r="H6313" s="11"/>
      <c r="I6313" s="12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  <c r="AA6313" s="3"/>
      <c r="AB6313" s="3"/>
      <c r="AC6313" s="3"/>
      <c r="AD6313" s="3"/>
      <c r="AE6313" s="3"/>
      <c r="AF6313" s="3"/>
      <c r="AG6313" s="3"/>
      <c r="AH6313" s="3"/>
    </row>
    <row r="6314" spans="1:34" ht="14.25" customHeight="1" x14ac:dyDescent="0.25">
      <c r="A6314" s="3"/>
      <c r="B6314" s="3"/>
      <c r="C6314" s="3"/>
      <c r="D6314" s="3"/>
      <c r="E6314" s="3"/>
      <c r="F6314" s="3"/>
      <c r="G6314" s="3"/>
      <c r="H6314" s="11"/>
      <c r="I6314" s="12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  <c r="AA6314" s="3"/>
      <c r="AB6314" s="3"/>
      <c r="AC6314" s="3"/>
      <c r="AD6314" s="3"/>
      <c r="AE6314" s="3"/>
      <c r="AF6314" s="3"/>
      <c r="AG6314" s="3"/>
      <c r="AH6314" s="3"/>
    </row>
    <row r="6315" spans="1:34" ht="14.25" customHeight="1" x14ac:dyDescent="0.25">
      <c r="A6315" s="3"/>
      <c r="B6315" s="3"/>
      <c r="C6315" s="3"/>
      <c r="D6315" s="3"/>
      <c r="E6315" s="3"/>
      <c r="F6315" s="3"/>
      <c r="G6315" s="3"/>
      <c r="H6315" s="11"/>
      <c r="I6315" s="12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  <c r="AA6315" s="3"/>
      <c r="AB6315" s="3"/>
      <c r="AC6315" s="3"/>
      <c r="AD6315" s="3"/>
      <c r="AE6315" s="3"/>
      <c r="AF6315" s="3"/>
      <c r="AG6315" s="3"/>
      <c r="AH6315" s="3"/>
    </row>
    <row r="6316" spans="1:34" ht="14.25" customHeight="1" x14ac:dyDescent="0.25">
      <c r="A6316" s="3"/>
      <c r="B6316" s="3"/>
      <c r="C6316" s="3"/>
      <c r="D6316" s="3"/>
      <c r="E6316" s="3"/>
      <c r="F6316" s="3"/>
      <c r="G6316" s="3"/>
      <c r="H6316" s="11"/>
      <c r="I6316" s="12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  <c r="AA6316" s="3"/>
      <c r="AB6316" s="3"/>
      <c r="AC6316" s="3"/>
      <c r="AD6316" s="3"/>
      <c r="AE6316" s="3"/>
      <c r="AF6316" s="3"/>
      <c r="AG6316" s="3"/>
      <c r="AH6316" s="3"/>
    </row>
    <row r="6317" spans="1:34" ht="14.25" customHeight="1" x14ac:dyDescent="0.25">
      <c r="A6317" s="3"/>
      <c r="B6317" s="3"/>
      <c r="C6317" s="3"/>
      <c r="D6317" s="3"/>
      <c r="E6317" s="3"/>
      <c r="F6317" s="3"/>
      <c r="G6317" s="3"/>
      <c r="H6317" s="11"/>
      <c r="I6317" s="12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  <c r="AA6317" s="3"/>
      <c r="AB6317" s="3"/>
      <c r="AC6317" s="3"/>
      <c r="AD6317" s="3"/>
      <c r="AE6317" s="3"/>
      <c r="AF6317" s="3"/>
      <c r="AG6317" s="3"/>
      <c r="AH6317" s="3"/>
    </row>
    <row r="6318" spans="1:34" ht="14.25" customHeight="1" x14ac:dyDescent="0.25">
      <c r="A6318" s="3"/>
      <c r="B6318" s="3"/>
      <c r="C6318" s="3"/>
      <c r="D6318" s="3"/>
      <c r="E6318" s="3"/>
      <c r="F6318" s="3"/>
      <c r="G6318" s="3"/>
      <c r="H6318" s="11"/>
      <c r="I6318" s="12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  <c r="AA6318" s="3"/>
      <c r="AB6318" s="3"/>
      <c r="AC6318" s="3"/>
      <c r="AD6318" s="3"/>
      <c r="AE6318" s="3"/>
      <c r="AF6318" s="3"/>
      <c r="AG6318" s="3"/>
      <c r="AH6318" s="3"/>
    </row>
    <row r="6319" spans="1:34" ht="14.25" customHeight="1" x14ac:dyDescent="0.25">
      <c r="A6319" s="3"/>
      <c r="B6319" s="3"/>
      <c r="C6319" s="3"/>
      <c r="D6319" s="3"/>
      <c r="E6319" s="3"/>
      <c r="F6319" s="3"/>
      <c r="G6319" s="3"/>
      <c r="H6319" s="11"/>
      <c r="I6319" s="12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  <c r="AA6319" s="3"/>
      <c r="AB6319" s="3"/>
      <c r="AC6319" s="3"/>
      <c r="AD6319" s="3"/>
      <c r="AE6319" s="3"/>
      <c r="AF6319" s="3"/>
      <c r="AG6319" s="3"/>
      <c r="AH6319" s="3"/>
    </row>
    <row r="6320" spans="1:34" ht="14.25" customHeight="1" x14ac:dyDescent="0.25">
      <c r="A6320" s="3"/>
      <c r="B6320" s="3"/>
      <c r="C6320" s="3"/>
      <c r="D6320" s="3"/>
      <c r="E6320" s="3"/>
      <c r="F6320" s="3"/>
      <c r="G6320" s="3"/>
      <c r="H6320" s="11"/>
      <c r="I6320" s="12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  <c r="AA6320" s="3"/>
      <c r="AB6320" s="3"/>
      <c r="AC6320" s="3"/>
      <c r="AD6320" s="3"/>
      <c r="AE6320" s="3"/>
      <c r="AF6320" s="3"/>
      <c r="AG6320" s="3"/>
      <c r="AH6320" s="3"/>
    </row>
    <row r="6321" spans="1:34" ht="14.25" customHeight="1" x14ac:dyDescent="0.25">
      <c r="A6321" s="3"/>
      <c r="B6321" s="3"/>
      <c r="C6321" s="3"/>
      <c r="D6321" s="3"/>
      <c r="E6321" s="3"/>
      <c r="F6321" s="3"/>
      <c r="G6321" s="3"/>
      <c r="H6321" s="11"/>
      <c r="I6321" s="12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  <c r="AA6321" s="3"/>
      <c r="AB6321" s="3"/>
      <c r="AC6321" s="3"/>
      <c r="AD6321" s="3"/>
      <c r="AE6321" s="3"/>
      <c r="AF6321" s="3"/>
      <c r="AG6321" s="3"/>
      <c r="AH6321" s="3"/>
    </row>
    <row r="6322" spans="1:34" ht="14.25" customHeight="1" x14ac:dyDescent="0.25">
      <c r="A6322" s="3"/>
      <c r="B6322" s="3"/>
      <c r="C6322" s="3"/>
      <c r="D6322" s="3"/>
      <c r="E6322" s="3"/>
      <c r="F6322" s="3"/>
      <c r="G6322" s="3"/>
      <c r="H6322" s="11"/>
      <c r="I6322" s="12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  <c r="AA6322" s="3"/>
      <c r="AB6322" s="3"/>
      <c r="AC6322" s="3"/>
      <c r="AD6322" s="3"/>
      <c r="AE6322" s="3"/>
      <c r="AF6322" s="3"/>
      <c r="AG6322" s="3"/>
      <c r="AH6322" s="3"/>
    </row>
    <row r="6323" spans="1:34" ht="14.25" customHeight="1" x14ac:dyDescent="0.25">
      <c r="A6323" s="3"/>
      <c r="B6323" s="3"/>
      <c r="C6323" s="3"/>
      <c r="D6323" s="3"/>
      <c r="E6323" s="3"/>
      <c r="F6323" s="3"/>
      <c r="G6323" s="3"/>
      <c r="H6323" s="11"/>
      <c r="I6323" s="12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  <c r="AA6323" s="3"/>
      <c r="AB6323" s="3"/>
      <c r="AC6323" s="3"/>
      <c r="AD6323" s="3"/>
      <c r="AE6323" s="3"/>
      <c r="AF6323" s="3"/>
      <c r="AG6323" s="3"/>
      <c r="AH6323" s="3"/>
    </row>
    <row r="6324" spans="1:34" ht="14.25" customHeight="1" x14ac:dyDescent="0.25">
      <c r="A6324" s="3"/>
      <c r="B6324" s="3"/>
      <c r="C6324" s="3"/>
      <c r="D6324" s="3"/>
      <c r="E6324" s="3"/>
      <c r="F6324" s="3"/>
      <c r="G6324" s="3"/>
      <c r="H6324" s="11"/>
      <c r="I6324" s="12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  <c r="AA6324" s="3"/>
      <c r="AB6324" s="3"/>
      <c r="AC6324" s="3"/>
      <c r="AD6324" s="3"/>
      <c r="AE6324" s="3"/>
      <c r="AF6324" s="3"/>
      <c r="AG6324" s="3"/>
      <c r="AH6324" s="3"/>
    </row>
    <row r="6325" spans="1:34" ht="14.25" customHeight="1" x14ac:dyDescent="0.25">
      <c r="A6325" s="3"/>
      <c r="B6325" s="3"/>
      <c r="C6325" s="3"/>
      <c r="D6325" s="3"/>
      <c r="E6325" s="3"/>
      <c r="F6325" s="3"/>
      <c r="G6325" s="3"/>
      <c r="H6325" s="11"/>
      <c r="I6325" s="12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  <c r="AA6325" s="3"/>
      <c r="AB6325" s="3"/>
      <c r="AC6325" s="3"/>
      <c r="AD6325" s="3"/>
      <c r="AE6325" s="3"/>
      <c r="AF6325" s="3"/>
      <c r="AG6325" s="3"/>
      <c r="AH6325" s="3"/>
    </row>
    <row r="6326" spans="1:34" ht="14.25" customHeight="1" x14ac:dyDescent="0.25">
      <c r="A6326" s="3"/>
      <c r="B6326" s="3"/>
      <c r="C6326" s="3"/>
      <c r="D6326" s="3"/>
      <c r="E6326" s="3"/>
      <c r="F6326" s="3"/>
      <c r="G6326" s="3"/>
      <c r="H6326" s="11"/>
      <c r="I6326" s="12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  <c r="AA6326" s="3"/>
      <c r="AB6326" s="3"/>
      <c r="AC6326" s="3"/>
      <c r="AD6326" s="3"/>
      <c r="AE6326" s="3"/>
      <c r="AF6326" s="3"/>
      <c r="AG6326" s="3"/>
      <c r="AH6326" s="3"/>
    </row>
    <row r="6327" spans="1:34" ht="14.25" customHeight="1" x14ac:dyDescent="0.25">
      <c r="A6327" s="3"/>
      <c r="B6327" s="3"/>
      <c r="C6327" s="3"/>
      <c r="D6327" s="3"/>
      <c r="E6327" s="3"/>
      <c r="F6327" s="3"/>
      <c r="G6327" s="3"/>
      <c r="H6327" s="11"/>
      <c r="I6327" s="12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  <c r="AA6327" s="3"/>
      <c r="AB6327" s="3"/>
      <c r="AC6327" s="3"/>
      <c r="AD6327" s="3"/>
      <c r="AE6327" s="3"/>
      <c r="AF6327" s="3"/>
      <c r="AG6327" s="3"/>
      <c r="AH6327" s="3"/>
    </row>
    <row r="6328" spans="1:34" ht="14.25" customHeight="1" x14ac:dyDescent="0.25">
      <c r="A6328" s="3"/>
      <c r="B6328" s="3"/>
      <c r="C6328" s="3"/>
      <c r="D6328" s="3"/>
      <c r="E6328" s="3"/>
      <c r="F6328" s="3"/>
      <c r="G6328" s="14"/>
      <c r="H6328" s="11"/>
      <c r="I6328" s="12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  <c r="AA6328" s="3"/>
      <c r="AB6328" s="3"/>
      <c r="AC6328" s="3"/>
      <c r="AD6328" s="3"/>
      <c r="AE6328" s="3"/>
      <c r="AF6328" s="3"/>
      <c r="AG6328" s="3"/>
      <c r="AH6328" s="3"/>
    </row>
    <row r="6329" spans="1:34" ht="13.5" customHeight="1" x14ac:dyDescent="0.25">
      <c r="A6329" s="3"/>
      <c r="B6329" s="3"/>
      <c r="C6329" s="3"/>
      <c r="D6329" s="3"/>
      <c r="E6329" s="3"/>
      <c r="F6329" s="3"/>
      <c r="G6329" s="14"/>
      <c r="H6329" s="11"/>
      <c r="I6329" s="12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  <c r="AA6329" s="3"/>
      <c r="AB6329" s="3"/>
      <c r="AC6329" s="3"/>
      <c r="AD6329" s="3"/>
      <c r="AE6329" s="3"/>
      <c r="AF6329" s="3"/>
      <c r="AG6329" s="3"/>
      <c r="AH6329" s="3"/>
    </row>
    <row r="6330" spans="1:34" ht="14.25" customHeight="1" x14ac:dyDescent="0.25">
      <c r="A6330" s="3"/>
      <c r="B6330" s="3"/>
      <c r="C6330" s="3"/>
      <c r="D6330" s="3"/>
      <c r="E6330" s="3"/>
      <c r="F6330" s="3"/>
      <c r="G6330" s="3"/>
      <c r="H6330" s="11"/>
      <c r="I6330" s="12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  <c r="AA6330" s="3"/>
      <c r="AB6330" s="3"/>
      <c r="AC6330" s="3"/>
      <c r="AD6330" s="3"/>
      <c r="AE6330" s="3"/>
      <c r="AF6330" s="3"/>
      <c r="AG6330" s="3"/>
      <c r="AH6330" s="3"/>
    </row>
    <row r="6331" spans="1:34" ht="14.25" customHeight="1" x14ac:dyDescent="0.25">
      <c r="A6331" s="3"/>
      <c r="B6331" s="3"/>
      <c r="C6331" s="3"/>
      <c r="D6331" s="3"/>
      <c r="E6331" s="3"/>
      <c r="F6331" s="3"/>
      <c r="G6331" s="3"/>
      <c r="H6331" s="11"/>
      <c r="I6331" s="12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  <c r="AA6331" s="3"/>
      <c r="AB6331" s="3"/>
      <c r="AC6331" s="3"/>
      <c r="AD6331" s="3"/>
      <c r="AE6331" s="3"/>
      <c r="AF6331" s="3"/>
      <c r="AG6331" s="3"/>
      <c r="AH6331" s="3"/>
    </row>
    <row r="6332" spans="1:34" ht="14.25" customHeight="1" x14ac:dyDescent="0.25">
      <c r="A6332" s="3"/>
      <c r="B6332" s="3"/>
      <c r="C6332" s="3"/>
      <c r="D6332" s="3"/>
      <c r="E6332" s="3"/>
      <c r="F6332" s="3"/>
      <c r="G6332" s="3"/>
      <c r="H6332" s="11"/>
      <c r="I6332" s="12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  <c r="AA6332" s="3"/>
      <c r="AB6332" s="3"/>
      <c r="AC6332" s="3"/>
      <c r="AD6332" s="3"/>
      <c r="AE6332" s="3"/>
      <c r="AF6332" s="3"/>
      <c r="AG6332" s="3"/>
      <c r="AH6332" s="3"/>
    </row>
    <row r="6333" spans="1:34" ht="14.25" customHeight="1" x14ac:dyDescent="0.25">
      <c r="A6333" s="3"/>
      <c r="B6333" s="3"/>
      <c r="C6333" s="3"/>
      <c r="D6333" s="3"/>
      <c r="E6333" s="3"/>
      <c r="F6333" s="3"/>
      <c r="G6333" s="3"/>
      <c r="H6333" s="11"/>
      <c r="I6333" s="12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  <c r="AA6333" s="3"/>
      <c r="AB6333" s="3"/>
      <c r="AC6333" s="3"/>
      <c r="AD6333" s="3"/>
      <c r="AE6333" s="3"/>
      <c r="AF6333" s="3"/>
      <c r="AG6333" s="3"/>
      <c r="AH6333" s="3"/>
    </row>
    <row r="6334" spans="1:34" ht="14.25" customHeight="1" x14ac:dyDescent="0.25">
      <c r="A6334" s="3"/>
      <c r="B6334" s="3"/>
      <c r="C6334" s="3"/>
      <c r="D6334" s="3"/>
      <c r="E6334" s="3"/>
      <c r="F6334" s="3"/>
      <c r="G6334" s="3"/>
      <c r="H6334" s="11"/>
      <c r="I6334" s="12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  <c r="AA6334" s="3"/>
      <c r="AB6334" s="3"/>
      <c r="AC6334" s="3"/>
      <c r="AD6334" s="3"/>
      <c r="AE6334" s="3"/>
      <c r="AF6334" s="3"/>
      <c r="AG6334" s="3"/>
      <c r="AH6334" s="3"/>
    </row>
    <row r="6335" spans="1:34" ht="14.25" customHeight="1" x14ac:dyDescent="0.25">
      <c r="A6335" s="3"/>
      <c r="B6335" s="3"/>
      <c r="C6335" s="3"/>
      <c r="D6335" s="3"/>
      <c r="E6335" s="3"/>
      <c r="F6335" s="3"/>
      <c r="G6335" s="3"/>
      <c r="H6335" s="11"/>
      <c r="I6335" s="12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  <c r="AA6335" s="3"/>
      <c r="AB6335" s="3"/>
      <c r="AC6335" s="3"/>
      <c r="AD6335" s="3"/>
      <c r="AE6335" s="3"/>
      <c r="AF6335" s="3"/>
      <c r="AG6335" s="3"/>
      <c r="AH6335" s="3"/>
    </row>
    <row r="6336" spans="1:34" ht="14.25" customHeight="1" x14ac:dyDescent="0.25">
      <c r="A6336" s="3"/>
      <c r="B6336" s="3"/>
      <c r="C6336" s="3"/>
      <c r="D6336" s="3"/>
      <c r="E6336" s="3"/>
      <c r="F6336" s="3"/>
      <c r="G6336" s="3"/>
      <c r="H6336" s="11"/>
      <c r="I6336" s="12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  <c r="AA6336" s="3"/>
      <c r="AB6336" s="3"/>
      <c r="AC6336" s="3"/>
      <c r="AD6336" s="3"/>
      <c r="AE6336" s="3"/>
      <c r="AF6336" s="3"/>
      <c r="AG6336" s="3"/>
      <c r="AH6336" s="3"/>
    </row>
    <row r="6337" spans="1:34" ht="14.25" customHeight="1" x14ac:dyDescent="0.25">
      <c r="A6337" s="3"/>
      <c r="B6337" s="3"/>
      <c r="C6337" s="3"/>
      <c r="D6337" s="3"/>
      <c r="E6337" s="3"/>
      <c r="F6337" s="3"/>
      <c r="G6337" s="3"/>
      <c r="H6337" s="11"/>
      <c r="I6337" s="12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  <c r="AA6337" s="3"/>
      <c r="AB6337" s="3"/>
      <c r="AC6337" s="3"/>
      <c r="AD6337" s="3"/>
      <c r="AE6337" s="3"/>
      <c r="AF6337" s="3"/>
      <c r="AG6337" s="3"/>
      <c r="AH6337" s="3"/>
    </row>
    <row r="6338" spans="1:34" ht="14.25" customHeight="1" x14ac:dyDescent="0.25">
      <c r="A6338" s="3"/>
      <c r="B6338" s="3"/>
      <c r="C6338" s="3"/>
      <c r="D6338" s="3"/>
      <c r="E6338" s="3"/>
      <c r="F6338" s="3"/>
      <c r="G6338" s="3"/>
      <c r="H6338" s="11"/>
      <c r="I6338" s="12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  <c r="AA6338" s="3"/>
      <c r="AB6338" s="3"/>
      <c r="AC6338" s="3"/>
      <c r="AD6338" s="3"/>
      <c r="AE6338" s="3"/>
      <c r="AF6338" s="3"/>
      <c r="AG6338" s="3"/>
      <c r="AH6338" s="3"/>
    </row>
    <row r="6339" spans="1:34" ht="14.25" customHeight="1" x14ac:dyDescent="0.25">
      <c r="A6339" s="3"/>
      <c r="B6339" s="3"/>
      <c r="C6339" s="3"/>
      <c r="D6339" s="3"/>
      <c r="E6339" s="3"/>
      <c r="F6339" s="3"/>
      <c r="G6339" s="3"/>
      <c r="H6339" s="11"/>
      <c r="I6339" s="12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  <c r="AA6339" s="3"/>
      <c r="AB6339" s="3"/>
      <c r="AC6339" s="3"/>
      <c r="AD6339" s="3"/>
      <c r="AE6339" s="3"/>
      <c r="AF6339" s="3"/>
      <c r="AG6339" s="3"/>
      <c r="AH6339" s="3"/>
    </row>
    <row r="6340" spans="1:34" ht="14.25" customHeight="1" x14ac:dyDescent="0.25">
      <c r="A6340" s="3"/>
      <c r="B6340" s="3"/>
      <c r="C6340" s="3"/>
      <c r="D6340" s="3"/>
      <c r="E6340" s="3"/>
      <c r="F6340" s="3"/>
      <c r="G6340" s="3"/>
      <c r="H6340" s="11"/>
      <c r="I6340" s="12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  <c r="AA6340" s="3"/>
      <c r="AB6340" s="3"/>
      <c r="AC6340" s="3"/>
      <c r="AD6340" s="3"/>
      <c r="AE6340" s="3"/>
      <c r="AF6340" s="3"/>
      <c r="AG6340" s="3"/>
      <c r="AH6340" s="3"/>
    </row>
    <row r="6341" spans="1:34" ht="14.25" customHeight="1" x14ac:dyDescent="0.25">
      <c r="A6341" s="3"/>
      <c r="B6341" s="3"/>
      <c r="C6341" s="3"/>
      <c r="D6341" s="3"/>
      <c r="E6341" s="3"/>
      <c r="F6341" s="3"/>
      <c r="G6341" s="3"/>
      <c r="H6341" s="11"/>
      <c r="I6341" s="12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  <c r="AA6341" s="3"/>
      <c r="AB6341" s="3"/>
      <c r="AC6341" s="3"/>
      <c r="AD6341" s="3"/>
      <c r="AE6341" s="3"/>
      <c r="AF6341" s="3"/>
      <c r="AG6341" s="3"/>
      <c r="AH6341" s="3"/>
    </row>
    <row r="6342" spans="1:34" ht="14.25" customHeight="1" x14ac:dyDescent="0.25">
      <c r="A6342" s="3"/>
      <c r="B6342" s="3"/>
      <c r="C6342" s="3"/>
      <c r="D6342" s="3"/>
      <c r="E6342" s="3"/>
      <c r="F6342" s="3"/>
      <c r="G6342" s="3"/>
      <c r="H6342" s="11"/>
      <c r="I6342" s="12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  <c r="AA6342" s="3"/>
      <c r="AB6342" s="3"/>
      <c r="AC6342" s="3"/>
      <c r="AD6342" s="3"/>
      <c r="AE6342" s="3"/>
      <c r="AF6342" s="3"/>
      <c r="AG6342" s="3"/>
      <c r="AH6342" s="3"/>
    </row>
    <row r="6343" spans="1:34" ht="14.25" customHeight="1" x14ac:dyDescent="0.25">
      <c r="A6343" s="3"/>
      <c r="B6343" s="3"/>
      <c r="C6343" s="3"/>
      <c r="D6343" s="3"/>
      <c r="E6343" s="3"/>
      <c r="F6343" s="3"/>
      <c r="G6343" s="3"/>
      <c r="H6343" s="11"/>
      <c r="I6343" s="12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  <c r="AA6343" s="3"/>
      <c r="AB6343" s="3"/>
      <c r="AC6343" s="3"/>
      <c r="AD6343" s="3"/>
      <c r="AE6343" s="3"/>
      <c r="AF6343" s="3"/>
      <c r="AG6343" s="3"/>
      <c r="AH6343" s="3"/>
    </row>
    <row r="6344" spans="1:34" ht="14.25" customHeight="1" x14ac:dyDescent="0.25">
      <c r="A6344" s="3"/>
      <c r="B6344" s="3"/>
      <c r="C6344" s="3"/>
      <c r="D6344" s="3"/>
      <c r="E6344" s="3"/>
      <c r="F6344" s="3"/>
      <c r="G6344" s="3"/>
      <c r="H6344" s="11"/>
      <c r="I6344" s="12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  <c r="AA6344" s="3"/>
      <c r="AB6344" s="3"/>
      <c r="AC6344" s="3"/>
      <c r="AD6344" s="3"/>
      <c r="AE6344" s="3"/>
      <c r="AF6344" s="3"/>
      <c r="AG6344" s="3"/>
      <c r="AH6344" s="3"/>
    </row>
    <row r="6345" spans="1:34" ht="14.25" customHeight="1" x14ac:dyDescent="0.25">
      <c r="A6345" s="3"/>
      <c r="B6345" s="3"/>
      <c r="C6345" s="3"/>
      <c r="D6345" s="3"/>
      <c r="E6345" s="3"/>
      <c r="F6345" s="3"/>
      <c r="G6345" s="3"/>
      <c r="H6345" s="11"/>
      <c r="I6345" s="12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  <c r="AA6345" s="3"/>
      <c r="AB6345" s="3"/>
      <c r="AC6345" s="3"/>
      <c r="AD6345" s="3"/>
      <c r="AE6345" s="3"/>
      <c r="AF6345" s="3"/>
      <c r="AG6345" s="3"/>
      <c r="AH6345" s="3"/>
    </row>
    <row r="6346" spans="1:34" ht="14.25" customHeight="1" x14ac:dyDescent="0.25">
      <c r="A6346" s="3"/>
      <c r="B6346" s="3"/>
      <c r="C6346" s="3"/>
      <c r="D6346" s="3"/>
      <c r="E6346" s="3"/>
      <c r="F6346" s="3"/>
      <c r="G6346" s="3"/>
      <c r="H6346" s="11"/>
      <c r="I6346" s="12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  <c r="AA6346" s="3"/>
      <c r="AB6346" s="3"/>
      <c r="AC6346" s="3"/>
      <c r="AD6346" s="3"/>
      <c r="AE6346" s="3"/>
      <c r="AF6346" s="3"/>
      <c r="AG6346" s="3"/>
      <c r="AH6346" s="3"/>
    </row>
    <row r="6347" spans="1:34" ht="14.25" customHeight="1" x14ac:dyDescent="0.25">
      <c r="A6347" s="3"/>
      <c r="B6347" s="3"/>
      <c r="C6347" s="3"/>
      <c r="D6347" s="3"/>
      <c r="E6347" s="3"/>
      <c r="F6347" s="3"/>
      <c r="G6347" s="3"/>
      <c r="H6347" s="11"/>
      <c r="I6347" s="12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  <c r="AA6347" s="3"/>
      <c r="AB6347" s="3"/>
      <c r="AC6347" s="3"/>
      <c r="AD6347" s="3"/>
      <c r="AE6347" s="3"/>
      <c r="AF6347" s="3"/>
      <c r="AG6347" s="3"/>
      <c r="AH6347" s="3"/>
    </row>
    <row r="6348" spans="1:34" ht="14.25" customHeight="1" x14ac:dyDescent="0.25">
      <c r="A6348" s="3"/>
      <c r="B6348" s="3"/>
      <c r="C6348" s="3"/>
      <c r="D6348" s="3"/>
      <c r="E6348" s="3"/>
      <c r="F6348" s="3"/>
      <c r="G6348" s="14"/>
      <c r="H6348" s="11"/>
      <c r="I6348" s="12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  <c r="AA6348" s="3"/>
      <c r="AB6348" s="3"/>
      <c r="AC6348" s="3"/>
      <c r="AD6348" s="3"/>
      <c r="AE6348" s="3"/>
      <c r="AF6348" s="3"/>
      <c r="AG6348" s="3"/>
      <c r="AH6348" s="3"/>
    </row>
    <row r="6349" spans="1:34" ht="14.25" customHeight="1" x14ac:dyDescent="0.25">
      <c r="A6349" s="3"/>
      <c r="B6349" s="3"/>
      <c r="C6349" s="3"/>
      <c r="D6349" s="3"/>
      <c r="E6349" s="3"/>
      <c r="F6349" s="3"/>
      <c r="G6349" s="3"/>
      <c r="H6349" s="11"/>
      <c r="I6349" s="12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  <c r="AA6349" s="3"/>
      <c r="AB6349" s="3"/>
      <c r="AC6349" s="3"/>
      <c r="AD6349" s="3"/>
      <c r="AE6349" s="3"/>
      <c r="AF6349" s="3"/>
      <c r="AG6349" s="3"/>
      <c r="AH6349" s="3"/>
    </row>
    <row r="6350" spans="1:34" ht="14.25" customHeight="1" x14ac:dyDescent="0.25">
      <c r="A6350" s="3"/>
      <c r="B6350" s="3"/>
      <c r="C6350" s="3"/>
      <c r="D6350" s="3"/>
      <c r="E6350" s="3"/>
      <c r="F6350" s="3"/>
      <c r="G6350" s="3"/>
      <c r="H6350" s="11"/>
      <c r="I6350" s="12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  <c r="AA6350" s="3"/>
      <c r="AB6350" s="3"/>
      <c r="AC6350" s="3"/>
      <c r="AD6350" s="3"/>
      <c r="AE6350" s="3"/>
      <c r="AF6350" s="3"/>
      <c r="AG6350" s="3"/>
      <c r="AH6350" s="3"/>
    </row>
    <row r="6351" spans="1:34" ht="14.25" customHeight="1" x14ac:dyDescent="0.25">
      <c r="A6351" s="3"/>
      <c r="B6351" s="3"/>
      <c r="C6351" s="3"/>
      <c r="D6351" s="3"/>
      <c r="E6351" s="3"/>
      <c r="F6351" s="3"/>
      <c r="G6351" s="3"/>
      <c r="H6351" s="11"/>
      <c r="I6351" s="12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  <c r="AA6351" s="3"/>
      <c r="AB6351" s="3"/>
      <c r="AC6351" s="3"/>
      <c r="AD6351" s="3"/>
      <c r="AE6351" s="3"/>
      <c r="AF6351" s="3"/>
      <c r="AG6351" s="3"/>
      <c r="AH6351" s="3"/>
    </row>
    <row r="6352" spans="1:34" ht="14.25" customHeight="1" x14ac:dyDescent="0.25">
      <c r="A6352" s="3"/>
      <c r="B6352" s="3"/>
      <c r="C6352" s="3"/>
      <c r="D6352" s="3"/>
      <c r="E6352" s="3"/>
      <c r="F6352" s="3"/>
      <c r="G6352" s="3"/>
      <c r="H6352" s="11"/>
      <c r="I6352" s="12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  <c r="AA6352" s="3"/>
      <c r="AB6352" s="3"/>
      <c r="AC6352" s="3"/>
      <c r="AD6352" s="3"/>
      <c r="AE6352" s="3"/>
      <c r="AF6352" s="3"/>
      <c r="AG6352" s="3"/>
      <c r="AH6352" s="3"/>
    </row>
    <row r="6353" spans="1:34" ht="14.25" customHeight="1" x14ac:dyDescent="0.25">
      <c r="A6353" s="3"/>
      <c r="B6353" s="3"/>
      <c r="C6353" s="3"/>
      <c r="D6353" s="3"/>
      <c r="E6353" s="3"/>
      <c r="F6353" s="3"/>
      <c r="G6353" s="3"/>
      <c r="H6353" s="11"/>
      <c r="I6353" s="12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  <c r="AA6353" s="3"/>
      <c r="AB6353" s="3"/>
      <c r="AC6353" s="3"/>
      <c r="AD6353" s="3"/>
      <c r="AE6353" s="3"/>
      <c r="AF6353" s="3"/>
      <c r="AG6353" s="3"/>
      <c r="AH6353" s="3"/>
    </row>
    <row r="6354" spans="1:34" ht="14.25" customHeight="1" x14ac:dyDescent="0.25">
      <c r="A6354" s="3"/>
      <c r="B6354" s="3"/>
      <c r="C6354" s="3"/>
      <c r="D6354" s="3"/>
      <c r="E6354" s="3"/>
      <c r="F6354" s="3"/>
      <c r="G6354" s="3"/>
      <c r="H6354" s="11"/>
      <c r="I6354" s="12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  <c r="AA6354" s="3"/>
      <c r="AB6354" s="3"/>
      <c r="AC6354" s="3"/>
      <c r="AD6354" s="3"/>
      <c r="AE6354" s="3"/>
      <c r="AF6354" s="3"/>
      <c r="AG6354" s="3"/>
      <c r="AH6354" s="3"/>
    </row>
    <row r="6355" spans="1:34" ht="14.25" customHeight="1" x14ac:dyDescent="0.25">
      <c r="A6355" s="3"/>
      <c r="B6355" s="3"/>
      <c r="C6355" s="3"/>
      <c r="D6355" s="3"/>
      <c r="E6355" s="3"/>
      <c r="F6355" s="3"/>
      <c r="G6355" s="3"/>
      <c r="H6355" s="11"/>
      <c r="I6355" s="12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  <c r="AA6355" s="3"/>
      <c r="AB6355" s="3"/>
      <c r="AC6355" s="3"/>
      <c r="AD6355" s="3"/>
      <c r="AE6355" s="3"/>
      <c r="AF6355" s="3"/>
      <c r="AG6355" s="3"/>
      <c r="AH6355" s="3"/>
    </row>
    <row r="6356" spans="1:34" ht="14.25" customHeight="1" x14ac:dyDescent="0.25">
      <c r="A6356" s="3"/>
      <c r="B6356" s="3"/>
      <c r="C6356" s="3"/>
      <c r="D6356" s="3"/>
      <c r="E6356" s="3"/>
      <c r="F6356" s="3"/>
      <c r="G6356" s="3"/>
      <c r="H6356" s="11"/>
      <c r="I6356" s="12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  <c r="AA6356" s="3"/>
      <c r="AB6356" s="3"/>
      <c r="AC6356" s="3"/>
      <c r="AD6356" s="3"/>
      <c r="AE6356" s="3"/>
      <c r="AF6356" s="3"/>
      <c r="AG6356" s="3"/>
      <c r="AH6356" s="3"/>
    </row>
    <row r="6357" spans="1:34" ht="14.25" customHeight="1" x14ac:dyDescent="0.25">
      <c r="A6357" s="3"/>
      <c r="B6357" s="3"/>
      <c r="C6357" s="3"/>
      <c r="D6357" s="3"/>
      <c r="E6357" s="3"/>
      <c r="F6357" s="3"/>
      <c r="G6357" s="3"/>
      <c r="H6357" s="11"/>
      <c r="I6357" s="12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  <c r="AA6357" s="3"/>
      <c r="AB6357" s="3"/>
      <c r="AC6357" s="3"/>
      <c r="AD6357" s="3"/>
      <c r="AE6357" s="3"/>
      <c r="AF6357" s="3"/>
      <c r="AG6357" s="3"/>
      <c r="AH6357" s="3"/>
    </row>
    <row r="6358" spans="1:34" ht="14.25" customHeight="1" x14ac:dyDescent="0.25">
      <c r="A6358" s="3"/>
      <c r="B6358" s="3"/>
      <c r="C6358" s="3"/>
      <c r="D6358" s="3"/>
      <c r="E6358" s="3"/>
      <c r="F6358" s="3"/>
      <c r="G6358" s="3"/>
      <c r="H6358" s="11"/>
      <c r="I6358" s="12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  <c r="AA6358" s="3"/>
      <c r="AB6358" s="3"/>
      <c r="AC6358" s="3"/>
      <c r="AD6358" s="3"/>
      <c r="AE6358" s="3"/>
      <c r="AF6358" s="3"/>
      <c r="AG6358" s="3"/>
      <c r="AH6358" s="3"/>
    </row>
    <row r="6359" spans="1:34" ht="14.25" customHeight="1" x14ac:dyDescent="0.25">
      <c r="A6359" s="3"/>
      <c r="B6359" s="3"/>
      <c r="C6359" s="3"/>
      <c r="D6359" s="3"/>
      <c r="E6359" s="3"/>
      <c r="F6359" s="3"/>
      <c r="G6359" s="3"/>
      <c r="H6359" s="11"/>
      <c r="I6359" s="12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  <c r="AA6359" s="3"/>
      <c r="AB6359" s="3"/>
      <c r="AC6359" s="3"/>
      <c r="AD6359" s="3"/>
      <c r="AE6359" s="3"/>
      <c r="AF6359" s="3"/>
      <c r="AG6359" s="3"/>
      <c r="AH6359" s="3"/>
    </row>
    <row r="6360" spans="1:34" ht="14.25" customHeight="1" x14ac:dyDescent="0.25">
      <c r="A6360" s="3"/>
      <c r="B6360" s="3"/>
      <c r="C6360" s="3"/>
      <c r="D6360" s="3"/>
      <c r="E6360" s="3"/>
      <c r="F6360" s="3"/>
      <c r="G6360" s="3"/>
      <c r="H6360" s="11"/>
      <c r="I6360" s="12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  <c r="AA6360" s="3"/>
      <c r="AB6360" s="3"/>
      <c r="AC6360" s="3"/>
      <c r="AD6360" s="3"/>
      <c r="AE6360" s="3"/>
      <c r="AF6360" s="3"/>
      <c r="AG6360" s="3"/>
      <c r="AH6360" s="3"/>
    </row>
    <row r="6361" spans="1:34" ht="14.25" customHeight="1" x14ac:dyDescent="0.25">
      <c r="A6361" s="3"/>
      <c r="B6361" s="3"/>
      <c r="C6361" s="3"/>
      <c r="D6361" s="3"/>
      <c r="E6361" s="3"/>
      <c r="F6361" s="3"/>
      <c r="G6361" s="3"/>
      <c r="H6361" s="11"/>
      <c r="I6361" s="12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  <c r="AA6361" s="3"/>
      <c r="AB6361" s="3"/>
      <c r="AC6361" s="3"/>
      <c r="AD6361" s="3"/>
      <c r="AE6361" s="3"/>
      <c r="AF6361" s="3"/>
      <c r="AG6361" s="3"/>
      <c r="AH6361" s="3"/>
    </row>
    <row r="6362" spans="1:34" ht="14.25" customHeight="1" x14ac:dyDescent="0.25">
      <c r="A6362" s="3"/>
      <c r="B6362" s="3"/>
      <c r="C6362" s="3"/>
      <c r="D6362" s="3"/>
      <c r="E6362" s="3"/>
      <c r="F6362" s="3"/>
      <c r="G6362" s="3"/>
      <c r="H6362" s="11"/>
      <c r="I6362" s="12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  <c r="AA6362" s="3"/>
      <c r="AB6362" s="3"/>
      <c r="AC6362" s="3"/>
      <c r="AD6362" s="3"/>
      <c r="AE6362" s="3"/>
      <c r="AF6362" s="3"/>
      <c r="AG6362" s="3"/>
      <c r="AH6362" s="3"/>
    </row>
    <row r="6363" spans="1:34" ht="14.25" customHeight="1" x14ac:dyDescent="0.25">
      <c r="A6363" s="3"/>
      <c r="B6363" s="3"/>
      <c r="C6363" s="3"/>
      <c r="D6363" s="3"/>
      <c r="E6363" s="3"/>
      <c r="F6363" s="3"/>
      <c r="G6363" s="3"/>
      <c r="H6363" s="11"/>
      <c r="I6363" s="12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  <c r="AA6363" s="3"/>
      <c r="AB6363" s="3"/>
      <c r="AC6363" s="3"/>
      <c r="AD6363" s="3"/>
      <c r="AE6363" s="3"/>
      <c r="AF6363" s="3"/>
      <c r="AG6363" s="3"/>
      <c r="AH6363" s="3"/>
    </row>
    <row r="6364" spans="1:34" ht="14.25" customHeight="1" x14ac:dyDescent="0.25">
      <c r="A6364" s="3"/>
      <c r="B6364" s="3"/>
      <c r="C6364" s="3"/>
      <c r="D6364" s="3"/>
      <c r="E6364" s="3"/>
      <c r="F6364" s="3"/>
      <c r="G6364" s="3"/>
      <c r="H6364" s="11"/>
      <c r="I6364" s="12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  <c r="AA6364" s="3"/>
      <c r="AB6364" s="3"/>
      <c r="AC6364" s="3"/>
      <c r="AD6364" s="3"/>
      <c r="AE6364" s="3"/>
      <c r="AF6364" s="3"/>
      <c r="AG6364" s="3"/>
      <c r="AH6364" s="3"/>
    </row>
    <row r="6365" spans="1:34" ht="14.25" customHeight="1" x14ac:dyDescent="0.25">
      <c r="A6365" s="3"/>
      <c r="B6365" s="3"/>
      <c r="C6365" s="3"/>
      <c r="D6365" s="3"/>
      <c r="E6365" s="3"/>
      <c r="F6365" s="3"/>
      <c r="G6365" s="3"/>
      <c r="H6365" s="11"/>
      <c r="I6365" s="12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  <c r="AA6365" s="3"/>
      <c r="AB6365" s="3"/>
      <c r="AC6365" s="3"/>
      <c r="AD6365" s="3"/>
      <c r="AE6365" s="3"/>
      <c r="AF6365" s="3"/>
      <c r="AG6365" s="3"/>
      <c r="AH6365" s="3"/>
    </row>
    <row r="6366" spans="1:34" ht="14.25" customHeight="1" x14ac:dyDescent="0.25">
      <c r="A6366" s="3"/>
      <c r="B6366" s="3"/>
      <c r="C6366" s="3"/>
      <c r="D6366" s="3"/>
      <c r="E6366" s="3"/>
      <c r="F6366" s="3"/>
      <c r="G6366" s="3"/>
      <c r="H6366" s="11"/>
      <c r="I6366" s="12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  <c r="AA6366" s="3"/>
      <c r="AB6366" s="3"/>
      <c r="AC6366" s="3"/>
      <c r="AD6366" s="3"/>
      <c r="AE6366" s="3"/>
      <c r="AF6366" s="3"/>
      <c r="AG6366" s="3"/>
      <c r="AH6366" s="3"/>
    </row>
    <row r="6367" spans="1:34" ht="14.25" customHeight="1" x14ac:dyDescent="0.25">
      <c r="A6367" s="3"/>
      <c r="B6367" s="3"/>
      <c r="C6367" s="3"/>
      <c r="D6367" s="3"/>
      <c r="E6367" s="3"/>
      <c r="F6367" s="3"/>
      <c r="G6367" s="3"/>
      <c r="H6367" s="11"/>
      <c r="I6367" s="12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  <c r="AA6367" s="3"/>
      <c r="AB6367" s="3"/>
      <c r="AC6367" s="3"/>
      <c r="AD6367" s="3"/>
      <c r="AE6367" s="3"/>
      <c r="AF6367" s="3"/>
      <c r="AG6367" s="3"/>
      <c r="AH6367" s="3"/>
    </row>
    <row r="6368" spans="1:34" ht="14.25" customHeight="1" x14ac:dyDescent="0.25">
      <c r="A6368" s="3"/>
      <c r="B6368" s="3"/>
      <c r="C6368" s="3"/>
      <c r="D6368" s="3"/>
      <c r="E6368" s="3"/>
      <c r="F6368" s="3"/>
      <c r="G6368" s="3"/>
      <c r="H6368" s="11"/>
      <c r="I6368" s="12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  <c r="AA6368" s="3"/>
      <c r="AB6368" s="3"/>
      <c r="AC6368" s="3"/>
      <c r="AD6368" s="3"/>
      <c r="AE6368" s="3"/>
      <c r="AF6368" s="3"/>
      <c r="AG6368" s="3"/>
      <c r="AH6368" s="3"/>
    </row>
    <row r="6369" spans="1:34" ht="14.25" customHeight="1" x14ac:dyDescent="0.25">
      <c r="A6369" s="3"/>
      <c r="B6369" s="3"/>
      <c r="C6369" s="3"/>
      <c r="D6369" s="3"/>
      <c r="E6369" s="3"/>
      <c r="F6369" s="3"/>
      <c r="G6369" s="3"/>
      <c r="H6369" s="11"/>
      <c r="I6369" s="12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  <c r="AA6369" s="3"/>
      <c r="AB6369" s="3"/>
      <c r="AC6369" s="3"/>
      <c r="AD6369" s="3"/>
      <c r="AE6369" s="3"/>
      <c r="AF6369" s="3"/>
      <c r="AG6369" s="3"/>
      <c r="AH6369" s="3"/>
    </row>
    <row r="6370" spans="1:34" ht="14.25" customHeight="1" x14ac:dyDescent="0.25">
      <c r="A6370" s="3"/>
      <c r="B6370" s="3"/>
      <c r="C6370" s="3"/>
      <c r="D6370" s="3"/>
      <c r="E6370" s="3"/>
      <c r="F6370" s="3"/>
      <c r="G6370" s="3"/>
      <c r="H6370" s="11"/>
      <c r="I6370" s="12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  <c r="AA6370" s="3"/>
      <c r="AB6370" s="3"/>
      <c r="AC6370" s="3"/>
      <c r="AD6370" s="3"/>
      <c r="AE6370" s="3"/>
      <c r="AF6370" s="3"/>
      <c r="AG6370" s="3"/>
      <c r="AH6370" s="3"/>
    </row>
    <row r="6371" spans="1:34" ht="14.25" customHeight="1" x14ac:dyDescent="0.25">
      <c r="A6371" s="3"/>
      <c r="B6371" s="3"/>
      <c r="C6371" s="3"/>
      <c r="D6371" s="3"/>
      <c r="E6371" s="3"/>
      <c r="F6371" s="3"/>
      <c r="G6371" s="3"/>
      <c r="H6371" s="11"/>
      <c r="I6371" s="12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  <c r="AA6371" s="3"/>
      <c r="AB6371" s="3"/>
      <c r="AC6371" s="3"/>
      <c r="AD6371" s="3"/>
      <c r="AE6371" s="3"/>
      <c r="AF6371" s="3"/>
      <c r="AG6371" s="3"/>
      <c r="AH6371" s="3"/>
    </row>
    <row r="6372" spans="1:34" ht="14.25" customHeight="1" x14ac:dyDescent="0.25">
      <c r="A6372" s="3"/>
      <c r="B6372" s="3"/>
      <c r="C6372" s="3"/>
      <c r="D6372" s="3"/>
      <c r="E6372" s="3"/>
      <c r="F6372" s="3"/>
      <c r="G6372" s="3"/>
      <c r="H6372" s="11"/>
      <c r="I6372" s="12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  <c r="AA6372" s="3"/>
      <c r="AB6372" s="3"/>
      <c r="AC6372" s="3"/>
      <c r="AD6372" s="3"/>
      <c r="AE6372" s="3"/>
      <c r="AF6372" s="3"/>
      <c r="AG6372" s="3"/>
      <c r="AH6372" s="3"/>
    </row>
    <row r="6373" spans="1:34" ht="14.25" customHeight="1" x14ac:dyDescent="0.25">
      <c r="A6373" s="3"/>
      <c r="B6373" s="3"/>
      <c r="C6373" s="3"/>
      <c r="D6373" s="3"/>
      <c r="E6373" s="3"/>
      <c r="F6373" s="3"/>
      <c r="G6373" s="3"/>
      <c r="H6373" s="11"/>
      <c r="I6373" s="12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  <c r="AA6373" s="3"/>
      <c r="AB6373" s="3"/>
      <c r="AC6373" s="3"/>
      <c r="AD6373" s="3"/>
      <c r="AE6373" s="3"/>
      <c r="AF6373" s="3"/>
      <c r="AG6373" s="3"/>
      <c r="AH6373" s="3"/>
    </row>
    <row r="6374" spans="1:34" ht="14.25" customHeight="1" x14ac:dyDescent="0.25">
      <c r="A6374" s="3"/>
      <c r="B6374" s="3"/>
      <c r="C6374" s="3"/>
      <c r="D6374" s="3"/>
      <c r="E6374" s="3"/>
      <c r="F6374" s="3"/>
      <c r="G6374" s="3"/>
      <c r="H6374" s="11"/>
      <c r="I6374" s="12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  <c r="AA6374" s="3"/>
      <c r="AB6374" s="3"/>
      <c r="AC6374" s="3"/>
      <c r="AD6374" s="3"/>
      <c r="AE6374" s="3"/>
      <c r="AF6374" s="3"/>
      <c r="AG6374" s="3"/>
      <c r="AH6374" s="3"/>
    </row>
    <row r="6375" spans="1:34" ht="14.25" customHeight="1" x14ac:dyDescent="0.25">
      <c r="A6375" s="3"/>
      <c r="B6375" s="3"/>
      <c r="C6375" s="3"/>
      <c r="D6375" s="3"/>
      <c r="E6375" s="3"/>
      <c r="F6375" s="3"/>
      <c r="G6375" s="3"/>
      <c r="H6375" s="11"/>
      <c r="I6375" s="12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  <c r="AA6375" s="3"/>
      <c r="AB6375" s="3"/>
      <c r="AC6375" s="3"/>
      <c r="AD6375" s="3"/>
      <c r="AE6375" s="3"/>
      <c r="AF6375" s="3"/>
      <c r="AG6375" s="3"/>
      <c r="AH6375" s="3"/>
    </row>
    <row r="6376" spans="1:34" ht="14.25" customHeight="1" x14ac:dyDescent="0.25">
      <c r="A6376" s="3"/>
      <c r="B6376" s="3"/>
      <c r="C6376" s="3"/>
      <c r="D6376" s="3"/>
      <c r="E6376" s="3"/>
      <c r="F6376" s="3"/>
      <c r="G6376" s="3"/>
      <c r="H6376" s="11"/>
      <c r="I6376" s="12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  <c r="AA6376" s="3"/>
      <c r="AB6376" s="3"/>
      <c r="AC6376" s="3"/>
      <c r="AD6376" s="3"/>
      <c r="AE6376" s="3"/>
      <c r="AF6376" s="3"/>
      <c r="AG6376" s="3"/>
      <c r="AH6376" s="3"/>
    </row>
    <row r="6377" spans="1:34" ht="14.25" customHeight="1" x14ac:dyDescent="0.25">
      <c r="A6377" s="3"/>
      <c r="B6377" s="3"/>
      <c r="C6377" s="3"/>
      <c r="D6377" s="3"/>
      <c r="E6377" s="3"/>
      <c r="F6377" s="3"/>
      <c r="G6377" s="3"/>
      <c r="H6377" s="11"/>
      <c r="I6377" s="12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  <c r="AA6377" s="3"/>
      <c r="AB6377" s="3"/>
      <c r="AC6377" s="3"/>
      <c r="AD6377" s="3"/>
      <c r="AE6377" s="3"/>
      <c r="AF6377" s="3"/>
      <c r="AG6377" s="3"/>
      <c r="AH6377" s="3"/>
    </row>
    <row r="6378" spans="1:34" ht="14.25" customHeight="1" x14ac:dyDescent="0.25">
      <c r="A6378" s="3"/>
      <c r="B6378" s="3"/>
      <c r="C6378" s="3"/>
      <c r="D6378" s="3"/>
      <c r="E6378" s="3"/>
      <c r="F6378" s="3"/>
      <c r="G6378" s="3"/>
      <c r="H6378" s="11"/>
      <c r="I6378" s="12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  <c r="AA6378" s="3"/>
      <c r="AB6378" s="3"/>
      <c r="AC6378" s="3"/>
      <c r="AD6378" s="3"/>
      <c r="AE6378" s="3"/>
      <c r="AF6378" s="3"/>
      <c r="AG6378" s="3"/>
      <c r="AH6378" s="3"/>
    </row>
    <row r="6379" spans="1:34" ht="14.25" customHeight="1" x14ac:dyDescent="0.25">
      <c r="A6379" s="3"/>
      <c r="B6379" s="3"/>
      <c r="C6379" s="3"/>
      <c r="D6379" s="3"/>
      <c r="E6379" s="3"/>
      <c r="F6379" s="3"/>
      <c r="G6379" s="3"/>
      <c r="H6379" s="11"/>
      <c r="I6379" s="12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  <c r="AA6379" s="3"/>
      <c r="AB6379" s="3"/>
      <c r="AC6379" s="3"/>
      <c r="AD6379" s="3"/>
      <c r="AE6379" s="3"/>
      <c r="AF6379" s="3"/>
      <c r="AG6379" s="3"/>
      <c r="AH6379" s="3"/>
    </row>
    <row r="6380" spans="1:34" ht="14.25" customHeight="1" x14ac:dyDescent="0.25">
      <c r="A6380" s="3"/>
      <c r="B6380" s="3"/>
      <c r="C6380" s="3"/>
      <c r="D6380" s="3"/>
      <c r="E6380" s="3"/>
      <c r="F6380" s="3"/>
      <c r="G6380" s="3"/>
      <c r="H6380" s="11"/>
      <c r="I6380" s="12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  <c r="AA6380" s="3"/>
      <c r="AB6380" s="3"/>
      <c r="AC6380" s="3"/>
      <c r="AD6380" s="3"/>
      <c r="AE6380" s="3"/>
      <c r="AF6380" s="3"/>
      <c r="AG6380" s="3"/>
      <c r="AH6380" s="3"/>
    </row>
    <row r="6381" spans="1:34" ht="14.25" customHeight="1" x14ac:dyDescent="0.25">
      <c r="A6381" s="3"/>
      <c r="B6381" s="3"/>
      <c r="C6381" s="3"/>
      <c r="D6381" s="3"/>
      <c r="E6381" s="3"/>
      <c r="F6381" s="3"/>
      <c r="G6381" s="3"/>
      <c r="H6381" s="11"/>
      <c r="I6381" s="12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  <c r="AA6381" s="3"/>
      <c r="AB6381" s="3"/>
      <c r="AC6381" s="3"/>
      <c r="AD6381" s="3"/>
      <c r="AE6381" s="3"/>
      <c r="AF6381" s="3"/>
      <c r="AG6381" s="3"/>
      <c r="AH6381" s="3"/>
    </row>
    <row r="6382" spans="1:34" ht="14.25" customHeight="1" x14ac:dyDescent="0.25">
      <c r="A6382" s="3"/>
      <c r="B6382" s="3"/>
      <c r="C6382" s="3"/>
      <c r="D6382" s="3"/>
      <c r="E6382" s="3"/>
      <c r="F6382" s="3"/>
      <c r="G6382" s="3"/>
      <c r="H6382" s="11"/>
      <c r="I6382" s="12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  <c r="AA6382" s="3"/>
      <c r="AB6382" s="3"/>
      <c r="AC6382" s="3"/>
      <c r="AD6382" s="3"/>
      <c r="AE6382" s="3"/>
      <c r="AF6382" s="3"/>
      <c r="AG6382" s="3"/>
      <c r="AH6382" s="3"/>
    </row>
    <row r="6383" spans="1:34" ht="14.25" customHeight="1" x14ac:dyDescent="0.25">
      <c r="A6383" s="3"/>
      <c r="B6383" s="3"/>
      <c r="C6383" s="3"/>
      <c r="D6383" s="3"/>
      <c r="E6383" s="3"/>
      <c r="F6383" s="3"/>
      <c r="G6383" s="3"/>
      <c r="H6383" s="11"/>
      <c r="I6383" s="12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  <c r="AA6383" s="3"/>
      <c r="AB6383" s="3"/>
      <c r="AC6383" s="3"/>
      <c r="AD6383" s="3"/>
      <c r="AE6383" s="3"/>
      <c r="AF6383" s="3"/>
      <c r="AG6383" s="3"/>
      <c r="AH6383" s="3"/>
    </row>
    <row r="6384" spans="1:34" ht="14.25" customHeight="1" x14ac:dyDescent="0.25">
      <c r="A6384" s="3"/>
      <c r="B6384" s="3"/>
      <c r="C6384" s="3"/>
      <c r="D6384" s="3"/>
      <c r="E6384" s="3"/>
      <c r="F6384" s="3"/>
      <c r="G6384" s="3"/>
      <c r="H6384" s="11"/>
      <c r="I6384" s="12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  <c r="AA6384" s="3"/>
      <c r="AB6384" s="3"/>
      <c r="AC6384" s="3"/>
      <c r="AD6384" s="3"/>
      <c r="AE6384" s="3"/>
      <c r="AF6384" s="3"/>
      <c r="AG6384" s="3"/>
      <c r="AH6384" s="3"/>
    </row>
    <row r="6385" spans="1:34" ht="14.25" customHeight="1" x14ac:dyDescent="0.25">
      <c r="A6385" s="3"/>
      <c r="B6385" s="3"/>
      <c r="C6385" s="3"/>
      <c r="D6385" s="3"/>
      <c r="E6385" s="3"/>
      <c r="F6385" s="3"/>
      <c r="G6385" s="3"/>
      <c r="H6385" s="11"/>
      <c r="I6385" s="12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  <c r="AA6385" s="3"/>
      <c r="AB6385" s="3"/>
      <c r="AC6385" s="3"/>
      <c r="AD6385" s="3"/>
      <c r="AE6385" s="3"/>
      <c r="AF6385" s="3"/>
      <c r="AG6385" s="3"/>
      <c r="AH6385" s="3"/>
    </row>
    <row r="6386" spans="1:34" ht="14.25" customHeight="1" x14ac:dyDescent="0.25">
      <c r="A6386" s="3"/>
      <c r="B6386" s="3"/>
      <c r="C6386" s="3"/>
      <c r="D6386" s="3"/>
      <c r="E6386" s="3"/>
      <c r="F6386" s="3"/>
      <c r="G6386" s="3"/>
      <c r="H6386" s="11"/>
      <c r="I6386" s="12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  <c r="AA6386" s="3"/>
      <c r="AB6386" s="3"/>
      <c r="AC6386" s="3"/>
      <c r="AD6386" s="3"/>
      <c r="AE6386" s="3"/>
      <c r="AF6386" s="3"/>
      <c r="AG6386" s="3"/>
      <c r="AH6386" s="3"/>
    </row>
    <row r="6387" spans="1:34" ht="14.25" customHeight="1" x14ac:dyDescent="0.25">
      <c r="A6387" s="3"/>
      <c r="B6387" s="3"/>
      <c r="C6387" s="3"/>
      <c r="D6387" s="3"/>
      <c r="E6387" s="3"/>
      <c r="F6387" s="3"/>
      <c r="G6387" s="3"/>
      <c r="H6387" s="11"/>
      <c r="I6387" s="12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  <c r="AA6387" s="3"/>
      <c r="AB6387" s="3"/>
      <c r="AC6387" s="3"/>
      <c r="AD6387" s="3"/>
      <c r="AE6387" s="3"/>
      <c r="AF6387" s="3"/>
      <c r="AG6387" s="3"/>
      <c r="AH6387" s="3"/>
    </row>
    <row r="6388" spans="1:34" ht="14.25" customHeight="1" x14ac:dyDescent="0.25">
      <c r="A6388" s="3"/>
      <c r="B6388" s="3"/>
      <c r="C6388" s="3"/>
      <c r="D6388" s="3"/>
      <c r="E6388" s="3"/>
      <c r="F6388" s="3"/>
      <c r="G6388" s="3"/>
      <c r="H6388" s="11"/>
      <c r="I6388" s="12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  <c r="AA6388" s="3"/>
      <c r="AB6388" s="3"/>
      <c r="AC6388" s="3"/>
      <c r="AD6388" s="3"/>
      <c r="AE6388" s="3"/>
      <c r="AF6388" s="3"/>
      <c r="AG6388" s="3"/>
      <c r="AH6388" s="3"/>
    </row>
    <row r="6389" spans="1:34" ht="14.25" customHeight="1" x14ac:dyDescent="0.25">
      <c r="A6389" s="3"/>
      <c r="B6389" s="3"/>
      <c r="C6389" s="3"/>
      <c r="D6389" s="3"/>
      <c r="E6389" s="3"/>
      <c r="F6389" s="3"/>
      <c r="G6389" s="3"/>
      <c r="H6389" s="11"/>
      <c r="I6389" s="12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  <c r="AA6389" s="3"/>
      <c r="AB6389" s="3"/>
      <c r="AC6389" s="3"/>
      <c r="AD6389" s="3"/>
      <c r="AE6389" s="3"/>
      <c r="AF6389" s="3"/>
      <c r="AG6389" s="3"/>
      <c r="AH6389" s="3"/>
    </row>
    <row r="6390" spans="1:34" ht="14.25" customHeight="1" x14ac:dyDescent="0.25">
      <c r="A6390" s="3"/>
      <c r="B6390" s="3"/>
      <c r="C6390" s="3"/>
      <c r="D6390" s="3"/>
      <c r="E6390" s="3"/>
      <c r="F6390" s="3"/>
      <c r="G6390" s="3"/>
      <c r="H6390" s="11"/>
      <c r="I6390" s="12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  <c r="AA6390" s="3"/>
      <c r="AB6390" s="3"/>
      <c r="AC6390" s="3"/>
      <c r="AD6390" s="3"/>
      <c r="AE6390" s="3"/>
      <c r="AF6390" s="3"/>
      <c r="AG6390" s="3"/>
      <c r="AH6390" s="3"/>
    </row>
    <row r="6391" spans="1:34" ht="14.25" customHeight="1" x14ac:dyDescent="0.25">
      <c r="A6391" s="3"/>
      <c r="B6391" s="3"/>
      <c r="C6391" s="3"/>
      <c r="D6391" s="3"/>
      <c r="E6391" s="3"/>
      <c r="F6391" s="3"/>
      <c r="G6391" s="3"/>
      <c r="H6391" s="11"/>
      <c r="I6391" s="12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  <c r="AA6391" s="3"/>
      <c r="AB6391" s="3"/>
      <c r="AC6391" s="3"/>
      <c r="AD6391" s="3"/>
      <c r="AE6391" s="3"/>
      <c r="AF6391" s="3"/>
      <c r="AG6391" s="3"/>
      <c r="AH6391" s="3"/>
    </row>
    <row r="6392" spans="1:34" ht="14.25" customHeight="1" x14ac:dyDescent="0.25">
      <c r="A6392" s="3"/>
      <c r="B6392" s="3"/>
      <c r="C6392" s="3"/>
      <c r="D6392" s="3"/>
      <c r="E6392" s="3"/>
      <c r="F6392" s="3"/>
      <c r="G6392" s="3"/>
      <c r="H6392" s="11"/>
      <c r="I6392" s="12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  <c r="AA6392" s="3"/>
      <c r="AB6392" s="3"/>
      <c r="AC6392" s="3"/>
      <c r="AD6392" s="3"/>
      <c r="AE6392" s="3"/>
      <c r="AF6392" s="3"/>
      <c r="AG6392" s="3"/>
      <c r="AH6392" s="3"/>
    </row>
    <row r="6393" spans="1:34" ht="14.25" customHeight="1" x14ac:dyDescent="0.25">
      <c r="A6393" s="3"/>
      <c r="B6393" s="3"/>
      <c r="C6393" s="3"/>
      <c r="D6393" s="3"/>
      <c r="E6393" s="3"/>
      <c r="F6393" s="3"/>
      <c r="G6393" s="3"/>
      <c r="H6393" s="11"/>
      <c r="I6393" s="12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  <c r="AA6393" s="3"/>
      <c r="AB6393" s="3"/>
      <c r="AC6393" s="3"/>
      <c r="AD6393" s="3"/>
      <c r="AE6393" s="3"/>
      <c r="AF6393" s="3"/>
      <c r="AG6393" s="3"/>
      <c r="AH6393" s="3"/>
    </row>
    <row r="6394" spans="1:34" ht="14.25" customHeight="1" x14ac:dyDescent="0.25">
      <c r="A6394" s="3"/>
      <c r="B6394" s="3"/>
      <c r="C6394" s="3"/>
      <c r="D6394" s="3"/>
      <c r="E6394" s="3"/>
      <c r="F6394" s="3"/>
      <c r="G6394" s="3"/>
      <c r="H6394" s="11"/>
      <c r="I6394" s="12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  <c r="AA6394" s="3"/>
      <c r="AB6394" s="3"/>
      <c r="AC6394" s="3"/>
      <c r="AD6394" s="3"/>
      <c r="AE6394" s="3"/>
      <c r="AF6394" s="3"/>
      <c r="AG6394" s="3"/>
      <c r="AH6394" s="3"/>
    </row>
    <row r="6395" spans="1:34" ht="14.25" customHeight="1" x14ac:dyDescent="0.25">
      <c r="A6395" s="3"/>
      <c r="B6395" s="3"/>
      <c r="C6395" s="3"/>
      <c r="D6395" s="3"/>
      <c r="E6395" s="3"/>
      <c r="F6395" s="3"/>
      <c r="G6395" s="3"/>
      <c r="H6395" s="11"/>
      <c r="I6395" s="12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  <c r="AA6395" s="3"/>
      <c r="AB6395" s="3"/>
      <c r="AC6395" s="3"/>
      <c r="AD6395" s="3"/>
      <c r="AE6395" s="3"/>
      <c r="AF6395" s="3"/>
      <c r="AG6395" s="3"/>
      <c r="AH6395" s="3"/>
    </row>
    <row r="6396" spans="1:34" ht="14.25" customHeight="1" x14ac:dyDescent="0.25">
      <c r="A6396" s="3"/>
      <c r="B6396" s="3"/>
      <c r="C6396" s="3"/>
      <c r="D6396" s="3"/>
      <c r="E6396" s="3"/>
      <c r="F6396" s="3"/>
      <c r="G6396" s="3"/>
      <c r="H6396" s="11"/>
      <c r="I6396" s="12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  <c r="AA6396" s="3"/>
      <c r="AB6396" s="3"/>
      <c r="AC6396" s="3"/>
      <c r="AD6396" s="3"/>
      <c r="AE6396" s="3"/>
      <c r="AF6396" s="3"/>
      <c r="AG6396" s="3"/>
      <c r="AH6396" s="3"/>
    </row>
    <row r="6397" spans="1:34" ht="14.25" customHeight="1" x14ac:dyDescent="0.25">
      <c r="A6397" s="3"/>
      <c r="B6397" s="3"/>
      <c r="C6397" s="3"/>
      <c r="D6397" s="3"/>
      <c r="E6397" s="3"/>
      <c r="F6397" s="3"/>
      <c r="G6397" s="3"/>
      <c r="H6397" s="11"/>
      <c r="I6397" s="12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  <c r="AA6397" s="3"/>
      <c r="AB6397" s="3"/>
      <c r="AC6397" s="3"/>
      <c r="AD6397" s="3"/>
      <c r="AE6397" s="3"/>
      <c r="AF6397" s="3"/>
      <c r="AG6397" s="3"/>
      <c r="AH6397" s="3"/>
    </row>
    <row r="6398" spans="1:34" ht="14.25" customHeight="1" x14ac:dyDescent="0.25">
      <c r="A6398" s="3"/>
      <c r="B6398" s="3"/>
      <c r="C6398" s="3"/>
      <c r="D6398" s="3"/>
      <c r="E6398" s="3"/>
      <c r="F6398" s="3"/>
      <c r="G6398" s="3"/>
      <c r="H6398" s="11"/>
      <c r="I6398" s="12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  <c r="AA6398" s="3"/>
      <c r="AB6398" s="3"/>
      <c r="AC6398" s="3"/>
      <c r="AD6398" s="3"/>
      <c r="AE6398" s="3"/>
      <c r="AF6398" s="3"/>
      <c r="AG6398" s="3"/>
      <c r="AH6398" s="3"/>
    </row>
    <row r="6399" spans="1:34" ht="14.25" customHeight="1" x14ac:dyDescent="0.25">
      <c r="A6399" s="3"/>
      <c r="B6399" s="3"/>
      <c r="C6399" s="3"/>
      <c r="D6399" s="3"/>
      <c r="E6399" s="3"/>
      <c r="F6399" s="3"/>
      <c r="G6399" s="3"/>
      <c r="H6399" s="11"/>
      <c r="I6399" s="12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  <c r="AA6399" s="3"/>
      <c r="AB6399" s="3"/>
      <c r="AC6399" s="3"/>
      <c r="AD6399" s="3"/>
      <c r="AE6399" s="3"/>
      <c r="AF6399" s="3"/>
      <c r="AG6399" s="3"/>
      <c r="AH6399" s="3"/>
    </row>
    <row r="6400" spans="1:34" ht="14.25" customHeight="1" x14ac:dyDescent="0.25">
      <c r="A6400" s="3"/>
      <c r="B6400" s="3"/>
      <c r="C6400" s="3"/>
      <c r="D6400" s="3"/>
      <c r="E6400" s="3"/>
      <c r="F6400" s="3"/>
      <c r="G6400" s="3"/>
      <c r="H6400" s="11"/>
      <c r="I6400" s="12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  <c r="AA6400" s="3"/>
      <c r="AB6400" s="3"/>
      <c r="AC6400" s="3"/>
      <c r="AD6400" s="3"/>
      <c r="AE6400" s="3"/>
      <c r="AF6400" s="3"/>
      <c r="AG6400" s="3"/>
      <c r="AH6400" s="3"/>
    </row>
    <row r="6401" spans="1:34" ht="14.25" customHeight="1" x14ac:dyDescent="0.25">
      <c r="A6401" s="3"/>
      <c r="B6401" s="3"/>
      <c r="C6401" s="3"/>
      <c r="D6401" s="3"/>
      <c r="E6401" s="3"/>
      <c r="F6401" s="3"/>
      <c r="G6401" s="3"/>
      <c r="H6401" s="11"/>
      <c r="I6401" s="12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  <c r="AA6401" s="3"/>
      <c r="AB6401" s="3"/>
      <c r="AC6401" s="3"/>
      <c r="AD6401" s="3"/>
      <c r="AE6401" s="3"/>
      <c r="AF6401" s="3"/>
      <c r="AG6401" s="3"/>
      <c r="AH6401" s="3"/>
    </row>
    <row r="6402" spans="1:34" ht="14.25" customHeight="1" x14ac:dyDescent="0.25">
      <c r="A6402" s="3"/>
      <c r="B6402" s="3"/>
      <c r="C6402" s="3"/>
      <c r="D6402" s="3"/>
      <c r="E6402" s="3"/>
      <c r="F6402" s="3"/>
      <c r="G6402" s="3"/>
      <c r="H6402" s="11"/>
      <c r="I6402" s="12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  <c r="AA6402" s="3"/>
      <c r="AB6402" s="3"/>
      <c r="AC6402" s="3"/>
      <c r="AD6402" s="3"/>
      <c r="AE6402" s="3"/>
      <c r="AF6402" s="3"/>
      <c r="AG6402" s="3"/>
      <c r="AH6402" s="3"/>
    </row>
    <row r="6403" spans="1:34" ht="14.25" customHeight="1" x14ac:dyDescent="0.25">
      <c r="A6403" s="3"/>
      <c r="B6403" s="3"/>
      <c r="C6403" s="3"/>
      <c r="D6403" s="3"/>
      <c r="E6403" s="3"/>
      <c r="F6403" s="3"/>
      <c r="G6403" s="3"/>
      <c r="H6403" s="11"/>
      <c r="I6403" s="12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  <c r="AA6403" s="3"/>
      <c r="AB6403" s="3"/>
      <c r="AC6403" s="3"/>
      <c r="AD6403" s="3"/>
      <c r="AE6403" s="3"/>
      <c r="AF6403" s="3"/>
      <c r="AG6403" s="3"/>
      <c r="AH6403" s="3"/>
    </row>
    <row r="6404" spans="1:34" ht="14.25" customHeight="1" x14ac:dyDescent="0.25">
      <c r="A6404" s="3"/>
      <c r="B6404" s="3"/>
      <c r="C6404" s="3"/>
      <c r="D6404" s="3"/>
      <c r="E6404" s="3"/>
      <c r="F6404" s="3"/>
      <c r="G6404" s="3"/>
      <c r="H6404" s="11"/>
      <c r="I6404" s="12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  <c r="AA6404" s="3"/>
      <c r="AB6404" s="3"/>
      <c r="AC6404" s="3"/>
      <c r="AD6404" s="3"/>
      <c r="AE6404" s="3"/>
      <c r="AF6404" s="3"/>
      <c r="AG6404" s="3"/>
      <c r="AH6404" s="3"/>
    </row>
    <row r="6405" spans="1:34" ht="14.25" customHeight="1" x14ac:dyDescent="0.25">
      <c r="A6405" s="3"/>
      <c r="B6405" s="3"/>
      <c r="C6405" s="3"/>
      <c r="D6405" s="3"/>
      <c r="E6405" s="3"/>
      <c r="F6405" s="3"/>
      <c r="G6405" s="3"/>
      <c r="H6405" s="11"/>
      <c r="I6405" s="12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  <c r="AA6405" s="3"/>
      <c r="AB6405" s="3"/>
      <c r="AC6405" s="3"/>
      <c r="AD6405" s="3"/>
      <c r="AE6405" s="3"/>
      <c r="AF6405" s="3"/>
      <c r="AG6405" s="3"/>
      <c r="AH6405" s="3"/>
    </row>
    <row r="6406" spans="1:34" ht="14.25" customHeight="1" x14ac:dyDescent="0.25">
      <c r="A6406" s="3"/>
      <c r="B6406" s="3"/>
      <c r="C6406" s="3"/>
      <c r="D6406" s="3"/>
      <c r="E6406" s="3"/>
      <c r="F6406" s="3"/>
      <c r="G6406" s="3"/>
      <c r="H6406" s="11"/>
      <c r="I6406" s="12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  <c r="AA6406" s="3"/>
      <c r="AB6406" s="3"/>
      <c r="AC6406" s="3"/>
      <c r="AD6406" s="3"/>
      <c r="AE6406" s="3"/>
      <c r="AF6406" s="3"/>
      <c r="AG6406" s="3"/>
      <c r="AH6406" s="3"/>
    </row>
    <row r="6407" spans="1:34" ht="14.25" customHeight="1" x14ac:dyDescent="0.25">
      <c r="A6407" s="3"/>
      <c r="B6407" s="3"/>
      <c r="C6407" s="3"/>
      <c r="D6407" s="3"/>
      <c r="E6407" s="3"/>
      <c r="F6407" s="3"/>
      <c r="G6407" s="3"/>
      <c r="H6407" s="11"/>
      <c r="I6407" s="12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  <c r="AA6407" s="3"/>
      <c r="AB6407" s="3"/>
      <c r="AC6407" s="3"/>
      <c r="AD6407" s="3"/>
      <c r="AE6407" s="3"/>
      <c r="AF6407" s="3"/>
      <c r="AG6407" s="3"/>
      <c r="AH6407" s="3"/>
    </row>
    <row r="6408" spans="1:34" ht="14.25" customHeight="1" x14ac:dyDescent="0.25">
      <c r="A6408" s="3"/>
      <c r="B6408" s="3"/>
      <c r="C6408" s="3"/>
      <c r="D6408" s="3"/>
      <c r="E6408" s="3"/>
      <c r="F6408" s="3"/>
      <c r="G6408" s="3"/>
      <c r="H6408" s="11"/>
      <c r="I6408" s="12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  <c r="AA6408" s="3"/>
      <c r="AB6408" s="3"/>
      <c r="AC6408" s="3"/>
      <c r="AD6408" s="3"/>
      <c r="AE6408" s="3"/>
      <c r="AF6408" s="3"/>
      <c r="AG6408" s="3"/>
      <c r="AH6408" s="3"/>
    </row>
    <row r="6409" spans="1:34" ht="14.25" customHeight="1" x14ac:dyDescent="0.25">
      <c r="A6409" s="3"/>
      <c r="B6409" s="3"/>
      <c r="C6409" s="3"/>
      <c r="D6409" s="3"/>
      <c r="E6409" s="3"/>
      <c r="F6409" s="3"/>
      <c r="G6409" s="3"/>
      <c r="H6409" s="11"/>
      <c r="I6409" s="12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  <c r="AA6409" s="3"/>
      <c r="AB6409" s="3"/>
      <c r="AC6409" s="3"/>
      <c r="AD6409" s="3"/>
      <c r="AE6409" s="3"/>
      <c r="AF6409" s="3"/>
      <c r="AG6409" s="3"/>
      <c r="AH6409" s="3"/>
    </row>
    <row r="6410" spans="1:34" ht="14.25" customHeight="1" x14ac:dyDescent="0.25">
      <c r="A6410" s="3"/>
      <c r="B6410" s="3"/>
      <c r="C6410" s="3"/>
      <c r="D6410" s="3"/>
      <c r="E6410" s="3"/>
      <c r="F6410" s="3"/>
      <c r="G6410" s="3"/>
      <c r="H6410" s="11"/>
      <c r="I6410" s="12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  <c r="AA6410" s="3"/>
      <c r="AB6410" s="3"/>
      <c r="AC6410" s="3"/>
      <c r="AD6410" s="3"/>
      <c r="AE6410" s="3"/>
      <c r="AF6410" s="3"/>
      <c r="AG6410" s="3"/>
      <c r="AH6410" s="3"/>
    </row>
    <row r="6411" spans="1:34" ht="14.25" customHeight="1" x14ac:dyDescent="0.25">
      <c r="A6411" s="3"/>
      <c r="B6411" s="3"/>
      <c r="C6411" s="3"/>
      <c r="D6411" s="3"/>
      <c r="E6411" s="3"/>
      <c r="F6411" s="3"/>
      <c r="G6411" s="3"/>
      <c r="H6411" s="11"/>
      <c r="I6411" s="12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  <c r="AA6411" s="3"/>
      <c r="AB6411" s="3"/>
      <c r="AC6411" s="3"/>
      <c r="AD6411" s="3"/>
      <c r="AE6411" s="3"/>
      <c r="AF6411" s="3"/>
      <c r="AG6411" s="3"/>
      <c r="AH6411" s="3"/>
    </row>
    <row r="6412" spans="1:34" ht="14.25" customHeight="1" x14ac:dyDescent="0.25">
      <c r="A6412" s="3"/>
      <c r="B6412" s="3"/>
      <c r="C6412" s="3"/>
      <c r="D6412" s="3"/>
      <c r="E6412" s="3"/>
      <c r="F6412" s="3"/>
      <c r="G6412" s="3"/>
      <c r="H6412" s="11"/>
      <c r="I6412" s="12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  <c r="AA6412" s="3"/>
      <c r="AB6412" s="3"/>
      <c r="AC6412" s="3"/>
      <c r="AD6412" s="3"/>
      <c r="AE6412" s="3"/>
      <c r="AF6412" s="3"/>
      <c r="AG6412" s="3"/>
      <c r="AH6412" s="3"/>
    </row>
    <row r="6413" spans="1:34" ht="14.25" customHeight="1" x14ac:dyDescent="0.25">
      <c r="A6413" s="3"/>
      <c r="B6413" s="3"/>
      <c r="C6413" s="3"/>
      <c r="D6413" s="3"/>
      <c r="E6413" s="3"/>
      <c r="F6413" s="3"/>
      <c r="G6413" s="3"/>
      <c r="H6413" s="11"/>
      <c r="I6413" s="12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  <c r="AA6413" s="3"/>
      <c r="AB6413" s="3"/>
      <c r="AC6413" s="3"/>
      <c r="AD6413" s="3"/>
      <c r="AE6413" s="3"/>
      <c r="AF6413" s="3"/>
      <c r="AG6413" s="3"/>
      <c r="AH6413" s="3"/>
    </row>
    <row r="6414" spans="1:34" ht="14.25" customHeight="1" x14ac:dyDescent="0.25">
      <c r="A6414" s="3"/>
      <c r="B6414" s="3"/>
      <c r="C6414" s="3"/>
      <c r="D6414" s="3"/>
      <c r="E6414" s="3"/>
      <c r="F6414" s="3"/>
      <c r="G6414" s="3"/>
      <c r="H6414" s="11"/>
      <c r="I6414" s="12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  <c r="AA6414" s="3"/>
      <c r="AB6414" s="3"/>
      <c r="AC6414" s="3"/>
      <c r="AD6414" s="3"/>
      <c r="AE6414" s="3"/>
      <c r="AF6414" s="3"/>
      <c r="AG6414" s="3"/>
      <c r="AH6414" s="3"/>
    </row>
    <row r="6415" spans="1:34" ht="14.25" customHeight="1" x14ac:dyDescent="0.25">
      <c r="A6415" s="3"/>
      <c r="B6415" s="3"/>
      <c r="C6415" s="3"/>
      <c r="D6415" s="3"/>
      <c r="E6415" s="3"/>
      <c r="F6415" s="3"/>
      <c r="G6415" s="3"/>
      <c r="H6415" s="11"/>
      <c r="I6415" s="12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  <c r="AA6415" s="3"/>
      <c r="AB6415" s="3"/>
      <c r="AC6415" s="3"/>
      <c r="AD6415" s="3"/>
      <c r="AE6415" s="3"/>
      <c r="AF6415" s="3"/>
      <c r="AG6415" s="3"/>
      <c r="AH6415" s="3"/>
    </row>
    <row r="6416" spans="1:34" ht="14.25" customHeight="1" x14ac:dyDescent="0.25">
      <c r="A6416" s="3"/>
      <c r="B6416" s="3"/>
      <c r="C6416" s="3"/>
      <c r="D6416" s="3"/>
      <c r="E6416" s="3"/>
      <c r="F6416" s="3"/>
      <c r="G6416" s="3"/>
      <c r="H6416" s="11"/>
      <c r="I6416" s="12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  <c r="AA6416" s="3"/>
      <c r="AB6416" s="3"/>
      <c r="AC6416" s="3"/>
      <c r="AD6416" s="3"/>
      <c r="AE6416" s="3"/>
      <c r="AF6416" s="3"/>
      <c r="AG6416" s="3"/>
      <c r="AH6416" s="3"/>
    </row>
    <row r="6417" spans="1:34" ht="14.25" customHeight="1" x14ac:dyDescent="0.25">
      <c r="A6417" s="3"/>
      <c r="B6417" s="3"/>
      <c r="C6417" s="3"/>
      <c r="D6417" s="3"/>
      <c r="E6417" s="3"/>
      <c r="F6417" s="3"/>
      <c r="G6417" s="3"/>
      <c r="H6417" s="11"/>
      <c r="I6417" s="12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  <c r="AA6417" s="3"/>
      <c r="AB6417" s="3"/>
      <c r="AC6417" s="3"/>
      <c r="AD6417" s="3"/>
      <c r="AE6417" s="3"/>
      <c r="AF6417" s="3"/>
      <c r="AG6417" s="3"/>
      <c r="AH6417" s="3"/>
    </row>
    <row r="6418" spans="1:34" ht="14.25" customHeight="1" x14ac:dyDescent="0.25">
      <c r="A6418" s="3"/>
      <c r="B6418" s="3"/>
      <c r="C6418" s="3"/>
      <c r="D6418" s="3"/>
      <c r="E6418" s="3"/>
      <c r="F6418" s="3"/>
      <c r="G6418" s="3"/>
      <c r="H6418" s="11"/>
      <c r="I6418" s="12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  <c r="AA6418" s="3"/>
      <c r="AB6418" s="3"/>
      <c r="AC6418" s="3"/>
      <c r="AD6418" s="3"/>
      <c r="AE6418" s="3"/>
      <c r="AF6418" s="3"/>
      <c r="AG6418" s="3"/>
      <c r="AH6418" s="3"/>
    </row>
    <row r="6419" spans="1:34" ht="14.25" customHeight="1" x14ac:dyDescent="0.25">
      <c r="A6419" s="3"/>
      <c r="B6419" s="3"/>
      <c r="C6419" s="3"/>
      <c r="D6419" s="3"/>
      <c r="E6419" s="3"/>
      <c r="F6419" s="3"/>
      <c r="G6419" s="3"/>
      <c r="H6419" s="11"/>
      <c r="I6419" s="12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  <c r="AA6419" s="3"/>
      <c r="AB6419" s="3"/>
      <c r="AC6419" s="3"/>
      <c r="AD6419" s="3"/>
      <c r="AE6419" s="3"/>
      <c r="AF6419" s="3"/>
      <c r="AG6419" s="3"/>
      <c r="AH6419" s="3"/>
    </row>
    <row r="6420" spans="1:34" ht="14.25" customHeight="1" x14ac:dyDescent="0.25">
      <c r="A6420" s="3"/>
      <c r="B6420" s="3"/>
      <c r="C6420" s="3"/>
      <c r="D6420" s="3"/>
      <c r="E6420" s="3"/>
      <c r="F6420" s="3"/>
      <c r="G6420" s="3"/>
      <c r="H6420" s="11"/>
      <c r="I6420" s="12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  <c r="AA6420" s="3"/>
      <c r="AB6420" s="3"/>
      <c r="AC6420" s="3"/>
      <c r="AD6420" s="3"/>
      <c r="AE6420" s="3"/>
      <c r="AF6420" s="3"/>
      <c r="AG6420" s="3"/>
      <c r="AH6420" s="3"/>
    </row>
    <row r="6421" spans="1:34" ht="14.25" customHeight="1" x14ac:dyDescent="0.25">
      <c r="A6421" s="3"/>
      <c r="B6421" s="3"/>
      <c r="C6421" s="3"/>
      <c r="D6421" s="3"/>
      <c r="E6421" s="3"/>
      <c r="F6421" s="3"/>
      <c r="G6421" s="14"/>
      <c r="H6421" s="11"/>
      <c r="I6421" s="12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  <c r="AA6421" s="3"/>
      <c r="AB6421" s="3"/>
      <c r="AC6421" s="3"/>
      <c r="AD6421" s="3"/>
      <c r="AE6421" s="3"/>
      <c r="AF6421" s="3"/>
      <c r="AG6421" s="3"/>
      <c r="AH6421" s="3"/>
    </row>
    <row r="6422" spans="1:34" ht="14.25" customHeight="1" x14ac:dyDescent="0.25">
      <c r="A6422" s="3"/>
      <c r="B6422" s="3"/>
      <c r="C6422" s="3"/>
      <c r="D6422" s="3"/>
      <c r="E6422" s="3"/>
      <c r="F6422" s="3"/>
      <c r="G6422" s="3"/>
      <c r="H6422" s="11"/>
      <c r="I6422" s="12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  <c r="AA6422" s="3"/>
      <c r="AB6422" s="3"/>
      <c r="AC6422" s="3"/>
      <c r="AD6422" s="3"/>
      <c r="AE6422" s="3"/>
      <c r="AF6422" s="3"/>
      <c r="AG6422" s="3"/>
      <c r="AH6422" s="3"/>
    </row>
    <row r="6423" spans="1:34" ht="14.25" customHeight="1" x14ac:dyDescent="0.25">
      <c r="A6423" s="3"/>
      <c r="B6423" s="3"/>
      <c r="C6423" s="3"/>
      <c r="D6423" s="3"/>
      <c r="E6423" s="3"/>
      <c r="F6423" s="3"/>
      <c r="G6423" s="3"/>
      <c r="H6423" s="11"/>
      <c r="I6423" s="12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  <c r="AA6423" s="3"/>
      <c r="AB6423" s="3"/>
      <c r="AC6423" s="3"/>
      <c r="AD6423" s="3"/>
      <c r="AE6423" s="3"/>
      <c r="AF6423" s="3"/>
      <c r="AG6423" s="3"/>
      <c r="AH6423" s="3"/>
    </row>
    <row r="6424" spans="1:34" ht="14.25" customHeight="1" x14ac:dyDescent="0.25">
      <c r="A6424" s="3"/>
      <c r="B6424" s="3"/>
      <c r="C6424" s="3"/>
      <c r="D6424" s="3"/>
      <c r="E6424" s="3"/>
      <c r="F6424" s="3"/>
      <c r="G6424" s="3"/>
      <c r="H6424" s="11"/>
      <c r="I6424" s="12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  <c r="AA6424" s="3"/>
      <c r="AB6424" s="3"/>
      <c r="AC6424" s="3"/>
      <c r="AD6424" s="3"/>
      <c r="AE6424" s="3"/>
      <c r="AF6424" s="3"/>
      <c r="AG6424" s="3"/>
      <c r="AH6424" s="3"/>
    </row>
    <row r="6425" spans="1:34" ht="14.25" customHeight="1" x14ac:dyDescent="0.25">
      <c r="A6425" s="3"/>
      <c r="B6425" s="3"/>
      <c r="C6425" s="3"/>
      <c r="D6425" s="3"/>
      <c r="E6425" s="3"/>
      <c r="F6425" s="3"/>
      <c r="G6425" s="3"/>
      <c r="H6425" s="11"/>
      <c r="I6425" s="12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  <c r="AA6425" s="3"/>
      <c r="AB6425" s="3"/>
      <c r="AC6425" s="3"/>
      <c r="AD6425" s="3"/>
      <c r="AE6425" s="3"/>
      <c r="AF6425" s="3"/>
      <c r="AG6425" s="3"/>
      <c r="AH6425" s="3"/>
    </row>
    <row r="6426" spans="1:34" ht="14.25" customHeight="1" x14ac:dyDescent="0.25">
      <c r="A6426" s="3"/>
      <c r="B6426" s="3"/>
      <c r="C6426" s="3"/>
      <c r="D6426" s="3"/>
      <c r="E6426" s="3"/>
      <c r="F6426" s="3"/>
      <c r="G6426" s="3"/>
      <c r="H6426" s="11"/>
      <c r="I6426" s="12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  <c r="AA6426" s="3"/>
      <c r="AB6426" s="3"/>
      <c r="AC6426" s="3"/>
      <c r="AD6426" s="3"/>
      <c r="AE6426" s="3"/>
      <c r="AF6426" s="3"/>
      <c r="AG6426" s="3"/>
      <c r="AH6426" s="3"/>
    </row>
    <row r="6427" spans="1:34" ht="14.25" customHeight="1" x14ac:dyDescent="0.25">
      <c r="A6427" s="3"/>
      <c r="B6427" s="3"/>
      <c r="C6427" s="3"/>
      <c r="D6427" s="3"/>
      <c r="E6427" s="3"/>
      <c r="F6427" s="3"/>
      <c r="G6427" s="3"/>
      <c r="H6427" s="11"/>
      <c r="I6427" s="12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  <c r="AA6427" s="3"/>
      <c r="AB6427" s="3"/>
      <c r="AC6427" s="3"/>
      <c r="AD6427" s="3"/>
      <c r="AE6427" s="3"/>
      <c r="AF6427" s="3"/>
      <c r="AG6427" s="3"/>
      <c r="AH6427" s="3"/>
    </row>
    <row r="6428" spans="1:34" ht="14.25" customHeight="1" x14ac:dyDescent="0.25">
      <c r="A6428" s="3"/>
      <c r="B6428" s="3"/>
      <c r="C6428" s="3"/>
      <c r="D6428" s="3"/>
      <c r="E6428" s="3"/>
      <c r="F6428" s="3"/>
      <c r="G6428" s="3"/>
      <c r="H6428" s="11"/>
      <c r="I6428" s="12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  <c r="AA6428" s="3"/>
      <c r="AB6428" s="3"/>
      <c r="AC6428" s="3"/>
      <c r="AD6428" s="3"/>
      <c r="AE6428" s="3"/>
      <c r="AF6428" s="3"/>
      <c r="AG6428" s="3"/>
      <c r="AH6428" s="3"/>
    </row>
    <row r="6429" spans="1:34" ht="14.25" customHeight="1" x14ac:dyDescent="0.25">
      <c r="A6429" s="3"/>
      <c r="B6429" s="3"/>
      <c r="C6429" s="3"/>
      <c r="D6429" s="3"/>
      <c r="E6429" s="3"/>
      <c r="F6429" s="3"/>
      <c r="G6429" s="3"/>
      <c r="H6429" s="11"/>
      <c r="I6429" s="12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  <c r="AA6429" s="3"/>
      <c r="AB6429" s="3"/>
      <c r="AC6429" s="3"/>
      <c r="AD6429" s="3"/>
      <c r="AE6429" s="3"/>
      <c r="AF6429" s="3"/>
      <c r="AG6429" s="3"/>
      <c r="AH6429" s="3"/>
    </row>
    <row r="6430" spans="1:34" ht="14.25" customHeight="1" x14ac:dyDescent="0.25">
      <c r="A6430" s="3"/>
      <c r="B6430" s="3"/>
      <c r="C6430" s="3"/>
      <c r="D6430" s="3"/>
      <c r="E6430" s="3"/>
      <c r="F6430" s="3"/>
      <c r="G6430" s="3"/>
      <c r="H6430" s="11"/>
      <c r="I6430" s="12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  <c r="AA6430" s="3"/>
      <c r="AB6430" s="3"/>
      <c r="AC6430" s="3"/>
      <c r="AD6430" s="3"/>
      <c r="AE6430" s="3"/>
      <c r="AF6430" s="3"/>
      <c r="AG6430" s="3"/>
      <c r="AH6430" s="3"/>
    </row>
    <row r="6431" spans="1:34" ht="14.25" customHeight="1" x14ac:dyDescent="0.25">
      <c r="A6431" s="3"/>
      <c r="B6431" s="3"/>
      <c r="C6431" s="3"/>
      <c r="D6431" s="3"/>
      <c r="E6431" s="3"/>
      <c r="F6431" s="3"/>
      <c r="G6431" s="3"/>
      <c r="H6431" s="11"/>
      <c r="I6431" s="12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  <c r="AA6431" s="3"/>
      <c r="AB6431" s="3"/>
      <c r="AC6431" s="3"/>
      <c r="AD6431" s="3"/>
      <c r="AE6431" s="3"/>
      <c r="AF6431" s="3"/>
      <c r="AG6431" s="3"/>
      <c r="AH6431" s="3"/>
    </row>
    <row r="6432" spans="1:34" ht="14.25" customHeight="1" x14ac:dyDescent="0.25">
      <c r="A6432" s="3"/>
      <c r="B6432" s="3"/>
      <c r="C6432" s="3"/>
      <c r="D6432" s="3"/>
      <c r="E6432" s="3"/>
      <c r="F6432" s="3"/>
      <c r="G6432" s="3"/>
      <c r="H6432" s="11"/>
      <c r="I6432" s="12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  <c r="AA6432" s="3"/>
      <c r="AB6432" s="3"/>
      <c r="AC6432" s="3"/>
      <c r="AD6432" s="3"/>
      <c r="AE6432" s="3"/>
      <c r="AF6432" s="3"/>
      <c r="AG6432" s="3"/>
      <c r="AH6432" s="3"/>
    </row>
    <row r="6433" spans="1:34" ht="14.25" customHeight="1" x14ac:dyDescent="0.25">
      <c r="A6433" s="3"/>
      <c r="B6433" s="3"/>
      <c r="C6433" s="3"/>
      <c r="D6433" s="3"/>
      <c r="E6433" s="3"/>
      <c r="F6433" s="3"/>
      <c r="G6433" s="3"/>
      <c r="H6433" s="11"/>
      <c r="I6433" s="12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  <c r="AA6433" s="3"/>
      <c r="AB6433" s="3"/>
      <c r="AC6433" s="3"/>
      <c r="AD6433" s="3"/>
      <c r="AE6433" s="3"/>
      <c r="AF6433" s="3"/>
      <c r="AG6433" s="3"/>
      <c r="AH6433" s="3"/>
    </row>
    <row r="6434" spans="1:34" ht="14.25" customHeight="1" x14ac:dyDescent="0.25">
      <c r="A6434" s="3"/>
      <c r="B6434" s="3"/>
      <c r="C6434" s="3"/>
      <c r="D6434" s="3"/>
      <c r="E6434" s="3"/>
      <c r="F6434" s="3"/>
      <c r="G6434" s="3"/>
      <c r="H6434" s="11"/>
      <c r="I6434" s="12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  <c r="AA6434" s="3"/>
      <c r="AB6434" s="3"/>
      <c r="AC6434" s="3"/>
      <c r="AD6434" s="3"/>
      <c r="AE6434" s="3"/>
      <c r="AF6434" s="3"/>
      <c r="AG6434" s="3"/>
      <c r="AH6434" s="3"/>
    </row>
    <row r="6435" spans="1:34" ht="14.25" customHeight="1" x14ac:dyDescent="0.25">
      <c r="A6435" s="3"/>
      <c r="B6435" s="3"/>
      <c r="C6435" s="3"/>
      <c r="D6435" s="3"/>
      <c r="E6435" s="3"/>
      <c r="F6435" s="3"/>
      <c r="G6435" s="3"/>
      <c r="H6435" s="11"/>
      <c r="I6435" s="12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  <c r="AA6435" s="3"/>
      <c r="AB6435" s="3"/>
      <c r="AC6435" s="3"/>
      <c r="AD6435" s="3"/>
      <c r="AE6435" s="3"/>
      <c r="AF6435" s="3"/>
      <c r="AG6435" s="3"/>
      <c r="AH6435" s="3"/>
    </row>
    <row r="6436" spans="1:34" ht="14.25" customHeight="1" x14ac:dyDescent="0.25">
      <c r="A6436" s="3"/>
      <c r="B6436" s="3"/>
      <c r="C6436" s="3"/>
      <c r="D6436" s="3"/>
      <c r="E6436" s="3"/>
      <c r="F6436" s="3"/>
      <c r="G6436" s="3"/>
      <c r="H6436" s="11"/>
      <c r="I6436" s="12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  <c r="AA6436" s="3"/>
      <c r="AB6436" s="3"/>
      <c r="AC6436" s="3"/>
      <c r="AD6436" s="3"/>
      <c r="AE6436" s="3"/>
      <c r="AF6436" s="3"/>
      <c r="AG6436" s="3"/>
      <c r="AH6436" s="3"/>
    </row>
    <row r="6437" spans="1:34" ht="14.25" customHeight="1" x14ac:dyDescent="0.25">
      <c r="A6437" s="3"/>
      <c r="B6437" s="3"/>
      <c r="C6437" s="3"/>
      <c r="D6437" s="3"/>
      <c r="E6437" s="3"/>
      <c r="F6437" s="3"/>
      <c r="G6437" s="3"/>
      <c r="H6437" s="11"/>
      <c r="I6437" s="12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  <c r="AA6437" s="3"/>
      <c r="AB6437" s="3"/>
      <c r="AC6437" s="3"/>
      <c r="AD6437" s="3"/>
      <c r="AE6437" s="3"/>
      <c r="AF6437" s="3"/>
      <c r="AG6437" s="3"/>
      <c r="AH6437" s="3"/>
    </row>
    <row r="6438" spans="1:34" ht="14.25" customHeight="1" x14ac:dyDescent="0.25">
      <c r="A6438" s="3"/>
      <c r="B6438" s="3"/>
      <c r="C6438" s="3"/>
      <c r="D6438" s="3"/>
      <c r="E6438" s="3"/>
      <c r="F6438" s="3"/>
      <c r="G6438" s="3"/>
      <c r="H6438" s="11"/>
      <c r="I6438" s="12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  <c r="AA6438" s="3"/>
      <c r="AB6438" s="3"/>
      <c r="AC6438" s="3"/>
      <c r="AD6438" s="3"/>
      <c r="AE6438" s="3"/>
      <c r="AF6438" s="3"/>
      <c r="AG6438" s="3"/>
      <c r="AH6438" s="3"/>
    </row>
    <row r="6439" spans="1:34" ht="14.25" customHeight="1" x14ac:dyDescent="0.25">
      <c r="A6439" s="3"/>
      <c r="B6439" s="3"/>
      <c r="C6439" s="3"/>
      <c r="D6439" s="3"/>
      <c r="E6439" s="3"/>
      <c r="F6439" s="3"/>
      <c r="G6439" s="3"/>
      <c r="H6439" s="11"/>
      <c r="I6439" s="12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  <c r="AA6439" s="3"/>
      <c r="AB6439" s="3"/>
      <c r="AC6439" s="3"/>
      <c r="AD6439" s="3"/>
      <c r="AE6439" s="3"/>
      <c r="AF6439" s="3"/>
      <c r="AG6439" s="3"/>
      <c r="AH6439" s="3"/>
    </row>
    <row r="6440" spans="1:34" ht="14.25" customHeight="1" x14ac:dyDescent="0.25">
      <c r="A6440" s="3"/>
      <c r="B6440" s="3"/>
      <c r="C6440" s="3"/>
      <c r="D6440" s="3"/>
      <c r="E6440" s="3"/>
      <c r="F6440" s="3"/>
      <c r="G6440" s="3"/>
      <c r="H6440" s="11"/>
      <c r="I6440" s="12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  <c r="AA6440" s="3"/>
      <c r="AB6440" s="3"/>
      <c r="AC6440" s="3"/>
      <c r="AD6440" s="3"/>
      <c r="AE6440" s="3"/>
      <c r="AF6440" s="3"/>
      <c r="AG6440" s="3"/>
      <c r="AH6440" s="3"/>
    </row>
    <row r="6441" spans="1:34" ht="14.25" customHeight="1" x14ac:dyDescent="0.25">
      <c r="A6441" s="3"/>
      <c r="B6441" s="3"/>
      <c r="C6441" s="3"/>
      <c r="D6441" s="3"/>
      <c r="E6441" s="3"/>
      <c r="F6441" s="3"/>
      <c r="G6441" s="3"/>
      <c r="H6441" s="11"/>
      <c r="I6441" s="12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  <c r="AA6441" s="3"/>
      <c r="AB6441" s="3"/>
      <c r="AC6441" s="3"/>
      <c r="AD6441" s="3"/>
      <c r="AE6441" s="3"/>
      <c r="AF6441" s="3"/>
      <c r="AG6441" s="3"/>
      <c r="AH6441" s="3"/>
    </row>
    <row r="6442" spans="1:34" ht="14.25" customHeight="1" x14ac:dyDescent="0.25">
      <c r="A6442" s="3"/>
      <c r="B6442" s="3"/>
      <c r="C6442" s="3"/>
      <c r="D6442" s="3"/>
      <c r="E6442" s="3"/>
      <c r="F6442" s="3"/>
      <c r="G6442" s="3"/>
      <c r="H6442" s="11"/>
      <c r="I6442" s="12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  <c r="AA6442" s="3"/>
      <c r="AB6442" s="3"/>
      <c r="AC6442" s="3"/>
      <c r="AD6442" s="3"/>
      <c r="AE6442" s="3"/>
      <c r="AF6442" s="3"/>
      <c r="AG6442" s="3"/>
      <c r="AH6442" s="3"/>
    </row>
    <row r="6443" spans="1:34" ht="14.25" customHeight="1" x14ac:dyDescent="0.25">
      <c r="A6443" s="3"/>
      <c r="B6443" s="3"/>
      <c r="C6443" s="3"/>
      <c r="D6443" s="3"/>
      <c r="E6443" s="3"/>
      <c r="F6443" s="3"/>
      <c r="G6443" s="3"/>
      <c r="H6443" s="11"/>
      <c r="I6443" s="12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  <c r="AA6443" s="3"/>
      <c r="AB6443" s="3"/>
      <c r="AC6443" s="3"/>
      <c r="AD6443" s="3"/>
      <c r="AE6443" s="3"/>
      <c r="AF6443" s="3"/>
      <c r="AG6443" s="3"/>
      <c r="AH6443" s="3"/>
    </row>
    <row r="6444" spans="1:34" ht="14.25" customHeight="1" x14ac:dyDescent="0.25">
      <c r="A6444" s="3"/>
      <c r="B6444" s="3"/>
      <c r="C6444" s="3"/>
      <c r="D6444" s="3"/>
      <c r="E6444" s="3"/>
      <c r="F6444" s="3"/>
      <c r="G6444" s="3"/>
      <c r="H6444" s="11"/>
      <c r="I6444" s="12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  <c r="AA6444" s="3"/>
      <c r="AB6444" s="3"/>
      <c r="AC6444" s="3"/>
      <c r="AD6444" s="3"/>
      <c r="AE6444" s="3"/>
      <c r="AF6444" s="3"/>
      <c r="AG6444" s="3"/>
      <c r="AH6444" s="3"/>
    </row>
    <row r="6445" spans="1:34" ht="14.25" customHeight="1" x14ac:dyDescent="0.25">
      <c r="A6445" s="3"/>
      <c r="B6445" s="3"/>
      <c r="C6445" s="3"/>
      <c r="D6445" s="3"/>
      <c r="E6445" s="3"/>
      <c r="F6445" s="3"/>
      <c r="G6445" s="3"/>
      <c r="H6445" s="11"/>
      <c r="I6445" s="12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  <c r="AA6445" s="3"/>
      <c r="AB6445" s="3"/>
      <c r="AC6445" s="3"/>
      <c r="AD6445" s="3"/>
      <c r="AE6445" s="3"/>
      <c r="AF6445" s="3"/>
      <c r="AG6445" s="3"/>
      <c r="AH6445" s="3"/>
    </row>
    <row r="6446" spans="1:34" ht="14.25" customHeight="1" x14ac:dyDescent="0.25">
      <c r="A6446" s="3"/>
      <c r="B6446" s="3"/>
      <c r="C6446" s="3"/>
      <c r="D6446" s="3"/>
      <c r="E6446" s="3"/>
      <c r="F6446" s="3"/>
      <c r="G6446" s="3"/>
      <c r="H6446" s="11"/>
      <c r="I6446" s="12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  <c r="AA6446" s="3"/>
      <c r="AB6446" s="3"/>
      <c r="AC6446" s="3"/>
      <c r="AD6446" s="3"/>
      <c r="AE6446" s="3"/>
      <c r="AF6446" s="3"/>
      <c r="AG6446" s="3"/>
      <c r="AH6446" s="3"/>
    </row>
    <row r="6447" spans="1:34" ht="14.25" customHeight="1" x14ac:dyDescent="0.25">
      <c r="A6447" s="3"/>
      <c r="B6447" s="3"/>
      <c r="C6447" s="3"/>
      <c r="D6447" s="3"/>
      <c r="E6447" s="3"/>
      <c r="F6447" s="3"/>
      <c r="G6447" s="3"/>
      <c r="H6447" s="11"/>
      <c r="I6447" s="12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  <c r="AA6447" s="3"/>
      <c r="AB6447" s="3"/>
      <c r="AC6447" s="3"/>
      <c r="AD6447" s="3"/>
      <c r="AE6447" s="3"/>
      <c r="AF6447" s="3"/>
      <c r="AG6447" s="3"/>
      <c r="AH6447" s="3"/>
    </row>
    <row r="6448" spans="1:34" ht="14.25" customHeight="1" x14ac:dyDescent="0.25">
      <c r="A6448" s="3"/>
      <c r="B6448" s="3"/>
      <c r="C6448" s="3"/>
      <c r="D6448" s="3"/>
      <c r="E6448" s="3"/>
      <c r="F6448" s="3"/>
      <c r="G6448" s="3"/>
      <c r="H6448" s="11"/>
      <c r="I6448" s="12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  <c r="AA6448" s="3"/>
      <c r="AB6448" s="3"/>
      <c r="AC6448" s="3"/>
      <c r="AD6448" s="3"/>
      <c r="AE6448" s="3"/>
      <c r="AF6448" s="3"/>
      <c r="AG6448" s="3"/>
      <c r="AH6448" s="3"/>
    </row>
    <row r="6449" spans="1:34" ht="14.25" customHeight="1" x14ac:dyDescent="0.25">
      <c r="A6449" s="3"/>
      <c r="B6449" s="3"/>
      <c r="C6449" s="3"/>
      <c r="D6449" s="3"/>
      <c r="E6449" s="3"/>
      <c r="F6449" s="3"/>
      <c r="G6449" s="3"/>
      <c r="H6449" s="11"/>
      <c r="I6449" s="12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  <c r="AA6449" s="3"/>
      <c r="AB6449" s="3"/>
      <c r="AC6449" s="3"/>
      <c r="AD6449" s="3"/>
      <c r="AE6449" s="3"/>
      <c r="AF6449" s="3"/>
      <c r="AG6449" s="3"/>
      <c r="AH6449" s="3"/>
    </row>
    <row r="6450" spans="1:34" ht="14.25" customHeight="1" x14ac:dyDescent="0.25">
      <c r="A6450" s="3"/>
      <c r="B6450" s="3"/>
      <c r="C6450" s="3"/>
      <c r="D6450" s="3"/>
      <c r="E6450" s="3"/>
      <c r="F6450" s="3"/>
      <c r="G6450" s="3"/>
      <c r="H6450" s="11"/>
      <c r="I6450" s="12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  <c r="AA6450" s="3"/>
      <c r="AB6450" s="3"/>
      <c r="AC6450" s="3"/>
      <c r="AD6450" s="3"/>
      <c r="AE6450" s="3"/>
      <c r="AF6450" s="3"/>
      <c r="AG6450" s="3"/>
      <c r="AH6450" s="3"/>
    </row>
    <row r="6451" spans="1:34" ht="14.25" customHeight="1" x14ac:dyDescent="0.25">
      <c r="A6451" s="3"/>
      <c r="B6451" s="3"/>
      <c r="C6451" s="3"/>
      <c r="D6451" s="3"/>
      <c r="E6451" s="3"/>
      <c r="F6451" s="3"/>
      <c r="G6451" s="3"/>
      <c r="H6451" s="11"/>
      <c r="I6451" s="12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  <c r="AA6451" s="3"/>
      <c r="AB6451" s="3"/>
      <c r="AC6451" s="3"/>
      <c r="AD6451" s="3"/>
      <c r="AE6451" s="3"/>
      <c r="AF6451" s="3"/>
      <c r="AG6451" s="3"/>
      <c r="AH6451" s="3"/>
    </row>
    <row r="6452" spans="1:34" ht="14.25" customHeight="1" x14ac:dyDescent="0.25">
      <c r="A6452" s="3"/>
      <c r="B6452" s="3"/>
      <c r="C6452" s="3"/>
      <c r="D6452" s="3"/>
      <c r="E6452" s="3"/>
      <c r="F6452" s="3"/>
      <c r="G6452" s="3"/>
      <c r="H6452" s="11"/>
      <c r="I6452" s="12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  <c r="AA6452" s="3"/>
      <c r="AB6452" s="3"/>
      <c r="AC6452" s="3"/>
      <c r="AD6452" s="3"/>
      <c r="AE6452" s="3"/>
      <c r="AF6452" s="3"/>
      <c r="AG6452" s="3"/>
      <c r="AH6452" s="3"/>
    </row>
    <row r="6453" spans="1:34" ht="14.25" customHeight="1" x14ac:dyDescent="0.25">
      <c r="A6453" s="3"/>
      <c r="B6453" s="3"/>
      <c r="C6453" s="3"/>
      <c r="D6453" s="3"/>
      <c r="E6453" s="3"/>
      <c r="F6453" s="3"/>
      <c r="G6453" s="3"/>
      <c r="H6453" s="11"/>
      <c r="I6453" s="12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  <c r="AA6453" s="3"/>
      <c r="AB6453" s="3"/>
      <c r="AC6453" s="3"/>
      <c r="AD6453" s="3"/>
      <c r="AE6453" s="3"/>
      <c r="AF6453" s="3"/>
      <c r="AG6453" s="3"/>
      <c r="AH6453" s="3"/>
    </row>
    <row r="6454" spans="1:34" ht="14.25" customHeight="1" x14ac:dyDescent="0.25">
      <c r="A6454" s="3"/>
      <c r="B6454" s="3"/>
      <c r="C6454" s="3"/>
      <c r="D6454" s="3"/>
      <c r="E6454" s="3"/>
      <c r="F6454" s="3"/>
      <c r="G6454" s="3"/>
      <c r="H6454" s="11"/>
      <c r="I6454" s="12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  <c r="AA6454" s="3"/>
      <c r="AB6454" s="3"/>
      <c r="AC6454" s="3"/>
      <c r="AD6454" s="3"/>
      <c r="AE6454" s="3"/>
      <c r="AF6454" s="3"/>
      <c r="AG6454" s="3"/>
      <c r="AH6454" s="3"/>
    </row>
    <row r="6455" spans="1:34" ht="14.25" customHeight="1" x14ac:dyDescent="0.25">
      <c r="A6455" s="3"/>
      <c r="B6455" s="3"/>
      <c r="C6455" s="3"/>
      <c r="D6455" s="3"/>
      <c r="E6455" s="3"/>
      <c r="F6455" s="3"/>
      <c r="G6455" s="3"/>
      <c r="H6455" s="11"/>
      <c r="I6455" s="12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  <c r="AA6455" s="3"/>
      <c r="AB6455" s="3"/>
      <c r="AC6455" s="3"/>
      <c r="AD6455" s="3"/>
      <c r="AE6455" s="3"/>
      <c r="AF6455" s="3"/>
      <c r="AG6455" s="3"/>
      <c r="AH6455" s="3"/>
    </row>
    <row r="6456" spans="1:34" ht="14.25" customHeight="1" x14ac:dyDescent="0.25">
      <c r="A6456" s="3"/>
      <c r="B6456" s="3"/>
      <c r="C6456" s="3"/>
      <c r="D6456" s="3"/>
      <c r="E6456" s="3"/>
      <c r="F6456" s="3"/>
      <c r="G6456" s="3"/>
      <c r="H6456" s="11"/>
      <c r="I6456" s="12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  <c r="AA6456" s="3"/>
      <c r="AB6456" s="3"/>
      <c r="AC6456" s="3"/>
      <c r="AD6456" s="3"/>
      <c r="AE6456" s="3"/>
      <c r="AF6456" s="3"/>
      <c r="AG6456" s="3"/>
      <c r="AH6456" s="3"/>
    </row>
    <row r="6457" spans="1:34" ht="14.25" customHeight="1" x14ac:dyDescent="0.25">
      <c r="A6457" s="3"/>
      <c r="B6457" s="3"/>
      <c r="C6457" s="3"/>
      <c r="D6457" s="3"/>
      <c r="E6457" s="3"/>
      <c r="F6457" s="3"/>
      <c r="G6457" s="3"/>
      <c r="H6457" s="11"/>
      <c r="I6457" s="12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  <c r="AA6457" s="3"/>
      <c r="AB6457" s="3"/>
      <c r="AC6457" s="3"/>
      <c r="AD6457" s="3"/>
      <c r="AE6457" s="3"/>
      <c r="AF6457" s="3"/>
      <c r="AG6457" s="3"/>
      <c r="AH6457" s="3"/>
    </row>
    <row r="6458" spans="1:34" ht="14.25" customHeight="1" x14ac:dyDescent="0.25">
      <c r="A6458" s="3"/>
      <c r="B6458" s="3"/>
      <c r="C6458" s="3"/>
      <c r="D6458" s="3"/>
      <c r="E6458" s="3"/>
      <c r="F6458" s="3"/>
      <c r="G6458" s="3"/>
      <c r="H6458" s="11"/>
      <c r="I6458" s="12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  <c r="AA6458" s="3"/>
      <c r="AB6458" s="3"/>
      <c r="AC6458" s="3"/>
      <c r="AD6458" s="3"/>
      <c r="AE6458" s="3"/>
      <c r="AF6458" s="3"/>
      <c r="AG6458" s="3"/>
      <c r="AH6458" s="3"/>
    </row>
    <row r="6459" spans="1:34" ht="14.25" customHeight="1" x14ac:dyDescent="0.25">
      <c r="A6459" s="3"/>
      <c r="B6459" s="3"/>
      <c r="C6459" s="3"/>
      <c r="D6459" s="3"/>
      <c r="E6459" s="3"/>
      <c r="F6459" s="3"/>
      <c r="G6459" s="3"/>
      <c r="H6459" s="11"/>
      <c r="I6459" s="12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  <c r="AA6459" s="3"/>
      <c r="AB6459" s="3"/>
      <c r="AC6459" s="3"/>
      <c r="AD6459" s="3"/>
      <c r="AE6459" s="3"/>
      <c r="AF6459" s="3"/>
      <c r="AG6459" s="3"/>
      <c r="AH6459" s="3"/>
    </row>
    <row r="6460" spans="1:34" ht="14.25" customHeight="1" x14ac:dyDescent="0.25">
      <c r="A6460" s="3"/>
      <c r="B6460" s="3"/>
      <c r="C6460" s="3"/>
      <c r="D6460" s="3"/>
      <c r="E6460" s="3"/>
      <c r="F6460" s="3"/>
      <c r="G6460" s="3"/>
      <c r="H6460" s="11"/>
      <c r="I6460" s="12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  <c r="AA6460" s="3"/>
      <c r="AB6460" s="3"/>
      <c r="AC6460" s="3"/>
      <c r="AD6460" s="3"/>
      <c r="AE6460" s="3"/>
      <c r="AF6460" s="3"/>
      <c r="AG6460" s="3"/>
      <c r="AH6460" s="3"/>
    </row>
    <row r="6461" spans="1:34" ht="14.25" customHeight="1" x14ac:dyDescent="0.25">
      <c r="A6461" s="3"/>
      <c r="B6461" s="3"/>
      <c r="C6461" s="3"/>
      <c r="D6461" s="3"/>
      <c r="E6461" s="3"/>
      <c r="F6461" s="3"/>
      <c r="G6461" s="3"/>
      <c r="H6461" s="11"/>
      <c r="I6461" s="12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  <c r="AA6461" s="3"/>
      <c r="AB6461" s="3"/>
      <c r="AC6461" s="3"/>
      <c r="AD6461" s="3"/>
      <c r="AE6461" s="3"/>
      <c r="AF6461" s="3"/>
      <c r="AG6461" s="3"/>
      <c r="AH6461" s="3"/>
    </row>
    <row r="6462" spans="1:34" ht="14.25" customHeight="1" x14ac:dyDescent="0.25">
      <c r="A6462" s="3"/>
      <c r="B6462" s="3"/>
      <c r="C6462" s="3"/>
      <c r="D6462" s="3"/>
      <c r="E6462" s="3"/>
      <c r="F6462" s="3"/>
      <c r="G6462" s="3"/>
      <c r="H6462" s="11"/>
      <c r="I6462" s="12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  <c r="AA6462" s="3"/>
      <c r="AB6462" s="3"/>
      <c r="AC6462" s="3"/>
      <c r="AD6462" s="3"/>
      <c r="AE6462" s="3"/>
      <c r="AF6462" s="3"/>
      <c r="AG6462" s="3"/>
      <c r="AH6462" s="3"/>
    </row>
    <row r="6463" spans="1:34" ht="14.25" customHeight="1" x14ac:dyDescent="0.25">
      <c r="A6463" s="3"/>
      <c r="B6463" s="3"/>
      <c r="C6463" s="3"/>
      <c r="D6463" s="3"/>
      <c r="E6463" s="3"/>
      <c r="F6463" s="3"/>
      <c r="G6463" s="3"/>
      <c r="H6463" s="11"/>
      <c r="I6463" s="12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  <c r="AA6463" s="3"/>
      <c r="AB6463" s="3"/>
      <c r="AC6463" s="3"/>
      <c r="AD6463" s="3"/>
      <c r="AE6463" s="3"/>
      <c r="AF6463" s="3"/>
      <c r="AG6463" s="3"/>
      <c r="AH6463" s="3"/>
    </row>
    <row r="6464" spans="1:34" ht="14.25" customHeight="1" x14ac:dyDescent="0.25">
      <c r="A6464" s="3"/>
      <c r="B6464" s="3"/>
      <c r="C6464" s="3"/>
      <c r="D6464" s="3"/>
      <c r="E6464" s="3"/>
      <c r="F6464" s="3"/>
      <c r="G6464" s="3"/>
      <c r="H6464" s="11"/>
      <c r="I6464" s="12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  <c r="AA6464" s="3"/>
      <c r="AB6464" s="3"/>
      <c r="AC6464" s="3"/>
      <c r="AD6464" s="3"/>
      <c r="AE6464" s="3"/>
      <c r="AF6464" s="3"/>
      <c r="AG6464" s="3"/>
      <c r="AH6464" s="3"/>
    </row>
    <row r="6465" spans="1:34" ht="14.25" customHeight="1" x14ac:dyDescent="0.25">
      <c r="A6465" s="3"/>
      <c r="B6465" s="3"/>
      <c r="C6465" s="3"/>
      <c r="D6465" s="3"/>
      <c r="E6465" s="3"/>
      <c r="F6465" s="3"/>
      <c r="G6465" s="3"/>
      <c r="H6465" s="11"/>
      <c r="I6465" s="12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  <c r="AA6465" s="3"/>
      <c r="AB6465" s="3"/>
      <c r="AC6465" s="3"/>
      <c r="AD6465" s="3"/>
      <c r="AE6465" s="3"/>
      <c r="AF6465" s="3"/>
      <c r="AG6465" s="3"/>
      <c r="AH6465" s="3"/>
    </row>
    <row r="6466" spans="1:34" ht="14.25" customHeight="1" x14ac:dyDescent="0.25">
      <c r="A6466" s="3"/>
      <c r="B6466" s="3"/>
      <c r="C6466" s="3"/>
      <c r="D6466" s="3"/>
      <c r="E6466" s="3"/>
      <c r="F6466" s="3"/>
      <c r="G6466" s="3"/>
      <c r="H6466" s="11"/>
      <c r="I6466" s="12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  <c r="AA6466" s="3"/>
      <c r="AB6466" s="3"/>
      <c r="AC6466" s="3"/>
      <c r="AD6466" s="3"/>
      <c r="AE6466" s="3"/>
      <c r="AF6466" s="3"/>
      <c r="AG6466" s="3"/>
      <c r="AH6466" s="3"/>
    </row>
    <row r="6467" spans="1:34" ht="15.75" customHeight="1" x14ac:dyDescent="0.25">
      <c r="A6467" s="3"/>
      <c r="B6467" s="3"/>
      <c r="C6467" s="3"/>
      <c r="D6467" s="3"/>
      <c r="E6467" s="3"/>
      <c r="F6467" s="3"/>
      <c r="G6467" s="3"/>
      <c r="H6467" s="11"/>
      <c r="I6467" s="12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  <c r="AA6467" s="3"/>
      <c r="AB6467" s="3"/>
      <c r="AC6467" s="3"/>
      <c r="AD6467" s="3"/>
      <c r="AE6467" s="3"/>
      <c r="AF6467" s="3"/>
      <c r="AG6467" s="3"/>
      <c r="AH6467" s="3"/>
    </row>
    <row r="6468" spans="1:34" ht="14.25" customHeight="1" x14ac:dyDescent="0.25">
      <c r="A6468" s="3"/>
      <c r="B6468" s="3"/>
      <c r="C6468" s="3"/>
      <c r="D6468" s="3"/>
      <c r="E6468" s="3"/>
      <c r="F6468" s="3"/>
      <c r="G6468" s="14"/>
      <c r="H6468" s="11"/>
      <c r="I6468" s="12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14"/>
      <c r="Z6468" s="3"/>
      <c r="AA6468" s="3"/>
      <c r="AB6468" s="3"/>
      <c r="AC6468" s="3"/>
      <c r="AD6468" s="3"/>
      <c r="AE6468" s="3"/>
      <c r="AF6468" s="3"/>
      <c r="AG6468" s="3"/>
      <c r="AH6468" s="3"/>
    </row>
    <row r="6469" spans="1:34" ht="14.25" customHeight="1" x14ac:dyDescent="0.25">
      <c r="A6469" s="3"/>
      <c r="B6469" s="3"/>
      <c r="C6469" s="3"/>
      <c r="D6469" s="3"/>
      <c r="E6469" s="3"/>
      <c r="F6469" s="3"/>
      <c r="G6469" s="14"/>
      <c r="H6469" s="11"/>
      <c r="I6469" s="12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14"/>
      <c r="Z6469" s="3"/>
      <c r="AA6469" s="3"/>
      <c r="AB6469" s="3"/>
      <c r="AC6469" s="3"/>
      <c r="AD6469" s="3"/>
      <c r="AE6469" s="3"/>
      <c r="AF6469" s="3"/>
      <c r="AG6469" s="3"/>
      <c r="AH6469" s="3"/>
    </row>
    <row r="6470" spans="1:34" ht="14.25" customHeight="1" x14ac:dyDescent="0.25">
      <c r="A6470" s="3"/>
      <c r="B6470" s="3"/>
      <c r="C6470" s="3"/>
      <c r="D6470" s="3"/>
      <c r="E6470" s="3"/>
      <c r="F6470" s="3"/>
      <c r="G6470" s="14"/>
      <c r="H6470" s="11"/>
      <c r="I6470" s="12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14"/>
      <c r="Z6470" s="3"/>
      <c r="AA6470" s="3"/>
      <c r="AB6470" s="3"/>
      <c r="AC6470" s="3"/>
      <c r="AD6470" s="3"/>
      <c r="AE6470" s="3"/>
      <c r="AF6470" s="3"/>
      <c r="AG6470" s="3"/>
      <c r="AH6470" s="3"/>
    </row>
    <row r="6471" spans="1:34" ht="14.25" customHeight="1" x14ac:dyDescent="0.25">
      <c r="A6471" s="3"/>
      <c r="B6471" s="3"/>
      <c r="C6471" s="3"/>
      <c r="D6471" s="3"/>
      <c r="E6471" s="3"/>
      <c r="F6471" s="3"/>
      <c r="G6471" s="14"/>
      <c r="H6471" s="11"/>
      <c r="I6471" s="12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14"/>
      <c r="Z6471" s="3"/>
      <c r="AA6471" s="3"/>
      <c r="AB6471" s="3"/>
      <c r="AC6471" s="3"/>
      <c r="AD6471" s="3"/>
      <c r="AE6471" s="3"/>
      <c r="AF6471" s="3"/>
      <c r="AG6471" s="3"/>
      <c r="AH6471" s="3"/>
    </row>
    <row r="6472" spans="1:34" ht="14.25" customHeight="1" x14ac:dyDescent="0.25">
      <c r="A6472" s="3"/>
      <c r="B6472" s="3"/>
      <c r="C6472" s="3"/>
      <c r="D6472" s="3"/>
      <c r="E6472" s="3"/>
      <c r="F6472" s="3"/>
      <c r="G6472" s="3"/>
      <c r="H6472" s="11"/>
      <c r="I6472" s="12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14"/>
      <c r="Z6472" s="3"/>
      <c r="AA6472" s="3"/>
      <c r="AB6472" s="3"/>
      <c r="AC6472" s="3"/>
      <c r="AD6472" s="3"/>
      <c r="AE6472" s="3"/>
      <c r="AF6472" s="3"/>
      <c r="AG6472" s="3"/>
      <c r="AH6472" s="3"/>
    </row>
    <row r="6473" spans="1:34" ht="14.25" customHeight="1" x14ac:dyDescent="0.25">
      <c r="A6473" s="3"/>
      <c r="B6473" s="3"/>
      <c r="C6473" s="3"/>
      <c r="D6473" s="3"/>
      <c r="E6473" s="3"/>
      <c r="F6473" s="3"/>
      <c r="G6473" s="3"/>
      <c r="H6473" s="11"/>
      <c r="I6473" s="12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14"/>
      <c r="Z6473" s="3"/>
      <c r="AA6473" s="3"/>
      <c r="AB6473" s="3"/>
      <c r="AC6473" s="3"/>
      <c r="AD6473" s="3"/>
      <c r="AE6473" s="3"/>
      <c r="AF6473" s="3"/>
      <c r="AG6473" s="3"/>
      <c r="AH6473" s="3"/>
    </row>
    <row r="6474" spans="1:34" ht="14.25" customHeight="1" x14ac:dyDescent="0.25">
      <c r="A6474" s="3"/>
      <c r="B6474" s="3"/>
      <c r="C6474" s="3"/>
      <c r="D6474" s="3"/>
      <c r="E6474" s="3"/>
      <c r="F6474" s="3"/>
      <c r="G6474" s="3"/>
      <c r="H6474" s="11"/>
      <c r="I6474" s="12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14"/>
      <c r="Z6474" s="3"/>
      <c r="AA6474" s="3"/>
      <c r="AB6474" s="3"/>
      <c r="AC6474" s="3"/>
      <c r="AD6474" s="3"/>
      <c r="AE6474" s="3"/>
      <c r="AF6474" s="3"/>
      <c r="AG6474" s="3"/>
      <c r="AH6474" s="3"/>
    </row>
    <row r="6475" spans="1:34" ht="14.25" customHeight="1" x14ac:dyDescent="0.25">
      <c r="A6475" s="3"/>
      <c r="B6475" s="3"/>
      <c r="C6475" s="3"/>
      <c r="D6475" s="3"/>
      <c r="E6475" s="3"/>
      <c r="F6475" s="3"/>
      <c r="G6475" s="3"/>
      <c r="H6475" s="11"/>
      <c r="I6475" s="12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14"/>
      <c r="Z6475" s="3"/>
      <c r="AA6475" s="3"/>
      <c r="AB6475" s="3"/>
      <c r="AC6475" s="3"/>
      <c r="AD6475" s="3"/>
      <c r="AE6475" s="3"/>
      <c r="AF6475" s="3"/>
      <c r="AG6475" s="3"/>
      <c r="AH6475" s="3"/>
    </row>
    <row r="6476" spans="1:34" ht="14.25" customHeight="1" x14ac:dyDescent="0.25">
      <c r="A6476" s="3"/>
      <c r="B6476" s="3"/>
      <c r="C6476" s="3"/>
      <c r="D6476" s="3"/>
      <c r="E6476" s="3"/>
      <c r="F6476" s="3"/>
      <c r="G6476" s="3"/>
      <c r="H6476" s="11"/>
      <c r="I6476" s="12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14"/>
      <c r="Z6476" s="3"/>
      <c r="AA6476" s="3"/>
      <c r="AB6476" s="3"/>
      <c r="AC6476" s="3"/>
      <c r="AD6476" s="3"/>
      <c r="AE6476" s="3"/>
      <c r="AF6476" s="3"/>
      <c r="AG6476" s="3"/>
      <c r="AH6476" s="3"/>
    </row>
    <row r="6477" spans="1:34" ht="14.25" customHeight="1" x14ac:dyDescent="0.25">
      <c r="A6477" s="3"/>
      <c r="B6477" s="3"/>
      <c r="C6477" s="3"/>
      <c r="D6477" s="3"/>
      <c r="E6477" s="3"/>
      <c r="F6477" s="3"/>
      <c r="G6477" s="3"/>
      <c r="H6477" s="11"/>
      <c r="I6477" s="12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14"/>
      <c r="Z6477" s="3"/>
      <c r="AA6477" s="3"/>
      <c r="AB6477" s="3"/>
      <c r="AC6477" s="3"/>
      <c r="AD6477" s="3"/>
      <c r="AE6477" s="3"/>
      <c r="AF6477" s="3"/>
      <c r="AG6477" s="3"/>
      <c r="AH6477" s="3"/>
    </row>
    <row r="6478" spans="1:34" ht="14.25" customHeight="1" x14ac:dyDescent="0.25">
      <c r="A6478" s="3"/>
      <c r="B6478" s="3"/>
      <c r="C6478" s="3"/>
      <c r="D6478" s="3"/>
      <c r="E6478" s="3"/>
      <c r="F6478" s="3"/>
      <c r="G6478" s="3"/>
      <c r="H6478" s="11"/>
      <c r="I6478" s="12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14"/>
      <c r="Z6478" s="3"/>
      <c r="AA6478" s="3"/>
      <c r="AB6478" s="3"/>
      <c r="AC6478" s="3"/>
      <c r="AD6478" s="3"/>
      <c r="AE6478" s="3"/>
      <c r="AF6478" s="3"/>
      <c r="AG6478" s="3"/>
      <c r="AH6478" s="3"/>
    </row>
    <row r="6479" spans="1:34" ht="14.25" customHeight="1" x14ac:dyDescent="0.25">
      <c r="A6479" s="3"/>
      <c r="B6479" s="3"/>
      <c r="C6479" s="3"/>
      <c r="D6479" s="3"/>
      <c r="E6479" s="3"/>
      <c r="F6479" s="3"/>
      <c r="G6479" s="3"/>
      <c r="H6479" s="11"/>
      <c r="I6479" s="12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14"/>
      <c r="Z6479" s="3"/>
      <c r="AA6479" s="3"/>
      <c r="AB6479" s="3"/>
      <c r="AC6479" s="3"/>
      <c r="AD6479" s="3"/>
      <c r="AE6479" s="3"/>
      <c r="AF6479" s="3"/>
      <c r="AG6479" s="3"/>
      <c r="AH6479" s="3"/>
    </row>
    <row r="6480" spans="1:34" ht="14.25" customHeight="1" x14ac:dyDescent="0.25">
      <c r="A6480" s="3"/>
      <c r="B6480" s="3"/>
      <c r="C6480" s="3"/>
      <c r="D6480" s="3"/>
      <c r="E6480" s="3"/>
      <c r="F6480" s="3"/>
      <c r="G6480" s="3"/>
      <c r="H6480" s="11"/>
      <c r="I6480" s="12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14"/>
      <c r="Z6480" s="3"/>
      <c r="AA6480" s="3"/>
      <c r="AB6480" s="3"/>
      <c r="AC6480" s="3"/>
      <c r="AD6480" s="3"/>
      <c r="AE6480" s="3"/>
      <c r="AF6480" s="3"/>
      <c r="AG6480" s="3"/>
      <c r="AH6480" s="3"/>
    </row>
    <row r="6481" spans="1:34" ht="14.25" customHeight="1" x14ac:dyDescent="0.25">
      <c r="A6481" s="3"/>
      <c r="B6481" s="3"/>
      <c r="C6481" s="3"/>
      <c r="D6481" s="3"/>
      <c r="E6481" s="3"/>
      <c r="F6481" s="3"/>
      <c r="G6481" s="3"/>
      <c r="H6481" s="11"/>
      <c r="I6481" s="12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14"/>
      <c r="Z6481" s="3"/>
      <c r="AA6481" s="3"/>
      <c r="AB6481" s="3"/>
      <c r="AC6481" s="3"/>
      <c r="AD6481" s="3"/>
      <c r="AE6481" s="3"/>
      <c r="AF6481" s="3"/>
      <c r="AG6481" s="3"/>
      <c r="AH6481" s="3"/>
    </row>
    <row r="6482" spans="1:34" ht="14.25" customHeight="1" x14ac:dyDescent="0.25">
      <c r="A6482" s="3"/>
      <c r="B6482" s="3"/>
      <c r="C6482" s="3"/>
      <c r="D6482" s="3"/>
      <c r="E6482" s="3"/>
      <c r="F6482" s="3"/>
      <c r="G6482" s="3"/>
      <c r="H6482" s="11"/>
      <c r="I6482" s="12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14"/>
      <c r="Z6482" s="3"/>
      <c r="AA6482" s="3"/>
      <c r="AB6482" s="3"/>
      <c r="AC6482" s="3"/>
      <c r="AD6482" s="3"/>
      <c r="AE6482" s="3"/>
      <c r="AF6482" s="3"/>
      <c r="AG6482" s="3"/>
      <c r="AH6482" s="3"/>
    </row>
    <row r="6483" spans="1:34" ht="14.25" customHeight="1" x14ac:dyDescent="0.25">
      <c r="A6483" s="3"/>
      <c r="B6483" s="3"/>
      <c r="C6483" s="3"/>
      <c r="D6483" s="3"/>
      <c r="E6483" s="3"/>
      <c r="F6483" s="3"/>
      <c r="G6483" s="3"/>
      <c r="H6483" s="11"/>
      <c r="I6483" s="12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14"/>
      <c r="Z6483" s="3"/>
      <c r="AA6483" s="3"/>
      <c r="AB6483" s="3"/>
      <c r="AC6483" s="3"/>
      <c r="AD6483" s="3"/>
      <c r="AE6483" s="3"/>
      <c r="AF6483" s="3"/>
      <c r="AG6483" s="3"/>
      <c r="AH6483" s="3"/>
    </row>
    <row r="6484" spans="1:34" ht="14.25" customHeight="1" x14ac:dyDescent="0.25">
      <c r="A6484" s="3"/>
      <c r="B6484" s="3"/>
      <c r="C6484" s="3"/>
      <c r="D6484" s="3"/>
      <c r="E6484" s="3"/>
      <c r="F6484" s="3"/>
      <c r="G6484" s="3"/>
      <c r="H6484" s="11"/>
      <c r="I6484" s="12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14"/>
      <c r="Z6484" s="3"/>
      <c r="AA6484" s="3"/>
      <c r="AB6484" s="3"/>
      <c r="AC6484" s="3"/>
      <c r="AD6484" s="3"/>
      <c r="AE6484" s="3"/>
      <c r="AF6484" s="3"/>
      <c r="AG6484" s="3"/>
      <c r="AH6484" s="3"/>
    </row>
    <row r="6485" spans="1:34" ht="14.25" customHeight="1" x14ac:dyDescent="0.25">
      <c r="A6485" s="3"/>
      <c r="B6485" s="3"/>
      <c r="C6485" s="3"/>
      <c r="D6485" s="3"/>
      <c r="E6485" s="3"/>
      <c r="F6485" s="3"/>
      <c r="G6485" s="3"/>
      <c r="H6485" s="11"/>
      <c r="I6485" s="12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14"/>
      <c r="Z6485" s="3"/>
      <c r="AA6485" s="3"/>
      <c r="AB6485" s="3"/>
      <c r="AC6485" s="3"/>
      <c r="AD6485" s="3"/>
      <c r="AE6485" s="3"/>
      <c r="AF6485" s="3"/>
      <c r="AG6485" s="3"/>
      <c r="AH6485" s="3"/>
    </row>
    <row r="6486" spans="1:34" ht="14.25" customHeight="1" x14ac:dyDescent="0.25">
      <c r="A6486" s="3"/>
      <c r="B6486" s="3"/>
      <c r="C6486" s="3"/>
      <c r="D6486" s="3"/>
      <c r="E6486" s="3"/>
      <c r="F6486" s="3"/>
      <c r="G6486" s="3"/>
      <c r="H6486" s="11"/>
      <c r="I6486" s="12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14"/>
      <c r="Z6486" s="3"/>
      <c r="AA6486" s="3"/>
      <c r="AB6486" s="3"/>
      <c r="AC6486" s="3"/>
      <c r="AD6486" s="3"/>
      <c r="AE6486" s="3"/>
      <c r="AF6486" s="3"/>
      <c r="AG6486" s="3"/>
      <c r="AH6486" s="3"/>
    </row>
    <row r="6487" spans="1:34" ht="14.25" customHeight="1" x14ac:dyDescent="0.25">
      <c r="A6487" s="3"/>
      <c r="B6487" s="3"/>
      <c r="C6487" s="3"/>
      <c r="D6487" s="3"/>
      <c r="E6487" s="3"/>
      <c r="F6487" s="3"/>
      <c r="G6487" s="3"/>
      <c r="H6487" s="11"/>
      <c r="I6487" s="12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14"/>
      <c r="Z6487" s="3"/>
      <c r="AA6487" s="3"/>
      <c r="AB6487" s="3"/>
      <c r="AC6487" s="3"/>
      <c r="AD6487" s="3"/>
      <c r="AE6487" s="3"/>
      <c r="AF6487" s="3"/>
      <c r="AG6487" s="3"/>
      <c r="AH6487" s="3"/>
    </row>
    <row r="6488" spans="1:34" ht="14.25" customHeight="1" x14ac:dyDescent="0.25">
      <c r="A6488" s="3"/>
      <c r="B6488" s="3"/>
      <c r="C6488" s="3"/>
      <c r="D6488" s="3"/>
      <c r="E6488" s="3"/>
      <c r="F6488" s="3"/>
      <c r="G6488" s="3"/>
      <c r="H6488" s="11"/>
      <c r="I6488" s="12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14"/>
      <c r="Z6488" s="3"/>
      <c r="AA6488" s="3"/>
      <c r="AB6488" s="3"/>
      <c r="AC6488" s="3"/>
      <c r="AD6488" s="3"/>
      <c r="AE6488" s="3"/>
      <c r="AF6488" s="3"/>
      <c r="AG6488" s="3"/>
      <c r="AH6488" s="3"/>
    </row>
    <row r="6489" spans="1:34" ht="14.25" customHeight="1" x14ac:dyDescent="0.25">
      <c r="A6489" s="3"/>
      <c r="B6489" s="3"/>
      <c r="C6489" s="3"/>
      <c r="D6489" s="3"/>
      <c r="E6489" s="3"/>
      <c r="F6489" s="3"/>
      <c r="G6489" s="3"/>
      <c r="H6489" s="11"/>
      <c r="I6489" s="12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14"/>
      <c r="Z6489" s="3"/>
      <c r="AA6489" s="3"/>
      <c r="AB6489" s="3"/>
      <c r="AC6489" s="3"/>
      <c r="AD6489" s="3"/>
      <c r="AE6489" s="3"/>
      <c r="AF6489" s="3"/>
      <c r="AG6489" s="3"/>
      <c r="AH6489" s="3"/>
    </row>
    <row r="6490" spans="1:34" ht="14.25" customHeight="1" x14ac:dyDescent="0.25">
      <c r="A6490" s="3"/>
      <c r="B6490" s="3"/>
      <c r="C6490" s="3"/>
      <c r="D6490" s="3"/>
      <c r="E6490" s="3"/>
      <c r="F6490" s="3"/>
      <c r="G6490" s="3"/>
      <c r="H6490" s="11"/>
      <c r="I6490" s="12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14"/>
      <c r="Z6490" s="3"/>
      <c r="AA6490" s="3"/>
      <c r="AB6490" s="3"/>
      <c r="AC6490" s="3"/>
      <c r="AD6490" s="3"/>
      <c r="AE6490" s="3"/>
      <c r="AF6490" s="3"/>
      <c r="AG6490" s="3"/>
      <c r="AH6490" s="3"/>
    </row>
    <row r="6491" spans="1:34" ht="14.25" customHeight="1" x14ac:dyDescent="0.25">
      <c r="A6491" s="3"/>
      <c r="B6491" s="3"/>
      <c r="C6491" s="3"/>
      <c r="D6491" s="3"/>
      <c r="E6491" s="3"/>
      <c r="F6491" s="3"/>
      <c r="G6491" s="3"/>
      <c r="H6491" s="11"/>
      <c r="I6491" s="12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14"/>
      <c r="Z6491" s="3"/>
      <c r="AA6491" s="3"/>
      <c r="AB6491" s="3"/>
      <c r="AC6491" s="3"/>
      <c r="AD6491" s="3"/>
      <c r="AE6491" s="3"/>
      <c r="AF6491" s="3"/>
      <c r="AG6491" s="3"/>
      <c r="AH6491" s="3"/>
    </row>
    <row r="6492" spans="1:34" ht="14.25" customHeight="1" x14ac:dyDescent="0.25">
      <c r="A6492" s="3"/>
      <c r="B6492" s="3"/>
      <c r="C6492" s="3"/>
      <c r="D6492" s="3"/>
      <c r="E6492" s="3"/>
      <c r="F6492" s="3"/>
      <c r="G6492" s="3"/>
      <c r="H6492" s="11"/>
      <c r="I6492" s="12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14"/>
      <c r="Z6492" s="3"/>
      <c r="AA6492" s="3"/>
      <c r="AB6492" s="3"/>
      <c r="AC6492" s="3"/>
      <c r="AD6492" s="3"/>
      <c r="AE6492" s="3"/>
      <c r="AF6492" s="3"/>
      <c r="AG6492" s="3"/>
      <c r="AH6492" s="3"/>
    </row>
    <row r="6493" spans="1:34" ht="14.25" customHeight="1" x14ac:dyDescent="0.25">
      <c r="A6493" s="3"/>
      <c r="B6493" s="3"/>
      <c r="C6493" s="3"/>
      <c r="D6493" s="3"/>
      <c r="E6493" s="3"/>
      <c r="F6493" s="3"/>
      <c r="G6493" s="3"/>
      <c r="H6493" s="11"/>
      <c r="I6493" s="12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14"/>
      <c r="Z6493" s="3"/>
      <c r="AA6493" s="3"/>
      <c r="AB6493" s="3"/>
      <c r="AC6493" s="3"/>
      <c r="AD6493" s="3"/>
      <c r="AE6493" s="3"/>
      <c r="AF6493" s="3"/>
      <c r="AG6493" s="3"/>
      <c r="AH6493" s="3"/>
    </row>
    <row r="6494" spans="1:34" ht="14.25" customHeight="1" x14ac:dyDescent="0.25">
      <c r="A6494" s="3"/>
      <c r="B6494" s="3"/>
      <c r="C6494" s="3"/>
      <c r="D6494" s="3"/>
      <c r="E6494" s="3"/>
      <c r="F6494" s="3"/>
      <c r="G6494" s="3"/>
      <c r="H6494" s="11"/>
      <c r="I6494" s="12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14"/>
      <c r="Z6494" s="3"/>
      <c r="AA6494" s="3"/>
      <c r="AB6494" s="3"/>
      <c r="AC6494" s="3"/>
      <c r="AD6494" s="3"/>
      <c r="AE6494" s="3"/>
      <c r="AF6494" s="3"/>
      <c r="AG6494" s="3"/>
      <c r="AH6494" s="3"/>
    </row>
    <row r="6495" spans="1:34" ht="14.25" customHeight="1" x14ac:dyDescent="0.25">
      <c r="A6495" s="3"/>
      <c r="B6495" s="3"/>
      <c r="C6495" s="3"/>
      <c r="D6495" s="3"/>
      <c r="E6495" s="3"/>
      <c r="F6495" s="3"/>
      <c r="G6495" s="3"/>
      <c r="H6495" s="11"/>
      <c r="I6495" s="12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14"/>
      <c r="Z6495" s="3"/>
      <c r="AA6495" s="3"/>
      <c r="AB6495" s="3"/>
      <c r="AC6495" s="3"/>
      <c r="AD6495" s="3"/>
      <c r="AE6495" s="3"/>
      <c r="AF6495" s="3"/>
      <c r="AG6495" s="3"/>
      <c r="AH6495" s="3"/>
    </row>
    <row r="6496" spans="1:34" ht="14.25" customHeight="1" x14ac:dyDescent="0.25">
      <c r="A6496" s="3"/>
      <c r="B6496" s="3"/>
      <c r="C6496" s="3"/>
      <c r="D6496" s="3"/>
      <c r="E6496" s="3"/>
      <c r="F6496" s="3"/>
      <c r="G6496" s="3"/>
      <c r="H6496" s="11"/>
      <c r="I6496" s="12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14"/>
      <c r="Z6496" s="3"/>
      <c r="AA6496" s="3"/>
      <c r="AB6496" s="3"/>
      <c r="AC6496" s="3"/>
      <c r="AD6496" s="3"/>
      <c r="AE6496" s="3"/>
      <c r="AF6496" s="3"/>
      <c r="AG6496" s="3"/>
      <c r="AH6496" s="3"/>
    </row>
    <row r="6497" spans="1:34" ht="14.25" customHeight="1" x14ac:dyDescent="0.25">
      <c r="A6497" s="3"/>
      <c r="B6497" s="3"/>
      <c r="C6497" s="3"/>
      <c r="D6497" s="3"/>
      <c r="E6497" s="3"/>
      <c r="F6497" s="3"/>
      <c r="G6497" s="3"/>
      <c r="H6497" s="11"/>
      <c r="I6497" s="12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14"/>
      <c r="Z6497" s="3"/>
      <c r="AA6497" s="3"/>
      <c r="AB6497" s="3"/>
      <c r="AC6497" s="3"/>
      <c r="AD6497" s="3"/>
      <c r="AE6497" s="3"/>
      <c r="AF6497" s="3"/>
      <c r="AG6497" s="3"/>
      <c r="AH6497" s="3"/>
    </row>
    <row r="6498" spans="1:34" ht="14.25" customHeight="1" x14ac:dyDescent="0.25">
      <c r="A6498" s="3"/>
      <c r="B6498" s="3"/>
      <c r="C6498" s="3"/>
      <c r="D6498" s="3"/>
      <c r="E6498" s="3"/>
      <c r="F6498" s="3"/>
      <c r="G6498" s="3"/>
      <c r="H6498" s="11"/>
      <c r="I6498" s="12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14"/>
      <c r="Z6498" s="3"/>
      <c r="AA6498" s="3"/>
      <c r="AB6498" s="3"/>
      <c r="AC6498" s="3"/>
      <c r="AD6498" s="3"/>
      <c r="AE6498" s="3"/>
      <c r="AF6498" s="3"/>
      <c r="AG6498" s="3"/>
      <c r="AH6498" s="3"/>
    </row>
    <row r="6499" spans="1:34" ht="14.25" customHeight="1" x14ac:dyDescent="0.25">
      <c r="A6499" s="3"/>
      <c r="B6499" s="3"/>
      <c r="C6499" s="3"/>
      <c r="D6499" s="3"/>
      <c r="E6499" s="3"/>
      <c r="F6499" s="3"/>
      <c r="G6499" s="3"/>
      <c r="H6499" s="11"/>
      <c r="I6499" s="12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14"/>
      <c r="Z6499" s="3"/>
      <c r="AA6499" s="3"/>
      <c r="AB6499" s="3"/>
      <c r="AC6499" s="3"/>
      <c r="AD6499" s="3"/>
      <c r="AE6499" s="3"/>
      <c r="AF6499" s="3"/>
      <c r="AG6499" s="3"/>
      <c r="AH6499" s="3"/>
    </row>
    <row r="6500" spans="1:34" ht="14.25" customHeight="1" x14ac:dyDescent="0.25">
      <c r="A6500" s="3"/>
      <c r="B6500" s="3"/>
      <c r="C6500" s="3"/>
      <c r="D6500" s="3"/>
      <c r="E6500" s="3"/>
      <c r="F6500" s="3"/>
      <c r="G6500" s="3"/>
      <c r="H6500" s="11"/>
      <c r="I6500" s="12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14"/>
      <c r="Z6500" s="3"/>
      <c r="AA6500" s="3"/>
      <c r="AB6500" s="3"/>
      <c r="AC6500" s="3"/>
      <c r="AD6500" s="3"/>
      <c r="AE6500" s="3"/>
      <c r="AF6500" s="3"/>
      <c r="AG6500" s="3"/>
      <c r="AH6500" s="3"/>
    </row>
    <row r="6501" spans="1:34" ht="14.25" customHeight="1" x14ac:dyDescent="0.25">
      <c r="A6501" s="3"/>
      <c r="B6501" s="3"/>
      <c r="C6501" s="3"/>
      <c r="D6501" s="3"/>
      <c r="E6501" s="3"/>
      <c r="F6501" s="3"/>
      <c r="G6501" s="3"/>
      <c r="H6501" s="11"/>
      <c r="I6501" s="12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14"/>
      <c r="Z6501" s="3"/>
      <c r="AA6501" s="3"/>
      <c r="AB6501" s="3"/>
      <c r="AC6501" s="3"/>
      <c r="AD6501" s="3"/>
      <c r="AE6501" s="3"/>
      <c r="AF6501" s="3"/>
      <c r="AG6501" s="3"/>
      <c r="AH6501" s="3"/>
    </row>
    <row r="6502" spans="1:34" ht="14.25" customHeight="1" x14ac:dyDescent="0.25">
      <c r="A6502" s="3"/>
      <c r="B6502" s="3"/>
      <c r="C6502" s="3"/>
      <c r="D6502" s="3"/>
      <c r="E6502" s="3"/>
      <c r="F6502" s="3"/>
      <c r="G6502" s="3"/>
      <c r="H6502" s="11"/>
      <c r="I6502" s="12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14"/>
      <c r="Z6502" s="3"/>
      <c r="AA6502" s="3"/>
      <c r="AB6502" s="3"/>
      <c r="AC6502" s="3"/>
      <c r="AD6502" s="3"/>
      <c r="AE6502" s="3"/>
      <c r="AF6502" s="3"/>
      <c r="AG6502" s="3"/>
      <c r="AH6502" s="3"/>
    </row>
    <row r="6503" spans="1:34" ht="14.25" customHeight="1" x14ac:dyDescent="0.25">
      <c r="A6503" s="3"/>
      <c r="B6503" s="3"/>
      <c r="C6503" s="3"/>
      <c r="D6503" s="3"/>
      <c r="E6503" s="3"/>
      <c r="F6503" s="3"/>
      <c r="G6503" s="3"/>
      <c r="H6503" s="11"/>
      <c r="I6503" s="12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14"/>
      <c r="Z6503" s="3"/>
      <c r="AA6503" s="3"/>
      <c r="AB6503" s="3"/>
      <c r="AC6503" s="3"/>
      <c r="AD6503" s="3"/>
      <c r="AE6503" s="3"/>
      <c r="AF6503" s="3"/>
      <c r="AG6503" s="3"/>
      <c r="AH6503" s="3"/>
    </row>
    <row r="6504" spans="1:34" ht="14.25" customHeight="1" x14ac:dyDescent="0.25">
      <c r="A6504" s="3"/>
      <c r="B6504" s="3"/>
      <c r="C6504" s="3"/>
      <c r="D6504" s="3"/>
      <c r="E6504" s="3"/>
      <c r="F6504" s="3"/>
      <c r="G6504" s="3"/>
      <c r="H6504" s="11"/>
      <c r="I6504" s="12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14"/>
      <c r="Z6504" s="3"/>
      <c r="AA6504" s="3"/>
      <c r="AB6504" s="3"/>
      <c r="AC6504" s="3"/>
      <c r="AD6504" s="3"/>
      <c r="AE6504" s="3"/>
      <c r="AF6504" s="3"/>
      <c r="AG6504" s="3"/>
      <c r="AH6504" s="3"/>
    </row>
    <row r="6505" spans="1:34" ht="14.25" customHeight="1" x14ac:dyDescent="0.25">
      <c r="A6505" s="3"/>
      <c r="B6505" s="3"/>
      <c r="C6505" s="3"/>
      <c r="D6505" s="3"/>
      <c r="E6505" s="3"/>
      <c r="F6505" s="3"/>
      <c r="G6505" s="3"/>
      <c r="H6505" s="11"/>
      <c r="I6505" s="12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14"/>
      <c r="Z6505" s="3"/>
      <c r="AA6505" s="3"/>
      <c r="AB6505" s="3"/>
      <c r="AC6505" s="3"/>
      <c r="AD6505" s="3"/>
      <c r="AE6505" s="3"/>
      <c r="AF6505" s="3"/>
      <c r="AG6505" s="3"/>
      <c r="AH6505" s="3"/>
    </row>
    <row r="6506" spans="1:34" ht="14.25" customHeight="1" x14ac:dyDescent="0.25">
      <c r="A6506" s="3"/>
      <c r="B6506" s="3"/>
      <c r="C6506" s="3"/>
      <c r="D6506" s="3"/>
      <c r="E6506" s="3"/>
      <c r="F6506" s="3"/>
      <c r="G6506" s="3"/>
      <c r="H6506" s="11"/>
      <c r="I6506" s="12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14"/>
      <c r="Z6506" s="3"/>
      <c r="AA6506" s="3"/>
      <c r="AB6506" s="3"/>
      <c r="AC6506" s="3"/>
      <c r="AD6506" s="3"/>
      <c r="AE6506" s="3"/>
      <c r="AF6506" s="3"/>
      <c r="AG6506" s="3"/>
      <c r="AH6506" s="3"/>
    </row>
    <row r="6507" spans="1:34" ht="14.25" customHeight="1" x14ac:dyDescent="0.25">
      <c r="A6507" s="3"/>
      <c r="B6507" s="3"/>
      <c r="C6507" s="3"/>
      <c r="D6507" s="3"/>
      <c r="E6507" s="3"/>
      <c r="F6507" s="3"/>
      <c r="G6507" s="3"/>
      <c r="H6507" s="11"/>
      <c r="I6507" s="12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14"/>
      <c r="Z6507" s="3"/>
      <c r="AA6507" s="3"/>
      <c r="AB6507" s="3"/>
      <c r="AC6507" s="3"/>
      <c r="AD6507" s="3"/>
      <c r="AE6507" s="3"/>
      <c r="AF6507" s="3"/>
      <c r="AG6507" s="3"/>
      <c r="AH6507" s="3"/>
    </row>
    <row r="6508" spans="1:34" ht="14.25" customHeight="1" x14ac:dyDescent="0.25">
      <c r="A6508" s="3"/>
      <c r="B6508" s="3"/>
      <c r="C6508" s="3"/>
      <c r="D6508" s="3"/>
      <c r="E6508" s="3"/>
      <c r="F6508" s="3"/>
      <c r="G6508" s="3"/>
      <c r="H6508" s="11"/>
      <c r="I6508" s="12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14"/>
      <c r="Z6508" s="3"/>
      <c r="AA6508" s="3"/>
      <c r="AB6508" s="3"/>
      <c r="AC6508" s="3"/>
      <c r="AD6508" s="3"/>
      <c r="AE6508" s="3"/>
      <c r="AF6508" s="3"/>
      <c r="AG6508" s="3"/>
      <c r="AH6508" s="3"/>
    </row>
    <row r="6509" spans="1:34" ht="14.25" customHeight="1" x14ac:dyDescent="0.25">
      <c r="A6509" s="3"/>
      <c r="B6509" s="3"/>
      <c r="C6509" s="3"/>
      <c r="D6509" s="3"/>
      <c r="E6509" s="3"/>
      <c r="F6509" s="3"/>
      <c r="G6509" s="3"/>
      <c r="H6509" s="11"/>
      <c r="I6509" s="12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14"/>
      <c r="Z6509" s="3"/>
      <c r="AA6509" s="3"/>
      <c r="AB6509" s="3"/>
      <c r="AC6509" s="3"/>
      <c r="AD6509" s="3"/>
      <c r="AE6509" s="3"/>
      <c r="AF6509" s="3"/>
      <c r="AG6509" s="3"/>
      <c r="AH6509" s="3"/>
    </row>
    <row r="6510" spans="1:34" ht="14.25" customHeight="1" x14ac:dyDescent="0.25">
      <c r="A6510" s="3"/>
      <c r="B6510" s="3"/>
      <c r="C6510" s="3"/>
      <c r="D6510" s="3"/>
      <c r="E6510" s="3"/>
      <c r="F6510" s="3"/>
      <c r="G6510" s="3"/>
      <c r="H6510" s="11"/>
      <c r="I6510" s="12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14"/>
      <c r="Z6510" s="3"/>
      <c r="AA6510" s="3"/>
      <c r="AB6510" s="3"/>
      <c r="AC6510" s="3"/>
      <c r="AD6510" s="3"/>
      <c r="AE6510" s="3"/>
      <c r="AF6510" s="3"/>
      <c r="AG6510" s="3"/>
      <c r="AH6510" s="3"/>
    </row>
    <row r="6511" spans="1:34" ht="14.25" customHeight="1" x14ac:dyDescent="0.25">
      <c r="A6511" s="3"/>
      <c r="B6511" s="3"/>
      <c r="C6511" s="3"/>
      <c r="D6511" s="3"/>
      <c r="E6511" s="3"/>
      <c r="F6511" s="3"/>
      <c r="G6511" s="3"/>
      <c r="H6511" s="11"/>
      <c r="I6511" s="12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14"/>
      <c r="Z6511" s="3"/>
      <c r="AA6511" s="3"/>
      <c r="AB6511" s="3"/>
      <c r="AC6511" s="3"/>
      <c r="AD6511" s="3"/>
      <c r="AE6511" s="3"/>
      <c r="AF6511" s="3"/>
      <c r="AG6511" s="3"/>
      <c r="AH6511" s="3"/>
    </row>
    <row r="6512" spans="1:34" ht="14.25" customHeight="1" x14ac:dyDescent="0.25">
      <c r="A6512" s="3"/>
      <c r="B6512" s="3"/>
      <c r="C6512" s="3"/>
      <c r="D6512" s="3"/>
      <c r="E6512" s="3"/>
      <c r="F6512" s="3"/>
      <c r="G6512" s="3"/>
      <c r="H6512" s="11"/>
      <c r="I6512" s="12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14"/>
      <c r="Z6512" s="3"/>
      <c r="AA6512" s="3"/>
      <c r="AB6512" s="3"/>
      <c r="AC6512" s="3"/>
      <c r="AD6512" s="3"/>
      <c r="AE6512" s="3"/>
      <c r="AF6512" s="3"/>
      <c r="AG6512" s="3"/>
      <c r="AH6512" s="3"/>
    </row>
    <row r="6513" spans="1:34" ht="14.25" customHeight="1" x14ac:dyDescent="0.25">
      <c r="A6513" s="3"/>
      <c r="B6513" s="3"/>
      <c r="C6513" s="3"/>
      <c r="D6513" s="3"/>
      <c r="E6513" s="3"/>
      <c r="F6513" s="3"/>
      <c r="G6513" s="3"/>
      <c r="H6513" s="11"/>
      <c r="I6513" s="12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14"/>
      <c r="Z6513" s="3"/>
      <c r="AA6513" s="3"/>
      <c r="AB6513" s="3"/>
      <c r="AC6513" s="3"/>
      <c r="AD6513" s="3"/>
      <c r="AE6513" s="3"/>
      <c r="AF6513" s="3"/>
      <c r="AG6513" s="3"/>
      <c r="AH6513" s="3"/>
    </row>
    <row r="6514" spans="1:34" ht="14.25" customHeight="1" x14ac:dyDescent="0.25">
      <c r="A6514" s="3"/>
      <c r="B6514" s="3"/>
      <c r="C6514" s="3"/>
      <c r="D6514" s="3"/>
      <c r="E6514" s="3"/>
      <c r="F6514" s="3"/>
      <c r="G6514" s="3"/>
      <c r="H6514" s="11"/>
      <c r="I6514" s="12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14"/>
      <c r="Z6514" s="3"/>
      <c r="AA6514" s="3"/>
      <c r="AB6514" s="3"/>
      <c r="AC6514" s="3"/>
      <c r="AD6514" s="3"/>
      <c r="AE6514" s="3"/>
      <c r="AF6514" s="3"/>
      <c r="AG6514" s="3"/>
      <c r="AH6514" s="3"/>
    </row>
    <row r="6515" spans="1:34" ht="14.25" customHeight="1" x14ac:dyDescent="0.25">
      <c r="A6515" s="3"/>
      <c r="B6515" s="3"/>
      <c r="C6515" s="3"/>
      <c r="D6515" s="3"/>
      <c r="E6515" s="3"/>
      <c r="F6515" s="3"/>
      <c r="G6515" s="3"/>
      <c r="H6515" s="11"/>
      <c r="I6515" s="12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14"/>
      <c r="Z6515" s="3"/>
      <c r="AA6515" s="3"/>
      <c r="AB6515" s="3"/>
      <c r="AC6515" s="3"/>
      <c r="AD6515" s="3"/>
      <c r="AE6515" s="3"/>
      <c r="AF6515" s="3"/>
      <c r="AG6515" s="3"/>
      <c r="AH6515" s="3"/>
    </row>
    <row r="6516" spans="1:34" ht="14.25" customHeight="1" x14ac:dyDescent="0.25">
      <c r="A6516" s="3"/>
      <c r="B6516" s="3"/>
      <c r="C6516" s="3"/>
      <c r="D6516" s="3"/>
      <c r="E6516" s="3"/>
      <c r="F6516" s="3"/>
      <c r="G6516" s="3"/>
      <c r="H6516" s="11"/>
      <c r="I6516" s="12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14"/>
      <c r="Z6516" s="3"/>
      <c r="AA6516" s="3"/>
      <c r="AB6516" s="3"/>
      <c r="AC6516" s="3"/>
      <c r="AD6516" s="3"/>
      <c r="AE6516" s="3"/>
      <c r="AF6516" s="3"/>
      <c r="AG6516" s="3"/>
      <c r="AH6516" s="3"/>
    </row>
    <row r="6517" spans="1:34" ht="14.25" customHeight="1" x14ac:dyDescent="0.25">
      <c r="A6517" s="3"/>
      <c r="B6517" s="3"/>
      <c r="C6517" s="3"/>
      <c r="D6517" s="3"/>
      <c r="E6517" s="3"/>
      <c r="F6517" s="3"/>
      <c r="G6517" s="3"/>
      <c r="H6517" s="11"/>
      <c r="I6517" s="12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14"/>
      <c r="Z6517" s="3"/>
      <c r="AA6517" s="3"/>
      <c r="AB6517" s="3"/>
      <c r="AC6517" s="3"/>
      <c r="AD6517" s="3"/>
      <c r="AE6517" s="3"/>
      <c r="AF6517" s="3"/>
      <c r="AG6517" s="3"/>
      <c r="AH6517" s="3"/>
    </row>
    <row r="6518" spans="1:34" ht="14.25" customHeight="1" x14ac:dyDescent="0.25">
      <c r="A6518" s="3"/>
      <c r="B6518" s="3"/>
      <c r="C6518" s="3"/>
      <c r="D6518" s="3"/>
      <c r="E6518" s="3"/>
      <c r="F6518" s="3"/>
      <c r="G6518" s="3"/>
      <c r="H6518" s="11"/>
      <c r="I6518" s="12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14"/>
      <c r="Z6518" s="3"/>
      <c r="AA6518" s="3"/>
      <c r="AB6518" s="3"/>
      <c r="AC6518" s="3"/>
      <c r="AD6518" s="3"/>
      <c r="AE6518" s="3"/>
      <c r="AF6518" s="3"/>
      <c r="AG6518" s="3"/>
      <c r="AH6518" s="3"/>
    </row>
    <row r="6519" spans="1:34" ht="14.25" customHeight="1" x14ac:dyDescent="0.25">
      <c r="A6519" s="3"/>
      <c r="B6519" s="3"/>
      <c r="C6519" s="3"/>
      <c r="D6519" s="3"/>
      <c r="E6519" s="3"/>
      <c r="F6519" s="3"/>
      <c r="G6519" s="3"/>
      <c r="H6519" s="11"/>
      <c r="I6519" s="12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14"/>
      <c r="Z6519" s="3"/>
      <c r="AA6519" s="3"/>
      <c r="AB6519" s="3"/>
      <c r="AC6519" s="3"/>
      <c r="AD6519" s="3"/>
      <c r="AE6519" s="3"/>
      <c r="AF6519" s="3"/>
      <c r="AG6519" s="3"/>
      <c r="AH6519" s="3"/>
    </row>
    <row r="6520" spans="1:34" ht="14.25" customHeight="1" x14ac:dyDescent="0.25">
      <c r="A6520" s="3"/>
      <c r="B6520" s="3"/>
      <c r="C6520" s="3"/>
      <c r="D6520" s="3"/>
      <c r="E6520" s="3"/>
      <c r="F6520" s="3"/>
      <c r="G6520" s="3"/>
      <c r="H6520" s="11"/>
      <c r="I6520" s="12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14"/>
      <c r="Z6520" s="3"/>
      <c r="AA6520" s="3"/>
      <c r="AB6520" s="3"/>
      <c r="AC6520" s="3"/>
      <c r="AD6520" s="3"/>
      <c r="AE6520" s="3"/>
      <c r="AF6520" s="3"/>
      <c r="AG6520" s="3"/>
      <c r="AH6520" s="3"/>
    </row>
    <row r="6521" spans="1:34" ht="14.25" customHeight="1" x14ac:dyDescent="0.25">
      <c r="A6521" s="3"/>
      <c r="B6521" s="3"/>
      <c r="C6521" s="3"/>
      <c r="D6521" s="3"/>
      <c r="E6521" s="3"/>
      <c r="F6521" s="3"/>
      <c r="G6521" s="3"/>
      <c r="H6521" s="11"/>
      <c r="I6521" s="12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14"/>
      <c r="Z6521" s="3"/>
      <c r="AA6521" s="3"/>
      <c r="AB6521" s="3"/>
      <c r="AC6521" s="3"/>
      <c r="AD6521" s="3"/>
      <c r="AE6521" s="3"/>
      <c r="AF6521" s="3"/>
      <c r="AG6521" s="3"/>
      <c r="AH6521" s="3"/>
    </row>
    <row r="6522" spans="1:34" ht="14.25" customHeight="1" x14ac:dyDescent="0.25">
      <c r="A6522" s="3"/>
      <c r="B6522" s="3"/>
      <c r="C6522" s="3"/>
      <c r="D6522" s="3"/>
      <c r="E6522" s="3"/>
      <c r="F6522" s="3"/>
      <c r="G6522" s="3"/>
      <c r="H6522" s="11"/>
      <c r="I6522" s="12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14"/>
      <c r="Z6522" s="3"/>
      <c r="AA6522" s="3"/>
      <c r="AB6522" s="3"/>
      <c r="AC6522" s="3"/>
      <c r="AD6522" s="3"/>
      <c r="AE6522" s="3"/>
      <c r="AF6522" s="3"/>
      <c r="AG6522" s="3"/>
      <c r="AH6522" s="3"/>
    </row>
    <row r="6523" spans="1:34" ht="14.25" customHeight="1" x14ac:dyDescent="0.25">
      <c r="A6523" s="3"/>
      <c r="B6523" s="3"/>
      <c r="C6523" s="3"/>
      <c r="D6523" s="3"/>
      <c r="E6523" s="3"/>
      <c r="F6523" s="3"/>
      <c r="G6523" s="3"/>
      <c r="H6523" s="11"/>
      <c r="I6523" s="12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14"/>
      <c r="Z6523" s="3"/>
      <c r="AA6523" s="3"/>
      <c r="AB6523" s="3"/>
      <c r="AC6523" s="3"/>
      <c r="AD6523" s="3"/>
      <c r="AE6523" s="3"/>
      <c r="AF6523" s="3"/>
      <c r="AG6523" s="3"/>
      <c r="AH6523" s="3"/>
    </row>
    <row r="6524" spans="1:34" ht="14.25" customHeight="1" x14ac:dyDescent="0.25">
      <c r="A6524" s="3"/>
      <c r="B6524" s="3"/>
      <c r="C6524" s="3"/>
      <c r="D6524" s="3"/>
      <c r="E6524" s="3"/>
      <c r="F6524" s="3"/>
      <c r="G6524" s="3"/>
      <c r="H6524" s="11"/>
      <c r="I6524" s="12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14"/>
      <c r="Z6524" s="3"/>
      <c r="AA6524" s="3"/>
      <c r="AB6524" s="3"/>
      <c r="AC6524" s="3"/>
      <c r="AD6524" s="3"/>
      <c r="AE6524" s="3"/>
      <c r="AF6524" s="3"/>
      <c r="AG6524" s="3"/>
      <c r="AH6524" s="3"/>
    </row>
    <row r="6525" spans="1:34" ht="14.25" customHeight="1" x14ac:dyDescent="0.25">
      <c r="A6525" s="3"/>
      <c r="B6525" s="3"/>
      <c r="C6525" s="3"/>
      <c r="D6525" s="3"/>
      <c r="E6525" s="3"/>
      <c r="F6525" s="3"/>
      <c r="G6525" s="3"/>
      <c r="H6525" s="11"/>
      <c r="I6525" s="12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14"/>
      <c r="Z6525" s="3"/>
      <c r="AA6525" s="3"/>
      <c r="AB6525" s="3"/>
      <c r="AC6525" s="3"/>
      <c r="AD6525" s="3"/>
      <c r="AE6525" s="3"/>
      <c r="AF6525" s="3"/>
      <c r="AG6525" s="3"/>
      <c r="AH6525" s="3"/>
    </row>
    <row r="6526" spans="1:34" ht="14.25" customHeight="1" x14ac:dyDescent="0.25">
      <c r="A6526" s="3"/>
      <c r="B6526" s="3"/>
      <c r="C6526" s="3"/>
      <c r="D6526" s="3"/>
      <c r="E6526" s="3"/>
      <c r="F6526" s="3"/>
      <c r="G6526" s="3"/>
      <c r="H6526" s="11"/>
      <c r="I6526" s="12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14"/>
      <c r="Z6526" s="3"/>
      <c r="AA6526" s="3"/>
      <c r="AB6526" s="3"/>
      <c r="AC6526" s="3"/>
      <c r="AD6526" s="3"/>
      <c r="AE6526" s="3"/>
      <c r="AF6526" s="3"/>
      <c r="AG6526" s="3"/>
      <c r="AH6526" s="3"/>
    </row>
    <row r="6527" spans="1:34" ht="14.25" customHeight="1" x14ac:dyDescent="0.25">
      <c r="A6527" s="3"/>
      <c r="B6527" s="3"/>
      <c r="C6527" s="3"/>
      <c r="D6527" s="3"/>
      <c r="E6527" s="3"/>
      <c r="F6527" s="3"/>
      <c r="G6527" s="3"/>
      <c r="H6527" s="11"/>
      <c r="I6527" s="12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14"/>
      <c r="Z6527" s="3"/>
      <c r="AA6527" s="3"/>
      <c r="AB6527" s="3"/>
      <c r="AC6527" s="3"/>
      <c r="AD6527" s="3"/>
      <c r="AE6527" s="3"/>
      <c r="AF6527" s="3"/>
      <c r="AG6527" s="3"/>
      <c r="AH6527" s="3"/>
    </row>
    <row r="6528" spans="1:34" ht="14.25" customHeight="1" x14ac:dyDescent="0.25">
      <c r="A6528" s="3"/>
      <c r="B6528" s="3"/>
      <c r="C6528" s="3"/>
      <c r="D6528" s="3"/>
      <c r="E6528" s="3"/>
      <c r="F6528" s="3"/>
      <c r="G6528" s="3"/>
      <c r="H6528" s="11"/>
      <c r="I6528" s="12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14"/>
      <c r="Z6528" s="3"/>
      <c r="AA6528" s="3"/>
      <c r="AB6528" s="3"/>
      <c r="AC6528" s="3"/>
      <c r="AD6528" s="3"/>
      <c r="AE6528" s="3"/>
      <c r="AF6528" s="3"/>
      <c r="AG6528" s="3"/>
      <c r="AH6528" s="3"/>
    </row>
    <row r="6529" spans="1:34" ht="14.25" customHeight="1" x14ac:dyDescent="0.25">
      <c r="A6529" s="3"/>
      <c r="B6529" s="3"/>
      <c r="C6529" s="3"/>
      <c r="D6529" s="3"/>
      <c r="E6529" s="3"/>
      <c r="F6529" s="3"/>
      <c r="G6529" s="3"/>
      <c r="H6529" s="11"/>
      <c r="I6529" s="12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14"/>
      <c r="Z6529" s="3"/>
      <c r="AA6529" s="3"/>
      <c r="AB6529" s="3"/>
      <c r="AC6529" s="3"/>
      <c r="AD6529" s="3"/>
      <c r="AE6529" s="3"/>
      <c r="AF6529" s="3"/>
      <c r="AG6529" s="3"/>
      <c r="AH6529" s="3"/>
    </row>
    <row r="6530" spans="1:34" ht="14.25" customHeight="1" x14ac:dyDescent="0.25">
      <c r="A6530" s="3"/>
      <c r="B6530" s="3"/>
      <c r="C6530" s="3"/>
      <c r="D6530" s="3"/>
      <c r="E6530" s="3"/>
      <c r="F6530" s="3"/>
      <c r="G6530" s="3"/>
      <c r="H6530" s="11"/>
      <c r="I6530" s="12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14"/>
      <c r="Z6530" s="3"/>
      <c r="AA6530" s="3"/>
      <c r="AB6530" s="3"/>
      <c r="AC6530" s="3"/>
      <c r="AD6530" s="3"/>
      <c r="AE6530" s="3"/>
      <c r="AF6530" s="3"/>
      <c r="AG6530" s="3"/>
      <c r="AH6530" s="3"/>
    </row>
    <row r="6531" spans="1:34" ht="14.25" customHeight="1" x14ac:dyDescent="0.25">
      <c r="A6531" s="3"/>
      <c r="B6531" s="3"/>
      <c r="C6531" s="3"/>
      <c r="D6531" s="3"/>
      <c r="E6531" s="3"/>
      <c r="F6531" s="3"/>
      <c r="G6531" s="3"/>
      <c r="H6531" s="11"/>
      <c r="I6531" s="12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14"/>
      <c r="Z6531" s="3"/>
      <c r="AA6531" s="3"/>
      <c r="AB6531" s="3"/>
      <c r="AC6531" s="3"/>
      <c r="AD6531" s="3"/>
      <c r="AE6531" s="3"/>
      <c r="AF6531" s="3"/>
      <c r="AG6531" s="3"/>
      <c r="AH6531" s="3"/>
    </row>
    <row r="6532" spans="1:34" ht="14.25" customHeight="1" x14ac:dyDescent="0.25">
      <c r="A6532" s="3"/>
      <c r="B6532" s="3"/>
      <c r="C6532" s="3"/>
      <c r="D6532" s="3"/>
      <c r="E6532" s="3"/>
      <c r="F6532" s="3"/>
      <c r="G6532" s="3"/>
      <c r="H6532" s="11"/>
      <c r="I6532" s="12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14"/>
      <c r="Z6532" s="3"/>
      <c r="AA6532" s="3"/>
      <c r="AB6532" s="3"/>
      <c r="AC6532" s="3"/>
      <c r="AD6532" s="3"/>
      <c r="AE6532" s="3"/>
      <c r="AF6532" s="3"/>
      <c r="AG6532" s="3"/>
      <c r="AH6532" s="3"/>
    </row>
    <row r="6533" spans="1:34" ht="14.25" customHeight="1" x14ac:dyDescent="0.25">
      <c r="A6533" s="3"/>
      <c r="B6533" s="3"/>
      <c r="C6533" s="3"/>
      <c r="D6533" s="3"/>
      <c r="E6533" s="3"/>
      <c r="F6533" s="3"/>
      <c r="G6533" s="3"/>
      <c r="H6533" s="11"/>
      <c r="I6533" s="12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14"/>
      <c r="Z6533" s="3"/>
      <c r="AA6533" s="3"/>
      <c r="AB6533" s="3"/>
      <c r="AC6533" s="3"/>
      <c r="AD6533" s="3"/>
      <c r="AE6533" s="3"/>
      <c r="AF6533" s="3"/>
      <c r="AG6533" s="3"/>
      <c r="AH6533" s="3"/>
    </row>
    <row r="6534" spans="1:34" ht="14.25" customHeight="1" x14ac:dyDescent="0.25">
      <c r="A6534" s="3"/>
      <c r="B6534" s="3"/>
      <c r="C6534" s="3"/>
      <c r="D6534" s="3"/>
      <c r="E6534" s="3"/>
      <c r="F6534" s="3"/>
      <c r="G6534" s="3"/>
      <c r="H6534" s="11"/>
      <c r="I6534" s="12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14"/>
      <c r="Z6534" s="3"/>
      <c r="AA6534" s="3"/>
      <c r="AB6534" s="3"/>
      <c r="AC6534" s="3"/>
      <c r="AD6534" s="3"/>
      <c r="AE6534" s="3"/>
      <c r="AF6534" s="3"/>
      <c r="AG6534" s="3"/>
      <c r="AH6534" s="3"/>
    </row>
    <row r="6535" spans="1:34" ht="14.25" customHeight="1" x14ac:dyDescent="0.25">
      <c r="A6535" s="3"/>
      <c r="B6535" s="3"/>
      <c r="C6535" s="3"/>
      <c r="D6535" s="3"/>
      <c r="E6535" s="3"/>
      <c r="F6535" s="3"/>
      <c r="G6535" s="3"/>
      <c r="H6535" s="11"/>
      <c r="I6535" s="12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14"/>
      <c r="Z6535" s="3"/>
      <c r="AA6535" s="3"/>
      <c r="AB6535" s="3"/>
      <c r="AC6535" s="3"/>
      <c r="AD6535" s="3"/>
      <c r="AE6535" s="3"/>
      <c r="AF6535" s="3"/>
      <c r="AG6535" s="3"/>
      <c r="AH6535" s="3"/>
    </row>
    <row r="6536" spans="1:34" ht="14.25" customHeight="1" x14ac:dyDescent="0.25">
      <c r="A6536" s="3"/>
      <c r="B6536" s="3"/>
      <c r="C6536" s="3"/>
      <c r="D6536" s="3"/>
      <c r="E6536" s="3"/>
      <c r="F6536" s="3"/>
      <c r="G6536" s="3"/>
      <c r="H6536" s="11"/>
      <c r="I6536" s="12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14"/>
      <c r="Z6536" s="3"/>
      <c r="AA6536" s="3"/>
      <c r="AB6536" s="3"/>
      <c r="AC6536" s="3"/>
      <c r="AD6536" s="3"/>
      <c r="AE6536" s="3"/>
      <c r="AF6536" s="3"/>
      <c r="AG6536" s="3"/>
      <c r="AH6536" s="3"/>
    </row>
    <row r="6537" spans="1:34" ht="14.25" customHeight="1" x14ac:dyDescent="0.25">
      <c r="A6537" s="3"/>
      <c r="B6537" s="3"/>
      <c r="C6537" s="3"/>
      <c r="D6537" s="3"/>
      <c r="E6537" s="3"/>
      <c r="F6537" s="3"/>
      <c r="G6537" s="3"/>
      <c r="H6537" s="11"/>
      <c r="I6537" s="12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14"/>
      <c r="Z6537" s="3"/>
      <c r="AA6537" s="3"/>
      <c r="AB6537" s="3"/>
      <c r="AC6537" s="3"/>
      <c r="AD6537" s="3"/>
      <c r="AE6537" s="3"/>
      <c r="AF6537" s="3"/>
      <c r="AG6537" s="3"/>
      <c r="AH6537" s="3"/>
    </row>
    <row r="6538" spans="1:34" ht="14.25" customHeight="1" x14ac:dyDescent="0.25">
      <c r="A6538" s="3"/>
      <c r="B6538" s="3"/>
      <c r="C6538" s="3"/>
      <c r="D6538" s="3"/>
      <c r="E6538" s="3"/>
      <c r="F6538" s="3"/>
      <c r="G6538" s="3"/>
      <c r="H6538" s="11"/>
      <c r="I6538" s="12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14"/>
      <c r="Z6538" s="3"/>
      <c r="AA6538" s="3"/>
      <c r="AB6538" s="3"/>
      <c r="AC6538" s="3"/>
      <c r="AD6538" s="3"/>
      <c r="AE6538" s="3"/>
      <c r="AF6538" s="3"/>
      <c r="AG6538" s="3"/>
      <c r="AH6538" s="3"/>
    </row>
    <row r="6539" spans="1:34" ht="14.25" customHeight="1" x14ac:dyDescent="0.25">
      <c r="A6539" s="3"/>
      <c r="B6539" s="3"/>
      <c r="C6539" s="3"/>
      <c r="D6539" s="3"/>
      <c r="E6539" s="3"/>
      <c r="F6539" s="3"/>
      <c r="G6539" s="3"/>
      <c r="H6539" s="11"/>
      <c r="I6539" s="12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14"/>
      <c r="Z6539" s="3"/>
      <c r="AA6539" s="3"/>
      <c r="AB6539" s="3"/>
      <c r="AC6539" s="3"/>
      <c r="AD6539" s="3"/>
      <c r="AE6539" s="3"/>
      <c r="AF6539" s="3"/>
      <c r="AG6539" s="3"/>
      <c r="AH6539" s="3"/>
    </row>
    <row r="6540" spans="1:34" ht="14.25" customHeight="1" x14ac:dyDescent="0.25">
      <c r="A6540" s="3"/>
      <c r="B6540" s="3"/>
      <c r="C6540" s="3"/>
      <c r="D6540" s="3"/>
      <c r="E6540" s="3"/>
      <c r="F6540" s="3"/>
      <c r="G6540" s="3"/>
      <c r="H6540" s="11"/>
      <c r="I6540" s="12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14"/>
      <c r="Z6540" s="3"/>
      <c r="AA6540" s="3"/>
      <c r="AB6540" s="3"/>
      <c r="AC6540" s="3"/>
      <c r="AD6540" s="3"/>
      <c r="AE6540" s="3"/>
      <c r="AF6540" s="3"/>
      <c r="AG6540" s="3"/>
      <c r="AH6540" s="3"/>
    </row>
    <row r="6541" spans="1:34" ht="14.25" customHeight="1" x14ac:dyDescent="0.25">
      <c r="A6541" s="3"/>
      <c r="B6541" s="3"/>
      <c r="C6541" s="3"/>
      <c r="D6541" s="3"/>
      <c r="E6541" s="3"/>
      <c r="F6541" s="3"/>
      <c r="G6541" s="14"/>
      <c r="H6541" s="11"/>
      <c r="I6541" s="12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14"/>
      <c r="Z6541" s="3"/>
      <c r="AA6541" s="3"/>
      <c r="AB6541" s="3"/>
      <c r="AC6541" s="3"/>
      <c r="AD6541" s="3"/>
      <c r="AE6541" s="3"/>
      <c r="AF6541" s="3"/>
      <c r="AG6541" s="3"/>
      <c r="AH6541" s="3"/>
    </row>
    <row r="6542" spans="1:34" ht="14.25" customHeight="1" x14ac:dyDescent="0.25">
      <c r="A6542" s="3"/>
      <c r="B6542" s="3"/>
      <c r="C6542" s="3"/>
      <c r="D6542" s="3"/>
      <c r="E6542" s="3"/>
      <c r="F6542" s="3"/>
      <c r="G6542" s="3"/>
      <c r="H6542" s="11"/>
      <c r="I6542" s="12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14"/>
      <c r="Z6542" s="3"/>
      <c r="AA6542" s="3"/>
      <c r="AB6542" s="3"/>
      <c r="AC6542" s="3"/>
      <c r="AD6542" s="3"/>
      <c r="AE6542" s="3"/>
      <c r="AF6542" s="3"/>
      <c r="AG6542" s="3"/>
      <c r="AH6542" s="3"/>
    </row>
    <row r="6543" spans="1:34" ht="14.25" customHeight="1" x14ac:dyDescent="0.25">
      <c r="A6543" s="3"/>
      <c r="B6543" s="3"/>
      <c r="C6543" s="3"/>
      <c r="D6543" s="3"/>
      <c r="E6543" s="3"/>
      <c r="F6543" s="3"/>
      <c r="G6543" s="14"/>
      <c r="H6543" s="11"/>
      <c r="I6543" s="12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14"/>
      <c r="Z6543" s="3"/>
      <c r="AA6543" s="3"/>
      <c r="AB6543" s="3"/>
      <c r="AC6543" s="3"/>
      <c r="AD6543" s="3"/>
      <c r="AE6543" s="3"/>
      <c r="AF6543" s="3"/>
      <c r="AG6543" s="3"/>
      <c r="AH6543" s="3"/>
    </row>
    <row r="6544" spans="1:34" ht="14.25" customHeight="1" x14ac:dyDescent="0.25">
      <c r="A6544" s="3"/>
      <c r="B6544" s="3"/>
      <c r="C6544" s="3"/>
      <c r="D6544" s="3"/>
      <c r="E6544" s="3"/>
      <c r="F6544" s="3"/>
      <c r="G6544" s="3"/>
      <c r="H6544" s="11"/>
      <c r="I6544" s="12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14"/>
      <c r="Z6544" s="3"/>
      <c r="AA6544" s="3"/>
      <c r="AB6544" s="3"/>
      <c r="AC6544" s="3"/>
      <c r="AD6544" s="3"/>
      <c r="AE6544" s="3"/>
      <c r="AF6544" s="3"/>
      <c r="AG6544" s="3"/>
      <c r="AH6544" s="3"/>
    </row>
    <row r="6545" spans="1:34" ht="14.25" customHeight="1" x14ac:dyDescent="0.25">
      <c r="A6545" s="3"/>
      <c r="B6545" s="3"/>
      <c r="C6545" s="3"/>
      <c r="D6545" s="3"/>
      <c r="E6545" s="3"/>
      <c r="F6545" s="3"/>
      <c r="G6545" s="3"/>
      <c r="H6545" s="11"/>
      <c r="I6545" s="12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14"/>
      <c r="Z6545" s="3"/>
      <c r="AA6545" s="3"/>
      <c r="AB6545" s="3"/>
      <c r="AC6545" s="3"/>
      <c r="AD6545" s="3"/>
      <c r="AE6545" s="3"/>
      <c r="AF6545" s="3"/>
      <c r="AG6545" s="3"/>
      <c r="AH6545" s="3"/>
    </row>
    <row r="6546" spans="1:34" ht="14.25" customHeight="1" x14ac:dyDescent="0.25">
      <c r="A6546" s="3"/>
      <c r="B6546" s="3"/>
      <c r="C6546" s="3"/>
      <c r="D6546" s="3"/>
      <c r="E6546" s="3"/>
      <c r="F6546" s="3"/>
      <c r="G6546" s="3"/>
      <c r="H6546" s="11"/>
      <c r="I6546" s="12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14"/>
      <c r="Z6546" s="3"/>
      <c r="AA6546" s="3"/>
      <c r="AB6546" s="3"/>
      <c r="AC6546" s="3"/>
      <c r="AD6546" s="3"/>
      <c r="AE6546" s="3"/>
      <c r="AF6546" s="3"/>
      <c r="AG6546" s="3"/>
      <c r="AH6546" s="3"/>
    </row>
    <row r="6547" spans="1:34" ht="14.25" customHeight="1" x14ac:dyDescent="0.25">
      <c r="A6547" s="3"/>
      <c r="B6547" s="3"/>
      <c r="C6547" s="3"/>
      <c r="D6547" s="3"/>
      <c r="E6547" s="3"/>
      <c r="F6547" s="3"/>
      <c r="G6547" s="3"/>
      <c r="H6547" s="11"/>
      <c r="I6547" s="12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14"/>
      <c r="Z6547" s="3"/>
      <c r="AA6547" s="3"/>
      <c r="AB6547" s="3"/>
      <c r="AC6547" s="3"/>
      <c r="AD6547" s="3"/>
      <c r="AE6547" s="3"/>
      <c r="AF6547" s="3"/>
      <c r="AG6547" s="3"/>
      <c r="AH6547" s="3"/>
    </row>
    <row r="6548" spans="1:34" ht="14.25" customHeight="1" x14ac:dyDescent="0.25">
      <c r="A6548" s="3"/>
      <c r="B6548" s="3"/>
      <c r="C6548" s="3"/>
      <c r="D6548" s="3"/>
      <c r="E6548" s="3"/>
      <c r="F6548" s="3"/>
      <c r="G6548" s="3"/>
      <c r="H6548" s="11"/>
      <c r="I6548" s="12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14"/>
      <c r="Z6548" s="3"/>
      <c r="AA6548" s="3"/>
      <c r="AB6548" s="3"/>
      <c r="AC6548" s="3"/>
      <c r="AD6548" s="3"/>
      <c r="AE6548" s="3"/>
      <c r="AF6548" s="3"/>
      <c r="AG6548" s="3"/>
      <c r="AH6548" s="3"/>
    </row>
    <row r="6549" spans="1:34" ht="14.25" customHeight="1" x14ac:dyDescent="0.25">
      <c r="A6549" s="3"/>
      <c r="B6549" s="3"/>
      <c r="C6549" s="3"/>
      <c r="D6549" s="3"/>
      <c r="E6549" s="3"/>
      <c r="F6549" s="3"/>
      <c r="G6549" s="3"/>
      <c r="H6549" s="11"/>
      <c r="I6549" s="12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14"/>
      <c r="Z6549" s="3"/>
      <c r="AA6549" s="3"/>
      <c r="AB6549" s="3"/>
      <c r="AC6549" s="3"/>
      <c r="AD6549" s="3"/>
      <c r="AE6549" s="3"/>
      <c r="AF6549" s="3"/>
      <c r="AG6549" s="3"/>
      <c r="AH6549" s="3"/>
    </row>
    <row r="6550" spans="1:34" ht="14.25" customHeight="1" x14ac:dyDescent="0.25">
      <c r="A6550" s="3"/>
      <c r="B6550" s="3"/>
      <c r="C6550" s="3"/>
      <c r="D6550" s="3"/>
      <c r="E6550" s="3"/>
      <c r="F6550" s="3"/>
      <c r="G6550" s="3"/>
      <c r="H6550" s="11"/>
      <c r="I6550" s="12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14"/>
      <c r="Z6550" s="3"/>
      <c r="AA6550" s="3"/>
      <c r="AB6550" s="3"/>
      <c r="AC6550" s="3"/>
      <c r="AD6550" s="3"/>
      <c r="AE6550" s="3"/>
      <c r="AF6550" s="3"/>
      <c r="AG6550" s="3"/>
      <c r="AH6550" s="3"/>
    </row>
    <row r="6551" spans="1:34" ht="14.25" customHeight="1" x14ac:dyDescent="0.25">
      <c r="A6551" s="3"/>
      <c r="B6551" s="3"/>
      <c r="C6551" s="3"/>
      <c r="D6551" s="3"/>
      <c r="E6551" s="3"/>
      <c r="F6551" s="3"/>
      <c r="G6551" s="3"/>
      <c r="H6551" s="11"/>
      <c r="I6551" s="12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14"/>
      <c r="Z6551" s="3"/>
      <c r="AA6551" s="3"/>
      <c r="AB6551" s="3"/>
      <c r="AC6551" s="3"/>
      <c r="AD6551" s="3"/>
      <c r="AE6551" s="3"/>
      <c r="AF6551" s="3"/>
      <c r="AG6551" s="3"/>
      <c r="AH6551" s="3"/>
    </row>
    <row r="6552" spans="1:34" ht="14.25" customHeight="1" x14ac:dyDescent="0.25">
      <c r="A6552" s="3"/>
      <c r="B6552" s="3"/>
      <c r="C6552" s="3"/>
      <c r="D6552" s="3"/>
      <c r="E6552" s="3"/>
      <c r="F6552" s="3"/>
      <c r="G6552" s="3"/>
      <c r="H6552" s="11"/>
      <c r="I6552" s="12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14"/>
      <c r="Z6552" s="3"/>
      <c r="AA6552" s="3"/>
      <c r="AB6552" s="3"/>
      <c r="AC6552" s="3"/>
      <c r="AD6552" s="3"/>
      <c r="AE6552" s="3"/>
      <c r="AF6552" s="3"/>
      <c r="AG6552" s="3"/>
      <c r="AH6552" s="3"/>
    </row>
    <row r="6553" spans="1:34" ht="14.25" customHeight="1" x14ac:dyDescent="0.25">
      <c r="A6553" s="3"/>
      <c r="B6553" s="3"/>
      <c r="C6553" s="3"/>
      <c r="D6553" s="3"/>
      <c r="E6553" s="3"/>
      <c r="F6553" s="3"/>
      <c r="G6553" s="3"/>
      <c r="H6553" s="11"/>
      <c r="I6553" s="12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14"/>
      <c r="Z6553" s="3"/>
      <c r="AA6553" s="3"/>
      <c r="AB6553" s="3"/>
      <c r="AC6553" s="3"/>
      <c r="AD6553" s="3"/>
      <c r="AE6553" s="3"/>
      <c r="AF6553" s="3"/>
      <c r="AG6553" s="3"/>
      <c r="AH6553" s="3"/>
    </row>
    <row r="6554" spans="1:34" ht="14.25" customHeight="1" x14ac:dyDescent="0.25">
      <c r="A6554" s="3"/>
      <c r="B6554" s="3"/>
      <c r="C6554" s="3"/>
      <c r="D6554" s="3"/>
      <c r="E6554" s="3"/>
      <c r="F6554" s="3"/>
      <c r="G6554" s="3"/>
      <c r="H6554" s="11"/>
      <c r="I6554" s="12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14"/>
      <c r="Z6554" s="3"/>
      <c r="AA6554" s="3"/>
      <c r="AB6554" s="3"/>
      <c r="AC6554" s="3"/>
      <c r="AD6554" s="3"/>
      <c r="AE6554" s="3"/>
      <c r="AF6554" s="3"/>
      <c r="AG6554" s="3"/>
      <c r="AH6554" s="3"/>
    </row>
    <row r="6555" spans="1:34" ht="14.25" customHeight="1" x14ac:dyDescent="0.25">
      <c r="A6555" s="3"/>
      <c r="B6555" s="3"/>
      <c r="C6555" s="3"/>
      <c r="D6555" s="3"/>
      <c r="E6555" s="3"/>
      <c r="F6555" s="3"/>
      <c r="G6555" s="3"/>
      <c r="H6555" s="11"/>
      <c r="I6555" s="12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14"/>
      <c r="Z6555" s="3"/>
      <c r="AA6555" s="3"/>
      <c r="AB6555" s="3"/>
      <c r="AC6555" s="3"/>
      <c r="AD6555" s="3"/>
      <c r="AE6555" s="3"/>
      <c r="AF6555" s="3"/>
      <c r="AG6555" s="3"/>
      <c r="AH6555" s="3"/>
    </row>
    <row r="6556" spans="1:34" ht="14.25" customHeight="1" x14ac:dyDescent="0.25">
      <c r="A6556" s="3"/>
      <c r="B6556" s="3"/>
      <c r="C6556" s="3"/>
      <c r="D6556" s="3"/>
      <c r="E6556" s="3"/>
      <c r="F6556" s="3"/>
      <c r="G6556" s="3"/>
      <c r="H6556" s="11"/>
      <c r="I6556" s="12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14"/>
      <c r="Z6556" s="3"/>
      <c r="AA6556" s="3"/>
      <c r="AB6556" s="3"/>
      <c r="AC6556" s="3"/>
      <c r="AD6556" s="3"/>
      <c r="AE6556" s="3"/>
      <c r="AF6556" s="3"/>
      <c r="AG6556" s="3"/>
      <c r="AH6556" s="3"/>
    </row>
    <row r="6557" spans="1:34" ht="14.25" customHeight="1" x14ac:dyDescent="0.25">
      <c r="A6557" s="3"/>
      <c r="B6557" s="3"/>
      <c r="C6557" s="3"/>
      <c r="D6557" s="3"/>
      <c r="E6557" s="3"/>
      <c r="F6557" s="3"/>
      <c r="G6557" s="3"/>
      <c r="H6557" s="11"/>
      <c r="I6557" s="12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14"/>
      <c r="Z6557" s="3"/>
      <c r="AA6557" s="3"/>
      <c r="AB6557" s="3"/>
      <c r="AC6557" s="3"/>
      <c r="AD6557" s="3"/>
      <c r="AE6557" s="3"/>
      <c r="AF6557" s="3"/>
      <c r="AG6557" s="3"/>
      <c r="AH6557" s="3"/>
    </row>
    <row r="6558" spans="1:34" ht="14.25" customHeight="1" x14ac:dyDescent="0.25">
      <c r="A6558" s="3"/>
      <c r="B6558" s="3"/>
      <c r="C6558" s="3"/>
      <c r="D6558" s="3"/>
      <c r="E6558" s="3"/>
      <c r="F6558" s="3"/>
      <c r="G6558" s="3"/>
      <c r="H6558" s="11"/>
      <c r="I6558" s="12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14"/>
      <c r="Z6558" s="3"/>
      <c r="AA6558" s="3"/>
      <c r="AB6558" s="3"/>
      <c r="AC6558" s="3"/>
      <c r="AD6558" s="3"/>
      <c r="AE6558" s="3"/>
      <c r="AF6558" s="3"/>
      <c r="AG6558" s="3"/>
      <c r="AH6558" s="3"/>
    </row>
    <row r="6559" spans="1:34" ht="14.25" customHeight="1" x14ac:dyDescent="0.25">
      <c r="A6559" s="3"/>
      <c r="B6559" s="3"/>
      <c r="C6559" s="3"/>
      <c r="D6559" s="3"/>
      <c r="E6559" s="3"/>
      <c r="F6559" s="3"/>
      <c r="G6559" s="3"/>
      <c r="H6559" s="11"/>
      <c r="I6559" s="12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14"/>
      <c r="Z6559" s="3"/>
      <c r="AA6559" s="3"/>
      <c r="AB6559" s="3"/>
      <c r="AC6559" s="3"/>
      <c r="AD6559" s="3"/>
      <c r="AE6559" s="3"/>
      <c r="AF6559" s="3"/>
      <c r="AG6559" s="3"/>
      <c r="AH6559" s="3"/>
    </row>
    <row r="6560" spans="1:34" ht="14.25" customHeight="1" x14ac:dyDescent="0.25">
      <c r="A6560" s="3"/>
      <c r="B6560" s="3"/>
      <c r="C6560" s="3"/>
      <c r="D6560" s="3"/>
      <c r="E6560" s="3"/>
      <c r="F6560" s="3"/>
      <c r="G6560" s="3"/>
      <c r="H6560" s="11"/>
      <c r="I6560" s="12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14"/>
      <c r="Z6560" s="3"/>
      <c r="AA6560" s="3"/>
      <c r="AB6560" s="3"/>
      <c r="AC6560" s="3"/>
      <c r="AD6560" s="3"/>
      <c r="AE6560" s="3"/>
      <c r="AF6560" s="3"/>
      <c r="AG6560" s="3"/>
      <c r="AH6560" s="3"/>
    </row>
    <row r="6561" spans="1:34" ht="14.25" customHeight="1" x14ac:dyDescent="0.25">
      <c r="A6561" s="3"/>
      <c r="B6561" s="3"/>
      <c r="C6561" s="3"/>
      <c r="D6561" s="3"/>
      <c r="E6561" s="3"/>
      <c r="F6561" s="3"/>
      <c r="G6561" s="3"/>
      <c r="H6561" s="11"/>
      <c r="I6561" s="12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14"/>
      <c r="Z6561" s="3"/>
      <c r="AA6561" s="3"/>
      <c r="AB6561" s="3"/>
      <c r="AC6561" s="3"/>
      <c r="AD6561" s="3"/>
      <c r="AE6561" s="3"/>
      <c r="AF6561" s="3"/>
      <c r="AG6561" s="3"/>
      <c r="AH6561" s="3"/>
    </row>
    <row r="6562" spans="1:34" ht="14.25" customHeight="1" x14ac:dyDescent="0.25">
      <c r="A6562" s="3"/>
      <c r="B6562" s="3"/>
      <c r="C6562" s="3"/>
      <c r="D6562" s="3"/>
      <c r="E6562" s="3"/>
      <c r="F6562" s="3"/>
      <c r="G6562" s="3"/>
      <c r="H6562" s="11"/>
      <c r="I6562" s="12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14"/>
      <c r="Z6562" s="3"/>
      <c r="AA6562" s="3"/>
      <c r="AB6562" s="3"/>
      <c r="AC6562" s="3"/>
      <c r="AD6562" s="3"/>
      <c r="AE6562" s="3"/>
      <c r="AF6562" s="3"/>
      <c r="AG6562" s="3"/>
      <c r="AH6562" s="3"/>
    </row>
    <row r="6563" spans="1:34" ht="14.25" customHeight="1" x14ac:dyDescent="0.25">
      <c r="A6563" s="3"/>
      <c r="B6563" s="3"/>
      <c r="C6563" s="3"/>
      <c r="D6563" s="3"/>
      <c r="E6563" s="3"/>
      <c r="F6563" s="3"/>
      <c r="G6563" s="3"/>
      <c r="H6563" s="11"/>
      <c r="I6563" s="12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14"/>
      <c r="Z6563" s="3"/>
      <c r="AA6563" s="3"/>
      <c r="AB6563" s="3"/>
      <c r="AC6563" s="3"/>
      <c r="AD6563" s="3"/>
      <c r="AE6563" s="3"/>
      <c r="AF6563" s="3"/>
      <c r="AG6563" s="3"/>
      <c r="AH6563" s="3"/>
    </row>
    <row r="6564" spans="1:34" ht="14.25" customHeight="1" x14ac:dyDescent="0.25">
      <c r="A6564" s="3"/>
      <c r="B6564" s="3"/>
      <c r="C6564" s="3"/>
      <c r="D6564" s="3"/>
      <c r="E6564" s="3"/>
      <c r="F6564" s="3"/>
      <c r="G6564" s="3"/>
      <c r="H6564" s="11"/>
      <c r="I6564" s="12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14"/>
      <c r="Z6564" s="3"/>
      <c r="AA6564" s="3"/>
      <c r="AB6564" s="3"/>
      <c r="AC6564" s="3"/>
      <c r="AD6564" s="3"/>
      <c r="AE6564" s="3"/>
      <c r="AF6564" s="3"/>
      <c r="AG6564" s="3"/>
      <c r="AH6564" s="3"/>
    </row>
    <row r="6565" spans="1:34" ht="14.25" customHeight="1" x14ac:dyDescent="0.25">
      <c r="A6565" s="3"/>
      <c r="B6565" s="3"/>
      <c r="C6565" s="3"/>
      <c r="D6565" s="3"/>
      <c r="E6565" s="3"/>
      <c r="F6565" s="3"/>
      <c r="G6565" s="3"/>
      <c r="H6565" s="11"/>
      <c r="I6565" s="12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14"/>
      <c r="Z6565" s="3"/>
      <c r="AA6565" s="3"/>
      <c r="AB6565" s="3"/>
      <c r="AC6565" s="3"/>
      <c r="AD6565" s="3"/>
      <c r="AE6565" s="3"/>
      <c r="AF6565" s="3"/>
      <c r="AG6565" s="3"/>
      <c r="AH6565" s="3"/>
    </row>
    <row r="6566" spans="1:34" ht="14.25" customHeight="1" x14ac:dyDescent="0.25">
      <c r="A6566" s="3"/>
      <c r="B6566" s="3"/>
      <c r="C6566" s="3"/>
      <c r="D6566" s="3"/>
      <c r="E6566" s="3"/>
      <c r="F6566" s="3"/>
      <c r="G6566" s="3"/>
      <c r="H6566" s="11"/>
      <c r="I6566" s="12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14"/>
      <c r="Z6566" s="3"/>
      <c r="AA6566" s="3"/>
      <c r="AB6566" s="3"/>
      <c r="AC6566" s="3"/>
      <c r="AD6566" s="3"/>
      <c r="AE6566" s="3"/>
      <c r="AF6566" s="3"/>
      <c r="AG6566" s="3"/>
      <c r="AH6566" s="3"/>
    </row>
    <row r="6567" spans="1:34" ht="14.25" customHeight="1" x14ac:dyDescent="0.25">
      <c r="A6567" s="3"/>
      <c r="B6567" s="3"/>
      <c r="C6567" s="3"/>
      <c r="D6567" s="3"/>
      <c r="E6567" s="3"/>
      <c r="F6567" s="3"/>
      <c r="G6567" s="3"/>
      <c r="H6567" s="11"/>
      <c r="I6567" s="12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14"/>
      <c r="Z6567" s="3"/>
      <c r="AA6567" s="3"/>
      <c r="AB6567" s="3"/>
      <c r="AC6567" s="3"/>
      <c r="AD6567" s="3"/>
      <c r="AE6567" s="3"/>
      <c r="AF6567" s="3"/>
      <c r="AG6567" s="3"/>
      <c r="AH6567" s="3"/>
    </row>
    <row r="6568" spans="1:34" ht="14.25" customHeight="1" x14ac:dyDescent="0.25">
      <c r="A6568" s="3"/>
      <c r="B6568" s="3"/>
      <c r="C6568" s="3"/>
      <c r="D6568" s="3"/>
      <c r="E6568" s="3"/>
      <c r="F6568" s="3"/>
      <c r="G6568" s="3"/>
      <c r="H6568" s="11"/>
      <c r="I6568" s="12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14"/>
      <c r="Z6568" s="3"/>
      <c r="AA6568" s="3"/>
      <c r="AB6568" s="3"/>
      <c r="AC6568" s="3"/>
      <c r="AD6568" s="3"/>
      <c r="AE6568" s="3"/>
      <c r="AF6568" s="3"/>
      <c r="AG6568" s="3"/>
      <c r="AH6568" s="3"/>
    </row>
    <row r="6569" spans="1:34" ht="14.25" customHeight="1" x14ac:dyDescent="0.25">
      <c r="A6569" s="3"/>
      <c r="B6569" s="3"/>
      <c r="C6569" s="3"/>
      <c r="D6569" s="3"/>
      <c r="E6569" s="3"/>
      <c r="F6569" s="3"/>
      <c r="G6569" s="3"/>
      <c r="H6569" s="11"/>
      <c r="I6569" s="12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14"/>
      <c r="Z6569" s="3"/>
      <c r="AA6569" s="3"/>
      <c r="AB6569" s="3"/>
      <c r="AC6569" s="3"/>
      <c r="AD6569" s="3"/>
      <c r="AE6569" s="3"/>
      <c r="AF6569" s="3"/>
      <c r="AG6569" s="3"/>
      <c r="AH6569" s="3"/>
    </row>
    <row r="6570" spans="1:34" ht="14.25" customHeight="1" x14ac:dyDescent="0.25">
      <c r="A6570" s="3"/>
      <c r="B6570" s="3"/>
      <c r="C6570" s="3"/>
      <c r="D6570" s="3"/>
      <c r="E6570" s="3"/>
      <c r="F6570" s="3"/>
      <c r="G6570" s="3"/>
      <c r="H6570" s="11"/>
      <c r="I6570" s="12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14"/>
      <c r="Z6570" s="3"/>
      <c r="AA6570" s="3"/>
      <c r="AB6570" s="3"/>
      <c r="AC6570" s="3"/>
      <c r="AD6570" s="3"/>
      <c r="AE6570" s="3"/>
      <c r="AF6570" s="3"/>
      <c r="AG6570" s="3"/>
      <c r="AH6570" s="3"/>
    </row>
    <row r="6571" spans="1:34" ht="14.25" customHeight="1" x14ac:dyDescent="0.25">
      <c r="A6571" s="3"/>
      <c r="B6571" s="3"/>
      <c r="C6571" s="3"/>
      <c r="D6571" s="3"/>
      <c r="E6571" s="3"/>
      <c r="F6571" s="3"/>
      <c r="G6571" s="3"/>
      <c r="H6571" s="11"/>
      <c r="I6571" s="12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14"/>
      <c r="Z6571" s="3"/>
      <c r="AA6571" s="3"/>
      <c r="AB6571" s="3"/>
      <c r="AC6571" s="3"/>
      <c r="AD6571" s="3"/>
      <c r="AE6571" s="3"/>
      <c r="AF6571" s="3"/>
      <c r="AG6571" s="3"/>
      <c r="AH6571" s="3"/>
    </row>
    <row r="6572" spans="1:34" ht="14.25" customHeight="1" x14ac:dyDescent="0.25">
      <c r="A6572" s="3"/>
      <c r="B6572" s="3"/>
      <c r="C6572" s="3"/>
      <c r="D6572" s="3"/>
      <c r="E6572" s="3"/>
      <c r="F6572" s="3"/>
      <c r="G6572" s="3"/>
      <c r="H6572" s="11"/>
      <c r="I6572" s="12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14"/>
      <c r="Z6572" s="3"/>
      <c r="AA6572" s="3"/>
      <c r="AB6572" s="3"/>
      <c r="AC6572" s="3"/>
      <c r="AD6572" s="3"/>
      <c r="AE6572" s="3"/>
      <c r="AF6572" s="3"/>
      <c r="AG6572" s="3"/>
      <c r="AH6572" s="3"/>
    </row>
    <row r="6573" spans="1:34" ht="14.25" customHeight="1" x14ac:dyDescent="0.25">
      <c r="A6573" s="3"/>
      <c r="B6573" s="3"/>
      <c r="C6573" s="3"/>
      <c r="D6573" s="3"/>
      <c r="E6573" s="3"/>
      <c r="F6573" s="3"/>
      <c r="G6573" s="3"/>
      <c r="H6573" s="11"/>
      <c r="I6573" s="12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14"/>
      <c r="Z6573" s="3"/>
      <c r="AA6573" s="3"/>
      <c r="AB6573" s="3"/>
      <c r="AC6573" s="3"/>
      <c r="AD6573" s="3"/>
      <c r="AE6573" s="3"/>
      <c r="AF6573" s="3"/>
      <c r="AG6573" s="3"/>
      <c r="AH6573" s="3"/>
    </row>
    <row r="6574" spans="1:34" ht="14.25" customHeight="1" x14ac:dyDescent="0.25">
      <c r="A6574" s="3"/>
      <c r="B6574" s="3"/>
      <c r="C6574" s="3"/>
      <c r="D6574" s="3"/>
      <c r="E6574" s="3"/>
      <c r="F6574" s="3"/>
      <c r="G6574" s="3"/>
      <c r="H6574" s="11"/>
      <c r="I6574" s="12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14"/>
      <c r="Z6574" s="3"/>
      <c r="AA6574" s="3"/>
      <c r="AB6574" s="3"/>
      <c r="AC6574" s="3"/>
      <c r="AD6574" s="3"/>
      <c r="AE6574" s="3"/>
      <c r="AF6574" s="3"/>
      <c r="AG6574" s="3"/>
      <c r="AH6574" s="3"/>
    </row>
    <row r="6575" spans="1:34" ht="14.25" customHeight="1" x14ac:dyDescent="0.25">
      <c r="A6575" s="3"/>
      <c r="B6575" s="3"/>
      <c r="C6575" s="3"/>
      <c r="D6575" s="3"/>
      <c r="E6575" s="3"/>
      <c r="F6575" s="3"/>
      <c r="G6575" s="3"/>
      <c r="H6575" s="11"/>
      <c r="I6575" s="12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14"/>
      <c r="Z6575" s="3"/>
      <c r="AA6575" s="3"/>
      <c r="AB6575" s="3"/>
      <c r="AC6575" s="3"/>
      <c r="AD6575" s="3"/>
      <c r="AE6575" s="3"/>
      <c r="AF6575" s="3"/>
      <c r="AG6575" s="3"/>
      <c r="AH6575" s="3"/>
    </row>
    <row r="6576" spans="1:34" ht="14.25" customHeight="1" x14ac:dyDescent="0.25">
      <c r="A6576" s="3"/>
      <c r="B6576" s="3"/>
      <c r="C6576" s="3"/>
      <c r="D6576" s="3"/>
      <c r="E6576" s="3"/>
      <c r="F6576" s="3"/>
      <c r="G6576" s="3"/>
      <c r="H6576" s="11"/>
      <c r="I6576" s="12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14"/>
      <c r="Z6576" s="3"/>
      <c r="AA6576" s="3"/>
      <c r="AB6576" s="3"/>
      <c r="AC6576" s="3"/>
      <c r="AD6576" s="3"/>
      <c r="AE6576" s="3"/>
      <c r="AF6576" s="3"/>
      <c r="AG6576" s="3"/>
      <c r="AH6576" s="3"/>
    </row>
    <row r="6577" spans="1:34" ht="14.25" customHeight="1" x14ac:dyDescent="0.25">
      <c r="A6577" s="3"/>
      <c r="B6577" s="3"/>
      <c r="C6577" s="3"/>
      <c r="D6577" s="3"/>
      <c r="E6577" s="3"/>
      <c r="F6577" s="3"/>
      <c r="G6577" s="3"/>
      <c r="H6577" s="11"/>
      <c r="I6577" s="12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14"/>
      <c r="Z6577" s="3"/>
      <c r="AA6577" s="3"/>
      <c r="AB6577" s="3"/>
      <c r="AC6577" s="3"/>
      <c r="AD6577" s="3"/>
      <c r="AE6577" s="3"/>
      <c r="AF6577" s="3"/>
      <c r="AG6577" s="3"/>
      <c r="AH6577" s="3"/>
    </row>
    <row r="6578" spans="1:34" ht="14.25" customHeight="1" x14ac:dyDescent="0.25">
      <c r="A6578" s="3"/>
      <c r="B6578" s="3"/>
      <c r="C6578" s="3"/>
      <c r="D6578" s="3"/>
      <c r="E6578" s="3"/>
      <c r="F6578" s="3"/>
      <c r="G6578" s="3"/>
      <c r="H6578" s="11"/>
      <c r="I6578" s="12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14"/>
      <c r="Z6578" s="3"/>
      <c r="AA6578" s="3"/>
      <c r="AB6578" s="3"/>
      <c r="AC6578" s="3"/>
      <c r="AD6578" s="3"/>
      <c r="AE6578" s="3"/>
      <c r="AF6578" s="3"/>
      <c r="AG6578" s="3"/>
      <c r="AH6578" s="3"/>
    </row>
    <row r="6579" spans="1:34" ht="14.25" customHeight="1" x14ac:dyDescent="0.25">
      <c r="A6579" s="3"/>
      <c r="B6579" s="3"/>
      <c r="C6579" s="3"/>
      <c r="D6579" s="3"/>
      <c r="E6579" s="3"/>
      <c r="F6579" s="3"/>
      <c r="G6579" s="3"/>
      <c r="H6579" s="11"/>
      <c r="I6579" s="12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14"/>
      <c r="Z6579" s="3"/>
      <c r="AA6579" s="3"/>
      <c r="AB6579" s="3"/>
      <c r="AC6579" s="3"/>
      <c r="AD6579" s="3"/>
      <c r="AE6579" s="3"/>
      <c r="AF6579" s="3"/>
      <c r="AG6579" s="3"/>
      <c r="AH6579" s="3"/>
    </row>
    <row r="6580" spans="1:34" ht="14.25" customHeight="1" x14ac:dyDescent="0.25">
      <c r="A6580" s="3"/>
      <c r="B6580" s="3"/>
      <c r="C6580" s="3"/>
      <c r="D6580" s="3"/>
      <c r="E6580" s="3"/>
      <c r="F6580" s="3"/>
      <c r="G6580" s="3"/>
      <c r="H6580" s="11"/>
      <c r="I6580" s="12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14"/>
      <c r="Z6580" s="3"/>
      <c r="AA6580" s="3"/>
      <c r="AB6580" s="3"/>
      <c r="AC6580" s="3"/>
      <c r="AD6580" s="3"/>
      <c r="AE6580" s="3"/>
      <c r="AF6580" s="3"/>
      <c r="AG6580" s="3"/>
      <c r="AH6580" s="3"/>
    </row>
    <row r="6581" spans="1:34" ht="14.25" customHeight="1" x14ac:dyDescent="0.25">
      <c r="A6581" s="3"/>
      <c r="B6581" s="3"/>
      <c r="C6581" s="3"/>
      <c r="D6581" s="3"/>
      <c r="E6581" s="3"/>
      <c r="F6581" s="3"/>
      <c r="G6581" s="3"/>
      <c r="H6581" s="11"/>
      <c r="I6581" s="12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14"/>
      <c r="Z6581" s="3"/>
      <c r="AA6581" s="3"/>
      <c r="AB6581" s="3"/>
      <c r="AC6581" s="3"/>
      <c r="AD6581" s="3"/>
      <c r="AE6581" s="3"/>
      <c r="AF6581" s="3"/>
      <c r="AG6581" s="3"/>
      <c r="AH6581" s="3"/>
    </row>
    <row r="6582" spans="1:34" ht="14.25" customHeight="1" x14ac:dyDescent="0.25">
      <c r="A6582" s="3"/>
      <c r="B6582" s="3"/>
      <c r="C6582" s="3"/>
      <c r="D6582" s="3"/>
      <c r="E6582" s="3"/>
      <c r="F6582" s="3"/>
      <c r="G6582" s="3"/>
      <c r="H6582" s="11"/>
      <c r="I6582" s="12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14"/>
      <c r="Z6582" s="3"/>
      <c r="AA6582" s="3"/>
      <c r="AB6582" s="3"/>
      <c r="AC6582" s="3"/>
      <c r="AD6582" s="3"/>
      <c r="AE6582" s="3"/>
      <c r="AF6582" s="3"/>
      <c r="AG6582" s="3"/>
      <c r="AH6582" s="3"/>
    </row>
    <row r="6583" spans="1:34" ht="14.25" customHeight="1" x14ac:dyDescent="0.25">
      <c r="A6583" s="3"/>
      <c r="B6583" s="3"/>
      <c r="C6583" s="3"/>
      <c r="D6583" s="3"/>
      <c r="E6583" s="3"/>
      <c r="F6583" s="3"/>
      <c r="G6583" s="3"/>
      <c r="H6583" s="11"/>
      <c r="I6583" s="12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14"/>
      <c r="Z6583" s="3"/>
      <c r="AA6583" s="3"/>
      <c r="AB6583" s="3"/>
      <c r="AC6583" s="3"/>
      <c r="AD6583" s="3"/>
      <c r="AE6583" s="3"/>
      <c r="AF6583" s="3"/>
      <c r="AG6583" s="3"/>
      <c r="AH6583" s="3"/>
    </row>
    <row r="6584" spans="1:34" ht="14.25" customHeight="1" x14ac:dyDescent="0.25">
      <c r="A6584" s="3"/>
      <c r="B6584" s="3"/>
      <c r="C6584" s="3"/>
      <c r="D6584" s="3"/>
      <c r="E6584" s="3"/>
      <c r="F6584" s="3"/>
      <c r="G6584" s="3"/>
      <c r="H6584" s="11"/>
      <c r="I6584" s="12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14"/>
      <c r="Z6584" s="3"/>
      <c r="AA6584" s="3"/>
      <c r="AB6584" s="3"/>
      <c r="AC6584" s="3"/>
      <c r="AD6584" s="3"/>
      <c r="AE6584" s="3"/>
      <c r="AF6584" s="3"/>
      <c r="AG6584" s="3"/>
      <c r="AH6584" s="3"/>
    </row>
    <row r="6585" spans="1:34" ht="14.25" customHeight="1" x14ac:dyDescent="0.25">
      <c r="A6585" s="3"/>
      <c r="B6585" s="3"/>
      <c r="C6585" s="3"/>
      <c r="D6585" s="3"/>
      <c r="E6585" s="3"/>
      <c r="F6585" s="3"/>
      <c r="G6585" s="3"/>
      <c r="H6585" s="11"/>
      <c r="I6585" s="12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14"/>
      <c r="Z6585" s="3"/>
      <c r="AA6585" s="3"/>
      <c r="AB6585" s="3"/>
      <c r="AC6585" s="3"/>
      <c r="AD6585" s="3"/>
      <c r="AE6585" s="3"/>
      <c r="AF6585" s="3"/>
      <c r="AG6585" s="3"/>
      <c r="AH6585" s="3"/>
    </row>
    <row r="6586" spans="1:34" ht="14.25" customHeight="1" x14ac:dyDescent="0.25">
      <c r="A6586" s="3"/>
      <c r="B6586" s="3"/>
      <c r="C6586" s="3"/>
      <c r="D6586" s="3"/>
      <c r="E6586" s="3"/>
      <c r="F6586" s="3"/>
      <c r="G6586" s="3"/>
      <c r="H6586" s="11"/>
      <c r="I6586" s="12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14"/>
      <c r="Z6586" s="3"/>
      <c r="AA6586" s="3"/>
      <c r="AB6586" s="3"/>
      <c r="AC6586" s="3"/>
      <c r="AD6586" s="3"/>
      <c r="AE6586" s="3"/>
      <c r="AF6586" s="3"/>
      <c r="AG6586" s="3"/>
      <c r="AH6586" s="3"/>
    </row>
    <row r="6587" spans="1:34" ht="14.25" customHeight="1" x14ac:dyDescent="0.25">
      <c r="A6587" s="3"/>
      <c r="B6587" s="3"/>
      <c r="C6587" s="3"/>
      <c r="D6587" s="3"/>
      <c r="E6587" s="3"/>
      <c r="F6587" s="3"/>
      <c r="G6587" s="3"/>
      <c r="H6587" s="11"/>
      <c r="I6587" s="12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14"/>
      <c r="Z6587" s="3"/>
      <c r="AA6587" s="3"/>
      <c r="AB6587" s="3"/>
      <c r="AC6587" s="3"/>
      <c r="AD6587" s="3"/>
      <c r="AE6587" s="3"/>
      <c r="AF6587" s="3"/>
      <c r="AG6587" s="3"/>
      <c r="AH6587" s="3"/>
    </row>
    <row r="6588" spans="1:34" ht="14.25" customHeight="1" x14ac:dyDescent="0.25">
      <c r="A6588" s="3"/>
      <c r="B6588" s="3"/>
      <c r="C6588" s="3"/>
      <c r="D6588" s="3"/>
      <c r="E6588" s="3"/>
      <c r="F6588" s="3"/>
      <c r="G6588" s="3"/>
      <c r="H6588" s="11"/>
      <c r="I6588" s="12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14"/>
      <c r="Z6588" s="3"/>
      <c r="AA6588" s="3"/>
      <c r="AB6588" s="3"/>
      <c r="AC6588" s="3"/>
      <c r="AD6588" s="3"/>
      <c r="AE6588" s="3"/>
      <c r="AF6588" s="3"/>
      <c r="AG6588" s="3"/>
      <c r="AH6588" s="3"/>
    </row>
    <row r="6589" spans="1:34" ht="14.25" customHeight="1" x14ac:dyDescent="0.25">
      <c r="A6589" s="3"/>
      <c r="B6589" s="3"/>
      <c r="C6589" s="3"/>
      <c r="D6589" s="3"/>
      <c r="E6589" s="3"/>
      <c r="F6589" s="3"/>
      <c r="G6589" s="3"/>
      <c r="H6589" s="11"/>
      <c r="I6589" s="12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14"/>
      <c r="Z6589" s="3"/>
      <c r="AA6589" s="3"/>
      <c r="AB6589" s="3"/>
      <c r="AC6589" s="3"/>
      <c r="AD6589" s="3"/>
      <c r="AE6589" s="3"/>
      <c r="AF6589" s="3"/>
      <c r="AG6589" s="3"/>
      <c r="AH6589" s="3"/>
    </row>
    <row r="6590" spans="1:34" ht="14.25" customHeight="1" x14ac:dyDescent="0.25">
      <c r="A6590" s="3"/>
      <c r="B6590" s="3"/>
      <c r="C6590" s="3"/>
      <c r="D6590" s="3"/>
      <c r="E6590" s="3"/>
      <c r="F6590" s="3"/>
      <c r="G6590" s="3"/>
      <c r="H6590" s="11"/>
      <c r="I6590" s="12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14"/>
      <c r="Z6590" s="3"/>
      <c r="AA6590" s="3"/>
      <c r="AB6590" s="3"/>
      <c r="AC6590" s="3"/>
      <c r="AD6590" s="3"/>
      <c r="AE6590" s="3"/>
      <c r="AF6590" s="3"/>
      <c r="AG6590" s="3"/>
      <c r="AH6590" s="3"/>
    </row>
    <row r="6591" spans="1:34" ht="14.25" customHeight="1" x14ac:dyDescent="0.25">
      <c r="A6591" s="3"/>
      <c r="B6591" s="3"/>
      <c r="C6591" s="3"/>
      <c r="D6591" s="3"/>
      <c r="E6591" s="3"/>
      <c r="F6591" s="3"/>
      <c r="G6591" s="3"/>
      <c r="H6591" s="11"/>
      <c r="I6591" s="12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14"/>
      <c r="Z6591" s="3"/>
      <c r="AA6591" s="3"/>
      <c r="AB6591" s="3"/>
      <c r="AC6591" s="3"/>
      <c r="AD6591" s="3"/>
      <c r="AE6591" s="3"/>
      <c r="AF6591" s="3"/>
      <c r="AG6591" s="3"/>
      <c r="AH6591" s="3"/>
    </row>
    <row r="6592" spans="1:34" ht="14.25" customHeight="1" x14ac:dyDescent="0.25">
      <c r="A6592" s="3"/>
      <c r="B6592" s="3"/>
      <c r="C6592" s="3"/>
      <c r="D6592" s="3"/>
      <c r="E6592" s="3"/>
      <c r="F6592" s="3"/>
      <c r="G6592" s="3"/>
      <c r="H6592" s="11"/>
      <c r="I6592" s="12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14"/>
      <c r="Z6592" s="3"/>
      <c r="AA6592" s="3"/>
      <c r="AB6592" s="3"/>
      <c r="AC6592" s="3"/>
      <c r="AD6592" s="3"/>
      <c r="AE6592" s="3"/>
      <c r="AF6592" s="3"/>
      <c r="AG6592" s="3"/>
      <c r="AH6592" s="3"/>
    </row>
    <row r="6593" spans="1:34" ht="14.25" customHeight="1" x14ac:dyDescent="0.25">
      <c r="A6593" s="3"/>
      <c r="B6593" s="3"/>
      <c r="C6593" s="3"/>
      <c r="D6593" s="3"/>
      <c r="E6593" s="3"/>
      <c r="F6593" s="3"/>
      <c r="G6593" s="14"/>
      <c r="H6593" s="11"/>
      <c r="I6593" s="12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14"/>
      <c r="Z6593" s="3"/>
      <c r="AA6593" s="3"/>
      <c r="AB6593" s="3"/>
      <c r="AC6593" s="3"/>
      <c r="AD6593" s="3"/>
      <c r="AE6593" s="3"/>
      <c r="AF6593" s="3"/>
      <c r="AG6593" s="3"/>
      <c r="AH6593" s="3"/>
    </row>
    <row r="6594" spans="1:34" ht="14.25" customHeight="1" x14ac:dyDescent="0.25">
      <c r="A6594" s="3"/>
      <c r="B6594" s="3"/>
      <c r="C6594" s="3"/>
      <c r="D6594" s="3"/>
      <c r="E6594" s="3"/>
      <c r="F6594" s="3"/>
      <c r="G6594" s="3"/>
      <c r="H6594" s="11"/>
      <c r="I6594" s="12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14"/>
      <c r="Z6594" s="3"/>
      <c r="AA6594" s="3"/>
      <c r="AB6594" s="3"/>
      <c r="AC6594" s="3"/>
      <c r="AD6594" s="3"/>
      <c r="AE6594" s="3"/>
      <c r="AF6594" s="3"/>
      <c r="AG6594" s="3"/>
      <c r="AH6594" s="3"/>
    </row>
    <row r="6595" spans="1:34" ht="14.25" customHeight="1" x14ac:dyDescent="0.25">
      <c r="A6595" s="3"/>
      <c r="B6595" s="3"/>
      <c r="C6595" s="3"/>
      <c r="D6595" s="3"/>
      <c r="E6595" s="3"/>
      <c r="F6595" s="3"/>
      <c r="G6595" s="3"/>
      <c r="H6595" s="11"/>
      <c r="I6595" s="12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14"/>
      <c r="Z6595" s="3"/>
      <c r="AA6595" s="3"/>
      <c r="AB6595" s="3"/>
      <c r="AC6595" s="3"/>
      <c r="AD6595" s="3"/>
      <c r="AE6595" s="3"/>
      <c r="AF6595" s="3"/>
      <c r="AG6595" s="3"/>
      <c r="AH6595" s="3"/>
    </row>
    <row r="6596" spans="1:34" ht="14.25" customHeight="1" x14ac:dyDescent="0.25">
      <c r="A6596" s="3"/>
      <c r="B6596" s="3"/>
      <c r="C6596" s="3"/>
      <c r="D6596" s="3"/>
      <c r="E6596" s="3"/>
      <c r="F6596" s="3"/>
      <c r="G6596" s="14"/>
      <c r="H6596" s="11"/>
      <c r="I6596" s="12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14"/>
      <c r="Z6596" s="3"/>
      <c r="AA6596" s="3"/>
      <c r="AB6596" s="3"/>
      <c r="AC6596" s="3"/>
      <c r="AD6596" s="3"/>
      <c r="AE6596" s="3"/>
      <c r="AF6596" s="3"/>
      <c r="AG6596" s="3"/>
      <c r="AH6596" s="3"/>
    </row>
    <row r="6597" spans="1:34" ht="14.25" customHeight="1" x14ac:dyDescent="0.25">
      <c r="A6597" s="3"/>
      <c r="B6597" s="3"/>
      <c r="C6597" s="3"/>
      <c r="D6597" s="3"/>
      <c r="E6597" s="3"/>
      <c r="F6597" s="3"/>
      <c r="G6597" s="14"/>
      <c r="H6597" s="11"/>
      <c r="I6597" s="12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14"/>
      <c r="Z6597" s="3"/>
      <c r="AA6597" s="3"/>
      <c r="AB6597" s="3"/>
      <c r="AC6597" s="3"/>
      <c r="AD6597" s="3"/>
      <c r="AE6597" s="3"/>
      <c r="AF6597" s="3"/>
      <c r="AG6597" s="3"/>
      <c r="AH6597" s="3"/>
    </row>
    <row r="6598" spans="1:34" ht="14.25" customHeight="1" x14ac:dyDescent="0.25">
      <c r="A6598" s="3"/>
      <c r="B6598" s="3"/>
      <c r="C6598" s="3"/>
      <c r="D6598" s="3"/>
      <c r="E6598" s="3"/>
      <c r="F6598" s="3"/>
      <c r="G6598" s="3"/>
      <c r="H6598" s="11"/>
      <c r="I6598" s="12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14"/>
      <c r="Z6598" s="3"/>
      <c r="AA6598" s="3"/>
      <c r="AB6598" s="3"/>
      <c r="AC6598" s="3"/>
      <c r="AD6598" s="3"/>
      <c r="AE6598" s="3"/>
      <c r="AF6598" s="3"/>
      <c r="AG6598" s="3"/>
      <c r="AH6598" s="3"/>
    </row>
    <row r="6599" spans="1:34" ht="14.25" customHeight="1" x14ac:dyDescent="0.25">
      <c r="A6599" s="3"/>
      <c r="B6599" s="3"/>
      <c r="C6599" s="3"/>
      <c r="D6599" s="3"/>
      <c r="E6599" s="3"/>
      <c r="F6599" s="3"/>
      <c r="G6599" s="14"/>
      <c r="H6599" s="11"/>
      <c r="I6599" s="12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14"/>
      <c r="Z6599" s="3"/>
      <c r="AA6599" s="3"/>
      <c r="AB6599" s="3"/>
      <c r="AC6599" s="3"/>
      <c r="AD6599" s="3"/>
      <c r="AE6599" s="3"/>
      <c r="AF6599" s="3"/>
      <c r="AG6599" s="3"/>
      <c r="AH6599" s="3"/>
    </row>
    <row r="6600" spans="1:34" ht="14.25" customHeight="1" x14ac:dyDescent="0.25">
      <c r="A6600" s="3"/>
      <c r="B6600" s="3"/>
      <c r="C6600" s="3"/>
      <c r="D6600" s="3"/>
      <c r="E6600" s="3"/>
      <c r="F6600" s="3"/>
      <c r="G6600" s="14"/>
      <c r="H6600" s="11"/>
      <c r="I6600" s="12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14"/>
      <c r="Z6600" s="3"/>
      <c r="AA6600" s="3"/>
      <c r="AB6600" s="3"/>
      <c r="AC6600" s="3"/>
      <c r="AD6600" s="3"/>
      <c r="AE6600" s="3"/>
      <c r="AF6600" s="3"/>
      <c r="AG6600" s="3"/>
      <c r="AH6600" s="3"/>
    </row>
    <row r="6601" spans="1:34" ht="14.25" customHeight="1" x14ac:dyDescent="0.25">
      <c r="A6601" s="3"/>
      <c r="B6601" s="3"/>
      <c r="C6601" s="3"/>
      <c r="D6601" s="3"/>
      <c r="E6601" s="3"/>
      <c r="F6601" s="3"/>
      <c r="G6601" s="3"/>
      <c r="H6601" s="11"/>
      <c r="I6601" s="12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  <c r="AA6601" s="3"/>
      <c r="AB6601" s="3"/>
      <c r="AC6601" s="3"/>
      <c r="AD6601" s="3"/>
      <c r="AE6601" s="3"/>
      <c r="AF6601" s="3"/>
      <c r="AG6601" s="3"/>
      <c r="AH6601" s="3"/>
    </row>
    <row r="6602" spans="1:34" ht="14.25" customHeight="1" x14ac:dyDescent="0.25">
      <c r="A6602" s="3"/>
      <c r="B6602" s="3"/>
      <c r="C6602" s="3"/>
      <c r="D6602" s="3"/>
      <c r="E6602" s="3"/>
      <c r="F6602" s="3"/>
      <c r="G6602" s="3"/>
      <c r="H6602" s="11"/>
      <c r="I6602" s="12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  <c r="AA6602" s="3"/>
      <c r="AB6602" s="3"/>
      <c r="AC6602" s="3"/>
      <c r="AD6602" s="3"/>
      <c r="AE6602" s="3"/>
      <c r="AF6602" s="3"/>
      <c r="AG6602" s="3"/>
      <c r="AH6602" s="3"/>
    </row>
    <row r="6603" spans="1:34" ht="14.25" customHeight="1" x14ac:dyDescent="0.25">
      <c r="A6603" s="3"/>
      <c r="B6603" s="3"/>
      <c r="C6603" s="3"/>
      <c r="D6603" s="3"/>
      <c r="E6603" s="3"/>
      <c r="F6603" s="3"/>
      <c r="G6603" s="3"/>
      <c r="H6603" s="11"/>
      <c r="I6603" s="12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  <c r="AA6603" s="3"/>
      <c r="AB6603" s="3"/>
      <c r="AC6603" s="3"/>
      <c r="AD6603" s="3"/>
      <c r="AE6603" s="3"/>
      <c r="AF6603" s="3"/>
      <c r="AG6603" s="3"/>
      <c r="AH6603" s="3"/>
    </row>
    <row r="6604" spans="1:34" ht="14.25" customHeight="1" x14ac:dyDescent="0.25">
      <c r="A6604" s="3"/>
      <c r="B6604" s="3"/>
      <c r="C6604" s="3"/>
      <c r="D6604" s="3"/>
      <c r="E6604" s="3"/>
      <c r="F6604" s="3"/>
      <c r="G6604" s="3"/>
      <c r="H6604" s="11"/>
      <c r="I6604" s="12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  <c r="AA6604" s="3"/>
      <c r="AB6604" s="3"/>
      <c r="AC6604" s="3"/>
      <c r="AD6604" s="3"/>
      <c r="AE6604" s="3"/>
      <c r="AF6604" s="3"/>
      <c r="AG6604" s="3"/>
      <c r="AH6604" s="3"/>
    </row>
    <row r="6605" spans="1:34" ht="14.25" customHeight="1" x14ac:dyDescent="0.25">
      <c r="A6605" s="3"/>
      <c r="B6605" s="3"/>
      <c r="C6605" s="3"/>
      <c r="D6605" s="3"/>
      <c r="E6605" s="3"/>
      <c r="F6605" s="3"/>
      <c r="G6605" s="3"/>
      <c r="H6605" s="11"/>
      <c r="I6605" s="12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  <c r="AA6605" s="3"/>
      <c r="AB6605" s="3"/>
      <c r="AC6605" s="3"/>
      <c r="AD6605" s="3"/>
      <c r="AE6605" s="3"/>
      <c r="AF6605" s="3"/>
      <c r="AG6605" s="3"/>
      <c r="AH6605" s="3"/>
    </row>
    <row r="6606" spans="1:34" ht="14.25" customHeight="1" x14ac:dyDescent="0.25">
      <c r="A6606" s="3"/>
      <c r="B6606" s="3"/>
      <c r="C6606" s="3"/>
      <c r="D6606" s="3"/>
      <c r="E6606" s="3"/>
      <c r="F6606" s="3"/>
      <c r="G6606" s="3"/>
      <c r="H6606" s="11"/>
      <c r="I6606" s="12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  <c r="AA6606" s="3"/>
      <c r="AB6606" s="3"/>
      <c r="AC6606" s="3"/>
      <c r="AD6606" s="3"/>
      <c r="AE6606" s="3"/>
      <c r="AF6606" s="3"/>
      <c r="AG6606" s="3"/>
      <c r="AH6606" s="3"/>
    </row>
    <row r="6607" spans="1:34" ht="14.25" customHeight="1" x14ac:dyDescent="0.25">
      <c r="A6607" s="3"/>
      <c r="B6607" s="3"/>
      <c r="C6607" s="3"/>
      <c r="D6607" s="3"/>
      <c r="E6607" s="3"/>
      <c r="F6607" s="3"/>
      <c r="G6607" s="3"/>
      <c r="H6607" s="11"/>
      <c r="I6607" s="12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  <c r="AA6607" s="3"/>
      <c r="AB6607" s="3"/>
      <c r="AC6607" s="3"/>
      <c r="AD6607" s="3"/>
      <c r="AE6607" s="3"/>
      <c r="AF6607" s="3"/>
      <c r="AG6607" s="3"/>
      <c r="AH6607" s="3"/>
    </row>
    <row r="6608" spans="1:34" ht="14.25" customHeight="1" x14ac:dyDescent="0.25">
      <c r="A6608" s="3"/>
      <c r="B6608" s="3"/>
      <c r="C6608" s="3"/>
      <c r="D6608" s="3"/>
      <c r="E6608" s="3"/>
      <c r="F6608" s="3"/>
      <c r="G6608" s="3"/>
      <c r="H6608" s="11"/>
      <c r="I6608" s="12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  <c r="AA6608" s="3"/>
      <c r="AB6608" s="3"/>
      <c r="AC6608" s="3"/>
      <c r="AD6608" s="3"/>
      <c r="AE6608" s="3"/>
      <c r="AF6608" s="3"/>
      <c r="AG6608" s="3"/>
      <c r="AH6608" s="3"/>
    </row>
    <row r="6609" spans="1:34" ht="14.25" customHeight="1" x14ac:dyDescent="0.25">
      <c r="A6609" s="3"/>
      <c r="B6609" s="3"/>
      <c r="C6609" s="3"/>
      <c r="D6609" s="3"/>
      <c r="E6609" s="3"/>
      <c r="F6609" s="3"/>
      <c r="G6609" s="3"/>
      <c r="H6609" s="11"/>
      <c r="I6609" s="12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  <c r="AA6609" s="3"/>
      <c r="AB6609" s="3"/>
      <c r="AC6609" s="3"/>
      <c r="AD6609" s="3"/>
      <c r="AE6609" s="3"/>
      <c r="AF6609" s="3"/>
      <c r="AG6609" s="3"/>
      <c r="AH6609" s="3"/>
    </row>
    <row r="6610" spans="1:34" ht="14.25" customHeight="1" x14ac:dyDescent="0.25">
      <c r="A6610" s="3"/>
      <c r="B6610" s="3"/>
      <c r="C6610" s="3"/>
      <c r="D6610" s="3"/>
      <c r="E6610" s="3"/>
      <c r="F6610" s="3"/>
      <c r="G6610" s="3"/>
      <c r="H6610" s="11"/>
      <c r="I6610" s="12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  <c r="AA6610" s="3"/>
      <c r="AB6610" s="3"/>
      <c r="AC6610" s="3"/>
      <c r="AD6610" s="3"/>
      <c r="AE6610" s="3"/>
      <c r="AF6610" s="3"/>
      <c r="AG6610" s="3"/>
      <c r="AH6610" s="3"/>
    </row>
    <row r="6611" spans="1:34" ht="14.25" customHeight="1" x14ac:dyDescent="0.25">
      <c r="A6611" s="3"/>
      <c r="B6611" s="3"/>
      <c r="C6611" s="3"/>
      <c r="D6611" s="3"/>
      <c r="E6611" s="3"/>
      <c r="F6611" s="3"/>
      <c r="G6611" s="3"/>
      <c r="H6611" s="11"/>
      <c r="I6611" s="12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  <c r="AA6611" s="3"/>
      <c r="AB6611" s="3"/>
      <c r="AC6611" s="3"/>
      <c r="AD6611" s="3"/>
      <c r="AE6611" s="3"/>
      <c r="AF6611" s="3"/>
      <c r="AG6611" s="3"/>
      <c r="AH6611" s="3"/>
    </row>
    <row r="6612" spans="1:34" ht="14.25" customHeight="1" x14ac:dyDescent="0.25">
      <c r="A6612" s="3"/>
      <c r="B6612" s="3"/>
      <c r="C6612" s="3"/>
      <c r="D6612" s="3"/>
      <c r="E6612" s="3"/>
      <c r="F6612" s="3"/>
      <c r="G6612" s="3"/>
      <c r="H6612" s="11"/>
      <c r="I6612" s="12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  <c r="AA6612" s="3"/>
      <c r="AB6612" s="3"/>
      <c r="AC6612" s="3"/>
      <c r="AD6612" s="3"/>
      <c r="AE6612" s="3"/>
      <c r="AF6612" s="3"/>
      <c r="AG6612" s="3"/>
      <c r="AH6612" s="3"/>
    </row>
    <row r="6613" spans="1:34" ht="14.25" customHeight="1" x14ac:dyDescent="0.25">
      <c r="A6613" s="3"/>
      <c r="B6613" s="3"/>
      <c r="C6613" s="3"/>
      <c r="D6613" s="3"/>
      <c r="E6613" s="3"/>
      <c r="F6613" s="3"/>
      <c r="G6613" s="3"/>
      <c r="H6613" s="11"/>
      <c r="I6613" s="12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  <c r="AA6613" s="3"/>
      <c r="AB6613" s="3"/>
      <c r="AC6613" s="3"/>
      <c r="AD6613" s="3"/>
      <c r="AE6613" s="3"/>
      <c r="AF6613" s="3"/>
      <c r="AG6613" s="3"/>
      <c r="AH6613" s="3"/>
    </row>
    <row r="6614" spans="1:34" ht="14.25" customHeight="1" x14ac:dyDescent="0.25">
      <c r="A6614" s="3"/>
      <c r="B6614" s="3"/>
      <c r="C6614" s="3"/>
      <c r="D6614" s="3"/>
      <c r="E6614" s="3"/>
      <c r="F6614" s="3"/>
      <c r="G6614" s="3"/>
      <c r="H6614" s="11"/>
      <c r="I6614" s="12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  <c r="AA6614" s="3"/>
      <c r="AB6614" s="3"/>
      <c r="AC6614" s="3"/>
      <c r="AD6614" s="3"/>
      <c r="AE6614" s="3"/>
      <c r="AF6614" s="3"/>
      <c r="AG6614" s="3"/>
      <c r="AH6614" s="3"/>
    </row>
    <row r="6615" spans="1:34" ht="14.25" customHeight="1" x14ac:dyDescent="0.25">
      <c r="A6615" s="3"/>
      <c r="B6615" s="3"/>
      <c r="C6615" s="3"/>
      <c r="D6615" s="3"/>
      <c r="E6615" s="3"/>
      <c r="F6615" s="3"/>
      <c r="G6615" s="3"/>
      <c r="H6615" s="11"/>
      <c r="I6615" s="12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  <c r="AA6615" s="3"/>
      <c r="AB6615" s="3"/>
      <c r="AC6615" s="3"/>
      <c r="AD6615" s="3"/>
      <c r="AE6615" s="3"/>
      <c r="AF6615" s="3"/>
      <c r="AG6615" s="3"/>
      <c r="AH6615" s="3"/>
    </row>
    <row r="6616" spans="1:34" ht="14.25" customHeight="1" x14ac:dyDescent="0.25">
      <c r="A6616" s="3"/>
      <c r="B6616" s="3"/>
      <c r="C6616" s="3"/>
      <c r="D6616" s="3"/>
      <c r="E6616" s="3"/>
      <c r="F6616" s="3"/>
      <c r="G6616" s="3"/>
      <c r="H6616" s="11"/>
      <c r="I6616" s="12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  <c r="AA6616" s="3"/>
      <c r="AB6616" s="3"/>
      <c r="AC6616" s="3"/>
      <c r="AD6616" s="3"/>
      <c r="AE6616" s="3"/>
      <c r="AF6616" s="3"/>
      <c r="AG6616" s="3"/>
      <c r="AH6616" s="3"/>
    </row>
    <row r="6617" spans="1:34" ht="14.25" customHeight="1" x14ac:dyDescent="0.25">
      <c r="A6617" s="3"/>
      <c r="B6617" s="3"/>
      <c r="C6617" s="3"/>
      <c r="D6617" s="3"/>
      <c r="E6617" s="3"/>
      <c r="F6617" s="3"/>
      <c r="G6617" s="3"/>
      <c r="H6617" s="11"/>
      <c r="I6617" s="12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  <c r="AA6617" s="3"/>
      <c r="AB6617" s="3"/>
      <c r="AC6617" s="3"/>
      <c r="AD6617" s="3"/>
      <c r="AE6617" s="3"/>
      <c r="AF6617" s="3"/>
      <c r="AG6617" s="3"/>
      <c r="AH6617" s="3"/>
    </row>
    <row r="6618" spans="1:34" ht="14.25" customHeight="1" x14ac:dyDescent="0.25">
      <c r="A6618" s="3"/>
      <c r="B6618" s="3"/>
      <c r="C6618" s="3"/>
      <c r="D6618" s="3"/>
      <c r="E6618" s="3"/>
      <c r="F6618" s="3"/>
      <c r="G6618" s="3"/>
      <c r="H6618" s="11"/>
      <c r="I6618" s="12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  <c r="AA6618" s="3"/>
      <c r="AB6618" s="3"/>
      <c r="AC6618" s="3"/>
      <c r="AD6618" s="3"/>
      <c r="AE6618" s="3"/>
      <c r="AF6618" s="3"/>
      <c r="AG6618" s="3"/>
      <c r="AH6618" s="3"/>
    </row>
    <row r="6619" spans="1:34" ht="14.25" customHeight="1" x14ac:dyDescent="0.25">
      <c r="A6619" s="3"/>
      <c r="B6619" s="3"/>
      <c r="C6619" s="3"/>
      <c r="D6619" s="3"/>
      <c r="E6619" s="3"/>
      <c r="F6619" s="3"/>
      <c r="G6619" s="3"/>
      <c r="H6619" s="11"/>
      <c r="I6619" s="12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  <c r="AA6619" s="3"/>
      <c r="AB6619" s="3"/>
      <c r="AC6619" s="3"/>
      <c r="AD6619" s="3"/>
      <c r="AE6619" s="3"/>
      <c r="AF6619" s="3"/>
      <c r="AG6619" s="3"/>
      <c r="AH6619" s="3"/>
    </row>
    <row r="6620" spans="1:34" ht="14.25" customHeight="1" x14ac:dyDescent="0.25">
      <c r="A6620" s="3"/>
      <c r="B6620" s="3"/>
      <c r="C6620" s="3"/>
      <c r="D6620" s="3"/>
      <c r="E6620" s="3"/>
      <c r="F6620" s="3"/>
      <c r="G6620" s="3"/>
      <c r="H6620" s="11"/>
      <c r="I6620" s="12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  <c r="AA6620" s="3"/>
      <c r="AB6620" s="3"/>
      <c r="AC6620" s="3"/>
      <c r="AD6620" s="3"/>
      <c r="AE6620" s="3"/>
      <c r="AF6620" s="3"/>
      <c r="AG6620" s="3"/>
      <c r="AH6620" s="3"/>
    </row>
    <row r="6621" spans="1:34" ht="14.25" customHeight="1" x14ac:dyDescent="0.25">
      <c r="A6621" s="3"/>
      <c r="B6621" s="3"/>
      <c r="C6621" s="3"/>
      <c r="D6621" s="3"/>
      <c r="E6621" s="3"/>
      <c r="F6621" s="3"/>
      <c r="G6621" s="3"/>
      <c r="H6621" s="11"/>
      <c r="I6621" s="12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  <c r="AA6621" s="3"/>
      <c r="AB6621" s="3"/>
      <c r="AC6621" s="3"/>
      <c r="AD6621" s="3"/>
      <c r="AE6621" s="3"/>
      <c r="AF6621" s="3"/>
      <c r="AG6621" s="3"/>
      <c r="AH6621" s="3"/>
    </row>
    <row r="6622" spans="1:34" ht="14.25" customHeight="1" x14ac:dyDescent="0.25">
      <c r="A6622" s="3"/>
      <c r="B6622" s="3"/>
      <c r="C6622" s="3"/>
      <c r="D6622" s="3"/>
      <c r="E6622" s="3"/>
      <c r="F6622" s="3"/>
      <c r="G6622" s="3"/>
      <c r="H6622" s="11"/>
      <c r="I6622" s="12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  <c r="AA6622" s="3"/>
      <c r="AB6622" s="3"/>
      <c r="AC6622" s="3"/>
      <c r="AD6622" s="3"/>
      <c r="AE6622" s="3"/>
      <c r="AF6622" s="3"/>
      <c r="AG6622" s="3"/>
      <c r="AH6622" s="3"/>
    </row>
    <row r="6623" spans="1:34" ht="14.25" customHeight="1" x14ac:dyDescent="0.25">
      <c r="A6623" s="3"/>
      <c r="B6623" s="3"/>
      <c r="C6623" s="3"/>
      <c r="D6623" s="3"/>
      <c r="E6623" s="3"/>
      <c r="F6623" s="3"/>
      <c r="G6623" s="3"/>
      <c r="H6623" s="11"/>
      <c r="I6623" s="12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  <c r="AA6623" s="3"/>
      <c r="AB6623" s="3"/>
      <c r="AC6623" s="3"/>
      <c r="AD6623" s="3"/>
      <c r="AE6623" s="3"/>
      <c r="AF6623" s="3"/>
      <c r="AG6623" s="3"/>
      <c r="AH6623" s="3"/>
    </row>
    <row r="6624" spans="1:34" ht="14.25" customHeight="1" x14ac:dyDescent="0.25">
      <c r="A6624" s="3"/>
      <c r="B6624" s="3"/>
      <c r="C6624" s="3"/>
      <c r="D6624" s="3"/>
      <c r="E6624" s="3"/>
      <c r="F6624" s="3"/>
      <c r="G6624" s="3"/>
      <c r="H6624" s="11"/>
      <c r="I6624" s="12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  <c r="AA6624" s="3"/>
      <c r="AB6624" s="3"/>
      <c r="AC6624" s="3"/>
      <c r="AD6624" s="3"/>
      <c r="AE6624" s="3"/>
      <c r="AF6624" s="3"/>
      <c r="AG6624" s="3"/>
      <c r="AH6624" s="3"/>
    </row>
    <row r="6625" spans="1:34" ht="14.25" customHeight="1" x14ac:dyDescent="0.25">
      <c r="A6625" s="3"/>
      <c r="B6625" s="3"/>
      <c r="C6625" s="3"/>
      <c r="D6625" s="3"/>
      <c r="E6625" s="3"/>
      <c r="F6625" s="3"/>
      <c r="G6625" s="3"/>
      <c r="H6625" s="11"/>
      <c r="I6625" s="12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  <c r="AA6625" s="3"/>
      <c r="AB6625" s="3"/>
      <c r="AC6625" s="3"/>
      <c r="AD6625" s="3"/>
      <c r="AE6625" s="3"/>
      <c r="AF6625" s="3"/>
      <c r="AG6625" s="3"/>
      <c r="AH6625" s="3"/>
    </row>
    <row r="6626" spans="1:34" ht="14.25" customHeight="1" x14ac:dyDescent="0.25">
      <c r="A6626" s="3"/>
      <c r="B6626" s="3"/>
      <c r="C6626" s="3"/>
      <c r="D6626" s="3"/>
      <c r="E6626" s="3"/>
      <c r="F6626" s="3"/>
      <c r="G6626" s="3"/>
      <c r="H6626" s="11"/>
      <c r="I6626" s="12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  <c r="AA6626" s="3"/>
      <c r="AB6626" s="3"/>
      <c r="AC6626" s="3"/>
      <c r="AD6626" s="3"/>
      <c r="AE6626" s="3"/>
      <c r="AF6626" s="3"/>
      <c r="AG6626" s="3"/>
      <c r="AH6626" s="3"/>
    </row>
    <row r="6627" spans="1:34" ht="14.25" customHeight="1" x14ac:dyDescent="0.25">
      <c r="A6627" s="3"/>
      <c r="B6627" s="3"/>
      <c r="C6627" s="3"/>
      <c r="D6627" s="3"/>
      <c r="E6627" s="3"/>
      <c r="F6627" s="3"/>
      <c r="G6627" s="3"/>
      <c r="H6627" s="11"/>
      <c r="I6627" s="12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  <c r="AA6627" s="3"/>
      <c r="AB6627" s="3"/>
      <c r="AC6627" s="3"/>
      <c r="AD6627" s="3"/>
      <c r="AE6627" s="3"/>
      <c r="AF6627" s="3"/>
      <c r="AG6627" s="3"/>
      <c r="AH6627" s="3"/>
    </row>
    <row r="6628" spans="1:34" ht="14.25" customHeight="1" x14ac:dyDescent="0.25">
      <c r="A6628" s="3"/>
      <c r="B6628" s="3"/>
      <c r="C6628" s="3"/>
      <c r="D6628" s="3"/>
      <c r="E6628" s="3"/>
      <c r="F6628" s="3"/>
      <c r="G6628" s="3"/>
      <c r="H6628" s="11"/>
      <c r="I6628" s="12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  <c r="AA6628" s="3"/>
      <c r="AB6628" s="3"/>
      <c r="AC6628" s="3"/>
      <c r="AD6628" s="3"/>
      <c r="AE6628" s="3"/>
      <c r="AF6628" s="3"/>
      <c r="AG6628" s="3"/>
      <c r="AH6628" s="3"/>
    </row>
    <row r="6629" spans="1:34" ht="14.25" customHeight="1" x14ac:dyDescent="0.25">
      <c r="A6629" s="3"/>
      <c r="B6629" s="3"/>
      <c r="C6629" s="3"/>
      <c r="D6629" s="3"/>
      <c r="E6629" s="3"/>
      <c r="F6629" s="3"/>
      <c r="G6629" s="3"/>
      <c r="H6629" s="11"/>
      <c r="I6629" s="12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  <c r="AA6629" s="3"/>
      <c r="AB6629" s="3"/>
      <c r="AC6629" s="3"/>
      <c r="AD6629" s="3"/>
      <c r="AE6629" s="3"/>
      <c r="AF6629" s="3"/>
      <c r="AG6629" s="3"/>
      <c r="AH6629" s="3"/>
    </row>
    <row r="6630" spans="1:34" ht="14.25" customHeight="1" x14ac:dyDescent="0.25">
      <c r="A6630" s="3"/>
      <c r="B6630" s="3"/>
      <c r="C6630" s="3"/>
      <c r="D6630" s="3"/>
      <c r="E6630" s="3"/>
      <c r="F6630" s="3"/>
      <c r="G6630" s="3"/>
      <c r="H6630" s="11"/>
      <c r="I6630" s="12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  <c r="AA6630" s="3"/>
      <c r="AB6630" s="3"/>
      <c r="AC6630" s="3"/>
      <c r="AD6630" s="3"/>
      <c r="AE6630" s="3"/>
      <c r="AF6630" s="3"/>
      <c r="AG6630" s="3"/>
      <c r="AH6630" s="3"/>
    </row>
    <row r="6631" spans="1:34" ht="14.25" customHeight="1" x14ac:dyDescent="0.25">
      <c r="A6631" s="3"/>
      <c r="B6631" s="3"/>
      <c r="C6631" s="3"/>
      <c r="D6631" s="3"/>
      <c r="E6631" s="3"/>
      <c r="F6631" s="3"/>
      <c r="G6631" s="3"/>
      <c r="H6631" s="11"/>
      <c r="I6631" s="12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  <c r="AA6631" s="3"/>
      <c r="AB6631" s="3"/>
      <c r="AC6631" s="3"/>
      <c r="AD6631" s="3"/>
      <c r="AE6631" s="3"/>
      <c r="AF6631" s="3"/>
      <c r="AG6631" s="3"/>
      <c r="AH6631" s="3"/>
    </row>
    <row r="6632" spans="1:34" ht="14.25" customHeight="1" x14ac:dyDescent="0.25">
      <c r="A6632" s="3"/>
      <c r="B6632" s="3"/>
      <c r="C6632" s="3"/>
      <c r="D6632" s="3"/>
      <c r="E6632" s="3"/>
      <c r="F6632" s="3"/>
      <c r="G6632" s="3"/>
      <c r="H6632" s="11"/>
      <c r="I6632" s="12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  <c r="AA6632" s="3"/>
      <c r="AB6632" s="3"/>
      <c r="AC6632" s="3"/>
      <c r="AD6632" s="3"/>
      <c r="AE6632" s="3"/>
      <c r="AF6632" s="3"/>
      <c r="AG6632" s="3"/>
      <c r="AH6632" s="3"/>
    </row>
    <row r="6633" spans="1:34" ht="14.25" customHeight="1" x14ac:dyDescent="0.25">
      <c r="A6633" s="3"/>
      <c r="B6633" s="3"/>
      <c r="C6633" s="3"/>
      <c r="D6633" s="3"/>
      <c r="E6633" s="3"/>
      <c r="F6633" s="3"/>
      <c r="G6633" s="3"/>
      <c r="H6633" s="11"/>
      <c r="I6633" s="12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  <c r="AA6633" s="3"/>
      <c r="AB6633" s="3"/>
      <c r="AC6633" s="3"/>
      <c r="AD6633" s="3"/>
      <c r="AE6633" s="3"/>
      <c r="AF6633" s="3"/>
      <c r="AG6633" s="3"/>
      <c r="AH6633" s="3"/>
    </row>
    <row r="6634" spans="1:34" ht="14.25" customHeight="1" x14ac:dyDescent="0.25">
      <c r="A6634" s="3"/>
      <c r="B6634" s="3"/>
      <c r="C6634" s="3"/>
      <c r="D6634" s="3"/>
      <c r="E6634" s="3"/>
      <c r="F6634" s="3"/>
      <c r="G6634" s="3"/>
      <c r="H6634" s="11"/>
      <c r="I6634" s="12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  <c r="AA6634" s="3"/>
      <c r="AB6634" s="3"/>
      <c r="AC6634" s="3"/>
      <c r="AD6634" s="3"/>
      <c r="AE6634" s="3"/>
      <c r="AF6634" s="3"/>
      <c r="AG6634" s="3"/>
      <c r="AH6634" s="3"/>
    </row>
    <row r="6635" spans="1:34" ht="14.25" customHeight="1" x14ac:dyDescent="0.25">
      <c r="A6635" s="3"/>
      <c r="B6635" s="3"/>
      <c r="C6635" s="3"/>
      <c r="D6635" s="3"/>
      <c r="E6635" s="3"/>
      <c r="F6635" s="3"/>
      <c r="G6635" s="3"/>
      <c r="H6635" s="11"/>
      <c r="I6635" s="12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  <c r="AA6635" s="3"/>
      <c r="AB6635" s="3"/>
      <c r="AC6635" s="3"/>
      <c r="AD6635" s="3"/>
      <c r="AE6635" s="3"/>
      <c r="AF6635" s="3"/>
      <c r="AG6635" s="3"/>
      <c r="AH6635" s="3"/>
    </row>
    <row r="6636" spans="1:34" ht="14.25" customHeight="1" x14ac:dyDescent="0.25">
      <c r="A6636" s="3"/>
      <c r="B6636" s="3"/>
      <c r="C6636" s="3"/>
      <c r="D6636" s="3"/>
      <c r="E6636" s="3"/>
      <c r="F6636" s="3"/>
      <c r="G6636" s="3"/>
      <c r="H6636" s="11"/>
      <c r="I6636" s="12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  <c r="AA6636" s="3"/>
      <c r="AB6636" s="3"/>
      <c r="AC6636" s="3"/>
      <c r="AD6636" s="3"/>
      <c r="AE6636" s="3"/>
      <c r="AF6636" s="3"/>
      <c r="AG6636" s="3"/>
      <c r="AH6636" s="3"/>
    </row>
    <row r="6637" spans="1:34" ht="14.25" customHeight="1" x14ac:dyDescent="0.25">
      <c r="A6637" s="3"/>
      <c r="B6637" s="3"/>
      <c r="C6637" s="3"/>
      <c r="D6637" s="3"/>
      <c r="E6637" s="3"/>
      <c r="F6637" s="3"/>
      <c r="G6637" s="3"/>
      <c r="H6637" s="11"/>
      <c r="I6637" s="12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  <c r="AA6637" s="3"/>
      <c r="AB6637" s="3"/>
      <c r="AC6637" s="3"/>
      <c r="AD6637" s="3"/>
      <c r="AE6637" s="3"/>
      <c r="AF6637" s="3"/>
      <c r="AG6637" s="3"/>
      <c r="AH6637" s="3"/>
    </row>
    <row r="6638" spans="1:34" ht="14.25" customHeight="1" x14ac:dyDescent="0.25">
      <c r="A6638" s="3"/>
      <c r="B6638" s="3"/>
      <c r="C6638" s="3"/>
      <c r="D6638" s="3"/>
      <c r="E6638" s="3"/>
      <c r="F6638" s="3"/>
      <c r="G6638" s="3"/>
      <c r="H6638" s="11"/>
      <c r="I6638" s="12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  <c r="AA6638" s="3"/>
      <c r="AB6638" s="3"/>
      <c r="AC6638" s="3"/>
      <c r="AD6638" s="3"/>
      <c r="AE6638" s="3"/>
      <c r="AF6638" s="3"/>
      <c r="AG6638" s="3"/>
      <c r="AH6638" s="3"/>
    </row>
    <row r="6639" spans="1:34" ht="14.25" customHeight="1" x14ac:dyDescent="0.25">
      <c r="A6639" s="3"/>
      <c r="B6639" s="3"/>
      <c r="C6639" s="3"/>
      <c r="D6639" s="3"/>
      <c r="E6639" s="3"/>
      <c r="F6639" s="3"/>
      <c r="G6639" s="3"/>
      <c r="H6639" s="11"/>
      <c r="I6639" s="12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  <c r="AA6639" s="3"/>
      <c r="AB6639" s="3"/>
      <c r="AC6639" s="3"/>
      <c r="AD6639" s="3"/>
      <c r="AE6639" s="3"/>
      <c r="AF6639" s="3"/>
      <c r="AG6639" s="3"/>
      <c r="AH6639" s="3"/>
    </row>
    <row r="6640" spans="1:34" ht="14.25" customHeight="1" x14ac:dyDescent="0.25">
      <c r="A6640" s="3"/>
      <c r="B6640" s="3"/>
      <c r="C6640" s="3"/>
      <c r="D6640" s="3"/>
      <c r="E6640" s="3"/>
      <c r="F6640" s="3"/>
      <c r="G6640" s="3"/>
      <c r="H6640" s="11"/>
      <c r="I6640" s="12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  <c r="AA6640" s="3"/>
      <c r="AB6640" s="3"/>
      <c r="AC6640" s="3"/>
      <c r="AD6640" s="3"/>
      <c r="AE6640" s="3"/>
      <c r="AF6640" s="3"/>
      <c r="AG6640" s="3"/>
      <c r="AH6640" s="3"/>
    </row>
    <row r="6641" spans="1:34" ht="14.25" customHeight="1" x14ac:dyDescent="0.25">
      <c r="A6641" s="3"/>
      <c r="B6641" s="3"/>
      <c r="C6641" s="3"/>
      <c r="D6641" s="3"/>
      <c r="E6641" s="3"/>
      <c r="F6641" s="3"/>
      <c r="G6641" s="3"/>
      <c r="H6641" s="11"/>
      <c r="I6641" s="12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  <c r="AA6641" s="3"/>
      <c r="AB6641" s="3"/>
      <c r="AC6641" s="3"/>
      <c r="AD6641" s="3"/>
      <c r="AE6641" s="3"/>
      <c r="AF6641" s="3"/>
      <c r="AG6641" s="3"/>
      <c r="AH6641" s="3"/>
    </row>
    <row r="6642" spans="1:34" ht="14.25" customHeight="1" x14ac:dyDescent="0.25">
      <c r="A6642" s="3"/>
      <c r="B6642" s="3"/>
      <c r="C6642" s="3"/>
      <c r="D6642" s="3"/>
      <c r="E6642" s="3"/>
      <c r="F6642" s="3"/>
      <c r="G6642" s="3"/>
      <c r="H6642" s="11"/>
      <c r="I6642" s="12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  <c r="AA6642" s="3"/>
      <c r="AB6642" s="3"/>
      <c r="AC6642" s="3"/>
      <c r="AD6642" s="3"/>
      <c r="AE6642" s="3"/>
      <c r="AF6642" s="3"/>
      <c r="AG6642" s="3"/>
      <c r="AH6642" s="3"/>
    </row>
    <row r="6643" spans="1:34" ht="14.25" customHeight="1" x14ac:dyDescent="0.25">
      <c r="A6643" s="3"/>
      <c r="B6643" s="3"/>
      <c r="C6643" s="3"/>
      <c r="D6643" s="3"/>
      <c r="E6643" s="3"/>
      <c r="F6643" s="3"/>
      <c r="G6643" s="3"/>
      <c r="H6643" s="11"/>
      <c r="I6643" s="12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  <c r="AA6643" s="3"/>
      <c r="AB6643" s="3"/>
      <c r="AC6643" s="3"/>
      <c r="AD6643" s="3"/>
      <c r="AE6643" s="3"/>
      <c r="AF6643" s="3"/>
      <c r="AG6643" s="3"/>
      <c r="AH6643" s="3"/>
    </row>
    <row r="6644" spans="1:34" ht="14.25" customHeight="1" x14ac:dyDescent="0.25">
      <c r="A6644" s="3"/>
      <c r="B6644" s="3"/>
      <c r="C6644" s="3"/>
      <c r="D6644" s="3"/>
      <c r="E6644" s="3"/>
      <c r="F6644" s="3"/>
      <c r="G6644" s="3"/>
      <c r="H6644" s="11"/>
      <c r="I6644" s="12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  <c r="AA6644" s="3"/>
      <c r="AB6644" s="3"/>
      <c r="AC6644" s="3"/>
      <c r="AD6644" s="3"/>
      <c r="AE6644" s="3"/>
      <c r="AF6644" s="3"/>
      <c r="AG6644" s="3"/>
      <c r="AH6644" s="3"/>
    </row>
    <row r="6645" spans="1:34" ht="14.25" customHeight="1" x14ac:dyDescent="0.25">
      <c r="A6645" s="3"/>
      <c r="B6645" s="3"/>
      <c r="C6645" s="3"/>
      <c r="D6645" s="3"/>
      <c r="E6645" s="3"/>
      <c r="F6645" s="3"/>
      <c r="G6645" s="3"/>
      <c r="H6645" s="11"/>
      <c r="I6645" s="12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  <c r="AA6645" s="3"/>
      <c r="AB6645" s="3"/>
      <c r="AC6645" s="3"/>
      <c r="AD6645" s="3"/>
      <c r="AE6645" s="3"/>
      <c r="AF6645" s="3"/>
      <c r="AG6645" s="3"/>
      <c r="AH6645" s="3"/>
    </row>
    <row r="6646" spans="1:34" ht="14.25" customHeight="1" x14ac:dyDescent="0.25">
      <c r="A6646" s="3"/>
      <c r="B6646" s="3"/>
      <c r="C6646" s="3"/>
      <c r="D6646" s="3"/>
      <c r="E6646" s="3"/>
      <c r="F6646" s="3"/>
      <c r="G6646" s="3"/>
      <c r="H6646" s="11"/>
      <c r="I6646" s="12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  <c r="AA6646" s="3"/>
      <c r="AB6646" s="3"/>
      <c r="AC6646" s="3"/>
      <c r="AD6646" s="3"/>
      <c r="AE6646" s="3"/>
      <c r="AF6646" s="3"/>
      <c r="AG6646" s="3"/>
      <c r="AH6646" s="3"/>
    </row>
    <row r="6647" spans="1:34" ht="14.25" customHeight="1" x14ac:dyDescent="0.25">
      <c r="A6647" s="3"/>
      <c r="B6647" s="3"/>
      <c r="C6647" s="3"/>
      <c r="D6647" s="3"/>
      <c r="E6647" s="3"/>
      <c r="F6647" s="3"/>
      <c r="G6647" s="3"/>
      <c r="H6647" s="11"/>
      <c r="I6647" s="12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  <c r="AA6647" s="3"/>
      <c r="AB6647" s="3"/>
      <c r="AC6647" s="3"/>
      <c r="AD6647" s="3"/>
      <c r="AE6647" s="3"/>
      <c r="AF6647" s="3"/>
      <c r="AG6647" s="3"/>
      <c r="AH6647" s="3"/>
    </row>
    <row r="6648" spans="1:34" ht="14.25" customHeight="1" x14ac:dyDescent="0.25">
      <c r="A6648" s="3"/>
      <c r="B6648" s="3"/>
      <c r="C6648" s="3"/>
      <c r="D6648" s="3"/>
      <c r="E6648" s="3"/>
      <c r="F6648" s="3"/>
      <c r="G6648" s="3"/>
      <c r="H6648" s="11"/>
      <c r="I6648" s="12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  <c r="AA6648" s="3"/>
      <c r="AB6648" s="3"/>
      <c r="AC6648" s="3"/>
      <c r="AD6648" s="3"/>
      <c r="AE6648" s="3"/>
      <c r="AF6648" s="3"/>
      <c r="AG6648" s="3"/>
      <c r="AH6648" s="3"/>
    </row>
    <row r="6649" spans="1:34" ht="14.25" customHeight="1" x14ac:dyDescent="0.25">
      <c r="A6649" s="3"/>
      <c r="B6649" s="3"/>
      <c r="C6649" s="3"/>
      <c r="D6649" s="3"/>
      <c r="E6649" s="3"/>
      <c r="F6649" s="3"/>
      <c r="G6649" s="3"/>
      <c r="H6649" s="11"/>
      <c r="I6649" s="12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  <c r="AA6649" s="3"/>
      <c r="AB6649" s="3"/>
      <c r="AC6649" s="3"/>
      <c r="AD6649" s="3"/>
      <c r="AE6649" s="3"/>
      <c r="AF6649" s="3"/>
      <c r="AG6649" s="3"/>
      <c r="AH6649" s="3"/>
    </row>
    <row r="6650" spans="1:34" ht="14.25" customHeight="1" x14ac:dyDescent="0.25">
      <c r="A6650" s="3"/>
      <c r="B6650" s="3"/>
      <c r="C6650" s="3"/>
      <c r="D6650" s="3"/>
      <c r="E6650" s="3"/>
      <c r="F6650" s="3"/>
      <c r="G6650" s="3"/>
      <c r="H6650" s="11"/>
      <c r="I6650" s="12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  <c r="AA6650" s="3"/>
      <c r="AB6650" s="3"/>
      <c r="AC6650" s="3"/>
      <c r="AD6650" s="3"/>
      <c r="AE6650" s="3"/>
      <c r="AF6650" s="3"/>
      <c r="AG6650" s="3"/>
      <c r="AH6650" s="3"/>
    </row>
    <row r="6651" spans="1:34" ht="14.25" customHeight="1" x14ac:dyDescent="0.25">
      <c r="A6651" s="3"/>
      <c r="B6651" s="3"/>
      <c r="C6651" s="3"/>
      <c r="D6651" s="3"/>
      <c r="E6651" s="3"/>
      <c r="F6651" s="3"/>
      <c r="G6651" s="3"/>
      <c r="H6651" s="11"/>
      <c r="I6651" s="12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  <c r="AA6651" s="3"/>
      <c r="AB6651" s="3"/>
      <c r="AC6651" s="3"/>
      <c r="AD6651" s="3"/>
      <c r="AE6651" s="3"/>
      <c r="AF6651" s="3"/>
      <c r="AG6651" s="3"/>
      <c r="AH6651" s="3"/>
    </row>
    <row r="6652" spans="1:34" ht="14.25" customHeight="1" x14ac:dyDescent="0.25">
      <c r="A6652" s="3"/>
      <c r="B6652" s="3"/>
      <c r="C6652" s="3"/>
      <c r="D6652" s="3"/>
      <c r="E6652" s="3"/>
      <c r="F6652" s="3"/>
      <c r="G6652" s="3"/>
      <c r="H6652" s="11"/>
      <c r="I6652" s="12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  <c r="AA6652" s="3"/>
      <c r="AB6652" s="3"/>
      <c r="AC6652" s="3"/>
      <c r="AD6652" s="3"/>
      <c r="AE6652" s="3"/>
      <c r="AF6652" s="3"/>
      <c r="AG6652" s="3"/>
      <c r="AH6652" s="3"/>
    </row>
    <row r="6653" spans="1:34" ht="14.25" customHeight="1" x14ac:dyDescent="0.25">
      <c r="A6653" s="3"/>
      <c r="B6653" s="3"/>
      <c r="C6653" s="3"/>
      <c r="D6653" s="3"/>
      <c r="E6653" s="3"/>
      <c r="F6653" s="3"/>
      <c r="G6653" s="3"/>
      <c r="H6653" s="11"/>
      <c r="I6653" s="12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  <c r="AA6653" s="3"/>
      <c r="AB6653" s="3"/>
      <c r="AC6653" s="3"/>
      <c r="AD6653" s="3"/>
      <c r="AE6653" s="3"/>
      <c r="AF6653" s="3"/>
      <c r="AG6653" s="3"/>
      <c r="AH6653" s="3"/>
    </row>
    <row r="6654" spans="1:34" ht="14.25" customHeight="1" x14ac:dyDescent="0.25">
      <c r="A6654" s="3"/>
      <c r="B6654" s="3"/>
      <c r="C6654" s="3"/>
      <c r="D6654" s="3"/>
      <c r="E6654" s="3"/>
      <c r="F6654" s="3"/>
      <c r="G6654" s="3"/>
      <c r="H6654" s="11"/>
      <c r="I6654" s="12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  <c r="AA6654" s="3"/>
      <c r="AB6654" s="3"/>
      <c r="AC6654" s="3"/>
      <c r="AD6654" s="3"/>
      <c r="AE6654" s="3"/>
      <c r="AF6654" s="3"/>
      <c r="AG6654" s="3"/>
      <c r="AH6654" s="3"/>
    </row>
    <row r="6655" spans="1:34" ht="14.25" customHeight="1" x14ac:dyDescent="0.25">
      <c r="A6655" s="3"/>
      <c r="B6655" s="3"/>
      <c r="C6655" s="3"/>
      <c r="D6655" s="3"/>
      <c r="E6655" s="3"/>
      <c r="F6655" s="3"/>
      <c r="G6655" s="3"/>
      <c r="H6655" s="11"/>
      <c r="I6655" s="12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  <c r="AA6655" s="3"/>
      <c r="AB6655" s="3"/>
      <c r="AC6655" s="3"/>
      <c r="AD6655" s="3"/>
      <c r="AE6655" s="3"/>
      <c r="AF6655" s="3"/>
      <c r="AG6655" s="3"/>
      <c r="AH6655" s="3"/>
    </row>
    <row r="6656" spans="1:34" ht="14.25" customHeight="1" x14ac:dyDescent="0.25">
      <c r="A6656" s="3"/>
      <c r="B6656" s="3"/>
      <c r="C6656" s="3"/>
      <c r="D6656" s="3"/>
      <c r="E6656" s="3"/>
      <c r="F6656" s="3"/>
      <c r="G6656" s="3"/>
      <c r="H6656" s="11"/>
      <c r="I6656" s="12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  <c r="AA6656" s="3"/>
      <c r="AB6656" s="3"/>
      <c r="AC6656" s="3"/>
      <c r="AD6656" s="3"/>
      <c r="AE6656" s="3"/>
      <c r="AF6656" s="3"/>
      <c r="AG6656" s="3"/>
      <c r="AH6656" s="3"/>
    </row>
    <row r="6657" spans="1:34" ht="14.25" customHeight="1" x14ac:dyDescent="0.25">
      <c r="A6657" s="3"/>
      <c r="B6657" s="3"/>
      <c r="C6657" s="3"/>
      <c r="D6657" s="3"/>
      <c r="E6657" s="3"/>
      <c r="F6657" s="3"/>
      <c r="G6657" s="3"/>
      <c r="H6657" s="11"/>
      <c r="I6657" s="12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  <c r="AA6657" s="3"/>
      <c r="AB6657" s="3"/>
      <c r="AC6657" s="3"/>
      <c r="AD6657" s="3"/>
      <c r="AE6657" s="3"/>
      <c r="AF6657" s="3"/>
      <c r="AG6657" s="3"/>
      <c r="AH6657" s="3"/>
    </row>
    <row r="6658" spans="1:34" ht="14.25" customHeight="1" x14ac:dyDescent="0.25">
      <c r="A6658" s="3"/>
      <c r="B6658" s="3"/>
      <c r="C6658" s="3"/>
      <c r="D6658" s="3"/>
      <c r="E6658" s="3"/>
      <c r="F6658" s="3"/>
      <c r="G6658" s="3"/>
      <c r="H6658" s="11"/>
      <c r="I6658" s="12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  <c r="AA6658" s="3"/>
      <c r="AB6658" s="3"/>
      <c r="AC6658" s="3"/>
      <c r="AD6658" s="3"/>
      <c r="AE6658" s="3"/>
      <c r="AF6658" s="3"/>
      <c r="AG6658" s="3"/>
      <c r="AH6658" s="3"/>
    </row>
    <row r="6659" spans="1:34" ht="14.25" customHeight="1" x14ac:dyDescent="0.25">
      <c r="A6659" s="3"/>
      <c r="B6659" s="3"/>
      <c r="C6659" s="3"/>
      <c r="D6659" s="3"/>
      <c r="E6659" s="3"/>
      <c r="F6659" s="3"/>
      <c r="G6659" s="3"/>
      <c r="H6659" s="11"/>
      <c r="I6659" s="12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  <c r="AA6659" s="3"/>
      <c r="AB6659" s="3"/>
      <c r="AC6659" s="3"/>
      <c r="AD6659" s="3"/>
      <c r="AE6659" s="3"/>
      <c r="AF6659" s="3"/>
      <c r="AG6659" s="3"/>
      <c r="AH6659" s="3"/>
    </row>
    <row r="6660" spans="1:34" ht="14.25" customHeight="1" x14ac:dyDescent="0.25">
      <c r="A6660" s="3"/>
      <c r="B6660" s="3"/>
      <c r="C6660" s="3"/>
      <c r="D6660" s="3"/>
      <c r="E6660" s="3"/>
      <c r="F6660" s="3"/>
      <c r="G6660" s="3"/>
      <c r="H6660" s="11"/>
      <c r="I6660" s="12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  <c r="AA6660" s="3"/>
      <c r="AB6660" s="3"/>
      <c r="AC6660" s="3"/>
      <c r="AD6660" s="3"/>
      <c r="AE6660" s="3"/>
      <c r="AF6660" s="3"/>
      <c r="AG6660" s="3"/>
      <c r="AH6660" s="3"/>
    </row>
    <row r="6661" spans="1:34" ht="14.25" customHeight="1" x14ac:dyDescent="0.25">
      <c r="A6661" s="3"/>
      <c r="B6661" s="3"/>
      <c r="C6661" s="3"/>
      <c r="D6661" s="3"/>
      <c r="E6661" s="3"/>
      <c r="F6661" s="3"/>
      <c r="G6661" s="3"/>
      <c r="H6661" s="11"/>
      <c r="I6661" s="12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  <c r="AA6661" s="3"/>
      <c r="AB6661" s="3"/>
      <c r="AC6661" s="3"/>
      <c r="AD6661" s="3"/>
      <c r="AE6661" s="3"/>
      <c r="AF6661" s="3"/>
      <c r="AG6661" s="3"/>
      <c r="AH6661" s="3"/>
    </row>
    <row r="6662" spans="1:34" ht="14.25" customHeight="1" x14ac:dyDescent="0.25">
      <c r="A6662" s="3"/>
      <c r="B6662" s="3"/>
      <c r="C6662" s="3"/>
      <c r="D6662" s="3"/>
      <c r="E6662" s="3"/>
      <c r="F6662" s="3"/>
      <c r="G6662" s="3"/>
      <c r="H6662" s="11"/>
      <c r="I6662" s="12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  <c r="AA6662" s="3"/>
      <c r="AB6662" s="3"/>
      <c r="AC6662" s="3"/>
      <c r="AD6662" s="3"/>
      <c r="AE6662" s="3"/>
      <c r="AF6662" s="3"/>
      <c r="AG6662" s="3"/>
      <c r="AH6662" s="3"/>
    </row>
    <row r="6663" spans="1:34" ht="14.25" customHeight="1" x14ac:dyDescent="0.25">
      <c r="A6663" s="3"/>
      <c r="B6663" s="3"/>
      <c r="C6663" s="3"/>
      <c r="D6663" s="3"/>
      <c r="E6663" s="3"/>
      <c r="F6663" s="3"/>
      <c r="G6663" s="3"/>
      <c r="H6663" s="11"/>
      <c r="I6663" s="12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  <c r="AA6663" s="3"/>
      <c r="AB6663" s="3"/>
      <c r="AC6663" s="3"/>
      <c r="AD6663" s="3"/>
      <c r="AE6663" s="3"/>
      <c r="AF6663" s="3"/>
      <c r="AG6663" s="3"/>
      <c r="AH6663" s="3"/>
    </row>
    <row r="6664" spans="1:34" ht="14.25" customHeight="1" x14ac:dyDescent="0.25">
      <c r="A6664" s="3"/>
      <c r="B6664" s="3"/>
      <c r="C6664" s="3"/>
      <c r="D6664" s="3"/>
      <c r="E6664" s="3"/>
      <c r="F6664" s="3"/>
      <c r="G6664" s="3"/>
      <c r="H6664" s="11"/>
      <c r="I6664" s="12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  <c r="AA6664" s="3"/>
      <c r="AB6664" s="3"/>
      <c r="AC6664" s="3"/>
      <c r="AD6664" s="3"/>
      <c r="AE6664" s="3"/>
      <c r="AF6664" s="3"/>
      <c r="AG6664" s="3"/>
      <c r="AH6664" s="3"/>
    </row>
    <row r="6665" spans="1:34" ht="14.25" customHeight="1" x14ac:dyDescent="0.25">
      <c r="A6665" s="3"/>
      <c r="B6665" s="3"/>
      <c r="C6665" s="3"/>
      <c r="D6665" s="3"/>
      <c r="E6665" s="3"/>
      <c r="F6665" s="3"/>
      <c r="G6665" s="3"/>
      <c r="H6665" s="11"/>
      <c r="I6665" s="12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  <c r="AA6665" s="3"/>
      <c r="AB6665" s="3"/>
      <c r="AC6665" s="3"/>
      <c r="AD6665" s="3"/>
      <c r="AE6665" s="3"/>
      <c r="AF6665" s="3"/>
      <c r="AG6665" s="3"/>
      <c r="AH6665" s="3"/>
    </row>
    <row r="6666" spans="1:34" ht="14.25" customHeight="1" x14ac:dyDescent="0.25">
      <c r="A6666" s="3"/>
      <c r="B6666" s="3"/>
      <c r="C6666" s="3"/>
      <c r="D6666" s="3"/>
      <c r="E6666" s="3"/>
      <c r="F6666" s="3"/>
      <c r="G6666" s="3"/>
      <c r="H6666" s="11"/>
      <c r="I6666" s="12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  <c r="AA6666" s="3"/>
      <c r="AB6666" s="3"/>
      <c r="AC6666" s="3"/>
      <c r="AD6666" s="3"/>
      <c r="AE6666" s="3"/>
      <c r="AF6666" s="3"/>
      <c r="AG6666" s="3"/>
      <c r="AH6666" s="3"/>
    </row>
    <row r="6667" spans="1:34" ht="14.25" customHeight="1" x14ac:dyDescent="0.25">
      <c r="A6667" s="3"/>
      <c r="B6667" s="3"/>
      <c r="C6667" s="3"/>
      <c r="D6667" s="3"/>
      <c r="E6667" s="3"/>
      <c r="F6667" s="3"/>
      <c r="G6667" s="3"/>
      <c r="H6667" s="11"/>
      <c r="I6667" s="12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  <c r="AA6667" s="3"/>
      <c r="AB6667" s="3"/>
      <c r="AC6667" s="3"/>
      <c r="AD6667" s="3"/>
      <c r="AE6667" s="3"/>
      <c r="AF6667" s="3"/>
      <c r="AG6667" s="3"/>
      <c r="AH6667" s="3"/>
    </row>
    <row r="6668" spans="1:34" ht="14.25" customHeight="1" x14ac:dyDescent="0.25">
      <c r="A6668" s="3"/>
      <c r="B6668" s="3"/>
      <c r="C6668" s="3"/>
      <c r="D6668" s="3"/>
      <c r="E6668" s="3"/>
      <c r="F6668" s="3"/>
      <c r="G6668" s="3"/>
      <c r="H6668" s="11"/>
      <c r="I6668" s="12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  <c r="AA6668" s="3"/>
      <c r="AB6668" s="3"/>
      <c r="AC6668" s="3"/>
      <c r="AD6668" s="3"/>
      <c r="AE6668" s="3"/>
      <c r="AF6668" s="3"/>
      <c r="AG6668" s="3"/>
      <c r="AH6668" s="3"/>
    </row>
    <row r="6669" spans="1:34" ht="14.25" customHeight="1" x14ac:dyDescent="0.25">
      <c r="A6669" s="3"/>
      <c r="B6669" s="3"/>
      <c r="C6669" s="3"/>
      <c r="D6669" s="3"/>
      <c r="E6669" s="3"/>
      <c r="F6669" s="3"/>
      <c r="G6669" s="3"/>
      <c r="H6669" s="11"/>
      <c r="I6669" s="12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  <c r="AA6669" s="3"/>
      <c r="AB6669" s="3"/>
      <c r="AC6669" s="3"/>
      <c r="AD6669" s="3"/>
      <c r="AE6669" s="3"/>
      <c r="AF6669" s="3"/>
      <c r="AG6669" s="3"/>
      <c r="AH6669" s="3"/>
    </row>
    <row r="6670" spans="1:34" ht="14.25" customHeight="1" x14ac:dyDescent="0.25">
      <c r="A6670" s="3"/>
      <c r="B6670" s="3"/>
      <c r="C6670" s="3"/>
      <c r="D6670" s="3"/>
      <c r="E6670" s="3"/>
      <c r="F6670" s="3"/>
      <c r="G6670" s="3"/>
      <c r="H6670" s="11"/>
      <c r="I6670" s="12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  <c r="AA6670" s="3"/>
      <c r="AB6670" s="3"/>
      <c r="AC6670" s="3"/>
      <c r="AD6670" s="3"/>
      <c r="AE6670" s="3"/>
      <c r="AF6670" s="3"/>
      <c r="AG6670" s="3"/>
      <c r="AH6670" s="3"/>
    </row>
    <row r="6671" spans="1:34" ht="14.25" customHeight="1" x14ac:dyDescent="0.25">
      <c r="A6671" s="3"/>
      <c r="B6671" s="3"/>
      <c r="C6671" s="3"/>
      <c r="D6671" s="3"/>
      <c r="E6671" s="3"/>
      <c r="F6671" s="3"/>
      <c r="G6671" s="3"/>
      <c r="H6671" s="11"/>
      <c r="I6671" s="12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  <c r="AA6671" s="3"/>
      <c r="AB6671" s="3"/>
      <c r="AC6671" s="3"/>
      <c r="AD6671" s="3"/>
      <c r="AE6671" s="3"/>
      <c r="AF6671" s="3"/>
      <c r="AG6671" s="3"/>
      <c r="AH6671" s="3"/>
    </row>
    <row r="6672" spans="1:34" ht="14.25" customHeight="1" x14ac:dyDescent="0.25">
      <c r="A6672" s="3"/>
      <c r="B6672" s="3"/>
      <c r="C6672" s="3"/>
      <c r="D6672" s="3"/>
      <c r="E6672" s="3"/>
      <c r="F6672" s="3"/>
      <c r="G6672" s="3"/>
      <c r="H6672" s="11"/>
      <c r="I6672" s="12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  <c r="AA6672" s="3"/>
      <c r="AB6672" s="3"/>
      <c r="AC6672" s="3"/>
      <c r="AD6672" s="3"/>
      <c r="AE6672" s="3"/>
      <c r="AF6672" s="3"/>
      <c r="AG6672" s="3"/>
      <c r="AH6672" s="3"/>
    </row>
    <row r="6673" spans="1:34" ht="14.25" customHeight="1" x14ac:dyDescent="0.25">
      <c r="A6673" s="3"/>
      <c r="B6673" s="3"/>
      <c r="C6673" s="3"/>
      <c r="D6673" s="3"/>
      <c r="E6673" s="3"/>
      <c r="F6673" s="3"/>
      <c r="G6673" s="3"/>
      <c r="H6673" s="11"/>
      <c r="I6673" s="12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  <c r="AA6673" s="3"/>
      <c r="AB6673" s="3"/>
      <c r="AC6673" s="3"/>
      <c r="AD6673" s="3"/>
      <c r="AE6673" s="3"/>
      <c r="AF6673" s="3"/>
      <c r="AG6673" s="3"/>
      <c r="AH6673" s="3"/>
    </row>
    <row r="6674" spans="1:34" ht="14.25" customHeight="1" x14ac:dyDescent="0.25">
      <c r="A6674" s="3"/>
      <c r="B6674" s="3"/>
      <c r="C6674" s="3"/>
      <c r="D6674" s="3"/>
      <c r="E6674" s="3"/>
      <c r="F6674" s="3"/>
      <c r="G6674" s="3"/>
      <c r="H6674" s="11"/>
      <c r="I6674" s="12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  <c r="AA6674" s="3"/>
      <c r="AB6674" s="3"/>
      <c r="AC6674" s="3"/>
      <c r="AD6674" s="3"/>
      <c r="AE6674" s="3"/>
      <c r="AF6674" s="3"/>
      <c r="AG6674" s="3"/>
      <c r="AH6674" s="3"/>
    </row>
    <row r="6675" spans="1:34" ht="14.25" customHeight="1" x14ac:dyDescent="0.25">
      <c r="A6675" s="3"/>
      <c r="B6675" s="3"/>
      <c r="C6675" s="3"/>
      <c r="D6675" s="3"/>
      <c r="E6675" s="3"/>
      <c r="F6675" s="3"/>
      <c r="G6675" s="3"/>
      <c r="H6675" s="11"/>
      <c r="I6675" s="12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  <c r="AA6675" s="3"/>
      <c r="AB6675" s="3"/>
      <c r="AC6675" s="3"/>
      <c r="AD6675" s="3"/>
      <c r="AE6675" s="3"/>
      <c r="AF6675" s="3"/>
      <c r="AG6675" s="3"/>
      <c r="AH6675" s="3"/>
    </row>
    <row r="6676" spans="1:34" ht="14.25" customHeight="1" x14ac:dyDescent="0.25">
      <c r="A6676" s="3"/>
      <c r="B6676" s="3"/>
      <c r="C6676" s="3"/>
      <c r="D6676" s="3"/>
      <c r="E6676" s="3"/>
      <c r="F6676" s="3"/>
      <c r="G6676" s="3"/>
      <c r="H6676" s="11"/>
      <c r="I6676" s="12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  <c r="AA6676" s="3"/>
      <c r="AB6676" s="3"/>
      <c r="AC6676" s="3"/>
      <c r="AD6676" s="3"/>
      <c r="AE6676" s="3"/>
      <c r="AF6676" s="3"/>
      <c r="AG6676" s="3"/>
      <c r="AH6676" s="3"/>
    </row>
    <row r="6677" spans="1:34" ht="14.25" customHeight="1" x14ac:dyDescent="0.25">
      <c r="A6677" s="3"/>
      <c r="B6677" s="3"/>
      <c r="C6677" s="3"/>
      <c r="D6677" s="3"/>
      <c r="E6677" s="3"/>
      <c r="F6677" s="3"/>
      <c r="G6677" s="3"/>
      <c r="H6677" s="11"/>
      <c r="I6677" s="12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  <c r="AA6677" s="3"/>
      <c r="AB6677" s="3"/>
      <c r="AC6677" s="3"/>
      <c r="AD6677" s="3"/>
      <c r="AE6677" s="3"/>
      <c r="AF6677" s="3"/>
      <c r="AG6677" s="3"/>
      <c r="AH6677" s="3"/>
    </row>
    <row r="6678" spans="1:34" ht="14.25" customHeight="1" x14ac:dyDescent="0.25">
      <c r="A6678" s="3"/>
      <c r="B6678" s="3"/>
      <c r="C6678" s="3"/>
      <c r="D6678" s="3"/>
      <c r="E6678" s="3"/>
      <c r="F6678" s="3"/>
      <c r="G6678" s="3"/>
      <c r="H6678" s="11"/>
      <c r="I6678" s="12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  <c r="AA6678" s="3"/>
      <c r="AB6678" s="3"/>
      <c r="AC6678" s="3"/>
      <c r="AD6678" s="3"/>
      <c r="AE6678" s="3"/>
      <c r="AF6678" s="3"/>
      <c r="AG6678" s="3"/>
      <c r="AH6678" s="3"/>
    </row>
    <row r="6679" spans="1:34" ht="14.25" customHeight="1" x14ac:dyDescent="0.25">
      <c r="A6679" s="3"/>
      <c r="B6679" s="3"/>
      <c r="C6679" s="3"/>
      <c r="D6679" s="3"/>
      <c r="E6679" s="3"/>
      <c r="F6679" s="3"/>
      <c r="G6679" s="3"/>
      <c r="H6679" s="11"/>
      <c r="I6679" s="12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  <c r="AA6679" s="3"/>
      <c r="AB6679" s="3"/>
      <c r="AC6679" s="3"/>
      <c r="AD6679" s="3"/>
      <c r="AE6679" s="3"/>
      <c r="AF6679" s="3"/>
      <c r="AG6679" s="3"/>
      <c r="AH6679" s="3"/>
    </row>
    <row r="6680" spans="1:34" ht="14.25" customHeight="1" x14ac:dyDescent="0.25">
      <c r="A6680" s="3"/>
      <c r="B6680" s="3"/>
      <c r="C6680" s="3"/>
      <c r="D6680" s="3"/>
      <c r="E6680" s="3"/>
      <c r="F6680" s="3"/>
      <c r="G6680" s="3"/>
      <c r="H6680" s="11"/>
      <c r="I6680" s="12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  <c r="AA6680" s="3"/>
      <c r="AB6680" s="3"/>
      <c r="AC6680" s="3"/>
      <c r="AD6680" s="3"/>
      <c r="AE6680" s="3"/>
      <c r="AF6680" s="3"/>
      <c r="AG6680" s="3"/>
      <c r="AH6680" s="3"/>
    </row>
    <row r="6681" spans="1:34" ht="14.25" customHeight="1" x14ac:dyDescent="0.25">
      <c r="A6681" s="3"/>
      <c r="B6681" s="3"/>
      <c r="C6681" s="3"/>
      <c r="D6681" s="3"/>
      <c r="E6681" s="3"/>
      <c r="F6681" s="3"/>
      <c r="G6681" s="3"/>
      <c r="H6681" s="11"/>
      <c r="I6681" s="12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  <c r="AA6681" s="3"/>
      <c r="AB6681" s="3"/>
      <c r="AC6681" s="3"/>
      <c r="AD6681" s="3"/>
      <c r="AE6681" s="3"/>
      <c r="AF6681" s="3"/>
      <c r="AG6681" s="3"/>
      <c r="AH6681" s="3"/>
    </row>
    <row r="6682" spans="1:34" ht="14.25" customHeight="1" x14ac:dyDescent="0.25">
      <c r="A6682" s="3"/>
      <c r="B6682" s="3"/>
      <c r="C6682" s="3"/>
      <c r="D6682" s="3"/>
      <c r="E6682" s="3"/>
      <c r="F6682" s="3"/>
      <c r="G6682" s="3"/>
      <c r="H6682" s="11"/>
      <c r="I6682" s="12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  <c r="AA6682" s="3"/>
      <c r="AB6682" s="3"/>
      <c r="AC6682" s="3"/>
      <c r="AD6682" s="3"/>
      <c r="AE6682" s="3"/>
      <c r="AF6682" s="3"/>
      <c r="AG6682" s="3"/>
      <c r="AH6682" s="3"/>
    </row>
    <row r="6683" spans="1:34" ht="14.25" customHeight="1" x14ac:dyDescent="0.25">
      <c r="A6683" s="3"/>
      <c r="B6683" s="3"/>
      <c r="C6683" s="3"/>
      <c r="D6683" s="3"/>
      <c r="E6683" s="3"/>
      <c r="F6683" s="3"/>
      <c r="G6683" s="3"/>
      <c r="H6683" s="11"/>
      <c r="I6683" s="12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  <c r="AA6683" s="3"/>
      <c r="AB6683" s="3"/>
      <c r="AC6683" s="3"/>
      <c r="AD6683" s="3"/>
      <c r="AE6683" s="3"/>
      <c r="AF6683" s="3"/>
      <c r="AG6683" s="3"/>
      <c r="AH6683" s="3"/>
    </row>
    <row r="6684" spans="1:34" ht="14.25" customHeight="1" x14ac:dyDescent="0.25">
      <c r="A6684" s="3"/>
      <c r="B6684" s="3"/>
      <c r="C6684" s="3"/>
      <c r="D6684" s="3"/>
      <c r="E6684" s="3"/>
      <c r="F6684" s="3"/>
      <c r="G6684" s="3"/>
      <c r="H6684" s="11"/>
      <c r="I6684" s="12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  <c r="AA6684" s="3"/>
      <c r="AB6684" s="3"/>
      <c r="AC6684" s="3"/>
      <c r="AD6684" s="3"/>
      <c r="AE6684" s="3"/>
      <c r="AF6684" s="3"/>
      <c r="AG6684" s="3"/>
      <c r="AH6684" s="3"/>
    </row>
    <row r="6685" spans="1:34" ht="14.25" customHeight="1" x14ac:dyDescent="0.25">
      <c r="A6685" s="3"/>
      <c r="B6685" s="3"/>
      <c r="C6685" s="3"/>
      <c r="D6685" s="3"/>
      <c r="E6685" s="3"/>
      <c r="F6685" s="3"/>
      <c r="G6685" s="3"/>
      <c r="H6685" s="11"/>
      <c r="I6685" s="12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  <c r="AA6685" s="3"/>
      <c r="AB6685" s="3"/>
      <c r="AC6685" s="3"/>
      <c r="AD6685" s="3"/>
      <c r="AE6685" s="3"/>
      <c r="AF6685" s="3"/>
      <c r="AG6685" s="3"/>
      <c r="AH6685" s="3"/>
    </row>
    <row r="6686" spans="1:34" ht="14.25" customHeight="1" x14ac:dyDescent="0.25">
      <c r="A6686" s="3"/>
      <c r="B6686" s="3"/>
      <c r="C6686" s="3"/>
      <c r="D6686" s="3"/>
      <c r="E6686" s="3"/>
      <c r="F6686" s="3"/>
      <c r="G6686" s="3"/>
      <c r="H6686" s="11"/>
      <c r="I6686" s="12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  <c r="AA6686" s="3"/>
      <c r="AB6686" s="3"/>
      <c r="AC6686" s="3"/>
      <c r="AD6686" s="3"/>
      <c r="AE6686" s="3"/>
      <c r="AF6686" s="3"/>
      <c r="AG6686" s="3"/>
      <c r="AH6686" s="3"/>
    </row>
    <row r="6687" spans="1:34" ht="14.25" customHeight="1" x14ac:dyDescent="0.25">
      <c r="A6687" s="3"/>
      <c r="B6687" s="3"/>
      <c r="C6687" s="3"/>
      <c r="D6687" s="3"/>
      <c r="E6687" s="3"/>
      <c r="F6687" s="3"/>
      <c r="G6687" s="3"/>
      <c r="H6687" s="11"/>
      <c r="I6687" s="12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  <c r="AA6687" s="3"/>
      <c r="AB6687" s="3"/>
      <c r="AC6687" s="3"/>
      <c r="AD6687" s="3"/>
      <c r="AE6687" s="3"/>
      <c r="AF6687" s="3"/>
      <c r="AG6687" s="3"/>
      <c r="AH6687" s="3"/>
    </row>
    <row r="6688" spans="1:34" ht="14.25" customHeight="1" x14ac:dyDescent="0.25">
      <c r="A6688" s="3"/>
      <c r="B6688" s="3"/>
      <c r="C6688" s="3"/>
      <c r="D6688" s="3"/>
      <c r="E6688" s="3"/>
      <c r="F6688" s="3"/>
      <c r="G6688" s="3"/>
      <c r="H6688" s="11"/>
      <c r="I6688" s="12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  <c r="AA6688" s="3"/>
      <c r="AB6688" s="3"/>
      <c r="AC6688" s="3"/>
      <c r="AD6688" s="3"/>
      <c r="AE6688" s="3"/>
      <c r="AF6688" s="3"/>
      <c r="AG6688" s="3"/>
      <c r="AH6688" s="3"/>
    </row>
    <row r="6689" spans="1:34" ht="14.25" customHeight="1" x14ac:dyDescent="0.25">
      <c r="A6689" s="3"/>
      <c r="B6689" s="3"/>
      <c r="C6689" s="3"/>
      <c r="D6689" s="3"/>
      <c r="E6689" s="3"/>
      <c r="F6689" s="3"/>
      <c r="G6689" s="3"/>
      <c r="H6689" s="11"/>
      <c r="I6689" s="12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  <c r="AA6689" s="3"/>
      <c r="AB6689" s="3"/>
      <c r="AC6689" s="3"/>
      <c r="AD6689" s="3"/>
      <c r="AE6689" s="3"/>
      <c r="AF6689" s="3"/>
      <c r="AG6689" s="3"/>
      <c r="AH6689" s="3"/>
    </row>
    <row r="6690" spans="1:34" ht="14.25" customHeight="1" x14ac:dyDescent="0.25">
      <c r="A6690" s="3"/>
      <c r="B6690" s="3"/>
      <c r="C6690" s="3"/>
      <c r="D6690" s="3"/>
      <c r="E6690" s="3"/>
      <c r="F6690" s="3"/>
      <c r="G6690" s="3"/>
      <c r="H6690" s="11"/>
      <c r="I6690" s="12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  <c r="AA6690" s="3"/>
      <c r="AB6690" s="3"/>
      <c r="AC6690" s="3"/>
      <c r="AD6690" s="3"/>
      <c r="AE6690" s="3"/>
      <c r="AF6690" s="3"/>
      <c r="AG6690" s="3"/>
      <c r="AH6690" s="3"/>
    </row>
    <row r="6691" spans="1:34" ht="14.25" customHeight="1" x14ac:dyDescent="0.25">
      <c r="A6691" s="3"/>
      <c r="B6691" s="3"/>
      <c r="C6691" s="3"/>
      <c r="D6691" s="3"/>
      <c r="E6691" s="3"/>
      <c r="F6691" s="3"/>
      <c r="G6691" s="3"/>
      <c r="H6691" s="11"/>
      <c r="I6691" s="12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  <c r="AA6691" s="3"/>
      <c r="AB6691" s="3"/>
      <c r="AC6691" s="3"/>
      <c r="AD6691" s="3"/>
      <c r="AE6691" s="3"/>
      <c r="AF6691" s="3"/>
      <c r="AG6691" s="3"/>
      <c r="AH6691" s="3"/>
    </row>
    <row r="6692" spans="1:34" ht="14.25" customHeight="1" x14ac:dyDescent="0.25">
      <c r="A6692" s="3"/>
      <c r="B6692" s="3"/>
      <c r="C6692" s="3"/>
      <c r="D6692" s="3"/>
      <c r="E6692" s="3"/>
      <c r="F6692" s="3"/>
      <c r="G6692" s="3"/>
      <c r="H6692" s="11"/>
      <c r="I6692" s="12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  <c r="AA6692" s="3"/>
      <c r="AB6692" s="3"/>
      <c r="AC6692" s="3"/>
      <c r="AD6692" s="3"/>
      <c r="AE6692" s="3"/>
      <c r="AF6692" s="3"/>
      <c r="AG6692" s="3"/>
      <c r="AH6692" s="3"/>
    </row>
    <row r="6693" spans="1:34" ht="14.25" customHeight="1" x14ac:dyDescent="0.25">
      <c r="A6693" s="3"/>
      <c r="B6693" s="3"/>
      <c r="C6693" s="3"/>
      <c r="D6693" s="3"/>
      <c r="E6693" s="3"/>
      <c r="F6693" s="3"/>
      <c r="G6693" s="3"/>
      <c r="H6693" s="11"/>
      <c r="I6693" s="12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  <c r="AA6693" s="3"/>
      <c r="AB6693" s="3"/>
      <c r="AC6693" s="3"/>
      <c r="AD6693" s="3"/>
      <c r="AE6693" s="3"/>
      <c r="AF6693" s="3"/>
      <c r="AG6693" s="3"/>
      <c r="AH6693" s="3"/>
    </row>
    <row r="6694" spans="1:34" ht="14.25" customHeight="1" x14ac:dyDescent="0.25">
      <c r="A6694" s="3"/>
      <c r="B6694" s="3"/>
      <c r="C6694" s="3"/>
      <c r="D6694" s="3"/>
      <c r="E6694" s="3"/>
      <c r="F6694" s="3"/>
      <c r="G6694" s="3"/>
      <c r="H6694" s="11"/>
      <c r="I6694" s="12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  <c r="AA6694" s="3"/>
      <c r="AB6694" s="3"/>
      <c r="AC6694" s="3"/>
      <c r="AD6694" s="3"/>
      <c r="AE6694" s="3"/>
      <c r="AF6694" s="3"/>
      <c r="AG6694" s="3"/>
      <c r="AH6694" s="3"/>
    </row>
    <row r="6695" spans="1:34" ht="14.25" customHeight="1" x14ac:dyDescent="0.25">
      <c r="A6695" s="3"/>
      <c r="B6695" s="3"/>
      <c r="C6695" s="3"/>
      <c r="D6695" s="3"/>
      <c r="E6695" s="3"/>
      <c r="F6695" s="3"/>
      <c r="G6695" s="3"/>
      <c r="H6695" s="11"/>
      <c r="I6695" s="12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  <c r="AA6695" s="3"/>
      <c r="AB6695" s="3"/>
      <c r="AC6695" s="3"/>
      <c r="AD6695" s="3"/>
      <c r="AE6695" s="3"/>
      <c r="AF6695" s="3"/>
      <c r="AG6695" s="3"/>
      <c r="AH6695" s="3"/>
    </row>
    <row r="6696" spans="1:34" ht="14.25" customHeight="1" x14ac:dyDescent="0.25">
      <c r="A6696" s="3"/>
      <c r="B6696" s="3"/>
      <c r="C6696" s="3"/>
      <c r="D6696" s="3"/>
      <c r="E6696" s="3"/>
      <c r="F6696" s="3"/>
      <c r="G6696" s="3"/>
      <c r="H6696" s="11"/>
      <c r="I6696" s="12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  <c r="AA6696" s="3"/>
      <c r="AB6696" s="3"/>
      <c r="AC6696" s="3"/>
      <c r="AD6696" s="3"/>
      <c r="AE6696" s="3"/>
      <c r="AF6696" s="3"/>
      <c r="AG6696" s="3"/>
      <c r="AH6696" s="3"/>
    </row>
    <row r="6697" spans="1:34" ht="14.25" customHeight="1" x14ac:dyDescent="0.25">
      <c r="A6697" s="3"/>
      <c r="B6697" s="3"/>
      <c r="C6697" s="3"/>
      <c r="D6697" s="3"/>
      <c r="E6697" s="3"/>
      <c r="F6697" s="3"/>
      <c r="G6697" s="3"/>
      <c r="H6697" s="11"/>
      <c r="I6697" s="12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  <c r="AA6697" s="3"/>
      <c r="AB6697" s="3"/>
      <c r="AC6697" s="3"/>
      <c r="AD6697" s="3"/>
      <c r="AE6697" s="3"/>
      <c r="AF6697" s="3"/>
      <c r="AG6697" s="3"/>
      <c r="AH6697" s="3"/>
    </row>
    <row r="6698" spans="1:34" ht="14.25" customHeight="1" x14ac:dyDescent="0.25">
      <c r="A6698" s="3"/>
      <c r="B6698" s="3"/>
      <c r="C6698" s="3"/>
      <c r="D6698" s="3"/>
      <c r="E6698" s="3"/>
      <c r="F6698" s="3"/>
      <c r="G6698" s="3"/>
      <c r="H6698" s="11"/>
      <c r="I6698" s="12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  <c r="AA6698" s="3"/>
      <c r="AB6698" s="3"/>
      <c r="AC6698" s="3"/>
      <c r="AD6698" s="3"/>
      <c r="AE6698" s="3"/>
      <c r="AF6698" s="3"/>
      <c r="AG6698" s="3"/>
      <c r="AH6698" s="3"/>
    </row>
    <row r="6699" spans="1:34" ht="14.25" customHeight="1" x14ac:dyDescent="0.25">
      <c r="A6699" s="3"/>
      <c r="B6699" s="3"/>
      <c r="C6699" s="3"/>
      <c r="D6699" s="3"/>
      <c r="E6699" s="3"/>
      <c r="F6699" s="3"/>
      <c r="G6699" s="3"/>
      <c r="H6699" s="11"/>
      <c r="I6699" s="12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  <c r="AA6699" s="3"/>
      <c r="AB6699" s="3"/>
      <c r="AC6699" s="3"/>
      <c r="AD6699" s="3"/>
      <c r="AE6699" s="3"/>
      <c r="AF6699" s="3"/>
      <c r="AG6699" s="3"/>
      <c r="AH6699" s="3"/>
    </row>
    <row r="6700" spans="1:34" ht="14.25" customHeight="1" x14ac:dyDescent="0.25">
      <c r="A6700" s="3"/>
      <c r="B6700" s="3"/>
      <c r="C6700" s="3"/>
      <c r="D6700" s="3"/>
      <c r="E6700" s="3"/>
      <c r="F6700" s="3"/>
      <c r="G6700" s="3"/>
      <c r="H6700" s="11"/>
      <c r="I6700" s="12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  <c r="AA6700" s="3"/>
      <c r="AB6700" s="3"/>
      <c r="AC6700" s="3"/>
      <c r="AD6700" s="3"/>
      <c r="AE6700" s="3"/>
      <c r="AF6700" s="3"/>
      <c r="AG6700" s="3"/>
      <c r="AH6700" s="3"/>
    </row>
    <row r="6701" spans="1:34" ht="14.25" customHeight="1" x14ac:dyDescent="0.25">
      <c r="A6701" s="3"/>
      <c r="B6701" s="3"/>
      <c r="C6701" s="3"/>
      <c r="D6701" s="3"/>
      <c r="E6701" s="3"/>
      <c r="F6701" s="3"/>
      <c r="G6701" s="3"/>
      <c r="H6701" s="11"/>
      <c r="I6701" s="12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  <c r="AA6701" s="3"/>
      <c r="AB6701" s="3"/>
      <c r="AC6701" s="3"/>
      <c r="AD6701" s="3"/>
      <c r="AE6701" s="3"/>
      <c r="AF6701" s="3"/>
      <c r="AG6701" s="3"/>
      <c r="AH6701" s="3"/>
    </row>
    <row r="6702" spans="1:34" ht="14.25" customHeight="1" x14ac:dyDescent="0.25">
      <c r="A6702" s="3"/>
      <c r="B6702" s="3"/>
      <c r="C6702" s="3"/>
      <c r="D6702" s="3"/>
      <c r="E6702" s="3"/>
      <c r="F6702" s="3"/>
      <c r="G6702" s="3"/>
      <c r="H6702" s="11"/>
      <c r="I6702" s="12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  <c r="AA6702" s="3"/>
      <c r="AB6702" s="3"/>
      <c r="AC6702" s="3"/>
      <c r="AD6702" s="3"/>
      <c r="AE6702" s="3"/>
      <c r="AF6702" s="3"/>
      <c r="AG6702" s="3"/>
      <c r="AH6702" s="3"/>
    </row>
    <row r="6703" spans="1:34" ht="14.25" customHeight="1" x14ac:dyDescent="0.25">
      <c r="A6703" s="3"/>
      <c r="B6703" s="3"/>
      <c r="C6703" s="3"/>
      <c r="D6703" s="3"/>
      <c r="E6703" s="3"/>
      <c r="F6703" s="3"/>
      <c r="G6703" s="3"/>
      <c r="H6703" s="11"/>
      <c r="I6703" s="12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  <c r="AA6703" s="3"/>
      <c r="AB6703" s="3"/>
      <c r="AC6703" s="3"/>
      <c r="AD6703" s="3"/>
      <c r="AE6703" s="3"/>
      <c r="AF6703" s="3"/>
      <c r="AG6703" s="3"/>
      <c r="AH6703" s="3"/>
    </row>
    <row r="6704" spans="1:34" ht="14.25" customHeight="1" x14ac:dyDescent="0.25">
      <c r="A6704" s="3"/>
      <c r="B6704" s="3"/>
      <c r="C6704" s="3"/>
      <c r="D6704" s="3"/>
      <c r="E6704" s="3"/>
      <c r="F6704" s="3"/>
      <c r="G6704" s="3"/>
      <c r="H6704" s="11"/>
      <c r="I6704" s="12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  <c r="AA6704" s="3"/>
      <c r="AB6704" s="3"/>
      <c r="AC6704" s="3"/>
      <c r="AD6704" s="3"/>
      <c r="AE6704" s="3"/>
      <c r="AF6704" s="3"/>
      <c r="AG6704" s="3"/>
      <c r="AH6704" s="3"/>
    </row>
    <row r="6705" spans="1:34" ht="14.25" customHeight="1" x14ac:dyDescent="0.25">
      <c r="A6705" s="3"/>
      <c r="B6705" s="3"/>
      <c r="C6705" s="3"/>
      <c r="D6705" s="3"/>
      <c r="E6705" s="3"/>
      <c r="F6705" s="3"/>
      <c r="G6705" s="3"/>
      <c r="H6705" s="11"/>
      <c r="I6705" s="12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  <c r="AA6705" s="3"/>
      <c r="AB6705" s="3"/>
      <c r="AC6705" s="3"/>
      <c r="AD6705" s="3"/>
      <c r="AE6705" s="3"/>
      <c r="AF6705" s="3"/>
      <c r="AG6705" s="3"/>
      <c r="AH6705" s="3"/>
    </row>
    <row r="6706" spans="1:34" ht="14.25" customHeight="1" x14ac:dyDescent="0.25">
      <c r="A6706" s="3"/>
      <c r="B6706" s="3"/>
      <c r="C6706" s="3"/>
      <c r="D6706" s="3"/>
      <c r="E6706" s="3"/>
      <c r="F6706" s="3"/>
      <c r="G6706" s="3"/>
      <c r="H6706" s="11"/>
      <c r="I6706" s="12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  <c r="AA6706" s="3"/>
      <c r="AB6706" s="3"/>
      <c r="AC6706" s="3"/>
      <c r="AD6706" s="3"/>
      <c r="AE6706" s="3"/>
      <c r="AF6706" s="3"/>
      <c r="AG6706" s="3"/>
      <c r="AH6706" s="3"/>
    </row>
    <row r="6707" spans="1:34" ht="14.25" customHeight="1" x14ac:dyDescent="0.25">
      <c r="A6707" s="3"/>
      <c r="B6707" s="3"/>
      <c r="C6707" s="3"/>
      <c r="D6707" s="3"/>
      <c r="E6707" s="3"/>
      <c r="F6707" s="3"/>
      <c r="G6707" s="3"/>
      <c r="H6707" s="11"/>
      <c r="I6707" s="12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  <c r="AA6707" s="3"/>
      <c r="AB6707" s="3"/>
      <c r="AC6707" s="3"/>
      <c r="AD6707" s="3"/>
      <c r="AE6707" s="3"/>
      <c r="AF6707" s="3"/>
      <c r="AG6707" s="3"/>
      <c r="AH6707" s="3"/>
    </row>
    <row r="6708" spans="1:34" ht="14.25" customHeight="1" x14ac:dyDescent="0.25">
      <c r="A6708" s="3"/>
      <c r="B6708" s="3"/>
      <c r="C6708" s="3"/>
      <c r="D6708" s="3"/>
      <c r="E6708" s="3"/>
      <c r="F6708" s="3"/>
      <c r="G6708" s="3"/>
      <c r="H6708" s="11"/>
      <c r="I6708" s="12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  <c r="AA6708" s="3"/>
      <c r="AB6708" s="3"/>
      <c r="AC6708" s="3"/>
      <c r="AD6708" s="3"/>
      <c r="AE6708" s="3"/>
      <c r="AF6708" s="3"/>
      <c r="AG6708" s="3"/>
      <c r="AH6708" s="3"/>
    </row>
    <row r="6709" spans="1:34" ht="14.25" customHeight="1" x14ac:dyDescent="0.25">
      <c r="A6709" s="3"/>
      <c r="B6709" s="3"/>
      <c r="C6709" s="3"/>
      <c r="D6709" s="3"/>
      <c r="E6709" s="3"/>
      <c r="F6709" s="3"/>
      <c r="G6709" s="3"/>
      <c r="H6709" s="11"/>
      <c r="I6709" s="12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  <c r="AA6709" s="3"/>
      <c r="AB6709" s="3"/>
      <c r="AC6709" s="3"/>
      <c r="AD6709" s="3"/>
      <c r="AE6709" s="3"/>
      <c r="AF6709" s="3"/>
      <c r="AG6709" s="3"/>
      <c r="AH6709" s="3"/>
    </row>
    <row r="6710" spans="1:34" ht="14.25" customHeight="1" x14ac:dyDescent="0.25">
      <c r="A6710" s="3"/>
      <c r="B6710" s="3"/>
      <c r="C6710" s="3"/>
      <c r="D6710" s="3"/>
      <c r="E6710" s="3"/>
      <c r="F6710" s="3"/>
      <c r="G6710" s="3"/>
      <c r="H6710" s="11"/>
      <c r="I6710" s="12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  <c r="AA6710" s="3"/>
      <c r="AB6710" s="3"/>
      <c r="AC6710" s="3"/>
      <c r="AD6710" s="3"/>
      <c r="AE6710" s="3"/>
      <c r="AF6710" s="3"/>
      <c r="AG6710" s="3"/>
      <c r="AH6710" s="3"/>
    </row>
    <row r="6711" spans="1:34" ht="14.25" customHeight="1" x14ac:dyDescent="0.25">
      <c r="A6711" s="3"/>
      <c r="B6711" s="3"/>
      <c r="C6711" s="3"/>
      <c r="D6711" s="3"/>
      <c r="E6711" s="3"/>
      <c r="F6711" s="3"/>
      <c r="G6711" s="3"/>
      <c r="H6711" s="11"/>
      <c r="I6711" s="12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  <c r="AA6711" s="3"/>
      <c r="AB6711" s="3"/>
      <c r="AC6711" s="3"/>
      <c r="AD6711" s="3"/>
      <c r="AE6711" s="3"/>
      <c r="AF6711" s="3"/>
      <c r="AG6711" s="3"/>
      <c r="AH6711" s="3"/>
    </row>
    <row r="6712" spans="1:34" ht="14.25" customHeight="1" x14ac:dyDescent="0.25">
      <c r="A6712" s="3"/>
      <c r="B6712" s="3"/>
      <c r="C6712" s="3"/>
      <c r="D6712" s="3"/>
      <c r="E6712" s="3"/>
      <c r="F6712" s="3"/>
      <c r="G6712" s="3"/>
      <c r="H6712" s="11"/>
      <c r="I6712" s="12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  <c r="AA6712" s="3"/>
      <c r="AB6712" s="3"/>
      <c r="AC6712" s="3"/>
      <c r="AD6712" s="3"/>
      <c r="AE6712" s="3"/>
      <c r="AF6712" s="3"/>
      <c r="AG6712" s="3"/>
      <c r="AH6712" s="3"/>
    </row>
    <row r="6713" spans="1:34" ht="14.25" customHeight="1" x14ac:dyDescent="0.25">
      <c r="A6713" s="3"/>
      <c r="B6713" s="3"/>
      <c r="C6713" s="3"/>
      <c r="D6713" s="3"/>
      <c r="E6713" s="3"/>
      <c r="F6713" s="3"/>
      <c r="G6713" s="3"/>
      <c r="H6713" s="11"/>
      <c r="I6713" s="12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  <c r="AA6713" s="3"/>
      <c r="AB6713" s="3"/>
      <c r="AC6713" s="3"/>
      <c r="AD6713" s="3"/>
      <c r="AE6713" s="3"/>
      <c r="AF6713" s="3"/>
      <c r="AG6713" s="3"/>
      <c r="AH6713" s="3"/>
    </row>
    <row r="6714" spans="1:34" ht="14.25" customHeight="1" x14ac:dyDescent="0.25">
      <c r="A6714" s="3"/>
      <c r="B6714" s="3"/>
      <c r="C6714" s="3"/>
      <c r="D6714" s="3"/>
      <c r="E6714" s="3"/>
      <c r="F6714" s="3"/>
      <c r="G6714" s="3"/>
      <c r="H6714" s="11"/>
      <c r="I6714" s="12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  <c r="AA6714" s="3"/>
      <c r="AB6714" s="3"/>
      <c r="AC6714" s="3"/>
      <c r="AD6714" s="3"/>
      <c r="AE6714" s="3"/>
      <c r="AF6714" s="3"/>
      <c r="AG6714" s="3"/>
      <c r="AH6714" s="3"/>
    </row>
    <row r="6715" spans="1:34" ht="14.25" customHeight="1" x14ac:dyDescent="0.25">
      <c r="A6715" s="3"/>
      <c r="B6715" s="3"/>
      <c r="C6715" s="3"/>
      <c r="D6715" s="3"/>
      <c r="E6715" s="3"/>
      <c r="F6715" s="3"/>
      <c r="G6715" s="3"/>
      <c r="H6715" s="11"/>
      <c r="I6715" s="12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  <c r="AA6715" s="3"/>
      <c r="AB6715" s="3"/>
      <c r="AC6715" s="3"/>
      <c r="AD6715" s="3"/>
      <c r="AE6715" s="3"/>
      <c r="AF6715" s="3"/>
      <c r="AG6715" s="3"/>
      <c r="AH6715" s="3"/>
    </row>
    <row r="6716" spans="1:34" ht="14.25" customHeight="1" x14ac:dyDescent="0.25">
      <c r="A6716" s="3"/>
      <c r="B6716" s="3"/>
      <c r="C6716" s="3"/>
      <c r="D6716" s="3"/>
      <c r="E6716" s="3"/>
      <c r="F6716" s="3"/>
      <c r="G6716" s="3"/>
      <c r="H6716" s="11"/>
      <c r="I6716" s="12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  <c r="AA6716" s="3"/>
      <c r="AB6716" s="3"/>
      <c r="AC6716" s="3"/>
      <c r="AD6716" s="3"/>
      <c r="AE6716" s="3"/>
      <c r="AF6716" s="3"/>
      <c r="AG6716" s="3"/>
      <c r="AH6716" s="3"/>
    </row>
    <row r="6717" spans="1:34" ht="14.25" customHeight="1" x14ac:dyDescent="0.25">
      <c r="A6717" s="3"/>
      <c r="B6717" s="3"/>
      <c r="C6717" s="3"/>
      <c r="D6717" s="3"/>
      <c r="E6717" s="3"/>
      <c r="F6717" s="3"/>
      <c r="G6717" s="3"/>
      <c r="H6717" s="11"/>
      <c r="I6717" s="12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  <c r="AA6717" s="3"/>
      <c r="AB6717" s="3"/>
      <c r="AC6717" s="3"/>
      <c r="AD6717" s="3"/>
      <c r="AE6717" s="3"/>
      <c r="AF6717" s="3"/>
      <c r="AG6717" s="3"/>
      <c r="AH6717" s="3"/>
    </row>
    <row r="6718" spans="1:34" ht="14.25" customHeight="1" x14ac:dyDescent="0.25">
      <c r="A6718" s="3"/>
      <c r="B6718" s="3"/>
      <c r="C6718" s="3"/>
      <c r="D6718" s="3"/>
      <c r="E6718" s="3"/>
      <c r="F6718" s="3"/>
      <c r="G6718" s="3"/>
      <c r="H6718" s="11"/>
      <c r="I6718" s="12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  <c r="AA6718" s="3"/>
      <c r="AB6718" s="3"/>
      <c r="AC6718" s="3"/>
      <c r="AD6718" s="3"/>
      <c r="AE6718" s="3"/>
      <c r="AF6718" s="3"/>
      <c r="AG6718" s="3"/>
      <c r="AH6718" s="3"/>
    </row>
    <row r="6719" spans="1:34" ht="14.25" customHeight="1" x14ac:dyDescent="0.25">
      <c r="A6719" s="3"/>
      <c r="B6719" s="3"/>
      <c r="C6719" s="3"/>
      <c r="D6719" s="3"/>
      <c r="E6719" s="3"/>
      <c r="F6719" s="3"/>
      <c r="G6719" s="3"/>
      <c r="H6719" s="11"/>
      <c r="I6719" s="12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  <c r="AA6719" s="3"/>
      <c r="AB6719" s="3"/>
      <c r="AC6719" s="3"/>
      <c r="AD6719" s="3"/>
      <c r="AE6719" s="3"/>
      <c r="AF6719" s="3"/>
      <c r="AG6719" s="3"/>
      <c r="AH6719" s="3"/>
    </row>
    <row r="6720" spans="1:34" ht="14.25" customHeight="1" x14ac:dyDescent="0.25">
      <c r="A6720" s="3"/>
      <c r="B6720" s="3"/>
      <c r="C6720" s="3"/>
      <c r="D6720" s="3"/>
      <c r="E6720" s="3"/>
      <c r="F6720" s="3"/>
      <c r="G6720" s="3"/>
      <c r="H6720" s="11"/>
      <c r="I6720" s="12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  <c r="AA6720" s="3"/>
      <c r="AB6720" s="3"/>
      <c r="AC6720" s="3"/>
      <c r="AD6720" s="3"/>
      <c r="AE6720" s="3"/>
      <c r="AF6720" s="3"/>
      <c r="AG6720" s="3"/>
      <c r="AH6720" s="3"/>
    </row>
    <row r="6721" spans="1:34" ht="14.25" customHeight="1" x14ac:dyDescent="0.25">
      <c r="A6721" s="3"/>
      <c r="B6721" s="3"/>
      <c r="C6721" s="3"/>
      <c r="D6721" s="3"/>
      <c r="E6721" s="3"/>
      <c r="F6721" s="3"/>
      <c r="G6721" s="3"/>
      <c r="H6721" s="11"/>
      <c r="I6721" s="12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  <c r="AA6721" s="3"/>
      <c r="AB6721" s="3"/>
      <c r="AC6721" s="3"/>
      <c r="AD6721" s="3"/>
      <c r="AE6721" s="3"/>
      <c r="AF6721" s="3"/>
      <c r="AG6721" s="3"/>
      <c r="AH6721" s="3"/>
    </row>
    <row r="6722" spans="1:34" ht="14.25" customHeight="1" x14ac:dyDescent="0.25">
      <c r="A6722" s="3"/>
      <c r="B6722" s="3"/>
      <c r="C6722" s="3"/>
      <c r="D6722" s="3"/>
      <c r="E6722" s="3"/>
      <c r="F6722" s="3"/>
      <c r="G6722" s="3"/>
      <c r="H6722" s="11"/>
      <c r="I6722" s="12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  <c r="AA6722" s="3"/>
      <c r="AB6722" s="3"/>
      <c r="AC6722" s="3"/>
      <c r="AD6722" s="3"/>
      <c r="AE6722" s="3"/>
      <c r="AF6722" s="3"/>
      <c r="AG6722" s="3"/>
      <c r="AH6722" s="3"/>
    </row>
    <row r="6723" spans="1:34" ht="14.25" customHeight="1" x14ac:dyDescent="0.25">
      <c r="A6723" s="3"/>
      <c r="B6723" s="3"/>
      <c r="C6723" s="3"/>
      <c r="D6723" s="3"/>
      <c r="E6723" s="3"/>
      <c r="F6723" s="3"/>
      <c r="G6723" s="3"/>
      <c r="H6723" s="11"/>
      <c r="I6723" s="12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  <c r="AA6723" s="3"/>
      <c r="AB6723" s="3"/>
      <c r="AC6723" s="3"/>
      <c r="AD6723" s="3"/>
      <c r="AE6723" s="3"/>
      <c r="AF6723" s="3"/>
      <c r="AG6723" s="3"/>
      <c r="AH6723" s="3"/>
    </row>
    <row r="6724" spans="1:34" ht="14.25" customHeight="1" x14ac:dyDescent="0.25">
      <c r="A6724" s="3"/>
      <c r="B6724" s="3"/>
      <c r="C6724" s="3"/>
      <c r="D6724" s="3"/>
      <c r="E6724" s="3"/>
      <c r="F6724" s="3"/>
      <c r="G6724" s="3"/>
      <c r="H6724" s="11"/>
      <c r="I6724" s="12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  <c r="AA6724" s="3"/>
      <c r="AB6724" s="3"/>
      <c r="AC6724" s="3"/>
      <c r="AD6724" s="3"/>
      <c r="AE6724" s="3"/>
      <c r="AF6724" s="3"/>
      <c r="AG6724" s="3"/>
      <c r="AH6724" s="3"/>
    </row>
    <row r="6725" spans="1:34" ht="14.25" customHeight="1" x14ac:dyDescent="0.25">
      <c r="A6725" s="3"/>
      <c r="B6725" s="3"/>
      <c r="C6725" s="3"/>
      <c r="D6725" s="3"/>
      <c r="E6725" s="3"/>
      <c r="F6725" s="3"/>
      <c r="G6725" s="3"/>
      <c r="H6725" s="11"/>
      <c r="I6725" s="12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  <c r="AA6725" s="3"/>
      <c r="AB6725" s="3"/>
      <c r="AC6725" s="3"/>
      <c r="AD6725" s="3"/>
      <c r="AE6725" s="3"/>
      <c r="AF6725" s="3"/>
      <c r="AG6725" s="3"/>
      <c r="AH6725" s="3"/>
    </row>
    <row r="6726" spans="1:34" ht="14.25" customHeight="1" x14ac:dyDescent="0.25">
      <c r="A6726" s="3"/>
      <c r="B6726" s="3"/>
      <c r="C6726" s="3"/>
      <c r="D6726" s="3"/>
      <c r="E6726" s="3"/>
      <c r="F6726" s="3"/>
      <c r="G6726" s="3"/>
      <c r="H6726" s="11"/>
      <c r="I6726" s="12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  <c r="AA6726" s="3"/>
      <c r="AB6726" s="3"/>
      <c r="AC6726" s="3"/>
      <c r="AD6726" s="3"/>
      <c r="AE6726" s="3"/>
      <c r="AF6726" s="3"/>
      <c r="AG6726" s="3"/>
      <c r="AH6726" s="3"/>
    </row>
    <row r="6727" spans="1:34" ht="14.25" customHeight="1" x14ac:dyDescent="0.25">
      <c r="A6727" s="3"/>
      <c r="B6727" s="3"/>
      <c r="C6727" s="3"/>
      <c r="D6727" s="3"/>
      <c r="E6727" s="3"/>
      <c r="F6727" s="3"/>
      <c r="G6727" s="3"/>
      <c r="H6727" s="11"/>
      <c r="I6727" s="12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  <c r="AA6727" s="3"/>
      <c r="AB6727" s="3"/>
      <c r="AC6727" s="3"/>
      <c r="AD6727" s="3"/>
      <c r="AE6727" s="3"/>
      <c r="AF6727" s="3"/>
      <c r="AG6727" s="3"/>
      <c r="AH6727" s="3"/>
    </row>
    <row r="6728" spans="1:34" ht="14.25" customHeight="1" x14ac:dyDescent="0.25">
      <c r="A6728" s="3"/>
      <c r="B6728" s="3"/>
      <c r="C6728" s="3"/>
      <c r="D6728" s="3"/>
      <c r="E6728" s="3"/>
      <c r="F6728" s="3"/>
      <c r="G6728" s="3"/>
      <c r="H6728" s="11"/>
      <c r="I6728" s="12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  <c r="AA6728" s="3"/>
      <c r="AB6728" s="3"/>
      <c r="AC6728" s="3"/>
      <c r="AD6728" s="3"/>
      <c r="AE6728" s="3"/>
      <c r="AF6728" s="3"/>
      <c r="AG6728" s="3"/>
      <c r="AH6728" s="3"/>
    </row>
    <row r="6729" spans="1:34" ht="14.25" customHeight="1" x14ac:dyDescent="0.25">
      <c r="A6729" s="3"/>
      <c r="B6729" s="3"/>
      <c r="C6729" s="3"/>
      <c r="D6729" s="3"/>
      <c r="E6729" s="3"/>
      <c r="F6729" s="3"/>
      <c r="G6729" s="3"/>
      <c r="H6729" s="11"/>
      <c r="I6729" s="12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  <c r="AA6729" s="3"/>
      <c r="AB6729" s="3"/>
      <c r="AC6729" s="3"/>
      <c r="AD6729" s="3"/>
      <c r="AE6729" s="3"/>
      <c r="AF6729" s="3"/>
      <c r="AG6729" s="3"/>
      <c r="AH6729" s="3"/>
    </row>
    <row r="6730" spans="1:34" ht="14.25" customHeight="1" x14ac:dyDescent="0.25">
      <c r="A6730" s="3"/>
      <c r="B6730" s="3"/>
      <c r="C6730" s="3"/>
      <c r="D6730" s="3"/>
      <c r="E6730" s="3"/>
      <c r="F6730" s="3"/>
      <c r="G6730" s="3"/>
      <c r="H6730" s="11"/>
      <c r="I6730" s="12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  <c r="AA6730" s="3"/>
      <c r="AB6730" s="3"/>
      <c r="AC6730" s="3"/>
      <c r="AD6730" s="3"/>
      <c r="AE6730" s="3"/>
      <c r="AF6730" s="3"/>
      <c r="AG6730" s="3"/>
      <c r="AH6730" s="3"/>
    </row>
    <row r="6731" spans="1:34" ht="14.25" customHeight="1" x14ac:dyDescent="0.25">
      <c r="A6731" s="3"/>
      <c r="B6731" s="3"/>
      <c r="C6731" s="3"/>
      <c r="D6731" s="3"/>
      <c r="E6731" s="3"/>
      <c r="F6731" s="3"/>
      <c r="G6731" s="3"/>
      <c r="H6731" s="11"/>
      <c r="I6731" s="12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  <c r="AA6731" s="3"/>
      <c r="AB6731" s="3"/>
      <c r="AC6731" s="3"/>
      <c r="AD6731" s="3"/>
      <c r="AE6731" s="3"/>
      <c r="AF6731" s="3"/>
      <c r="AG6731" s="3"/>
      <c r="AH6731" s="3"/>
    </row>
    <row r="6732" spans="1:34" ht="14.25" customHeight="1" x14ac:dyDescent="0.25">
      <c r="A6732" s="3"/>
      <c r="B6732" s="3"/>
      <c r="C6732" s="3"/>
      <c r="D6732" s="3"/>
      <c r="E6732" s="3"/>
      <c r="F6732" s="3"/>
      <c r="G6732" s="3"/>
      <c r="H6732" s="11"/>
      <c r="I6732" s="12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  <c r="AA6732" s="3"/>
      <c r="AB6732" s="3"/>
      <c r="AC6732" s="3"/>
      <c r="AD6732" s="3"/>
      <c r="AE6732" s="3"/>
      <c r="AF6732" s="3"/>
      <c r="AG6732" s="3"/>
      <c r="AH6732" s="3"/>
    </row>
    <row r="6733" spans="1:34" ht="14.25" customHeight="1" x14ac:dyDescent="0.25">
      <c r="A6733" s="3"/>
      <c r="B6733" s="3"/>
      <c r="C6733" s="3"/>
      <c r="D6733" s="3"/>
      <c r="E6733" s="3"/>
      <c r="F6733" s="3"/>
      <c r="G6733" s="3"/>
      <c r="H6733" s="11"/>
      <c r="I6733" s="12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  <c r="AA6733" s="3"/>
      <c r="AB6733" s="3"/>
      <c r="AC6733" s="3"/>
      <c r="AD6733" s="3"/>
      <c r="AE6733" s="3"/>
      <c r="AF6733" s="3"/>
      <c r="AG6733" s="3"/>
      <c r="AH6733" s="3"/>
    </row>
    <row r="6734" spans="1:34" ht="14.25" customHeight="1" x14ac:dyDescent="0.25">
      <c r="A6734" s="3"/>
      <c r="B6734" s="3"/>
      <c r="C6734" s="3"/>
      <c r="D6734" s="3"/>
      <c r="E6734" s="3"/>
      <c r="F6734" s="3"/>
      <c r="G6734" s="3"/>
      <c r="H6734" s="11"/>
      <c r="I6734" s="12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  <c r="AA6734" s="3"/>
      <c r="AB6734" s="3"/>
      <c r="AC6734" s="3"/>
      <c r="AD6734" s="3"/>
      <c r="AE6734" s="3"/>
      <c r="AF6734" s="3"/>
      <c r="AG6734" s="3"/>
      <c r="AH6734" s="3"/>
    </row>
    <row r="6735" spans="1:34" ht="14.25" customHeight="1" x14ac:dyDescent="0.25">
      <c r="A6735" s="3"/>
      <c r="B6735" s="3"/>
      <c r="C6735" s="3"/>
      <c r="D6735" s="3"/>
      <c r="E6735" s="3"/>
      <c r="F6735" s="3"/>
      <c r="G6735" s="3"/>
      <c r="H6735" s="11"/>
      <c r="I6735" s="12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  <c r="AA6735" s="3"/>
      <c r="AB6735" s="3"/>
      <c r="AC6735" s="3"/>
      <c r="AD6735" s="3"/>
      <c r="AE6735" s="3"/>
      <c r="AF6735" s="3"/>
      <c r="AG6735" s="3"/>
      <c r="AH6735" s="3"/>
    </row>
    <row r="6736" spans="1:34" ht="14.25" customHeight="1" x14ac:dyDescent="0.25">
      <c r="A6736" s="3"/>
      <c r="B6736" s="3"/>
      <c r="C6736" s="3"/>
      <c r="D6736" s="3"/>
      <c r="E6736" s="3"/>
      <c r="F6736" s="3"/>
      <c r="G6736" s="3"/>
      <c r="H6736" s="11"/>
      <c r="I6736" s="12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  <c r="AA6736" s="3"/>
      <c r="AB6736" s="3"/>
      <c r="AC6736" s="3"/>
      <c r="AD6736" s="3"/>
      <c r="AE6736" s="3"/>
      <c r="AF6736" s="3"/>
      <c r="AG6736" s="3"/>
      <c r="AH6736" s="3"/>
    </row>
    <row r="6737" spans="1:34" ht="14.25" customHeight="1" x14ac:dyDescent="0.25">
      <c r="A6737" s="3"/>
      <c r="B6737" s="3"/>
      <c r="C6737" s="3"/>
      <c r="D6737" s="3"/>
      <c r="E6737" s="3"/>
      <c r="F6737" s="3"/>
      <c r="G6737" s="3"/>
      <c r="H6737" s="11"/>
      <c r="I6737" s="12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  <c r="AA6737" s="3"/>
      <c r="AB6737" s="3"/>
      <c r="AC6737" s="3"/>
      <c r="AD6737" s="3"/>
      <c r="AE6737" s="3"/>
      <c r="AF6737" s="3"/>
      <c r="AG6737" s="3"/>
      <c r="AH6737" s="3"/>
    </row>
    <row r="6738" spans="1:34" ht="14.25" customHeight="1" x14ac:dyDescent="0.25">
      <c r="A6738" s="3"/>
      <c r="B6738" s="3"/>
      <c r="C6738" s="3"/>
      <c r="D6738" s="3"/>
      <c r="E6738" s="3"/>
      <c r="F6738" s="3"/>
      <c r="G6738" s="3"/>
      <c r="H6738" s="11"/>
      <c r="I6738" s="12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  <c r="AA6738" s="3"/>
      <c r="AB6738" s="3"/>
      <c r="AC6738" s="3"/>
      <c r="AD6738" s="3"/>
      <c r="AE6738" s="3"/>
      <c r="AF6738" s="3"/>
      <c r="AG6738" s="3"/>
      <c r="AH6738" s="3"/>
    </row>
    <row r="6739" spans="1:34" ht="14.25" customHeight="1" x14ac:dyDescent="0.25">
      <c r="A6739" s="3"/>
      <c r="B6739" s="3"/>
      <c r="C6739" s="3"/>
      <c r="D6739" s="3"/>
      <c r="E6739" s="3"/>
      <c r="F6739" s="3"/>
      <c r="G6739" s="3"/>
      <c r="H6739" s="11"/>
      <c r="I6739" s="12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  <c r="AA6739" s="3"/>
      <c r="AB6739" s="3"/>
      <c r="AC6739" s="3"/>
      <c r="AD6739" s="3"/>
      <c r="AE6739" s="3"/>
      <c r="AF6739" s="3"/>
      <c r="AG6739" s="3"/>
      <c r="AH6739" s="3"/>
    </row>
    <row r="6740" spans="1:34" ht="14.25" customHeight="1" x14ac:dyDescent="0.25">
      <c r="A6740" s="3"/>
      <c r="B6740" s="3"/>
      <c r="C6740" s="3"/>
      <c r="D6740" s="3"/>
      <c r="E6740" s="3"/>
      <c r="F6740" s="3"/>
      <c r="G6740" s="3"/>
      <c r="H6740" s="11"/>
      <c r="I6740" s="12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  <c r="AA6740" s="3"/>
      <c r="AB6740" s="3"/>
      <c r="AC6740" s="3"/>
      <c r="AD6740" s="3"/>
      <c r="AE6740" s="3"/>
      <c r="AF6740" s="3"/>
      <c r="AG6740" s="3"/>
      <c r="AH6740" s="3"/>
    </row>
    <row r="6741" spans="1:34" ht="14.25" customHeight="1" x14ac:dyDescent="0.25">
      <c r="A6741" s="3"/>
      <c r="B6741" s="3"/>
      <c r="C6741" s="3"/>
      <c r="D6741" s="3"/>
      <c r="E6741" s="3"/>
      <c r="F6741" s="3"/>
      <c r="G6741" s="3"/>
      <c r="H6741" s="11"/>
      <c r="I6741" s="12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  <c r="AA6741" s="3"/>
      <c r="AB6741" s="3"/>
      <c r="AC6741" s="3"/>
      <c r="AD6741" s="3"/>
      <c r="AE6741" s="3"/>
      <c r="AF6741" s="3"/>
      <c r="AG6741" s="3"/>
      <c r="AH6741" s="3"/>
    </row>
    <row r="6742" spans="1:34" ht="14.25" customHeight="1" x14ac:dyDescent="0.25">
      <c r="A6742" s="3"/>
      <c r="B6742" s="3"/>
      <c r="C6742" s="3"/>
      <c r="D6742" s="3"/>
      <c r="E6742" s="3"/>
      <c r="F6742" s="3"/>
      <c r="G6742" s="3"/>
      <c r="H6742" s="11"/>
      <c r="I6742" s="12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  <c r="AA6742" s="3"/>
      <c r="AB6742" s="3"/>
      <c r="AC6742" s="3"/>
      <c r="AD6742" s="3"/>
      <c r="AE6742" s="3"/>
      <c r="AF6742" s="3"/>
      <c r="AG6742" s="3"/>
      <c r="AH6742" s="3"/>
    </row>
    <row r="6743" spans="1:34" ht="14.25" customHeight="1" x14ac:dyDescent="0.25">
      <c r="A6743" s="3"/>
      <c r="B6743" s="3"/>
      <c r="C6743" s="3"/>
      <c r="D6743" s="3"/>
      <c r="E6743" s="3"/>
      <c r="F6743" s="3"/>
      <c r="G6743" s="3"/>
      <c r="H6743" s="11"/>
      <c r="I6743" s="12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  <c r="AA6743" s="3"/>
      <c r="AB6743" s="3"/>
      <c r="AC6743" s="3"/>
      <c r="AD6743" s="3"/>
      <c r="AE6743" s="3"/>
      <c r="AF6743" s="3"/>
      <c r="AG6743" s="3"/>
      <c r="AH6743" s="3"/>
    </row>
    <row r="6744" spans="1:34" ht="14.25" customHeight="1" x14ac:dyDescent="0.25">
      <c r="A6744" s="3"/>
      <c r="B6744" s="3"/>
      <c r="C6744" s="3"/>
      <c r="D6744" s="3"/>
      <c r="E6744" s="3"/>
      <c r="F6744" s="3"/>
      <c r="G6744" s="3"/>
      <c r="H6744" s="11"/>
      <c r="I6744" s="12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  <c r="AA6744" s="3"/>
      <c r="AB6744" s="3"/>
      <c r="AC6744" s="3"/>
      <c r="AD6744" s="3"/>
      <c r="AE6744" s="3"/>
      <c r="AF6744" s="3"/>
      <c r="AG6744" s="3"/>
      <c r="AH6744" s="3"/>
    </row>
    <row r="6745" spans="1:34" ht="14.25" customHeight="1" x14ac:dyDescent="0.25">
      <c r="A6745" s="3"/>
      <c r="B6745" s="3"/>
      <c r="C6745" s="3"/>
      <c r="D6745" s="3"/>
      <c r="E6745" s="3"/>
      <c r="F6745" s="3"/>
      <c r="G6745" s="3"/>
      <c r="H6745" s="11"/>
      <c r="I6745" s="12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  <c r="AA6745" s="3"/>
      <c r="AB6745" s="3"/>
      <c r="AC6745" s="3"/>
      <c r="AD6745" s="3"/>
      <c r="AE6745" s="3"/>
      <c r="AF6745" s="3"/>
      <c r="AG6745" s="3"/>
      <c r="AH6745" s="3"/>
    </row>
    <row r="6746" spans="1:34" ht="14.25" customHeight="1" x14ac:dyDescent="0.25">
      <c r="A6746" s="3"/>
      <c r="B6746" s="3"/>
      <c r="C6746" s="3"/>
      <c r="D6746" s="3"/>
      <c r="E6746" s="3"/>
      <c r="F6746" s="3"/>
      <c r="G6746" s="3"/>
      <c r="H6746" s="11"/>
      <c r="I6746" s="12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  <c r="AA6746" s="3"/>
      <c r="AB6746" s="3"/>
      <c r="AC6746" s="3"/>
      <c r="AD6746" s="3"/>
      <c r="AE6746" s="3"/>
      <c r="AF6746" s="3"/>
      <c r="AG6746" s="3"/>
      <c r="AH6746" s="3"/>
    </row>
    <row r="6747" spans="1:34" ht="14.25" customHeight="1" x14ac:dyDescent="0.25">
      <c r="A6747" s="3"/>
      <c r="B6747" s="3"/>
      <c r="C6747" s="3"/>
      <c r="D6747" s="3"/>
      <c r="E6747" s="3"/>
      <c r="F6747" s="3"/>
      <c r="G6747" s="3"/>
      <c r="H6747" s="11"/>
      <c r="I6747" s="12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  <c r="AA6747" s="3"/>
      <c r="AB6747" s="3"/>
      <c r="AC6747" s="3"/>
      <c r="AD6747" s="3"/>
      <c r="AE6747" s="3"/>
      <c r="AF6747" s="3"/>
      <c r="AG6747" s="3"/>
      <c r="AH6747" s="3"/>
    </row>
    <row r="6748" spans="1:34" ht="14.25" customHeight="1" x14ac:dyDescent="0.25">
      <c r="A6748" s="3"/>
      <c r="B6748" s="3"/>
      <c r="C6748" s="3"/>
      <c r="D6748" s="3"/>
      <c r="E6748" s="3"/>
      <c r="F6748" s="3"/>
      <c r="G6748" s="3"/>
      <c r="H6748" s="11"/>
      <c r="I6748" s="12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  <c r="AA6748" s="3"/>
      <c r="AB6748" s="3"/>
      <c r="AC6748" s="3"/>
      <c r="AD6748" s="3"/>
      <c r="AE6748" s="3"/>
      <c r="AF6748" s="3"/>
      <c r="AG6748" s="3"/>
      <c r="AH6748" s="3"/>
    </row>
    <row r="6749" spans="1:34" ht="14.25" customHeight="1" x14ac:dyDescent="0.25">
      <c r="A6749" s="3"/>
      <c r="B6749" s="3"/>
      <c r="C6749" s="3"/>
      <c r="D6749" s="3"/>
      <c r="E6749" s="3"/>
      <c r="F6749" s="3"/>
      <c r="G6749" s="3"/>
      <c r="H6749" s="11"/>
      <c r="I6749" s="12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  <c r="AA6749" s="3"/>
      <c r="AB6749" s="3"/>
      <c r="AC6749" s="3"/>
      <c r="AD6749" s="3"/>
      <c r="AE6749" s="3"/>
      <c r="AF6749" s="3"/>
      <c r="AG6749" s="3"/>
      <c r="AH6749" s="3"/>
    </row>
    <row r="6750" spans="1:34" ht="14.25" customHeight="1" x14ac:dyDescent="0.25">
      <c r="A6750" s="3"/>
      <c r="B6750" s="3"/>
      <c r="C6750" s="3"/>
      <c r="D6750" s="3"/>
      <c r="E6750" s="3"/>
      <c r="F6750" s="3"/>
      <c r="G6750" s="3"/>
      <c r="H6750" s="11"/>
      <c r="I6750" s="12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  <c r="AA6750" s="3"/>
      <c r="AB6750" s="3"/>
      <c r="AC6750" s="3"/>
      <c r="AD6750" s="3"/>
      <c r="AE6750" s="3"/>
      <c r="AF6750" s="3"/>
      <c r="AG6750" s="3"/>
      <c r="AH6750" s="3"/>
    </row>
    <row r="6751" spans="1:34" ht="14.25" customHeight="1" x14ac:dyDescent="0.25">
      <c r="A6751" s="3"/>
      <c r="B6751" s="3"/>
      <c r="C6751" s="3"/>
      <c r="D6751" s="3"/>
      <c r="E6751" s="3"/>
      <c r="F6751" s="3"/>
      <c r="G6751" s="3"/>
      <c r="H6751" s="11"/>
      <c r="I6751" s="12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  <c r="AA6751" s="3"/>
      <c r="AB6751" s="3"/>
      <c r="AC6751" s="3"/>
      <c r="AD6751" s="3"/>
      <c r="AE6751" s="3"/>
      <c r="AF6751" s="3"/>
      <c r="AG6751" s="3"/>
      <c r="AH6751" s="3"/>
    </row>
    <row r="6752" spans="1:34" ht="14.25" customHeight="1" x14ac:dyDescent="0.25">
      <c r="A6752" s="3"/>
      <c r="B6752" s="3"/>
      <c r="C6752" s="3"/>
      <c r="D6752" s="3"/>
      <c r="E6752" s="3"/>
      <c r="F6752" s="3"/>
      <c r="G6752" s="3"/>
      <c r="H6752" s="11"/>
      <c r="I6752" s="12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  <c r="AA6752" s="3"/>
      <c r="AB6752" s="3"/>
      <c r="AC6752" s="3"/>
      <c r="AD6752" s="3"/>
      <c r="AE6752" s="3"/>
      <c r="AF6752" s="3"/>
      <c r="AG6752" s="3"/>
      <c r="AH6752" s="3"/>
    </row>
    <row r="6753" spans="1:34" ht="14.25" customHeight="1" x14ac:dyDescent="0.25">
      <c r="A6753" s="3"/>
      <c r="B6753" s="3"/>
      <c r="C6753" s="3"/>
      <c r="D6753" s="3"/>
      <c r="E6753" s="3"/>
      <c r="F6753" s="3"/>
      <c r="G6753" s="3"/>
      <c r="H6753" s="11"/>
      <c r="I6753" s="12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  <c r="AA6753" s="3"/>
      <c r="AB6753" s="3"/>
      <c r="AC6753" s="3"/>
      <c r="AD6753" s="3"/>
      <c r="AE6753" s="3"/>
      <c r="AF6753" s="3"/>
      <c r="AG6753" s="3"/>
      <c r="AH6753" s="3"/>
    </row>
    <row r="6754" spans="1:34" ht="14.25" customHeight="1" x14ac:dyDescent="0.25">
      <c r="A6754" s="3"/>
      <c r="B6754" s="3"/>
      <c r="C6754" s="3"/>
      <c r="D6754" s="3"/>
      <c r="E6754" s="3"/>
      <c r="F6754" s="3"/>
      <c r="G6754" s="3"/>
      <c r="H6754" s="11"/>
      <c r="I6754" s="12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  <c r="AA6754" s="3"/>
      <c r="AB6754" s="3"/>
      <c r="AC6754" s="3"/>
      <c r="AD6754" s="3"/>
      <c r="AE6754" s="3"/>
      <c r="AF6754" s="3"/>
      <c r="AG6754" s="3"/>
      <c r="AH6754" s="3"/>
    </row>
    <row r="6755" spans="1:34" ht="14.25" customHeight="1" x14ac:dyDescent="0.25">
      <c r="A6755" s="3"/>
      <c r="B6755" s="3"/>
      <c r="C6755" s="3"/>
      <c r="D6755" s="3"/>
      <c r="E6755" s="3"/>
      <c r="F6755" s="3"/>
      <c r="G6755" s="3"/>
      <c r="H6755" s="11"/>
      <c r="I6755" s="12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  <c r="AA6755" s="3"/>
      <c r="AB6755" s="3"/>
      <c r="AC6755" s="3"/>
      <c r="AD6755" s="3"/>
      <c r="AE6755" s="3"/>
      <c r="AF6755" s="3"/>
      <c r="AG6755" s="3"/>
      <c r="AH6755" s="3"/>
    </row>
    <row r="6756" spans="1:34" ht="14.25" customHeight="1" x14ac:dyDescent="0.25">
      <c r="A6756" s="3"/>
      <c r="B6756" s="3"/>
      <c r="C6756" s="3"/>
      <c r="D6756" s="3"/>
      <c r="E6756" s="3"/>
      <c r="F6756" s="3"/>
      <c r="G6756" s="3"/>
      <c r="H6756" s="11"/>
      <c r="I6756" s="12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  <c r="AA6756" s="3"/>
      <c r="AB6756" s="3"/>
      <c r="AC6756" s="3"/>
      <c r="AD6756" s="3"/>
      <c r="AE6756" s="3"/>
      <c r="AF6756" s="3"/>
      <c r="AG6756" s="3"/>
      <c r="AH6756" s="3"/>
    </row>
    <row r="6757" spans="1:34" ht="14.25" customHeight="1" x14ac:dyDescent="0.25">
      <c r="A6757" s="3"/>
      <c r="B6757" s="3"/>
      <c r="C6757" s="3"/>
      <c r="D6757" s="3"/>
      <c r="E6757" s="3"/>
      <c r="F6757" s="3"/>
      <c r="G6757" s="3"/>
      <c r="H6757" s="11"/>
      <c r="I6757" s="12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  <c r="AA6757" s="3"/>
      <c r="AB6757" s="3"/>
      <c r="AC6757" s="3"/>
      <c r="AD6757" s="3"/>
      <c r="AE6757" s="3"/>
      <c r="AF6757" s="3"/>
      <c r="AG6757" s="3"/>
      <c r="AH6757" s="3"/>
    </row>
    <row r="6758" spans="1:34" ht="14.25" customHeight="1" x14ac:dyDescent="0.25">
      <c r="A6758" s="3"/>
      <c r="B6758" s="3"/>
      <c r="C6758" s="3"/>
      <c r="D6758" s="3"/>
      <c r="E6758" s="3"/>
      <c r="F6758" s="3"/>
      <c r="G6758" s="3"/>
      <c r="H6758" s="11"/>
      <c r="I6758" s="12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  <c r="AA6758" s="3"/>
      <c r="AB6758" s="3"/>
      <c r="AC6758" s="3"/>
      <c r="AD6758" s="3"/>
      <c r="AE6758" s="3"/>
      <c r="AF6758" s="3"/>
      <c r="AG6758" s="3"/>
      <c r="AH6758" s="3"/>
    </row>
    <row r="6759" spans="1:34" ht="14.25" customHeight="1" x14ac:dyDescent="0.25">
      <c r="A6759" s="3"/>
      <c r="B6759" s="3"/>
      <c r="C6759" s="3"/>
      <c r="D6759" s="3"/>
      <c r="E6759" s="3"/>
      <c r="F6759" s="3"/>
      <c r="G6759" s="3"/>
      <c r="H6759" s="11"/>
      <c r="I6759" s="12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  <c r="AA6759" s="3"/>
      <c r="AB6759" s="3"/>
      <c r="AC6759" s="3"/>
      <c r="AD6759" s="3"/>
      <c r="AE6759" s="3"/>
      <c r="AF6759" s="3"/>
      <c r="AG6759" s="3"/>
      <c r="AH6759" s="3"/>
    </row>
    <row r="6760" spans="1:34" ht="14.25" customHeight="1" x14ac:dyDescent="0.25">
      <c r="A6760" s="3"/>
      <c r="B6760" s="3"/>
      <c r="C6760" s="3"/>
      <c r="D6760" s="3"/>
      <c r="E6760" s="3"/>
      <c r="F6760" s="3"/>
      <c r="G6760" s="3"/>
      <c r="H6760" s="11"/>
      <c r="I6760" s="12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  <c r="AA6760" s="3"/>
      <c r="AB6760" s="3"/>
      <c r="AC6760" s="3"/>
      <c r="AD6760" s="3"/>
      <c r="AE6760" s="3"/>
      <c r="AF6760" s="3"/>
      <c r="AG6760" s="3"/>
      <c r="AH6760" s="3"/>
    </row>
    <row r="6761" spans="1:34" ht="14.25" customHeight="1" x14ac:dyDescent="0.25">
      <c r="A6761" s="3"/>
      <c r="B6761" s="3"/>
      <c r="C6761" s="3"/>
      <c r="D6761" s="3"/>
      <c r="E6761" s="3"/>
      <c r="F6761" s="3"/>
      <c r="G6761" s="3"/>
      <c r="H6761" s="11"/>
      <c r="I6761" s="12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  <c r="AA6761" s="3"/>
      <c r="AB6761" s="3"/>
      <c r="AC6761" s="3"/>
      <c r="AD6761" s="3"/>
      <c r="AE6761" s="3"/>
      <c r="AF6761" s="3"/>
      <c r="AG6761" s="3"/>
      <c r="AH6761" s="3"/>
    </row>
    <row r="6762" spans="1:34" ht="14.25" customHeight="1" x14ac:dyDescent="0.25">
      <c r="A6762" s="3"/>
      <c r="B6762" s="3"/>
      <c r="C6762" s="3"/>
      <c r="D6762" s="3"/>
      <c r="E6762" s="3"/>
      <c r="F6762" s="3"/>
      <c r="G6762" s="3"/>
      <c r="H6762" s="11"/>
      <c r="I6762" s="12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  <c r="AA6762" s="3"/>
      <c r="AB6762" s="3"/>
      <c r="AC6762" s="3"/>
      <c r="AD6762" s="3"/>
      <c r="AE6762" s="3"/>
      <c r="AF6762" s="3"/>
      <c r="AG6762" s="3"/>
      <c r="AH6762" s="3"/>
    </row>
    <row r="6763" spans="1:34" ht="14.25" customHeight="1" x14ac:dyDescent="0.25">
      <c r="A6763" s="3"/>
      <c r="B6763" s="3"/>
      <c r="C6763" s="3"/>
      <c r="D6763" s="3"/>
      <c r="E6763" s="3"/>
      <c r="F6763" s="3"/>
      <c r="G6763" s="3"/>
      <c r="H6763" s="11"/>
      <c r="I6763" s="12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  <c r="AA6763" s="3"/>
      <c r="AB6763" s="3"/>
      <c r="AC6763" s="3"/>
      <c r="AD6763" s="3"/>
      <c r="AE6763" s="3"/>
      <c r="AF6763" s="3"/>
      <c r="AG6763" s="3"/>
      <c r="AH6763" s="3"/>
    </row>
    <row r="6764" spans="1:34" ht="14.25" customHeight="1" x14ac:dyDescent="0.25">
      <c r="A6764" s="3"/>
      <c r="B6764" s="3"/>
      <c r="C6764" s="3"/>
      <c r="D6764" s="3"/>
      <c r="E6764" s="3"/>
      <c r="F6764" s="3"/>
      <c r="G6764" s="3"/>
      <c r="H6764" s="11"/>
      <c r="I6764" s="12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  <c r="AA6764" s="3"/>
      <c r="AB6764" s="3"/>
      <c r="AC6764" s="3"/>
      <c r="AD6764" s="3"/>
      <c r="AE6764" s="3"/>
      <c r="AF6764" s="3"/>
      <c r="AG6764" s="3"/>
      <c r="AH6764" s="3"/>
    </row>
    <row r="6765" spans="1:34" ht="14.25" customHeight="1" x14ac:dyDescent="0.25">
      <c r="A6765" s="3"/>
      <c r="B6765" s="3"/>
      <c r="C6765" s="3"/>
      <c r="D6765" s="3"/>
      <c r="E6765" s="3"/>
      <c r="F6765" s="3"/>
      <c r="G6765" s="3"/>
      <c r="H6765" s="11"/>
      <c r="I6765" s="12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  <c r="AA6765" s="3"/>
      <c r="AB6765" s="3"/>
      <c r="AC6765" s="3"/>
      <c r="AD6765" s="3"/>
      <c r="AE6765" s="3"/>
      <c r="AF6765" s="3"/>
      <c r="AG6765" s="3"/>
      <c r="AH6765" s="3"/>
    </row>
    <row r="6766" spans="1:34" ht="14.25" customHeight="1" x14ac:dyDescent="0.25">
      <c r="A6766" s="3"/>
      <c r="B6766" s="3"/>
      <c r="C6766" s="3"/>
      <c r="D6766" s="3"/>
      <c r="E6766" s="3"/>
      <c r="F6766" s="3"/>
      <c r="G6766" s="3"/>
      <c r="H6766" s="11"/>
      <c r="I6766" s="12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  <c r="AA6766" s="3"/>
      <c r="AB6766" s="3"/>
      <c r="AC6766" s="3"/>
      <c r="AD6766" s="3"/>
      <c r="AE6766" s="3"/>
      <c r="AF6766" s="3"/>
      <c r="AG6766" s="3"/>
      <c r="AH6766" s="3"/>
    </row>
    <row r="6767" spans="1:34" ht="14.25" customHeight="1" x14ac:dyDescent="0.25">
      <c r="A6767" s="3"/>
      <c r="B6767" s="3"/>
      <c r="C6767" s="3"/>
      <c r="D6767" s="3"/>
      <c r="E6767" s="3"/>
      <c r="F6767" s="3"/>
      <c r="G6767" s="3"/>
      <c r="H6767" s="11"/>
      <c r="I6767" s="12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  <c r="AA6767" s="3"/>
      <c r="AB6767" s="3"/>
      <c r="AC6767" s="3"/>
      <c r="AD6767" s="3"/>
      <c r="AE6767" s="3"/>
      <c r="AF6767" s="3"/>
      <c r="AG6767" s="3"/>
      <c r="AH6767" s="3"/>
    </row>
    <row r="6768" spans="1:34" ht="14.25" customHeight="1" x14ac:dyDescent="0.25">
      <c r="A6768" s="3"/>
      <c r="B6768" s="3"/>
      <c r="C6768" s="3"/>
      <c r="D6768" s="3"/>
      <c r="E6768" s="3"/>
      <c r="F6768" s="3"/>
      <c r="G6768" s="3"/>
      <c r="H6768" s="11"/>
      <c r="I6768" s="12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  <c r="AA6768" s="3"/>
      <c r="AB6768" s="3"/>
      <c r="AC6768" s="3"/>
      <c r="AD6768" s="3"/>
      <c r="AE6768" s="3"/>
      <c r="AF6768" s="3"/>
      <c r="AG6768" s="3"/>
      <c r="AH6768" s="3"/>
    </row>
    <row r="6769" spans="1:34" ht="14.25" customHeight="1" x14ac:dyDescent="0.25">
      <c r="A6769" s="3"/>
      <c r="B6769" s="3"/>
      <c r="C6769" s="3"/>
      <c r="D6769" s="3"/>
      <c r="E6769" s="3"/>
      <c r="F6769" s="3"/>
      <c r="G6769" s="3"/>
      <c r="H6769" s="11"/>
      <c r="I6769" s="12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  <c r="AA6769" s="3"/>
      <c r="AB6769" s="3"/>
      <c r="AC6769" s="3"/>
      <c r="AD6769" s="3"/>
      <c r="AE6769" s="3"/>
      <c r="AF6769" s="3"/>
      <c r="AG6769" s="3"/>
      <c r="AH6769" s="3"/>
    </row>
    <row r="6770" spans="1:34" ht="14.25" customHeight="1" x14ac:dyDescent="0.25">
      <c r="A6770" s="3"/>
      <c r="B6770" s="3"/>
      <c r="C6770" s="3"/>
      <c r="D6770" s="3"/>
      <c r="E6770" s="3"/>
      <c r="F6770" s="3"/>
      <c r="G6770" s="3"/>
      <c r="H6770" s="11"/>
      <c r="I6770" s="12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  <c r="AA6770" s="3"/>
      <c r="AB6770" s="3"/>
      <c r="AC6770" s="3"/>
      <c r="AD6770" s="3"/>
      <c r="AE6770" s="3"/>
      <c r="AF6770" s="3"/>
      <c r="AG6770" s="3"/>
      <c r="AH6770" s="3"/>
    </row>
    <row r="6771" spans="1:34" ht="14.25" customHeight="1" x14ac:dyDescent="0.25">
      <c r="A6771" s="3"/>
      <c r="B6771" s="3"/>
      <c r="C6771" s="3"/>
      <c r="D6771" s="3"/>
      <c r="E6771" s="3"/>
      <c r="F6771" s="3"/>
      <c r="G6771" s="3"/>
      <c r="H6771" s="11"/>
      <c r="I6771" s="12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  <c r="AA6771" s="3"/>
      <c r="AB6771" s="3"/>
      <c r="AC6771" s="3"/>
      <c r="AD6771" s="3"/>
      <c r="AE6771" s="3"/>
      <c r="AF6771" s="3"/>
      <c r="AG6771" s="3"/>
      <c r="AH6771" s="3"/>
    </row>
    <row r="6772" spans="1:34" ht="14.25" customHeight="1" x14ac:dyDescent="0.25">
      <c r="A6772" s="3"/>
      <c r="B6772" s="3"/>
      <c r="C6772" s="3"/>
      <c r="D6772" s="3"/>
      <c r="E6772" s="3"/>
      <c r="F6772" s="3"/>
      <c r="G6772" s="3"/>
      <c r="H6772" s="11"/>
      <c r="I6772" s="12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  <c r="AA6772" s="3"/>
      <c r="AB6772" s="3"/>
      <c r="AC6772" s="3"/>
      <c r="AD6772" s="3"/>
      <c r="AE6772" s="3"/>
      <c r="AF6772" s="3"/>
      <c r="AG6772" s="3"/>
      <c r="AH6772" s="3"/>
    </row>
    <row r="6773" spans="1:34" ht="14.25" customHeight="1" x14ac:dyDescent="0.25">
      <c r="A6773" s="3"/>
      <c r="B6773" s="3"/>
      <c r="C6773" s="3"/>
      <c r="D6773" s="3"/>
      <c r="E6773" s="3"/>
      <c r="F6773" s="3"/>
      <c r="G6773" s="3"/>
      <c r="H6773" s="11"/>
      <c r="I6773" s="12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  <c r="AA6773" s="3"/>
      <c r="AB6773" s="3"/>
      <c r="AC6773" s="3"/>
      <c r="AD6773" s="3"/>
      <c r="AE6773" s="3"/>
      <c r="AF6773" s="3"/>
      <c r="AG6773" s="3"/>
      <c r="AH6773" s="3"/>
    </row>
    <row r="6774" spans="1:34" ht="14.25" customHeight="1" x14ac:dyDescent="0.25">
      <c r="A6774" s="3"/>
      <c r="B6774" s="3"/>
      <c r="C6774" s="3"/>
      <c r="D6774" s="3"/>
      <c r="E6774" s="3"/>
      <c r="F6774" s="3"/>
      <c r="G6774" s="3"/>
      <c r="H6774" s="11"/>
      <c r="I6774" s="12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  <c r="AA6774" s="3"/>
      <c r="AB6774" s="3"/>
      <c r="AC6774" s="3"/>
      <c r="AD6774" s="3"/>
      <c r="AE6774" s="3"/>
      <c r="AF6774" s="3"/>
      <c r="AG6774" s="3"/>
      <c r="AH6774" s="3"/>
    </row>
    <row r="6775" spans="1:34" ht="14.25" customHeight="1" x14ac:dyDescent="0.25">
      <c r="A6775" s="3"/>
      <c r="B6775" s="3"/>
      <c r="C6775" s="3"/>
      <c r="D6775" s="3"/>
      <c r="E6775" s="3"/>
      <c r="F6775" s="3"/>
      <c r="G6775" s="3"/>
      <c r="H6775" s="11"/>
      <c r="I6775" s="12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  <c r="AA6775" s="3"/>
      <c r="AB6775" s="3"/>
      <c r="AC6775" s="3"/>
      <c r="AD6775" s="3"/>
      <c r="AE6775" s="3"/>
      <c r="AF6775" s="3"/>
      <c r="AG6775" s="3"/>
      <c r="AH6775" s="3"/>
    </row>
    <row r="6776" spans="1:34" ht="14.25" customHeight="1" x14ac:dyDescent="0.25">
      <c r="A6776" s="3"/>
      <c r="B6776" s="3"/>
      <c r="C6776" s="3"/>
      <c r="D6776" s="3"/>
      <c r="E6776" s="3"/>
      <c r="F6776" s="3"/>
      <c r="G6776" s="3"/>
      <c r="H6776" s="11"/>
      <c r="I6776" s="12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  <c r="AA6776" s="3"/>
      <c r="AB6776" s="3"/>
      <c r="AC6776" s="3"/>
      <c r="AD6776" s="3"/>
      <c r="AE6776" s="3"/>
      <c r="AF6776" s="3"/>
      <c r="AG6776" s="3"/>
      <c r="AH6776" s="3"/>
    </row>
    <row r="6777" spans="1:34" ht="14.25" customHeight="1" x14ac:dyDescent="0.25">
      <c r="A6777" s="3"/>
      <c r="B6777" s="3"/>
      <c r="C6777" s="3"/>
      <c r="D6777" s="3"/>
      <c r="E6777" s="3"/>
      <c r="F6777" s="3"/>
      <c r="G6777" s="3"/>
      <c r="H6777" s="11"/>
      <c r="I6777" s="12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  <c r="AA6777" s="3"/>
      <c r="AB6777" s="3"/>
      <c r="AC6777" s="3"/>
      <c r="AD6777" s="3"/>
      <c r="AE6777" s="3"/>
      <c r="AF6777" s="3"/>
      <c r="AG6777" s="3"/>
      <c r="AH6777" s="3"/>
    </row>
    <row r="6778" spans="1:34" ht="14.25" customHeight="1" x14ac:dyDescent="0.25">
      <c r="A6778" s="3"/>
      <c r="B6778" s="3"/>
      <c r="C6778" s="3"/>
      <c r="D6778" s="3"/>
      <c r="E6778" s="3"/>
      <c r="F6778" s="3"/>
      <c r="G6778" s="3"/>
      <c r="H6778" s="11"/>
      <c r="I6778" s="12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  <c r="AA6778" s="3"/>
      <c r="AB6778" s="3"/>
      <c r="AC6778" s="3"/>
      <c r="AD6778" s="3"/>
      <c r="AE6778" s="3"/>
      <c r="AF6778" s="3"/>
      <c r="AG6778" s="3"/>
      <c r="AH6778" s="3"/>
    </row>
    <row r="6779" spans="1:34" ht="14.25" customHeight="1" x14ac:dyDescent="0.25">
      <c r="A6779" s="3"/>
      <c r="B6779" s="3"/>
      <c r="C6779" s="3"/>
      <c r="D6779" s="3"/>
      <c r="E6779" s="3"/>
      <c r="F6779" s="3"/>
      <c r="G6779" s="3"/>
      <c r="H6779" s="11"/>
      <c r="I6779" s="12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  <c r="AA6779" s="3"/>
      <c r="AB6779" s="3"/>
      <c r="AC6779" s="3"/>
      <c r="AD6779" s="3"/>
      <c r="AE6779" s="3"/>
      <c r="AF6779" s="3"/>
      <c r="AG6779" s="3"/>
      <c r="AH6779" s="3"/>
    </row>
    <row r="6780" spans="1:34" ht="14.25" customHeight="1" x14ac:dyDescent="0.25">
      <c r="A6780" s="3"/>
      <c r="B6780" s="3"/>
      <c r="C6780" s="3"/>
      <c r="D6780" s="3"/>
      <c r="E6780" s="3"/>
      <c r="F6780" s="3"/>
      <c r="G6780" s="3"/>
      <c r="H6780" s="11"/>
      <c r="I6780" s="12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  <c r="AA6780" s="3"/>
      <c r="AB6780" s="3"/>
      <c r="AC6780" s="3"/>
      <c r="AD6780" s="3"/>
      <c r="AE6780" s="3"/>
      <c r="AF6780" s="3"/>
      <c r="AG6780" s="3"/>
      <c r="AH6780" s="3"/>
    </row>
    <row r="6781" spans="1:34" ht="14.25" customHeight="1" x14ac:dyDescent="0.25">
      <c r="A6781" s="3"/>
      <c r="B6781" s="3"/>
      <c r="C6781" s="3"/>
      <c r="D6781" s="3"/>
      <c r="E6781" s="3"/>
      <c r="F6781" s="3"/>
      <c r="G6781" s="3"/>
      <c r="H6781" s="11"/>
      <c r="I6781" s="12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  <c r="AA6781" s="3"/>
      <c r="AB6781" s="3"/>
      <c r="AC6781" s="3"/>
      <c r="AD6781" s="3"/>
      <c r="AE6781" s="3"/>
      <c r="AF6781" s="3"/>
      <c r="AG6781" s="3"/>
      <c r="AH6781" s="3"/>
    </row>
    <row r="6782" spans="1:34" ht="14.25" customHeight="1" x14ac:dyDescent="0.25">
      <c r="A6782" s="3"/>
      <c r="B6782" s="3"/>
      <c r="C6782" s="3"/>
      <c r="D6782" s="3"/>
      <c r="E6782" s="3"/>
      <c r="F6782" s="3"/>
      <c r="G6782" s="3"/>
      <c r="H6782" s="11"/>
      <c r="I6782" s="12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  <c r="AA6782" s="3"/>
      <c r="AB6782" s="3"/>
      <c r="AC6782" s="3"/>
      <c r="AD6782" s="3"/>
      <c r="AE6782" s="3"/>
      <c r="AF6782" s="3"/>
      <c r="AG6782" s="3"/>
      <c r="AH6782" s="3"/>
    </row>
    <row r="6783" spans="1:34" ht="14.25" customHeight="1" x14ac:dyDescent="0.25">
      <c r="A6783" s="3"/>
      <c r="B6783" s="3"/>
      <c r="C6783" s="3"/>
      <c r="D6783" s="3"/>
      <c r="E6783" s="3"/>
      <c r="F6783" s="3"/>
      <c r="G6783" s="3"/>
      <c r="H6783" s="11"/>
      <c r="I6783" s="12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  <c r="AA6783" s="3"/>
      <c r="AB6783" s="3"/>
      <c r="AC6783" s="3"/>
      <c r="AD6783" s="3"/>
      <c r="AE6783" s="3"/>
      <c r="AF6783" s="3"/>
      <c r="AG6783" s="3"/>
      <c r="AH6783" s="3"/>
    </row>
    <row r="6784" spans="1:34" ht="14.25" customHeight="1" x14ac:dyDescent="0.25">
      <c r="A6784" s="3"/>
      <c r="B6784" s="3"/>
      <c r="C6784" s="3"/>
      <c r="D6784" s="3"/>
      <c r="E6784" s="3"/>
      <c r="F6784" s="3"/>
      <c r="G6784" s="3"/>
      <c r="H6784" s="11"/>
      <c r="I6784" s="12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  <c r="AA6784" s="3"/>
      <c r="AB6784" s="3"/>
      <c r="AC6784" s="3"/>
      <c r="AD6784" s="3"/>
      <c r="AE6784" s="3"/>
      <c r="AF6784" s="3"/>
      <c r="AG6784" s="3"/>
      <c r="AH6784" s="3"/>
    </row>
    <row r="6785" spans="1:34" ht="14.25" customHeight="1" x14ac:dyDescent="0.25">
      <c r="A6785" s="3"/>
      <c r="B6785" s="3"/>
      <c r="C6785" s="3"/>
      <c r="D6785" s="3"/>
      <c r="E6785" s="3"/>
      <c r="F6785" s="3"/>
      <c r="G6785" s="3"/>
      <c r="H6785" s="11"/>
      <c r="I6785" s="12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  <c r="AA6785" s="3"/>
      <c r="AB6785" s="3"/>
      <c r="AC6785" s="3"/>
      <c r="AD6785" s="3"/>
      <c r="AE6785" s="3"/>
      <c r="AF6785" s="3"/>
      <c r="AG6785" s="3"/>
      <c r="AH6785" s="3"/>
    </row>
    <row r="6786" spans="1:34" ht="14.25" customHeight="1" x14ac:dyDescent="0.25">
      <c r="A6786" s="3"/>
      <c r="B6786" s="3"/>
      <c r="C6786" s="3"/>
      <c r="D6786" s="3"/>
      <c r="E6786" s="3"/>
      <c r="F6786" s="3"/>
      <c r="G6786" s="3"/>
      <c r="H6786" s="11"/>
      <c r="I6786" s="12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  <c r="AA6786" s="3"/>
      <c r="AB6786" s="3"/>
      <c r="AC6786" s="3"/>
      <c r="AD6786" s="3"/>
      <c r="AE6786" s="3"/>
      <c r="AF6786" s="3"/>
      <c r="AG6786" s="3"/>
      <c r="AH6786" s="3"/>
    </row>
    <row r="6787" spans="1:34" ht="14.25" customHeight="1" x14ac:dyDescent="0.25">
      <c r="A6787" s="3"/>
      <c r="B6787" s="3"/>
      <c r="C6787" s="3"/>
      <c r="D6787" s="3"/>
      <c r="E6787" s="3"/>
      <c r="F6787" s="3"/>
      <c r="G6787" s="3"/>
      <c r="H6787" s="11"/>
      <c r="I6787" s="12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  <c r="AA6787" s="3"/>
      <c r="AB6787" s="3"/>
      <c r="AC6787" s="3"/>
      <c r="AD6787" s="3"/>
      <c r="AE6787" s="3"/>
      <c r="AF6787" s="3"/>
      <c r="AG6787" s="3"/>
      <c r="AH6787" s="3"/>
    </row>
    <row r="6788" spans="1:34" ht="14.25" customHeight="1" x14ac:dyDescent="0.25">
      <c r="A6788" s="3"/>
      <c r="B6788" s="3"/>
      <c r="C6788" s="3"/>
      <c r="D6788" s="3"/>
      <c r="E6788" s="3"/>
      <c r="F6788" s="3"/>
      <c r="G6788" s="3"/>
      <c r="H6788" s="11"/>
      <c r="I6788" s="12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  <c r="AA6788" s="3"/>
      <c r="AB6788" s="3"/>
      <c r="AC6788" s="3"/>
      <c r="AD6788" s="3"/>
      <c r="AE6788" s="3"/>
      <c r="AF6788" s="3"/>
      <c r="AG6788" s="3"/>
      <c r="AH6788" s="3"/>
    </row>
    <row r="6789" spans="1:34" ht="14.25" customHeight="1" x14ac:dyDescent="0.25">
      <c r="A6789" s="3"/>
      <c r="B6789" s="3"/>
      <c r="C6789" s="3"/>
      <c r="D6789" s="3"/>
      <c r="E6789" s="3"/>
      <c r="F6789" s="3"/>
      <c r="G6789" s="3"/>
      <c r="H6789" s="11"/>
      <c r="I6789" s="12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  <c r="AA6789" s="3"/>
      <c r="AB6789" s="3"/>
      <c r="AC6789" s="3"/>
      <c r="AD6789" s="3"/>
      <c r="AE6789" s="3"/>
      <c r="AF6789" s="3"/>
      <c r="AG6789" s="3"/>
      <c r="AH6789" s="3"/>
    </row>
    <row r="6790" spans="1:34" ht="14.25" customHeight="1" x14ac:dyDescent="0.25">
      <c r="A6790" s="3"/>
      <c r="B6790" s="3"/>
      <c r="C6790" s="3"/>
      <c r="D6790" s="3"/>
      <c r="E6790" s="3"/>
      <c r="F6790" s="3"/>
      <c r="G6790" s="3"/>
      <c r="H6790" s="11"/>
      <c r="I6790" s="12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  <c r="AA6790" s="3"/>
      <c r="AB6790" s="3"/>
      <c r="AC6790" s="3"/>
      <c r="AD6790" s="3"/>
      <c r="AE6790" s="3"/>
      <c r="AF6790" s="3"/>
      <c r="AG6790" s="3"/>
      <c r="AH6790" s="3"/>
    </row>
    <row r="6791" spans="1:34" ht="14.25" customHeight="1" x14ac:dyDescent="0.25">
      <c r="A6791" s="3"/>
      <c r="B6791" s="3"/>
      <c r="C6791" s="3"/>
      <c r="D6791" s="3"/>
      <c r="E6791" s="3"/>
      <c r="F6791" s="3"/>
      <c r="G6791" s="3"/>
      <c r="H6791" s="11"/>
      <c r="I6791" s="12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  <c r="AA6791" s="3"/>
      <c r="AB6791" s="3"/>
      <c r="AC6791" s="3"/>
      <c r="AD6791" s="3"/>
      <c r="AE6791" s="3"/>
      <c r="AF6791" s="3"/>
      <c r="AG6791" s="3"/>
      <c r="AH6791" s="3"/>
    </row>
    <row r="6792" spans="1:34" ht="14.25" customHeight="1" x14ac:dyDescent="0.25">
      <c r="A6792" s="3"/>
      <c r="B6792" s="3"/>
      <c r="C6792" s="3"/>
      <c r="D6792" s="3"/>
      <c r="E6792" s="3"/>
      <c r="F6792" s="3"/>
      <c r="G6792" s="3"/>
      <c r="H6792" s="11"/>
      <c r="I6792" s="12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  <c r="AA6792" s="3"/>
      <c r="AB6792" s="3"/>
      <c r="AC6792" s="3"/>
      <c r="AD6792" s="3"/>
      <c r="AE6792" s="3"/>
      <c r="AF6792" s="3"/>
      <c r="AG6792" s="3"/>
      <c r="AH6792" s="3"/>
    </row>
    <row r="6793" spans="1:34" ht="14.25" customHeight="1" x14ac:dyDescent="0.25">
      <c r="A6793" s="3"/>
      <c r="B6793" s="3"/>
      <c r="C6793" s="3"/>
      <c r="D6793" s="3"/>
      <c r="E6793" s="3"/>
      <c r="F6793" s="3"/>
      <c r="G6793" s="3"/>
      <c r="H6793" s="11"/>
      <c r="I6793" s="12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  <c r="AA6793" s="3"/>
      <c r="AB6793" s="3"/>
      <c r="AC6793" s="3"/>
      <c r="AD6793" s="3"/>
      <c r="AE6793" s="3"/>
      <c r="AF6793" s="3"/>
      <c r="AG6793" s="3"/>
      <c r="AH6793" s="3"/>
    </row>
    <row r="6794" spans="1:34" ht="14.25" customHeight="1" x14ac:dyDescent="0.25">
      <c r="A6794" s="3"/>
      <c r="B6794" s="3"/>
      <c r="C6794" s="3"/>
      <c r="D6794" s="3"/>
      <c r="E6794" s="3"/>
      <c r="F6794" s="3"/>
      <c r="G6794" s="3"/>
      <c r="H6794" s="11"/>
      <c r="I6794" s="12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  <c r="AA6794" s="3"/>
      <c r="AB6794" s="3"/>
      <c r="AC6794" s="3"/>
      <c r="AD6794" s="3"/>
      <c r="AE6794" s="3"/>
      <c r="AF6794" s="3"/>
      <c r="AG6794" s="3"/>
      <c r="AH6794" s="3"/>
    </row>
    <row r="6795" spans="1:34" ht="14.25" customHeight="1" x14ac:dyDescent="0.25">
      <c r="A6795" s="3"/>
      <c r="B6795" s="3"/>
      <c r="C6795" s="3"/>
      <c r="D6795" s="3"/>
      <c r="E6795" s="3"/>
      <c r="F6795" s="3"/>
      <c r="G6795" s="3"/>
      <c r="H6795" s="11"/>
      <c r="I6795" s="12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  <c r="AA6795" s="3"/>
      <c r="AB6795" s="3"/>
      <c r="AC6795" s="3"/>
      <c r="AD6795" s="3"/>
      <c r="AE6795" s="3"/>
      <c r="AF6795" s="3"/>
      <c r="AG6795" s="3"/>
      <c r="AH6795" s="3"/>
    </row>
    <row r="6796" spans="1:34" ht="14.25" customHeight="1" x14ac:dyDescent="0.25">
      <c r="A6796" s="3"/>
      <c r="B6796" s="3"/>
      <c r="C6796" s="3"/>
      <c r="D6796" s="3"/>
      <c r="E6796" s="3"/>
      <c r="F6796" s="3"/>
      <c r="G6796" s="3"/>
      <c r="H6796" s="11"/>
      <c r="I6796" s="12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  <c r="AA6796" s="3"/>
      <c r="AB6796" s="3"/>
      <c r="AC6796" s="3"/>
      <c r="AD6796" s="3"/>
      <c r="AE6796" s="3"/>
      <c r="AF6796" s="3"/>
      <c r="AG6796" s="3"/>
      <c r="AH6796" s="3"/>
    </row>
    <row r="6797" spans="1:34" ht="14.25" customHeight="1" x14ac:dyDescent="0.25">
      <c r="A6797" s="3"/>
      <c r="B6797" s="3"/>
      <c r="C6797" s="3"/>
      <c r="D6797" s="3"/>
      <c r="E6797" s="3"/>
      <c r="F6797" s="3"/>
      <c r="G6797" s="3"/>
      <c r="H6797" s="11"/>
      <c r="I6797" s="12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  <c r="AA6797" s="3"/>
      <c r="AB6797" s="3"/>
      <c r="AC6797" s="3"/>
      <c r="AD6797" s="3"/>
      <c r="AE6797" s="3"/>
      <c r="AF6797" s="3"/>
      <c r="AG6797" s="3"/>
      <c r="AH6797" s="3"/>
    </row>
    <row r="6798" spans="1:34" ht="14.25" customHeight="1" x14ac:dyDescent="0.25">
      <c r="A6798" s="3"/>
      <c r="B6798" s="3"/>
      <c r="C6798" s="3"/>
      <c r="D6798" s="3"/>
      <c r="E6798" s="3"/>
      <c r="F6798" s="3"/>
      <c r="G6798" s="3"/>
      <c r="H6798" s="11"/>
      <c r="I6798" s="12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  <c r="AA6798" s="3"/>
      <c r="AB6798" s="3"/>
      <c r="AC6798" s="3"/>
      <c r="AD6798" s="3"/>
      <c r="AE6798" s="3"/>
      <c r="AF6798" s="3"/>
      <c r="AG6798" s="3"/>
      <c r="AH6798" s="3"/>
    </row>
    <row r="6799" spans="1:34" ht="14.25" customHeight="1" x14ac:dyDescent="0.25">
      <c r="A6799" s="3"/>
      <c r="B6799" s="3"/>
      <c r="C6799" s="3"/>
      <c r="D6799" s="3"/>
      <c r="E6799" s="3"/>
      <c r="F6799" s="3"/>
      <c r="G6799" s="3"/>
      <c r="H6799" s="11"/>
      <c r="I6799" s="12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  <c r="AA6799" s="3"/>
      <c r="AB6799" s="3"/>
      <c r="AC6799" s="3"/>
      <c r="AD6799" s="3"/>
      <c r="AE6799" s="3"/>
      <c r="AF6799" s="3"/>
      <c r="AG6799" s="3"/>
      <c r="AH6799" s="3"/>
    </row>
    <row r="6800" spans="1:34" ht="14.25" customHeight="1" x14ac:dyDescent="0.25">
      <c r="A6800" s="3"/>
      <c r="B6800" s="3"/>
      <c r="C6800" s="3"/>
      <c r="D6800" s="3"/>
      <c r="E6800" s="3"/>
      <c r="F6800" s="3"/>
      <c r="G6800" s="3"/>
      <c r="H6800" s="11"/>
      <c r="I6800" s="12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  <c r="AA6800" s="3"/>
      <c r="AB6800" s="3"/>
      <c r="AC6800" s="3"/>
      <c r="AD6800" s="3"/>
      <c r="AE6800" s="3"/>
      <c r="AF6800" s="3"/>
      <c r="AG6800" s="3"/>
      <c r="AH6800" s="3"/>
    </row>
    <row r="6801" spans="1:34" ht="14.25" customHeight="1" x14ac:dyDescent="0.25">
      <c r="A6801" s="3"/>
      <c r="B6801" s="3"/>
      <c r="C6801" s="3"/>
      <c r="D6801" s="3"/>
      <c r="E6801" s="3"/>
      <c r="F6801" s="3"/>
      <c r="G6801" s="3"/>
      <c r="H6801" s="11"/>
      <c r="I6801" s="12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  <c r="AA6801" s="3"/>
      <c r="AB6801" s="3"/>
      <c r="AC6801" s="3"/>
      <c r="AD6801" s="3"/>
      <c r="AE6801" s="3"/>
      <c r="AF6801" s="3"/>
      <c r="AG6801" s="3"/>
      <c r="AH6801" s="3"/>
    </row>
    <row r="6802" spans="1:34" ht="14.25" customHeight="1" x14ac:dyDescent="0.25">
      <c r="A6802" s="3"/>
      <c r="B6802" s="3"/>
      <c r="C6802" s="3"/>
      <c r="D6802" s="3"/>
      <c r="E6802" s="3"/>
      <c r="F6802" s="3"/>
      <c r="G6802" s="3"/>
      <c r="H6802" s="11"/>
      <c r="I6802" s="12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  <c r="AA6802" s="3"/>
      <c r="AB6802" s="3"/>
      <c r="AC6802" s="3"/>
      <c r="AD6802" s="3"/>
      <c r="AE6802" s="3"/>
      <c r="AF6802" s="3"/>
      <c r="AG6802" s="3"/>
      <c r="AH6802" s="3"/>
    </row>
    <row r="6803" spans="1:34" ht="14.25" customHeight="1" x14ac:dyDescent="0.25">
      <c r="A6803" s="3"/>
      <c r="B6803" s="3"/>
      <c r="C6803" s="3"/>
      <c r="D6803" s="3"/>
      <c r="E6803" s="3"/>
      <c r="F6803" s="3"/>
      <c r="G6803" s="3"/>
      <c r="H6803" s="11"/>
      <c r="I6803" s="12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  <c r="AA6803" s="3"/>
      <c r="AB6803" s="3"/>
      <c r="AC6803" s="3"/>
      <c r="AD6803" s="3"/>
      <c r="AE6803" s="3"/>
      <c r="AF6803" s="3"/>
      <c r="AG6803" s="3"/>
      <c r="AH6803" s="3"/>
    </row>
    <row r="6804" spans="1:34" ht="14.25" customHeight="1" x14ac:dyDescent="0.25">
      <c r="A6804" s="3"/>
      <c r="B6804" s="3"/>
      <c r="C6804" s="3"/>
      <c r="D6804" s="3"/>
      <c r="E6804" s="3"/>
      <c r="F6804" s="3"/>
      <c r="G6804" s="3"/>
      <c r="H6804" s="11"/>
      <c r="I6804" s="12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  <c r="AA6804" s="3"/>
      <c r="AB6804" s="3"/>
      <c r="AC6804" s="3"/>
      <c r="AD6804" s="3"/>
      <c r="AE6804" s="3"/>
      <c r="AF6804" s="3"/>
      <c r="AG6804" s="3"/>
      <c r="AH6804" s="3"/>
    </row>
    <row r="6805" spans="1:34" ht="14.25" customHeight="1" x14ac:dyDescent="0.25">
      <c r="A6805" s="3"/>
      <c r="B6805" s="3"/>
      <c r="C6805" s="3"/>
      <c r="D6805" s="3"/>
      <c r="E6805" s="3"/>
      <c r="F6805" s="3"/>
      <c r="G6805" s="3"/>
      <c r="H6805" s="11"/>
      <c r="I6805" s="12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  <c r="AA6805" s="3"/>
      <c r="AB6805" s="3"/>
      <c r="AC6805" s="3"/>
      <c r="AD6805" s="3"/>
      <c r="AE6805" s="3"/>
      <c r="AF6805" s="3"/>
      <c r="AG6805" s="3"/>
      <c r="AH6805" s="3"/>
    </row>
    <row r="6806" spans="1:34" ht="14.25" customHeight="1" x14ac:dyDescent="0.25">
      <c r="A6806" s="3"/>
      <c r="B6806" s="3"/>
      <c r="C6806" s="3"/>
      <c r="D6806" s="3"/>
      <c r="E6806" s="3"/>
      <c r="F6806" s="3"/>
      <c r="G6806" s="3"/>
      <c r="H6806" s="11"/>
      <c r="I6806" s="12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  <c r="AA6806" s="3"/>
      <c r="AB6806" s="3"/>
      <c r="AC6806" s="3"/>
      <c r="AD6806" s="3"/>
      <c r="AE6806" s="3"/>
      <c r="AF6806" s="3"/>
      <c r="AG6806" s="3"/>
      <c r="AH6806" s="3"/>
    </row>
    <row r="6807" spans="1:34" ht="14.25" customHeight="1" x14ac:dyDescent="0.25">
      <c r="A6807" s="3"/>
      <c r="B6807" s="3"/>
      <c r="C6807" s="3"/>
      <c r="D6807" s="3"/>
      <c r="E6807" s="3"/>
      <c r="F6807" s="3"/>
      <c r="G6807" s="3"/>
      <c r="H6807" s="11"/>
      <c r="I6807" s="12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  <c r="AA6807" s="3"/>
      <c r="AB6807" s="3"/>
      <c r="AC6807" s="3"/>
      <c r="AD6807" s="3"/>
      <c r="AE6807" s="3"/>
      <c r="AF6807" s="3"/>
      <c r="AG6807" s="3"/>
      <c r="AH6807" s="3"/>
    </row>
    <row r="6808" spans="1:34" ht="14.25" customHeight="1" x14ac:dyDescent="0.25">
      <c r="A6808" s="3"/>
      <c r="B6808" s="3"/>
      <c r="C6808" s="3"/>
      <c r="D6808" s="3"/>
      <c r="E6808" s="3"/>
      <c r="F6808" s="3"/>
      <c r="G6808" s="3"/>
      <c r="H6808" s="11"/>
      <c r="I6808" s="12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  <c r="AA6808" s="3"/>
      <c r="AB6808" s="3"/>
      <c r="AC6808" s="3"/>
      <c r="AD6808" s="3"/>
      <c r="AE6808" s="3"/>
      <c r="AF6808" s="3"/>
      <c r="AG6808" s="3"/>
      <c r="AH6808" s="3"/>
    </row>
    <row r="6809" spans="1:34" ht="14.25" customHeight="1" x14ac:dyDescent="0.25">
      <c r="A6809" s="3"/>
      <c r="B6809" s="3"/>
      <c r="C6809" s="3"/>
      <c r="D6809" s="3"/>
      <c r="E6809" s="3"/>
      <c r="F6809" s="3"/>
      <c r="G6809" s="3"/>
      <c r="H6809" s="11"/>
      <c r="I6809" s="12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  <c r="AA6809" s="3"/>
      <c r="AB6809" s="3"/>
      <c r="AC6809" s="3"/>
      <c r="AD6809" s="3"/>
      <c r="AE6809" s="3"/>
      <c r="AF6809" s="3"/>
      <c r="AG6809" s="3"/>
      <c r="AH6809" s="3"/>
    </row>
    <row r="6810" spans="1:34" ht="14.25" customHeight="1" x14ac:dyDescent="0.25">
      <c r="A6810" s="3"/>
      <c r="B6810" s="3"/>
      <c r="C6810" s="3"/>
      <c r="D6810" s="3"/>
      <c r="E6810" s="3"/>
      <c r="F6810" s="3"/>
      <c r="G6810" s="3"/>
      <c r="H6810" s="11"/>
      <c r="I6810" s="12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  <c r="AA6810" s="3"/>
      <c r="AB6810" s="3"/>
      <c r="AC6810" s="3"/>
      <c r="AD6810" s="3"/>
      <c r="AE6810" s="3"/>
      <c r="AF6810" s="3"/>
      <c r="AG6810" s="3"/>
      <c r="AH6810" s="3"/>
    </row>
    <row r="6811" spans="1:34" ht="14.25" customHeight="1" x14ac:dyDescent="0.25">
      <c r="A6811" s="3"/>
      <c r="B6811" s="3"/>
      <c r="C6811" s="3"/>
      <c r="D6811" s="3"/>
      <c r="E6811" s="3"/>
      <c r="F6811" s="3"/>
      <c r="G6811" s="3"/>
      <c r="H6811" s="11"/>
      <c r="I6811" s="12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  <c r="AA6811" s="3"/>
      <c r="AB6811" s="3"/>
      <c r="AC6811" s="3"/>
      <c r="AD6811" s="3"/>
      <c r="AE6811" s="3"/>
      <c r="AF6811" s="3"/>
      <c r="AG6811" s="3"/>
      <c r="AH6811" s="3"/>
    </row>
    <row r="6812" spans="1:34" ht="14.25" customHeight="1" x14ac:dyDescent="0.25">
      <c r="A6812" s="3"/>
      <c r="B6812" s="3"/>
      <c r="C6812" s="3"/>
      <c r="D6812" s="3"/>
      <c r="E6812" s="3"/>
      <c r="F6812" s="3"/>
      <c r="G6812" s="3"/>
      <c r="H6812" s="11"/>
      <c r="I6812" s="12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  <c r="AA6812" s="3"/>
      <c r="AB6812" s="3"/>
      <c r="AC6812" s="3"/>
      <c r="AD6812" s="3"/>
      <c r="AE6812" s="3"/>
      <c r="AF6812" s="3"/>
      <c r="AG6812" s="3"/>
      <c r="AH6812" s="3"/>
    </row>
    <row r="6813" spans="1:34" ht="14.25" customHeight="1" x14ac:dyDescent="0.25">
      <c r="A6813" s="3"/>
      <c r="B6813" s="3"/>
      <c r="C6813" s="3"/>
      <c r="D6813" s="3"/>
      <c r="E6813" s="3"/>
      <c r="F6813" s="3"/>
      <c r="G6813" s="3"/>
      <c r="H6813" s="11"/>
      <c r="I6813" s="12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  <c r="AA6813" s="3"/>
      <c r="AB6813" s="3"/>
      <c r="AC6813" s="3"/>
      <c r="AD6813" s="3"/>
      <c r="AE6813" s="3"/>
      <c r="AF6813" s="3"/>
      <c r="AG6813" s="3"/>
      <c r="AH6813" s="3"/>
    </row>
    <row r="6814" spans="1:34" ht="14.25" customHeight="1" x14ac:dyDescent="0.25">
      <c r="A6814" s="3"/>
      <c r="B6814" s="3"/>
      <c r="C6814" s="3"/>
      <c r="D6814" s="3"/>
      <c r="E6814" s="3"/>
      <c r="F6814" s="3"/>
      <c r="G6814" s="3"/>
      <c r="H6814" s="11"/>
      <c r="I6814" s="12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  <c r="AA6814" s="3"/>
      <c r="AB6814" s="3"/>
      <c r="AC6814" s="3"/>
      <c r="AD6814" s="3"/>
      <c r="AE6814" s="3"/>
      <c r="AF6814" s="3"/>
      <c r="AG6814" s="3"/>
      <c r="AH6814" s="3"/>
    </row>
    <row r="6815" spans="1:34" ht="14.25" customHeight="1" x14ac:dyDescent="0.25">
      <c r="A6815" s="3"/>
      <c r="B6815" s="3"/>
      <c r="C6815" s="3"/>
      <c r="D6815" s="3"/>
      <c r="E6815" s="3"/>
      <c r="F6815" s="3"/>
      <c r="G6815" s="3"/>
      <c r="H6815" s="11"/>
      <c r="I6815" s="12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  <c r="AA6815" s="3"/>
      <c r="AB6815" s="3"/>
      <c r="AC6815" s="3"/>
      <c r="AD6815" s="3"/>
      <c r="AE6815" s="3"/>
      <c r="AF6815" s="3"/>
      <c r="AG6815" s="3"/>
      <c r="AH6815" s="3"/>
    </row>
    <row r="6816" spans="1:34" ht="14.25" customHeight="1" x14ac:dyDescent="0.25">
      <c r="A6816" s="3"/>
      <c r="B6816" s="3"/>
      <c r="C6816" s="3"/>
      <c r="D6816" s="3"/>
      <c r="E6816" s="3"/>
      <c r="F6816" s="3"/>
      <c r="G6816" s="3"/>
      <c r="H6816" s="11"/>
      <c r="I6816" s="12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  <c r="AA6816" s="3"/>
      <c r="AB6816" s="3"/>
      <c r="AC6816" s="3"/>
      <c r="AD6816" s="3"/>
      <c r="AE6816" s="3"/>
      <c r="AF6816" s="3"/>
      <c r="AG6816" s="3"/>
      <c r="AH6816" s="3"/>
    </row>
    <row r="6817" spans="1:34" ht="14.25" customHeight="1" x14ac:dyDescent="0.25">
      <c r="A6817" s="3"/>
      <c r="B6817" s="3"/>
      <c r="C6817" s="3"/>
      <c r="D6817" s="3"/>
      <c r="E6817" s="3"/>
      <c r="F6817" s="3"/>
      <c r="G6817" s="3"/>
      <c r="H6817" s="11"/>
      <c r="I6817" s="12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  <c r="AA6817" s="3"/>
      <c r="AB6817" s="3"/>
      <c r="AC6817" s="3"/>
      <c r="AD6817" s="3"/>
      <c r="AE6817" s="3"/>
      <c r="AF6817" s="3"/>
      <c r="AG6817" s="3"/>
      <c r="AH6817" s="3"/>
    </row>
    <row r="6818" spans="1:34" ht="14.25" customHeight="1" x14ac:dyDescent="0.25">
      <c r="A6818" s="3"/>
      <c r="B6818" s="3"/>
      <c r="C6818" s="3"/>
      <c r="D6818" s="3"/>
      <c r="E6818" s="3"/>
      <c r="F6818" s="3"/>
      <c r="G6818" s="3"/>
      <c r="H6818" s="11"/>
      <c r="I6818" s="12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  <c r="AA6818" s="3"/>
      <c r="AB6818" s="3"/>
      <c r="AC6818" s="3"/>
      <c r="AD6818" s="3"/>
      <c r="AE6818" s="3"/>
      <c r="AF6818" s="3"/>
      <c r="AG6818" s="3"/>
      <c r="AH6818" s="3"/>
    </row>
    <row r="6819" spans="1:34" ht="14.25" customHeight="1" x14ac:dyDescent="0.25">
      <c r="A6819" s="3"/>
      <c r="B6819" s="3"/>
      <c r="C6819" s="3"/>
      <c r="D6819" s="3"/>
      <c r="E6819" s="3"/>
      <c r="F6819" s="3"/>
      <c r="G6819" s="3"/>
      <c r="H6819" s="11"/>
      <c r="I6819" s="12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  <c r="AA6819" s="3"/>
      <c r="AB6819" s="3"/>
      <c r="AC6819" s="3"/>
      <c r="AD6819" s="3"/>
      <c r="AE6819" s="3"/>
      <c r="AF6819" s="3"/>
      <c r="AG6819" s="3"/>
      <c r="AH6819" s="3"/>
    </row>
    <row r="6820" spans="1:34" ht="14.25" customHeight="1" x14ac:dyDescent="0.25">
      <c r="A6820" s="3"/>
      <c r="B6820" s="3"/>
      <c r="C6820" s="3"/>
      <c r="D6820" s="3"/>
      <c r="E6820" s="3"/>
      <c r="F6820" s="3"/>
      <c r="G6820" s="3"/>
      <c r="H6820" s="11"/>
      <c r="I6820" s="12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  <c r="AA6820" s="3"/>
      <c r="AB6820" s="3"/>
      <c r="AC6820" s="3"/>
      <c r="AD6820" s="3"/>
      <c r="AE6820" s="3"/>
      <c r="AF6820" s="3"/>
      <c r="AG6820" s="3"/>
      <c r="AH6820" s="3"/>
    </row>
    <row r="6821" spans="1:34" ht="14.25" customHeight="1" x14ac:dyDescent="0.25">
      <c r="A6821" s="3"/>
      <c r="B6821" s="3"/>
      <c r="C6821" s="3"/>
      <c r="D6821" s="3"/>
      <c r="E6821" s="3"/>
      <c r="F6821" s="3"/>
      <c r="G6821" s="3"/>
      <c r="H6821" s="11"/>
      <c r="I6821" s="12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  <c r="AA6821" s="3"/>
      <c r="AB6821" s="3"/>
      <c r="AC6821" s="3"/>
      <c r="AD6821" s="3"/>
      <c r="AE6821" s="3"/>
      <c r="AF6821" s="3"/>
      <c r="AG6821" s="3"/>
      <c r="AH6821" s="3"/>
    </row>
    <row r="6822" spans="1:34" ht="14.25" customHeight="1" x14ac:dyDescent="0.25">
      <c r="A6822" s="3"/>
      <c r="B6822" s="3"/>
      <c r="C6822" s="3"/>
      <c r="D6822" s="3"/>
      <c r="E6822" s="3"/>
      <c r="F6822" s="3"/>
      <c r="G6822" s="3"/>
      <c r="H6822" s="11"/>
      <c r="I6822" s="12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  <c r="AA6822" s="3"/>
      <c r="AB6822" s="3"/>
      <c r="AC6822" s="3"/>
      <c r="AD6822" s="3"/>
      <c r="AE6822" s="3"/>
      <c r="AF6822" s="3"/>
      <c r="AG6822" s="3"/>
      <c r="AH6822" s="3"/>
    </row>
    <row r="6823" spans="1:34" ht="14.25" customHeight="1" x14ac:dyDescent="0.25">
      <c r="A6823" s="3"/>
      <c r="B6823" s="3"/>
      <c r="C6823" s="3"/>
      <c r="D6823" s="3"/>
      <c r="E6823" s="3"/>
      <c r="F6823" s="3"/>
      <c r="G6823" s="3"/>
      <c r="H6823" s="11"/>
      <c r="I6823" s="12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  <c r="AA6823" s="3"/>
      <c r="AB6823" s="3"/>
      <c r="AC6823" s="3"/>
      <c r="AD6823" s="3"/>
      <c r="AE6823" s="3"/>
      <c r="AF6823" s="3"/>
      <c r="AG6823" s="3"/>
      <c r="AH6823" s="3"/>
    </row>
    <row r="6824" spans="1:34" ht="14.25" customHeight="1" x14ac:dyDescent="0.25">
      <c r="A6824" s="3"/>
      <c r="B6824" s="3"/>
      <c r="C6824" s="3"/>
      <c r="D6824" s="3"/>
      <c r="E6824" s="3"/>
      <c r="F6824" s="3"/>
      <c r="G6824" s="3"/>
      <c r="H6824" s="11"/>
      <c r="I6824" s="12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  <c r="AA6824" s="3"/>
      <c r="AB6824" s="3"/>
      <c r="AC6824" s="3"/>
      <c r="AD6824" s="3"/>
      <c r="AE6824" s="3"/>
      <c r="AF6824" s="3"/>
      <c r="AG6824" s="3"/>
      <c r="AH6824" s="3"/>
    </row>
    <row r="6825" spans="1:34" ht="14.25" customHeight="1" x14ac:dyDescent="0.25">
      <c r="A6825" s="3"/>
      <c r="B6825" s="3"/>
      <c r="C6825" s="3"/>
      <c r="D6825" s="3"/>
      <c r="E6825" s="3"/>
      <c r="F6825" s="3"/>
      <c r="G6825" s="3"/>
      <c r="H6825" s="11"/>
      <c r="I6825" s="12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  <c r="AA6825" s="3"/>
      <c r="AB6825" s="3"/>
      <c r="AC6825" s="3"/>
      <c r="AD6825" s="3"/>
      <c r="AE6825" s="3"/>
      <c r="AF6825" s="3"/>
      <c r="AG6825" s="3"/>
      <c r="AH6825" s="3"/>
    </row>
    <row r="6826" spans="1:34" ht="14.25" customHeight="1" x14ac:dyDescent="0.25">
      <c r="A6826" s="3"/>
      <c r="B6826" s="3"/>
      <c r="C6826" s="3"/>
      <c r="D6826" s="3"/>
      <c r="E6826" s="3"/>
      <c r="F6826" s="3"/>
      <c r="G6826" s="3"/>
      <c r="H6826" s="11"/>
      <c r="I6826" s="12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  <c r="AA6826" s="3"/>
      <c r="AB6826" s="3"/>
      <c r="AC6826" s="3"/>
      <c r="AD6826" s="3"/>
      <c r="AE6826" s="3"/>
      <c r="AF6826" s="3"/>
      <c r="AG6826" s="3"/>
      <c r="AH6826" s="3"/>
    </row>
    <row r="6827" spans="1:34" ht="14.25" customHeight="1" x14ac:dyDescent="0.25">
      <c r="A6827" s="3"/>
      <c r="B6827" s="3"/>
      <c r="C6827" s="3"/>
      <c r="D6827" s="3"/>
      <c r="E6827" s="3"/>
      <c r="F6827" s="3"/>
      <c r="G6827" s="3"/>
      <c r="H6827" s="11"/>
      <c r="I6827" s="12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  <c r="AA6827" s="3"/>
      <c r="AB6827" s="3"/>
      <c r="AC6827" s="3"/>
      <c r="AD6827" s="3"/>
      <c r="AE6827" s="3"/>
      <c r="AF6827" s="3"/>
      <c r="AG6827" s="3"/>
      <c r="AH6827" s="3"/>
    </row>
    <row r="6828" spans="1:34" ht="14.25" customHeight="1" x14ac:dyDescent="0.25">
      <c r="A6828" s="3"/>
      <c r="B6828" s="3"/>
      <c r="C6828" s="3"/>
      <c r="D6828" s="3"/>
      <c r="E6828" s="3"/>
      <c r="F6828" s="3"/>
      <c r="G6828" s="3"/>
      <c r="H6828" s="11"/>
      <c r="I6828" s="12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  <c r="AA6828" s="3"/>
      <c r="AB6828" s="3"/>
      <c r="AC6828" s="3"/>
      <c r="AD6828" s="3"/>
      <c r="AE6828" s="3"/>
      <c r="AF6828" s="3"/>
      <c r="AG6828" s="3"/>
      <c r="AH6828" s="3"/>
    </row>
    <row r="6829" spans="1:34" ht="14.25" customHeight="1" x14ac:dyDescent="0.25">
      <c r="A6829" s="3"/>
      <c r="B6829" s="3"/>
      <c r="C6829" s="3"/>
      <c r="D6829" s="3"/>
      <c r="E6829" s="3"/>
      <c r="F6829" s="3"/>
      <c r="G6829" s="3"/>
      <c r="H6829" s="11"/>
      <c r="I6829" s="12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  <c r="AA6829" s="3"/>
      <c r="AB6829" s="3"/>
      <c r="AC6829" s="3"/>
      <c r="AD6829" s="3"/>
      <c r="AE6829" s="3"/>
      <c r="AF6829" s="3"/>
      <c r="AG6829" s="3"/>
      <c r="AH6829" s="3"/>
    </row>
    <row r="6830" spans="1:34" ht="14.25" customHeight="1" x14ac:dyDescent="0.25">
      <c r="A6830" s="3"/>
      <c r="B6830" s="3"/>
      <c r="C6830" s="3"/>
      <c r="D6830" s="3"/>
      <c r="E6830" s="3"/>
      <c r="F6830" s="3"/>
      <c r="G6830" s="3"/>
      <c r="H6830" s="11"/>
      <c r="I6830" s="12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  <c r="AA6830" s="3"/>
      <c r="AB6830" s="3"/>
      <c r="AC6830" s="3"/>
      <c r="AD6830" s="3"/>
      <c r="AE6830" s="3"/>
      <c r="AF6830" s="3"/>
      <c r="AG6830" s="3"/>
      <c r="AH6830" s="3"/>
    </row>
    <row r="6831" spans="1:34" ht="14.25" customHeight="1" x14ac:dyDescent="0.25">
      <c r="A6831" s="3"/>
      <c r="B6831" s="3"/>
      <c r="C6831" s="3"/>
      <c r="D6831" s="3"/>
      <c r="E6831" s="3"/>
      <c r="F6831" s="3"/>
      <c r="G6831" s="3"/>
      <c r="H6831" s="11"/>
      <c r="I6831" s="12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  <c r="AA6831" s="3"/>
      <c r="AB6831" s="3"/>
      <c r="AC6831" s="3"/>
      <c r="AD6831" s="3"/>
      <c r="AE6831" s="3"/>
      <c r="AF6831" s="3"/>
      <c r="AG6831" s="3"/>
      <c r="AH6831" s="3"/>
    </row>
    <row r="6832" spans="1:34" ht="14.25" customHeight="1" x14ac:dyDescent="0.25">
      <c r="A6832" s="3"/>
      <c r="B6832" s="3"/>
      <c r="C6832" s="3"/>
      <c r="D6832" s="3"/>
      <c r="E6832" s="3"/>
      <c r="F6832" s="3"/>
      <c r="G6832" s="3"/>
      <c r="H6832" s="11"/>
      <c r="I6832" s="12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  <c r="AA6832" s="3"/>
      <c r="AB6832" s="3"/>
      <c r="AC6832" s="3"/>
      <c r="AD6832" s="3"/>
      <c r="AE6832" s="3"/>
      <c r="AF6832" s="3"/>
      <c r="AG6832" s="3"/>
      <c r="AH6832" s="3"/>
    </row>
    <row r="6833" spans="1:34" ht="14.25" customHeight="1" x14ac:dyDescent="0.25">
      <c r="A6833" s="3"/>
      <c r="B6833" s="3"/>
      <c r="C6833" s="3"/>
      <c r="D6833" s="3"/>
      <c r="E6833" s="3"/>
      <c r="F6833" s="3"/>
      <c r="G6833" s="3"/>
      <c r="H6833" s="11"/>
      <c r="I6833" s="12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  <c r="AA6833" s="3"/>
      <c r="AB6833" s="3"/>
      <c r="AC6833" s="3"/>
      <c r="AD6833" s="3"/>
      <c r="AE6833" s="3"/>
      <c r="AF6833" s="3"/>
      <c r="AG6833" s="3"/>
      <c r="AH6833" s="3"/>
    </row>
    <row r="6834" spans="1:34" ht="14.25" customHeight="1" x14ac:dyDescent="0.25">
      <c r="A6834" s="3"/>
      <c r="B6834" s="3"/>
      <c r="C6834" s="3"/>
      <c r="D6834" s="3"/>
      <c r="E6834" s="3"/>
      <c r="F6834" s="3"/>
      <c r="G6834" s="3"/>
      <c r="H6834" s="11"/>
      <c r="I6834" s="12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  <c r="AA6834" s="3"/>
      <c r="AB6834" s="3"/>
      <c r="AC6834" s="3"/>
      <c r="AD6834" s="3"/>
      <c r="AE6834" s="3"/>
      <c r="AF6834" s="3"/>
      <c r="AG6834" s="3"/>
      <c r="AH6834" s="3"/>
    </row>
    <row r="6835" spans="1:34" ht="14.25" customHeight="1" x14ac:dyDescent="0.25">
      <c r="A6835" s="3"/>
      <c r="B6835" s="3"/>
      <c r="C6835" s="3"/>
      <c r="D6835" s="3"/>
      <c r="E6835" s="3"/>
      <c r="F6835" s="3"/>
      <c r="G6835" s="3"/>
      <c r="H6835" s="11"/>
      <c r="I6835" s="12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  <c r="AA6835" s="3"/>
      <c r="AB6835" s="3"/>
      <c r="AC6835" s="3"/>
      <c r="AD6835" s="3"/>
      <c r="AE6835" s="3"/>
      <c r="AF6835" s="3"/>
      <c r="AG6835" s="3"/>
      <c r="AH6835" s="3"/>
    </row>
    <row r="6836" spans="1:34" ht="14.25" customHeight="1" x14ac:dyDescent="0.25">
      <c r="A6836" s="3"/>
      <c r="B6836" s="3"/>
      <c r="C6836" s="3"/>
      <c r="D6836" s="3"/>
      <c r="E6836" s="3"/>
      <c r="F6836" s="3"/>
      <c r="G6836" s="3"/>
      <c r="H6836" s="11"/>
      <c r="I6836" s="12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  <c r="AA6836" s="3"/>
      <c r="AB6836" s="3"/>
      <c r="AC6836" s="3"/>
      <c r="AD6836" s="3"/>
      <c r="AE6836" s="3"/>
      <c r="AF6836" s="3"/>
      <c r="AG6836" s="3"/>
      <c r="AH6836" s="3"/>
    </row>
    <row r="6837" spans="1:34" ht="14.25" customHeight="1" x14ac:dyDescent="0.25">
      <c r="A6837" s="3"/>
      <c r="B6837" s="3"/>
      <c r="C6837" s="3"/>
      <c r="D6837" s="3"/>
      <c r="E6837" s="3"/>
      <c r="F6837" s="3"/>
      <c r="G6837" s="3"/>
      <c r="H6837" s="11"/>
      <c r="I6837" s="12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  <c r="AA6837" s="3"/>
      <c r="AB6837" s="3"/>
      <c r="AC6837" s="3"/>
      <c r="AD6837" s="3"/>
      <c r="AE6837" s="3"/>
      <c r="AF6837" s="3"/>
      <c r="AG6837" s="3"/>
      <c r="AH6837" s="3"/>
    </row>
    <row r="6838" spans="1:34" ht="14.25" customHeight="1" x14ac:dyDescent="0.25">
      <c r="A6838" s="3"/>
      <c r="B6838" s="3"/>
      <c r="C6838" s="3"/>
      <c r="D6838" s="3"/>
      <c r="E6838" s="3"/>
      <c r="F6838" s="3"/>
      <c r="G6838" s="3"/>
      <c r="H6838" s="11"/>
      <c r="I6838" s="12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  <c r="AA6838" s="3"/>
      <c r="AB6838" s="3"/>
      <c r="AC6838" s="3"/>
      <c r="AD6838" s="3"/>
      <c r="AE6838" s="3"/>
      <c r="AF6838" s="3"/>
      <c r="AG6838" s="3"/>
      <c r="AH6838" s="3"/>
    </row>
    <row r="6839" spans="1:34" ht="14.25" customHeight="1" x14ac:dyDescent="0.25">
      <c r="A6839" s="3"/>
      <c r="B6839" s="3"/>
      <c r="C6839" s="3"/>
      <c r="D6839" s="3"/>
      <c r="E6839" s="3"/>
      <c r="F6839" s="3"/>
      <c r="G6839" s="3"/>
      <c r="H6839" s="11"/>
      <c r="I6839" s="12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  <c r="AA6839" s="3"/>
      <c r="AB6839" s="3"/>
      <c r="AC6839" s="3"/>
      <c r="AD6839" s="3"/>
      <c r="AE6839" s="3"/>
      <c r="AF6839" s="3"/>
      <c r="AG6839" s="3"/>
      <c r="AH6839" s="3"/>
    </row>
    <row r="6840" spans="1:34" ht="14.25" customHeight="1" x14ac:dyDescent="0.25">
      <c r="A6840" s="3"/>
      <c r="B6840" s="3"/>
      <c r="C6840" s="3"/>
      <c r="D6840" s="3"/>
      <c r="E6840" s="3"/>
      <c r="F6840" s="3"/>
      <c r="G6840" s="3"/>
      <c r="H6840" s="11"/>
      <c r="I6840" s="12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  <c r="AA6840" s="3"/>
      <c r="AB6840" s="3"/>
      <c r="AC6840" s="3"/>
      <c r="AD6840" s="3"/>
      <c r="AE6840" s="3"/>
      <c r="AF6840" s="3"/>
      <c r="AG6840" s="3"/>
      <c r="AH6840" s="3"/>
    </row>
    <row r="6841" spans="1:34" ht="14.25" customHeight="1" x14ac:dyDescent="0.25">
      <c r="A6841" s="3"/>
      <c r="B6841" s="3"/>
      <c r="C6841" s="3"/>
      <c r="D6841" s="3"/>
      <c r="E6841" s="3"/>
      <c r="F6841" s="3"/>
      <c r="G6841" s="3"/>
      <c r="H6841" s="11"/>
      <c r="I6841" s="12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  <c r="AA6841" s="3"/>
      <c r="AB6841" s="3"/>
      <c r="AC6841" s="3"/>
      <c r="AD6841" s="3"/>
      <c r="AE6841" s="3"/>
      <c r="AF6841" s="3"/>
      <c r="AG6841" s="3"/>
      <c r="AH6841" s="3"/>
    </row>
    <row r="6842" spans="1:34" ht="14.25" customHeight="1" x14ac:dyDescent="0.25">
      <c r="A6842" s="3"/>
      <c r="B6842" s="3"/>
      <c r="C6842" s="3"/>
      <c r="D6842" s="3"/>
      <c r="E6842" s="3"/>
      <c r="F6842" s="3"/>
      <c r="G6842" s="3"/>
      <c r="H6842" s="11"/>
      <c r="I6842" s="12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  <c r="AA6842" s="3"/>
      <c r="AB6842" s="3"/>
      <c r="AC6842" s="3"/>
      <c r="AD6842" s="3"/>
      <c r="AE6842" s="3"/>
      <c r="AF6842" s="3"/>
      <c r="AG6842" s="3"/>
      <c r="AH6842" s="3"/>
    </row>
    <row r="6843" spans="1:34" ht="14.25" customHeight="1" x14ac:dyDescent="0.25">
      <c r="A6843" s="3"/>
      <c r="B6843" s="3"/>
      <c r="C6843" s="3"/>
      <c r="D6843" s="3"/>
      <c r="E6843" s="3"/>
      <c r="F6843" s="3"/>
      <c r="G6843" s="3"/>
      <c r="H6843" s="11"/>
      <c r="I6843" s="12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  <c r="AA6843" s="3"/>
      <c r="AB6843" s="3"/>
      <c r="AC6843" s="3"/>
      <c r="AD6843" s="3"/>
      <c r="AE6843" s="3"/>
      <c r="AF6843" s="3"/>
      <c r="AG6843" s="3"/>
      <c r="AH6843" s="3"/>
    </row>
    <row r="6844" spans="1:34" ht="14.25" customHeight="1" x14ac:dyDescent="0.25">
      <c r="A6844" s="3"/>
      <c r="B6844" s="3"/>
      <c r="C6844" s="3"/>
      <c r="D6844" s="3"/>
      <c r="E6844" s="3"/>
      <c r="F6844" s="3"/>
      <c r="G6844" s="3"/>
      <c r="H6844" s="11"/>
      <c r="I6844" s="12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  <c r="AA6844" s="3"/>
      <c r="AB6844" s="3"/>
      <c r="AC6844" s="3"/>
      <c r="AD6844" s="3"/>
      <c r="AE6844" s="3"/>
      <c r="AF6844" s="3"/>
      <c r="AG6844" s="3"/>
      <c r="AH6844" s="3"/>
    </row>
    <row r="6845" spans="1:34" ht="14.25" customHeight="1" x14ac:dyDescent="0.25">
      <c r="A6845" s="3"/>
      <c r="B6845" s="3"/>
      <c r="C6845" s="3"/>
      <c r="D6845" s="3"/>
      <c r="E6845" s="3"/>
      <c r="F6845" s="3"/>
      <c r="G6845" s="3"/>
      <c r="H6845" s="11"/>
      <c r="I6845" s="12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  <c r="AA6845" s="3"/>
      <c r="AB6845" s="3"/>
      <c r="AC6845" s="3"/>
      <c r="AD6845" s="3"/>
      <c r="AE6845" s="3"/>
      <c r="AF6845" s="3"/>
      <c r="AG6845" s="3"/>
      <c r="AH6845" s="3"/>
    </row>
    <row r="6846" spans="1:34" ht="14.25" customHeight="1" x14ac:dyDescent="0.25">
      <c r="A6846" s="3"/>
      <c r="B6846" s="3"/>
      <c r="C6846" s="3"/>
      <c r="D6846" s="3"/>
      <c r="E6846" s="3"/>
      <c r="F6846" s="3"/>
      <c r="G6846" s="3"/>
      <c r="H6846" s="11"/>
      <c r="I6846" s="12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  <c r="AA6846" s="3"/>
      <c r="AB6846" s="3"/>
      <c r="AC6846" s="3"/>
      <c r="AD6846" s="3"/>
      <c r="AE6846" s="3"/>
      <c r="AF6846" s="3"/>
      <c r="AG6846" s="3"/>
      <c r="AH6846" s="3"/>
    </row>
    <row r="6847" spans="1:34" ht="14.25" customHeight="1" x14ac:dyDescent="0.25">
      <c r="A6847" s="3"/>
      <c r="B6847" s="3"/>
      <c r="C6847" s="3"/>
      <c r="D6847" s="3"/>
      <c r="E6847" s="3"/>
      <c r="F6847" s="3"/>
      <c r="G6847" s="3"/>
      <c r="H6847" s="11"/>
      <c r="I6847" s="12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  <c r="AA6847" s="3"/>
      <c r="AB6847" s="3"/>
      <c r="AC6847" s="3"/>
      <c r="AD6847" s="3"/>
      <c r="AE6847" s="3"/>
      <c r="AF6847" s="3"/>
      <c r="AG6847" s="3"/>
      <c r="AH6847" s="3"/>
    </row>
    <row r="6848" spans="1:34" ht="14.25" customHeight="1" x14ac:dyDescent="0.25">
      <c r="A6848" s="3"/>
      <c r="B6848" s="3"/>
      <c r="C6848" s="3"/>
      <c r="D6848" s="3"/>
      <c r="E6848" s="3"/>
      <c r="F6848" s="3"/>
      <c r="G6848" s="3"/>
      <c r="H6848" s="11"/>
      <c r="I6848" s="12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  <c r="AA6848" s="3"/>
      <c r="AB6848" s="3"/>
      <c r="AC6848" s="3"/>
      <c r="AD6848" s="3"/>
      <c r="AE6848" s="3"/>
      <c r="AF6848" s="3"/>
      <c r="AG6848" s="3"/>
      <c r="AH6848" s="3"/>
    </row>
    <row r="6849" spans="1:34" ht="14.25" customHeight="1" x14ac:dyDescent="0.25">
      <c r="A6849" s="3"/>
      <c r="B6849" s="3"/>
      <c r="C6849" s="3"/>
      <c r="D6849" s="3"/>
      <c r="E6849" s="3"/>
      <c r="F6849" s="3"/>
      <c r="G6849" s="3"/>
      <c r="H6849" s="11"/>
      <c r="I6849" s="12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  <c r="AA6849" s="3"/>
      <c r="AB6849" s="3"/>
      <c r="AC6849" s="3"/>
      <c r="AD6849" s="3"/>
      <c r="AE6849" s="3"/>
      <c r="AF6849" s="3"/>
      <c r="AG6849" s="3"/>
      <c r="AH6849" s="3"/>
    </row>
    <row r="6850" spans="1:34" ht="14.25" customHeight="1" x14ac:dyDescent="0.25">
      <c r="A6850" s="3"/>
      <c r="B6850" s="3"/>
      <c r="C6850" s="3"/>
      <c r="D6850" s="3"/>
      <c r="E6850" s="3"/>
      <c r="F6850" s="3"/>
      <c r="G6850" s="3"/>
      <c r="H6850" s="11"/>
      <c r="I6850" s="12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  <c r="AA6850" s="3"/>
      <c r="AB6850" s="3"/>
      <c r="AC6850" s="3"/>
      <c r="AD6850" s="3"/>
      <c r="AE6850" s="3"/>
      <c r="AF6850" s="3"/>
      <c r="AG6850" s="3"/>
      <c r="AH6850" s="3"/>
    </row>
    <row r="6851" spans="1:34" ht="14.25" customHeight="1" x14ac:dyDescent="0.25">
      <c r="A6851" s="3"/>
      <c r="B6851" s="3"/>
      <c r="C6851" s="3"/>
      <c r="D6851" s="3"/>
      <c r="E6851" s="3"/>
      <c r="F6851" s="3"/>
      <c r="G6851" s="3"/>
      <c r="H6851" s="11"/>
      <c r="I6851" s="12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  <c r="AA6851" s="3"/>
      <c r="AB6851" s="3"/>
      <c r="AC6851" s="3"/>
      <c r="AD6851" s="3"/>
      <c r="AE6851" s="3"/>
      <c r="AF6851" s="3"/>
      <c r="AG6851" s="3"/>
      <c r="AH6851" s="3"/>
    </row>
    <row r="6852" spans="1:34" ht="14.25" customHeight="1" x14ac:dyDescent="0.25">
      <c r="A6852" s="3"/>
      <c r="B6852" s="3"/>
      <c r="C6852" s="3"/>
      <c r="D6852" s="3"/>
      <c r="E6852" s="3"/>
      <c r="F6852" s="3"/>
      <c r="G6852" s="3"/>
      <c r="H6852" s="11"/>
      <c r="I6852" s="12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  <c r="AA6852" s="3"/>
      <c r="AB6852" s="3"/>
      <c r="AC6852" s="3"/>
      <c r="AD6852" s="3"/>
      <c r="AE6852" s="3"/>
      <c r="AF6852" s="3"/>
      <c r="AG6852" s="3"/>
      <c r="AH6852" s="3"/>
    </row>
    <row r="6853" spans="1:34" ht="14.25" customHeight="1" x14ac:dyDescent="0.25">
      <c r="A6853" s="3"/>
      <c r="B6853" s="3"/>
      <c r="C6853" s="3"/>
      <c r="D6853" s="3"/>
      <c r="E6853" s="3"/>
      <c r="F6853" s="3"/>
      <c r="G6853" s="3"/>
      <c r="H6853" s="11"/>
      <c r="I6853" s="12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  <c r="AA6853" s="3"/>
      <c r="AB6853" s="3"/>
      <c r="AC6853" s="3"/>
      <c r="AD6853" s="3"/>
      <c r="AE6853" s="3"/>
      <c r="AF6853" s="3"/>
      <c r="AG6853" s="3"/>
      <c r="AH6853" s="3"/>
    </row>
    <row r="6854" spans="1:34" ht="14.25" customHeight="1" x14ac:dyDescent="0.25">
      <c r="A6854" s="3"/>
      <c r="B6854" s="3"/>
      <c r="C6854" s="3"/>
      <c r="D6854" s="3"/>
      <c r="E6854" s="3"/>
      <c r="F6854" s="3"/>
      <c r="G6854" s="3"/>
      <c r="H6854" s="11"/>
      <c r="I6854" s="12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  <c r="AA6854" s="3"/>
      <c r="AB6854" s="3"/>
      <c r="AC6854" s="3"/>
      <c r="AD6854" s="3"/>
      <c r="AE6854" s="3"/>
      <c r="AF6854" s="3"/>
      <c r="AG6854" s="3"/>
      <c r="AH6854" s="3"/>
    </row>
    <row r="6855" spans="1:34" ht="14.25" customHeight="1" x14ac:dyDescent="0.25">
      <c r="A6855" s="3"/>
      <c r="B6855" s="3"/>
      <c r="C6855" s="3"/>
      <c r="D6855" s="3"/>
      <c r="E6855" s="3"/>
      <c r="F6855" s="3"/>
      <c r="G6855" s="3"/>
      <c r="H6855" s="11"/>
      <c r="I6855" s="12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  <c r="AA6855" s="3"/>
      <c r="AB6855" s="3"/>
      <c r="AC6855" s="3"/>
      <c r="AD6855" s="3"/>
      <c r="AE6855" s="3"/>
      <c r="AF6855" s="3"/>
      <c r="AG6855" s="3"/>
      <c r="AH6855" s="3"/>
    </row>
    <row r="6856" spans="1:34" ht="14.25" customHeight="1" x14ac:dyDescent="0.25">
      <c r="A6856" s="3"/>
      <c r="B6856" s="3"/>
      <c r="C6856" s="3"/>
      <c r="D6856" s="3"/>
      <c r="E6856" s="3"/>
      <c r="F6856" s="3"/>
      <c r="G6856" s="3"/>
      <c r="H6856" s="11"/>
      <c r="I6856" s="12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  <c r="AA6856" s="3"/>
      <c r="AB6856" s="3"/>
      <c r="AC6856" s="3"/>
      <c r="AD6856" s="3"/>
      <c r="AE6856" s="3"/>
      <c r="AF6856" s="3"/>
      <c r="AG6856" s="3"/>
      <c r="AH6856" s="3"/>
    </row>
    <row r="6857" spans="1:34" ht="14.25" customHeight="1" x14ac:dyDescent="0.25">
      <c r="A6857" s="3"/>
      <c r="B6857" s="3"/>
      <c r="C6857" s="3"/>
      <c r="D6857" s="3"/>
      <c r="E6857" s="3"/>
      <c r="F6857" s="3"/>
      <c r="G6857" s="3"/>
      <c r="H6857" s="11"/>
      <c r="I6857" s="12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  <c r="AA6857" s="3"/>
      <c r="AB6857" s="3"/>
      <c r="AC6857" s="3"/>
      <c r="AD6857" s="3"/>
      <c r="AE6857" s="3"/>
      <c r="AF6857" s="3"/>
      <c r="AG6857" s="3"/>
      <c r="AH6857" s="3"/>
    </row>
    <row r="6858" spans="1:34" ht="14.25" customHeight="1" x14ac:dyDescent="0.25">
      <c r="A6858" s="3"/>
      <c r="B6858" s="3"/>
      <c r="C6858" s="3"/>
      <c r="D6858" s="3"/>
      <c r="E6858" s="3"/>
      <c r="F6858" s="3"/>
      <c r="G6858" s="3"/>
      <c r="H6858" s="11"/>
      <c r="I6858" s="12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  <c r="AA6858" s="3"/>
      <c r="AB6858" s="3"/>
      <c r="AC6858" s="3"/>
      <c r="AD6858" s="3"/>
      <c r="AE6858" s="3"/>
      <c r="AF6858" s="3"/>
      <c r="AG6858" s="3"/>
      <c r="AH6858" s="3"/>
    </row>
    <row r="6859" spans="1:34" ht="14.25" customHeight="1" x14ac:dyDescent="0.25">
      <c r="A6859" s="3"/>
      <c r="B6859" s="3"/>
      <c r="C6859" s="3"/>
      <c r="D6859" s="3"/>
      <c r="E6859" s="3"/>
      <c r="F6859" s="3"/>
      <c r="G6859" s="3"/>
      <c r="H6859" s="11"/>
      <c r="I6859" s="12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  <c r="AA6859" s="3"/>
      <c r="AB6859" s="3"/>
      <c r="AC6859" s="3"/>
      <c r="AD6859" s="3"/>
      <c r="AE6859" s="3"/>
      <c r="AF6859" s="3"/>
      <c r="AG6859" s="3"/>
      <c r="AH6859" s="3"/>
    </row>
    <row r="6860" spans="1:34" ht="14.25" customHeight="1" x14ac:dyDescent="0.25">
      <c r="A6860" s="3"/>
      <c r="B6860" s="3"/>
      <c r="C6860" s="3"/>
      <c r="D6860" s="3"/>
      <c r="E6860" s="3"/>
      <c r="F6860" s="3"/>
      <c r="G6860" s="3"/>
      <c r="H6860" s="11"/>
      <c r="I6860" s="12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  <c r="AA6860" s="3"/>
      <c r="AB6860" s="3"/>
      <c r="AC6860" s="3"/>
      <c r="AD6860" s="3"/>
      <c r="AE6860" s="3"/>
      <c r="AF6860" s="3"/>
      <c r="AG6860" s="3"/>
      <c r="AH6860" s="3"/>
    </row>
    <row r="6861" spans="1:34" ht="14.25" customHeight="1" x14ac:dyDescent="0.25">
      <c r="A6861" s="3"/>
      <c r="B6861" s="3"/>
      <c r="C6861" s="3"/>
      <c r="D6861" s="3"/>
      <c r="E6861" s="3"/>
      <c r="F6861" s="3"/>
      <c r="G6861" s="3"/>
      <c r="H6861" s="11"/>
      <c r="I6861" s="12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  <c r="AA6861" s="3"/>
      <c r="AB6861" s="3"/>
      <c r="AC6861" s="3"/>
      <c r="AD6861" s="3"/>
      <c r="AE6861" s="3"/>
      <c r="AF6861" s="3"/>
      <c r="AG6861" s="3"/>
      <c r="AH6861" s="3"/>
    </row>
    <row r="6862" spans="1:34" ht="14.25" customHeight="1" x14ac:dyDescent="0.25">
      <c r="A6862" s="3"/>
      <c r="B6862" s="3"/>
      <c r="C6862" s="3"/>
      <c r="D6862" s="3"/>
      <c r="E6862" s="3"/>
      <c r="F6862" s="3"/>
      <c r="G6862" s="3"/>
      <c r="H6862" s="11"/>
      <c r="I6862" s="12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  <c r="AA6862" s="3"/>
      <c r="AB6862" s="3"/>
      <c r="AC6862" s="3"/>
      <c r="AD6862" s="3"/>
      <c r="AE6862" s="3"/>
      <c r="AF6862" s="3"/>
      <c r="AG6862" s="3"/>
      <c r="AH6862" s="3"/>
    </row>
    <row r="6863" spans="1:34" ht="14.25" customHeight="1" x14ac:dyDescent="0.25">
      <c r="A6863" s="3"/>
      <c r="B6863" s="3"/>
      <c r="C6863" s="3"/>
      <c r="D6863" s="3"/>
      <c r="E6863" s="3"/>
      <c r="F6863" s="3"/>
      <c r="G6863" s="3"/>
      <c r="H6863" s="11"/>
      <c r="I6863" s="12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  <c r="AA6863" s="3"/>
      <c r="AB6863" s="3"/>
      <c r="AC6863" s="3"/>
      <c r="AD6863" s="3"/>
      <c r="AE6863" s="3"/>
      <c r="AF6863" s="3"/>
      <c r="AG6863" s="3"/>
      <c r="AH6863" s="3"/>
    </row>
    <row r="6864" spans="1:34" ht="14.25" customHeight="1" x14ac:dyDescent="0.25">
      <c r="A6864" s="3"/>
      <c r="B6864" s="3"/>
      <c r="C6864" s="3"/>
      <c r="D6864" s="3"/>
      <c r="E6864" s="3"/>
      <c r="F6864" s="3"/>
      <c r="G6864" s="3"/>
      <c r="H6864" s="11"/>
      <c r="I6864" s="12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  <c r="AA6864" s="3"/>
      <c r="AB6864" s="3"/>
      <c r="AC6864" s="3"/>
      <c r="AD6864" s="3"/>
      <c r="AE6864" s="3"/>
      <c r="AF6864" s="3"/>
      <c r="AG6864" s="3"/>
      <c r="AH6864" s="3"/>
    </row>
    <row r="6865" spans="1:34" ht="14.25" customHeight="1" x14ac:dyDescent="0.25">
      <c r="A6865" s="3"/>
      <c r="B6865" s="3"/>
      <c r="C6865" s="3"/>
      <c r="D6865" s="3"/>
      <c r="E6865" s="3"/>
      <c r="F6865" s="3"/>
      <c r="G6865" s="3"/>
      <c r="H6865" s="11"/>
      <c r="I6865" s="12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  <c r="AA6865" s="3"/>
      <c r="AB6865" s="3"/>
      <c r="AC6865" s="3"/>
      <c r="AD6865" s="3"/>
      <c r="AE6865" s="3"/>
      <c r="AF6865" s="3"/>
      <c r="AG6865" s="3"/>
      <c r="AH6865" s="3"/>
    </row>
    <row r="6866" spans="1:34" ht="14.25" customHeight="1" x14ac:dyDescent="0.25">
      <c r="A6866" s="3"/>
      <c r="B6866" s="3"/>
      <c r="C6866" s="3"/>
      <c r="D6866" s="3"/>
      <c r="E6866" s="3"/>
      <c r="F6866" s="3"/>
      <c r="G6866" s="3"/>
      <c r="H6866" s="11"/>
      <c r="I6866" s="12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  <c r="AA6866" s="3"/>
      <c r="AB6866" s="3"/>
      <c r="AC6866" s="3"/>
      <c r="AD6866" s="3"/>
      <c r="AE6866" s="3"/>
      <c r="AF6866" s="3"/>
      <c r="AG6866" s="3"/>
      <c r="AH6866" s="3"/>
    </row>
    <row r="6867" spans="1:34" ht="14.25" customHeight="1" x14ac:dyDescent="0.25">
      <c r="A6867" s="3"/>
      <c r="B6867" s="3"/>
      <c r="C6867" s="3"/>
      <c r="D6867" s="3"/>
      <c r="E6867" s="3"/>
      <c r="F6867" s="3"/>
      <c r="G6867" s="3"/>
      <c r="H6867" s="11"/>
      <c r="I6867" s="12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  <c r="AA6867" s="3"/>
      <c r="AB6867" s="3"/>
      <c r="AC6867" s="3"/>
      <c r="AD6867" s="3"/>
      <c r="AE6867" s="3"/>
      <c r="AF6867" s="3"/>
      <c r="AG6867" s="3"/>
      <c r="AH6867" s="3"/>
    </row>
    <row r="6868" spans="1:34" ht="14.25" customHeight="1" x14ac:dyDescent="0.25">
      <c r="A6868" s="3"/>
      <c r="B6868" s="3"/>
      <c r="C6868" s="3"/>
      <c r="D6868" s="3"/>
      <c r="E6868" s="3"/>
      <c r="F6868" s="3"/>
      <c r="G6868" s="3"/>
      <c r="H6868" s="11"/>
      <c r="I6868" s="12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  <c r="AA6868" s="3"/>
      <c r="AB6868" s="3"/>
      <c r="AC6868" s="3"/>
      <c r="AD6868" s="3"/>
      <c r="AE6868" s="3"/>
      <c r="AF6868" s="3"/>
      <c r="AG6868" s="3"/>
      <c r="AH6868" s="3"/>
    </row>
    <row r="6869" spans="1:34" ht="14.25" customHeight="1" x14ac:dyDescent="0.25">
      <c r="A6869" s="3"/>
      <c r="B6869" s="3"/>
      <c r="C6869" s="3"/>
      <c r="D6869" s="3"/>
      <c r="E6869" s="3"/>
      <c r="F6869" s="3"/>
      <c r="G6869" s="3"/>
      <c r="H6869" s="11"/>
      <c r="I6869" s="12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  <c r="AA6869" s="3"/>
      <c r="AB6869" s="3"/>
      <c r="AC6869" s="3"/>
      <c r="AD6869" s="3"/>
      <c r="AE6869" s="3"/>
      <c r="AF6869" s="3"/>
      <c r="AG6869" s="3"/>
      <c r="AH6869" s="3"/>
    </row>
    <row r="6870" spans="1:34" ht="14.25" customHeight="1" x14ac:dyDescent="0.25">
      <c r="A6870" s="3"/>
      <c r="B6870" s="3"/>
      <c r="C6870" s="3"/>
      <c r="D6870" s="3"/>
      <c r="E6870" s="3"/>
      <c r="F6870" s="3"/>
      <c r="G6870" s="3"/>
      <c r="H6870" s="11"/>
      <c r="I6870" s="12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  <c r="AA6870" s="3"/>
      <c r="AB6870" s="3"/>
      <c r="AC6870" s="3"/>
      <c r="AD6870" s="3"/>
      <c r="AE6870" s="3"/>
      <c r="AF6870" s="3"/>
      <c r="AG6870" s="3"/>
      <c r="AH6870" s="3"/>
    </row>
    <row r="6871" spans="1:34" ht="14.25" customHeight="1" x14ac:dyDescent="0.25">
      <c r="A6871" s="3"/>
      <c r="B6871" s="3"/>
      <c r="C6871" s="3"/>
      <c r="D6871" s="3"/>
      <c r="E6871" s="3"/>
      <c r="F6871" s="3"/>
      <c r="G6871" s="3"/>
      <c r="H6871" s="11"/>
      <c r="I6871" s="12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  <c r="AA6871" s="3"/>
      <c r="AB6871" s="3"/>
      <c r="AC6871" s="3"/>
      <c r="AD6871" s="3"/>
      <c r="AE6871" s="3"/>
      <c r="AF6871" s="3"/>
      <c r="AG6871" s="3"/>
      <c r="AH6871" s="3"/>
    </row>
    <row r="6872" spans="1:34" ht="14.25" customHeight="1" x14ac:dyDescent="0.25">
      <c r="A6872" s="3"/>
      <c r="B6872" s="3"/>
      <c r="C6872" s="3"/>
      <c r="D6872" s="3"/>
      <c r="E6872" s="3"/>
      <c r="F6872" s="3"/>
      <c r="G6872" s="3"/>
      <c r="H6872" s="11"/>
      <c r="I6872" s="12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  <c r="AA6872" s="3"/>
      <c r="AB6872" s="3"/>
      <c r="AC6872" s="3"/>
      <c r="AD6872" s="3"/>
      <c r="AE6872" s="3"/>
      <c r="AF6872" s="3"/>
      <c r="AG6872" s="3"/>
      <c r="AH6872" s="3"/>
    </row>
    <row r="6873" spans="1:34" ht="14.25" customHeight="1" x14ac:dyDescent="0.25">
      <c r="A6873" s="3"/>
      <c r="B6873" s="3"/>
      <c r="C6873" s="3"/>
      <c r="D6873" s="3"/>
      <c r="E6873" s="3"/>
      <c r="F6873" s="3"/>
      <c r="G6873" s="3"/>
      <c r="H6873" s="11"/>
      <c r="I6873" s="12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  <c r="AA6873" s="3"/>
      <c r="AB6873" s="3"/>
      <c r="AC6873" s="3"/>
      <c r="AD6873" s="3"/>
      <c r="AE6873" s="3"/>
      <c r="AF6873" s="3"/>
      <c r="AG6873" s="3"/>
      <c r="AH6873" s="3"/>
    </row>
    <row r="6874" spans="1:34" ht="14.25" customHeight="1" x14ac:dyDescent="0.25">
      <c r="A6874" s="3"/>
      <c r="B6874" s="3"/>
      <c r="C6874" s="3"/>
      <c r="D6874" s="3"/>
      <c r="E6874" s="3"/>
      <c r="F6874" s="3"/>
      <c r="G6874" s="3"/>
      <c r="H6874" s="11"/>
      <c r="I6874" s="12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  <c r="AA6874" s="3"/>
      <c r="AB6874" s="3"/>
      <c r="AC6874" s="3"/>
      <c r="AD6874" s="3"/>
      <c r="AE6874" s="3"/>
      <c r="AF6874" s="3"/>
      <c r="AG6874" s="3"/>
      <c r="AH6874" s="3"/>
    </row>
    <row r="6875" spans="1:34" ht="14.25" customHeight="1" x14ac:dyDescent="0.25">
      <c r="A6875" s="3"/>
      <c r="B6875" s="3"/>
      <c r="C6875" s="3"/>
      <c r="D6875" s="3"/>
      <c r="E6875" s="3"/>
      <c r="F6875" s="3"/>
      <c r="G6875" s="3"/>
      <c r="H6875" s="11"/>
      <c r="I6875" s="12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  <c r="AA6875" s="3"/>
      <c r="AB6875" s="3"/>
      <c r="AC6875" s="3"/>
      <c r="AD6875" s="3"/>
      <c r="AE6875" s="3"/>
      <c r="AF6875" s="3"/>
      <c r="AG6875" s="3"/>
      <c r="AH6875" s="3"/>
    </row>
    <row r="6876" spans="1:34" ht="14.25" customHeight="1" x14ac:dyDescent="0.25">
      <c r="A6876" s="3"/>
      <c r="B6876" s="3"/>
      <c r="C6876" s="3"/>
      <c r="D6876" s="3"/>
      <c r="E6876" s="3"/>
      <c r="F6876" s="3"/>
      <c r="G6876" s="3"/>
      <c r="H6876" s="11"/>
      <c r="I6876" s="12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  <c r="AA6876" s="3"/>
      <c r="AB6876" s="3"/>
      <c r="AC6876" s="3"/>
      <c r="AD6876" s="3"/>
      <c r="AE6876" s="3"/>
      <c r="AF6876" s="3"/>
      <c r="AG6876" s="3"/>
      <c r="AH6876" s="3"/>
    </row>
    <row r="6877" spans="1:34" ht="14.25" customHeight="1" x14ac:dyDescent="0.25">
      <c r="A6877" s="3"/>
      <c r="B6877" s="3"/>
      <c r="C6877" s="3"/>
      <c r="D6877" s="3"/>
      <c r="E6877" s="3"/>
      <c r="F6877" s="3"/>
      <c r="G6877" s="3"/>
      <c r="H6877" s="11"/>
      <c r="I6877" s="12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  <c r="AA6877" s="3"/>
      <c r="AB6877" s="3"/>
      <c r="AC6877" s="3"/>
      <c r="AD6877" s="3"/>
      <c r="AE6877" s="3"/>
      <c r="AF6877" s="3"/>
      <c r="AG6877" s="3"/>
      <c r="AH6877" s="3"/>
    </row>
    <row r="6878" spans="1:34" ht="14.25" customHeight="1" x14ac:dyDescent="0.25">
      <c r="A6878" s="3"/>
      <c r="B6878" s="3"/>
      <c r="C6878" s="3"/>
      <c r="D6878" s="3"/>
      <c r="E6878" s="3"/>
      <c r="F6878" s="3"/>
      <c r="G6878" s="3"/>
      <c r="H6878" s="11"/>
      <c r="I6878" s="12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  <c r="AA6878" s="3"/>
      <c r="AB6878" s="3"/>
      <c r="AC6878" s="3"/>
      <c r="AD6878" s="3"/>
      <c r="AE6878" s="3"/>
      <c r="AF6878" s="3"/>
      <c r="AG6878" s="3"/>
      <c r="AH6878" s="3"/>
    </row>
    <row r="6879" spans="1:34" ht="14.25" customHeight="1" x14ac:dyDescent="0.25">
      <c r="A6879" s="3"/>
      <c r="B6879" s="3"/>
      <c r="C6879" s="3"/>
      <c r="D6879" s="3"/>
      <c r="E6879" s="3"/>
      <c r="F6879" s="3"/>
      <c r="G6879" s="3"/>
      <c r="H6879" s="11"/>
      <c r="I6879" s="12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  <c r="AA6879" s="3"/>
      <c r="AB6879" s="3"/>
      <c r="AC6879" s="3"/>
      <c r="AD6879" s="3"/>
      <c r="AE6879" s="3"/>
      <c r="AF6879" s="3"/>
      <c r="AG6879" s="3"/>
      <c r="AH6879" s="3"/>
    </row>
    <row r="6880" spans="1:34" ht="14.25" customHeight="1" x14ac:dyDescent="0.25">
      <c r="A6880" s="3"/>
      <c r="B6880" s="3"/>
      <c r="C6880" s="3"/>
      <c r="D6880" s="3"/>
      <c r="E6880" s="3"/>
      <c r="F6880" s="3"/>
      <c r="G6880" s="3"/>
      <c r="H6880" s="11"/>
      <c r="I6880" s="12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  <c r="AA6880" s="3"/>
      <c r="AB6880" s="3"/>
      <c r="AC6880" s="3"/>
      <c r="AD6880" s="3"/>
      <c r="AE6880" s="3"/>
      <c r="AF6880" s="3"/>
      <c r="AG6880" s="3"/>
      <c r="AH6880" s="3"/>
    </row>
    <row r="6881" spans="1:34" ht="14.25" customHeight="1" x14ac:dyDescent="0.25">
      <c r="A6881" s="3"/>
      <c r="B6881" s="3"/>
      <c r="C6881" s="3"/>
      <c r="D6881" s="3"/>
      <c r="E6881" s="3"/>
      <c r="F6881" s="3"/>
      <c r="G6881" s="3"/>
      <c r="H6881" s="11"/>
      <c r="I6881" s="12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  <c r="AA6881" s="3"/>
      <c r="AB6881" s="3"/>
      <c r="AC6881" s="3"/>
      <c r="AD6881" s="3"/>
      <c r="AE6881" s="3"/>
      <c r="AF6881" s="3"/>
      <c r="AG6881" s="3"/>
      <c r="AH6881" s="3"/>
    </row>
    <row r="6882" spans="1:34" ht="14.25" customHeight="1" x14ac:dyDescent="0.25">
      <c r="A6882" s="3"/>
      <c r="B6882" s="3"/>
      <c r="C6882" s="3"/>
      <c r="D6882" s="3"/>
      <c r="E6882" s="3"/>
      <c r="F6882" s="3"/>
      <c r="G6882" s="3"/>
      <c r="H6882" s="11"/>
      <c r="I6882" s="12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  <c r="AA6882" s="3"/>
      <c r="AB6882" s="3"/>
      <c r="AC6882" s="3"/>
      <c r="AD6882" s="3"/>
      <c r="AE6882" s="3"/>
      <c r="AF6882" s="3"/>
      <c r="AG6882" s="3"/>
      <c r="AH6882" s="3"/>
    </row>
    <row r="6883" spans="1:34" ht="14.25" customHeight="1" x14ac:dyDescent="0.25">
      <c r="A6883" s="3"/>
      <c r="B6883" s="3"/>
      <c r="C6883" s="3"/>
      <c r="D6883" s="3"/>
      <c r="E6883" s="3"/>
      <c r="F6883" s="3"/>
      <c r="G6883" s="3"/>
      <c r="H6883" s="11"/>
      <c r="I6883" s="12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  <c r="AA6883" s="3"/>
      <c r="AB6883" s="3"/>
      <c r="AC6883" s="3"/>
      <c r="AD6883" s="3"/>
      <c r="AE6883" s="3"/>
      <c r="AF6883" s="3"/>
      <c r="AG6883" s="3"/>
      <c r="AH6883" s="3"/>
    </row>
    <row r="6884" spans="1:34" ht="14.25" customHeight="1" x14ac:dyDescent="0.25">
      <c r="A6884" s="3"/>
      <c r="B6884" s="3"/>
      <c r="C6884" s="3"/>
      <c r="D6884" s="3"/>
      <c r="E6884" s="3"/>
      <c r="F6884" s="3"/>
      <c r="G6884" s="3"/>
      <c r="H6884" s="11"/>
      <c r="I6884" s="12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  <c r="AA6884" s="3"/>
      <c r="AB6884" s="3"/>
      <c r="AC6884" s="3"/>
      <c r="AD6884" s="3"/>
      <c r="AE6884" s="3"/>
      <c r="AF6884" s="3"/>
      <c r="AG6884" s="3"/>
      <c r="AH6884" s="3"/>
    </row>
    <row r="6885" spans="1:34" ht="14.25" customHeight="1" x14ac:dyDescent="0.25">
      <c r="A6885" s="3"/>
      <c r="B6885" s="3"/>
      <c r="C6885" s="3"/>
      <c r="D6885" s="3"/>
      <c r="E6885" s="3"/>
      <c r="F6885" s="3"/>
      <c r="G6885" s="3"/>
      <c r="H6885" s="11"/>
      <c r="I6885" s="12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  <c r="AA6885" s="3"/>
      <c r="AB6885" s="3"/>
      <c r="AC6885" s="3"/>
      <c r="AD6885" s="3"/>
      <c r="AE6885" s="3"/>
      <c r="AF6885" s="3"/>
      <c r="AG6885" s="3"/>
      <c r="AH6885" s="3"/>
    </row>
    <row r="6886" spans="1:34" ht="14.25" customHeight="1" x14ac:dyDescent="0.25">
      <c r="A6886" s="3"/>
      <c r="B6886" s="3"/>
      <c r="C6886" s="3"/>
      <c r="D6886" s="3"/>
      <c r="E6886" s="3"/>
      <c r="F6886" s="3"/>
      <c r="G6886" s="3"/>
      <c r="H6886" s="11"/>
      <c r="I6886" s="12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  <c r="AA6886" s="3"/>
      <c r="AB6886" s="3"/>
      <c r="AC6886" s="3"/>
      <c r="AD6886" s="3"/>
      <c r="AE6886" s="3"/>
      <c r="AF6886" s="3"/>
      <c r="AG6886" s="3"/>
      <c r="AH6886" s="3"/>
    </row>
    <row r="6887" spans="1:34" ht="14.25" customHeight="1" x14ac:dyDescent="0.25">
      <c r="A6887" s="3"/>
      <c r="B6887" s="3"/>
      <c r="C6887" s="3"/>
      <c r="D6887" s="3"/>
      <c r="E6887" s="3"/>
      <c r="F6887" s="3"/>
      <c r="G6887" s="3"/>
      <c r="H6887" s="11"/>
      <c r="I6887" s="12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  <c r="AA6887" s="3"/>
      <c r="AB6887" s="3"/>
      <c r="AC6887" s="3"/>
      <c r="AD6887" s="3"/>
      <c r="AE6887" s="3"/>
      <c r="AF6887" s="3"/>
      <c r="AG6887" s="3"/>
      <c r="AH6887" s="3"/>
    </row>
    <row r="6888" spans="1:34" ht="14.25" customHeight="1" x14ac:dyDescent="0.25">
      <c r="A6888" s="3"/>
      <c r="B6888" s="3"/>
      <c r="C6888" s="3"/>
      <c r="D6888" s="3"/>
      <c r="E6888" s="3"/>
      <c r="F6888" s="3"/>
      <c r="G6888" s="3"/>
      <c r="H6888" s="11"/>
      <c r="I6888" s="12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  <c r="AA6888" s="3"/>
      <c r="AB6888" s="3"/>
      <c r="AC6888" s="3"/>
      <c r="AD6888" s="3"/>
      <c r="AE6888" s="3"/>
      <c r="AF6888" s="3"/>
      <c r="AG6888" s="3"/>
      <c r="AH6888" s="3"/>
    </row>
    <row r="6889" spans="1:34" ht="14.25" customHeight="1" x14ac:dyDescent="0.25">
      <c r="A6889" s="3"/>
      <c r="B6889" s="3"/>
      <c r="C6889" s="3"/>
      <c r="D6889" s="3"/>
      <c r="E6889" s="3"/>
      <c r="F6889" s="3"/>
      <c r="G6889" s="3"/>
      <c r="H6889" s="11"/>
      <c r="I6889" s="12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  <c r="AA6889" s="3"/>
      <c r="AB6889" s="3"/>
      <c r="AC6889" s="3"/>
      <c r="AD6889" s="3"/>
      <c r="AE6889" s="3"/>
      <c r="AF6889" s="3"/>
      <c r="AG6889" s="3"/>
      <c r="AH6889" s="3"/>
    </row>
    <row r="6890" spans="1:34" ht="14.25" customHeight="1" x14ac:dyDescent="0.25">
      <c r="A6890" s="3"/>
      <c r="B6890" s="3"/>
      <c r="C6890" s="3"/>
      <c r="D6890" s="3"/>
      <c r="E6890" s="3"/>
      <c r="F6890" s="3"/>
      <c r="G6890" s="3"/>
      <c r="H6890" s="11"/>
      <c r="I6890" s="12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  <c r="AA6890" s="3"/>
      <c r="AB6890" s="3"/>
      <c r="AC6890" s="3"/>
      <c r="AD6890" s="3"/>
      <c r="AE6890" s="3"/>
      <c r="AF6890" s="3"/>
      <c r="AG6890" s="3"/>
      <c r="AH6890" s="3"/>
    </row>
    <row r="6891" spans="1:34" ht="14.25" customHeight="1" x14ac:dyDescent="0.25">
      <c r="A6891" s="3"/>
      <c r="B6891" s="3"/>
      <c r="C6891" s="3"/>
      <c r="D6891" s="3"/>
      <c r="E6891" s="3"/>
      <c r="F6891" s="3"/>
      <c r="G6891" s="3"/>
      <c r="H6891" s="11"/>
      <c r="I6891" s="12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  <c r="AA6891" s="3"/>
      <c r="AB6891" s="3"/>
      <c r="AC6891" s="3"/>
      <c r="AD6891" s="3"/>
      <c r="AE6891" s="3"/>
      <c r="AF6891" s="3"/>
      <c r="AG6891" s="3"/>
      <c r="AH6891" s="3"/>
    </row>
    <row r="6892" spans="1:34" ht="14.25" customHeight="1" x14ac:dyDescent="0.25">
      <c r="A6892" s="3"/>
      <c r="B6892" s="3"/>
      <c r="C6892" s="3"/>
      <c r="D6892" s="3"/>
      <c r="E6892" s="3"/>
      <c r="F6892" s="3"/>
      <c r="G6892" s="3"/>
      <c r="H6892" s="11"/>
      <c r="I6892" s="12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  <c r="AA6892" s="3"/>
      <c r="AB6892" s="3"/>
      <c r="AC6892" s="3"/>
      <c r="AD6892" s="3"/>
      <c r="AE6892" s="3"/>
      <c r="AF6892" s="3"/>
      <c r="AG6892" s="3"/>
      <c r="AH6892" s="3"/>
    </row>
    <row r="6893" spans="1:34" ht="14.25" customHeight="1" x14ac:dyDescent="0.25">
      <c r="A6893" s="3"/>
      <c r="B6893" s="3"/>
      <c r="C6893" s="3"/>
      <c r="D6893" s="3"/>
      <c r="E6893" s="3"/>
      <c r="F6893" s="3"/>
      <c r="G6893" s="3"/>
      <c r="H6893" s="11"/>
      <c r="I6893" s="12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  <c r="AA6893" s="3"/>
      <c r="AB6893" s="3"/>
      <c r="AC6893" s="3"/>
      <c r="AD6893" s="3"/>
      <c r="AE6893" s="3"/>
      <c r="AF6893" s="3"/>
      <c r="AG6893" s="3"/>
      <c r="AH6893" s="3"/>
    </row>
    <row r="6894" spans="1:34" ht="14.25" customHeight="1" x14ac:dyDescent="0.25">
      <c r="A6894" s="3"/>
      <c r="B6894" s="3"/>
      <c r="C6894" s="3"/>
      <c r="D6894" s="3"/>
      <c r="E6894" s="3"/>
      <c r="F6894" s="3"/>
      <c r="G6894" s="3"/>
      <c r="H6894" s="11"/>
      <c r="I6894" s="12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  <c r="AA6894" s="3"/>
      <c r="AB6894" s="3"/>
      <c r="AC6894" s="3"/>
      <c r="AD6894" s="3"/>
      <c r="AE6894" s="3"/>
      <c r="AF6894" s="3"/>
      <c r="AG6894" s="3"/>
      <c r="AH6894" s="3"/>
    </row>
    <row r="6895" spans="1:34" ht="14.25" customHeight="1" x14ac:dyDescent="0.25">
      <c r="A6895" s="3"/>
      <c r="B6895" s="3"/>
      <c r="C6895" s="3"/>
      <c r="D6895" s="3"/>
      <c r="E6895" s="3"/>
      <c r="F6895" s="3"/>
      <c r="G6895" s="3"/>
      <c r="H6895" s="11"/>
      <c r="I6895" s="12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  <c r="AA6895" s="3"/>
      <c r="AB6895" s="3"/>
      <c r="AC6895" s="3"/>
      <c r="AD6895" s="3"/>
      <c r="AE6895" s="3"/>
      <c r="AF6895" s="3"/>
      <c r="AG6895" s="3"/>
      <c r="AH6895" s="3"/>
    </row>
    <row r="6896" spans="1:34" ht="14.25" customHeight="1" x14ac:dyDescent="0.25">
      <c r="A6896" s="3"/>
      <c r="B6896" s="3"/>
      <c r="C6896" s="3"/>
      <c r="D6896" s="3"/>
      <c r="E6896" s="3"/>
      <c r="F6896" s="3"/>
      <c r="G6896" s="3"/>
      <c r="H6896" s="11"/>
      <c r="I6896" s="12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  <c r="AA6896" s="3"/>
      <c r="AB6896" s="3"/>
      <c r="AC6896" s="3"/>
      <c r="AD6896" s="3"/>
      <c r="AE6896" s="3"/>
      <c r="AF6896" s="3"/>
      <c r="AG6896" s="3"/>
      <c r="AH6896" s="3"/>
    </row>
    <row r="6897" spans="1:34" ht="14.25" customHeight="1" x14ac:dyDescent="0.25">
      <c r="A6897" s="3"/>
      <c r="B6897" s="3"/>
      <c r="C6897" s="3"/>
      <c r="D6897" s="3"/>
      <c r="E6897" s="3"/>
      <c r="F6897" s="3"/>
      <c r="G6897" s="3"/>
      <c r="H6897" s="11"/>
      <c r="I6897" s="12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  <c r="AA6897" s="3"/>
      <c r="AB6897" s="3"/>
      <c r="AC6897" s="3"/>
      <c r="AD6897" s="3"/>
      <c r="AE6897" s="3"/>
      <c r="AF6897" s="3"/>
      <c r="AG6897" s="3"/>
      <c r="AH6897" s="3"/>
    </row>
    <row r="6898" spans="1:34" ht="14.25" customHeight="1" x14ac:dyDescent="0.25">
      <c r="A6898" s="3"/>
      <c r="B6898" s="3"/>
      <c r="C6898" s="3"/>
      <c r="D6898" s="3"/>
      <c r="E6898" s="3"/>
      <c r="F6898" s="3"/>
      <c r="G6898" s="3"/>
      <c r="H6898" s="11"/>
      <c r="I6898" s="12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  <c r="AA6898" s="3"/>
      <c r="AB6898" s="3"/>
      <c r="AC6898" s="3"/>
      <c r="AD6898" s="3"/>
      <c r="AE6898" s="3"/>
      <c r="AF6898" s="3"/>
      <c r="AG6898" s="3"/>
      <c r="AH6898" s="3"/>
    </row>
    <row r="6899" spans="1:34" ht="14.25" customHeight="1" x14ac:dyDescent="0.25">
      <c r="A6899" s="3"/>
      <c r="B6899" s="3"/>
      <c r="C6899" s="3"/>
      <c r="D6899" s="3"/>
      <c r="E6899" s="3"/>
      <c r="F6899" s="3"/>
      <c r="G6899" s="3"/>
      <c r="H6899" s="11"/>
      <c r="I6899" s="12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  <c r="AA6899" s="3"/>
      <c r="AB6899" s="3"/>
      <c r="AC6899" s="3"/>
      <c r="AD6899" s="3"/>
      <c r="AE6899" s="3"/>
      <c r="AF6899" s="3"/>
      <c r="AG6899" s="3"/>
      <c r="AH6899" s="3"/>
    </row>
    <row r="6900" spans="1:34" ht="14.25" customHeight="1" x14ac:dyDescent="0.25">
      <c r="A6900" s="3"/>
      <c r="B6900" s="3"/>
      <c r="C6900" s="3"/>
      <c r="D6900" s="3"/>
      <c r="E6900" s="3"/>
      <c r="F6900" s="3"/>
      <c r="G6900" s="3"/>
      <c r="H6900" s="11"/>
      <c r="I6900" s="12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  <c r="AA6900" s="3"/>
      <c r="AB6900" s="3"/>
      <c r="AC6900" s="3"/>
      <c r="AD6900" s="3"/>
      <c r="AE6900" s="3"/>
      <c r="AF6900" s="3"/>
      <c r="AG6900" s="3"/>
      <c r="AH6900" s="3"/>
    </row>
    <row r="6901" spans="1:34" ht="14.25" customHeight="1" x14ac:dyDescent="0.25">
      <c r="A6901" s="3"/>
      <c r="B6901" s="3"/>
      <c r="C6901" s="3"/>
      <c r="D6901" s="3"/>
      <c r="E6901" s="3"/>
      <c r="F6901" s="3"/>
      <c r="G6901" s="3"/>
      <c r="H6901" s="11"/>
      <c r="I6901" s="12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  <c r="AA6901" s="3"/>
      <c r="AB6901" s="3"/>
      <c r="AC6901" s="3"/>
      <c r="AD6901" s="3"/>
      <c r="AE6901" s="3"/>
      <c r="AF6901" s="3"/>
      <c r="AG6901" s="3"/>
      <c r="AH6901" s="3"/>
    </row>
    <row r="6902" spans="1:34" ht="14.25" customHeight="1" x14ac:dyDescent="0.25">
      <c r="A6902" s="3"/>
      <c r="B6902" s="3"/>
      <c r="C6902" s="3"/>
      <c r="D6902" s="3"/>
      <c r="E6902" s="3"/>
      <c r="F6902" s="3"/>
      <c r="G6902" s="3"/>
      <c r="H6902" s="11"/>
      <c r="I6902" s="12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  <c r="AA6902" s="3"/>
      <c r="AB6902" s="3"/>
      <c r="AC6902" s="3"/>
      <c r="AD6902" s="3"/>
      <c r="AE6902" s="3"/>
      <c r="AF6902" s="3"/>
      <c r="AG6902" s="3"/>
      <c r="AH6902" s="3"/>
    </row>
    <row r="6903" spans="1:34" ht="14.25" customHeight="1" x14ac:dyDescent="0.25">
      <c r="A6903" s="3"/>
      <c r="B6903" s="3"/>
      <c r="C6903" s="3"/>
      <c r="D6903" s="3"/>
      <c r="E6903" s="3"/>
      <c r="F6903" s="3"/>
      <c r="G6903" s="3"/>
      <c r="H6903" s="11"/>
      <c r="I6903" s="12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  <c r="AA6903" s="3"/>
      <c r="AB6903" s="3"/>
      <c r="AC6903" s="3"/>
      <c r="AD6903" s="3"/>
      <c r="AE6903" s="3"/>
      <c r="AF6903" s="3"/>
      <c r="AG6903" s="3"/>
      <c r="AH6903" s="3"/>
    </row>
    <row r="6904" spans="1:34" ht="14.25" customHeight="1" x14ac:dyDescent="0.25">
      <c r="A6904" s="3"/>
      <c r="B6904" s="3"/>
      <c r="C6904" s="3"/>
      <c r="D6904" s="3"/>
      <c r="E6904" s="3"/>
      <c r="F6904" s="3"/>
      <c r="G6904" s="3"/>
      <c r="H6904" s="11"/>
      <c r="I6904" s="12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  <c r="AA6904" s="3"/>
      <c r="AB6904" s="3"/>
      <c r="AC6904" s="3"/>
      <c r="AD6904" s="3"/>
      <c r="AE6904" s="3"/>
      <c r="AF6904" s="3"/>
      <c r="AG6904" s="3"/>
      <c r="AH6904" s="3"/>
    </row>
    <row r="6905" spans="1:34" ht="14.25" customHeight="1" x14ac:dyDescent="0.25">
      <c r="A6905" s="3"/>
      <c r="B6905" s="3"/>
      <c r="C6905" s="3"/>
      <c r="D6905" s="3"/>
      <c r="E6905" s="3"/>
      <c r="F6905" s="3"/>
      <c r="G6905" s="3"/>
      <c r="H6905" s="11"/>
      <c r="I6905" s="12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  <c r="AA6905" s="3"/>
      <c r="AB6905" s="3"/>
      <c r="AC6905" s="3"/>
      <c r="AD6905" s="3"/>
      <c r="AE6905" s="3"/>
      <c r="AF6905" s="3"/>
      <c r="AG6905" s="3"/>
      <c r="AH6905" s="3"/>
    </row>
    <row r="6906" spans="1:34" ht="14.25" customHeight="1" x14ac:dyDescent="0.25">
      <c r="A6906" s="3"/>
      <c r="B6906" s="3"/>
      <c r="C6906" s="3"/>
      <c r="D6906" s="3"/>
      <c r="E6906" s="3"/>
      <c r="F6906" s="3"/>
      <c r="G6906" s="3"/>
      <c r="H6906" s="11"/>
      <c r="I6906" s="12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  <c r="AA6906" s="3"/>
      <c r="AB6906" s="3"/>
      <c r="AC6906" s="3"/>
      <c r="AD6906" s="3"/>
      <c r="AE6906" s="3"/>
      <c r="AF6906" s="3"/>
      <c r="AG6906" s="3"/>
      <c r="AH6906" s="3"/>
    </row>
    <row r="6907" spans="1:34" ht="14.25" customHeight="1" x14ac:dyDescent="0.25">
      <c r="A6907" s="3"/>
      <c r="B6907" s="3"/>
      <c r="C6907" s="3"/>
      <c r="D6907" s="3"/>
      <c r="E6907" s="3"/>
      <c r="F6907" s="3"/>
      <c r="G6907" s="3"/>
      <c r="H6907" s="11"/>
      <c r="I6907" s="12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  <c r="AA6907" s="3"/>
      <c r="AB6907" s="3"/>
      <c r="AC6907" s="3"/>
      <c r="AD6907" s="3"/>
      <c r="AE6907" s="3"/>
      <c r="AF6907" s="3"/>
      <c r="AG6907" s="3"/>
      <c r="AH6907" s="3"/>
    </row>
    <row r="6908" spans="1:34" ht="14.25" customHeight="1" x14ac:dyDescent="0.25">
      <c r="A6908" s="3"/>
      <c r="B6908" s="3"/>
      <c r="C6908" s="3"/>
      <c r="D6908" s="3"/>
      <c r="E6908" s="3"/>
      <c r="F6908" s="3"/>
      <c r="G6908" s="3"/>
      <c r="H6908" s="11"/>
      <c r="I6908" s="12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  <c r="AA6908" s="3"/>
      <c r="AB6908" s="3"/>
      <c r="AC6908" s="3"/>
      <c r="AD6908" s="3"/>
      <c r="AE6908" s="3"/>
      <c r="AF6908" s="3"/>
      <c r="AG6908" s="3"/>
      <c r="AH6908" s="3"/>
    </row>
    <row r="6909" spans="1:34" ht="14.25" customHeight="1" x14ac:dyDescent="0.25">
      <c r="A6909" s="3"/>
      <c r="B6909" s="3"/>
      <c r="C6909" s="3"/>
      <c r="D6909" s="3"/>
      <c r="E6909" s="3"/>
      <c r="F6909" s="3"/>
      <c r="G6909" s="3"/>
      <c r="H6909" s="11"/>
      <c r="I6909" s="12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  <c r="AA6909" s="3"/>
      <c r="AB6909" s="3"/>
      <c r="AC6909" s="3"/>
      <c r="AD6909" s="3"/>
      <c r="AE6909" s="3"/>
      <c r="AF6909" s="3"/>
      <c r="AG6909" s="3"/>
      <c r="AH6909" s="3"/>
    </row>
    <row r="6910" spans="1:34" ht="14.25" customHeight="1" x14ac:dyDescent="0.25">
      <c r="A6910" s="3"/>
      <c r="B6910" s="3"/>
      <c r="C6910" s="3"/>
      <c r="D6910" s="3"/>
      <c r="E6910" s="3"/>
      <c r="F6910" s="3"/>
      <c r="G6910" s="3"/>
      <c r="H6910" s="11"/>
      <c r="I6910" s="12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  <c r="AA6910" s="3"/>
      <c r="AB6910" s="3"/>
      <c r="AC6910" s="3"/>
      <c r="AD6910" s="3"/>
      <c r="AE6910" s="3"/>
      <c r="AF6910" s="3"/>
      <c r="AG6910" s="3"/>
      <c r="AH6910" s="3"/>
    </row>
    <row r="6911" spans="1:34" ht="14.25" customHeight="1" x14ac:dyDescent="0.25">
      <c r="A6911" s="3"/>
      <c r="B6911" s="3"/>
      <c r="C6911" s="3"/>
      <c r="D6911" s="3"/>
      <c r="E6911" s="3"/>
      <c r="F6911" s="3"/>
      <c r="G6911" s="3"/>
      <c r="H6911" s="11"/>
      <c r="I6911" s="12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  <c r="AA6911" s="3"/>
      <c r="AB6911" s="3"/>
      <c r="AC6911" s="3"/>
      <c r="AD6911" s="3"/>
      <c r="AE6911" s="3"/>
      <c r="AF6911" s="3"/>
      <c r="AG6911" s="3"/>
      <c r="AH6911" s="3"/>
    </row>
    <row r="6912" spans="1:34" ht="14.25" customHeight="1" x14ac:dyDescent="0.25">
      <c r="A6912" s="3"/>
      <c r="B6912" s="3"/>
      <c r="C6912" s="3"/>
      <c r="D6912" s="3"/>
      <c r="E6912" s="3"/>
      <c r="F6912" s="3"/>
      <c r="G6912" s="3"/>
      <c r="H6912" s="11"/>
      <c r="I6912" s="12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  <c r="AA6912" s="3"/>
      <c r="AB6912" s="3"/>
      <c r="AC6912" s="3"/>
      <c r="AD6912" s="3"/>
      <c r="AE6912" s="3"/>
      <c r="AF6912" s="3"/>
      <c r="AG6912" s="3"/>
      <c r="AH6912" s="3"/>
    </row>
    <row r="6913" spans="1:34" ht="14.25" customHeight="1" x14ac:dyDescent="0.25">
      <c r="A6913" s="3"/>
      <c r="B6913" s="3"/>
      <c r="C6913" s="3"/>
      <c r="D6913" s="3"/>
      <c r="E6913" s="3"/>
      <c r="F6913" s="3"/>
      <c r="G6913" s="3"/>
      <c r="H6913" s="11"/>
      <c r="I6913" s="12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  <c r="AA6913" s="3"/>
      <c r="AB6913" s="3"/>
      <c r="AC6913" s="3"/>
      <c r="AD6913" s="3"/>
      <c r="AE6913" s="3"/>
      <c r="AF6913" s="3"/>
      <c r="AG6913" s="3"/>
      <c r="AH6913" s="3"/>
    </row>
    <row r="6914" spans="1:34" ht="14.25" customHeight="1" x14ac:dyDescent="0.25">
      <c r="A6914" s="3"/>
      <c r="B6914" s="3"/>
      <c r="C6914" s="3"/>
      <c r="D6914" s="3"/>
      <c r="E6914" s="3"/>
      <c r="F6914" s="3"/>
      <c r="G6914" s="3"/>
      <c r="H6914" s="11"/>
      <c r="I6914" s="12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  <c r="AA6914" s="3"/>
      <c r="AB6914" s="3"/>
      <c r="AC6914" s="3"/>
      <c r="AD6914" s="3"/>
      <c r="AE6914" s="3"/>
      <c r="AF6914" s="3"/>
      <c r="AG6914" s="3"/>
      <c r="AH6914" s="3"/>
    </row>
    <row r="6915" spans="1:34" ht="14.25" customHeight="1" x14ac:dyDescent="0.25">
      <c r="A6915" s="3"/>
      <c r="B6915" s="3"/>
      <c r="C6915" s="3"/>
      <c r="D6915" s="3"/>
      <c r="E6915" s="3"/>
      <c r="F6915" s="3"/>
      <c r="G6915" s="3"/>
      <c r="H6915" s="11"/>
      <c r="I6915" s="12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  <c r="AA6915" s="3"/>
      <c r="AB6915" s="3"/>
      <c r="AC6915" s="3"/>
      <c r="AD6915" s="3"/>
      <c r="AE6915" s="3"/>
      <c r="AF6915" s="3"/>
      <c r="AG6915" s="3"/>
      <c r="AH6915" s="3"/>
    </row>
    <row r="6916" spans="1:34" ht="14.25" customHeight="1" x14ac:dyDescent="0.25">
      <c r="A6916" s="3"/>
      <c r="B6916" s="3"/>
      <c r="C6916" s="3"/>
      <c r="D6916" s="3"/>
      <c r="E6916" s="3"/>
      <c r="F6916" s="3"/>
      <c r="G6916" s="3"/>
      <c r="H6916" s="11"/>
      <c r="I6916" s="12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  <c r="AA6916" s="3"/>
      <c r="AB6916" s="3"/>
      <c r="AC6916" s="3"/>
      <c r="AD6916" s="3"/>
      <c r="AE6916" s="3"/>
      <c r="AF6916" s="3"/>
      <c r="AG6916" s="3"/>
      <c r="AH6916" s="3"/>
    </row>
    <row r="6917" spans="1:34" ht="14.25" customHeight="1" x14ac:dyDescent="0.25">
      <c r="A6917" s="3"/>
      <c r="B6917" s="3"/>
      <c r="C6917" s="3"/>
      <c r="D6917" s="3"/>
      <c r="E6917" s="3"/>
      <c r="F6917" s="3"/>
      <c r="G6917" s="3"/>
      <c r="H6917" s="11"/>
      <c r="I6917" s="12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  <c r="AA6917" s="3"/>
      <c r="AB6917" s="3"/>
      <c r="AC6917" s="3"/>
      <c r="AD6917" s="3"/>
      <c r="AE6917" s="3"/>
      <c r="AF6917" s="3"/>
      <c r="AG6917" s="3"/>
      <c r="AH6917" s="3"/>
    </row>
    <row r="6918" spans="1:34" ht="14.25" customHeight="1" x14ac:dyDescent="0.25">
      <c r="A6918" s="3"/>
      <c r="B6918" s="3"/>
      <c r="C6918" s="3"/>
      <c r="D6918" s="3"/>
      <c r="E6918" s="3"/>
      <c r="F6918" s="3"/>
      <c r="G6918" s="3"/>
      <c r="H6918" s="11"/>
      <c r="I6918" s="12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  <c r="AA6918" s="3"/>
      <c r="AB6918" s="3"/>
      <c r="AC6918" s="3"/>
      <c r="AD6918" s="3"/>
      <c r="AE6918" s="3"/>
      <c r="AF6918" s="3"/>
      <c r="AG6918" s="3"/>
      <c r="AH6918" s="3"/>
    </row>
    <row r="6919" spans="1:34" ht="14.25" customHeight="1" x14ac:dyDescent="0.25">
      <c r="A6919" s="3"/>
      <c r="B6919" s="3"/>
      <c r="C6919" s="3"/>
      <c r="D6919" s="3"/>
      <c r="E6919" s="3"/>
      <c r="F6919" s="3"/>
      <c r="G6919" s="3"/>
      <c r="H6919" s="11"/>
      <c r="I6919" s="12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  <c r="AA6919" s="3"/>
      <c r="AB6919" s="3"/>
      <c r="AC6919" s="3"/>
      <c r="AD6919" s="3"/>
      <c r="AE6919" s="3"/>
      <c r="AF6919" s="3"/>
      <c r="AG6919" s="3"/>
      <c r="AH6919" s="3"/>
    </row>
    <row r="6920" spans="1:34" ht="14.25" customHeight="1" x14ac:dyDescent="0.25">
      <c r="A6920" s="3"/>
      <c r="B6920" s="3"/>
      <c r="C6920" s="3"/>
      <c r="D6920" s="3"/>
      <c r="E6920" s="3"/>
      <c r="F6920" s="3"/>
      <c r="G6920" s="3"/>
      <c r="H6920" s="11"/>
      <c r="I6920" s="12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  <c r="AA6920" s="3"/>
      <c r="AB6920" s="3"/>
      <c r="AC6920" s="3"/>
      <c r="AD6920" s="3"/>
      <c r="AE6920" s="3"/>
      <c r="AF6920" s="3"/>
      <c r="AG6920" s="3"/>
      <c r="AH6920" s="3"/>
    </row>
    <row r="6921" spans="1:34" ht="14.25" customHeight="1" x14ac:dyDescent="0.25">
      <c r="A6921" s="3"/>
      <c r="B6921" s="3"/>
      <c r="C6921" s="3"/>
      <c r="D6921" s="3"/>
      <c r="E6921" s="3"/>
      <c r="F6921" s="3"/>
      <c r="G6921" s="3"/>
      <c r="H6921" s="11"/>
      <c r="I6921" s="12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  <c r="AA6921" s="3"/>
      <c r="AB6921" s="3"/>
      <c r="AC6921" s="3"/>
      <c r="AD6921" s="3"/>
      <c r="AE6921" s="3"/>
      <c r="AF6921" s="3"/>
      <c r="AG6921" s="3"/>
      <c r="AH6921" s="3"/>
    </row>
    <row r="6922" spans="1:34" ht="14.25" customHeight="1" x14ac:dyDescent="0.25">
      <c r="A6922" s="3"/>
      <c r="B6922" s="3"/>
      <c r="C6922" s="3"/>
      <c r="D6922" s="3"/>
      <c r="E6922" s="3"/>
      <c r="F6922" s="3"/>
      <c r="G6922" s="3"/>
      <c r="H6922" s="11"/>
      <c r="I6922" s="12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  <c r="AA6922" s="3"/>
      <c r="AB6922" s="3"/>
      <c r="AC6922" s="3"/>
      <c r="AD6922" s="3"/>
      <c r="AE6922" s="3"/>
      <c r="AF6922" s="3"/>
      <c r="AG6922" s="3"/>
      <c r="AH6922" s="3"/>
    </row>
    <row r="6923" spans="1:34" ht="14.25" customHeight="1" x14ac:dyDescent="0.25">
      <c r="A6923" s="3"/>
      <c r="B6923" s="3"/>
      <c r="C6923" s="3"/>
      <c r="D6923" s="3"/>
      <c r="E6923" s="3"/>
      <c r="F6923" s="3"/>
      <c r="G6923" s="3"/>
      <c r="H6923" s="11"/>
      <c r="I6923" s="12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  <c r="AA6923" s="3"/>
      <c r="AB6923" s="3"/>
      <c r="AC6923" s="3"/>
      <c r="AD6923" s="3"/>
      <c r="AE6923" s="3"/>
      <c r="AF6923" s="3"/>
      <c r="AG6923" s="3"/>
      <c r="AH6923" s="3"/>
    </row>
    <row r="6924" spans="1:34" ht="14.25" customHeight="1" x14ac:dyDescent="0.25">
      <c r="A6924" s="3"/>
      <c r="B6924" s="3"/>
      <c r="C6924" s="3"/>
      <c r="D6924" s="3"/>
      <c r="E6924" s="3"/>
      <c r="F6924" s="3"/>
      <c r="G6924" s="3"/>
      <c r="H6924" s="11"/>
      <c r="I6924" s="12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  <c r="AA6924" s="3"/>
      <c r="AB6924" s="3"/>
      <c r="AC6924" s="3"/>
      <c r="AD6924" s="3"/>
      <c r="AE6924" s="3"/>
      <c r="AF6924" s="3"/>
      <c r="AG6924" s="3"/>
      <c r="AH6924" s="3"/>
    </row>
    <row r="6925" spans="1:34" ht="14.25" customHeight="1" x14ac:dyDescent="0.25">
      <c r="A6925" s="3"/>
      <c r="B6925" s="3"/>
      <c r="C6925" s="3"/>
      <c r="D6925" s="3"/>
      <c r="E6925" s="3"/>
      <c r="F6925" s="3"/>
      <c r="G6925" s="3"/>
      <c r="H6925" s="11"/>
      <c r="I6925" s="12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  <c r="AA6925" s="3"/>
      <c r="AB6925" s="3"/>
      <c r="AC6925" s="3"/>
      <c r="AD6925" s="3"/>
      <c r="AE6925" s="3"/>
      <c r="AF6925" s="3"/>
      <c r="AG6925" s="3"/>
      <c r="AH6925" s="3"/>
    </row>
    <row r="6926" spans="1:34" ht="14.25" customHeight="1" x14ac:dyDescent="0.25">
      <c r="A6926" s="3"/>
      <c r="B6926" s="3"/>
      <c r="C6926" s="3"/>
      <c r="D6926" s="3"/>
      <c r="E6926" s="3"/>
      <c r="F6926" s="3"/>
      <c r="G6926" s="3"/>
      <c r="H6926" s="11"/>
      <c r="I6926" s="12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  <c r="AA6926" s="3"/>
      <c r="AB6926" s="3"/>
      <c r="AC6926" s="3"/>
      <c r="AD6926" s="3"/>
      <c r="AE6926" s="3"/>
      <c r="AF6926" s="3"/>
      <c r="AG6926" s="3"/>
      <c r="AH6926" s="3"/>
    </row>
    <row r="6927" spans="1:34" ht="14.25" customHeight="1" x14ac:dyDescent="0.25">
      <c r="A6927" s="3"/>
      <c r="B6927" s="3"/>
      <c r="C6927" s="3"/>
      <c r="D6927" s="3"/>
      <c r="E6927" s="3"/>
      <c r="F6927" s="3"/>
      <c r="G6927" s="3"/>
      <c r="H6927" s="11"/>
      <c r="I6927" s="12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  <c r="AA6927" s="3"/>
      <c r="AB6927" s="3"/>
      <c r="AC6927" s="3"/>
      <c r="AD6927" s="3"/>
      <c r="AE6927" s="3"/>
      <c r="AF6927" s="3"/>
      <c r="AG6927" s="3"/>
      <c r="AH6927" s="3"/>
    </row>
    <row r="6928" spans="1:34" ht="14.25" customHeight="1" x14ac:dyDescent="0.25">
      <c r="A6928" s="3"/>
      <c r="B6928" s="3"/>
      <c r="C6928" s="3"/>
      <c r="D6928" s="3"/>
      <c r="E6928" s="3"/>
      <c r="F6928" s="3"/>
      <c r="G6928" s="3"/>
      <c r="H6928" s="11"/>
      <c r="I6928" s="12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  <c r="AA6928" s="3"/>
      <c r="AB6928" s="3"/>
      <c r="AC6928" s="3"/>
      <c r="AD6928" s="3"/>
      <c r="AE6928" s="3"/>
      <c r="AF6928" s="3"/>
      <c r="AG6928" s="3"/>
      <c r="AH6928" s="3"/>
    </row>
    <row r="6929" spans="1:34" ht="14.25" customHeight="1" x14ac:dyDescent="0.25">
      <c r="A6929" s="3"/>
      <c r="B6929" s="3"/>
      <c r="C6929" s="3"/>
      <c r="D6929" s="3"/>
      <c r="E6929" s="3"/>
      <c r="F6929" s="3"/>
      <c r="G6929" s="3"/>
      <c r="H6929" s="11"/>
      <c r="I6929" s="12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  <c r="AA6929" s="3"/>
      <c r="AB6929" s="3"/>
      <c r="AC6929" s="3"/>
      <c r="AD6929" s="3"/>
      <c r="AE6929" s="3"/>
      <c r="AF6929" s="3"/>
      <c r="AG6929" s="3"/>
      <c r="AH6929" s="3"/>
    </row>
    <row r="6930" spans="1:34" ht="14.25" customHeight="1" x14ac:dyDescent="0.25">
      <c r="A6930" s="3"/>
      <c r="B6930" s="3"/>
      <c r="C6930" s="3"/>
      <c r="D6930" s="3"/>
      <c r="E6930" s="3"/>
      <c r="F6930" s="3"/>
      <c r="G6930" s="3"/>
      <c r="H6930" s="11"/>
      <c r="I6930" s="12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  <c r="AA6930" s="3"/>
      <c r="AB6930" s="3"/>
      <c r="AC6930" s="3"/>
      <c r="AD6930" s="3"/>
      <c r="AE6930" s="3"/>
      <c r="AF6930" s="3"/>
      <c r="AG6930" s="3"/>
      <c r="AH6930" s="3"/>
    </row>
    <row r="6931" spans="1:34" ht="14.25" customHeight="1" x14ac:dyDescent="0.25">
      <c r="A6931" s="3"/>
      <c r="B6931" s="3"/>
      <c r="C6931" s="3"/>
      <c r="D6931" s="3"/>
      <c r="E6931" s="3"/>
      <c r="F6931" s="3"/>
      <c r="G6931" s="3"/>
      <c r="H6931" s="11"/>
      <c r="I6931" s="12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  <c r="AA6931" s="3"/>
      <c r="AB6931" s="3"/>
      <c r="AC6931" s="3"/>
      <c r="AD6931" s="3"/>
      <c r="AE6931" s="3"/>
      <c r="AF6931" s="3"/>
      <c r="AG6931" s="3"/>
      <c r="AH6931" s="3"/>
    </row>
    <row r="6932" spans="1:34" ht="14.25" customHeight="1" x14ac:dyDescent="0.25">
      <c r="A6932" s="3"/>
      <c r="B6932" s="3"/>
      <c r="C6932" s="3"/>
      <c r="D6932" s="3"/>
      <c r="E6932" s="3"/>
      <c r="F6932" s="3"/>
      <c r="G6932" s="3"/>
      <c r="H6932" s="11"/>
      <c r="I6932" s="12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  <c r="AA6932" s="3"/>
      <c r="AB6932" s="3"/>
      <c r="AC6932" s="3"/>
      <c r="AD6932" s="3"/>
      <c r="AE6932" s="3"/>
      <c r="AF6932" s="3"/>
      <c r="AG6932" s="3"/>
      <c r="AH6932" s="3"/>
    </row>
    <row r="6933" spans="1:34" ht="14.25" customHeight="1" x14ac:dyDescent="0.25">
      <c r="A6933" s="3"/>
      <c r="B6933" s="3"/>
      <c r="C6933" s="3"/>
      <c r="D6933" s="3"/>
      <c r="E6933" s="3"/>
      <c r="F6933" s="3"/>
      <c r="G6933" s="3"/>
      <c r="H6933" s="11"/>
      <c r="I6933" s="12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  <c r="AA6933" s="3"/>
      <c r="AB6933" s="3"/>
      <c r="AC6933" s="3"/>
      <c r="AD6933" s="3"/>
      <c r="AE6933" s="3"/>
      <c r="AF6933" s="3"/>
      <c r="AG6933" s="3"/>
      <c r="AH6933" s="3"/>
    </row>
    <row r="6934" spans="1:34" ht="14.25" customHeight="1" x14ac:dyDescent="0.25">
      <c r="A6934" s="3"/>
      <c r="B6934" s="3"/>
      <c r="C6934" s="3"/>
      <c r="D6934" s="3"/>
      <c r="E6934" s="3"/>
      <c r="F6934" s="3"/>
      <c r="G6934" s="3"/>
      <c r="H6934" s="11"/>
      <c r="I6934" s="12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  <c r="AA6934" s="3"/>
      <c r="AB6934" s="3"/>
      <c r="AC6934" s="3"/>
      <c r="AD6934" s="3"/>
      <c r="AE6934" s="3"/>
      <c r="AF6934" s="3"/>
      <c r="AG6934" s="3"/>
      <c r="AH6934" s="3"/>
    </row>
    <row r="6935" spans="1:34" ht="14.25" customHeight="1" x14ac:dyDescent="0.25">
      <c r="A6935" s="3"/>
      <c r="B6935" s="3"/>
      <c r="C6935" s="3"/>
      <c r="D6935" s="3"/>
      <c r="E6935" s="3"/>
      <c r="F6935" s="3"/>
      <c r="G6935" s="3"/>
      <c r="H6935" s="11"/>
      <c r="I6935" s="12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  <c r="AA6935" s="3"/>
      <c r="AB6935" s="3"/>
      <c r="AC6935" s="3"/>
      <c r="AD6935" s="3"/>
      <c r="AE6935" s="3"/>
      <c r="AF6935" s="3"/>
      <c r="AG6935" s="3"/>
      <c r="AH6935" s="3"/>
    </row>
    <row r="6936" spans="1:34" ht="14.25" customHeight="1" x14ac:dyDescent="0.25">
      <c r="A6936" s="3"/>
      <c r="B6936" s="3"/>
      <c r="C6936" s="3"/>
      <c r="D6936" s="3"/>
      <c r="E6936" s="3"/>
      <c r="F6936" s="3"/>
      <c r="G6936" s="3"/>
      <c r="H6936" s="11"/>
      <c r="I6936" s="12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  <c r="AA6936" s="3"/>
      <c r="AB6936" s="3"/>
      <c r="AC6936" s="3"/>
      <c r="AD6936" s="3"/>
      <c r="AE6936" s="3"/>
      <c r="AF6936" s="3"/>
      <c r="AG6936" s="3"/>
      <c r="AH6936" s="3"/>
    </row>
    <row r="6937" spans="1:34" ht="14.25" customHeight="1" x14ac:dyDescent="0.25">
      <c r="A6937" s="3"/>
      <c r="B6937" s="3"/>
      <c r="C6937" s="3"/>
      <c r="D6937" s="3"/>
      <c r="E6937" s="3"/>
      <c r="F6937" s="3"/>
      <c r="G6937" s="3"/>
      <c r="H6937" s="11"/>
      <c r="I6937" s="12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  <c r="AA6937" s="3"/>
      <c r="AB6937" s="3"/>
      <c r="AC6937" s="3"/>
      <c r="AD6937" s="3"/>
      <c r="AE6937" s="3"/>
      <c r="AF6937" s="3"/>
      <c r="AG6937" s="3"/>
      <c r="AH6937" s="3"/>
    </row>
    <row r="6938" spans="1:34" ht="14.25" customHeight="1" x14ac:dyDescent="0.25">
      <c r="A6938" s="3"/>
      <c r="B6938" s="3"/>
      <c r="C6938" s="3"/>
      <c r="D6938" s="3"/>
      <c r="E6938" s="3"/>
      <c r="F6938" s="3"/>
      <c r="G6938" s="3"/>
      <c r="H6938" s="11"/>
      <c r="I6938" s="12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  <c r="AA6938" s="3"/>
      <c r="AB6938" s="3"/>
      <c r="AC6938" s="3"/>
      <c r="AD6938" s="3"/>
      <c r="AE6938" s="3"/>
      <c r="AF6938" s="3"/>
      <c r="AG6938" s="3"/>
      <c r="AH6938" s="3"/>
    </row>
    <row r="6939" spans="1:34" ht="14.25" customHeight="1" x14ac:dyDescent="0.25">
      <c r="A6939" s="3"/>
      <c r="B6939" s="3"/>
      <c r="C6939" s="3"/>
      <c r="D6939" s="3"/>
      <c r="E6939" s="3"/>
      <c r="F6939" s="3"/>
      <c r="G6939" s="3"/>
      <c r="H6939" s="11"/>
      <c r="I6939" s="12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  <c r="AA6939" s="3"/>
      <c r="AB6939" s="3"/>
      <c r="AC6939" s="3"/>
      <c r="AD6939" s="3"/>
      <c r="AE6939" s="3"/>
      <c r="AF6939" s="3"/>
      <c r="AG6939" s="3"/>
      <c r="AH6939" s="3"/>
    </row>
    <row r="6940" spans="1:34" ht="14.25" customHeight="1" x14ac:dyDescent="0.25">
      <c r="A6940" s="3"/>
      <c r="B6940" s="3"/>
      <c r="C6940" s="3"/>
      <c r="D6940" s="3"/>
      <c r="E6940" s="3"/>
      <c r="F6940" s="3"/>
      <c r="G6940" s="3"/>
      <c r="H6940" s="11"/>
      <c r="I6940" s="12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  <c r="AA6940" s="3"/>
      <c r="AB6940" s="3"/>
      <c r="AC6940" s="3"/>
      <c r="AD6940" s="3"/>
      <c r="AE6940" s="3"/>
      <c r="AF6940" s="3"/>
      <c r="AG6940" s="3"/>
      <c r="AH6940" s="3"/>
    </row>
    <row r="6941" spans="1:34" ht="14.25" customHeight="1" x14ac:dyDescent="0.25">
      <c r="A6941" s="3"/>
      <c r="B6941" s="3"/>
      <c r="C6941" s="3"/>
      <c r="D6941" s="3"/>
      <c r="E6941" s="3"/>
      <c r="F6941" s="3"/>
      <c r="G6941" s="3"/>
      <c r="H6941" s="11"/>
      <c r="I6941" s="12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  <c r="AA6941" s="3"/>
      <c r="AB6941" s="3"/>
      <c r="AC6941" s="3"/>
      <c r="AD6941" s="3"/>
      <c r="AE6941" s="3"/>
      <c r="AF6941" s="3"/>
      <c r="AG6941" s="3"/>
      <c r="AH6941" s="3"/>
    </row>
    <row r="6942" spans="1:34" ht="14.25" customHeight="1" x14ac:dyDescent="0.25">
      <c r="A6942" s="3"/>
      <c r="B6942" s="3"/>
      <c r="C6942" s="3"/>
      <c r="D6942" s="3"/>
      <c r="E6942" s="3"/>
      <c r="F6942" s="3"/>
      <c r="G6942" s="3"/>
      <c r="H6942" s="11"/>
      <c r="I6942" s="12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  <c r="AA6942" s="3"/>
      <c r="AB6942" s="3"/>
      <c r="AC6942" s="3"/>
      <c r="AD6942" s="3"/>
      <c r="AE6942" s="3"/>
      <c r="AF6942" s="3"/>
      <c r="AG6942" s="3"/>
      <c r="AH6942" s="3"/>
    </row>
    <row r="6943" spans="1:34" ht="14.25" customHeight="1" x14ac:dyDescent="0.25">
      <c r="A6943" s="3"/>
      <c r="B6943" s="3"/>
      <c r="C6943" s="3"/>
      <c r="D6943" s="3"/>
      <c r="E6943" s="3"/>
      <c r="F6943" s="3"/>
      <c r="G6943" s="3"/>
      <c r="H6943" s="11"/>
      <c r="I6943" s="12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  <c r="AA6943" s="3"/>
      <c r="AB6943" s="3"/>
      <c r="AC6943" s="3"/>
      <c r="AD6943" s="3"/>
      <c r="AE6943" s="3"/>
      <c r="AF6943" s="3"/>
      <c r="AG6943" s="3"/>
      <c r="AH6943" s="3"/>
    </row>
    <row r="6944" spans="1:34" ht="14.25" customHeight="1" x14ac:dyDescent="0.25">
      <c r="A6944" s="3"/>
      <c r="B6944" s="3"/>
      <c r="C6944" s="3"/>
      <c r="D6944" s="3"/>
      <c r="E6944" s="3"/>
      <c r="F6944" s="3"/>
      <c r="G6944" s="3"/>
      <c r="H6944" s="11"/>
      <c r="I6944" s="12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  <c r="AA6944" s="3"/>
      <c r="AB6944" s="3"/>
      <c r="AC6944" s="3"/>
      <c r="AD6944" s="3"/>
      <c r="AE6944" s="3"/>
      <c r="AF6944" s="3"/>
      <c r="AG6944" s="3"/>
      <c r="AH6944" s="3"/>
    </row>
    <row r="6945" spans="1:34" ht="14.25" customHeight="1" x14ac:dyDescent="0.25">
      <c r="A6945" s="3"/>
      <c r="B6945" s="3"/>
      <c r="C6945" s="3"/>
      <c r="D6945" s="3"/>
      <c r="E6945" s="3"/>
      <c r="F6945" s="3"/>
      <c r="G6945" s="3"/>
      <c r="H6945" s="11"/>
      <c r="I6945" s="12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  <c r="AA6945" s="3"/>
      <c r="AB6945" s="3"/>
      <c r="AC6945" s="3"/>
      <c r="AD6945" s="3"/>
      <c r="AE6945" s="3"/>
      <c r="AF6945" s="3"/>
      <c r="AG6945" s="3"/>
      <c r="AH6945" s="3"/>
    </row>
    <row r="6946" spans="1:34" ht="14.25" customHeight="1" x14ac:dyDescent="0.25">
      <c r="A6946" s="3"/>
      <c r="B6946" s="3"/>
      <c r="C6946" s="3"/>
      <c r="D6946" s="3"/>
      <c r="E6946" s="3"/>
      <c r="F6946" s="3"/>
      <c r="G6946" s="3"/>
      <c r="H6946" s="11"/>
      <c r="I6946" s="12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  <c r="AA6946" s="3"/>
      <c r="AB6946" s="3"/>
      <c r="AC6946" s="3"/>
      <c r="AD6946" s="3"/>
      <c r="AE6946" s="3"/>
      <c r="AF6946" s="3"/>
      <c r="AG6946" s="3"/>
      <c r="AH6946" s="3"/>
    </row>
    <row r="6947" spans="1:34" ht="14.25" customHeight="1" x14ac:dyDescent="0.25">
      <c r="A6947" s="3"/>
      <c r="B6947" s="3"/>
      <c r="C6947" s="3"/>
      <c r="D6947" s="3"/>
      <c r="E6947" s="3"/>
      <c r="F6947" s="3"/>
      <c r="G6947" s="3"/>
      <c r="H6947" s="11"/>
      <c r="I6947" s="12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  <c r="AA6947" s="3"/>
      <c r="AB6947" s="3"/>
      <c r="AC6947" s="3"/>
      <c r="AD6947" s="3"/>
      <c r="AE6947" s="3"/>
      <c r="AF6947" s="3"/>
      <c r="AG6947" s="3"/>
      <c r="AH6947" s="3"/>
    </row>
    <row r="6948" spans="1:34" ht="14.25" customHeight="1" x14ac:dyDescent="0.25">
      <c r="A6948" s="3"/>
      <c r="B6948" s="3"/>
      <c r="C6948" s="3"/>
      <c r="D6948" s="3"/>
      <c r="E6948" s="3"/>
      <c r="F6948" s="3"/>
      <c r="G6948" s="3"/>
      <c r="H6948" s="11"/>
      <c r="I6948" s="12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  <c r="AA6948" s="3"/>
      <c r="AB6948" s="3"/>
      <c r="AC6948" s="3"/>
      <c r="AD6948" s="3"/>
      <c r="AE6948" s="3"/>
      <c r="AF6948" s="3"/>
      <c r="AG6948" s="3"/>
      <c r="AH6948" s="3"/>
    </row>
    <row r="6949" spans="1:34" ht="14.25" customHeight="1" x14ac:dyDescent="0.25">
      <c r="A6949" s="3"/>
      <c r="B6949" s="3"/>
      <c r="C6949" s="3"/>
      <c r="D6949" s="3"/>
      <c r="E6949" s="3"/>
      <c r="F6949" s="3"/>
      <c r="G6949" s="3"/>
      <c r="H6949" s="11"/>
      <c r="I6949" s="12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  <c r="AA6949" s="3"/>
      <c r="AB6949" s="3"/>
      <c r="AC6949" s="3"/>
      <c r="AD6949" s="3"/>
      <c r="AE6949" s="3"/>
      <c r="AF6949" s="3"/>
      <c r="AG6949" s="3"/>
      <c r="AH6949" s="3"/>
    </row>
    <row r="6950" spans="1:34" ht="14.25" customHeight="1" x14ac:dyDescent="0.25">
      <c r="A6950" s="3"/>
      <c r="B6950" s="3"/>
      <c r="C6950" s="3"/>
      <c r="D6950" s="3"/>
      <c r="E6950" s="3"/>
      <c r="F6950" s="3"/>
      <c r="G6950" s="3"/>
      <c r="H6950" s="11"/>
      <c r="I6950" s="12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  <c r="AA6950" s="3"/>
      <c r="AB6950" s="3"/>
      <c r="AC6950" s="3"/>
      <c r="AD6950" s="3"/>
      <c r="AE6950" s="3"/>
      <c r="AF6950" s="3"/>
      <c r="AG6950" s="3"/>
      <c r="AH6950" s="3"/>
    </row>
    <row r="6951" spans="1:34" ht="14.25" customHeight="1" x14ac:dyDescent="0.25">
      <c r="A6951" s="3"/>
      <c r="B6951" s="3"/>
      <c r="C6951" s="3"/>
      <c r="D6951" s="3"/>
      <c r="E6951" s="3"/>
      <c r="F6951" s="3"/>
      <c r="G6951" s="3"/>
      <c r="H6951" s="11"/>
      <c r="I6951" s="12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  <c r="AA6951" s="3"/>
      <c r="AB6951" s="3"/>
      <c r="AC6951" s="3"/>
      <c r="AD6951" s="3"/>
      <c r="AE6951" s="3"/>
      <c r="AF6951" s="3"/>
      <c r="AG6951" s="3"/>
      <c r="AH6951" s="3"/>
    </row>
    <row r="6952" spans="1:34" ht="14.25" customHeight="1" x14ac:dyDescent="0.25">
      <c r="A6952" s="3"/>
      <c r="B6952" s="3"/>
      <c r="C6952" s="3"/>
      <c r="D6952" s="3"/>
      <c r="E6952" s="3"/>
      <c r="F6952" s="3"/>
      <c r="G6952" s="3"/>
      <c r="H6952" s="11"/>
      <c r="I6952" s="12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  <c r="AA6952" s="3"/>
      <c r="AB6952" s="3"/>
      <c r="AC6952" s="3"/>
      <c r="AD6952" s="3"/>
      <c r="AE6952" s="3"/>
      <c r="AF6952" s="3"/>
      <c r="AG6952" s="3"/>
      <c r="AH6952" s="3"/>
    </row>
    <row r="6953" spans="1:34" ht="14.25" customHeight="1" x14ac:dyDescent="0.25">
      <c r="A6953" s="3"/>
      <c r="B6953" s="3"/>
      <c r="C6953" s="3"/>
      <c r="D6953" s="3"/>
      <c r="E6953" s="3"/>
      <c r="F6953" s="3"/>
      <c r="G6953" s="3"/>
      <c r="H6953" s="11"/>
      <c r="I6953" s="12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  <c r="AA6953" s="3"/>
      <c r="AB6953" s="3"/>
      <c r="AC6953" s="3"/>
      <c r="AD6953" s="3"/>
      <c r="AE6953" s="3"/>
      <c r="AF6953" s="3"/>
      <c r="AG6953" s="3"/>
      <c r="AH6953" s="3"/>
    </row>
    <row r="6954" spans="1:34" ht="14.25" customHeight="1" x14ac:dyDescent="0.25">
      <c r="A6954" s="3"/>
      <c r="B6954" s="3"/>
      <c r="C6954" s="3"/>
      <c r="D6954" s="3"/>
      <c r="E6954" s="3"/>
      <c r="F6954" s="3"/>
      <c r="G6954" s="3"/>
      <c r="H6954" s="11"/>
      <c r="I6954" s="12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  <c r="AA6954" s="3"/>
      <c r="AB6954" s="3"/>
      <c r="AC6954" s="3"/>
      <c r="AD6954" s="3"/>
      <c r="AE6954" s="3"/>
      <c r="AF6954" s="3"/>
      <c r="AG6954" s="3"/>
      <c r="AH6954" s="3"/>
    </row>
    <row r="6955" spans="1:34" ht="14.25" customHeight="1" x14ac:dyDescent="0.25">
      <c r="A6955" s="3"/>
      <c r="B6955" s="3"/>
      <c r="C6955" s="3"/>
      <c r="D6955" s="3"/>
      <c r="E6955" s="3"/>
      <c r="F6955" s="3"/>
      <c r="G6955" s="3"/>
      <c r="H6955" s="11"/>
      <c r="I6955" s="12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  <c r="AA6955" s="3"/>
      <c r="AB6955" s="3"/>
      <c r="AC6955" s="3"/>
      <c r="AD6955" s="3"/>
      <c r="AE6955" s="3"/>
      <c r="AF6955" s="3"/>
      <c r="AG6955" s="3"/>
      <c r="AH6955" s="3"/>
    </row>
    <row r="6956" spans="1:34" ht="14.25" customHeight="1" x14ac:dyDescent="0.25">
      <c r="A6956" s="3"/>
      <c r="B6956" s="3"/>
      <c r="C6956" s="3"/>
      <c r="D6956" s="3"/>
      <c r="E6956" s="3"/>
      <c r="F6956" s="3"/>
      <c r="G6956" s="3"/>
      <c r="H6956" s="11"/>
      <c r="I6956" s="12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  <c r="AA6956" s="3"/>
      <c r="AB6956" s="3"/>
      <c r="AC6956" s="3"/>
      <c r="AD6956" s="3"/>
      <c r="AE6956" s="3"/>
      <c r="AF6956" s="3"/>
      <c r="AG6956" s="3"/>
      <c r="AH6956" s="3"/>
    </row>
    <row r="6957" spans="1:34" ht="14.25" customHeight="1" x14ac:dyDescent="0.25">
      <c r="A6957" s="3"/>
      <c r="B6957" s="3"/>
      <c r="C6957" s="3"/>
      <c r="D6957" s="3"/>
      <c r="E6957" s="3"/>
      <c r="F6957" s="3"/>
      <c r="G6957" s="3"/>
      <c r="H6957" s="11"/>
      <c r="I6957" s="12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  <c r="AA6957" s="3"/>
      <c r="AB6957" s="3"/>
      <c r="AC6957" s="3"/>
      <c r="AD6957" s="3"/>
      <c r="AE6957" s="3"/>
      <c r="AF6957" s="3"/>
      <c r="AG6957" s="3"/>
      <c r="AH6957" s="3"/>
    </row>
    <row r="6958" spans="1:34" ht="14.25" customHeight="1" x14ac:dyDescent="0.25">
      <c r="A6958" s="3"/>
      <c r="B6958" s="3"/>
      <c r="C6958" s="3"/>
      <c r="D6958" s="3"/>
      <c r="E6958" s="3"/>
      <c r="F6958" s="3"/>
      <c r="G6958" s="3"/>
      <c r="H6958" s="11"/>
      <c r="I6958" s="12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  <c r="AA6958" s="3"/>
      <c r="AB6958" s="3"/>
      <c r="AC6958" s="3"/>
      <c r="AD6958" s="3"/>
      <c r="AE6958" s="3"/>
      <c r="AF6958" s="3"/>
      <c r="AG6958" s="3"/>
      <c r="AH6958" s="3"/>
    </row>
    <row r="6959" spans="1:34" ht="14.25" customHeight="1" x14ac:dyDescent="0.25">
      <c r="A6959" s="3"/>
      <c r="B6959" s="3"/>
      <c r="C6959" s="3"/>
      <c r="D6959" s="3"/>
      <c r="E6959" s="3"/>
      <c r="F6959" s="3"/>
      <c r="G6959" s="3"/>
      <c r="H6959" s="11"/>
      <c r="I6959" s="12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  <c r="AA6959" s="3"/>
      <c r="AB6959" s="3"/>
      <c r="AC6959" s="3"/>
      <c r="AD6959" s="3"/>
      <c r="AE6959" s="3"/>
      <c r="AF6959" s="3"/>
      <c r="AG6959" s="3"/>
      <c r="AH6959" s="3"/>
    </row>
    <row r="6960" spans="1:34" ht="14.25" customHeight="1" x14ac:dyDescent="0.25">
      <c r="A6960" s="3"/>
      <c r="B6960" s="3"/>
      <c r="C6960" s="3"/>
      <c r="D6960" s="3"/>
      <c r="E6960" s="3"/>
      <c r="F6960" s="3"/>
      <c r="G6960" s="3"/>
      <c r="H6960" s="11"/>
      <c r="I6960" s="12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  <c r="AA6960" s="3"/>
      <c r="AB6960" s="3"/>
      <c r="AC6960" s="3"/>
      <c r="AD6960" s="3"/>
      <c r="AE6960" s="3"/>
      <c r="AF6960" s="3"/>
      <c r="AG6960" s="3"/>
      <c r="AH6960" s="3"/>
    </row>
    <row r="6961" spans="1:34" ht="14.25" customHeight="1" x14ac:dyDescent="0.25">
      <c r="A6961" s="3"/>
      <c r="B6961" s="3"/>
      <c r="C6961" s="3"/>
      <c r="D6961" s="3"/>
      <c r="E6961" s="3"/>
      <c r="F6961" s="3"/>
      <c r="G6961" s="3"/>
      <c r="H6961" s="11"/>
      <c r="I6961" s="12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  <c r="AA6961" s="3"/>
      <c r="AB6961" s="3"/>
      <c r="AC6961" s="3"/>
      <c r="AD6961" s="3"/>
      <c r="AE6961" s="3"/>
      <c r="AF6961" s="3"/>
      <c r="AG6961" s="3"/>
      <c r="AH6961" s="3"/>
    </row>
    <row r="6962" spans="1:34" ht="14.25" customHeight="1" x14ac:dyDescent="0.25">
      <c r="A6962" s="3"/>
      <c r="B6962" s="3"/>
      <c r="C6962" s="3"/>
      <c r="D6962" s="3"/>
      <c r="E6962" s="3"/>
      <c r="F6962" s="3"/>
      <c r="G6962" s="3"/>
      <c r="H6962" s="11"/>
      <c r="I6962" s="12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  <c r="AA6962" s="3"/>
      <c r="AB6962" s="3"/>
      <c r="AC6962" s="3"/>
      <c r="AD6962" s="3"/>
      <c r="AE6962" s="3"/>
      <c r="AF6962" s="3"/>
      <c r="AG6962" s="3"/>
      <c r="AH6962" s="3"/>
    </row>
    <row r="6963" spans="1:34" ht="14.25" customHeight="1" x14ac:dyDescent="0.25">
      <c r="A6963" s="3"/>
      <c r="B6963" s="3"/>
      <c r="C6963" s="3"/>
      <c r="D6963" s="3"/>
      <c r="E6963" s="3"/>
      <c r="F6963" s="3"/>
      <c r="G6963" s="3"/>
      <c r="H6963" s="11"/>
      <c r="I6963" s="12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  <c r="AA6963" s="3"/>
      <c r="AB6963" s="3"/>
      <c r="AC6963" s="3"/>
      <c r="AD6963" s="3"/>
      <c r="AE6963" s="3"/>
      <c r="AF6963" s="3"/>
      <c r="AG6963" s="3"/>
      <c r="AH6963" s="3"/>
    </row>
    <row r="6964" spans="1:34" ht="14.25" customHeight="1" x14ac:dyDescent="0.25">
      <c r="A6964" s="3"/>
      <c r="B6964" s="3"/>
      <c r="C6964" s="3"/>
      <c r="D6964" s="3"/>
      <c r="E6964" s="3"/>
      <c r="F6964" s="3"/>
      <c r="G6964" s="3"/>
      <c r="H6964" s="11"/>
      <c r="I6964" s="12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  <c r="AA6964" s="3"/>
      <c r="AB6964" s="3"/>
      <c r="AC6964" s="3"/>
      <c r="AD6964" s="3"/>
      <c r="AE6964" s="3"/>
      <c r="AF6964" s="3"/>
      <c r="AG6964" s="3"/>
      <c r="AH6964" s="3"/>
    </row>
    <row r="6965" spans="1:34" ht="14.25" customHeight="1" x14ac:dyDescent="0.25">
      <c r="A6965" s="3"/>
      <c r="B6965" s="3"/>
      <c r="C6965" s="3"/>
      <c r="D6965" s="3"/>
      <c r="E6965" s="3"/>
      <c r="F6965" s="3"/>
      <c r="G6965" s="3"/>
      <c r="H6965" s="11"/>
      <c r="I6965" s="12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  <c r="AA6965" s="3"/>
      <c r="AB6965" s="3"/>
      <c r="AC6965" s="3"/>
      <c r="AD6965" s="3"/>
      <c r="AE6965" s="3"/>
      <c r="AF6965" s="3"/>
      <c r="AG6965" s="3"/>
      <c r="AH6965" s="3"/>
    </row>
    <row r="6966" spans="1:34" ht="14.25" customHeight="1" x14ac:dyDescent="0.25">
      <c r="A6966" s="3"/>
      <c r="B6966" s="3"/>
      <c r="C6966" s="3"/>
      <c r="D6966" s="3"/>
      <c r="E6966" s="3"/>
      <c r="F6966" s="3"/>
      <c r="G6966" s="3"/>
      <c r="H6966" s="11"/>
      <c r="I6966" s="12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  <c r="AA6966" s="3"/>
      <c r="AB6966" s="3"/>
      <c r="AC6966" s="3"/>
      <c r="AD6966" s="3"/>
      <c r="AE6966" s="3"/>
      <c r="AF6966" s="3"/>
      <c r="AG6966" s="3"/>
      <c r="AH6966" s="3"/>
    </row>
    <row r="6967" spans="1:34" ht="14.25" customHeight="1" x14ac:dyDescent="0.25">
      <c r="A6967" s="3"/>
      <c r="B6967" s="3"/>
      <c r="C6967" s="3"/>
      <c r="D6967" s="3"/>
      <c r="E6967" s="3"/>
      <c r="F6967" s="3"/>
      <c r="G6967" s="3"/>
      <c r="H6967" s="11"/>
      <c r="I6967" s="12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  <c r="AA6967" s="3"/>
      <c r="AB6967" s="3"/>
      <c r="AC6967" s="3"/>
      <c r="AD6967" s="3"/>
      <c r="AE6967" s="3"/>
      <c r="AF6967" s="3"/>
      <c r="AG6967" s="3"/>
      <c r="AH6967" s="3"/>
    </row>
    <row r="6968" spans="1:34" ht="14.25" customHeight="1" x14ac:dyDescent="0.25">
      <c r="A6968" s="3"/>
      <c r="B6968" s="3"/>
      <c r="C6968" s="3"/>
      <c r="D6968" s="3"/>
      <c r="E6968" s="3"/>
      <c r="F6968" s="3"/>
      <c r="G6968" s="3"/>
      <c r="H6968" s="11"/>
      <c r="I6968" s="12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  <c r="AA6968" s="3"/>
      <c r="AB6968" s="3"/>
      <c r="AC6968" s="3"/>
      <c r="AD6968" s="3"/>
      <c r="AE6968" s="3"/>
      <c r="AF6968" s="3"/>
      <c r="AG6968" s="3"/>
      <c r="AH6968" s="3"/>
    </row>
    <row r="6969" spans="1:34" ht="14.25" customHeight="1" x14ac:dyDescent="0.25">
      <c r="A6969" s="3"/>
      <c r="B6969" s="3"/>
      <c r="C6969" s="3"/>
      <c r="D6969" s="3"/>
      <c r="E6969" s="3"/>
      <c r="F6969" s="3"/>
      <c r="G6969" s="3"/>
      <c r="H6969" s="11"/>
      <c r="I6969" s="12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  <c r="AA6969" s="3"/>
      <c r="AB6969" s="3"/>
      <c r="AC6969" s="3"/>
      <c r="AD6969" s="3"/>
      <c r="AE6969" s="3"/>
      <c r="AF6969" s="3"/>
      <c r="AG6969" s="3"/>
      <c r="AH6969" s="3"/>
    </row>
    <row r="6970" spans="1:34" ht="14.25" customHeight="1" x14ac:dyDescent="0.25">
      <c r="A6970" s="3"/>
      <c r="B6970" s="3"/>
      <c r="C6970" s="3"/>
      <c r="D6970" s="3"/>
      <c r="E6970" s="3"/>
      <c r="F6970" s="3"/>
      <c r="G6970" s="3"/>
      <c r="H6970" s="11"/>
      <c r="I6970" s="12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  <c r="AA6970" s="3"/>
      <c r="AB6970" s="3"/>
      <c r="AC6970" s="3"/>
      <c r="AD6970" s="3"/>
      <c r="AE6970" s="3"/>
      <c r="AF6970" s="3"/>
      <c r="AG6970" s="3"/>
      <c r="AH6970" s="3"/>
    </row>
    <row r="6971" spans="1:34" ht="14.25" customHeight="1" x14ac:dyDescent="0.25">
      <c r="A6971" s="3"/>
      <c r="B6971" s="3"/>
      <c r="C6971" s="3"/>
      <c r="D6971" s="3"/>
      <c r="E6971" s="3"/>
      <c r="F6971" s="3"/>
      <c r="G6971" s="3"/>
      <c r="H6971" s="11"/>
      <c r="I6971" s="12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  <c r="AA6971" s="3"/>
      <c r="AB6971" s="3"/>
      <c r="AC6971" s="3"/>
      <c r="AD6971" s="3"/>
      <c r="AE6971" s="3"/>
      <c r="AF6971" s="3"/>
      <c r="AG6971" s="3"/>
      <c r="AH6971" s="3"/>
    </row>
    <row r="6972" spans="1:34" ht="14.25" customHeight="1" x14ac:dyDescent="0.25">
      <c r="A6972" s="3"/>
      <c r="B6972" s="3"/>
      <c r="C6972" s="3"/>
      <c r="D6972" s="3"/>
      <c r="E6972" s="3"/>
      <c r="F6972" s="3"/>
      <c r="G6972" s="3"/>
      <c r="H6972" s="11"/>
      <c r="I6972" s="12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  <c r="AA6972" s="3"/>
      <c r="AB6972" s="3"/>
      <c r="AC6972" s="3"/>
      <c r="AD6972" s="3"/>
      <c r="AE6972" s="3"/>
      <c r="AF6972" s="3"/>
      <c r="AG6972" s="3"/>
      <c r="AH6972" s="3"/>
    </row>
    <row r="6973" spans="1:34" ht="14.25" customHeight="1" x14ac:dyDescent="0.25">
      <c r="A6973" s="3"/>
      <c r="B6973" s="3"/>
      <c r="C6973" s="3"/>
      <c r="D6973" s="3"/>
      <c r="E6973" s="3"/>
      <c r="F6973" s="3"/>
      <c r="G6973" s="3"/>
      <c r="H6973" s="11"/>
      <c r="I6973" s="12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  <c r="AA6973" s="3"/>
      <c r="AB6973" s="3"/>
      <c r="AC6973" s="3"/>
      <c r="AD6973" s="3"/>
      <c r="AE6973" s="3"/>
      <c r="AF6973" s="3"/>
      <c r="AG6973" s="3"/>
      <c r="AH6973" s="3"/>
    </row>
    <row r="6974" spans="1:34" ht="14.25" customHeight="1" x14ac:dyDescent="0.25">
      <c r="A6974" s="3"/>
      <c r="B6974" s="3"/>
      <c r="C6974" s="3"/>
      <c r="D6974" s="3"/>
      <c r="E6974" s="3"/>
      <c r="F6974" s="3"/>
      <c r="G6974" s="3"/>
      <c r="H6974" s="11"/>
      <c r="I6974" s="12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  <c r="AA6974" s="3"/>
      <c r="AB6974" s="3"/>
      <c r="AC6974" s="3"/>
      <c r="AD6974" s="3"/>
      <c r="AE6974" s="3"/>
      <c r="AF6974" s="3"/>
      <c r="AG6974" s="3"/>
      <c r="AH6974" s="3"/>
    </row>
    <row r="6975" spans="1:34" ht="14.25" customHeight="1" x14ac:dyDescent="0.25">
      <c r="A6975" s="3"/>
      <c r="B6975" s="3"/>
      <c r="C6975" s="3"/>
      <c r="D6975" s="3"/>
      <c r="E6975" s="3"/>
      <c r="F6975" s="3"/>
      <c r="G6975" s="3"/>
      <c r="H6975" s="11"/>
      <c r="I6975" s="12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  <c r="AA6975" s="3"/>
      <c r="AB6975" s="3"/>
      <c r="AC6975" s="3"/>
      <c r="AD6975" s="3"/>
      <c r="AE6975" s="3"/>
      <c r="AF6975" s="3"/>
      <c r="AG6975" s="3"/>
      <c r="AH6975" s="3"/>
    </row>
    <row r="6976" spans="1:34" ht="14.25" customHeight="1" x14ac:dyDescent="0.25">
      <c r="A6976" s="3"/>
      <c r="B6976" s="3"/>
      <c r="C6976" s="3"/>
      <c r="D6976" s="3"/>
      <c r="E6976" s="3"/>
      <c r="F6976" s="3"/>
      <c r="G6976" s="3"/>
      <c r="H6976" s="11"/>
      <c r="I6976" s="12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  <c r="AA6976" s="3"/>
      <c r="AB6976" s="3"/>
      <c r="AC6976" s="3"/>
      <c r="AD6976" s="3"/>
      <c r="AE6976" s="3"/>
      <c r="AF6976" s="3"/>
      <c r="AG6976" s="3"/>
      <c r="AH6976" s="3"/>
    </row>
    <row r="6977" spans="1:34" ht="14.25" customHeight="1" x14ac:dyDescent="0.25">
      <c r="A6977" s="3"/>
      <c r="B6977" s="3"/>
      <c r="C6977" s="3"/>
      <c r="D6977" s="3"/>
      <c r="E6977" s="3"/>
      <c r="F6977" s="3"/>
      <c r="G6977" s="3"/>
      <c r="H6977" s="11"/>
      <c r="I6977" s="12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  <c r="AA6977" s="3"/>
      <c r="AB6977" s="3"/>
      <c r="AC6977" s="3"/>
      <c r="AD6977" s="3"/>
      <c r="AE6977" s="3"/>
      <c r="AF6977" s="3"/>
      <c r="AG6977" s="3"/>
      <c r="AH6977" s="3"/>
    </row>
    <row r="6978" spans="1:34" ht="14.25" customHeight="1" x14ac:dyDescent="0.25">
      <c r="A6978" s="3"/>
      <c r="B6978" s="3"/>
      <c r="C6978" s="3"/>
      <c r="D6978" s="3"/>
      <c r="E6978" s="3"/>
      <c r="F6978" s="3"/>
      <c r="G6978" s="3"/>
      <c r="H6978" s="11"/>
      <c r="I6978" s="12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  <c r="AA6978" s="3"/>
      <c r="AB6978" s="3"/>
      <c r="AC6978" s="3"/>
      <c r="AD6978" s="3"/>
      <c r="AE6978" s="3"/>
      <c r="AF6978" s="3"/>
      <c r="AG6978" s="3"/>
      <c r="AH6978" s="3"/>
    </row>
    <row r="6979" spans="1:34" ht="14.25" customHeight="1" x14ac:dyDescent="0.25">
      <c r="A6979" s="3"/>
      <c r="B6979" s="3"/>
      <c r="C6979" s="3"/>
      <c r="D6979" s="3"/>
      <c r="E6979" s="3"/>
      <c r="F6979" s="3"/>
      <c r="G6979" s="3"/>
      <c r="H6979" s="11"/>
      <c r="I6979" s="12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  <c r="AA6979" s="3"/>
      <c r="AB6979" s="3"/>
      <c r="AC6979" s="3"/>
      <c r="AD6979" s="3"/>
      <c r="AE6979" s="3"/>
      <c r="AF6979" s="3"/>
      <c r="AG6979" s="3"/>
      <c r="AH6979" s="3"/>
    </row>
    <row r="6980" spans="1:34" ht="14.25" customHeight="1" x14ac:dyDescent="0.25">
      <c r="A6980" s="3"/>
      <c r="B6980" s="3"/>
      <c r="C6980" s="3"/>
      <c r="D6980" s="3"/>
      <c r="E6980" s="3"/>
      <c r="F6980" s="3"/>
      <c r="G6980" s="3"/>
      <c r="H6980" s="11"/>
      <c r="I6980" s="12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  <c r="AA6980" s="3"/>
      <c r="AB6980" s="3"/>
      <c r="AC6980" s="3"/>
      <c r="AD6980" s="3"/>
      <c r="AE6980" s="3"/>
      <c r="AF6980" s="3"/>
      <c r="AG6980" s="3"/>
      <c r="AH6980" s="3"/>
    </row>
    <row r="6981" spans="1:34" ht="14.25" customHeight="1" x14ac:dyDescent="0.25">
      <c r="A6981" s="3"/>
      <c r="B6981" s="3"/>
      <c r="C6981" s="3"/>
      <c r="D6981" s="3"/>
      <c r="E6981" s="3"/>
      <c r="F6981" s="3"/>
      <c r="G6981" s="3"/>
      <c r="H6981" s="11"/>
      <c r="I6981" s="12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  <c r="AA6981" s="3"/>
      <c r="AB6981" s="3"/>
      <c r="AC6981" s="3"/>
      <c r="AD6981" s="3"/>
      <c r="AE6981" s="3"/>
      <c r="AF6981" s="3"/>
      <c r="AG6981" s="3"/>
      <c r="AH6981" s="3"/>
    </row>
    <row r="6982" spans="1:34" ht="14.25" customHeight="1" x14ac:dyDescent="0.25">
      <c r="A6982" s="3"/>
      <c r="B6982" s="3"/>
      <c r="C6982" s="3"/>
      <c r="D6982" s="3"/>
      <c r="E6982" s="3"/>
      <c r="F6982" s="3"/>
      <c r="G6982" s="3"/>
      <c r="H6982" s="11"/>
      <c r="I6982" s="12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  <c r="AA6982" s="3"/>
      <c r="AB6982" s="3"/>
      <c r="AC6982" s="3"/>
      <c r="AD6982" s="3"/>
      <c r="AE6982" s="3"/>
      <c r="AF6982" s="3"/>
      <c r="AG6982" s="3"/>
      <c r="AH6982" s="3"/>
    </row>
    <row r="6983" spans="1:34" ht="14.25" customHeight="1" x14ac:dyDescent="0.25">
      <c r="A6983" s="3"/>
      <c r="B6983" s="3"/>
      <c r="C6983" s="3"/>
      <c r="D6983" s="3"/>
      <c r="E6983" s="3"/>
      <c r="F6983" s="3"/>
      <c r="G6983" s="3"/>
      <c r="H6983" s="11"/>
      <c r="I6983" s="12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  <c r="AA6983" s="3"/>
      <c r="AB6983" s="3"/>
      <c r="AC6983" s="3"/>
      <c r="AD6983" s="3"/>
      <c r="AE6983" s="3"/>
      <c r="AF6983" s="3"/>
      <c r="AG6983" s="3"/>
      <c r="AH6983" s="3"/>
    </row>
    <row r="6984" spans="1:34" ht="14.25" customHeight="1" x14ac:dyDescent="0.25">
      <c r="A6984" s="3"/>
      <c r="B6984" s="3"/>
      <c r="C6984" s="3"/>
      <c r="D6984" s="3"/>
      <c r="E6984" s="3"/>
      <c r="F6984" s="3"/>
      <c r="G6984" s="3"/>
      <c r="H6984" s="11"/>
      <c r="I6984" s="12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  <c r="AA6984" s="3"/>
      <c r="AB6984" s="3"/>
      <c r="AC6984" s="3"/>
      <c r="AD6984" s="3"/>
      <c r="AE6984" s="3"/>
      <c r="AF6984" s="3"/>
      <c r="AG6984" s="3"/>
      <c r="AH6984" s="3"/>
    </row>
    <row r="6985" spans="1:34" ht="14.25" customHeight="1" x14ac:dyDescent="0.25">
      <c r="A6985" s="3"/>
      <c r="B6985" s="3"/>
      <c r="C6985" s="3"/>
      <c r="D6985" s="3"/>
      <c r="E6985" s="3"/>
      <c r="F6985" s="3"/>
      <c r="G6985" s="3"/>
      <c r="H6985" s="11"/>
      <c r="I6985" s="12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  <c r="AA6985" s="3"/>
      <c r="AB6985" s="3"/>
      <c r="AC6985" s="3"/>
      <c r="AD6985" s="3"/>
      <c r="AE6985" s="3"/>
      <c r="AF6985" s="3"/>
      <c r="AG6985" s="3"/>
      <c r="AH6985" s="3"/>
    </row>
    <row r="6986" spans="1:34" ht="14.25" customHeight="1" x14ac:dyDescent="0.25">
      <c r="A6986" s="3"/>
      <c r="B6986" s="3"/>
      <c r="C6986" s="3"/>
      <c r="D6986" s="3"/>
      <c r="E6986" s="3"/>
      <c r="F6986" s="3"/>
      <c r="G6986" s="3"/>
      <c r="H6986" s="11"/>
      <c r="I6986" s="12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  <c r="AA6986" s="3"/>
      <c r="AB6986" s="3"/>
      <c r="AC6986" s="3"/>
      <c r="AD6986" s="3"/>
      <c r="AE6986" s="3"/>
      <c r="AF6986" s="3"/>
      <c r="AG6986" s="3"/>
      <c r="AH6986" s="3"/>
    </row>
    <row r="6987" spans="1:34" ht="14.25" customHeight="1" x14ac:dyDescent="0.25">
      <c r="A6987" s="3"/>
      <c r="B6987" s="3"/>
      <c r="C6987" s="3"/>
      <c r="D6987" s="3"/>
      <c r="E6987" s="3"/>
      <c r="F6987" s="3"/>
      <c r="G6987" s="3"/>
      <c r="H6987" s="11"/>
      <c r="I6987" s="12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  <c r="AA6987" s="3"/>
      <c r="AB6987" s="3"/>
      <c r="AC6987" s="3"/>
      <c r="AD6987" s="3"/>
      <c r="AE6987" s="3"/>
      <c r="AF6987" s="3"/>
      <c r="AG6987" s="3"/>
      <c r="AH6987" s="3"/>
    </row>
    <row r="6988" spans="1:34" ht="14.25" customHeight="1" x14ac:dyDescent="0.25">
      <c r="A6988" s="3"/>
      <c r="B6988" s="3"/>
      <c r="C6988" s="3"/>
      <c r="D6988" s="3"/>
      <c r="E6988" s="3"/>
      <c r="F6988" s="3"/>
      <c r="G6988" s="3"/>
      <c r="H6988" s="11"/>
      <c r="I6988" s="12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  <c r="AA6988" s="3"/>
      <c r="AB6988" s="3"/>
      <c r="AC6988" s="3"/>
      <c r="AD6988" s="3"/>
      <c r="AE6988" s="3"/>
      <c r="AF6988" s="3"/>
      <c r="AG6988" s="3"/>
      <c r="AH6988" s="3"/>
    </row>
    <row r="6989" spans="1:34" ht="14.25" customHeight="1" x14ac:dyDescent="0.25">
      <c r="A6989" s="3"/>
      <c r="B6989" s="3"/>
      <c r="C6989" s="3"/>
      <c r="D6989" s="3"/>
      <c r="E6989" s="3"/>
      <c r="F6989" s="3"/>
      <c r="G6989" s="3"/>
      <c r="H6989" s="11"/>
      <c r="I6989" s="12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  <c r="AA6989" s="3"/>
      <c r="AB6989" s="3"/>
      <c r="AC6989" s="3"/>
      <c r="AD6989" s="3"/>
      <c r="AE6989" s="3"/>
      <c r="AF6989" s="3"/>
      <c r="AG6989" s="3"/>
      <c r="AH6989" s="3"/>
    </row>
    <row r="6990" spans="1:34" ht="14.25" customHeight="1" x14ac:dyDescent="0.25">
      <c r="A6990" s="3"/>
      <c r="B6990" s="3"/>
      <c r="C6990" s="3"/>
      <c r="D6990" s="3"/>
      <c r="E6990" s="3"/>
      <c r="F6990" s="3"/>
      <c r="G6990" s="3"/>
      <c r="H6990" s="11"/>
      <c r="I6990" s="12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  <c r="AA6990" s="3"/>
      <c r="AB6990" s="3"/>
      <c r="AC6990" s="3"/>
      <c r="AD6990" s="3"/>
      <c r="AE6990" s="3"/>
      <c r="AF6990" s="3"/>
      <c r="AG6990" s="3"/>
      <c r="AH6990" s="3"/>
    </row>
    <row r="6991" spans="1:34" ht="14.25" customHeight="1" x14ac:dyDescent="0.25">
      <c r="A6991" s="3"/>
      <c r="B6991" s="3"/>
      <c r="C6991" s="3"/>
      <c r="D6991" s="3"/>
      <c r="E6991" s="3"/>
      <c r="F6991" s="3"/>
      <c r="G6991" s="3"/>
      <c r="H6991" s="11"/>
      <c r="I6991" s="12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  <c r="AA6991" s="3"/>
      <c r="AB6991" s="3"/>
      <c r="AC6991" s="3"/>
      <c r="AD6991" s="3"/>
      <c r="AE6991" s="3"/>
      <c r="AF6991" s="3"/>
      <c r="AG6991" s="3"/>
      <c r="AH6991" s="3"/>
    </row>
    <row r="6992" spans="1:34" ht="14.25" customHeight="1" x14ac:dyDescent="0.25">
      <c r="A6992" s="3"/>
      <c r="B6992" s="3"/>
      <c r="C6992" s="3"/>
      <c r="D6992" s="3"/>
      <c r="E6992" s="3"/>
      <c r="F6992" s="3"/>
      <c r="G6992" s="3"/>
      <c r="H6992" s="11"/>
      <c r="I6992" s="12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  <c r="AA6992" s="3"/>
      <c r="AB6992" s="3"/>
      <c r="AC6992" s="3"/>
      <c r="AD6992" s="3"/>
      <c r="AE6992" s="3"/>
      <c r="AF6992" s="3"/>
      <c r="AG6992" s="3"/>
      <c r="AH6992" s="3"/>
    </row>
    <row r="6993" spans="1:34" ht="14.25" customHeight="1" x14ac:dyDescent="0.25">
      <c r="A6993" s="3"/>
      <c r="B6993" s="3"/>
      <c r="C6993" s="3"/>
      <c r="D6993" s="3"/>
      <c r="E6993" s="3"/>
      <c r="F6993" s="3"/>
      <c r="G6993" s="3"/>
      <c r="H6993" s="11"/>
      <c r="I6993" s="12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  <c r="AA6993" s="3"/>
      <c r="AB6993" s="3"/>
      <c r="AC6993" s="3"/>
      <c r="AD6993" s="3"/>
      <c r="AE6993" s="3"/>
      <c r="AF6993" s="3"/>
      <c r="AG6993" s="3"/>
      <c r="AH6993" s="3"/>
    </row>
    <row r="6994" spans="1:34" ht="14.25" customHeight="1" x14ac:dyDescent="0.25">
      <c r="A6994" s="3"/>
      <c r="B6994" s="3"/>
      <c r="C6994" s="3"/>
      <c r="D6994" s="3"/>
      <c r="E6994" s="3"/>
      <c r="F6994" s="3"/>
      <c r="G6994" s="3"/>
      <c r="H6994" s="11"/>
      <c r="I6994" s="12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  <c r="AA6994" s="3"/>
      <c r="AB6994" s="3"/>
      <c r="AC6994" s="3"/>
      <c r="AD6994" s="3"/>
      <c r="AE6994" s="3"/>
      <c r="AF6994" s="3"/>
      <c r="AG6994" s="3"/>
      <c r="AH6994" s="3"/>
    </row>
    <row r="6995" spans="1:34" ht="14.25" customHeight="1" x14ac:dyDescent="0.25">
      <c r="A6995" s="3"/>
      <c r="B6995" s="3"/>
      <c r="C6995" s="3"/>
      <c r="D6995" s="3"/>
      <c r="E6995" s="3"/>
      <c r="F6995" s="3"/>
      <c r="G6995" s="3"/>
      <c r="H6995" s="11"/>
      <c r="I6995" s="12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  <c r="AA6995" s="3"/>
      <c r="AB6995" s="3"/>
      <c r="AC6995" s="3"/>
      <c r="AD6995" s="3"/>
      <c r="AE6995" s="3"/>
      <c r="AF6995" s="3"/>
      <c r="AG6995" s="3"/>
      <c r="AH6995" s="3"/>
    </row>
    <row r="6996" spans="1:34" ht="14.25" customHeight="1" x14ac:dyDescent="0.25">
      <c r="A6996" s="3"/>
      <c r="B6996" s="3"/>
      <c r="C6996" s="3"/>
      <c r="D6996" s="3"/>
      <c r="E6996" s="3"/>
      <c r="F6996" s="3"/>
      <c r="G6996" s="3"/>
      <c r="H6996" s="11"/>
      <c r="I6996" s="12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  <c r="AA6996" s="3"/>
      <c r="AB6996" s="3"/>
      <c r="AC6996" s="3"/>
      <c r="AD6996" s="3"/>
      <c r="AE6996" s="3"/>
      <c r="AF6996" s="3"/>
      <c r="AG6996" s="3"/>
      <c r="AH6996" s="3"/>
    </row>
    <row r="6997" spans="1:34" ht="14.25" customHeight="1" x14ac:dyDescent="0.25">
      <c r="A6997" s="3"/>
      <c r="B6997" s="3"/>
      <c r="C6997" s="3"/>
      <c r="D6997" s="3"/>
      <c r="E6997" s="3"/>
      <c r="F6997" s="3"/>
      <c r="G6997" s="3"/>
      <c r="H6997" s="11"/>
      <c r="I6997" s="12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  <c r="AA6997" s="3"/>
      <c r="AB6997" s="3"/>
      <c r="AC6997" s="3"/>
      <c r="AD6997" s="3"/>
      <c r="AE6997" s="3"/>
      <c r="AF6997" s="3"/>
      <c r="AG6997" s="3"/>
      <c r="AH6997" s="3"/>
    </row>
    <row r="6998" spans="1:34" ht="14.25" customHeight="1" x14ac:dyDescent="0.25">
      <c r="A6998" s="3"/>
      <c r="B6998" s="3"/>
      <c r="C6998" s="3"/>
      <c r="D6998" s="3"/>
      <c r="E6998" s="3"/>
      <c r="F6998" s="3"/>
      <c r="G6998" s="3"/>
      <c r="H6998" s="11"/>
      <c r="I6998" s="12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  <c r="AA6998" s="3"/>
      <c r="AB6998" s="3"/>
      <c r="AC6998" s="3"/>
      <c r="AD6998" s="3"/>
      <c r="AE6998" s="3"/>
      <c r="AF6998" s="3"/>
      <c r="AG6998" s="3"/>
      <c r="AH6998" s="3"/>
    </row>
    <row r="6999" spans="1:34" ht="14.25" customHeight="1" x14ac:dyDescent="0.25">
      <c r="A6999" s="3"/>
      <c r="B6999" s="3"/>
      <c r="C6999" s="3"/>
      <c r="D6999" s="3"/>
      <c r="E6999" s="3"/>
      <c r="F6999" s="3"/>
      <c r="G6999" s="3"/>
      <c r="H6999" s="11"/>
      <c r="I6999" s="12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  <c r="AA6999" s="3"/>
      <c r="AB6999" s="3"/>
      <c r="AC6999" s="3"/>
      <c r="AD6999" s="3"/>
      <c r="AE6999" s="3"/>
      <c r="AF6999" s="3"/>
      <c r="AG6999" s="3"/>
      <c r="AH6999" s="3"/>
    </row>
    <row r="7000" spans="1:34" ht="14.25" customHeight="1" x14ac:dyDescent="0.25">
      <c r="A7000" s="3"/>
      <c r="B7000" s="3"/>
      <c r="C7000" s="3"/>
      <c r="D7000" s="3"/>
      <c r="E7000" s="3"/>
      <c r="F7000" s="3"/>
      <c r="G7000" s="3"/>
      <c r="H7000" s="11"/>
      <c r="I7000" s="12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  <c r="AA7000" s="3"/>
      <c r="AB7000" s="3"/>
      <c r="AC7000" s="3"/>
      <c r="AD7000" s="3"/>
      <c r="AE7000" s="3"/>
      <c r="AF7000" s="3"/>
      <c r="AG7000" s="3"/>
      <c r="AH7000" s="3"/>
    </row>
    <row r="7001" spans="1:34" ht="14.25" customHeight="1" x14ac:dyDescent="0.25">
      <c r="A7001" s="3"/>
      <c r="B7001" s="3"/>
      <c r="C7001" s="3"/>
      <c r="D7001" s="3"/>
      <c r="E7001" s="3"/>
      <c r="F7001" s="3"/>
      <c r="G7001" s="3"/>
      <c r="H7001" s="11"/>
      <c r="I7001" s="12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  <c r="AA7001" s="3"/>
      <c r="AB7001" s="3"/>
      <c r="AC7001" s="3"/>
      <c r="AD7001" s="3"/>
      <c r="AE7001" s="3"/>
      <c r="AF7001" s="3"/>
      <c r="AG7001" s="3"/>
      <c r="AH7001" s="3"/>
    </row>
    <row r="7002" spans="1:34" ht="14.25" customHeight="1" x14ac:dyDescent="0.25">
      <c r="A7002" s="3"/>
      <c r="B7002" s="3"/>
      <c r="C7002" s="3"/>
      <c r="D7002" s="3"/>
      <c r="E7002" s="3"/>
      <c r="F7002" s="3"/>
      <c r="G7002" s="3"/>
      <c r="H7002" s="11"/>
      <c r="I7002" s="12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  <c r="AA7002" s="3"/>
      <c r="AB7002" s="3"/>
      <c r="AC7002" s="3"/>
      <c r="AD7002" s="3"/>
      <c r="AE7002" s="3"/>
      <c r="AF7002" s="3"/>
      <c r="AG7002" s="3"/>
      <c r="AH7002" s="3"/>
    </row>
    <row r="7003" spans="1:34" ht="14.25" customHeight="1" x14ac:dyDescent="0.25">
      <c r="A7003" s="3"/>
      <c r="B7003" s="3"/>
      <c r="C7003" s="3"/>
      <c r="D7003" s="3"/>
      <c r="E7003" s="3"/>
      <c r="F7003" s="3"/>
      <c r="G7003" s="3"/>
      <c r="H7003" s="11"/>
      <c r="I7003" s="12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  <c r="AA7003" s="3"/>
      <c r="AB7003" s="3"/>
      <c r="AC7003" s="3"/>
      <c r="AD7003" s="3"/>
      <c r="AE7003" s="3"/>
      <c r="AF7003" s="3"/>
      <c r="AG7003" s="3"/>
      <c r="AH7003" s="3"/>
    </row>
    <row r="7004" spans="1:34" ht="14.25" customHeight="1" x14ac:dyDescent="0.25">
      <c r="A7004" s="3"/>
      <c r="B7004" s="3"/>
      <c r="C7004" s="3"/>
      <c r="D7004" s="3"/>
      <c r="E7004" s="3"/>
      <c r="F7004" s="3"/>
      <c r="G7004" s="3"/>
      <c r="H7004" s="11"/>
      <c r="I7004" s="12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  <c r="AA7004" s="3"/>
      <c r="AB7004" s="3"/>
      <c r="AC7004" s="3"/>
      <c r="AD7004" s="3"/>
      <c r="AE7004" s="3"/>
      <c r="AF7004" s="3"/>
      <c r="AG7004" s="3"/>
      <c r="AH7004" s="3"/>
    </row>
    <row r="7005" spans="1:34" ht="14.25" customHeight="1" x14ac:dyDescent="0.25">
      <c r="A7005" s="3"/>
      <c r="B7005" s="3"/>
      <c r="C7005" s="3"/>
      <c r="D7005" s="3"/>
      <c r="E7005" s="3"/>
      <c r="F7005" s="3"/>
      <c r="G7005" s="3"/>
      <c r="H7005" s="11"/>
      <c r="I7005" s="12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  <c r="AA7005" s="3"/>
      <c r="AB7005" s="3"/>
      <c r="AC7005" s="3"/>
      <c r="AD7005" s="3"/>
      <c r="AE7005" s="3"/>
      <c r="AF7005" s="3"/>
      <c r="AG7005" s="3"/>
      <c r="AH7005" s="3"/>
    </row>
    <row r="7006" spans="1:34" ht="14.25" customHeight="1" x14ac:dyDescent="0.25">
      <c r="A7006" s="3"/>
      <c r="B7006" s="3"/>
      <c r="C7006" s="3"/>
      <c r="D7006" s="3"/>
      <c r="E7006" s="3"/>
      <c r="F7006" s="3"/>
      <c r="G7006" s="3"/>
      <c r="H7006" s="11"/>
      <c r="I7006" s="12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  <c r="AA7006" s="3"/>
      <c r="AB7006" s="3"/>
      <c r="AC7006" s="3"/>
      <c r="AD7006" s="3"/>
      <c r="AE7006" s="3"/>
      <c r="AF7006" s="3"/>
      <c r="AG7006" s="3"/>
      <c r="AH7006" s="3"/>
    </row>
    <row r="7007" spans="1:34" ht="14.25" customHeight="1" x14ac:dyDescent="0.25">
      <c r="A7007" s="3"/>
      <c r="B7007" s="3"/>
      <c r="C7007" s="3"/>
      <c r="D7007" s="3"/>
      <c r="E7007" s="3"/>
      <c r="F7007" s="3"/>
      <c r="G7007" s="3"/>
      <c r="H7007" s="11"/>
      <c r="I7007" s="12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  <c r="AA7007" s="3"/>
      <c r="AB7007" s="3"/>
      <c r="AC7007" s="3"/>
      <c r="AD7007" s="3"/>
      <c r="AE7007" s="3"/>
      <c r="AF7007" s="3"/>
      <c r="AG7007" s="3"/>
      <c r="AH7007" s="3"/>
    </row>
    <row r="7008" spans="1:34" ht="14.25" customHeight="1" x14ac:dyDescent="0.25">
      <c r="A7008" s="3"/>
      <c r="B7008" s="3"/>
      <c r="C7008" s="3"/>
      <c r="D7008" s="3"/>
      <c r="E7008" s="3"/>
      <c r="F7008" s="3"/>
      <c r="G7008" s="3"/>
      <c r="H7008" s="11"/>
      <c r="I7008" s="12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  <c r="AA7008" s="3"/>
      <c r="AB7008" s="3"/>
      <c r="AC7008" s="3"/>
      <c r="AD7008" s="3"/>
      <c r="AE7008" s="3"/>
      <c r="AF7008" s="3"/>
      <c r="AG7008" s="3"/>
      <c r="AH7008" s="3"/>
    </row>
    <row r="7009" spans="1:34" ht="14.25" customHeight="1" x14ac:dyDescent="0.25">
      <c r="A7009" s="3"/>
      <c r="B7009" s="3"/>
      <c r="C7009" s="3"/>
      <c r="D7009" s="3"/>
      <c r="E7009" s="3"/>
      <c r="F7009" s="3"/>
      <c r="G7009" s="3"/>
      <c r="H7009" s="11"/>
      <c r="I7009" s="12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  <c r="AA7009" s="3"/>
      <c r="AB7009" s="3"/>
      <c r="AC7009" s="3"/>
      <c r="AD7009" s="3"/>
      <c r="AE7009" s="3"/>
      <c r="AF7009" s="3"/>
      <c r="AG7009" s="3"/>
      <c r="AH7009" s="3"/>
    </row>
    <row r="7010" spans="1:34" ht="14.25" customHeight="1" x14ac:dyDescent="0.25">
      <c r="A7010" s="3"/>
      <c r="B7010" s="3"/>
      <c r="C7010" s="3"/>
      <c r="D7010" s="3"/>
      <c r="E7010" s="3"/>
      <c r="F7010" s="3"/>
      <c r="G7010" s="3"/>
      <c r="H7010" s="11"/>
      <c r="I7010" s="12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  <c r="AA7010" s="3"/>
      <c r="AB7010" s="3"/>
      <c r="AC7010" s="3"/>
      <c r="AD7010" s="3"/>
      <c r="AE7010" s="3"/>
      <c r="AF7010" s="3"/>
      <c r="AG7010" s="3"/>
      <c r="AH7010" s="3"/>
    </row>
    <row r="7011" spans="1:34" ht="14.25" customHeight="1" x14ac:dyDescent="0.25">
      <c r="A7011" s="3"/>
      <c r="B7011" s="3"/>
      <c r="C7011" s="3"/>
      <c r="D7011" s="3"/>
      <c r="E7011" s="3"/>
      <c r="F7011" s="3"/>
      <c r="G7011" s="3"/>
      <c r="H7011" s="11"/>
      <c r="I7011" s="12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  <c r="AA7011" s="3"/>
      <c r="AB7011" s="3"/>
      <c r="AC7011" s="3"/>
      <c r="AD7011" s="3"/>
      <c r="AE7011" s="3"/>
      <c r="AF7011" s="3"/>
      <c r="AG7011" s="3"/>
      <c r="AH7011" s="3"/>
    </row>
    <row r="7012" spans="1:34" ht="14.25" customHeight="1" x14ac:dyDescent="0.25">
      <c r="A7012" s="3"/>
      <c r="B7012" s="3"/>
      <c r="C7012" s="3"/>
      <c r="D7012" s="3"/>
      <c r="E7012" s="3"/>
      <c r="F7012" s="3"/>
      <c r="G7012" s="3"/>
      <c r="H7012" s="11"/>
      <c r="I7012" s="12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  <c r="AA7012" s="3"/>
      <c r="AB7012" s="3"/>
      <c r="AC7012" s="3"/>
      <c r="AD7012" s="3"/>
      <c r="AE7012" s="3"/>
      <c r="AF7012" s="3"/>
      <c r="AG7012" s="3"/>
      <c r="AH7012" s="3"/>
    </row>
    <row r="7013" spans="1:34" ht="14.25" customHeight="1" x14ac:dyDescent="0.25">
      <c r="A7013" s="3"/>
      <c r="B7013" s="3"/>
      <c r="C7013" s="3"/>
      <c r="D7013" s="3"/>
      <c r="E7013" s="3"/>
      <c r="F7013" s="3"/>
      <c r="G7013" s="3"/>
      <c r="H7013" s="11"/>
      <c r="I7013" s="12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  <c r="AA7013" s="3"/>
      <c r="AB7013" s="3"/>
      <c r="AC7013" s="3"/>
      <c r="AD7013" s="3"/>
      <c r="AE7013" s="3"/>
      <c r="AF7013" s="3"/>
      <c r="AG7013" s="3"/>
      <c r="AH7013" s="3"/>
    </row>
    <row r="7014" spans="1:34" ht="14.25" customHeight="1" x14ac:dyDescent="0.25">
      <c r="A7014" s="3"/>
      <c r="B7014" s="3"/>
      <c r="C7014" s="3"/>
      <c r="D7014" s="3"/>
      <c r="E7014" s="3"/>
      <c r="F7014" s="3"/>
      <c r="G7014" s="3"/>
      <c r="H7014" s="11"/>
      <c r="I7014" s="12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  <c r="AA7014" s="3"/>
      <c r="AB7014" s="3"/>
      <c r="AC7014" s="3"/>
      <c r="AD7014" s="3"/>
      <c r="AE7014" s="3"/>
      <c r="AF7014" s="3"/>
      <c r="AG7014" s="3"/>
      <c r="AH7014" s="3"/>
    </row>
    <row r="7015" spans="1:34" ht="14.25" customHeight="1" x14ac:dyDescent="0.25">
      <c r="A7015" s="3"/>
      <c r="B7015" s="3"/>
      <c r="C7015" s="3"/>
      <c r="D7015" s="3"/>
      <c r="E7015" s="3"/>
      <c r="F7015" s="3"/>
      <c r="G7015" s="3"/>
      <c r="H7015" s="11"/>
      <c r="I7015" s="12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  <c r="AA7015" s="3"/>
      <c r="AB7015" s="3"/>
      <c r="AC7015" s="3"/>
      <c r="AD7015" s="3"/>
      <c r="AE7015" s="3"/>
      <c r="AF7015" s="3"/>
      <c r="AG7015" s="3"/>
      <c r="AH7015" s="3"/>
    </row>
    <row r="7016" spans="1:34" ht="14.25" customHeight="1" x14ac:dyDescent="0.25">
      <c r="A7016" s="3"/>
      <c r="B7016" s="3"/>
      <c r="C7016" s="3"/>
      <c r="D7016" s="3"/>
      <c r="E7016" s="3"/>
      <c r="F7016" s="3"/>
      <c r="G7016" s="3"/>
      <c r="H7016" s="11"/>
      <c r="I7016" s="12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  <c r="AA7016" s="3"/>
      <c r="AB7016" s="3"/>
      <c r="AC7016" s="3"/>
      <c r="AD7016" s="3"/>
      <c r="AE7016" s="3"/>
      <c r="AF7016" s="3"/>
      <c r="AG7016" s="3"/>
      <c r="AH7016" s="3"/>
    </row>
    <row r="7017" spans="1:34" ht="14.25" customHeight="1" x14ac:dyDescent="0.25">
      <c r="A7017" s="3"/>
      <c r="B7017" s="3"/>
      <c r="C7017" s="3"/>
      <c r="D7017" s="3"/>
      <c r="E7017" s="3"/>
      <c r="F7017" s="3"/>
      <c r="G7017" s="3"/>
      <c r="H7017" s="11"/>
      <c r="I7017" s="12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  <c r="AA7017" s="3"/>
      <c r="AB7017" s="3"/>
      <c r="AC7017" s="3"/>
      <c r="AD7017" s="3"/>
      <c r="AE7017" s="3"/>
      <c r="AF7017" s="3"/>
      <c r="AG7017" s="3"/>
      <c r="AH7017" s="3"/>
    </row>
    <row r="7018" spans="1:34" ht="14.25" customHeight="1" x14ac:dyDescent="0.25">
      <c r="A7018" s="3"/>
      <c r="B7018" s="3"/>
      <c r="C7018" s="3"/>
      <c r="D7018" s="3"/>
      <c r="E7018" s="3"/>
      <c r="F7018" s="3"/>
      <c r="G7018" s="3"/>
      <c r="H7018" s="11"/>
      <c r="I7018" s="12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  <c r="AA7018" s="3"/>
      <c r="AB7018" s="3"/>
      <c r="AC7018" s="3"/>
      <c r="AD7018" s="3"/>
      <c r="AE7018" s="3"/>
      <c r="AF7018" s="3"/>
      <c r="AG7018" s="3"/>
      <c r="AH7018" s="3"/>
    </row>
    <row r="7019" spans="1:34" ht="14.25" customHeight="1" x14ac:dyDescent="0.25">
      <c r="A7019" s="3"/>
      <c r="B7019" s="3"/>
      <c r="C7019" s="3"/>
      <c r="D7019" s="3"/>
      <c r="E7019" s="3"/>
      <c r="F7019" s="3"/>
      <c r="G7019" s="3"/>
      <c r="H7019" s="11"/>
      <c r="I7019" s="12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  <c r="AA7019" s="3"/>
      <c r="AB7019" s="3"/>
      <c r="AC7019" s="3"/>
      <c r="AD7019" s="3"/>
      <c r="AE7019" s="3"/>
      <c r="AF7019" s="3"/>
      <c r="AG7019" s="3"/>
      <c r="AH7019" s="3"/>
    </row>
    <row r="7020" spans="1:34" ht="14.25" customHeight="1" x14ac:dyDescent="0.25">
      <c r="A7020" s="3"/>
      <c r="B7020" s="3"/>
      <c r="C7020" s="3"/>
      <c r="D7020" s="3"/>
      <c r="E7020" s="3"/>
      <c r="F7020" s="3"/>
      <c r="G7020" s="3"/>
      <c r="H7020" s="11"/>
      <c r="I7020" s="12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  <c r="AA7020" s="3"/>
      <c r="AB7020" s="3"/>
      <c r="AC7020" s="3"/>
      <c r="AD7020" s="3"/>
      <c r="AE7020" s="3"/>
      <c r="AF7020" s="3"/>
      <c r="AG7020" s="3"/>
      <c r="AH7020" s="3"/>
    </row>
    <row r="7021" spans="1:34" ht="14.25" customHeight="1" x14ac:dyDescent="0.25">
      <c r="A7021" s="3"/>
      <c r="B7021" s="3"/>
      <c r="C7021" s="3"/>
      <c r="D7021" s="3"/>
      <c r="E7021" s="3"/>
      <c r="F7021" s="3"/>
      <c r="G7021" s="3"/>
      <c r="H7021" s="11"/>
      <c r="I7021" s="12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  <c r="AA7021" s="3"/>
      <c r="AB7021" s="3"/>
      <c r="AC7021" s="3"/>
      <c r="AD7021" s="3"/>
      <c r="AE7021" s="3"/>
      <c r="AF7021" s="3"/>
      <c r="AG7021" s="3"/>
      <c r="AH7021" s="3"/>
    </row>
    <row r="7022" spans="1:34" ht="14.25" customHeight="1" x14ac:dyDescent="0.25">
      <c r="A7022" s="3"/>
      <c r="B7022" s="3"/>
      <c r="C7022" s="3"/>
      <c r="D7022" s="3"/>
      <c r="E7022" s="3"/>
      <c r="F7022" s="3"/>
      <c r="G7022" s="3"/>
      <c r="H7022" s="11"/>
      <c r="I7022" s="12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  <c r="AA7022" s="3"/>
      <c r="AB7022" s="3"/>
      <c r="AC7022" s="3"/>
      <c r="AD7022" s="3"/>
      <c r="AE7022" s="3"/>
      <c r="AF7022" s="3"/>
      <c r="AG7022" s="3"/>
      <c r="AH7022" s="3"/>
    </row>
    <row r="7023" spans="1:34" ht="14.25" customHeight="1" x14ac:dyDescent="0.25">
      <c r="A7023" s="3"/>
      <c r="B7023" s="3"/>
      <c r="C7023" s="3"/>
      <c r="D7023" s="3"/>
      <c r="E7023" s="3"/>
      <c r="F7023" s="3"/>
      <c r="G7023" s="3"/>
      <c r="H7023" s="11"/>
      <c r="I7023" s="12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  <c r="AA7023" s="3"/>
      <c r="AB7023" s="3"/>
      <c r="AC7023" s="3"/>
      <c r="AD7023" s="3"/>
      <c r="AE7023" s="3"/>
      <c r="AF7023" s="3"/>
      <c r="AG7023" s="3"/>
      <c r="AH7023" s="3"/>
    </row>
    <row r="7024" spans="1:34" ht="14.25" customHeight="1" x14ac:dyDescent="0.25">
      <c r="A7024" s="3"/>
      <c r="B7024" s="3"/>
      <c r="C7024" s="3"/>
      <c r="D7024" s="3"/>
      <c r="E7024" s="3"/>
      <c r="F7024" s="3"/>
      <c r="G7024" s="3"/>
      <c r="H7024" s="11"/>
      <c r="I7024" s="12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  <c r="AA7024" s="3"/>
      <c r="AB7024" s="3"/>
      <c r="AC7024" s="3"/>
      <c r="AD7024" s="3"/>
      <c r="AE7024" s="3"/>
      <c r="AF7024" s="3"/>
      <c r="AG7024" s="3"/>
      <c r="AH7024" s="3"/>
    </row>
    <row r="7025" spans="1:34" ht="14.25" customHeight="1" x14ac:dyDescent="0.25">
      <c r="A7025" s="3"/>
      <c r="B7025" s="3"/>
      <c r="C7025" s="3"/>
      <c r="D7025" s="3"/>
      <c r="E7025" s="3"/>
      <c r="F7025" s="3"/>
      <c r="G7025" s="3"/>
      <c r="H7025" s="11"/>
      <c r="I7025" s="12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  <c r="AA7025" s="3"/>
      <c r="AB7025" s="3"/>
      <c r="AC7025" s="3"/>
      <c r="AD7025" s="3"/>
      <c r="AE7025" s="3"/>
      <c r="AF7025" s="3"/>
      <c r="AG7025" s="3"/>
      <c r="AH7025" s="3"/>
    </row>
    <row r="7026" spans="1:34" ht="14.25" customHeight="1" x14ac:dyDescent="0.25">
      <c r="A7026" s="3"/>
      <c r="B7026" s="3"/>
      <c r="C7026" s="3"/>
      <c r="D7026" s="3"/>
      <c r="E7026" s="3"/>
      <c r="F7026" s="3"/>
      <c r="G7026" s="3"/>
      <c r="H7026" s="11"/>
      <c r="I7026" s="12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  <c r="AA7026" s="3"/>
      <c r="AB7026" s="3"/>
      <c r="AC7026" s="3"/>
      <c r="AD7026" s="3"/>
      <c r="AE7026" s="3"/>
      <c r="AF7026" s="3"/>
      <c r="AG7026" s="3"/>
      <c r="AH7026" s="3"/>
    </row>
    <row r="7027" spans="1:34" ht="14.25" customHeight="1" x14ac:dyDescent="0.25">
      <c r="A7027" s="3"/>
      <c r="B7027" s="3"/>
      <c r="C7027" s="3"/>
      <c r="D7027" s="3"/>
      <c r="E7027" s="3"/>
      <c r="F7027" s="3"/>
      <c r="G7027" s="3"/>
      <c r="H7027" s="11"/>
      <c r="I7027" s="12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  <c r="AA7027" s="3"/>
      <c r="AB7027" s="3"/>
      <c r="AC7027" s="3"/>
      <c r="AD7027" s="3"/>
      <c r="AE7027" s="3"/>
      <c r="AF7027" s="3"/>
      <c r="AG7027" s="3"/>
      <c r="AH7027" s="3"/>
    </row>
    <row r="7028" spans="1:34" ht="14.25" customHeight="1" x14ac:dyDescent="0.25">
      <c r="A7028" s="3"/>
      <c r="B7028" s="3"/>
      <c r="C7028" s="3"/>
      <c r="D7028" s="3"/>
      <c r="E7028" s="3"/>
      <c r="F7028" s="3"/>
      <c r="G7028" s="3"/>
      <c r="H7028" s="11"/>
      <c r="I7028" s="12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  <c r="AA7028" s="3"/>
      <c r="AB7028" s="3"/>
      <c r="AC7028" s="3"/>
      <c r="AD7028" s="3"/>
      <c r="AE7028" s="3"/>
      <c r="AF7028" s="3"/>
      <c r="AG7028" s="3"/>
      <c r="AH7028" s="3"/>
    </row>
    <row r="7029" spans="1:34" ht="14.25" customHeight="1" x14ac:dyDescent="0.25">
      <c r="A7029" s="3"/>
      <c r="B7029" s="3"/>
      <c r="C7029" s="3"/>
      <c r="D7029" s="3"/>
      <c r="E7029" s="3"/>
      <c r="F7029" s="3"/>
      <c r="G7029" s="3"/>
      <c r="H7029" s="11"/>
      <c r="I7029" s="12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  <c r="AA7029" s="3"/>
      <c r="AB7029" s="3"/>
      <c r="AC7029" s="3"/>
      <c r="AD7029" s="3"/>
      <c r="AE7029" s="3"/>
      <c r="AF7029" s="3"/>
      <c r="AG7029" s="3"/>
      <c r="AH7029" s="3"/>
    </row>
    <row r="7030" spans="1:34" ht="14.25" customHeight="1" x14ac:dyDescent="0.25">
      <c r="A7030" s="3"/>
      <c r="B7030" s="3"/>
      <c r="C7030" s="3"/>
      <c r="D7030" s="3"/>
      <c r="E7030" s="3"/>
      <c r="F7030" s="3"/>
      <c r="G7030" s="3"/>
      <c r="H7030" s="11"/>
      <c r="I7030" s="12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  <c r="AA7030" s="3"/>
      <c r="AB7030" s="3"/>
      <c r="AC7030" s="3"/>
      <c r="AD7030" s="3"/>
      <c r="AE7030" s="3"/>
      <c r="AF7030" s="3"/>
      <c r="AG7030" s="3"/>
      <c r="AH7030" s="3"/>
    </row>
    <row r="7031" spans="1:34" ht="14.25" customHeight="1" x14ac:dyDescent="0.25">
      <c r="A7031" s="3"/>
      <c r="B7031" s="3"/>
      <c r="C7031" s="3"/>
      <c r="D7031" s="3"/>
      <c r="E7031" s="3"/>
      <c r="F7031" s="3"/>
      <c r="G7031" s="3"/>
      <c r="H7031" s="11"/>
      <c r="I7031" s="12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  <c r="AA7031" s="3"/>
      <c r="AB7031" s="3"/>
      <c r="AC7031" s="3"/>
      <c r="AD7031" s="3"/>
      <c r="AE7031" s="3"/>
      <c r="AF7031" s="3"/>
      <c r="AG7031" s="3"/>
      <c r="AH7031" s="3"/>
    </row>
    <row r="7032" spans="1:34" ht="14.25" customHeight="1" x14ac:dyDescent="0.25">
      <c r="A7032" s="3"/>
      <c r="B7032" s="3"/>
      <c r="C7032" s="3"/>
      <c r="D7032" s="3"/>
      <c r="E7032" s="3"/>
      <c r="F7032" s="3"/>
      <c r="G7032" s="3"/>
      <c r="H7032" s="11"/>
      <c r="I7032" s="12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  <c r="AA7032" s="3"/>
      <c r="AB7032" s="3"/>
      <c r="AC7032" s="3"/>
      <c r="AD7032" s="3"/>
      <c r="AE7032" s="3"/>
      <c r="AF7032" s="3"/>
      <c r="AG7032" s="3"/>
      <c r="AH7032" s="3"/>
    </row>
    <row r="7033" spans="1:34" ht="14.25" customHeight="1" x14ac:dyDescent="0.25">
      <c r="A7033" s="3"/>
      <c r="B7033" s="3"/>
      <c r="C7033" s="3"/>
      <c r="D7033" s="3"/>
      <c r="E7033" s="3"/>
      <c r="F7033" s="3"/>
      <c r="G7033" s="3"/>
      <c r="H7033" s="11"/>
      <c r="I7033" s="12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  <c r="AA7033" s="3"/>
      <c r="AB7033" s="3"/>
      <c r="AC7033" s="3"/>
      <c r="AD7033" s="3"/>
      <c r="AE7033" s="3"/>
      <c r="AF7033" s="3"/>
      <c r="AG7033" s="3"/>
      <c r="AH7033" s="3"/>
    </row>
    <row r="7034" spans="1:34" ht="14.25" customHeight="1" x14ac:dyDescent="0.25">
      <c r="A7034" s="3"/>
      <c r="B7034" s="3"/>
      <c r="C7034" s="3"/>
      <c r="D7034" s="3"/>
      <c r="E7034" s="3"/>
      <c r="F7034" s="3"/>
      <c r="G7034" s="3"/>
      <c r="H7034" s="11"/>
      <c r="I7034" s="12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  <c r="AA7034" s="3"/>
      <c r="AB7034" s="3"/>
      <c r="AC7034" s="3"/>
      <c r="AD7034" s="3"/>
      <c r="AE7034" s="3"/>
      <c r="AF7034" s="3"/>
      <c r="AG7034" s="3"/>
      <c r="AH7034" s="3"/>
    </row>
    <row r="7035" spans="1:34" ht="14.25" customHeight="1" x14ac:dyDescent="0.25">
      <c r="A7035" s="3"/>
      <c r="B7035" s="3"/>
      <c r="C7035" s="3"/>
      <c r="D7035" s="3"/>
      <c r="E7035" s="3"/>
      <c r="F7035" s="3"/>
      <c r="G7035" s="3"/>
      <c r="H7035" s="11"/>
      <c r="I7035" s="12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  <c r="AA7035" s="3"/>
      <c r="AB7035" s="3"/>
      <c r="AC7035" s="3"/>
      <c r="AD7035" s="3"/>
      <c r="AE7035" s="3"/>
      <c r="AF7035" s="3"/>
      <c r="AG7035" s="3"/>
      <c r="AH7035" s="3"/>
    </row>
    <row r="7036" spans="1:34" ht="14.25" customHeight="1" x14ac:dyDescent="0.25">
      <c r="A7036" s="3"/>
      <c r="B7036" s="3"/>
      <c r="C7036" s="3"/>
      <c r="D7036" s="3"/>
      <c r="E7036" s="3"/>
      <c r="F7036" s="3"/>
      <c r="G7036" s="3"/>
      <c r="H7036" s="11"/>
      <c r="I7036" s="12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  <c r="AA7036" s="3"/>
      <c r="AB7036" s="3"/>
      <c r="AC7036" s="3"/>
      <c r="AD7036" s="3"/>
      <c r="AE7036" s="3"/>
      <c r="AF7036" s="3"/>
      <c r="AG7036" s="3"/>
      <c r="AH7036" s="3"/>
    </row>
    <row r="7037" spans="1:34" ht="14.25" customHeight="1" x14ac:dyDescent="0.25">
      <c r="A7037" s="3"/>
      <c r="B7037" s="3"/>
      <c r="C7037" s="3"/>
      <c r="D7037" s="3"/>
      <c r="E7037" s="3"/>
      <c r="F7037" s="3"/>
      <c r="G7037" s="3"/>
      <c r="H7037" s="11"/>
      <c r="I7037" s="12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  <c r="AA7037" s="3"/>
      <c r="AB7037" s="3"/>
      <c r="AC7037" s="3"/>
      <c r="AD7037" s="3"/>
      <c r="AE7037" s="3"/>
      <c r="AF7037" s="3"/>
      <c r="AG7037" s="3"/>
      <c r="AH7037" s="3"/>
    </row>
    <row r="7038" spans="1:34" ht="14.25" customHeight="1" x14ac:dyDescent="0.25">
      <c r="A7038" s="3"/>
      <c r="B7038" s="3"/>
      <c r="C7038" s="3"/>
      <c r="D7038" s="3"/>
      <c r="E7038" s="3"/>
      <c r="F7038" s="3"/>
      <c r="G7038" s="3"/>
      <c r="H7038" s="11"/>
      <c r="I7038" s="12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  <c r="AA7038" s="3"/>
      <c r="AB7038" s="3"/>
      <c r="AC7038" s="3"/>
      <c r="AD7038" s="3"/>
      <c r="AE7038" s="3"/>
      <c r="AF7038" s="3"/>
      <c r="AG7038" s="3"/>
      <c r="AH7038" s="3"/>
    </row>
    <row r="7039" spans="1:34" ht="14.25" customHeight="1" x14ac:dyDescent="0.25">
      <c r="A7039" s="3"/>
      <c r="B7039" s="3"/>
      <c r="C7039" s="3"/>
      <c r="D7039" s="3"/>
      <c r="E7039" s="3"/>
      <c r="F7039" s="3"/>
      <c r="G7039" s="3"/>
      <c r="H7039" s="11"/>
      <c r="I7039" s="12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  <c r="AA7039" s="3"/>
      <c r="AB7039" s="3"/>
      <c r="AC7039" s="3"/>
      <c r="AD7039" s="3"/>
      <c r="AE7039" s="3"/>
      <c r="AF7039" s="3"/>
      <c r="AG7039" s="3"/>
      <c r="AH7039" s="3"/>
    </row>
    <row r="7040" spans="1:34" ht="14.25" customHeight="1" x14ac:dyDescent="0.25">
      <c r="A7040" s="3"/>
      <c r="B7040" s="3"/>
      <c r="C7040" s="3"/>
      <c r="D7040" s="3"/>
      <c r="E7040" s="3"/>
      <c r="F7040" s="3"/>
      <c r="G7040" s="3"/>
      <c r="H7040" s="11"/>
      <c r="I7040" s="12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  <c r="AA7040" s="3"/>
      <c r="AB7040" s="3"/>
      <c r="AC7040" s="3"/>
      <c r="AD7040" s="3"/>
      <c r="AE7040" s="3"/>
      <c r="AF7040" s="3"/>
      <c r="AG7040" s="3"/>
      <c r="AH7040" s="3"/>
    </row>
    <row r="7041" spans="1:34" ht="14.25" customHeight="1" x14ac:dyDescent="0.25">
      <c r="A7041" s="3"/>
      <c r="B7041" s="3"/>
      <c r="C7041" s="3"/>
      <c r="D7041" s="3"/>
      <c r="E7041" s="3"/>
      <c r="F7041" s="3"/>
      <c r="G7041" s="3"/>
      <c r="H7041" s="11"/>
      <c r="I7041" s="12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  <c r="AA7041" s="3"/>
      <c r="AB7041" s="3"/>
      <c r="AC7041" s="3"/>
      <c r="AD7041" s="3"/>
      <c r="AE7041" s="3"/>
      <c r="AF7041" s="3"/>
      <c r="AG7041" s="3"/>
      <c r="AH7041" s="3"/>
    </row>
    <row r="7042" spans="1:34" ht="14.25" customHeight="1" x14ac:dyDescent="0.25">
      <c r="A7042" s="3"/>
      <c r="B7042" s="3"/>
      <c r="C7042" s="3"/>
      <c r="D7042" s="3"/>
      <c r="E7042" s="3"/>
      <c r="F7042" s="3"/>
      <c r="G7042" s="3"/>
      <c r="H7042" s="11"/>
      <c r="I7042" s="12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  <c r="AA7042" s="3"/>
      <c r="AB7042" s="3"/>
      <c r="AC7042" s="3"/>
      <c r="AD7042" s="3"/>
      <c r="AE7042" s="3"/>
      <c r="AF7042" s="3"/>
      <c r="AG7042" s="3"/>
      <c r="AH7042" s="3"/>
    </row>
    <row r="7043" spans="1:34" ht="14.25" customHeight="1" x14ac:dyDescent="0.25">
      <c r="A7043" s="3"/>
      <c r="B7043" s="3"/>
      <c r="C7043" s="3"/>
      <c r="D7043" s="3"/>
      <c r="E7043" s="3"/>
      <c r="F7043" s="3"/>
      <c r="G7043" s="3"/>
      <c r="H7043" s="11"/>
      <c r="I7043" s="12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  <c r="AA7043" s="3"/>
      <c r="AB7043" s="3"/>
      <c r="AC7043" s="3"/>
      <c r="AD7043" s="3"/>
      <c r="AE7043" s="3"/>
      <c r="AF7043" s="3"/>
      <c r="AG7043" s="3"/>
      <c r="AH7043" s="3"/>
    </row>
    <row r="7044" spans="1:34" ht="14.25" customHeight="1" x14ac:dyDescent="0.25">
      <c r="A7044" s="3"/>
      <c r="B7044" s="3"/>
      <c r="C7044" s="3"/>
      <c r="D7044" s="3"/>
      <c r="E7044" s="3"/>
      <c r="F7044" s="3"/>
      <c r="G7044" s="3"/>
      <c r="H7044" s="11"/>
      <c r="I7044" s="12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  <c r="AA7044" s="3"/>
      <c r="AB7044" s="3"/>
      <c r="AC7044" s="3"/>
      <c r="AD7044" s="3"/>
      <c r="AE7044" s="3"/>
      <c r="AF7044" s="3"/>
      <c r="AG7044" s="3"/>
      <c r="AH7044" s="3"/>
    </row>
    <row r="7045" spans="1:34" ht="14.25" customHeight="1" x14ac:dyDescent="0.25">
      <c r="A7045" s="3"/>
      <c r="B7045" s="3"/>
      <c r="C7045" s="3"/>
      <c r="D7045" s="3"/>
      <c r="E7045" s="3"/>
      <c r="F7045" s="3"/>
      <c r="G7045" s="3"/>
      <c r="H7045" s="11"/>
      <c r="I7045" s="12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  <c r="AA7045" s="3"/>
      <c r="AB7045" s="3"/>
      <c r="AC7045" s="3"/>
      <c r="AD7045" s="3"/>
      <c r="AE7045" s="3"/>
      <c r="AF7045" s="3"/>
      <c r="AG7045" s="3"/>
      <c r="AH7045" s="3"/>
    </row>
    <row r="7046" spans="1:34" ht="14.25" customHeight="1" x14ac:dyDescent="0.25">
      <c r="A7046" s="3"/>
      <c r="B7046" s="3"/>
      <c r="C7046" s="3"/>
      <c r="D7046" s="3"/>
      <c r="E7046" s="3"/>
      <c r="F7046" s="3"/>
      <c r="G7046" s="3"/>
      <c r="H7046" s="11"/>
      <c r="I7046" s="12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  <c r="AA7046" s="3"/>
      <c r="AB7046" s="3"/>
      <c r="AC7046" s="3"/>
      <c r="AD7046" s="3"/>
      <c r="AE7046" s="3"/>
      <c r="AF7046" s="3"/>
      <c r="AG7046" s="3"/>
      <c r="AH7046" s="3"/>
    </row>
    <row r="7047" spans="1:34" ht="14.25" customHeight="1" x14ac:dyDescent="0.25">
      <c r="A7047" s="3"/>
      <c r="B7047" s="3"/>
      <c r="C7047" s="3"/>
      <c r="D7047" s="3"/>
      <c r="E7047" s="3"/>
      <c r="F7047" s="3"/>
      <c r="G7047" s="3"/>
      <c r="H7047" s="11"/>
      <c r="I7047" s="12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  <c r="AA7047" s="3"/>
      <c r="AB7047" s="3"/>
      <c r="AC7047" s="3"/>
      <c r="AD7047" s="3"/>
      <c r="AE7047" s="3"/>
      <c r="AF7047" s="3"/>
      <c r="AG7047" s="3"/>
      <c r="AH7047" s="3"/>
    </row>
    <row r="7048" spans="1:34" ht="14.25" customHeight="1" x14ac:dyDescent="0.25">
      <c r="A7048" s="3"/>
      <c r="B7048" s="3"/>
      <c r="C7048" s="3"/>
      <c r="D7048" s="3"/>
      <c r="E7048" s="3"/>
      <c r="F7048" s="3"/>
      <c r="G7048" s="3"/>
      <c r="H7048" s="11"/>
      <c r="I7048" s="12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  <c r="AA7048" s="3"/>
      <c r="AB7048" s="3"/>
      <c r="AC7048" s="3"/>
      <c r="AD7048" s="3"/>
      <c r="AE7048" s="3"/>
      <c r="AF7048" s="3"/>
      <c r="AG7048" s="3"/>
      <c r="AH7048" s="3"/>
    </row>
    <row r="7049" spans="1:34" ht="14.25" customHeight="1" x14ac:dyDescent="0.25">
      <c r="A7049" s="3"/>
      <c r="B7049" s="3"/>
      <c r="C7049" s="3"/>
      <c r="D7049" s="3"/>
      <c r="E7049" s="3"/>
      <c r="F7049" s="3"/>
      <c r="G7049" s="3"/>
      <c r="H7049" s="11"/>
      <c r="I7049" s="12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  <c r="AA7049" s="3"/>
      <c r="AB7049" s="3"/>
      <c r="AC7049" s="3"/>
      <c r="AD7049" s="3"/>
      <c r="AE7049" s="3"/>
      <c r="AF7049" s="3"/>
      <c r="AG7049" s="3"/>
      <c r="AH7049" s="3"/>
    </row>
    <row r="7050" spans="1:34" ht="14.25" customHeight="1" x14ac:dyDescent="0.25">
      <c r="A7050" s="3"/>
      <c r="B7050" s="3"/>
      <c r="C7050" s="3"/>
      <c r="D7050" s="3"/>
      <c r="E7050" s="3"/>
      <c r="F7050" s="3"/>
      <c r="G7050" s="3"/>
      <c r="H7050" s="11"/>
      <c r="I7050" s="12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  <c r="AA7050" s="3"/>
      <c r="AB7050" s="3"/>
      <c r="AC7050" s="3"/>
      <c r="AD7050" s="3"/>
      <c r="AE7050" s="3"/>
      <c r="AF7050" s="3"/>
      <c r="AG7050" s="3"/>
      <c r="AH7050" s="3"/>
    </row>
    <row r="7051" spans="1:34" ht="14.25" customHeight="1" x14ac:dyDescent="0.25">
      <c r="A7051" s="3"/>
      <c r="B7051" s="3"/>
      <c r="C7051" s="3"/>
      <c r="D7051" s="3"/>
      <c r="E7051" s="3"/>
      <c r="F7051" s="3"/>
      <c r="G7051" s="3"/>
      <c r="H7051" s="11"/>
      <c r="I7051" s="12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  <c r="AA7051" s="3"/>
      <c r="AB7051" s="3"/>
      <c r="AC7051" s="3"/>
      <c r="AD7051" s="3"/>
      <c r="AE7051" s="3"/>
      <c r="AF7051" s="3"/>
      <c r="AG7051" s="3"/>
      <c r="AH7051" s="3"/>
    </row>
    <row r="7052" spans="1:34" ht="14.25" customHeight="1" x14ac:dyDescent="0.25">
      <c r="A7052" s="3"/>
      <c r="B7052" s="3"/>
      <c r="C7052" s="3"/>
      <c r="D7052" s="3"/>
      <c r="E7052" s="3"/>
      <c r="F7052" s="3"/>
      <c r="G7052" s="3"/>
      <c r="H7052" s="11"/>
      <c r="I7052" s="12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  <c r="AA7052" s="3"/>
      <c r="AB7052" s="3"/>
      <c r="AC7052" s="3"/>
      <c r="AD7052" s="3"/>
      <c r="AE7052" s="3"/>
      <c r="AF7052" s="3"/>
      <c r="AG7052" s="3"/>
      <c r="AH7052" s="3"/>
    </row>
    <row r="7053" spans="1:34" ht="14.25" customHeight="1" x14ac:dyDescent="0.25">
      <c r="A7053" s="3"/>
      <c r="B7053" s="3"/>
      <c r="C7053" s="3"/>
      <c r="D7053" s="3"/>
      <c r="E7053" s="3"/>
      <c r="F7053" s="3"/>
      <c r="G7053" s="3"/>
      <c r="H7053" s="11"/>
      <c r="I7053" s="12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  <c r="AA7053" s="3"/>
      <c r="AB7053" s="3"/>
      <c r="AC7053" s="3"/>
      <c r="AD7053" s="3"/>
      <c r="AE7053" s="3"/>
      <c r="AF7053" s="3"/>
      <c r="AG7053" s="3"/>
      <c r="AH7053" s="3"/>
    </row>
    <row r="7054" spans="1:34" ht="14.25" customHeight="1" x14ac:dyDescent="0.25">
      <c r="A7054" s="3"/>
      <c r="B7054" s="3"/>
      <c r="C7054" s="3"/>
      <c r="D7054" s="3"/>
      <c r="E7054" s="3"/>
      <c r="F7054" s="3"/>
      <c r="G7054" s="3"/>
      <c r="H7054" s="11"/>
      <c r="I7054" s="12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  <c r="AA7054" s="3"/>
      <c r="AB7054" s="3"/>
      <c r="AC7054" s="3"/>
      <c r="AD7054" s="3"/>
      <c r="AE7054" s="3"/>
      <c r="AF7054" s="3"/>
      <c r="AG7054" s="3"/>
      <c r="AH7054" s="3"/>
    </row>
    <row r="7055" spans="1:34" ht="14.25" customHeight="1" x14ac:dyDescent="0.25">
      <c r="A7055" s="3"/>
      <c r="B7055" s="3"/>
      <c r="C7055" s="3"/>
      <c r="D7055" s="3"/>
      <c r="E7055" s="3"/>
      <c r="F7055" s="3"/>
      <c r="G7055" s="3"/>
      <c r="H7055" s="11"/>
      <c r="I7055" s="12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  <c r="AA7055" s="3"/>
      <c r="AB7055" s="3"/>
      <c r="AC7055" s="3"/>
      <c r="AD7055" s="3"/>
      <c r="AE7055" s="3"/>
      <c r="AF7055" s="3"/>
      <c r="AG7055" s="3"/>
      <c r="AH7055" s="3"/>
    </row>
    <row r="7056" spans="1:34" ht="14.25" customHeight="1" x14ac:dyDescent="0.25">
      <c r="A7056" s="3"/>
      <c r="B7056" s="3"/>
      <c r="C7056" s="3"/>
      <c r="D7056" s="3"/>
      <c r="E7056" s="3"/>
      <c r="F7056" s="3"/>
      <c r="G7056" s="3"/>
      <c r="H7056" s="11"/>
      <c r="I7056" s="12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  <c r="AA7056" s="3"/>
      <c r="AB7056" s="3"/>
      <c r="AC7056" s="3"/>
      <c r="AD7056" s="3"/>
      <c r="AE7056" s="3"/>
      <c r="AF7056" s="3"/>
      <c r="AG7056" s="3"/>
      <c r="AH7056" s="3"/>
    </row>
    <row r="7057" spans="1:34" ht="14.25" customHeight="1" x14ac:dyDescent="0.25">
      <c r="A7057" s="3"/>
      <c r="B7057" s="3"/>
      <c r="C7057" s="3"/>
      <c r="D7057" s="3"/>
      <c r="E7057" s="3"/>
      <c r="F7057" s="3"/>
      <c r="G7057" s="3"/>
      <c r="H7057" s="11"/>
      <c r="I7057" s="12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  <c r="AA7057" s="3"/>
      <c r="AB7057" s="3"/>
      <c r="AC7057" s="3"/>
      <c r="AD7057" s="3"/>
      <c r="AE7057" s="3"/>
      <c r="AF7057" s="3"/>
      <c r="AG7057" s="3"/>
      <c r="AH7057" s="3"/>
    </row>
    <row r="7058" spans="1:34" ht="14.25" customHeight="1" x14ac:dyDescent="0.25">
      <c r="A7058" s="3"/>
      <c r="B7058" s="3"/>
      <c r="C7058" s="3"/>
      <c r="D7058" s="3"/>
      <c r="E7058" s="3"/>
      <c r="F7058" s="3"/>
      <c r="G7058" s="3"/>
      <c r="H7058" s="11"/>
      <c r="I7058" s="12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  <c r="AA7058" s="3"/>
      <c r="AB7058" s="3"/>
      <c r="AC7058" s="3"/>
      <c r="AD7058" s="3"/>
      <c r="AE7058" s="3"/>
      <c r="AF7058" s="3"/>
      <c r="AG7058" s="3"/>
      <c r="AH7058" s="3"/>
    </row>
    <row r="7059" spans="1:34" ht="14.25" customHeight="1" x14ac:dyDescent="0.25">
      <c r="A7059" s="3"/>
      <c r="B7059" s="3"/>
      <c r="C7059" s="3"/>
      <c r="D7059" s="3"/>
      <c r="E7059" s="3"/>
      <c r="F7059" s="3"/>
      <c r="G7059" s="3"/>
      <c r="H7059" s="11"/>
      <c r="I7059" s="12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  <c r="AA7059" s="3"/>
      <c r="AB7059" s="3"/>
      <c r="AC7059" s="3"/>
      <c r="AD7059" s="3"/>
      <c r="AE7059" s="3"/>
      <c r="AF7059" s="3"/>
      <c r="AG7059" s="3"/>
      <c r="AH7059" s="3"/>
    </row>
    <row r="7060" spans="1:34" ht="14.25" customHeight="1" x14ac:dyDescent="0.25">
      <c r="A7060" s="3"/>
      <c r="B7060" s="3"/>
      <c r="C7060" s="3"/>
      <c r="D7060" s="3"/>
      <c r="E7060" s="3"/>
      <c r="F7060" s="3"/>
      <c r="G7060" s="3"/>
      <c r="H7060" s="11"/>
      <c r="I7060" s="12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  <c r="AA7060" s="3"/>
      <c r="AB7060" s="3"/>
      <c r="AC7060" s="3"/>
      <c r="AD7060" s="3"/>
      <c r="AE7060" s="3"/>
      <c r="AF7060" s="3"/>
      <c r="AG7060" s="3"/>
      <c r="AH7060" s="3"/>
    </row>
    <row r="7061" spans="1:34" ht="14.25" customHeight="1" x14ac:dyDescent="0.25">
      <c r="A7061" s="3"/>
      <c r="B7061" s="3"/>
      <c r="C7061" s="3"/>
      <c r="D7061" s="3"/>
      <c r="E7061" s="3"/>
      <c r="F7061" s="3"/>
      <c r="G7061" s="3"/>
      <c r="H7061" s="11"/>
      <c r="I7061" s="12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  <c r="AA7061" s="3"/>
      <c r="AB7061" s="3"/>
      <c r="AC7061" s="3"/>
      <c r="AD7061" s="3"/>
      <c r="AE7061" s="3"/>
      <c r="AF7061" s="3"/>
      <c r="AG7061" s="3"/>
      <c r="AH7061" s="3"/>
    </row>
    <row r="7062" spans="1:34" ht="14.25" customHeight="1" x14ac:dyDescent="0.25">
      <c r="A7062" s="3"/>
      <c r="B7062" s="3"/>
      <c r="C7062" s="3"/>
      <c r="D7062" s="3"/>
      <c r="E7062" s="3"/>
      <c r="F7062" s="3"/>
      <c r="G7062" s="3"/>
      <c r="H7062" s="11"/>
      <c r="I7062" s="12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  <c r="AA7062" s="3"/>
      <c r="AB7062" s="3"/>
      <c r="AC7062" s="3"/>
      <c r="AD7062" s="3"/>
      <c r="AE7062" s="3"/>
      <c r="AF7062" s="3"/>
      <c r="AG7062" s="3"/>
      <c r="AH7062" s="3"/>
    </row>
    <row r="7063" spans="1:34" ht="14.25" customHeight="1" x14ac:dyDescent="0.25">
      <c r="A7063" s="3"/>
      <c r="B7063" s="3"/>
      <c r="C7063" s="3"/>
      <c r="D7063" s="3"/>
      <c r="E7063" s="3"/>
      <c r="F7063" s="3"/>
      <c r="G7063" s="3"/>
      <c r="H7063" s="11"/>
      <c r="I7063" s="12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  <c r="AA7063" s="3"/>
      <c r="AB7063" s="3"/>
      <c r="AC7063" s="3"/>
      <c r="AD7063" s="3"/>
      <c r="AE7063" s="3"/>
      <c r="AF7063" s="3"/>
      <c r="AG7063" s="3"/>
      <c r="AH7063" s="3"/>
    </row>
    <row r="7064" spans="1:34" ht="14.25" customHeight="1" x14ac:dyDescent="0.25">
      <c r="A7064" s="3"/>
      <c r="B7064" s="3"/>
      <c r="C7064" s="3"/>
      <c r="D7064" s="3"/>
      <c r="E7064" s="3"/>
      <c r="F7064" s="3"/>
      <c r="G7064" s="3"/>
      <c r="H7064" s="11"/>
      <c r="I7064" s="12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  <c r="AA7064" s="3"/>
      <c r="AB7064" s="3"/>
      <c r="AC7064" s="3"/>
      <c r="AD7064" s="3"/>
      <c r="AE7064" s="3"/>
      <c r="AF7064" s="3"/>
      <c r="AG7064" s="3"/>
      <c r="AH7064" s="3"/>
    </row>
    <row r="7065" spans="1:34" ht="14.25" customHeight="1" x14ac:dyDescent="0.25">
      <c r="A7065" s="3"/>
      <c r="B7065" s="3"/>
      <c r="C7065" s="3"/>
      <c r="D7065" s="3"/>
      <c r="E7065" s="3"/>
      <c r="F7065" s="3"/>
      <c r="G7065" s="3"/>
      <c r="H7065" s="11"/>
      <c r="I7065" s="12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  <c r="AA7065" s="3"/>
      <c r="AB7065" s="3"/>
      <c r="AC7065" s="3"/>
      <c r="AD7065" s="3"/>
      <c r="AE7065" s="3"/>
      <c r="AF7065" s="3"/>
      <c r="AG7065" s="3"/>
      <c r="AH7065" s="3"/>
    </row>
    <row r="7066" spans="1:34" ht="14.25" customHeight="1" x14ac:dyDescent="0.25">
      <c r="A7066" s="3"/>
      <c r="B7066" s="3"/>
      <c r="C7066" s="3"/>
      <c r="D7066" s="3"/>
      <c r="E7066" s="3"/>
      <c r="F7066" s="3"/>
      <c r="G7066" s="3"/>
      <c r="H7066" s="11"/>
      <c r="I7066" s="12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  <c r="AA7066" s="3"/>
      <c r="AB7066" s="3"/>
      <c r="AC7066" s="3"/>
      <c r="AD7066" s="3"/>
      <c r="AE7066" s="3"/>
      <c r="AF7066" s="3"/>
      <c r="AG7066" s="3"/>
      <c r="AH7066" s="3"/>
    </row>
    <row r="7067" spans="1:34" ht="14.25" customHeight="1" x14ac:dyDescent="0.25">
      <c r="A7067" s="3"/>
      <c r="B7067" s="3"/>
      <c r="C7067" s="3"/>
      <c r="D7067" s="3"/>
      <c r="E7067" s="3"/>
      <c r="F7067" s="3"/>
      <c r="G7067" s="3"/>
      <c r="H7067" s="11"/>
      <c r="I7067" s="12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  <c r="AA7067" s="3"/>
      <c r="AB7067" s="3"/>
      <c r="AC7067" s="3"/>
      <c r="AD7067" s="3"/>
      <c r="AE7067" s="3"/>
      <c r="AF7067" s="3"/>
      <c r="AG7067" s="3"/>
      <c r="AH7067" s="3"/>
    </row>
    <row r="7068" spans="1:34" ht="14.25" customHeight="1" x14ac:dyDescent="0.25">
      <c r="A7068" s="3"/>
      <c r="B7068" s="3"/>
      <c r="C7068" s="3"/>
      <c r="D7068" s="3"/>
      <c r="E7068" s="3"/>
      <c r="F7068" s="3"/>
      <c r="G7068" s="3"/>
      <c r="H7068" s="11"/>
      <c r="I7068" s="12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  <c r="AA7068" s="3"/>
      <c r="AB7068" s="3"/>
      <c r="AC7068" s="3"/>
      <c r="AD7068" s="3"/>
      <c r="AE7068" s="3"/>
      <c r="AF7068" s="3"/>
      <c r="AG7068" s="3"/>
      <c r="AH7068" s="3"/>
    </row>
    <row r="7069" spans="1:34" ht="14.25" customHeight="1" x14ac:dyDescent="0.25">
      <c r="A7069" s="3"/>
      <c r="B7069" s="3"/>
      <c r="C7069" s="3"/>
      <c r="D7069" s="3"/>
      <c r="E7069" s="3"/>
      <c r="F7069" s="3"/>
      <c r="G7069" s="3"/>
      <c r="H7069" s="11"/>
      <c r="I7069" s="12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  <c r="AA7069" s="3"/>
      <c r="AB7069" s="3"/>
      <c r="AC7069" s="3"/>
      <c r="AD7069" s="3"/>
      <c r="AE7069" s="3"/>
      <c r="AF7069" s="3"/>
      <c r="AG7069" s="3"/>
      <c r="AH7069" s="3"/>
    </row>
    <row r="7070" spans="1:34" ht="14.25" customHeight="1" x14ac:dyDescent="0.25">
      <c r="A7070" s="3"/>
      <c r="B7070" s="3"/>
      <c r="C7070" s="3"/>
      <c r="D7070" s="3"/>
      <c r="E7070" s="3"/>
      <c r="F7070" s="3"/>
      <c r="G7070" s="3"/>
      <c r="H7070" s="11"/>
      <c r="I7070" s="12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  <c r="AA7070" s="3"/>
      <c r="AB7070" s="3"/>
      <c r="AC7070" s="3"/>
      <c r="AD7070" s="3"/>
      <c r="AE7070" s="3"/>
      <c r="AF7070" s="3"/>
      <c r="AG7070" s="3"/>
      <c r="AH7070" s="3"/>
    </row>
    <row r="7071" spans="1:34" ht="14.25" customHeight="1" x14ac:dyDescent="0.25">
      <c r="A7071" s="3"/>
      <c r="B7071" s="3"/>
      <c r="C7071" s="3"/>
      <c r="D7071" s="3"/>
      <c r="E7071" s="3"/>
      <c r="F7071" s="3"/>
      <c r="G7071" s="3"/>
      <c r="H7071" s="11"/>
      <c r="I7071" s="12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  <c r="AA7071" s="3"/>
      <c r="AB7071" s="3"/>
      <c r="AC7071" s="3"/>
      <c r="AD7071" s="3"/>
      <c r="AE7071" s="3"/>
      <c r="AF7071" s="3"/>
      <c r="AG7071" s="3"/>
      <c r="AH7071" s="3"/>
    </row>
    <row r="7072" spans="1:34" ht="14.25" customHeight="1" x14ac:dyDescent="0.25">
      <c r="A7072" s="3"/>
      <c r="B7072" s="3"/>
      <c r="C7072" s="3"/>
      <c r="D7072" s="3"/>
      <c r="E7072" s="3"/>
      <c r="F7072" s="3"/>
      <c r="G7072" s="3"/>
      <c r="H7072" s="11"/>
      <c r="I7072" s="12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  <c r="AA7072" s="3"/>
      <c r="AB7072" s="3"/>
      <c r="AC7072" s="3"/>
      <c r="AD7072" s="3"/>
      <c r="AE7072" s="3"/>
      <c r="AF7072" s="3"/>
      <c r="AG7072" s="3"/>
      <c r="AH7072" s="3"/>
    </row>
    <row r="7073" spans="1:34" ht="14.25" customHeight="1" x14ac:dyDescent="0.25">
      <c r="A7073" s="3"/>
      <c r="B7073" s="3"/>
      <c r="C7073" s="3"/>
      <c r="D7073" s="3"/>
      <c r="E7073" s="3"/>
      <c r="F7073" s="3"/>
      <c r="G7073" s="3"/>
      <c r="H7073" s="11"/>
      <c r="I7073" s="12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  <c r="AA7073" s="3"/>
      <c r="AB7073" s="3"/>
      <c r="AC7073" s="3"/>
      <c r="AD7073" s="3"/>
      <c r="AE7073" s="3"/>
      <c r="AF7073" s="3"/>
      <c r="AG7073" s="3"/>
      <c r="AH7073" s="3"/>
    </row>
    <row r="7074" spans="1:34" ht="14.25" customHeight="1" x14ac:dyDescent="0.25">
      <c r="A7074" s="3"/>
      <c r="B7074" s="3"/>
      <c r="C7074" s="3"/>
      <c r="D7074" s="3"/>
      <c r="E7074" s="3"/>
      <c r="F7074" s="3"/>
      <c r="G7074" s="3"/>
      <c r="H7074" s="11"/>
      <c r="I7074" s="12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  <c r="AA7074" s="3"/>
      <c r="AB7074" s="3"/>
      <c r="AC7074" s="3"/>
      <c r="AD7074" s="3"/>
      <c r="AE7074" s="3"/>
      <c r="AF7074" s="3"/>
      <c r="AG7074" s="3"/>
      <c r="AH7074" s="3"/>
    </row>
    <row r="7075" spans="1:34" ht="14.25" customHeight="1" x14ac:dyDescent="0.25">
      <c r="A7075" s="3"/>
      <c r="B7075" s="3"/>
      <c r="C7075" s="3"/>
      <c r="D7075" s="3"/>
      <c r="E7075" s="3"/>
      <c r="F7075" s="3"/>
      <c r="G7075" s="3"/>
      <c r="H7075" s="11"/>
      <c r="I7075" s="12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  <c r="AA7075" s="3"/>
      <c r="AB7075" s="3"/>
      <c r="AC7075" s="3"/>
      <c r="AD7075" s="3"/>
      <c r="AE7075" s="3"/>
      <c r="AF7075" s="3"/>
      <c r="AG7075" s="3"/>
      <c r="AH7075" s="3"/>
    </row>
    <row r="7076" spans="1:34" ht="14.25" customHeight="1" x14ac:dyDescent="0.25">
      <c r="A7076" s="3"/>
      <c r="B7076" s="3"/>
      <c r="C7076" s="3"/>
      <c r="D7076" s="3"/>
      <c r="E7076" s="3"/>
      <c r="F7076" s="3"/>
      <c r="G7076" s="3"/>
      <c r="H7076" s="11"/>
      <c r="I7076" s="12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  <c r="AA7076" s="3"/>
      <c r="AB7076" s="3"/>
      <c r="AC7076" s="3"/>
      <c r="AD7076" s="3"/>
      <c r="AE7076" s="3"/>
      <c r="AF7076" s="3"/>
      <c r="AG7076" s="3"/>
      <c r="AH7076" s="3"/>
    </row>
    <row r="7077" spans="1:34" ht="14.25" customHeight="1" x14ac:dyDescent="0.25">
      <c r="A7077" s="3"/>
      <c r="B7077" s="3"/>
      <c r="C7077" s="3"/>
      <c r="D7077" s="3"/>
      <c r="E7077" s="3"/>
      <c r="F7077" s="3"/>
      <c r="G7077" s="3"/>
      <c r="H7077" s="11"/>
      <c r="I7077" s="12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  <c r="AA7077" s="3"/>
      <c r="AB7077" s="3"/>
      <c r="AC7077" s="3"/>
      <c r="AD7077" s="3"/>
      <c r="AE7077" s="3"/>
      <c r="AF7077" s="3"/>
      <c r="AG7077" s="3"/>
      <c r="AH7077" s="3"/>
    </row>
    <row r="7078" spans="1:34" ht="14.25" customHeight="1" x14ac:dyDescent="0.25">
      <c r="A7078" s="3"/>
      <c r="B7078" s="3"/>
      <c r="C7078" s="3"/>
      <c r="D7078" s="3"/>
      <c r="E7078" s="3"/>
      <c r="F7078" s="3"/>
      <c r="G7078" s="3"/>
      <c r="H7078" s="11"/>
      <c r="I7078" s="12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  <c r="AA7078" s="3"/>
      <c r="AB7078" s="3"/>
      <c r="AC7078" s="3"/>
      <c r="AD7078" s="3"/>
      <c r="AE7078" s="3"/>
      <c r="AF7078" s="3"/>
      <c r="AG7078" s="3"/>
      <c r="AH7078" s="3"/>
    </row>
    <row r="7079" spans="1:34" ht="14.25" customHeight="1" x14ac:dyDescent="0.25">
      <c r="A7079" s="3"/>
      <c r="B7079" s="3"/>
      <c r="C7079" s="3"/>
      <c r="D7079" s="3"/>
      <c r="E7079" s="3"/>
      <c r="F7079" s="3"/>
      <c r="G7079" s="3"/>
      <c r="H7079" s="11"/>
      <c r="I7079" s="12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  <c r="AA7079" s="3"/>
      <c r="AB7079" s="3"/>
      <c r="AC7079" s="3"/>
      <c r="AD7079" s="3"/>
      <c r="AE7079" s="3"/>
      <c r="AF7079" s="3"/>
      <c r="AG7079" s="3"/>
      <c r="AH7079" s="3"/>
    </row>
    <row r="7080" spans="1:34" ht="14.25" customHeight="1" x14ac:dyDescent="0.25">
      <c r="A7080" s="3"/>
      <c r="B7080" s="3"/>
      <c r="C7080" s="3"/>
      <c r="D7080" s="3"/>
      <c r="E7080" s="3"/>
      <c r="F7080" s="3"/>
      <c r="G7080" s="3"/>
      <c r="H7080" s="11"/>
      <c r="I7080" s="12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  <c r="AA7080" s="3"/>
      <c r="AB7080" s="3"/>
      <c r="AC7080" s="3"/>
      <c r="AD7080" s="3"/>
      <c r="AE7080" s="3"/>
      <c r="AF7080" s="3"/>
      <c r="AG7080" s="3"/>
      <c r="AH7080" s="3"/>
    </row>
    <row r="7081" spans="1:34" ht="14.25" customHeight="1" x14ac:dyDescent="0.25">
      <c r="A7081" s="3"/>
      <c r="B7081" s="3"/>
      <c r="C7081" s="3"/>
      <c r="D7081" s="3"/>
      <c r="E7081" s="3"/>
      <c r="F7081" s="3"/>
      <c r="G7081" s="3"/>
      <c r="H7081" s="11"/>
      <c r="I7081" s="12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  <c r="AA7081" s="3"/>
      <c r="AB7081" s="3"/>
      <c r="AC7081" s="3"/>
      <c r="AD7081" s="3"/>
      <c r="AE7081" s="3"/>
      <c r="AF7081" s="3"/>
      <c r="AG7081" s="3"/>
      <c r="AH7081" s="3"/>
    </row>
    <row r="7082" spans="1:34" ht="14.25" customHeight="1" x14ac:dyDescent="0.25">
      <c r="A7082" s="3"/>
      <c r="B7082" s="3"/>
      <c r="C7082" s="3"/>
      <c r="D7082" s="3"/>
      <c r="E7082" s="3"/>
      <c r="F7082" s="3"/>
      <c r="G7082" s="3"/>
      <c r="H7082" s="11"/>
      <c r="I7082" s="12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  <c r="AA7082" s="3"/>
      <c r="AB7082" s="3"/>
      <c r="AC7082" s="3"/>
      <c r="AD7082" s="3"/>
      <c r="AE7082" s="3"/>
      <c r="AF7082" s="3"/>
      <c r="AG7082" s="3"/>
      <c r="AH7082" s="3"/>
    </row>
    <row r="7083" spans="1:34" ht="14.25" customHeight="1" x14ac:dyDescent="0.25">
      <c r="A7083" s="3"/>
      <c r="B7083" s="3"/>
      <c r="C7083" s="3"/>
      <c r="D7083" s="3"/>
      <c r="E7083" s="3"/>
      <c r="F7083" s="3"/>
      <c r="G7083" s="3"/>
      <c r="H7083" s="11"/>
      <c r="I7083" s="12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  <c r="AA7083" s="3"/>
      <c r="AB7083" s="3"/>
      <c r="AC7083" s="3"/>
      <c r="AD7083" s="3"/>
      <c r="AE7083" s="3"/>
      <c r="AF7083" s="3"/>
      <c r="AG7083" s="3"/>
      <c r="AH7083" s="3"/>
    </row>
    <row r="7084" spans="1:34" ht="14.25" customHeight="1" x14ac:dyDescent="0.25">
      <c r="A7084" s="3"/>
      <c r="B7084" s="3"/>
      <c r="C7084" s="3"/>
      <c r="D7084" s="3"/>
      <c r="E7084" s="3"/>
      <c r="F7084" s="3"/>
      <c r="G7084" s="3"/>
      <c r="H7084" s="11"/>
      <c r="I7084" s="12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  <c r="AA7084" s="3"/>
      <c r="AB7084" s="3"/>
      <c r="AC7084" s="3"/>
      <c r="AD7084" s="3"/>
      <c r="AE7084" s="3"/>
      <c r="AF7084" s="3"/>
      <c r="AG7084" s="3"/>
      <c r="AH7084" s="3"/>
    </row>
    <row r="7085" spans="1:34" ht="14.25" customHeight="1" x14ac:dyDescent="0.25">
      <c r="A7085" s="3"/>
      <c r="B7085" s="3"/>
      <c r="C7085" s="3"/>
      <c r="D7085" s="3"/>
      <c r="E7085" s="3"/>
      <c r="F7085" s="3"/>
      <c r="G7085" s="3"/>
      <c r="H7085" s="11"/>
      <c r="I7085" s="12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  <c r="AA7085" s="3"/>
      <c r="AB7085" s="3"/>
      <c r="AC7085" s="3"/>
      <c r="AD7085" s="3"/>
      <c r="AE7085" s="3"/>
      <c r="AF7085" s="3"/>
      <c r="AG7085" s="3"/>
      <c r="AH7085" s="3"/>
    </row>
    <row r="7086" spans="1:34" ht="14.25" customHeight="1" x14ac:dyDescent="0.25">
      <c r="A7086" s="3"/>
      <c r="B7086" s="3"/>
      <c r="C7086" s="3"/>
      <c r="D7086" s="3"/>
      <c r="E7086" s="3"/>
      <c r="F7086" s="3"/>
      <c r="G7086" s="3"/>
      <c r="H7086" s="11"/>
      <c r="I7086" s="12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  <c r="AA7086" s="3"/>
      <c r="AB7086" s="3"/>
      <c r="AC7086" s="3"/>
      <c r="AD7086" s="3"/>
      <c r="AE7086" s="3"/>
      <c r="AF7086" s="3"/>
      <c r="AG7086" s="3"/>
      <c r="AH7086" s="3"/>
    </row>
    <row r="7087" spans="1:34" ht="14.25" customHeight="1" x14ac:dyDescent="0.25">
      <c r="A7087" s="3"/>
      <c r="B7087" s="3"/>
      <c r="C7087" s="3"/>
      <c r="D7087" s="3"/>
      <c r="E7087" s="3"/>
      <c r="F7087" s="3"/>
      <c r="G7087" s="3"/>
      <c r="H7087" s="11"/>
      <c r="I7087" s="12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  <c r="AA7087" s="3"/>
      <c r="AB7087" s="3"/>
      <c r="AC7087" s="3"/>
      <c r="AD7087" s="3"/>
      <c r="AE7087" s="3"/>
      <c r="AF7087" s="3"/>
      <c r="AG7087" s="3"/>
      <c r="AH7087" s="3"/>
    </row>
    <row r="7088" spans="1:34" ht="14.25" customHeight="1" x14ac:dyDescent="0.25">
      <c r="A7088" s="3"/>
      <c r="B7088" s="3"/>
      <c r="C7088" s="3"/>
      <c r="D7088" s="3"/>
      <c r="E7088" s="3"/>
      <c r="F7088" s="3"/>
      <c r="G7088" s="3"/>
      <c r="H7088" s="11"/>
      <c r="I7088" s="12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  <c r="AA7088" s="3"/>
      <c r="AB7088" s="3"/>
      <c r="AC7088" s="3"/>
      <c r="AD7088" s="3"/>
      <c r="AE7088" s="3"/>
      <c r="AF7088" s="3"/>
      <c r="AG7088" s="3"/>
      <c r="AH7088" s="3"/>
    </row>
    <row r="7089" spans="1:34" ht="14.25" customHeight="1" x14ac:dyDescent="0.25">
      <c r="A7089" s="3"/>
      <c r="B7089" s="3"/>
      <c r="C7089" s="3"/>
      <c r="D7089" s="3"/>
      <c r="E7089" s="3"/>
      <c r="F7089" s="3"/>
      <c r="G7089" s="3"/>
      <c r="H7089" s="11"/>
      <c r="I7089" s="12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  <c r="AA7089" s="3"/>
      <c r="AB7089" s="3"/>
      <c r="AC7089" s="3"/>
      <c r="AD7089" s="3"/>
      <c r="AE7089" s="3"/>
      <c r="AF7089" s="3"/>
      <c r="AG7089" s="3"/>
      <c r="AH7089" s="3"/>
    </row>
    <row r="7090" spans="1:34" ht="14.25" customHeight="1" x14ac:dyDescent="0.25">
      <c r="A7090" s="3"/>
      <c r="B7090" s="3"/>
      <c r="C7090" s="3"/>
      <c r="D7090" s="3"/>
      <c r="E7090" s="3"/>
      <c r="F7090" s="3"/>
      <c r="G7090" s="3"/>
      <c r="H7090" s="11"/>
      <c r="I7090" s="12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  <c r="AA7090" s="3"/>
      <c r="AB7090" s="3"/>
      <c r="AC7090" s="3"/>
      <c r="AD7090" s="3"/>
      <c r="AE7090" s="3"/>
      <c r="AF7090" s="3"/>
      <c r="AG7090" s="3"/>
      <c r="AH7090" s="3"/>
    </row>
    <row r="7091" spans="1:34" ht="14.25" customHeight="1" x14ac:dyDescent="0.25">
      <c r="A7091" s="3"/>
      <c r="B7091" s="3"/>
      <c r="C7091" s="3"/>
      <c r="D7091" s="3"/>
      <c r="E7091" s="3"/>
      <c r="F7091" s="3"/>
      <c r="G7091" s="3"/>
      <c r="H7091" s="11"/>
      <c r="I7091" s="12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  <c r="AA7091" s="3"/>
      <c r="AB7091" s="3"/>
      <c r="AC7091" s="3"/>
      <c r="AD7091" s="3"/>
      <c r="AE7091" s="3"/>
      <c r="AF7091" s="3"/>
      <c r="AG7091" s="3"/>
      <c r="AH7091" s="3"/>
    </row>
    <row r="7092" spans="1:34" ht="14.25" customHeight="1" x14ac:dyDescent="0.25">
      <c r="A7092" s="3"/>
      <c r="B7092" s="3"/>
      <c r="C7092" s="3"/>
      <c r="D7092" s="3"/>
      <c r="E7092" s="3"/>
      <c r="F7092" s="3"/>
      <c r="G7092" s="3"/>
      <c r="H7092" s="11"/>
      <c r="I7092" s="12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  <c r="AA7092" s="3"/>
      <c r="AB7092" s="3"/>
      <c r="AC7092" s="3"/>
      <c r="AD7092" s="3"/>
      <c r="AE7092" s="3"/>
      <c r="AF7092" s="3"/>
      <c r="AG7092" s="3"/>
      <c r="AH7092" s="3"/>
    </row>
    <row r="7093" spans="1:34" ht="14.25" customHeight="1" x14ac:dyDescent="0.25">
      <c r="A7093" s="3"/>
      <c r="B7093" s="3"/>
      <c r="C7093" s="3"/>
      <c r="D7093" s="3"/>
      <c r="E7093" s="3"/>
      <c r="F7093" s="3"/>
      <c r="G7093" s="3"/>
      <c r="H7093" s="11"/>
      <c r="I7093" s="12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  <c r="AA7093" s="3"/>
      <c r="AB7093" s="3"/>
      <c r="AC7093" s="3"/>
      <c r="AD7093" s="3"/>
      <c r="AE7093" s="3"/>
      <c r="AF7093" s="3"/>
      <c r="AG7093" s="3"/>
      <c r="AH7093" s="3"/>
    </row>
    <row r="7094" spans="1:34" ht="14.25" customHeight="1" x14ac:dyDescent="0.25">
      <c r="A7094" s="3"/>
      <c r="B7094" s="3"/>
      <c r="C7094" s="3"/>
      <c r="D7094" s="3"/>
      <c r="E7094" s="3"/>
      <c r="F7094" s="3"/>
      <c r="G7094" s="3"/>
      <c r="H7094" s="11"/>
      <c r="I7094" s="12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  <c r="AA7094" s="3"/>
      <c r="AB7094" s="3"/>
      <c r="AC7094" s="3"/>
      <c r="AD7094" s="3"/>
      <c r="AE7094" s="3"/>
      <c r="AF7094" s="3"/>
      <c r="AG7094" s="3"/>
      <c r="AH7094" s="3"/>
    </row>
    <row r="7095" spans="1:34" ht="14.25" customHeight="1" x14ac:dyDescent="0.25">
      <c r="A7095" s="3"/>
      <c r="B7095" s="3"/>
      <c r="C7095" s="3"/>
      <c r="D7095" s="3"/>
      <c r="E7095" s="3"/>
      <c r="F7095" s="3"/>
      <c r="G7095" s="3"/>
      <c r="H7095" s="11"/>
      <c r="I7095" s="12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  <c r="AA7095" s="3"/>
      <c r="AB7095" s="3"/>
      <c r="AC7095" s="3"/>
      <c r="AD7095" s="3"/>
      <c r="AE7095" s="3"/>
      <c r="AF7095" s="3"/>
      <c r="AG7095" s="3"/>
      <c r="AH7095" s="3"/>
    </row>
    <row r="7096" spans="1:34" ht="14.25" customHeight="1" x14ac:dyDescent="0.25">
      <c r="A7096" s="3"/>
      <c r="B7096" s="3"/>
      <c r="C7096" s="3"/>
      <c r="D7096" s="3"/>
      <c r="E7096" s="3"/>
      <c r="F7096" s="3"/>
      <c r="G7096" s="3"/>
      <c r="H7096" s="11"/>
      <c r="I7096" s="12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  <c r="AA7096" s="3"/>
      <c r="AB7096" s="3"/>
      <c r="AC7096" s="3"/>
      <c r="AD7096" s="3"/>
      <c r="AE7096" s="3"/>
      <c r="AF7096" s="3"/>
      <c r="AG7096" s="3"/>
      <c r="AH7096" s="3"/>
    </row>
    <row r="7097" spans="1:34" ht="14.25" customHeight="1" x14ac:dyDescent="0.25">
      <c r="A7097" s="3"/>
      <c r="B7097" s="3"/>
      <c r="C7097" s="3"/>
      <c r="D7097" s="3"/>
      <c r="E7097" s="3"/>
      <c r="F7097" s="3"/>
      <c r="G7097" s="3"/>
      <c r="H7097" s="11"/>
      <c r="I7097" s="12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  <c r="AA7097" s="3"/>
      <c r="AB7097" s="3"/>
      <c r="AC7097" s="3"/>
      <c r="AD7097" s="3"/>
      <c r="AE7097" s="3"/>
      <c r="AF7097" s="3"/>
      <c r="AG7097" s="3"/>
      <c r="AH7097" s="3"/>
    </row>
    <row r="7098" spans="1:34" ht="14.25" customHeight="1" x14ac:dyDescent="0.25">
      <c r="A7098" s="3"/>
      <c r="B7098" s="3"/>
      <c r="C7098" s="3"/>
      <c r="D7098" s="3"/>
      <c r="E7098" s="3"/>
      <c r="F7098" s="3"/>
      <c r="G7098" s="3"/>
      <c r="H7098" s="11"/>
      <c r="I7098" s="12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  <c r="AA7098" s="3"/>
      <c r="AB7098" s="3"/>
      <c r="AC7098" s="3"/>
      <c r="AD7098" s="3"/>
      <c r="AE7098" s="3"/>
      <c r="AF7098" s="3"/>
      <c r="AG7098" s="3"/>
      <c r="AH7098" s="3"/>
    </row>
    <row r="7099" spans="1:34" ht="14.25" customHeight="1" x14ac:dyDescent="0.25">
      <c r="A7099" s="3"/>
      <c r="B7099" s="3"/>
      <c r="C7099" s="3"/>
      <c r="D7099" s="3"/>
      <c r="E7099" s="3"/>
      <c r="F7099" s="3"/>
      <c r="G7099" s="3"/>
      <c r="H7099" s="11"/>
      <c r="I7099" s="12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  <c r="AA7099" s="3"/>
      <c r="AB7099" s="3"/>
      <c r="AC7099" s="3"/>
      <c r="AD7099" s="3"/>
      <c r="AE7099" s="3"/>
      <c r="AF7099" s="3"/>
      <c r="AG7099" s="3"/>
      <c r="AH7099" s="3"/>
    </row>
    <row r="7100" spans="1:34" ht="14.25" customHeight="1" x14ac:dyDescent="0.25">
      <c r="A7100" s="3"/>
      <c r="B7100" s="3"/>
      <c r="C7100" s="3"/>
      <c r="D7100" s="3"/>
      <c r="E7100" s="3"/>
      <c r="F7100" s="3"/>
      <c r="G7100" s="3"/>
      <c r="H7100" s="11"/>
      <c r="I7100" s="12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  <c r="AA7100" s="3"/>
      <c r="AB7100" s="3"/>
      <c r="AC7100" s="3"/>
      <c r="AD7100" s="3"/>
      <c r="AE7100" s="3"/>
      <c r="AF7100" s="3"/>
      <c r="AG7100" s="3"/>
      <c r="AH7100" s="3"/>
    </row>
    <row r="7101" spans="1:34" ht="14.25" customHeight="1" x14ac:dyDescent="0.25">
      <c r="A7101" s="3"/>
      <c r="B7101" s="3"/>
      <c r="C7101" s="3"/>
      <c r="D7101" s="3"/>
      <c r="E7101" s="3"/>
      <c r="F7101" s="3"/>
      <c r="G7101" s="3"/>
      <c r="H7101" s="11"/>
      <c r="I7101" s="12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  <c r="AA7101" s="3"/>
      <c r="AB7101" s="3"/>
      <c r="AC7101" s="3"/>
      <c r="AD7101" s="3"/>
      <c r="AE7101" s="3"/>
      <c r="AF7101" s="3"/>
      <c r="AG7101" s="3"/>
      <c r="AH7101" s="3"/>
    </row>
    <row r="7102" spans="1:34" ht="14.25" customHeight="1" x14ac:dyDescent="0.25">
      <c r="A7102" s="3"/>
      <c r="B7102" s="3"/>
      <c r="C7102" s="3"/>
      <c r="D7102" s="3"/>
      <c r="E7102" s="3"/>
      <c r="F7102" s="3"/>
      <c r="G7102" s="3"/>
      <c r="H7102" s="11"/>
      <c r="I7102" s="12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  <c r="AA7102" s="3"/>
      <c r="AB7102" s="3"/>
      <c r="AC7102" s="3"/>
      <c r="AD7102" s="3"/>
      <c r="AE7102" s="3"/>
      <c r="AF7102" s="3"/>
      <c r="AG7102" s="3"/>
      <c r="AH7102" s="3"/>
    </row>
    <row r="7103" spans="1:34" ht="14.25" customHeight="1" x14ac:dyDescent="0.25">
      <c r="A7103" s="3"/>
      <c r="B7103" s="3"/>
      <c r="C7103" s="3"/>
      <c r="D7103" s="3"/>
      <c r="E7103" s="3"/>
      <c r="F7103" s="3"/>
      <c r="G7103" s="3"/>
      <c r="H7103" s="11"/>
      <c r="I7103" s="12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  <c r="AA7103" s="3"/>
      <c r="AB7103" s="3"/>
      <c r="AC7103" s="3"/>
      <c r="AD7103" s="3"/>
      <c r="AE7103" s="3"/>
      <c r="AF7103" s="3"/>
      <c r="AG7103" s="3"/>
      <c r="AH7103" s="3"/>
    </row>
    <row r="7104" spans="1:34" ht="14.25" customHeight="1" x14ac:dyDescent="0.25">
      <c r="A7104" s="3"/>
      <c r="B7104" s="3"/>
      <c r="C7104" s="3"/>
      <c r="D7104" s="3"/>
      <c r="E7104" s="3"/>
      <c r="F7104" s="3"/>
      <c r="G7104" s="3"/>
      <c r="H7104" s="11"/>
      <c r="I7104" s="12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  <c r="AA7104" s="3"/>
      <c r="AB7104" s="3"/>
      <c r="AC7104" s="3"/>
      <c r="AD7104" s="3"/>
      <c r="AE7104" s="3"/>
      <c r="AF7104" s="3"/>
      <c r="AG7104" s="3"/>
      <c r="AH7104" s="3"/>
    </row>
    <row r="7105" spans="1:34" ht="14.25" customHeight="1" x14ac:dyDescent="0.25">
      <c r="A7105" s="3"/>
      <c r="B7105" s="3"/>
      <c r="C7105" s="3"/>
      <c r="D7105" s="3"/>
      <c r="E7105" s="3"/>
      <c r="F7105" s="3"/>
      <c r="G7105" s="3"/>
      <c r="H7105" s="11"/>
      <c r="I7105" s="12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  <c r="AA7105" s="3"/>
      <c r="AB7105" s="3"/>
      <c r="AC7105" s="3"/>
      <c r="AD7105" s="3"/>
      <c r="AE7105" s="3"/>
      <c r="AF7105" s="3"/>
      <c r="AG7105" s="3"/>
      <c r="AH7105" s="3"/>
    </row>
    <row r="7106" spans="1:34" ht="14.25" customHeight="1" x14ac:dyDescent="0.25">
      <c r="A7106" s="3"/>
      <c r="B7106" s="3"/>
      <c r="C7106" s="3"/>
      <c r="D7106" s="3"/>
      <c r="E7106" s="3"/>
      <c r="F7106" s="3"/>
      <c r="G7106" s="3"/>
      <c r="H7106" s="11"/>
      <c r="I7106" s="12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  <c r="AA7106" s="3"/>
      <c r="AB7106" s="3"/>
      <c r="AC7106" s="3"/>
      <c r="AD7106" s="3"/>
      <c r="AE7106" s="3"/>
      <c r="AF7106" s="3"/>
      <c r="AG7106" s="3"/>
      <c r="AH7106" s="3"/>
    </row>
    <row r="7107" spans="1:34" ht="14.25" customHeight="1" x14ac:dyDescent="0.25">
      <c r="A7107" s="3"/>
      <c r="B7107" s="3"/>
      <c r="C7107" s="3"/>
      <c r="D7107" s="3"/>
      <c r="E7107" s="3"/>
      <c r="F7107" s="3"/>
      <c r="G7107" s="3"/>
      <c r="H7107" s="11"/>
      <c r="I7107" s="12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  <c r="AA7107" s="3"/>
      <c r="AB7107" s="3"/>
      <c r="AC7107" s="3"/>
      <c r="AD7107" s="3"/>
      <c r="AE7107" s="3"/>
      <c r="AF7107" s="3"/>
      <c r="AG7107" s="3"/>
      <c r="AH7107" s="3"/>
    </row>
    <row r="7108" spans="1:34" ht="14.25" customHeight="1" x14ac:dyDescent="0.25">
      <c r="A7108" s="3"/>
      <c r="B7108" s="3"/>
      <c r="C7108" s="3"/>
      <c r="D7108" s="3"/>
      <c r="E7108" s="3"/>
      <c r="F7108" s="3"/>
      <c r="G7108" s="3"/>
      <c r="H7108" s="11"/>
      <c r="I7108" s="12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  <c r="AA7108" s="3"/>
      <c r="AB7108" s="3"/>
      <c r="AC7108" s="3"/>
      <c r="AD7108" s="3"/>
      <c r="AE7108" s="3"/>
      <c r="AF7108" s="3"/>
      <c r="AG7108" s="3"/>
      <c r="AH7108" s="3"/>
    </row>
    <row r="7109" spans="1:34" ht="14.25" customHeight="1" x14ac:dyDescent="0.25">
      <c r="A7109" s="3"/>
      <c r="B7109" s="3"/>
      <c r="C7109" s="3"/>
      <c r="D7109" s="3"/>
      <c r="E7109" s="3"/>
      <c r="F7109" s="3"/>
      <c r="G7109" s="3"/>
      <c r="H7109" s="11"/>
      <c r="I7109" s="12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  <c r="AA7109" s="3"/>
      <c r="AB7109" s="3"/>
      <c r="AC7109" s="3"/>
      <c r="AD7109" s="3"/>
      <c r="AE7109" s="3"/>
      <c r="AF7109" s="3"/>
      <c r="AG7109" s="3"/>
      <c r="AH7109" s="3"/>
    </row>
    <row r="7110" spans="1:34" ht="14.25" customHeight="1" x14ac:dyDescent="0.25">
      <c r="A7110" s="3"/>
      <c r="B7110" s="3"/>
      <c r="C7110" s="3"/>
      <c r="D7110" s="3"/>
      <c r="E7110" s="3"/>
      <c r="F7110" s="3"/>
      <c r="G7110" s="3"/>
      <c r="H7110" s="11"/>
      <c r="I7110" s="12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  <c r="AA7110" s="3"/>
      <c r="AB7110" s="3"/>
      <c r="AC7110" s="3"/>
      <c r="AD7110" s="3"/>
      <c r="AE7110" s="3"/>
      <c r="AF7110" s="3"/>
      <c r="AG7110" s="3"/>
      <c r="AH7110" s="3"/>
    </row>
    <row r="7111" spans="1:34" ht="14.25" customHeight="1" x14ac:dyDescent="0.25">
      <c r="A7111" s="3"/>
      <c r="B7111" s="3"/>
      <c r="C7111" s="3"/>
      <c r="D7111" s="3"/>
      <c r="E7111" s="3"/>
      <c r="F7111" s="3"/>
      <c r="G7111" s="3"/>
      <c r="H7111" s="11"/>
      <c r="I7111" s="12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  <c r="AA7111" s="3"/>
      <c r="AB7111" s="3"/>
      <c r="AC7111" s="3"/>
      <c r="AD7111" s="3"/>
      <c r="AE7111" s="3"/>
      <c r="AF7111" s="3"/>
      <c r="AG7111" s="3"/>
      <c r="AH7111" s="3"/>
    </row>
    <row r="7112" spans="1:34" ht="14.25" customHeight="1" x14ac:dyDescent="0.25">
      <c r="A7112" s="3"/>
      <c r="B7112" s="3"/>
      <c r="C7112" s="3"/>
      <c r="D7112" s="3"/>
      <c r="E7112" s="3"/>
      <c r="F7112" s="3"/>
      <c r="G7112" s="3"/>
      <c r="H7112" s="11"/>
      <c r="I7112" s="12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  <c r="AA7112" s="3"/>
      <c r="AB7112" s="3"/>
      <c r="AC7112" s="3"/>
      <c r="AD7112" s="3"/>
      <c r="AE7112" s="3"/>
      <c r="AF7112" s="3"/>
      <c r="AG7112" s="3"/>
      <c r="AH7112" s="3"/>
    </row>
    <row r="7113" spans="1:34" ht="14.25" customHeight="1" x14ac:dyDescent="0.25">
      <c r="A7113" s="3"/>
      <c r="B7113" s="3"/>
      <c r="C7113" s="3"/>
      <c r="D7113" s="3"/>
      <c r="E7113" s="3"/>
      <c r="F7113" s="3"/>
      <c r="G7113" s="3"/>
      <c r="H7113" s="11"/>
      <c r="I7113" s="12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  <c r="AA7113" s="3"/>
      <c r="AB7113" s="3"/>
      <c r="AC7113" s="3"/>
      <c r="AD7113" s="3"/>
      <c r="AE7113" s="3"/>
      <c r="AF7113" s="3"/>
      <c r="AG7113" s="3"/>
      <c r="AH7113" s="3"/>
    </row>
    <row r="7114" spans="1:34" ht="14.25" customHeight="1" x14ac:dyDescent="0.25">
      <c r="A7114" s="3"/>
      <c r="B7114" s="3"/>
      <c r="C7114" s="3"/>
      <c r="D7114" s="3"/>
      <c r="E7114" s="3"/>
      <c r="F7114" s="3"/>
      <c r="G7114" s="3"/>
      <c r="H7114" s="11"/>
      <c r="I7114" s="12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  <c r="AA7114" s="3"/>
      <c r="AB7114" s="3"/>
      <c r="AC7114" s="3"/>
      <c r="AD7114" s="3"/>
      <c r="AE7114" s="3"/>
      <c r="AF7114" s="3"/>
      <c r="AG7114" s="3"/>
      <c r="AH7114" s="3"/>
    </row>
    <row r="7115" spans="1:34" ht="14.25" customHeight="1" x14ac:dyDescent="0.25">
      <c r="A7115" s="3"/>
      <c r="B7115" s="3"/>
      <c r="C7115" s="3"/>
      <c r="D7115" s="3"/>
      <c r="E7115" s="3"/>
      <c r="F7115" s="3"/>
      <c r="G7115" s="3"/>
      <c r="H7115" s="11"/>
      <c r="I7115" s="12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  <c r="AA7115" s="3"/>
      <c r="AB7115" s="3"/>
      <c r="AC7115" s="3"/>
      <c r="AD7115" s="3"/>
      <c r="AE7115" s="3"/>
      <c r="AF7115" s="3"/>
      <c r="AG7115" s="3"/>
      <c r="AH7115" s="3"/>
    </row>
    <row r="7116" spans="1:34" ht="14.25" customHeight="1" x14ac:dyDescent="0.25">
      <c r="A7116" s="3"/>
      <c r="B7116" s="3"/>
      <c r="C7116" s="3"/>
      <c r="D7116" s="3"/>
      <c r="E7116" s="3"/>
      <c r="F7116" s="3"/>
      <c r="G7116" s="3"/>
      <c r="H7116" s="11"/>
      <c r="I7116" s="12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  <c r="AA7116" s="3"/>
      <c r="AB7116" s="3"/>
      <c r="AC7116" s="3"/>
      <c r="AD7116" s="3"/>
      <c r="AE7116" s="3"/>
      <c r="AF7116" s="3"/>
      <c r="AG7116" s="3"/>
      <c r="AH7116" s="3"/>
    </row>
    <row r="7117" spans="1:34" ht="14.25" customHeight="1" x14ac:dyDescent="0.25">
      <c r="A7117" s="3"/>
      <c r="B7117" s="3"/>
      <c r="C7117" s="3"/>
      <c r="D7117" s="3"/>
      <c r="E7117" s="3"/>
      <c r="F7117" s="3"/>
      <c r="G7117" s="3"/>
      <c r="H7117" s="11"/>
      <c r="I7117" s="12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  <c r="AA7117" s="3"/>
      <c r="AB7117" s="3"/>
      <c r="AC7117" s="3"/>
      <c r="AD7117" s="3"/>
      <c r="AE7117" s="3"/>
      <c r="AF7117" s="3"/>
      <c r="AG7117" s="3"/>
      <c r="AH7117" s="3"/>
    </row>
    <row r="7118" spans="1:34" ht="14.25" customHeight="1" x14ac:dyDescent="0.25">
      <c r="A7118" s="3"/>
      <c r="B7118" s="3"/>
      <c r="C7118" s="3"/>
      <c r="D7118" s="3"/>
      <c r="E7118" s="3"/>
      <c r="F7118" s="3"/>
      <c r="G7118" s="3"/>
      <c r="H7118" s="11"/>
      <c r="I7118" s="12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  <c r="AA7118" s="3"/>
      <c r="AB7118" s="3"/>
      <c r="AC7118" s="3"/>
      <c r="AD7118" s="3"/>
      <c r="AE7118" s="3"/>
      <c r="AF7118" s="3"/>
      <c r="AG7118" s="3"/>
      <c r="AH7118" s="3"/>
    </row>
    <row r="7119" spans="1:34" ht="14.25" customHeight="1" x14ac:dyDescent="0.25">
      <c r="A7119" s="3"/>
      <c r="B7119" s="3"/>
      <c r="C7119" s="3"/>
      <c r="D7119" s="3"/>
      <c r="E7119" s="3"/>
      <c r="F7119" s="3"/>
      <c r="G7119" s="3"/>
      <c r="H7119" s="11"/>
      <c r="I7119" s="12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  <c r="AA7119" s="3"/>
      <c r="AB7119" s="3"/>
      <c r="AC7119" s="3"/>
      <c r="AD7119" s="3"/>
      <c r="AE7119" s="3"/>
      <c r="AF7119" s="3"/>
      <c r="AG7119" s="3"/>
      <c r="AH7119" s="3"/>
    </row>
    <row r="7120" spans="1:34" ht="14.25" customHeight="1" x14ac:dyDescent="0.25">
      <c r="A7120" s="3"/>
      <c r="B7120" s="3"/>
      <c r="C7120" s="3"/>
      <c r="D7120" s="3"/>
      <c r="E7120" s="3"/>
      <c r="F7120" s="3"/>
      <c r="G7120" s="3"/>
      <c r="H7120" s="11"/>
      <c r="I7120" s="12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  <c r="AA7120" s="3"/>
      <c r="AB7120" s="3"/>
      <c r="AC7120" s="3"/>
      <c r="AD7120" s="3"/>
      <c r="AE7120" s="3"/>
      <c r="AF7120" s="3"/>
      <c r="AG7120" s="3"/>
      <c r="AH7120" s="3"/>
    </row>
    <row r="7121" spans="1:34" ht="14.25" customHeight="1" x14ac:dyDescent="0.25">
      <c r="A7121" s="3"/>
      <c r="B7121" s="3"/>
      <c r="C7121" s="3"/>
      <c r="D7121" s="3"/>
      <c r="E7121" s="3"/>
      <c r="F7121" s="3"/>
      <c r="G7121" s="3"/>
      <c r="H7121" s="11"/>
      <c r="I7121" s="12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  <c r="AA7121" s="3"/>
      <c r="AB7121" s="3"/>
      <c r="AC7121" s="3"/>
      <c r="AD7121" s="3"/>
      <c r="AE7121" s="3"/>
      <c r="AF7121" s="3"/>
      <c r="AG7121" s="3"/>
      <c r="AH7121" s="3"/>
    </row>
    <row r="7122" spans="1:34" ht="14.25" customHeight="1" x14ac:dyDescent="0.25">
      <c r="A7122" s="3"/>
      <c r="B7122" s="3"/>
      <c r="C7122" s="3"/>
      <c r="D7122" s="3"/>
      <c r="E7122" s="3"/>
      <c r="F7122" s="3"/>
      <c r="G7122" s="3"/>
      <c r="H7122" s="11"/>
      <c r="I7122" s="12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  <c r="AA7122" s="3"/>
      <c r="AB7122" s="3"/>
      <c r="AC7122" s="3"/>
      <c r="AD7122" s="3"/>
      <c r="AE7122" s="3"/>
      <c r="AF7122" s="3"/>
      <c r="AG7122" s="3"/>
      <c r="AH7122" s="3"/>
    </row>
    <row r="7123" spans="1:34" ht="14.25" customHeight="1" x14ac:dyDescent="0.25">
      <c r="A7123" s="3"/>
      <c r="B7123" s="3"/>
      <c r="C7123" s="3"/>
      <c r="D7123" s="3"/>
      <c r="E7123" s="3"/>
      <c r="F7123" s="3"/>
      <c r="G7123" s="3"/>
      <c r="H7123" s="11"/>
      <c r="I7123" s="12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  <c r="AA7123" s="3"/>
      <c r="AB7123" s="3"/>
      <c r="AC7123" s="3"/>
      <c r="AD7123" s="3"/>
      <c r="AE7123" s="3"/>
      <c r="AF7123" s="3"/>
      <c r="AG7123" s="3"/>
      <c r="AH7123" s="3"/>
    </row>
    <row r="7124" spans="1:34" ht="14.25" customHeight="1" x14ac:dyDescent="0.25">
      <c r="A7124" s="3"/>
      <c r="B7124" s="3"/>
      <c r="C7124" s="3"/>
      <c r="D7124" s="3"/>
      <c r="E7124" s="3"/>
      <c r="F7124" s="3"/>
      <c r="G7124" s="3"/>
      <c r="H7124" s="11"/>
      <c r="I7124" s="12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  <c r="AA7124" s="3"/>
      <c r="AB7124" s="3"/>
      <c r="AC7124" s="3"/>
      <c r="AD7124" s="3"/>
      <c r="AE7124" s="3"/>
      <c r="AF7124" s="3"/>
      <c r="AG7124" s="3"/>
      <c r="AH7124" s="3"/>
    </row>
    <row r="7125" spans="1:34" ht="14.25" customHeight="1" x14ac:dyDescent="0.25">
      <c r="A7125" s="3"/>
      <c r="B7125" s="3"/>
      <c r="C7125" s="3"/>
      <c r="D7125" s="3"/>
      <c r="E7125" s="3"/>
      <c r="F7125" s="3"/>
      <c r="G7125" s="3"/>
      <c r="H7125" s="11"/>
      <c r="I7125" s="12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  <c r="AA7125" s="3"/>
      <c r="AB7125" s="3"/>
      <c r="AC7125" s="3"/>
      <c r="AD7125" s="3"/>
      <c r="AE7125" s="3"/>
      <c r="AF7125" s="3"/>
      <c r="AG7125" s="3"/>
      <c r="AH7125" s="3"/>
    </row>
    <row r="7126" spans="1:34" ht="14.25" customHeight="1" x14ac:dyDescent="0.25">
      <c r="A7126" s="3"/>
      <c r="B7126" s="3"/>
      <c r="C7126" s="3"/>
      <c r="D7126" s="3"/>
      <c r="E7126" s="3"/>
      <c r="F7126" s="3"/>
      <c r="G7126" s="3"/>
      <c r="H7126" s="11"/>
      <c r="I7126" s="12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  <c r="AA7126" s="3"/>
      <c r="AB7126" s="3"/>
      <c r="AC7126" s="3"/>
      <c r="AD7126" s="3"/>
      <c r="AE7126" s="3"/>
      <c r="AF7126" s="3"/>
      <c r="AG7126" s="3"/>
      <c r="AH7126" s="3"/>
    </row>
    <row r="7127" spans="1:34" ht="14.25" customHeight="1" x14ac:dyDescent="0.25">
      <c r="A7127" s="3"/>
      <c r="B7127" s="3"/>
      <c r="C7127" s="3"/>
      <c r="D7127" s="3"/>
      <c r="E7127" s="3"/>
      <c r="F7127" s="3"/>
      <c r="G7127" s="3"/>
      <c r="H7127" s="11"/>
      <c r="I7127" s="12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  <c r="AA7127" s="3"/>
      <c r="AB7127" s="3"/>
      <c r="AC7127" s="3"/>
      <c r="AD7127" s="3"/>
      <c r="AE7127" s="3"/>
      <c r="AF7127" s="3"/>
      <c r="AG7127" s="3"/>
      <c r="AH7127" s="3"/>
    </row>
    <row r="7128" spans="1:34" ht="14.25" customHeight="1" x14ac:dyDescent="0.25">
      <c r="A7128" s="3"/>
      <c r="B7128" s="3"/>
      <c r="C7128" s="3"/>
      <c r="D7128" s="3"/>
      <c r="E7128" s="3"/>
      <c r="F7128" s="3"/>
      <c r="G7128" s="3"/>
      <c r="H7128" s="11"/>
      <c r="I7128" s="12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  <c r="AA7128" s="3"/>
      <c r="AB7128" s="3"/>
      <c r="AC7128" s="3"/>
      <c r="AD7128" s="3"/>
      <c r="AE7128" s="3"/>
      <c r="AF7128" s="3"/>
      <c r="AG7128" s="3"/>
      <c r="AH7128" s="3"/>
    </row>
    <row r="7129" spans="1:34" ht="14.25" customHeight="1" x14ac:dyDescent="0.25">
      <c r="A7129" s="3"/>
      <c r="B7129" s="3"/>
      <c r="C7129" s="3"/>
      <c r="D7129" s="3"/>
      <c r="E7129" s="3"/>
      <c r="F7129" s="3"/>
      <c r="G7129" s="3"/>
      <c r="H7129" s="11"/>
      <c r="I7129" s="12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  <c r="AA7129" s="3"/>
      <c r="AB7129" s="3"/>
      <c r="AC7129" s="3"/>
      <c r="AD7129" s="3"/>
      <c r="AE7129" s="3"/>
      <c r="AF7129" s="3"/>
      <c r="AG7129" s="3"/>
      <c r="AH7129" s="3"/>
    </row>
    <row r="7130" spans="1:34" ht="14.25" customHeight="1" x14ac:dyDescent="0.25">
      <c r="A7130" s="3"/>
      <c r="B7130" s="3"/>
      <c r="C7130" s="3"/>
      <c r="D7130" s="3"/>
      <c r="E7130" s="3"/>
      <c r="F7130" s="3"/>
      <c r="G7130" s="3"/>
      <c r="H7130" s="11"/>
      <c r="I7130" s="12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  <c r="AA7130" s="3"/>
      <c r="AB7130" s="3"/>
      <c r="AC7130" s="3"/>
      <c r="AD7130" s="3"/>
      <c r="AE7130" s="3"/>
      <c r="AF7130" s="3"/>
      <c r="AG7130" s="3"/>
      <c r="AH7130" s="3"/>
    </row>
    <row r="7131" spans="1:34" ht="14.25" customHeight="1" x14ac:dyDescent="0.25">
      <c r="A7131" s="3"/>
      <c r="B7131" s="3"/>
      <c r="C7131" s="3"/>
      <c r="D7131" s="3"/>
      <c r="E7131" s="3"/>
      <c r="F7131" s="3"/>
      <c r="G7131" s="3"/>
      <c r="H7131" s="11"/>
      <c r="I7131" s="12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  <c r="AA7131" s="3"/>
      <c r="AB7131" s="3"/>
      <c r="AC7131" s="3"/>
      <c r="AD7131" s="3"/>
      <c r="AE7131" s="3"/>
      <c r="AF7131" s="3"/>
      <c r="AG7131" s="3"/>
      <c r="AH7131" s="3"/>
    </row>
    <row r="7132" spans="1:34" ht="14.25" customHeight="1" x14ac:dyDescent="0.25">
      <c r="A7132" s="3"/>
      <c r="B7132" s="3"/>
      <c r="C7132" s="3"/>
      <c r="D7132" s="3"/>
      <c r="E7132" s="3"/>
      <c r="F7132" s="3"/>
      <c r="G7132" s="3"/>
      <c r="H7132" s="11"/>
      <c r="I7132" s="12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  <c r="AA7132" s="3"/>
      <c r="AB7132" s="3"/>
      <c r="AC7132" s="3"/>
      <c r="AD7132" s="3"/>
      <c r="AE7132" s="3"/>
      <c r="AF7132" s="3"/>
      <c r="AG7132" s="3"/>
      <c r="AH7132" s="3"/>
    </row>
    <row r="7133" spans="1:34" ht="14.25" customHeight="1" x14ac:dyDescent="0.25">
      <c r="A7133" s="3"/>
      <c r="B7133" s="3"/>
      <c r="C7133" s="3"/>
      <c r="D7133" s="3"/>
      <c r="E7133" s="3"/>
      <c r="F7133" s="3"/>
      <c r="G7133" s="3"/>
      <c r="H7133" s="11"/>
      <c r="I7133" s="12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  <c r="AA7133" s="3"/>
      <c r="AB7133" s="3"/>
      <c r="AC7133" s="3"/>
      <c r="AD7133" s="3"/>
      <c r="AE7133" s="3"/>
      <c r="AF7133" s="3"/>
      <c r="AG7133" s="3"/>
      <c r="AH7133" s="3"/>
    </row>
    <row r="7134" spans="1:34" ht="14.25" customHeight="1" x14ac:dyDescent="0.25">
      <c r="A7134" s="3"/>
      <c r="B7134" s="3"/>
      <c r="C7134" s="3"/>
      <c r="D7134" s="3"/>
      <c r="E7134" s="3"/>
      <c r="F7134" s="3"/>
      <c r="G7134" s="3"/>
      <c r="H7134" s="11"/>
      <c r="I7134" s="12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  <c r="AA7134" s="3"/>
      <c r="AB7134" s="3"/>
      <c r="AC7134" s="3"/>
      <c r="AD7134" s="3"/>
      <c r="AE7134" s="3"/>
      <c r="AF7134" s="3"/>
      <c r="AG7134" s="3"/>
      <c r="AH7134" s="3"/>
    </row>
    <row r="7135" spans="1:34" ht="14.25" customHeight="1" x14ac:dyDescent="0.25">
      <c r="A7135" s="3"/>
      <c r="B7135" s="3"/>
      <c r="C7135" s="3"/>
      <c r="D7135" s="3"/>
      <c r="E7135" s="3"/>
      <c r="F7135" s="3"/>
      <c r="G7135" s="3"/>
      <c r="H7135" s="11"/>
      <c r="I7135" s="12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  <c r="AA7135" s="3"/>
      <c r="AB7135" s="3"/>
      <c r="AC7135" s="3"/>
      <c r="AD7135" s="3"/>
      <c r="AE7135" s="3"/>
      <c r="AF7135" s="3"/>
      <c r="AG7135" s="3"/>
      <c r="AH7135" s="3"/>
    </row>
    <row r="7136" spans="1:34" ht="14.25" customHeight="1" x14ac:dyDescent="0.25">
      <c r="A7136" s="3"/>
      <c r="B7136" s="3"/>
      <c r="C7136" s="3"/>
      <c r="D7136" s="3"/>
      <c r="E7136" s="3"/>
      <c r="F7136" s="3"/>
      <c r="G7136" s="3"/>
      <c r="H7136" s="11"/>
      <c r="I7136" s="12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  <c r="AA7136" s="3"/>
      <c r="AB7136" s="3"/>
      <c r="AC7136" s="3"/>
      <c r="AD7136" s="3"/>
      <c r="AE7136" s="3"/>
      <c r="AF7136" s="3"/>
      <c r="AG7136" s="3"/>
      <c r="AH7136" s="3"/>
    </row>
    <row r="7137" spans="1:34" ht="14.25" customHeight="1" x14ac:dyDescent="0.25">
      <c r="A7137" s="3"/>
      <c r="B7137" s="3"/>
      <c r="C7137" s="3"/>
      <c r="D7137" s="3"/>
      <c r="E7137" s="3"/>
      <c r="F7137" s="3"/>
      <c r="G7137" s="3"/>
      <c r="H7137" s="11"/>
      <c r="I7137" s="12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  <c r="AA7137" s="3"/>
      <c r="AB7137" s="3"/>
      <c r="AC7137" s="3"/>
      <c r="AD7137" s="3"/>
      <c r="AE7137" s="3"/>
      <c r="AF7137" s="3"/>
      <c r="AG7137" s="3"/>
      <c r="AH7137" s="3"/>
    </row>
    <row r="7138" spans="1:34" ht="14.25" customHeight="1" x14ac:dyDescent="0.25">
      <c r="A7138" s="3"/>
      <c r="B7138" s="3"/>
      <c r="C7138" s="3"/>
      <c r="D7138" s="3"/>
      <c r="E7138" s="3"/>
      <c r="F7138" s="3"/>
      <c r="G7138" s="3"/>
      <c r="H7138" s="11"/>
      <c r="I7138" s="12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  <c r="AA7138" s="3"/>
      <c r="AB7138" s="3"/>
      <c r="AC7138" s="3"/>
      <c r="AD7138" s="3"/>
      <c r="AE7138" s="3"/>
      <c r="AF7138" s="3"/>
      <c r="AG7138" s="3"/>
      <c r="AH7138" s="3"/>
    </row>
    <row r="7139" spans="1:34" ht="14.25" customHeight="1" x14ac:dyDescent="0.25">
      <c r="A7139" s="3"/>
      <c r="B7139" s="3"/>
      <c r="C7139" s="3"/>
      <c r="D7139" s="3"/>
      <c r="E7139" s="3"/>
      <c r="F7139" s="3"/>
      <c r="G7139" s="3"/>
      <c r="H7139" s="11"/>
      <c r="I7139" s="12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  <c r="AA7139" s="3"/>
      <c r="AB7139" s="3"/>
      <c r="AC7139" s="3"/>
      <c r="AD7139" s="3"/>
      <c r="AE7139" s="3"/>
      <c r="AF7139" s="3"/>
      <c r="AG7139" s="3"/>
      <c r="AH7139" s="3"/>
    </row>
    <row r="7140" spans="1:34" ht="14.25" customHeight="1" x14ac:dyDescent="0.25">
      <c r="A7140" s="3"/>
      <c r="B7140" s="3"/>
      <c r="C7140" s="3"/>
      <c r="D7140" s="3"/>
      <c r="E7140" s="3"/>
      <c r="F7140" s="3"/>
      <c r="G7140" s="3"/>
      <c r="H7140" s="11"/>
      <c r="I7140" s="12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  <c r="AA7140" s="3"/>
      <c r="AB7140" s="3"/>
      <c r="AC7140" s="3"/>
      <c r="AD7140" s="3"/>
      <c r="AE7140" s="3"/>
      <c r="AF7140" s="3"/>
      <c r="AG7140" s="3"/>
      <c r="AH7140" s="3"/>
    </row>
    <row r="7141" spans="1:34" ht="14.25" customHeight="1" x14ac:dyDescent="0.25">
      <c r="A7141" s="3"/>
      <c r="B7141" s="3"/>
      <c r="C7141" s="3"/>
      <c r="D7141" s="3"/>
      <c r="E7141" s="3"/>
      <c r="F7141" s="3"/>
      <c r="G7141" s="3"/>
      <c r="H7141" s="11"/>
      <c r="I7141" s="12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  <c r="AA7141" s="3"/>
      <c r="AB7141" s="3"/>
      <c r="AC7141" s="3"/>
      <c r="AD7141" s="3"/>
      <c r="AE7141" s="3"/>
      <c r="AF7141" s="3"/>
      <c r="AG7141" s="3"/>
      <c r="AH7141" s="3"/>
    </row>
    <row r="7142" spans="1:34" ht="14.25" customHeight="1" x14ac:dyDescent="0.25">
      <c r="A7142" s="3"/>
      <c r="B7142" s="3"/>
      <c r="C7142" s="3"/>
      <c r="D7142" s="3"/>
      <c r="E7142" s="3"/>
      <c r="F7142" s="3"/>
      <c r="G7142" s="3"/>
      <c r="H7142" s="11"/>
      <c r="I7142" s="12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  <c r="AA7142" s="3"/>
      <c r="AB7142" s="3"/>
      <c r="AC7142" s="3"/>
      <c r="AD7142" s="3"/>
      <c r="AE7142" s="3"/>
      <c r="AF7142" s="3"/>
      <c r="AG7142" s="3"/>
      <c r="AH7142" s="3"/>
    </row>
    <row r="7143" spans="1:34" ht="14.25" customHeight="1" x14ac:dyDescent="0.25">
      <c r="A7143" s="3"/>
      <c r="B7143" s="3"/>
      <c r="C7143" s="3"/>
      <c r="D7143" s="3"/>
      <c r="E7143" s="3"/>
      <c r="F7143" s="3"/>
      <c r="G7143" s="3"/>
      <c r="H7143" s="11"/>
      <c r="I7143" s="12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  <c r="AA7143" s="3"/>
      <c r="AB7143" s="3"/>
      <c r="AC7143" s="3"/>
      <c r="AD7143" s="3"/>
      <c r="AE7143" s="3"/>
      <c r="AF7143" s="3"/>
      <c r="AG7143" s="3"/>
      <c r="AH7143" s="3"/>
    </row>
    <row r="7144" spans="1:34" ht="14.25" customHeight="1" x14ac:dyDescent="0.25">
      <c r="A7144" s="3"/>
      <c r="B7144" s="3"/>
      <c r="C7144" s="3"/>
      <c r="D7144" s="3"/>
      <c r="E7144" s="3"/>
      <c r="F7144" s="3"/>
      <c r="G7144" s="3"/>
      <c r="H7144" s="11"/>
      <c r="I7144" s="12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  <c r="AA7144" s="3"/>
      <c r="AB7144" s="3"/>
      <c r="AC7144" s="3"/>
      <c r="AD7144" s="3"/>
      <c r="AE7144" s="3"/>
      <c r="AF7144" s="3"/>
      <c r="AG7144" s="3"/>
      <c r="AH7144" s="3"/>
    </row>
    <row r="7145" spans="1:34" ht="14.25" customHeight="1" x14ac:dyDescent="0.25">
      <c r="A7145" s="3"/>
      <c r="B7145" s="3"/>
      <c r="C7145" s="3"/>
      <c r="D7145" s="3"/>
      <c r="E7145" s="3"/>
      <c r="F7145" s="3"/>
      <c r="G7145" s="3"/>
      <c r="H7145" s="11"/>
      <c r="I7145" s="12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  <c r="AA7145" s="3"/>
      <c r="AB7145" s="3"/>
      <c r="AC7145" s="3"/>
      <c r="AD7145" s="3"/>
      <c r="AE7145" s="3"/>
      <c r="AF7145" s="3"/>
      <c r="AG7145" s="3"/>
      <c r="AH7145" s="3"/>
    </row>
    <row r="7146" spans="1:34" ht="14.25" customHeight="1" x14ac:dyDescent="0.25">
      <c r="A7146" s="3"/>
      <c r="B7146" s="3"/>
      <c r="C7146" s="3"/>
      <c r="D7146" s="3"/>
      <c r="E7146" s="3"/>
      <c r="F7146" s="3"/>
      <c r="G7146" s="3"/>
      <c r="H7146" s="11"/>
      <c r="I7146" s="12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  <c r="AA7146" s="3"/>
      <c r="AB7146" s="3"/>
      <c r="AC7146" s="3"/>
      <c r="AD7146" s="3"/>
      <c r="AE7146" s="3"/>
      <c r="AF7146" s="3"/>
      <c r="AG7146" s="3"/>
      <c r="AH7146" s="3"/>
    </row>
    <row r="7147" spans="1:34" ht="14.25" customHeight="1" x14ac:dyDescent="0.25">
      <c r="A7147" s="3"/>
      <c r="B7147" s="3"/>
      <c r="C7147" s="3"/>
      <c r="D7147" s="3"/>
      <c r="E7147" s="3"/>
      <c r="F7147" s="3"/>
      <c r="G7147" s="3"/>
      <c r="H7147" s="11"/>
      <c r="I7147" s="12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  <c r="AA7147" s="3"/>
      <c r="AB7147" s="3"/>
      <c r="AC7147" s="3"/>
      <c r="AD7147" s="3"/>
      <c r="AE7147" s="3"/>
      <c r="AF7147" s="3"/>
      <c r="AG7147" s="3"/>
      <c r="AH7147" s="3"/>
    </row>
    <row r="7148" spans="1:34" ht="14.25" customHeight="1" x14ac:dyDescent="0.25">
      <c r="A7148" s="3"/>
      <c r="B7148" s="3"/>
      <c r="C7148" s="3"/>
      <c r="D7148" s="3"/>
      <c r="E7148" s="3"/>
      <c r="F7148" s="3"/>
      <c r="G7148" s="3"/>
      <c r="H7148" s="11"/>
      <c r="I7148" s="12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  <c r="AA7148" s="3"/>
      <c r="AB7148" s="3"/>
      <c r="AC7148" s="3"/>
      <c r="AD7148" s="3"/>
      <c r="AE7148" s="3"/>
      <c r="AF7148" s="3"/>
      <c r="AG7148" s="3"/>
      <c r="AH7148" s="3"/>
    </row>
    <row r="7149" spans="1:34" ht="14.25" customHeight="1" x14ac:dyDescent="0.25">
      <c r="A7149" s="3"/>
      <c r="B7149" s="3"/>
      <c r="C7149" s="3"/>
      <c r="D7149" s="3"/>
      <c r="E7149" s="3"/>
      <c r="F7149" s="3"/>
      <c r="G7149" s="3"/>
      <c r="H7149" s="11"/>
      <c r="I7149" s="12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  <c r="AA7149" s="3"/>
      <c r="AB7149" s="3"/>
      <c r="AC7149" s="3"/>
      <c r="AD7149" s="3"/>
      <c r="AE7149" s="3"/>
      <c r="AF7149" s="3"/>
      <c r="AG7149" s="3"/>
      <c r="AH7149" s="3"/>
    </row>
    <row r="7150" spans="1:34" ht="14.25" customHeight="1" x14ac:dyDescent="0.25">
      <c r="A7150" s="3"/>
      <c r="B7150" s="3"/>
      <c r="C7150" s="3"/>
      <c r="D7150" s="3"/>
      <c r="E7150" s="3"/>
      <c r="F7150" s="3"/>
      <c r="G7150" s="3"/>
      <c r="H7150" s="11"/>
      <c r="I7150" s="12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  <c r="AA7150" s="3"/>
      <c r="AB7150" s="3"/>
      <c r="AC7150" s="3"/>
      <c r="AD7150" s="3"/>
      <c r="AE7150" s="3"/>
      <c r="AF7150" s="3"/>
      <c r="AG7150" s="3"/>
      <c r="AH7150" s="3"/>
    </row>
    <row r="7151" spans="1:34" ht="14.25" customHeight="1" x14ac:dyDescent="0.25">
      <c r="A7151" s="3"/>
      <c r="B7151" s="3"/>
      <c r="C7151" s="3"/>
      <c r="D7151" s="3"/>
      <c r="E7151" s="3"/>
      <c r="F7151" s="3"/>
      <c r="G7151" s="3"/>
      <c r="H7151" s="11"/>
      <c r="I7151" s="12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  <c r="AA7151" s="3"/>
      <c r="AB7151" s="3"/>
      <c r="AC7151" s="3"/>
      <c r="AD7151" s="3"/>
      <c r="AE7151" s="3"/>
      <c r="AF7151" s="3"/>
      <c r="AG7151" s="3"/>
      <c r="AH7151" s="3"/>
    </row>
    <row r="7152" spans="1:34" ht="14.25" customHeight="1" x14ac:dyDescent="0.25">
      <c r="A7152" s="3"/>
      <c r="B7152" s="3"/>
      <c r="C7152" s="3"/>
      <c r="D7152" s="3"/>
      <c r="E7152" s="3"/>
      <c r="F7152" s="3"/>
      <c r="G7152" s="3"/>
      <c r="H7152" s="11"/>
      <c r="I7152" s="12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  <c r="AA7152" s="3"/>
      <c r="AB7152" s="3"/>
      <c r="AC7152" s="3"/>
      <c r="AD7152" s="3"/>
      <c r="AE7152" s="3"/>
      <c r="AF7152" s="3"/>
      <c r="AG7152" s="3"/>
      <c r="AH7152" s="3"/>
    </row>
    <row r="7153" spans="1:34" ht="14.25" customHeight="1" x14ac:dyDescent="0.25">
      <c r="A7153" s="3"/>
      <c r="B7153" s="3"/>
      <c r="C7153" s="3"/>
      <c r="D7153" s="3"/>
      <c r="E7153" s="3"/>
      <c r="F7153" s="3"/>
      <c r="G7153" s="3"/>
      <c r="H7153" s="11"/>
      <c r="I7153" s="12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  <c r="AA7153" s="3"/>
      <c r="AB7153" s="3"/>
      <c r="AC7153" s="3"/>
      <c r="AD7153" s="3"/>
      <c r="AE7153" s="3"/>
      <c r="AF7153" s="3"/>
      <c r="AG7153" s="3"/>
      <c r="AH7153" s="3"/>
    </row>
    <row r="7154" spans="1:34" ht="14.25" customHeight="1" x14ac:dyDescent="0.25">
      <c r="A7154" s="3"/>
      <c r="B7154" s="3"/>
      <c r="C7154" s="3"/>
      <c r="D7154" s="3"/>
      <c r="E7154" s="3"/>
      <c r="F7154" s="3"/>
      <c r="G7154" s="3"/>
      <c r="H7154" s="11"/>
      <c r="I7154" s="12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  <c r="AA7154" s="3"/>
      <c r="AB7154" s="3"/>
      <c r="AC7154" s="3"/>
      <c r="AD7154" s="3"/>
      <c r="AE7154" s="3"/>
      <c r="AF7154" s="3"/>
      <c r="AG7154" s="3"/>
      <c r="AH7154" s="3"/>
    </row>
    <row r="7155" spans="1:34" ht="14.25" customHeight="1" x14ac:dyDescent="0.25">
      <c r="A7155" s="3"/>
      <c r="B7155" s="3"/>
      <c r="C7155" s="3"/>
      <c r="D7155" s="3"/>
      <c r="E7155" s="3"/>
      <c r="F7155" s="3"/>
      <c r="G7155" s="3"/>
      <c r="H7155" s="11"/>
      <c r="I7155" s="12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  <c r="AA7155" s="3"/>
      <c r="AB7155" s="3"/>
      <c r="AC7155" s="3"/>
      <c r="AD7155" s="3"/>
      <c r="AE7155" s="3"/>
      <c r="AF7155" s="3"/>
      <c r="AG7155" s="3"/>
      <c r="AH7155" s="3"/>
    </row>
    <row r="7156" spans="1:34" ht="14.25" customHeight="1" x14ac:dyDescent="0.25">
      <c r="A7156" s="3"/>
      <c r="B7156" s="3"/>
      <c r="C7156" s="3"/>
      <c r="D7156" s="3"/>
      <c r="E7156" s="3"/>
      <c r="F7156" s="3"/>
      <c r="G7156" s="3"/>
      <c r="H7156" s="11"/>
      <c r="I7156" s="12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  <c r="AA7156" s="3"/>
      <c r="AB7156" s="3"/>
      <c r="AC7156" s="3"/>
      <c r="AD7156" s="3"/>
      <c r="AE7156" s="3"/>
      <c r="AF7156" s="3"/>
      <c r="AG7156" s="3"/>
      <c r="AH7156" s="3"/>
    </row>
    <row r="7157" spans="1:34" ht="14.25" customHeight="1" x14ac:dyDescent="0.25">
      <c r="A7157" s="3"/>
      <c r="B7157" s="3"/>
      <c r="C7157" s="3"/>
      <c r="D7157" s="3"/>
      <c r="E7157" s="3"/>
      <c r="F7157" s="3"/>
      <c r="G7157" s="3"/>
      <c r="H7157" s="11"/>
      <c r="I7157" s="12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  <c r="AA7157" s="3"/>
      <c r="AB7157" s="3"/>
      <c r="AC7157" s="3"/>
      <c r="AD7157" s="3"/>
      <c r="AE7157" s="3"/>
      <c r="AF7157" s="3"/>
      <c r="AG7157" s="3"/>
      <c r="AH7157" s="3"/>
    </row>
    <row r="7158" spans="1:34" ht="14.25" customHeight="1" x14ac:dyDescent="0.25">
      <c r="A7158" s="3"/>
      <c r="B7158" s="3"/>
      <c r="C7158" s="3"/>
      <c r="D7158" s="3"/>
      <c r="E7158" s="3"/>
      <c r="F7158" s="3"/>
      <c r="G7158" s="3"/>
      <c r="H7158" s="11"/>
      <c r="I7158" s="12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  <c r="AA7158" s="3"/>
      <c r="AB7158" s="3"/>
      <c r="AC7158" s="3"/>
      <c r="AD7158" s="3"/>
      <c r="AE7158" s="3"/>
      <c r="AF7158" s="3"/>
      <c r="AG7158" s="3"/>
      <c r="AH7158" s="3"/>
    </row>
    <row r="7159" spans="1:34" ht="14.25" customHeight="1" x14ac:dyDescent="0.25">
      <c r="A7159" s="3"/>
      <c r="B7159" s="3"/>
      <c r="C7159" s="3"/>
      <c r="D7159" s="3"/>
      <c r="E7159" s="3"/>
      <c r="F7159" s="3"/>
      <c r="G7159" s="3"/>
      <c r="H7159" s="11"/>
      <c r="I7159" s="12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  <c r="AA7159" s="3"/>
      <c r="AB7159" s="3"/>
      <c r="AC7159" s="3"/>
      <c r="AD7159" s="3"/>
      <c r="AE7159" s="3"/>
      <c r="AF7159" s="3"/>
      <c r="AG7159" s="3"/>
      <c r="AH7159" s="3"/>
    </row>
    <row r="7160" spans="1:34" ht="14.25" customHeight="1" x14ac:dyDescent="0.25">
      <c r="A7160" s="3"/>
      <c r="B7160" s="3"/>
      <c r="C7160" s="3"/>
      <c r="D7160" s="3"/>
      <c r="E7160" s="3"/>
      <c r="F7160" s="3"/>
      <c r="G7160" s="3"/>
      <c r="H7160" s="11"/>
      <c r="I7160" s="12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  <c r="AA7160" s="3"/>
      <c r="AB7160" s="3"/>
      <c r="AC7160" s="3"/>
      <c r="AD7160" s="3"/>
      <c r="AE7160" s="3"/>
      <c r="AF7160" s="3"/>
      <c r="AG7160" s="3"/>
      <c r="AH7160" s="3"/>
    </row>
    <row r="7161" spans="1:34" ht="14.25" customHeight="1" x14ac:dyDescent="0.25">
      <c r="A7161" s="3"/>
      <c r="B7161" s="3"/>
      <c r="C7161" s="3"/>
      <c r="D7161" s="3"/>
      <c r="E7161" s="3"/>
      <c r="F7161" s="3"/>
      <c r="G7161" s="3"/>
      <c r="H7161" s="11"/>
      <c r="I7161" s="12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  <c r="AA7161" s="3"/>
      <c r="AB7161" s="3"/>
      <c r="AC7161" s="3"/>
      <c r="AD7161" s="3"/>
      <c r="AE7161" s="3"/>
      <c r="AF7161" s="3"/>
      <c r="AG7161" s="3"/>
      <c r="AH7161" s="3"/>
    </row>
    <row r="7162" spans="1:34" ht="14.25" customHeight="1" x14ac:dyDescent="0.25">
      <c r="A7162" s="3"/>
      <c r="B7162" s="3"/>
      <c r="C7162" s="3"/>
      <c r="D7162" s="3"/>
      <c r="E7162" s="3"/>
      <c r="F7162" s="3"/>
      <c r="G7162" s="3"/>
      <c r="H7162" s="11"/>
      <c r="I7162" s="12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  <c r="AA7162" s="3"/>
      <c r="AB7162" s="3"/>
      <c r="AC7162" s="3"/>
      <c r="AD7162" s="3"/>
      <c r="AE7162" s="3"/>
      <c r="AF7162" s="3"/>
      <c r="AG7162" s="3"/>
      <c r="AH7162" s="3"/>
    </row>
    <row r="7163" spans="1:34" ht="14.25" customHeight="1" x14ac:dyDescent="0.25">
      <c r="A7163" s="3"/>
      <c r="B7163" s="3"/>
      <c r="C7163" s="3"/>
      <c r="D7163" s="3"/>
      <c r="E7163" s="3"/>
      <c r="F7163" s="3"/>
      <c r="G7163" s="3"/>
      <c r="H7163" s="11"/>
      <c r="I7163" s="12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  <c r="AA7163" s="3"/>
      <c r="AB7163" s="3"/>
      <c r="AC7163" s="3"/>
      <c r="AD7163" s="3"/>
      <c r="AE7163" s="3"/>
      <c r="AF7163" s="3"/>
      <c r="AG7163" s="3"/>
      <c r="AH7163" s="3"/>
    </row>
    <row r="7164" spans="1:34" ht="14.25" customHeight="1" x14ac:dyDescent="0.25">
      <c r="A7164" s="3"/>
      <c r="B7164" s="3"/>
      <c r="C7164" s="3"/>
      <c r="D7164" s="3"/>
      <c r="E7164" s="3"/>
      <c r="F7164" s="3"/>
      <c r="G7164" s="3"/>
      <c r="H7164" s="11"/>
      <c r="I7164" s="12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  <c r="AA7164" s="3"/>
      <c r="AB7164" s="3"/>
      <c r="AC7164" s="3"/>
      <c r="AD7164" s="3"/>
      <c r="AE7164" s="3"/>
      <c r="AF7164" s="3"/>
      <c r="AG7164" s="3"/>
      <c r="AH7164" s="3"/>
    </row>
    <row r="7165" spans="1:34" ht="14.25" customHeight="1" x14ac:dyDescent="0.25">
      <c r="A7165" s="3"/>
      <c r="B7165" s="3"/>
      <c r="C7165" s="3"/>
      <c r="D7165" s="3"/>
      <c r="E7165" s="3"/>
      <c r="F7165" s="3"/>
      <c r="G7165" s="3"/>
      <c r="H7165" s="11"/>
      <c r="I7165" s="12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  <c r="AA7165" s="3"/>
      <c r="AB7165" s="3"/>
      <c r="AC7165" s="3"/>
      <c r="AD7165" s="3"/>
      <c r="AE7165" s="3"/>
      <c r="AF7165" s="3"/>
      <c r="AG7165" s="3"/>
      <c r="AH7165" s="3"/>
    </row>
    <row r="7166" spans="1:34" ht="14.25" customHeight="1" x14ac:dyDescent="0.25">
      <c r="A7166" s="3"/>
      <c r="B7166" s="3"/>
      <c r="C7166" s="3"/>
      <c r="D7166" s="3"/>
      <c r="E7166" s="3"/>
      <c r="F7166" s="3"/>
      <c r="G7166" s="3"/>
      <c r="H7166" s="11"/>
      <c r="I7166" s="12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  <c r="AA7166" s="3"/>
      <c r="AB7166" s="3"/>
      <c r="AC7166" s="3"/>
      <c r="AD7166" s="3"/>
      <c r="AE7166" s="3"/>
      <c r="AF7166" s="3"/>
      <c r="AG7166" s="3"/>
      <c r="AH7166" s="3"/>
    </row>
    <row r="7167" spans="1:34" ht="14.25" customHeight="1" x14ac:dyDescent="0.25">
      <c r="A7167" s="3"/>
      <c r="B7167" s="3"/>
      <c r="C7167" s="3"/>
      <c r="D7167" s="3"/>
      <c r="E7167" s="3"/>
      <c r="F7167" s="3"/>
      <c r="G7167" s="3"/>
      <c r="H7167" s="11"/>
      <c r="I7167" s="12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  <c r="AA7167" s="3"/>
      <c r="AB7167" s="3"/>
      <c r="AC7167" s="3"/>
      <c r="AD7167" s="3"/>
      <c r="AE7167" s="3"/>
      <c r="AF7167" s="3"/>
      <c r="AG7167" s="3"/>
      <c r="AH7167" s="3"/>
    </row>
    <row r="7168" spans="1:34" ht="14.25" customHeight="1" x14ac:dyDescent="0.25">
      <c r="A7168" s="3"/>
      <c r="B7168" s="3"/>
      <c r="C7168" s="3"/>
      <c r="D7168" s="3"/>
      <c r="E7168" s="3"/>
      <c r="F7168" s="3"/>
      <c r="G7168" s="3"/>
      <c r="H7168" s="11"/>
      <c r="I7168" s="12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  <c r="AA7168" s="3"/>
      <c r="AB7168" s="3"/>
      <c r="AC7168" s="3"/>
      <c r="AD7168" s="3"/>
      <c r="AE7168" s="3"/>
      <c r="AF7168" s="3"/>
      <c r="AG7168" s="3"/>
      <c r="AH7168" s="3"/>
    </row>
    <row r="7169" spans="1:34" ht="14.25" customHeight="1" x14ac:dyDescent="0.25">
      <c r="A7169" s="3"/>
      <c r="B7169" s="3"/>
      <c r="C7169" s="3"/>
      <c r="D7169" s="3"/>
      <c r="E7169" s="3"/>
      <c r="F7169" s="3"/>
      <c r="G7169" s="3"/>
      <c r="H7169" s="11"/>
      <c r="I7169" s="12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  <c r="AA7169" s="3"/>
      <c r="AB7169" s="3"/>
      <c r="AC7169" s="3"/>
      <c r="AD7169" s="3"/>
      <c r="AE7169" s="3"/>
      <c r="AF7169" s="3"/>
      <c r="AG7169" s="3"/>
      <c r="AH7169" s="3"/>
    </row>
    <row r="7170" spans="1:34" ht="14.25" customHeight="1" x14ac:dyDescent="0.25">
      <c r="A7170" s="3"/>
      <c r="B7170" s="3"/>
      <c r="C7170" s="3"/>
      <c r="D7170" s="3"/>
      <c r="E7170" s="3"/>
      <c r="F7170" s="3"/>
      <c r="G7170" s="3"/>
      <c r="H7170" s="11"/>
      <c r="I7170" s="12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  <c r="AA7170" s="3"/>
      <c r="AB7170" s="3"/>
      <c r="AC7170" s="3"/>
      <c r="AD7170" s="3"/>
      <c r="AE7170" s="3"/>
      <c r="AF7170" s="3"/>
      <c r="AG7170" s="3"/>
      <c r="AH7170" s="3"/>
    </row>
    <row r="7171" spans="1:34" ht="14.25" customHeight="1" x14ac:dyDescent="0.25">
      <c r="A7171" s="3"/>
      <c r="B7171" s="3"/>
      <c r="C7171" s="3"/>
      <c r="D7171" s="3"/>
      <c r="E7171" s="3"/>
      <c r="F7171" s="3"/>
      <c r="G7171" s="3"/>
      <c r="H7171" s="11"/>
      <c r="I7171" s="12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  <c r="AA7171" s="3"/>
      <c r="AB7171" s="3"/>
      <c r="AC7171" s="3"/>
      <c r="AD7171" s="3"/>
      <c r="AE7171" s="3"/>
      <c r="AF7171" s="3"/>
      <c r="AG7171" s="3"/>
      <c r="AH7171" s="3"/>
    </row>
    <row r="7172" spans="1:34" ht="14.25" customHeight="1" x14ac:dyDescent="0.25">
      <c r="A7172" s="3"/>
      <c r="B7172" s="3"/>
      <c r="C7172" s="3"/>
      <c r="D7172" s="3"/>
      <c r="E7172" s="3"/>
      <c r="F7172" s="3"/>
      <c r="G7172" s="3"/>
      <c r="H7172" s="11"/>
      <c r="I7172" s="12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  <c r="AA7172" s="3"/>
      <c r="AB7172" s="3"/>
      <c r="AC7172" s="3"/>
      <c r="AD7172" s="3"/>
      <c r="AE7172" s="3"/>
      <c r="AF7172" s="3"/>
      <c r="AG7172" s="3"/>
      <c r="AH7172" s="3"/>
    </row>
    <row r="7173" spans="1:34" ht="14.25" customHeight="1" x14ac:dyDescent="0.25">
      <c r="A7173" s="3"/>
      <c r="B7173" s="3"/>
      <c r="C7173" s="3"/>
      <c r="D7173" s="3"/>
      <c r="E7173" s="3"/>
      <c r="F7173" s="3"/>
      <c r="G7173" s="3"/>
      <c r="H7173" s="11"/>
      <c r="I7173" s="12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  <c r="AA7173" s="3"/>
      <c r="AB7173" s="3"/>
      <c r="AC7173" s="3"/>
      <c r="AD7173" s="3"/>
      <c r="AE7173" s="3"/>
      <c r="AF7173" s="3"/>
      <c r="AG7173" s="3"/>
      <c r="AH7173" s="3"/>
    </row>
    <row r="7174" spans="1:34" ht="14.25" customHeight="1" x14ac:dyDescent="0.25">
      <c r="A7174" s="3"/>
      <c r="B7174" s="3"/>
      <c r="C7174" s="3"/>
      <c r="D7174" s="3"/>
      <c r="E7174" s="3"/>
      <c r="F7174" s="3"/>
      <c r="G7174" s="3"/>
      <c r="H7174" s="11"/>
      <c r="I7174" s="12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  <c r="AA7174" s="3"/>
      <c r="AB7174" s="3"/>
      <c r="AC7174" s="3"/>
      <c r="AD7174" s="3"/>
      <c r="AE7174" s="3"/>
      <c r="AF7174" s="3"/>
      <c r="AG7174" s="3"/>
      <c r="AH7174" s="3"/>
    </row>
    <row r="7175" spans="1:34" ht="14.25" customHeight="1" x14ac:dyDescent="0.25">
      <c r="A7175" s="3"/>
      <c r="B7175" s="3"/>
      <c r="C7175" s="3"/>
      <c r="D7175" s="3"/>
      <c r="E7175" s="3"/>
      <c r="F7175" s="3"/>
      <c r="G7175" s="3"/>
      <c r="H7175" s="11"/>
      <c r="I7175" s="12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  <c r="AA7175" s="3"/>
      <c r="AB7175" s="3"/>
      <c r="AC7175" s="3"/>
      <c r="AD7175" s="3"/>
      <c r="AE7175" s="3"/>
      <c r="AF7175" s="3"/>
      <c r="AG7175" s="3"/>
      <c r="AH7175" s="3"/>
    </row>
    <row r="7176" spans="1:34" ht="14.25" customHeight="1" x14ac:dyDescent="0.25">
      <c r="A7176" s="3"/>
      <c r="B7176" s="3"/>
      <c r="C7176" s="3"/>
      <c r="D7176" s="3"/>
      <c r="E7176" s="3"/>
      <c r="F7176" s="3"/>
      <c r="G7176" s="3"/>
      <c r="H7176" s="11"/>
      <c r="I7176" s="12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  <c r="AA7176" s="3"/>
      <c r="AB7176" s="3"/>
      <c r="AC7176" s="3"/>
      <c r="AD7176" s="3"/>
      <c r="AE7176" s="3"/>
      <c r="AF7176" s="3"/>
      <c r="AG7176" s="3"/>
      <c r="AH7176" s="3"/>
    </row>
    <row r="7177" spans="1:34" ht="14.25" customHeight="1" x14ac:dyDescent="0.25">
      <c r="A7177" s="3"/>
      <c r="B7177" s="3"/>
      <c r="C7177" s="3"/>
      <c r="D7177" s="3"/>
      <c r="E7177" s="3"/>
      <c r="F7177" s="3"/>
      <c r="G7177" s="3"/>
      <c r="H7177" s="11"/>
      <c r="I7177" s="12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  <c r="AA7177" s="3"/>
      <c r="AB7177" s="3"/>
      <c r="AC7177" s="3"/>
      <c r="AD7177" s="3"/>
      <c r="AE7177" s="3"/>
      <c r="AF7177" s="3"/>
      <c r="AG7177" s="3"/>
      <c r="AH7177" s="3"/>
    </row>
    <row r="7178" spans="1:34" ht="14.25" customHeight="1" x14ac:dyDescent="0.25">
      <c r="A7178" s="3"/>
      <c r="B7178" s="3"/>
      <c r="C7178" s="3"/>
      <c r="D7178" s="3"/>
      <c r="E7178" s="3"/>
      <c r="F7178" s="3"/>
      <c r="G7178" s="3"/>
      <c r="H7178" s="11"/>
      <c r="I7178" s="12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  <c r="AA7178" s="3"/>
      <c r="AB7178" s="3"/>
      <c r="AC7178" s="3"/>
      <c r="AD7178" s="3"/>
      <c r="AE7178" s="3"/>
      <c r="AF7178" s="3"/>
      <c r="AG7178" s="3"/>
      <c r="AH7178" s="3"/>
    </row>
    <row r="7179" spans="1:34" ht="14.25" customHeight="1" x14ac:dyDescent="0.25">
      <c r="A7179" s="3"/>
      <c r="B7179" s="3"/>
      <c r="C7179" s="3"/>
      <c r="D7179" s="3"/>
      <c r="E7179" s="3"/>
      <c r="F7179" s="3"/>
      <c r="G7179" s="3"/>
      <c r="H7179" s="11"/>
      <c r="I7179" s="12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  <c r="AA7179" s="3"/>
      <c r="AB7179" s="3"/>
      <c r="AC7179" s="3"/>
      <c r="AD7179" s="3"/>
      <c r="AE7179" s="3"/>
      <c r="AF7179" s="3"/>
      <c r="AG7179" s="3"/>
      <c r="AH7179" s="3"/>
    </row>
    <row r="7180" spans="1:34" ht="14.25" customHeight="1" x14ac:dyDescent="0.25">
      <c r="A7180" s="3"/>
      <c r="B7180" s="3"/>
      <c r="C7180" s="3"/>
      <c r="D7180" s="3"/>
      <c r="E7180" s="3"/>
      <c r="F7180" s="3"/>
      <c r="G7180" s="3"/>
      <c r="H7180" s="11"/>
      <c r="I7180" s="12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  <c r="AA7180" s="3"/>
      <c r="AB7180" s="3"/>
      <c r="AC7180" s="3"/>
      <c r="AD7180" s="3"/>
      <c r="AE7180" s="3"/>
      <c r="AF7180" s="3"/>
      <c r="AG7180" s="3"/>
      <c r="AH7180" s="3"/>
    </row>
    <row r="7181" spans="1:34" ht="14.25" customHeight="1" x14ac:dyDescent="0.25">
      <c r="A7181" s="3"/>
      <c r="B7181" s="3"/>
      <c r="C7181" s="3"/>
      <c r="D7181" s="3"/>
      <c r="E7181" s="3"/>
      <c r="F7181" s="3"/>
      <c r="G7181" s="3"/>
      <c r="H7181" s="11"/>
      <c r="I7181" s="12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  <c r="AA7181" s="3"/>
      <c r="AB7181" s="3"/>
      <c r="AC7181" s="3"/>
      <c r="AD7181" s="3"/>
      <c r="AE7181" s="3"/>
      <c r="AF7181" s="3"/>
      <c r="AG7181" s="3"/>
      <c r="AH7181" s="3"/>
    </row>
    <row r="7182" spans="1:34" ht="14.25" customHeight="1" x14ac:dyDescent="0.25">
      <c r="A7182" s="3"/>
      <c r="B7182" s="3"/>
      <c r="C7182" s="3"/>
      <c r="D7182" s="3"/>
      <c r="E7182" s="3"/>
      <c r="F7182" s="3"/>
      <c r="G7182" s="3"/>
      <c r="H7182" s="11"/>
      <c r="I7182" s="12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  <c r="AA7182" s="3"/>
      <c r="AB7182" s="3"/>
      <c r="AC7182" s="3"/>
      <c r="AD7182" s="3"/>
      <c r="AE7182" s="3"/>
      <c r="AF7182" s="3"/>
      <c r="AG7182" s="3"/>
      <c r="AH7182" s="3"/>
    </row>
    <row r="7183" spans="1:34" ht="14.25" customHeight="1" x14ac:dyDescent="0.25">
      <c r="A7183" s="3"/>
      <c r="B7183" s="3"/>
      <c r="C7183" s="3"/>
      <c r="D7183" s="3"/>
      <c r="E7183" s="3"/>
      <c r="F7183" s="3"/>
      <c r="G7183" s="3"/>
      <c r="H7183" s="11"/>
      <c r="I7183" s="12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  <c r="AA7183" s="3"/>
      <c r="AB7183" s="3"/>
      <c r="AC7183" s="3"/>
      <c r="AD7183" s="3"/>
      <c r="AE7183" s="3"/>
      <c r="AF7183" s="3"/>
      <c r="AG7183" s="3"/>
      <c r="AH7183" s="3"/>
    </row>
    <row r="7184" spans="1:34" ht="14.25" customHeight="1" x14ac:dyDescent="0.25">
      <c r="A7184" s="3"/>
      <c r="B7184" s="3"/>
      <c r="C7184" s="3"/>
      <c r="D7184" s="3"/>
      <c r="E7184" s="3"/>
      <c r="F7184" s="3"/>
      <c r="G7184" s="3"/>
      <c r="H7184" s="11"/>
      <c r="I7184" s="12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  <c r="AA7184" s="3"/>
      <c r="AB7184" s="3"/>
      <c r="AC7184" s="3"/>
      <c r="AD7184" s="3"/>
      <c r="AE7184" s="3"/>
      <c r="AF7184" s="3"/>
      <c r="AG7184" s="3"/>
      <c r="AH7184" s="3"/>
    </row>
    <row r="7185" spans="1:34" ht="14.25" customHeight="1" x14ac:dyDescent="0.25">
      <c r="A7185" s="3"/>
      <c r="B7185" s="3"/>
      <c r="C7185" s="3"/>
      <c r="D7185" s="3"/>
      <c r="E7185" s="3"/>
      <c r="F7185" s="3"/>
      <c r="G7185" s="3"/>
      <c r="H7185" s="11"/>
      <c r="I7185" s="12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  <c r="AA7185" s="3"/>
      <c r="AB7185" s="3"/>
      <c r="AC7185" s="3"/>
      <c r="AD7185" s="3"/>
      <c r="AE7185" s="3"/>
      <c r="AF7185" s="3"/>
      <c r="AG7185" s="3"/>
      <c r="AH7185" s="3"/>
    </row>
    <row r="7186" spans="1:34" ht="14.25" customHeight="1" x14ac:dyDescent="0.25">
      <c r="A7186" s="3"/>
      <c r="B7186" s="3"/>
      <c r="C7186" s="3"/>
      <c r="D7186" s="3"/>
      <c r="E7186" s="3"/>
      <c r="F7186" s="3"/>
      <c r="G7186" s="3"/>
      <c r="H7186" s="11"/>
      <c r="I7186" s="12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  <c r="AA7186" s="3"/>
      <c r="AB7186" s="3"/>
      <c r="AC7186" s="3"/>
      <c r="AD7186" s="3"/>
      <c r="AE7186" s="3"/>
      <c r="AF7186" s="3"/>
      <c r="AG7186" s="3"/>
      <c r="AH7186" s="3"/>
    </row>
    <row r="7187" spans="1:34" ht="14.25" customHeight="1" x14ac:dyDescent="0.25">
      <c r="A7187" s="3"/>
      <c r="B7187" s="3"/>
      <c r="C7187" s="3"/>
      <c r="D7187" s="3"/>
      <c r="E7187" s="3"/>
      <c r="F7187" s="3"/>
      <c r="G7187" s="3"/>
      <c r="H7187" s="11"/>
      <c r="I7187" s="12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  <c r="AA7187" s="3"/>
      <c r="AB7187" s="3"/>
      <c r="AC7187" s="3"/>
      <c r="AD7187" s="3"/>
      <c r="AE7187" s="3"/>
      <c r="AF7187" s="3"/>
      <c r="AG7187" s="3"/>
      <c r="AH7187" s="3"/>
    </row>
    <row r="7188" spans="1:34" ht="14.25" customHeight="1" x14ac:dyDescent="0.25">
      <c r="A7188" s="3"/>
      <c r="B7188" s="3"/>
      <c r="C7188" s="3"/>
      <c r="D7188" s="3"/>
      <c r="E7188" s="3"/>
      <c r="F7188" s="3"/>
      <c r="G7188" s="3"/>
      <c r="H7188" s="11"/>
      <c r="I7188" s="12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  <c r="AA7188" s="3"/>
      <c r="AB7188" s="3"/>
      <c r="AC7188" s="3"/>
      <c r="AD7188" s="3"/>
      <c r="AE7188" s="3"/>
      <c r="AF7188" s="3"/>
      <c r="AG7188" s="3"/>
      <c r="AH7188" s="3"/>
    </row>
    <row r="7189" spans="1:34" ht="14.25" customHeight="1" x14ac:dyDescent="0.25">
      <c r="A7189" s="3"/>
      <c r="B7189" s="3"/>
      <c r="C7189" s="3"/>
      <c r="D7189" s="3"/>
      <c r="E7189" s="3"/>
      <c r="F7189" s="3"/>
      <c r="G7189" s="3"/>
      <c r="H7189" s="11"/>
      <c r="I7189" s="12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  <c r="AA7189" s="3"/>
      <c r="AB7189" s="3"/>
      <c r="AC7189" s="3"/>
      <c r="AD7189" s="3"/>
      <c r="AE7189" s="3"/>
      <c r="AF7189" s="3"/>
      <c r="AG7189" s="3"/>
      <c r="AH7189" s="3"/>
    </row>
    <row r="7190" spans="1:34" ht="14.25" customHeight="1" x14ac:dyDescent="0.25">
      <c r="A7190" s="3"/>
      <c r="B7190" s="3"/>
      <c r="C7190" s="3"/>
      <c r="D7190" s="3"/>
      <c r="E7190" s="3"/>
      <c r="F7190" s="3"/>
      <c r="G7190" s="3"/>
      <c r="H7190" s="11"/>
      <c r="I7190" s="12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  <c r="AA7190" s="3"/>
      <c r="AB7190" s="3"/>
      <c r="AC7190" s="3"/>
      <c r="AD7190" s="3"/>
      <c r="AE7190" s="3"/>
      <c r="AF7190" s="3"/>
      <c r="AG7190" s="3"/>
      <c r="AH7190" s="3"/>
    </row>
    <row r="7191" spans="1:34" ht="14.25" customHeight="1" x14ac:dyDescent="0.25">
      <c r="A7191" s="3"/>
      <c r="B7191" s="3"/>
      <c r="C7191" s="3"/>
      <c r="D7191" s="3"/>
      <c r="E7191" s="3"/>
      <c r="F7191" s="3"/>
      <c r="G7191" s="3"/>
      <c r="H7191" s="11"/>
      <c r="I7191" s="12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  <c r="AA7191" s="3"/>
      <c r="AB7191" s="3"/>
      <c r="AC7191" s="3"/>
      <c r="AD7191" s="3"/>
      <c r="AE7191" s="3"/>
      <c r="AF7191" s="3"/>
      <c r="AG7191" s="3"/>
      <c r="AH7191" s="3"/>
    </row>
    <row r="7192" spans="1:34" ht="14.25" customHeight="1" x14ac:dyDescent="0.25">
      <c r="A7192" s="3"/>
      <c r="B7192" s="3"/>
      <c r="C7192" s="3"/>
      <c r="D7192" s="3"/>
      <c r="E7192" s="3"/>
      <c r="F7192" s="3"/>
      <c r="G7192" s="3"/>
      <c r="H7192" s="11"/>
      <c r="I7192" s="12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  <c r="AA7192" s="3"/>
      <c r="AB7192" s="3"/>
      <c r="AC7192" s="3"/>
      <c r="AD7192" s="3"/>
      <c r="AE7192" s="3"/>
      <c r="AF7192" s="3"/>
      <c r="AG7192" s="3"/>
      <c r="AH7192" s="3"/>
    </row>
    <row r="7193" spans="1:34" ht="14.25" customHeight="1" x14ac:dyDescent="0.25">
      <c r="A7193" s="3"/>
      <c r="B7193" s="3"/>
      <c r="C7193" s="3"/>
      <c r="D7193" s="3"/>
      <c r="E7193" s="3"/>
      <c r="F7193" s="3"/>
      <c r="G7193" s="3"/>
      <c r="H7193" s="11"/>
      <c r="I7193" s="12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  <c r="AA7193" s="3"/>
      <c r="AB7193" s="3"/>
      <c r="AC7193" s="3"/>
      <c r="AD7193" s="3"/>
      <c r="AE7193" s="3"/>
      <c r="AF7193" s="3"/>
      <c r="AG7193" s="3"/>
      <c r="AH7193" s="3"/>
    </row>
    <row r="7194" spans="1:34" ht="14.25" customHeight="1" x14ac:dyDescent="0.25">
      <c r="A7194" s="3"/>
      <c r="B7194" s="3"/>
      <c r="C7194" s="3"/>
      <c r="D7194" s="3"/>
      <c r="E7194" s="3"/>
      <c r="F7194" s="3"/>
      <c r="G7194" s="3"/>
      <c r="H7194" s="11"/>
      <c r="I7194" s="12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  <c r="AA7194" s="3"/>
      <c r="AB7194" s="3"/>
      <c r="AC7194" s="3"/>
      <c r="AD7194" s="3"/>
      <c r="AE7194" s="3"/>
      <c r="AF7194" s="3"/>
      <c r="AG7194" s="3"/>
      <c r="AH7194" s="3"/>
    </row>
    <row r="7195" spans="1:34" ht="14.25" customHeight="1" x14ac:dyDescent="0.25">
      <c r="A7195" s="3"/>
      <c r="B7195" s="3"/>
      <c r="C7195" s="3"/>
      <c r="D7195" s="3"/>
      <c r="E7195" s="3"/>
      <c r="F7195" s="3"/>
      <c r="G7195" s="3"/>
      <c r="H7195" s="11"/>
      <c r="I7195" s="12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  <c r="AA7195" s="3"/>
      <c r="AB7195" s="3"/>
      <c r="AC7195" s="3"/>
      <c r="AD7195" s="3"/>
      <c r="AE7195" s="3"/>
      <c r="AF7195" s="3"/>
      <c r="AG7195" s="3"/>
      <c r="AH7195" s="3"/>
    </row>
    <row r="7196" spans="1:34" ht="14.25" customHeight="1" x14ac:dyDescent="0.25">
      <c r="A7196" s="3"/>
      <c r="B7196" s="3"/>
      <c r="C7196" s="3"/>
      <c r="D7196" s="3"/>
      <c r="E7196" s="3"/>
      <c r="F7196" s="3"/>
      <c r="G7196" s="3"/>
      <c r="H7196" s="11"/>
      <c r="I7196" s="12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  <c r="AA7196" s="3"/>
      <c r="AB7196" s="3"/>
      <c r="AC7196" s="3"/>
      <c r="AD7196" s="3"/>
      <c r="AE7196" s="3"/>
      <c r="AF7196" s="3"/>
      <c r="AG7196" s="3"/>
      <c r="AH7196" s="3"/>
    </row>
    <row r="7197" spans="1:34" ht="14.25" customHeight="1" x14ac:dyDescent="0.25">
      <c r="A7197" s="3"/>
      <c r="B7197" s="3"/>
      <c r="C7197" s="3"/>
      <c r="D7197" s="3"/>
      <c r="E7197" s="3"/>
      <c r="F7197" s="3"/>
      <c r="G7197" s="3"/>
      <c r="H7197" s="11"/>
      <c r="I7197" s="12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  <c r="AA7197" s="3"/>
      <c r="AB7197" s="3"/>
      <c r="AC7197" s="3"/>
      <c r="AD7197" s="3"/>
      <c r="AE7197" s="3"/>
      <c r="AF7197" s="3"/>
      <c r="AG7197" s="3"/>
      <c r="AH7197" s="3"/>
    </row>
    <row r="7198" spans="1:34" ht="14.25" customHeight="1" x14ac:dyDescent="0.25">
      <c r="A7198" s="3"/>
      <c r="B7198" s="3"/>
      <c r="C7198" s="3"/>
      <c r="D7198" s="3"/>
      <c r="E7198" s="3"/>
      <c r="F7198" s="3"/>
      <c r="G7198" s="3"/>
      <c r="H7198" s="11"/>
      <c r="I7198" s="12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  <c r="AA7198" s="3"/>
      <c r="AB7198" s="3"/>
      <c r="AC7198" s="3"/>
      <c r="AD7198" s="3"/>
      <c r="AE7198" s="3"/>
      <c r="AF7198" s="3"/>
      <c r="AG7198" s="3"/>
      <c r="AH7198" s="3"/>
    </row>
    <row r="7199" spans="1:34" ht="14.25" customHeight="1" x14ac:dyDescent="0.25">
      <c r="A7199" s="3"/>
      <c r="B7199" s="3"/>
      <c r="C7199" s="3"/>
      <c r="D7199" s="3"/>
      <c r="E7199" s="3"/>
      <c r="F7199" s="3"/>
      <c r="G7199" s="3"/>
      <c r="H7199" s="11"/>
      <c r="I7199" s="12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  <c r="AA7199" s="3"/>
      <c r="AB7199" s="3"/>
      <c r="AC7199" s="3"/>
      <c r="AD7199" s="3"/>
      <c r="AE7199" s="3"/>
      <c r="AF7199" s="3"/>
      <c r="AG7199" s="3"/>
      <c r="AH7199" s="3"/>
    </row>
    <row r="7200" spans="1:34" ht="14.25" customHeight="1" x14ac:dyDescent="0.25">
      <c r="A7200" s="3"/>
      <c r="B7200" s="3"/>
      <c r="C7200" s="3"/>
      <c r="D7200" s="3"/>
      <c r="E7200" s="3"/>
      <c r="F7200" s="3"/>
      <c r="G7200" s="3"/>
      <c r="H7200" s="11"/>
      <c r="I7200" s="12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  <c r="AA7200" s="3"/>
      <c r="AB7200" s="3"/>
      <c r="AC7200" s="3"/>
      <c r="AD7200" s="3"/>
      <c r="AE7200" s="3"/>
      <c r="AF7200" s="3"/>
      <c r="AG7200" s="3"/>
      <c r="AH7200" s="3"/>
    </row>
    <row r="7201" spans="1:34" ht="14.25" customHeight="1" x14ac:dyDescent="0.25">
      <c r="A7201" s="3"/>
      <c r="B7201" s="3"/>
      <c r="C7201" s="3"/>
      <c r="D7201" s="3"/>
      <c r="E7201" s="3"/>
      <c r="F7201" s="3"/>
      <c r="G7201" s="3"/>
      <c r="H7201" s="11"/>
      <c r="I7201" s="12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  <c r="AA7201" s="3"/>
      <c r="AB7201" s="3"/>
      <c r="AC7201" s="3"/>
      <c r="AD7201" s="3"/>
      <c r="AE7201" s="3"/>
      <c r="AF7201" s="3"/>
      <c r="AG7201" s="3"/>
      <c r="AH7201" s="3"/>
    </row>
    <row r="7202" spans="1:34" ht="14.25" customHeight="1" x14ac:dyDescent="0.25">
      <c r="A7202" s="3"/>
      <c r="B7202" s="3"/>
      <c r="C7202" s="3"/>
      <c r="D7202" s="3"/>
      <c r="E7202" s="3"/>
      <c r="F7202" s="3"/>
      <c r="G7202" s="3"/>
      <c r="H7202" s="11"/>
      <c r="I7202" s="12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  <c r="AA7202" s="3"/>
      <c r="AB7202" s="3"/>
      <c r="AC7202" s="3"/>
      <c r="AD7202" s="3"/>
      <c r="AE7202" s="3"/>
      <c r="AF7202" s="3"/>
      <c r="AG7202" s="3"/>
      <c r="AH7202" s="3"/>
    </row>
    <row r="7203" spans="1:34" ht="14.25" customHeight="1" x14ac:dyDescent="0.25">
      <c r="A7203" s="3"/>
      <c r="B7203" s="3"/>
      <c r="C7203" s="3"/>
      <c r="D7203" s="3"/>
      <c r="E7203" s="3"/>
      <c r="F7203" s="3"/>
      <c r="G7203" s="3"/>
      <c r="H7203" s="11"/>
      <c r="I7203" s="12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  <c r="AA7203" s="3"/>
      <c r="AB7203" s="3"/>
      <c r="AC7203" s="3"/>
      <c r="AD7203" s="3"/>
      <c r="AE7203" s="3"/>
      <c r="AF7203" s="3"/>
      <c r="AG7203" s="3"/>
      <c r="AH7203" s="3"/>
    </row>
    <row r="7204" spans="1:34" ht="14.25" customHeight="1" x14ac:dyDescent="0.25">
      <c r="A7204" s="3"/>
      <c r="B7204" s="3"/>
      <c r="C7204" s="3"/>
      <c r="D7204" s="3"/>
      <c r="E7204" s="3"/>
      <c r="F7204" s="3"/>
      <c r="G7204" s="3"/>
      <c r="H7204" s="11"/>
      <c r="I7204" s="12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  <c r="AA7204" s="3"/>
      <c r="AB7204" s="3"/>
      <c r="AC7204" s="3"/>
      <c r="AD7204" s="3"/>
      <c r="AE7204" s="3"/>
      <c r="AF7204" s="3"/>
      <c r="AG7204" s="3"/>
      <c r="AH7204" s="3"/>
    </row>
    <row r="7205" spans="1:34" ht="14.25" customHeight="1" x14ac:dyDescent="0.25">
      <c r="A7205" s="3"/>
      <c r="B7205" s="3"/>
      <c r="C7205" s="3"/>
      <c r="D7205" s="3"/>
      <c r="E7205" s="3"/>
      <c r="F7205" s="3"/>
      <c r="G7205" s="3"/>
      <c r="H7205" s="11"/>
      <c r="I7205" s="12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  <c r="AA7205" s="3"/>
      <c r="AB7205" s="3"/>
      <c r="AC7205" s="3"/>
      <c r="AD7205" s="3"/>
      <c r="AE7205" s="3"/>
      <c r="AF7205" s="3"/>
      <c r="AG7205" s="3"/>
      <c r="AH7205" s="3"/>
    </row>
    <row r="7206" spans="1:34" ht="14.25" customHeight="1" x14ac:dyDescent="0.25">
      <c r="A7206" s="3"/>
      <c r="B7206" s="3"/>
      <c r="C7206" s="3"/>
      <c r="D7206" s="3"/>
      <c r="E7206" s="3"/>
      <c r="F7206" s="3"/>
      <c r="G7206" s="3"/>
      <c r="H7206" s="11"/>
      <c r="I7206" s="12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  <c r="AA7206" s="3"/>
      <c r="AB7206" s="3"/>
      <c r="AC7206" s="3"/>
      <c r="AD7206" s="3"/>
      <c r="AE7206" s="3"/>
      <c r="AF7206" s="3"/>
      <c r="AG7206" s="3"/>
      <c r="AH7206" s="3"/>
    </row>
    <row r="7207" spans="1:34" ht="14.25" customHeight="1" x14ac:dyDescent="0.25">
      <c r="A7207" s="3"/>
      <c r="B7207" s="3"/>
      <c r="C7207" s="3"/>
      <c r="D7207" s="3"/>
      <c r="E7207" s="3"/>
      <c r="F7207" s="3"/>
      <c r="G7207" s="3"/>
      <c r="H7207" s="11"/>
      <c r="I7207" s="12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  <c r="AA7207" s="3"/>
      <c r="AB7207" s="3"/>
      <c r="AC7207" s="3"/>
      <c r="AD7207" s="3"/>
      <c r="AE7207" s="3"/>
      <c r="AF7207" s="3"/>
      <c r="AG7207" s="3"/>
      <c r="AH7207" s="3"/>
    </row>
    <row r="7208" spans="1:34" ht="14.25" customHeight="1" x14ac:dyDescent="0.25">
      <c r="A7208" s="3"/>
      <c r="B7208" s="3"/>
      <c r="C7208" s="3"/>
      <c r="D7208" s="3"/>
      <c r="E7208" s="3"/>
      <c r="F7208" s="3"/>
      <c r="G7208" s="3"/>
      <c r="H7208" s="11"/>
      <c r="I7208" s="12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  <c r="AA7208" s="3"/>
      <c r="AB7208" s="3"/>
      <c r="AC7208" s="3"/>
      <c r="AD7208" s="3"/>
      <c r="AE7208" s="3"/>
      <c r="AF7208" s="3"/>
      <c r="AG7208" s="3"/>
      <c r="AH7208" s="3"/>
    </row>
    <row r="7209" spans="1:34" ht="14.25" customHeight="1" x14ac:dyDescent="0.25">
      <c r="A7209" s="3"/>
      <c r="B7209" s="3"/>
      <c r="C7209" s="3"/>
      <c r="D7209" s="3"/>
      <c r="E7209" s="3"/>
      <c r="F7209" s="3"/>
      <c r="G7209" s="3"/>
      <c r="H7209" s="11"/>
      <c r="I7209" s="12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  <c r="AA7209" s="3"/>
      <c r="AB7209" s="3"/>
      <c r="AC7209" s="3"/>
      <c r="AD7209" s="3"/>
      <c r="AE7209" s="3"/>
      <c r="AF7209" s="3"/>
      <c r="AG7209" s="3"/>
      <c r="AH7209" s="3"/>
    </row>
    <row r="7210" spans="1:34" ht="14.25" customHeight="1" x14ac:dyDescent="0.25">
      <c r="A7210" s="3"/>
      <c r="B7210" s="3"/>
      <c r="C7210" s="3"/>
      <c r="D7210" s="3"/>
      <c r="E7210" s="3"/>
      <c r="F7210" s="3"/>
      <c r="G7210" s="3"/>
      <c r="H7210" s="11"/>
      <c r="I7210" s="12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  <c r="AA7210" s="3"/>
      <c r="AB7210" s="3"/>
      <c r="AC7210" s="3"/>
      <c r="AD7210" s="3"/>
      <c r="AE7210" s="3"/>
      <c r="AF7210" s="3"/>
      <c r="AG7210" s="3"/>
      <c r="AH7210" s="3"/>
    </row>
    <row r="7211" spans="1:34" ht="14.25" customHeight="1" x14ac:dyDescent="0.25">
      <c r="A7211" s="3"/>
      <c r="B7211" s="3"/>
      <c r="C7211" s="3"/>
      <c r="D7211" s="3"/>
      <c r="E7211" s="3"/>
      <c r="F7211" s="3"/>
      <c r="G7211" s="3"/>
      <c r="H7211" s="11"/>
      <c r="I7211" s="12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  <c r="AA7211" s="3"/>
      <c r="AB7211" s="3"/>
      <c r="AC7211" s="3"/>
      <c r="AD7211" s="3"/>
      <c r="AE7211" s="3"/>
      <c r="AF7211" s="3"/>
      <c r="AG7211" s="3"/>
      <c r="AH7211" s="3"/>
    </row>
    <row r="7212" spans="1:34" ht="14.25" customHeight="1" x14ac:dyDescent="0.25">
      <c r="A7212" s="3"/>
      <c r="B7212" s="3"/>
      <c r="C7212" s="3"/>
      <c r="D7212" s="3"/>
      <c r="E7212" s="3"/>
      <c r="F7212" s="3"/>
      <c r="G7212" s="3"/>
      <c r="H7212" s="11"/>
      <c r="I7212" s="12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  <c r="AA7212" s="3"/>
      <c r="AB7212" s="3"/>
      <c r="AC7212" s="3"/>
      <c r="AD7212" s="3"/>
      <c r="AE7212" s="3"/>
      <c r="AF7212" s="3"/>
      <c r="AG7212" s="3"/>
      <c r="AH7212" s="3"/>
    </row>
    <row r="7213" spans="1:34" ht="14.25" customHeight="1" x14ac:dyDescent="0.25">
      <c r="A7213" s="3"/>
      <c r="B7213" s="3"/>
      <c r="C7213" s="3"/>
      <c r="D7213" s="3"/>
      <c r="E7213" s="3"/>
      <c r="F7213" s="3"/>
      <c r="G7213" s="3"/>
      <c r="H7213" s="11"/>
      <c r="I7213" s="12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  <c r="AA7213" s="3"/>
      <c r="AB7213" s="3"/>
      <c r="AC7213" s="3"/>
      <c r="AD7213" s="3"/>
      <c r="AE7213" s="3"/>
      <c r="AF7213" s="3"/>
      <c r="AG7213" s="3"/>
      <c r="AH7213" s="3"/>
    </row>
    <row r="7214" spans="1:34" ht="14.25" customHeight="1" x14ac:dyDescent="0.25">
      <c r="A7214" s="3"/>
      <c r="B7214" s="3"/>
      <c r="C7214" s="3"/>
      <c r="D7214" s="3"/>
      <c r="E7214" s="3"/>
      <c r="F7214" s="3"/>
      <c r="G7214" s="3"/>
      <c r="H7214" s="11"/>
      <c r="I7214" s="12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  <c r="AA7214" s="3"/>
      <c r="AB7214" s="3"/>
      <c r="AC7214" s="3"/>
      <c r="AD7214" s="3"/>
      <c r="AE7214" s="3"/>
      <c r="AF7214" s="3"/>
      <c r="AG7214" s="3"/>
      <c r="AH7214" s="3"/>
    </row>
    <row r="7215" spans="1:34" ht="14.25" customHeight="1" x14ac:dyDescent="0.25">
      <c r="A7215" s="3"/>
      <c r="B7215" s="3"/>
      <c r="C7215" s="3"/>
      <c r="D7215" s="3"/>
      <c r="E7215" s="3"/>
      <c r="F7215" s="3"/>
      <c r="G7215" s="3"/>
      <c r="H7215" s="11"/>
      <c r="I7215" s="12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  <c r="AA7215" s="3"/>
      <c r="AB7215" s="3"/>
      <c r="AC7215" s="3"/>
      <c r="AD7215" s="3"/>
      <c r="AE7215" s="3"/>
      <c r="AF7215" s="3"/>
      <c r="AG7215" s="3"/>
      <c r="AH7215" s="3"/>
    </row>
    <row r="7216" spans="1:34" ht="14.25" customHeight="1" x14ac:dyDescent="0.25">
      <c r="A7216" s="3"/>
      <c r="B7216" s="3"/>
      <c r="C7216" s="3"/>
      <c r="D7216" s="3"/>
      <c r="E7216" s="3"/>
      <c r="F7216" s="3"/>
      <c r="G7216" s="3"/>
      <c r="H7216" s="11"/>
      <c r="I7216" s="12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  <c r="AA7216" s="3"/>
      <c r="AB7216" s="3"/>
      <c r="AC7216" s="3"/>
      <c r="AD7216" s="3"/>
      <c r="AE7216" s="3"/>
      <c r="AF7216" s="3"/>
      <c r="AG7216" s="3"/>
      <c r="AH7216" s="3"/>
    </row>
    <row r="7217" spans="1:34" ht="14.25" customHeight="1" x14ac:dyDescent="0.25">
      <c r="A7217" s="3"/>
      <c r="B7217" s="3"/>
      <c r="C7217" s="3"/>
      <c r="D7217" s="3"/>
      <c r="E7217" s="3"/>
      <c r="F7217" s="3"/>
      <c r="G7217" s="3"/>
      <c r="H7217" s="11"/>
      <c r="I7217" s="12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  <c r="AA7217" s="3"/>
      <c r="AB7217" s="3"/>
      <c r="AC7217" s="3"/>
      <c r="AD7217" s="3"/>
      <c r="AE7217" s="3"/>
      <c r="AF7217" s="3"/>
      <c r="AG7217" s="3"/>
      <c r="AH7217" s="3"/>
    </row>
    <row r="7218" spans="1:34" ht="14.25" customHeight="1" x14ac:dyDescent="0.25">
      <c r="A7218" s="3"/>
      <c r="B7218" s="3"/>
      <c r="C7218" s="3"/>
      <c r="D7218" s="3"/>
      <c r="E7218" s="3"/>
      <c r="F7218" s="3"/>
      <c r="G7218" s="3"/>
      <c r="H7218" s="11"/>
      <c r="I7218" s="12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  <c r="AA7218" s="3"/>
      <c r="AB7218" s="3"/>
      <c r="AC7218" s="3"/>
      <c r="AD7218" s="3"/>
      <c r="AE7218" s="3"/>
      <c r="AF7218" s="3"/>
      <c r="AG7218" s="3"/>
      <c r="AH7218" s="3"/>
    </row>
    <row r="7219" spans="1:34" ht="14.25" customHeight="1" x14ac:dyDescent="0.25">
      <c r="A7219" s="3"/>
      <c r="B7219" s="3"/>
      <c r="C7219" s="3"/>
      <c r="D7219" s="3"/>
      <c r="E7219" s="3"/>
      <c r="F7219" s="3"/>
      <c r="G7219" s="3"/>
      <c r="H7219" s="11"/>
      <c r="I7219" s="12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  <c r="AA7219" s="3"/>
      <c r="AB7219" s="3"/>
      <c r="AC7219" s="3"/>
      <c r="AD7219" s="3"/>
      <c r="AE7219" s="3"/>
      <c r="AF7219" s="3"/>
      <c r="AG7219" s="3"/>
      <c r="AH7219" s="3"/>
    </row>
    <row r="7220" spans="1:34" ht="14.25" customHeight="1" x14ac:dyDescent="0.25">
      <c r="A7220" s="3"/>
      <c r="B7220" s="3"/>
      <c r="C7220" s="3"/>
      <c r="D7220" s="3"/>
      <c r="E7220" s="3"/>
      <c r="F7220" s="3"/>
      <c r="G7220" s="3"/>
      <c r="H7220" s="11"/>
      <c r="I7220" s="12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  <c r="AA7220" s="3"/>
      <c r="AB7220" s="3"/>
      <c r="AC7220" s="3"/>
      <c r="AD7220" s="3"/>
      <c r="AE7220" s="3"/>
      <c r="AF7220" s="3"/>
      <c r="AG7220" s="3"/>
      <c r="AH7220" s="3"/>
    </row>
    <row r="7221" spans="1:34" ht="14.25" customHeight="1" x14ac:dyDescent="0.25">
      <c r="A7221" s="3"/>
      <c r="B7221" s="3"/>
      <c r="C7221" s="3"/>
      <c r="D7221" s="3"/>
      <c r="E7221" s="3"/>
      <c r="F7221" s="3"/>
      <c r="G7221" s="3"/>
      <c r="H7221" s="11"/>
      <c r="I7221" s="12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  <c r="AA7221" s="3"/>
      <c r="AB7221" s="3"/>
      <c r="AC7221" s="3"/>
      <c r="AD7221" s="3"/>
      <c r="AE7221" s="3"/>
      <c r="AF7221" s="3"/>
      <c r="AG7221" s="3"/>
      <c r="AH7221" s="3"/>
    </row>
    <row r="7222" spans="1:34" ht="14.25" customHeight="1" x14ac:dyDescent="0.25">
      <c r="A7222" s="3"/>
      <c r="B7222" s="3"/>
      <c r="C7222" s="3"/>
      <c r="D7222" s="3"/>
      <c r="E7222" s="3"/>
      <c r="F7222" s="3"/>
      <c r="G7222" s="3"/>
      <c r="H7222" s="11"/>
      <c r="I7222" s="12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  <c r="AA7222" s="3"/>
      <c r="AB7222" s="3"/>
      <c r="AC7222" s="3"/>
      <c r="AD7222" s="3"/>
      <c r="AE7222" s="3"/>
      <c r="AF7222" s="3"/>
      <c r="AG7222" s="3"/>
      <c r="AH7222" s="3"/>
    </row>
    <row r="7223" spans="1:34" ht="14.25" customHeight="1" x14ac:dyDescent="0.25">
      <c r="A7223" s="3"/>
      <c r="B7223" s="3"/>
      <c r="C7223" s="3"/>
      <c r="D7223" s="3"/>
      <c r="E7223" s="3"/>
      <c r="F7223" s="3"/>
      <c r="G7223" s="3"/>
      <c r="H7223" s="11"/>
      <c r="I7223" s="12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  <c r="AA7223" s="3"/>
      <c r="AB7223" s="3"/>
      <c r="AC7223" s="3"/>
      <c r="AD7223" s="3"/>
      <c r="AE7223" s="3"/>
      <c r="AF7223" s="3"/>
      <c r="AG7223" s="3"/>
      <c r="AH7223" s="3"/>
    </row>
    <row r="7224" spans="1:34" ht="14.25" customHeight="1" x14ac:dyDescent="0.25">
      <c r="A7224" s="3"/>
      <c r="B7224" s="3"/>
      <c r="C7224" s="3"/>
      <c r="D7224" s="3"/>
      <c r="E7224" s="3"/>
      <c r="F7224" s="3"/>
      <c r="G7224" s="3"/>
      <c r="H7224" s="11"/>
      <c r="I7224" s="12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  <c r="AA7224" s="3"/>
      <c r="AB7224" s="3"/>
      <c r="AC7224" s="3"/>
      <c r="AD7224" s="3"/>
      <c r="AE7224" s="3"/>
      <c r="AF7224" s="3"/>
      <c r="AG7224" s="3"/>
      <c r="AH7224" s="3"/>
    </row>
    <row r="7225" spans="1:34" ht="14.25" customHeight="1" x14ac:dyDescent="0.25">
      <c r="A7225" s="3"/>
      <c r="B7225" s="3"/>
      <c r="C7225" s="3"/>
      <c r="D7225" s="3"/>
      <c r="E7225" s="3"/>
      <c r="F7225" s="3"/>
      <c r="G7225" s="3"/>
      <c r="H7225" s="11"/>
      <c r="I7225" s="12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  <c r="AA7225" s="3"/>
      <c r="AB7225" s="3"/>
      <c r="AC7225" s="3"/>
      <c r="AD7225" s="3"/>
      <c r="AE7225" s="3"/>
      <c r="AF7225" s="3"/>
      <c r="AG7225" s="3"/>
      <c r="AH7225" s="3"/>
    </row>
    <row r="7226" spans="1:34" ht="14.25" customHeight="1" x14ac:dyDescent="0.25">
      <c r="A7226" s="3"/>
      <c r="B7226" s="3"/>
      <c r="C7226" s="3"/>
      <c r="D7226" s="3"/>
      <c r="E7226" s="3"/>
      <c r="F7226" s="3"/>
      <c r="G7226" s="3"/>
      <c r="H7226" s="11"/>
      <c r="I7226" s="12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  <c r="AA7226" s="3"/>
      <c r="AB7226" s="3"/>
      <c r="AC7226" s="3"/>
      <c r="AD7226" s="3"/>
      <c r="AE7226" s="3"/>
      <c r="AF7226" s="3"/>
      <c r="AG7226" s="3"/>
      <c r="AH7226" s="3"/>
    </row>
    <row r="7227" spans="1:34" ht="14.25" customHeight="1" x14ac:dyDescent="0.25">
      <c r="A7227" s="3"/>
      <c r="B7227" s="3"/>
      <c r="C7227" s="3"/>
      <c r="D7227" s="3"/>
      <c r="E7227" s="3"/>
      <c r="F7227" s="3"/>
      <c r="G7227" s="3"/>
      <c r="H7227" s="11"/>
      <c r="I7227" s="12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  <c r="AA7227" s="3"/>
      <c r="AB7227" s="3"/>
      <c r="AC7227" s="3"/>
      <c r="AD7227" s="3"/>
      <c r="AE7227" s="3"/>
      <c r="AF7227" s="3"/>
      <c r="AG7227" s="3"/>
      <c r="AH7227" s="3"/>
    </row>
    <row r="7228" spans="1:34" ht="14.25" customHeight="1" x14ac:dyDescent="0.25">
      <c r="A7228" s="3"/>
      <c r="B7228" s="3"/>
      <c r="C7228" s="3"/>
      <c r="D7228" s="3"/>
      <c r="E7228" s="3"/>
      <c r="F7228" s="3"/>
      <c r="G7228" s="3"/>
      <c r="H7228" s="11"/>
      <c r="I7228" s="12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  <c r="AA7228" s="3"/>
      <c r="AB7228" s="3"/>
      <c r="AC7228" s="3"/>
      <c r="AD7228" s="3"/>
      <c r="AE7228" s="3"/>
      <c r="AF7228" s="3"/>
      <c r="AG7228" s="3"/>
      <c r="AH7228" s="3"/>
    </row>
    <row r="7229" spans="1:34" ht="14.25" customHeight="1" x14ac:dyDescent="0.25">
      <c r="A7229" s="3"/>
      <c r="B7229" s="3"/>
      <c r="C7229" s="3"/>
      <c r="D7229" s="3"/>
      <c r="E7229" s="3"/>
      <c r="F7229" s="3"/>
      <c r="G7229" s="3"/>
      <c r="H7229" s="11"/>
      <c r="I7229" s="12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  <c r="AA7229" s="3"/>
      <c r="AB7229" s="3"/>
      <c r="AC7229" s="3"/>
      <c r="AD7229" s="3"/>
      <c r="AE7229" s="3"/>
      <c r="AF7229" s="3"/>
      <c r="AG7229" s="3"/>
      <c r="AH7229" s="3"/>
    </row>
    <row r="7230" spans="1:34" ht="14.25" customHeight="1" x14ac:dyDescent="0.25">
      <c r="A7230" s="3"/>
      <c r="B7230" s="3"/>
      <c r="C7230" s="3"/>
      <c r="D7230" s="3"/>
      <c r="E7230" s="3"/>
      <c r="F7230" s="3"/>
      <c r="G7230" s="3"/>
      <c r="H7230" s="11"/>
      <c r="I7230" s="12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  <c r="AA7230" s="3"/>
      <c r="AB7230" s="3"/>
      <c r="AC7230" s="3"/>
      <c r="AD7230" s="3"/>
      <c r="AE7230" s="3"/>
      <c r="AF7230" s="3"/>
      <c r="AG7230" s="3"/>
      <c r="AH7230" s="3"/>
    </row>
    <row r="7231" spans="1:34" ht="14.25" customHeight="1" x14ac:dyDescent="0.25">
      <c r="A7231" s="3"/>
      <c r="B7231" s="3"/>
      <c r="C7231" s="3"/>
      <c r="D7231" s="3"/>
      <c r="E7231" s="3"/>
      <c r="F7231" s="3"/>
      <c r="G7231" s="3"/>
      <c r="H7231" s="11"/>
      <c r="I7231" s="12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  <c r="AA7231" s="3"/>
      <c r="AB7231" s="3"/>
      <c r="AC7231" s="3"/>
      <c r="AD7231" s="3"/>
      <c r="AE7231" s="3"/>
      <c r="AF7231" s="3"/>
      <c r="AG7231" s="3"/>
      <c r="AH7231" s="3"/>
    </row>
    <row r="7232" spans="1:34" ht="14.25" customHeight="1" x14ac:dyDescent="0.25">
      <c r="A7232" s="3"/>
      <c r="B7232" s="3"/>
      <c r="C7232" s="3"/>
      <c r="D7232" s="3"/>
      <c r="E7232" s="3"/>
      <c r="F7232" s="3"/>
      <c r="G7232" s="3"/>
      <c r="H7232" s="11"/>
      <c r="I7232" s="12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  <c r="AA7232" s="3"/>
      <c r="AB7232" s="3"/>
      <c r="AC7232" s="3"/>
      <c r="AD7232" s="3"/>
      <c r="AE7232" s="3"/>
      <c r="AF7232" s="3"/>
      <c r="AG7232" s="3"/>
      <c r="AH7232" s="3"/>
    </row>
    <row r="7233" spans="1:34" ht="14.25" customHeight="1" x14ac:dyDescent="0.25">
      <c r="A7233" s="3"/>
      <c r="B7233" s="3"/>
      <c r="C7233" s="3"/>
      <c r="D7233" s="3"/>
      <c r="E7233" s="3"/>
      <c r="F7233" s="3"/>
      <c r="G7233" s="3"/>
      <c r="H7233" s="11"/>
      <c r="I7233" s="12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  <c r="AA7233" s="3"/>
      <c r="AB7233" s="3"/>
      <c r="AC7233" s="3"/>
      <c r="AD7233" s="3"/>
      <c r="AE7233" s="3"/>
      <c r="AF7233" s="3"/>
      <c r="AG7233" s="3"/>
      <c r="AH7233" s="3"/>
    </row>
    <row r="7234" spans="1:34" ht="14.25" customHeight="1" x14ac:dyDescent="0.25">
      <c r="A7234" s="3"/>
      <c r="B7234" s="3"/>
      <c r="C7234" s="3"/>
      <c r="D7234" s="3"/>
      <c r="E7234" s="3"/>
      <c r="F7234" s="3"/>
      <c r="G7234" s="3"/>
      <c r="H7234" s="11"/>
      <c r="I7234" s="12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  <c r="AA7234" s="3"/>
      <c r="AB7234" s="3"/>
      <c r="AC7234" s="3"/>
      <c r="AD7234" s="3"/>
      <c r="AE7234" s="3"/>
      <c r="AF7234" s="3"/>
      <c r="AG7234" s="3"/>
      <c r="AH7234" s="3"/>
    </row>
    <row r="7235" spans="1:34" ht="14.25" customHeight="1" x14ac:dyDescent="0.25">
      <c r="A7235" s="3"/>
      <c r="B7235" s="3"/>
      <c r="C7235" s="3"/>
      <c r="D7235" s="3"/>
      <c r="E7235" s="3"/>
      <c r="F7235" s="3"/>
      <c r="G7235" s="3"/>
      <c r="H7235" s="11"/>
      <c r="I7235" s="12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  <c r="AA7235" s="3"/>
      <c r="AB7235" s="3"/>
      <c r="AC7235" s="3"/>
      <c r="AD7235" s="3"/>
      <c r="AE7235" s="3"/>
      <c r="AF7235" s="3"/>
      <c r="AG7235" s="3"/>
      <c r="AH7235" s="3"/>
    </row>
    <row r="7236" spans="1:34" ht="14.25" customHeight="1" x14ac:dyDescent="0.25">
      <c r="A7236" s="3"/>
      <c r="B7236" s="3"/>
      <c r="C7236" s="3"/>
      <c r="D7236" s="3"/>
      <c r="E7236" s="3"/>
      <c r="F7236" s="3"/>
      <c r="G7236" s="3"/>
      <c r="H7236" s="11"/>
      <c r="I7236" s="12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  <c r="AA7236" s="3"/>
      <c r="AB7236" s="3"/>
      <c r="AC7236" s="3"/>
      <c r="AD7236" s="3"/>
      <c r="AE7236" s="3"/>
      <c r="AF7236" s="3"/>
      <c r="AG7236" s="3"/>
      <c r="AH7236" s="3"/>
    </row>
    <row r="7237" spans="1:34" ht="14.25" customHeight="1" x14ac:dyDescent="0.25">
      <c r="A7237" s="3"/>
      <c r="B7237" s="3"/>
      <c r="C7237" s="3"/>
      <c r="D7237" s="3"/>
      <c r="E7237" s="3"/>
      <c r="F7237" s="3"/>
      <c r="G7237" s="3"/>
      <c r="H7237" s="11"/>
      <c r="I7237" s="12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  <c r="AA7237" s="3"/>
      <c r="AB7237" s="3"/>
      <c r="AC7237" s="3"/>
      <c r="AD7237" s="3"/>
      <c r="AE7237" s="3"/>
      <c r="AF7237" s="3"/>
      <c r="AG7237" s="3"/>
      <c r="AH7237" s="3"/>
    </row>
    <row r="7238" spans="1:34" ht="14.25" customHeight="1" x14ac:dyDescent="0.25">
      <c r="A7238" s="3"/>
      <c r="B7238" s="3"/>
      <c r="C7238" s="3"/>
      <c r="D7238" s="3"/>
      <c r="E7238" s="3"/>
      <c r="F7238" s="3"/>
      <c r="G7238" s="3"/>
      <c r="H7238" s="11"/>
      <c r="I7238" s="12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  <c r="AA7238" s="3"/>
      <c r="AB7238" s="3"/>
      <c r="AC7238" s="3"/>
      <c r="AD7238" s="3"/>
      <c r="AE7238" s="3"/>
      <c r="AF7238" s="3"/>
      <c r="AG7238" s="3"/>
      <c r="AH7238" s="3"/>
    </row>
    <row r="7239" spans="1:34" ht="14.25" customHeight="1" x14ac:dyDescent="0.25">
      <c r="A7239" s="3"/>
      <c r="B7239" s="3"/>
      <c r="C7239" s="3"/>
      <c r="D7239" s="3"/>
      <c r="E7239" s="3"/>
      <c r="F7239" s="3"/>
      <c r="G7239" s="3"/>
      <c r="H7239" s="11"/>
      <c r="I7239" s="12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  <c r="AA7239" s="3"/>
      <c r="AB7239" s="3"/>
      <c r="AC7239" s="3"/>
      <c r="AD7239" s="3"/>
      <c r="AE7239" s="3"/>
      <c r="AF7239" s="3"/>
      <c r="AG7239" s="3"/>
      <c r="AH7239" s="3"/>
    </row>
    <row r="7240" spans="1:34" ht="14.25" customHeight="1" x14ac:dyDescent="0.25">
      <c r="A7240" s="3"/>
      <c r="B7240" s="3"/>
      <c r="C7240" s="3"/>
      <c r="D7240" s="3"/>
      <c r="E7240" s="3"/>
      <c r="F7240" s="3"/>
      <c r="G7240" s="3"/>
      <c r="H7240" s="11"/>
      <c r="I7240" s="12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  <c r="AA7240" s="3"/>
      <c r="AB7240" s="3"/>
      <c r="AC7240" s="3"/>
      <c r="AD7240" s="3"/>
      <c r="AE7240" s="3"/>
      <c r="AF7240" s="3"/>
      <c r="AG7240" s="3"/>
      <c r="AH7240" s="3"/>
    </row>
    <row r="7241" spans="1:34" ht="14.25" customHeight="1" x14ac:dyDescent="0.25">
      <c r="A7241" s="3"/>
      <c r="B7241" s="3"/>
      <c r="C7241" s="3"/>
      <c r="D7241" s="3"/>
      <c r="E7241" s="3"/>
      <c r="F7241" s="3"/>
      <c r="G7241" s="3"/>
      <c r="H7241" s="11"/>
      <c r="I7241" s="12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  <c r="AA7241" s="3"/>
      <c r="AB7241" s="3"/>
      <c r="AC7241" s="3"/>
      <c r="AD7241" s="3"/>
      <c r="AE7241" s="3"/>
      <c r="AF7241" s="3"/>
      <c r="AG7241" s="3"/>
      <c r="AH7241" s="3"/>
    </row>
    <row r="7242" spans="1:34" ht="14.25" customHeight="1" x14ac:dyDescent="0.25">
      <c r="A7242" s="3"/>
      <c r="B7242" s="3"/>
      <c r="C7242" s="3"/>
      <c r="D7242" s="3"/>
      <c r="E7242" s="3"/>
      <c r="F7242" s="3"/>
      <c r="G7242" s="3"/>
      <c r="H7242" s="11"/>
      <c r="I7242" s="12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  <c r="AA7242" s="3"/>
      <c r="AB7242" s="3"/>
      <c r="AC7242" s="3"/>
      <c r="AD7242" s="3"/>
      <c r="AE7242" s="3"/>
      <c r="AF7242" s="3"/>
      <c r="AG7242" s="3"/>
      <c r="AH7242" s="3"/>
    </row>
    <row r="7243" spans="1:34" ht="14.25" customHeight="1" x14ac:dyDescent="0.25">
      <c r="A7243" s="3"/>
      <c r="B7243" s="3"/>
      <c r="C7243" s="3"/>
      <c r="D7243" s="3"/>
      <c r="E7243" s="3"/>
      <c r="F7243" s="3"/>
      <c r="G7243" s="3"/>
      <c r="H7243" s="11"/>
      <c r="I7243" s="12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  <c r="AA7243" s="3"/>
      <c r="AB7243" s="3"/>
      <c r="AC7243" s="3"/>
      <c r="AD7243" s="3"/>
      <c r="AE7243" s="3"/>
      <c r="AF7243" s="3"/>
      <c r="AG7243" s="3"/>
      <c r="AH7243" s="3"/>
    </row>
    <row r="7244" spans="1:34" ht="14.25" customHeight="1" x14ac:dyDescent="0.25">
      <c r="A7244" s="3"/>
      <c r="B7244" s="3"/>
      <c r="C7244" s="3"/>
      <c r="D7244" s="3"/>
      <c r="E7244" s="3"/>
      <c r="F7244" s="3"/>
      <c r="G7244" s="3"/>
      <c r="H7244" s="11"/>
      <c r="I7244" s="12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  <c r="AA7244" s="3"/>
      <c r="AB7244" s="3"/>
      <c r="AC7244" s="3"/>
      <c r="AD7244" s="3"/>
      <c r="AE7244" s="3"/>
      <c r="AF7244" s="3"/>
      <c r="AG7244" s="3"/>
      <c r="AH7244" s="3"/>
    </row>
    <row r="7245" spans="1:34" ht="14.25" customHeight="1" x14ac:dyDescent="0.25">
      <c r="A7245" s="3"/>
      <c r="B7245" s="3"/>
      <c r="C7245" s="3"/>
      <c r="D7245" s="3"/>
      <c r="E7245" s="3"/>
      <c r="F7245" s="3"/>
      <c r="G7245" s="3"/>
      <c r="H7245" s="11"/>
      <c r="I7245" s="12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  <c r="AA7245" s="3"/>
      <c r="AB7245" s="3"/>
      <c r="AC7245" s="3"/>
      <c r="AD7245" s="3"/>
      <c r="AE7245" s="3"/>
      <c r="AF7245" s="3"/>
      <c r="AG7245" s="3"/>
      <c r="AH7245" s="3"/>
    </row>
    <row r="7246" spans="1:34" ht="14.25" customHeight="1" x14ac:dyDescent="0.25">
      <c r="A7246" s="3"/>
      <c r="B7246" s="3"/>
      <c r="C7246" s="3"/>
      <c r="D7246" s="3"/>
      <c r="E7246" s="3"/>
      <c r="F7246" s="3"/>
      <c r="G7246" s="3"/>
      <c r="H7246" s="11"/>
      <c r="I7246" s="12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  <c r="AA7246" s="3"/>
      <c r="AB7246" s="3"/>
      <c r="AC7246" s="3"/>
      <c r="AD7246" s="3"/>
      <c r="AE7246" s="3"/>
      <c r="AF7246" s="3"/>
      <c r="AG7246" s="3"/>
      <c r="AH7246" s="3"/>
    </row>
    <row r="7247" spans="1:34" ht="14.25" customHeight="1" x14ac:dyDescent="0.25">
      <c r="A7247" s="3"/>
      <c r="B7247" s="3"/>
      <c r="C7247" s="3"/>
      <c r="D7247" s="3"/>
      <c r="E7247" s="3"/>
      <c r="F7247" s="3"/>
      <c r="G7247" s="3"/>
      <c r="H7247" s="11"/>
      <c r="I7247" s="12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  <c r="AA7247" s="3"/>
      <c r="AB7247" s="3"/>
      <c r="AC7247" s="3"/>
      <c r="AD7247" s="3"/>
      <c r="AE7247" s="3"/>
      <c r="AF7247" s="3"/>
      <c r="AG7247" s="3"/>
      <c r="AH7247" s="3"/>
    </row>
    <row r="7248" spans="1:34" ht="14.25" customHeight="1" x14ac:dyDescent="0.25">
      <c r="A7248" s="3"/>
      <c r="B7248" s="3"/>
      <c r="C7248" s="3"/>
      <c r="D7248" s="3"/>
      <c r="E7248" s="3"/>
      <c r="F7248" s="3"/>
      <c r="G7248" s="3"/>
      <c r="H7248" s="11"/>
      <c r="I7248" s="12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  <c r="AA7248" s="3"/>
      <c r="AB7248" s="3"/>
      <c r="AC7248" s="3"/>
      <c r="AD7248" s="3"/>
      <c r="AE7248" s="3"/>
      <c r="AF7248" s="3"/>
      <c r="AG7248" s="3"/>
      <c r="AH7248" s="3"/>
    </row>
    <row r="7249" spans="1:34" ht="14.25" customHeight="1" x14ac:dyDescent="0.25">
      <c r="A7249" s="3"/>
      <c r="B7249" s="3"/>
      <c r="C7249" s="3"/>
      <c r="D7249" s="3"/>
      <c r="E7249" s="3"/>
      <c r="F7249" s="3"/>
      <c r="G7249" s="3"/>
      <c r="H7249" s="11"/>
      <c r="I7249" s="12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  <c r="AA7249" s="3"/>
      <c r="AB7249" s="3"/>
      <c r="AC7249" s="3"/>
      <c r="AD7249" s="3"/>
      <c r="AE7249" s="3"/>
      <c r="AF7249" s="3"/>
      <c r="AG7249" s="3"/>
      <c r="AH7249" s="3"/>
    </row>
    <row r="7250" spans="1:34" ht="14.25" customHeight="1" x14ac:dyDescent="0.25">
      <c r="A7250" s="3"/>
      <c r="B7250" s="3"/>
      <c r="C7250" s="3"/>
      <c r="D7250" s="3"/>
      <c r="E7250" s="3"/>
      <c r="F7250" s="3"/>
      <c r="G7250" s="3"/>
      <c r="H7250" s="11"/>
      <c r="I7250" s="12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  <c r="AA7250" s="3"/>
      <c r="AB7250" s="3"/>
      <c r="AC7250" s="3"/>
      <c r="AD7250" s="3"/>
      <c r="AE7250" s="3"/>
      <c r="AF7250" s="3"/>
      <c r="AG7250" s="3"/>
      <c r="AH7250" s="3"/>
    </row>
    <row r="7251" spans="1:34" ht="14.25" customHeight="1" x14ac:dyDescent="0.25">
      <c r="A7251" s="3"/>
      <c r="B7251" s="3"/>
      <c r="C7251" s="3"/>
      <c r="D7251" s="3"/>
      <c r="E7251" s="3"/>
      <c r="F7251" s="3"/>
      <c r="G7251" s="3"/>
      <c r="H7251" s="11"/>
      <c r="I7251" s="12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  <c r="AA7251" s="3"/>
      <c r="AB7251" s="3"/>
      <c r="AC7251" s="3"/>
      <c r="AD7251" s="3"/>
      <c r="AE7251" s="3"/>
      <c r="AF7251" s="3"/>
      <c r="AG7251" s="3"/>
      <c r="AH7251" s="3"/>
    </row>
    <row r="7252" spans="1:34" ht="14.25" customHeight="1" x14ac:dyDescent="0.25">
      <c r="A7252" s="3"/>
      <c r="B7252" s="3"/>
      <c r="C7252" s="3"/>
      <c r="D7252" s="3"/>
      <c r="E7252" s="3"/>
      <c r="F7252" s="3"/>
      <c r="G7252" s="3"/>
      <c r="H7252" s="11"/>
      <c r="I7252" s="12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  <c r="AA7252" s="3"/>
      <c r="AB7252" s="3"/>
      <c r="AC7252" s="3"/>
      <c r="AD7252" s="3"/>
      <c r="AE7252" s="3"/>
      <c r="AF7252" s="3"/>
      <c r="AG7252" s="3"/>
      <c r="AH7252" s="3"/>
    </row>
    <row r="7253" spans="1:34" ht="14.25" customHeight="1" x14ac:dyDescent="0.25">
      <c r="A7253" s="3"/>
      <c r="B7253" s="3"/>
      <c r="C7253" s="3"/>
      <c r="D7253" s="3"/>
      <c r="E7253" s="3"/>
      <c r="F7253" s="3"/>
      <c r="G7253" s="3"/>
      <c r="H7253" s="11"/>
      <c r="I7253" s="12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  <c r="AA7253" s="3"/>
      <c r="AB7253" s="3"/>
      <c r="AC7253" s="3"/>
      <c r="AD7253" s="3"/>
      <c r="AE7253" s="3"/>
      <c r="AF7253" s="3"/>
      <c r="AG7253" s="3"/>
      <c r="AH7253" s="3"/>
    </row>
    <row r="7254" spans="1:34" ht="14.25" customHeight="1" x14ac:dyDescent="0.25">
      <c r="A7254" s="3"/>
      <c r="B7254" s="3"/>
      <c r="C7254" s="3"/>
      <c r="D7254" s="3"/>
      <c r="E7254" s="3"/>
      <c r="F7254" s="3"/>
      <c r="G7254" s="3"/>
      <c r="H7254" s="11"/>
      <c r="I7254" s="12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  <c r="AA7254" s="3"/>
      <c r="AB7254" s="3"/>
      <c r="AC7254" s="3"/>
      <c r="AD7254" s="3"/>
      <c r="AE7254" s="3"/>
      <c r="AF7254" s="3"/>
      <c r="AG7254" s="3"/>
      <c r="AH7254" s="3"/>
    </row>
    <row r="7255" spans="1:34" ht="14.25" customHeight="1" x14ac:dyDescent="0.25">
      <c r="A7255" s="3"/>
      <c r="B7255" s="3"/>
      <c r="C7255" s="3"/>
      <c r="D7255" s="3"/>
      <c r="E7255" s="3"/>
      <c r="F7255" s="3"/>
      <c r="G7255" s="3"/>
      <c r="H7255" s="11"/>
      <c r="I7255" s="12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  <c r="AA7255" s="3"/>
      <c r="AB7255" s="3"/>
      <c r="AC7255" s="3"/>
      <c r="AD7255" s="3"/>
      <c r="AE7255" s="3"/>
      <c r="AF7255" s="3"/>
      <c r="AG7255" s="3"/>
      <c r="AH7255" s="3"/>
    </row>
    <row r="7256" spans="1:34" ht="14.25" customHeight="1" x14ac:dyDescent="0.25">
      <c r="A7256" s="3"/>
      <c r="B7256" s="3"/>
      <c r="C7256" s="3"/>
      <c r="D7256" s="3"/>
      <c r="E7256" s="3"/>
      <c r="F7256" s="3"/>
      <c r="G7256" s="3"/>
      <c r="H7256" s="11"/>
      <c r="I7256" s="12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  <c r="AA7256" s="3"/>
      <c r="AB7256" s="3"/>
      <c r="AC7256" s="3"/>
      <c r="AD7256" s="3"/>
      <c r="AE7256" s="3"/>
      <c r="AF7256" s="3"/>
      <c r="AG7256" s="3"/>
      <c r="AH7256" s="3"/>
    </row>
    <row r="7257" spans="1:34" ht="14.25" customHeight="1" x14ac:dyDescent="0.25">
      <c r="A7257" s="3"/>
      <c r="B7257" s="3"/>
      <c r="C7257" s="3"/>
      <c r="D7257" s="3"/>
      <c r="E7257" s="3"/>
      <c r="F7257" s="3"/>
      <c r="G7257" s="3"/>
      <c r="H7257" s="11"/>
      <c r="I7257" s="12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  <c r="AA7257" s="3"/>
      <c r="AB7257" s="3"/>
      <c r="AC7257" s="3"/>
      <c r="AD7257" s="3"/>
      <c r="AE7257" s="3"/>
      <c r="AF7257" s="3"/>
      <c r="AG7257" s="3"/>
      <c r="AH7257" s="3"/>
    </row>
    <row r="7258" spans="1:34" ht="14.25" customHeight="1" x14ac:dyDescent="0.25">
      <c r="A7258" s="3"/>
      <c r="B7258" s="3"/>
      <c r="C7258" s="3"/>
      <c r="D7258" s="3"/>
      <c r="E7258" s="3"/>
      <c r="F7258" s="3"/>
      <c r="G7258" s="3"/>
      <c r="H7258" s="11"/>
      <c r="I7258" s="12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  <c r="AA7258" s="3"/>
      <c r="AB7258" s="3"/>
      <c r="AC7258" s="3"/>
      <c r="AD7258" s="3"/>
      <c r="AE7258" s="3"/>
      <c r="AF7258" s="3"/>
      <c r="AG7258" s="3"/>
      <c r="AH7258" s="3"/>
    </row>
    <row r="7259" spans="1:34" ht="14.25" customHeight="1" x14ac:dyDescent="0.25">
      <c r="A7259" s="3"/>
      <c r="B7259" s="3"/>
      <c r="C7259" s="3"/>
      <c r="D7259" s="3"/>
      <c r="E7259" s="3"/>
      <c r="F7259" s="3"/>
      <c r="G7259" s="3"/>
      <c r="H7259" s="11"/>
      <c r="I7259" s="12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  <c r="AA7259" s="3"/>
      <c r="AB7259" s="3"/>
      <c r="AC7259" s="3"/>
      <c r="AD7259" s="3"/>
      <c r="AE7259" s="3"/>
      <c r="AF7259" s="3"/>
      <c r="AG7259" s="3"/>
      <c r="AH7259" s="3"/>
    </row>
    <row r="7260" spans="1:34" ht="14.25" customHeight="1" x14ac:dyDescent="0.25">
      <c r="A7260" s="3"/>
      <c r="B7260" s="3"/>
      <c r="C7260" s="3"/>
      <c r="D7260" s="3"/>
      <c r="E7260" s="3"/>
      <c r="F7260" s="3"/>
      <c r="G7260" s="3"/>
      <c r="H7260" s="11"/>
      <c r="I7260" s="12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  <c r="AA7260" s="3"/>
      <c r="AB7260" s="3"/>
      <c r="AC7260" s="3"/>
      <c r="AD7260" s="3"/>
      <c r="AE7260" s="3"/>
      <c r="AF7260" s="3"/>
      <c r="AG7260" s="3"/>
      <c r="AH7260" s="3"/>
    </row>
    <row r="7261" spans="1:34" ht="14.25" customHeight="1" x14ac:dyDescent="0.25">
      <c r="A7261" s="3"/>
      <c r="B7261" s="3"/>
      <c r="C7261" s="3"/>
      <c r="D7261" s="3"/>
      <c r="E7261" s="3"/>
      <c r="F7261" s="3"/>
      <c r="G7261" s="3"/>
      <c r="H7261" s="11"/>
      <c r="I7261" s="12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  <c r="AA7261" s="3"/>
      <c r="AB7261" s="3"/>
      <c r="AC7261" s="3"/>
      <c r="AD7261" s="3"/>
      <c r="AE7261" s="3"/>
      <c r="AF7261" s="3"/>
      <c r="AG7261" s="3"/>
      <c r="AH7261" s="3"/>
    </row>
    <row r="7262" spans="1:34" ht="14.25" customHeight="1" x14ac:dyDescent="0.25">
      <c r="A7262" s="3"/>
      <c r="B7262" s="3"/>
      <c r="C7262" s="3"/>
      <c r="D7262" s="3"/>
      <c r="E7262" s="3"/>
      <c r="F7262" s="3"/>
      <c r="G7262" s="3"/>
      <c r="H7262" s="11"/>
      <c r="I7262" s="12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  <c r="AA7262" s="3"/>
      <c r="AB7262" s="3"/>
      <c r="AC7262" s="3"/>
      <c r="AD7262" s="3"/>
      <c r="AE7262" s="3"/>
      <c r="AF7262" s="3"/>
      <c r="AG7262" s="3"/>
      <c r="AH7262" s="3"/>
    </row>
    <row r="7263" spans="1:34" ht="14.25" customHeight="1" x14ac:dyDescent="0.25">
      <c r="A7263" s="3"/>
      <c r="B7263" s="3"/>
      <c r="C7263" s="3"/>
      <c r="D7263" s="3"/>
      <c r="E7263" s="3"/>
      <c r="F7263" s="3"/>
      <c r="G7263" s="3"/>
      <c r="H7263" s="11"/>
      <c r="I7263" s="12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  <c r="AA7263" s="3"/>
      <c r="AB7263" s="3"/>
      <c r="AC7263" s="3"/>
      <c r="AD7263" s="3"/>
      <c r="AE7263" s="3"/>
      <c r="AF7263" s="3"/>
      <c r="AG7263" s="3"/>
      <c r="AH7263" s="3"/>
    </row>
    <row r="7264" spans="1:34" ht="14.25" customHeight="1" x14ac:dyDescent="0.25">
      <c r="A7264" s="3"/>
      <c r="B7264" s="3"/>
      <c r="C7264" s="3"/>
      <c r="D7264" s="3"/>
      <c r="E7264" s="3"/>
      <c r="F7264" s="3"/>
      <c r="G7264" s="3"/>
      <c r="H7264" s="11"/>
      <c r="I7264" s="12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  <c r="AA7264" s="3"/>
      <c r="AB7264" s="3"/>
      <c r="AC7264" s="3"/>
      <c r="AD7264" s="3"/>
      <c r="AE7264" s="3"/>
      <c r="AF7264" s="3"/>
      <c r="AG7264" s="3"/>
      <c r="AH7264" s="3"/>
    </row>
    <row r="7265" spans="1:34" ht="14.25" customHeight="1" x14ac:dyDescent="0.25">
      <c r="A7265" s="3"/>
      <c r="B7265" s="3"/>
      <c r="C7265" s="3"/>
      <c r="D7265" s="3"/>
      <c r="E7265" s="3"/>
      <c r="F7265" s="3"/>
      <c r="G7265" s="3"/>
      <c r="H7265" s="11"/>
      <c r="I7265" s="12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  <c r="AA7265" s="3"/>
      <c r="AB7265" s="3"/>
      <c r="AC7265" s="3"/>
      <c r="AD7265" s="3"/>
      <c r="AE7265" s="3"/>
      <c r="AF7265" s="3"/>
      <c r="AG7265" s="3"/>
      <c r="AH7265" s="3"/>
    </row>
    <row r="7266" spans="1:34" ht="14.25" customHeight="1" x14ac:dyDescent="0.25">
      <c r="A7266" s="3"/>
      <c r="B7266" s="3"/>
      <c r="C7266" s="3"/>
      <c r="D7266" s="3"/>
      <c r="E7266" s="3"/>
      <c r="F7266" s="3"/>
      <c r="G7266" s="3"/>
      <c r="H7266" s="11"/>
      <c r="I7266" s="12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  <c r="AA7266" s="3"/>
      <c r="AB7266" s="3"/>
      <c r="AC7266" s="3"/>
      <c r="AD7266" s="3"/>
      <c r="AE7266" s="3"/>
      <c r="AF7266" s="3"/>
      <c r="AG7266" s="3"/>
      <c r="AH7266" s="3"/>
    </row>
    <row r="7267" spans="1:34" ht="14.25" customHeight="1" x14ac:dyDescent="0.25">
      <c r="A7267" s="3"/>
      <c r="B7267" s="3"/>
      <c r="C7267" s="3"/>
      <c r="D7267" s="3"/>
      <c r="E7267" s="3"/>
      <c r="F7267" s="3"/>
      <c r="G7267" s="3"/>
      <c r="H7267" s="11"/>
      <c r="I7267" s="12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  <c r="AA7267" s="3"/>
      <c r="AB7267" s="3"/>
      <c r="AC7267" s="3"/>
      <c r="AD7267" s="3"/>
      <c r="AE7267" s="3"/>
      <c r="AF7267" s="3"/>
      <c r="AG7267" s="3"/>
      <c r="AH7267" s="3"/>
    </row>
    <row r="7268" spans="1:34" ht="14.25" customHeight="1" x14ac:dyDescent="0.25">
      <c r="A7268" s="3"/>
      <c r="B7268" s="3"/>
      <c r="C7268" s="3"/>
      <c r="D7268" s="3"/>
      <c r="E7268" s="3"/>
      <c r="F7268" s="3"/>
      <c r="G7268" s="3"/>
      <c r="H7268" s="11"/>
      <c r="I7268" s="12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  <c r="AA7268" s="3"/>
      <c r="AB7268" s="3"/>
      <c r="AC7268" s="3"/>
      <c r="AD7268" s="3"/>
      <c r="AE7268" s="3"/>
      <c r="AF7268" s="3"/>
      <c r="AG7268" s="3"/>
      <c r="AH7268" s="3"/>
    </row>
    <row r="7269" spans="1:34" ht="14.25" customHeight="1" x14ac:dyDescent="0.25">
      <c r="A7269" s="3"/>
      <c r="B7269" s="3"/>
      <c r="C7269" s="3"/>
      <c r="D7269" s="3"/>
      <c r="E7269" s="3"/>
      <c r="F7269" s="3"/>
      <c r="G7269" s="3"/>
      <c r="H7269" s="11"/>
      <c r="I7269" s="12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  <c r="AA7269" s="3"/>
      <c r="AB7269" s="3"/>
      <c r="AC7269" s="3"/>
      <c r="AD7269" s="3"/>
      <c r="AE7269" s="3"/>
      <c r="AF7269" s="3"/>
      <c r="AG7269" s="3"/>
      <c r="AH7269" s="3"/>
    </row>
    <row r="7270" spans="1:34" ht="14.25" customHeight="1" x14ac:dyDescent="0.25">
      <c r="A7270" s="3"/>
      <c r="B7270" s="3"/>
      <c r="C7270" s="3"/>
      <c r="D7270" s="3"/>
      <c r="E7270" s="3"/>
      <c r="F7270" s="3"/>
      <c r="G7270" s="3"/>
      <c r="H7270" s="11"/>
      <c r="I7270" s="12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  <c r="AA7270" s="3"/>
      <c r="AB7270" s="3"/>
      <c r="AC7270" s="3"/>
      <c r="AD7270" s="3"/>
      <c r="AE7270" s="3"/>
      <c r="AF7270" s="3"/>
      <c r="AG7270" s="3"/>
      <c r="AH7270" s="3"/>
    </row>
    <row r="7271" spans="1:34" ht="14.25" customHeight="1" x14ac:dyDescent="0.25">
      <c r="A7271" s="3"/>
      <c r="B7271" s="3"/>
      <c r="C7271" s="3"/>
      <c r="D7271" s="3"/>
      <c r="E7271" s="3"/>
      <c r="F7271" s="3"/>
      <c r="G7271" s="3"/>
      <c r="H7271" s="11"/>
      <c r="I7271" s="12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  <c r="AA7271" s="3"/>
      <c r="AB7271" s="3"/>
      <c r="AC7271" s="3"/>
      <c r="AD7271" s="3"/>
      <c r="AE7271" s="3"/>
      <c r="AF7271" s="3"/>
      <c r="AG7271" s="3"/>
      <c r="AH7271" s="3"/>
    </row>
    <row r="7272" spans="1:34" ht="14.25" customHeight="1" x14ac:dyDescent="0.25">
      <c r="A7272" s="3"/>
      <c r="B7272" s="3"/>
      <c r="C7272" s="3"/>
      <c r="D7272" s="3"/>
      <c r="E7272" s="3"/>
      <c r="F7272" s="3"/>
      <c r="G7272" s="3"/>
      <c r="H7272" s="11"/>
      <c r="I7272" s="12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  <c r="AA7272" s="3"/>
      <c r="AB7272" s="3"/>
      <c r="AC7272" s="3"/>
      <c r="AD7272" s="3"/>
      <c r="AE7272" s="3"/>
      <c r="AF7272" s="3"/>
      <c r="AG7272" s="3"/>
      <c r="AH7272" s="3"/>
    </row>
    <row r="7273" spans="1:34" ht="14.25" customHeight="1" x14ac:dyDescent="0.25">
      <c r="A7273" s="3"/>
      <c r="B7273" s="3"/>
      <c r="C7273" s="3"/>
      <c r="D7273" s="3"/>
      <c r="E7273" s="3"/>
      <c r="F7273" s="3"/>
      <c r="G7273" s="3"/>
      <c r="H7273" s="11"/>
      <c r="I7273" s="12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  <c r="AA7273" s="3"/>
      <c r="AB7273" s="3"/>
      <c r="AC7273" s="3"/>
      <c r="AD7273" s="3"/>
      <c r="AE7273" s="3"/>
      <c r="AF7273" s="3"/>
      <c r="AG7273" s="3"/>
      <c r="AH7273" s="3"/>
    </row>
    <row r="7274" spans="1:34" ht="14.25" customHeight="1" x14ac:dyDescent="0.25">
      <c r="A7274" s="3"/>
      <c r="B7274" s="3"/>
      <c r="C7274" s="3"/>
      <c r="D7274" s="3"/>
      <c r="E7274" s="3"/>
      <c r="F7274" s="3"/>
      <c r="G7274" s="3"/>
      <c r="H7274" s="11"/>
      <c r="I7274" s="12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  <c r="AA7274" s="3"/>
      <c r="AB7274" s="3"/>
      <c r="AC7274" s="3"/>
      <c r="AD7274" s="3"/>
      <c r="AE7274" s="3"/>
      <c r="AF7274" s="3"/>
      <c r="AG7274" s="3"/>
      <c r="AH7274" s="3"/>
    </row>
    <row r="7275" spans="1:34" ht="14.25" customHeight="1" x14ac:dyDescent="0.25">
      <c r="A7275" s="3"/>
      <c r="B7275" s="3"/>
      <c r="C7275" s="3"/>
      <c r="D7275" s="3"/>
      <c r="E7275" s="3"/>
      <c r="F7275" s="3"/>
      <c r="G7275" s="3"/>
      <c r="H7275" s="11"/>
      <c r="I7275" s="12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  <c r="AA7275" s="3"/>
      <c r="AB7275" s="3"/>
      <c r="AC7275" s="3"/>
      <c r="AD7275" s="3"/>
      <c r="AE7275" s="3"/>
      <c r="AF7275" s="3"/>
      <c r="AG7275" s="3"/>
      <c r="AH7275" s="3"/>
    </row>
    <row r="7276" spans="1:34" ht="14.25" customHeight="1" x14ac:dyDescent="0.25">
      <c r="A7276" s="3"/>
      <c r="B7276" s="3"/>
      <c r="C7276" s="3"/>
      <c r="D7276" s="3"/>
      <c r="E7276" s="3"/>
      <c r="F7276" s="3"/>
      <c r="G7276" s="3"/>
      <c r="H7276" s="11"/>
      <c r="I7276" s="12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  <c r="AA7276" s="3"/>
      <c r="AB7276" s="3"/>
      <c r="AC7276" s="3"/>
      <c r="AD7276" s="3"/>
      <c r="AE7276" s="3"/>
      <c r="AF7276" s="3"/>
      <c r="AG7276" s="3"/>
      <c r="AH7276" s="3"/>
    </row>
    <row r="7277" spans="1:34" ht="14.25" customHeight="1" x14ac:dyDescent="0.25">
      <c r="A7277" s="3"/>
      <c r="B7277" s="3"/>
      <c r="C7277" s="3"/>
      <c r="D7277" s="3"/>
      <c r="E7277" s="3"/>
      <c r="F7277" s="3"/>
      <c r="G7277" s="3"/>
      <c r="H7277" s="11"/>
      <c r="I7277" s="12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  <c r="AA7277" s="3"/>
      <c r="AB7277" s="3"/>
      <c r="AC7277" s="3"/>
      <c r="AD7277" s="3"/>
      <c r="AE7277" s="3"/>
      <c r="AF7277" s="3"/>
      <c r="AG7277" s="3"/>
      <c r="AH7277" s="3"/>
    </row>
    <row r="7278" spans="1:34" ht="14.25" customHeight="1" x14ac:dyDescent="0.25">
      <c r="A7278" s="3"/>
      <c r="B7278" s="3"/>
      <c r="C7278" s="3"/>
      <c r="D7278" s="3"/>
      <c r="E7278" s="3"/>
      <c r="F7278" s="3"/>
      <c r="G7278" s="3"/>
      <c r="H7278" s="11"/>
      <c r="I7278" s="12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  <c r="AA7278" s="3"/>
      <c r="AB7278" s="3"/>
      <c r="AC7278" s="3"/>
      <c r="AD7278" s="3"/>
      <c r="AE7278" s="3"/>
      <c r="AF7278" s="3"/>
      <c r="AG7278" s="3"/>
      <c r="AH7278" s="3"/>
    </row>
    <row r="7279" spans="1:34" ht="14.25" customHeight="1" x14ac:dyDescent="0.25">
      <c r="A7279" s="3"/>
      <c r="B7279" s="3"/>
      <c r="C7279" s="3"/>
      <c r="D7279" s="3"/>
      <c r="E7279" s="3"/>
      <c r="F7279" s="3"/>
      <c r="G7279" s="3"/>
      <c r="H7279" s="11"/>
      <c r="I7279" s="12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  <c r="AA7279" s="3"/>
      <c r="AB7279" s="3"/>
      <c r="AC7279" s="3"/>
      <c r="AD7279" s="3"/>
      <c r="AE7279" s="3"/>
      <c r="AF7279" s="3"/>
      <c r="AG7279" s="3"/>
      <c r="AH7279" s="3"/>
    </row>
    <row r="7280" spans="1:34" ht="14.25" customHeight="1" x14ac:dyDescent="0.25">
      <c r="A7280" s="3"/>
      <c r="B7280" s="3"/>
      <c r="C7280" s="3"/>
      <c r="D7280" s="3"/>
      <c r="E7280" s="3"/>
      <c r="F7280" s="3"/>
      <c r="G7280" s="3"/>
      <c r="H7280" s="11"/>
      <c r="I7280" s="12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  <c r="AA7280" s="3"/>
      <c r="AB7280" s="3"/>
      <c r="AC7280" s="3"/>
      <c r="AD7280" s="3"/>
      <c r="AE7280" s="3"/>
      <c r="AF7280" s="3"/>
      <c r="AG7280" s="3"/>
      <c r="AH7280" s="3"/>
    </row>
    <row r="7281" spans="1:34" ht="14.25" customHeight="1" x14ac:dyDescent="0.25">
      <c r="A7281" s="3"/>
      <c r="B7281" s="3"/>
      <c r="C7281" s="3"/>
      <c r="D7281" s="3"/>
      <c r="E7281" s="3"/>
      <c r="F7281" s="3"/>
      <c r="G7281" s="3"/>
      <c r="H7281" s="11"/>
      <c r="I7281" s="12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  <c r="AA7281" s="3"/>
      <c r="AB7281" s="3"/>
      <c r="AC7281" s="3"/>
      <c r="AD7281" s="3"/>
      <c r="AE7281" s="3"/>
      <c r="AF7281" s="3"/>
      <c r="AG7281" s="3"/>
      <c r="AH7281" s="3"/>
    </row>
    <row r="7282" spans="1:34" ht="14.25" customHeight="1" x14ac:dyDescent="0.25">
      <c r="A7282" s="3"/>
      <c r="B7282" s="3"/>
      <c r="C7282" s="3"/>
      <c r="D7282" s="3"/>
      <c r="E7282" s="3"/>
      <c r="F7282" s="3"/>
      <c r="G7282" s="3"/>
      <c r="H7282" s="11"/>
      <c r="I7282" s="12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  <c r="AA7282" s="3"/>
      <c r="AB7282" s="3"/>
      <c r="AC7282" s="3"/>
      <c r="AD7282" s="3"/>
      <c r="AE7282" s="3"/>
      <c r="AF7282" s="3"/>
      <c r="AG7282" s="3"/>
      <c r="AH7282" s="3"/>
    </row>
    <row r="7283" spans="1:34" ht="14.25" customHeight="1" x14ac:dyDescent="0.25">
      <c r="A7283" s="3"/>
      <c r="B7283" s="3"/>
      <c r="C7283" s="3"/>
      <c r="D7283" s="3"/>
      <c r="E7283" s="3"/>
      <c r="F7283" s="3"/>
      <c r="G7283" s="3"/>
      <c r="H7283" s="11"/>
      <c r="I7283" s="12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  <c r="AA7283" s="3"/>
      <c r="AB7283" s="3"/>
      <c r="AC7283" s="3"/>
      <c r="AD7283" s="3"/>
      <c r="AE7283" s="3"/>
      <c r="AF7283" s="3"/>
      <c r="AG7283" s="3"/>
      <c r="AH7283" s="3"/>
    </row>
    <row r="7284" spans="1:34" ht="14.25" customHeight="1" x14ac:dyDescent="0.25">
      <c r="A7284" s="3"/>
      <c r="B7284" s="3"/>
      <c r="C7284" s="3"/>
      <c r="D7284" s="3"/>
      <c r="E7284" s="3"/>
      <c r="F7284" s="3"/>
      <c r="G7284" s="3"/>
      <c r="H7284" s="11"/>
      <c r="I7284" s="12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  <c r="AA7284" s="3"/>
      <c r="AB7284" s="3"/>
      <c r="AC7284" s="3"/>
      <c r="AD7284" s="3"/>
      <c r="AE7284" s="3"/>
      <c r="AF7284" s="3"/>
      <c r="AG7284" s="3"/>
      <c r="AH7284" s="3"/>
    </row>
    <row r="7285" spans="1:34" ht="14.25" customHeight="1" x14ac:dyDescent="0.25">
      <c r="A7285" s="3"/>
      <c r="B7285" s="3"/>
      <c r="C7285" s="3"/>
      <c r="D7285" s="3"/>
      <c r="E7285" s="3"/>
      <c r="F7285" s="3"/>
      <c r="G7285" s="3"/>
      <c r="H7285" s="11"/>
      <c r="I7285" s="12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  <c r="AA7285" s="3"/>
      <c r="AB7285" s="3"/>
      <c r="AC7285" s="3"/>
      <c r="AD7285" s="3"/>
      <c r="AE7285" s="3"/>
      <c r="AF7285" s="3"/>
      <c r="AG7285" s="3"/>
      <c r="AH7285" s="3"/>
    </row>
    <row r="7286" spans="1:34" ht="14.25" customHeight="1" x14ac:dyDescent="0.25">
      <c r="A7286" s="3"/>
      <c r="B7286" s="3"/>
      <c r="C7286" s="3"/>
      <c r="D7286" s="3"/>
      <c r="E7286" s="3"/>
      <c r="F7286" s="3"/>
      <c r="G7286" s="3"/>
      <c r="H7286" s="11"/>
      <c r="I7286" s="12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  <c r="AA7286" s="3"/>
      <c r="AB7286" s="3"/>
      <c r="AC7286" s="3"/>
      <c r="AD7286" s="3"/>
      <c r="AE7286" s="3"/>
      <c r="AF7286" s="3"/>
      <c r="AG7286" s="3"/>
      <c r="AH7286" s="3"/>
    </row>
    <row r="7287" spans="1:34" ht="14.25" customHeight="1" x14ac:dyDescent="0.25">
      <c r="A7287" s="3"/>
      <c r="B7287" s="3"/>
      <c r="C7287" s="3"/>
      <c r="D7287" s="3"/>
      <c r="E7287" s="3"/>
      <c r="F7287" s="3"/>
      <c r="G7287" s="3"/>
      <c r="H7287" s="11"/>
      <c r="I7287" s="12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  <c r="AA7287" s="3"/>
      <c r="AB7287" s="3"/>
      <c r="AC7287" s="3"/>
      <c r="AD7287" s="3"/>
      <c r="AE7287" s="3"/>
      <c r="AF7287" s="3"/>
      <c r="AG7287" s="3"/>
      <c r="AH7287" s="3"/>
    </row>
    <row r="7288" spans="1:34" ht="14.25" customHeight="1" x14ac:dyDescent="0.25">
      <c r="A7288" s="3"/>
      <c r="B7288" s="3"/>
      <c r="C7288" s="3"/>
      <c r="D7288" s="3"/>
      <c r="E7288" s="3"/>
      <c r="F7288" s="3"/>
      <c r="G7288" s="3"/>
      <c r="H7288" s="11"/>
      <c r="I7288" s="12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  <c r="AA7288" s="3"/>
      <c r="AB7288" s="3"/>
      <c r="AC7288" s="3"/>
      <c r="AD7288" s="3"/>
      <c r="AE7288" s="3"/>
      <c r="AF7288" s="3"/>
      <c r="AG7288" s="3"/>
      <c r="AH7288" s="3"/>
    </row>
    <row r="7289" spans="1:34" ht="14.25" customHeight="1" x14ac:dyDescent="0.25">
      <c r="A7289" s="3"/>
      <c r="B7289" s="3"/>
      <c r="C7289" s="3"/>
      <c r="D7289" s="3"/>
      <c r="E7289" s="3"/>
      <c r="F7289" s="3"/>
      <c r="G7289" s="3"/>
      <c r="H7289" s="11"/>
      <c r="I7289" s="12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  <c r="AA7289" s="3"/>
      <c r="AB7289" s="3"/>
      <c r="AC7289" s="3"/>
      <c r="AD7289" s="3"/>
      <c r="AE7289" s="3"/>
      <c r="AF7289" s="3"/>
      <c r="AG7289" s="3"/>
      <c r="AH7289" s="3"/>
    </row>
    <row r="7290" spans="1:34" ht="14.25" customHeight="1" x14ac:dyDescent="0.25">
      <c r="A7290" s="3"/>
      <c r="B7290" s="3"/>
      <c r="C7290" s="3"/>
      <c r="D7290" s="3"/>
      <c r="E7290" s="3"/>
      <c r="F7290" s="3"/>
      <c r="G7290" s="3"/>
      <c r="H7290" s="11"/>
      <c r="I7290" s="12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  <c r="AA7290" s="3"/>
      <c r="AB7290" s="3"/>
      <c r="AC7290" s="3"/>
      <c r="AD7290" s="3"/>
      <c r="AE7290" s="3"/>
      <c r="AF7290" s="3"/>
      <c r="AG7290" s="3"/>
      <c r="AH7290" s="3"/>
    </row>
    <row r="7291" spans="1:34" ht="14.25" customHeight="1" x14ac:dyDescent="0.25">
      <c r="A7291" s="3"/>
      <c r="B7291" s="3"/>
      <c r="C7291" s="3"/>
      <c r="D7291" s="3"/>
      <c r="E7291" s="3"/>
      <c r="F7291" s="3"/>
      <c r="G7291" s="3"/>
      <c r="H7291" s="11"/>
      <c r="I7291" s="12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  <c r="AA7291" s="3"/>
      <c r="AB7291" s="3"/>
      <c r="AC7291" s="3"/>
      <c r="AD7291" s="3"/>
      <c r="AE7291" s="3"/>
      <c r="AF7291" s="3"/>
      <c r="AG7291" s="3"/>
      <c r="AH7291" s="3"/>
    </row>
    <row r="7292" spans="1:34" ht="14.25" customHeight="1" x14ac:dyDescent="0.25">
      <c r="A7292" s="3"/>
      <c r="B7292" s="3"/>
      <c r="C7292" s="3"/>
      <c r="D7292" s="3"/>
      <c r="E7292" s="3"/>
      <c r="F7292" s="3"/>
      <c r="G7292" s="3"/>
      <c r="H7292" s="11"/>
      <c r="I7292" s="12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  <c r="AA7292" s="3"/>
      <c r="AB7292" s="3"/>
      <c r="AC7292" s="3"/>
      <c r="AD7292" s="3"/>
      <c r="AE7292" s="3"/>
      <c r="AF7292" s="3"/>
      <c r="AG7292" s="3"/>
      <c r="AH7292" s="3"/>
    </row>
    <row r="7293" spans="1:34" ht="14.25" customHeight="1" x14ac:dyDescent="0.25">
      <c r="A7293" s="3"/>
      <c r="B7293" s="3"/>
      <c r="C7293" s="3"/>
      <c r="D7293" s="3"/>
      <c r="E7293" s="3"/>
      <c r="F7293" s="3"/>
      <c r="G7293" s="3"/>
      <c r="H7293" s="11"/>
      <c r="I7293" s="12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  <c r="AA7293" s="3"/>
      <c r="AB7293" s="3"/>
      <c r="AC7293" s="3"/>
      <c r="AD7293" s="3"/>
      <c r="AE7293" s="3"/>
      <c r="AF7293" s="3"/>
      <c r="AG7293" s="3"/>
      <c r="AH7293" s="3"/>
    </row>
    <row r="7294" spans="1:34" ht="14.25" customHeight="1" x14ac:dyDescent="0.25">
      <c r="A7294" s="3"/>
      <c r="B7294" s="3"/>
      <c r="C7294" s="3"/>
      <c r="D7294" s="3"/>
      <c r="E7294" s="3"/>
      <c r="F7294" s="3"/>
      <c r="G7294" s="3"/>
      <c r="H7294" s="11"/>
      <c r="I7294" s="12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  <c r="AA7294" s="3"/>
      <c r="AB7294" s="3"/>
      <c r="AC7294" s="3"/>
      <c r="AD7294" s="3"/>
      <c r="AE7294" s="3"/>
      <c r="AF7294" s="3"/>
      <c r="AG7294" s="3"/>
      <c r="AH7294" s="3"/>
    </row>
    <row r="7295" spans="1:34" ht="14.25" customHeight="1" x14ac:dyDescent="0.25">
      <c r="A7295" s="3"/>
      <c r="B7295" s="3"/>
      <c r="C7295" s="3"/>
      <c r="D7295" s="3"/>
      <c r="E7295" s="3"/>
      <c r="F7295" s="3"/>
      <c r="G7295" s="3"/>
      <c r="H7295" s="11"/>
      <c r="I7295" s="12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  <c r="AA7295" s="3"/>
      <c r="AB7295" s="3"/>
      <c r="AC7295" s="3"/>
      <c r="AD7295" s="3"/>
      <c r="AE7295" s="3"/>
      <c r="AF7295" s="3"/>
      <c r="AG7295" s="3"/>
      <c r="AH7295" s="3"/>
    </row>
    <row r="7296" spans="1:34" ht="14.25" customHeight="1" x14ac:dyDescent="0.25">
      <c r="A7296" s="3"/>
      <c r="B7296" s="3"/>
      <c r="C7296" s="3"/>
      <c r="D7296" s="3"/>
      <c r="E7296" s="3"/>
      <c r="F7296" s="3"/>
      <c r="G7296" s="3"/>
      <c r="H7296" s="11"/>
      <c r="I7296" s="12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  <c r="AA7296" s="3"/>
      <c r="AB7296" s="3"/>
      <c r="AC7296" s="3"/>
      <c r="AD7296" s="3"/>
      <c r="AE7296" s="3"/>
      <c r="AF7296" s="3"/>
      <c r="AG7296" s="3"/>
      <c r="AH7296" s="3"/>
    </row>
    <row r="7297" spans="1:34" ht="14.25" customHeight="1" x14ac:dyDescent="0.25">
      <c r="A7297" s="3"/>
      <c r="B7297" s="3"/>
      <c r="C7297" s="3"/>
      <c r="D7297" s="3"/>
      <c r="E7297" s="3"/>
      <c r="F7297" s="3"/>
      <c r="G7297" s="14"/>
      <c r="H7297" s="11"/>
      <c r="I7297" s="12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  <c r="AA7297" s="3"/>
      <c r="AB7297" s="3"/>
      <c r="AC7297" s="3"/>
      <c r="AD7297" s="3"/>
      <c r="AE7297" s="3"/>
      <c r="AF7297" s="3"/>
      <c r="AG7297" s="3"/>
      <c r="AH7297" s="3"/>
    </row>
    <row r="7298" spans="1:34" ht="14.25" customHeight="1" x14ac:dyDescent="0.25">
      <c r="A7298" s="3"/>
      <c r="B7298" s="3"/>
      <c r="C7298" s="3"/>
      <c r="D7298" s="3"/>
      <c r="E7298" s="3"/>
      <c r="F7298" s="3"/>
      <c r="G7298" s="3"/>
      <c r="H7298" s="11"/>
      <c r="I7298" s="12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  <c r="AA7298" s="3"/>
      <c r="AB7298" s="3"/>
      <c r="AC7298" s="3"/>
      <c r="AD7298" s="3"/>
      <c r="AE7298" s="3"/>
      <c r="AF7298" s="3"/>
      <c r="AG7298" s="3"/>
      <c r="AH7298" s="3"/>
    </row>
    <row r="7299" spans="1:34" ht="14.25" customHeight="1" x14ac:dyDescent="0.25">
      <c r="A7299" s="3"/>
      <c r="B7299" s="3"/>
      <c r="C7299" s="3"/>
      <c r="D7299" s="3"/>
      <c r="E7299" s="3"/>
      <c r="F7299" s="3"/>
      <c r="G7299" s="3"/>
      <c r="H7299" s="11"/>
      <c r="I7299" s="12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  <c r="AA7299" s="3"/>
      <c r="AB7299" s="3"/>
      <c r="AC7299" s="3"/>
      <c r="AD7299" s="3"/>
      <c r="AE7299" s="3"/>
      <c r="AF7299" s="3"/>
      <c r="AG7299" s="3"/>
      <c r="AH7299" s="3"/>
    </row>
    <row r="7300" spans="1:34" ht="14.25" customHeight="1" x14ac:dyDescent="0.25">
      <c r="A7300" s="3"/>
      <c r="B7300" s="3"/>
      <c r="C7300" s="3"/>
      <c r="D7300" s="3"/>
      <c r="E7300" s="3"/>
      <c r="F7300" s="3"/>
      <c r="G7300" s="3"/>
      <c r="H7300" s="11"/>
      <c r="I7300" s="12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  <c r="AA7300" s="3"/>
      <c r="AB7300" s="3"/>
      <c r="AC7300" s="3"/>
      <c r="AD7300" s="3"/>
      <c r="AE7300" s="3"/>
      <c r="AF7300" s="3"/>
      <c r="AG7300" s="3"/>
      <c r="AH7300" s="3"/>
    </row>
    <row r="7301" spans="1:34" ht="14.25" customHeight="1" x14ac:dyDescent="0.25">
      <c r="A7301" s="3"/>
      <c r="B7301" s="3"/>
      <c r="C7301" s="3"/>
      <c r="D7301" s="3"/>
      <c r="E7301" s="3"/>
      <c r="F7301" s="3"/>
      <c r="G7301" s="3"/>
      <c r="H7301" s="11"/>
      <c r="I7301" s="12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  <c r="AA7301" s="3"/>
      <c r="AB7301" s="3"/>
      <c r="AC7301" s="3"/>
      <c r="AD7301" s="3"/>
      <c r="AE7301" s="3"/>
      <c r="AF7301" s="3"/>
      <c r="AG7301" s="3"/>
      <c r="AH7301" s="3"/>
    </row>
    <row r="7302" spans="1:34" ht="14.25" customHeight="1" x14ac:dyDescent="0.25">
      <c r="A7302" s="3"/>
      <c r="B7302" s="3"/>
      <c r="C7302" s="3"/>
      <c r="D7302" s="3"/>
      <c r="E7302" s="3"/>
      <c r="F7302" s="3"/>
      <c r="G7302" s="3"/>
      <c r="H7302" s="11"/>
      <c r="I7302" s="12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  <c r="AA7302" s="3"/>
      <c r="AB7302" s="3"/>
      <c r="AC7302" s="3"/>
      <c r="AD7302" s="3"/>
      <c r="AE7302" s="3"/>
      <c r="AF7302" s="3"/>
      <c r="AG7302" s="3"/>
      <c r="AH7302" s="3"/>
    </row>
    <row r="7303" spans="1:34" ht="14.25" customHeight="1" x14ac:dyDescent="0.25">
      <c r="A7303" s="3"/>
      <c r="B7303" s="3"/>
      <c r="C7303" s="3"/>
      <c r="D7303" s="3"/>
      <c r="E7303" s="3"/>
      <c r="F7303" s="3"/>
      <c r="G7303" s="3"/>
      <c r="H7303" s="11"/>
      <c r="I7303" s="12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  <c r="AA7303" s="3"/>
      <c r="AB7303" s="3"/>
      <c r="AC7303" s="3"/>
      <c r="AD7303" s="3"/>
      <c r="AE7303" s="3"/>
      <c r="AF7303" s="3"/>
      <c r="AG7303" s="3"/>
      <c r="AH7303" s="3"/>
    </row>
    <row r="7304" spans="1:34" ht="14.25" customHeight="1" x14ac:dyDescent="0.25">
      <c r="A7304" s="3"/>
      <c r="B7304" s="3"/>
      <c r="C7304" s="3"/>
      <c r="D7304" s="3"/>
      <c r="E7304" s="3"/>
      <c r="F7304" s="3"/>
      <c r="G7304" s="3"/>
      <c r="H7304" s="11"/>
      <c r="I7304" s="12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  <c r="AA7304" s="3"/>
      <c r="AB7304" s="3"/>
      <c r="AC7304" s="3"/>
      <c r="AD7304" s="3"/>
      <c r="AE7304" s="3"/>
      <c r="AF7304" s="3"/>
      <c r="AG7304" s="3"/>
      <c r="AH7304" s="3"/>
    </row>
    <row r="7305" spans="1:34" ht="14.25" customHeight="1" x14ac:dyDescent="0.25">
      <c r="A7305" s="3"/>
      <c r="B7305" s="3"/>
      <c r="C7305" s="3"/>
      <c r="D7305" s="3"/>
      <c r="E7305" s="3"/>
      <c r="F7305" s="3"/>
      <c r="G7305" s="3"/>
      <c r="H7305" s="11"/>
      <c r="I7305" s="12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  <c r="AA7305" s="3"/>
      <c r="AB7305" s="3"/>
      <c r="AC7305" s="3"/>
      <c r="AD7305" s="3"/>
      <c r="AE7305" s="3"/>
      <c r="AF7305" s="3"/>
      <c r="AG7305" s="3"/>
      <c r="AH7305" s="3"/>
    </row>
    <row r="7306" spans="1:34" ht="14.25" customHeight="1" x14ac:dyDescent="0.25">
      <c r="A7306" s="3"/>
      <c r="B7306" s="3"/>
      <c r="C7306" s="3"/>
      <c r="D7306" s="3"/>
      <c r="E7306" s="3"/>
      <c r="F7306" s="3"/>
      <c r="G7306" s="3"/>
      <c r="H7306" s="11"/>
      <c r="I7306" s="12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  <c r="AA7306" s="3"/>
      <c r="AB7306" s="3"/>
      <c r="AC7306" s="3"/>
      <c r="AD7306" s="3"/>
      <c r="AE7306" s="3"/>
      <c r="AF7306" s="3"/>
      <c r="AG7306" s="3"/>
      <c r="AH7306" s="3"/>
    </row>
    <row r="7307" spans="1:34" ht="14.25" customHeight="1" x14ac:dyDescent="0.25">
      <c r="A7307" s="3"/>
      <c r="B7307" s="3"/>
      <c r="C7307" s="3"/>
      <c r="D7307" s="3"/>
      <c r="E7307" s="3"/>
      <c r="F7307" s="3"/>
      <c r="G7307" s="3"/>
      <c r="H7307" s="11"/>
      <c r="I7307" s="12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  <c r="AA7307" s="3"/>
      <c r="AB7307" s="3"/>
      <c r="AC7307" s="3"/>
      <c r="AD7307" s="3"/>
      <c r="AE7307" s="3"/>
      <c r="AF7307" s="3"/>
      <c r="AG7307" s="3"/>
      <c r="AH7307" s="3"/>
    </row>
    <row r="7308" spans="1:34" ht="14.25" customHeight="1" x14ac:dyDescent="0.25">
      <c r="A7308" s="3"/>
      <c r="B7308" s="3"/>
      <c r="C7308" s="3"/>
      <c r="D7308" s="3"/>
      <c r="E7308" s="3"/>
      <c r="F7308" s="3"/>
      <c r="G7308" s="3"/>
      <c r="H7308" s="11"/>
      <c r="I7308" s="12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  <c r="AA7308" s="3"/>
      <c r="AB7308" s="3"/>
      <c r="AC7308" s="3"/>
      <c r="AD7308" s="3"/>
      <c r="AE7308" s="3"/>
      <c r="AF7308" s="3"/>
      <c r="AG7308" s="3"/>
      <c r="AH7308" s="3"/>
    </row>
    <row r="7309" spans="1:34" ht="14.25" customHeight="1" x14ac:dyDescent="0.25">
      <c r="A7309" s="3"/>
      <c r="B7309" s="3"/>
      <c r="C7309" s="3"/>
      <c r="D7309" s="3"/>
      <c r="E7309" s="3"/>
      <c r="F7309" s="3"/>
      <c r="G7309" s="3"/>
      <c r="H7309" s="11"/>
      <c r="I7309" s="12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  <c r="AA7309" s="3"/>
      <c r="AB7309" s="3"/>
      <c r="AC7309" s="3"/>
      <c r="AD7309" s="3"/>
      <c r="AE7309" s="3"/>
      <c r="AF7309" s="3"/>
      <c r="AG7309" s="3"/>
      <c r="AH7309" s="3"/>
    </row>
    <row r="7310" spans="1:34" ht="14.25" customHeight="1" x14ac:dyDescent="0.25">
      <c r="A7310" s="3"/>
      <c r="B7310" s="3"/>
      <c r="C7310" s="3"/>
      <c r="D7310" s="3"/>
      <c r="E7310" s="3"/>
      <c r="F7310" s="3"/>
      <c r="G7310" s="3"/>
      <c r="H7310" s="11"/>
      <c r="I7310" s="12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  <c r="AA7310" s="3"/>
      <c r="AB7310" s="3"/>
      <c r="AC7310" s="3"/>
      <c r="AD7310" s="3"/>
      <c r="AE7310" s="3"/>
      <c r="AF7310" s="3"/>
      <c r="AG7310" s="3"/>
      <c r="AH7310" s="3"/>
    </row>
    <row r="7311" spans="1:34" ht="14.25" customHeight="1" x14ac:dyDescent="0.25">
      <c r="A7311" s="3"/>
      <c r="B7311" s="3"/>
      <c r="C7311" s="3"/>
      <c r="D7311" s="3"/>
      <c r="E7311" s="3"/>
      <c r="F7311" s="3"/>
      <c r="G7311" s="3"/>
      <c r="H7311" s="11"/>
      <c r="I7311" s="12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  <c r="AA7311" s="3"/>
      <c r="AB7311" s="3"/>
      <c r="AC7311" s="3"/>
      <c r="AD7311" s="3"/>
      <c r="AE7311" s="3"/>
      <c r="AF7311" s="3"/>
      <c r="AG7311" s="3"/>
      <c r="AH7311" s="3"/>
    </row>
    <row r="7312" spans="1:34" ht="14.25" customHeight="1" x14ac:dyDescent="0.25">
      <c r="A7312" s="3"/>
      <c r="B7312" s="3"/>
      <c r="C7312" s="3"/>
      <c r="D7312" s="3"/>
      <c r="E7312" s="3"/>
      <c r="F7312" s="3"/>
      <c r="G7312" s="3"/>
      <c r="H7312" s="11"/>
      <c r="I7312" s="12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  <c r="AA7312" s="3"/>
      <c r="AB7312" s="3"/>
      <c r="AC7312" s="3"/>
      <c r="AD7312" s="3"/>
      <c r="AE7312" s="3"/>
      <c r="AF7312" s="3"/>
      <c r="AG7312" s="3"/>
      <c r="AH7312" s="3"/>
    </row>
    <row r="7313" spans="1:34" ht="14.25" customHeight="1" x14ac:dyDescent="0.25">
      <c r="A7313" s="3"/>
      <c r="B7313" s="3"/>
      <c r="C7313" s="3"/>
      <c r="D7313" s="3"/>
      <c r="E7313" s="3"/>
      <c r="F7313" s="3"/>
      <c r="G7313" s="3"/>
      <c r="H7313" s="11"/>
      <c r="I7313" s="12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  <c r="AA7313" s="3"/>
      <c r="AB7313" s="3"/>
      <c r="AC7313" s="3"/>
      <c r="AD7313" s="3"/>
      <c r="AE7313" s="3"/>
      <c r="AF7313" s="3"/>
      <c r="AG7313" s="3"/>
      <c r="AH7313" s="3"/>
    </row>
    <row r="7314" spans="1:34" ht="14.25" customHeight="1" x14ac:dyDescent="0.25">
      <c r="A7314" s="3"/>
      <c r="B7314" s="3"/>
      <c r="C7314" s="3"/>
      <c r="D7314" s="3"/>
      <c r="E7314" s="3"/>
      <c r="F7314" s="3"/>
      <c r="G7314" s="3"/>
      <c r="H7314" s="11"/>
      <c r="I7314" s="12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  <c r="AA7314" s="3"/>
      <c r="AB7314" s="3"/>
      <c r="AC7314" s="3"/>
      <c r="AD7314" s="3"/>
      <c r="AE7314" s="3"/>
      <c r="AF7314" s="3"/>
      <c r="AG7314" s="3"/>
      <c r="AH7314" s="3"/>
    </row>
    <row r="7315" spans="1:34" ht="14.25" customHeight="1" x14ac:dyDescent="0.25">
      <c r="A7315" s="3"/>
      <c r="B7315" s="3"/>
      <c r="C7315" s="3"/>
      <c r="D7315" s="3"/>
      <c r="E7315" s="3"/>
      <c r="F7315" s="3"/>
      <c r="G7315" s="3"/>
      <c r="H7315" s="11"/>
      <c r="I7315" s="12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  <c r="AA7315" s="3"/>
      <c r="AB7315" s="3"/>
      <c r="AC7315" s="3"/>
      <c r="AD7315" s="3"/>
      <c r="AE7315" s="3"/>
      <c r="AF7315" s="3"/>
      <c r="AG7315" s="3"/>
      <c r="AH7315" s="3"/>
    </row>
    <row r="7316" spans="1:34" ht="14.25" customHeight="1" x14ac:dyDescent="0.25">
      <c r="A7316" s="3"/>
      <c r="B7316" s="3"/>
      <c r="C7316" s="3"/>
      <c r="D7316" s="3"/>
      <c r="E7316" s="3"/>
      <c r="F7316" s="3"/>
      <c r="G7316" s="3"/>
      <c r="H7316" s="11"/>
      <c r="I7316" s="12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  <c r="AA7316" s="3"/>
      <c r="AB7316" s="3"/>
      <c r="AC7316" s="3"/>
      <c r="AD7316" s="3"/>
      <c r="AE7316" s="3"/>
      <c r="AF7316" s="3"/>
      <c r="AG7316" s="3"/>
      <c r="AH7316" s="3"/>
    </row>
    <row r="7317" spans="1:34" ht="14.25" customHeight="1" x14ac:dyDescent="0.25">
      <c r="A7317" s="3"/>
      <c r="B7317" s="3"/>
      <c r="C7317" s="3"/>
      <c r="D7317" s="3"/>
      <c r="E7317" s="3"/>
      <c r="F7317" s="3"/>
      <c r="G7317" s="3"/>
      <c r="H7317" s="11"/>
      <c r="I7317" s="12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  <c r="AA7317" s="3"/>
      <c r="AB7317" s="3"/>
      <c r="AC7317" s="3"/>
      <c r="AD7317" s="3"/>
      <c r="AE7317" s="3"/>
      <c r="AF7317" s="3"/>
      <c r="AG7317" s="3"/>
      <c r="AH7317" s="3"/>
    </row>
    <row r="7318" spans="1:34" ht="14.25" customHeight="1" x14ac:dyDescent="0.25">
      <c r="A7318" s="3"/>
      <c r="B7318" s="3"/>
      <c r="C7318" s="3"/>
      <c r="D7318" s="3"/>
      <c r="E7318" s="3"/>
      <c r="F7318" s="3"/>
      <c r="G7318" s="3"/>
      <c r="H7318" s="11"/>
      <c r="I7318" s="12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  <c r="AA7318" s="3"/>
      <c r="AB7318" s="3"/>
      <c r="AC7318" s="3"/>
      <c r="AD7318" s="3"/>
      <c r="AE7318" s="3"/>
      <c r="AF7318" s="3"/>
      <c r="AG7318" s="3"/>
      <c r="AH7318" s="3"/>
    </row>
    <row r="7319" spans="1:34" ht="14.25" customHeight="1" x14ac:dyDescent="0.25">
      <c r="A7319" s="3"/>
      <c r="B7319" s="3"/>
      <c r="C7319" s="3"/>
      <c r="D7319" s="3"/>
      <c r="E7319" s="3"/>
      <c r="F7319" s="3"/>
      <c r="G7319" s="3"/>
      <c r="H7319" s="11"/>
      <c r="I7319" s="12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  <c r="AA7319" s="3"/>
      <c r="AB7319" s="3"/>
      <c r="AC7319" s="3"/>
      <c r="AD7319" s="3"/>
      <c r="AE7319" s="3"/>
      <c r="AF7319" s="3"/>
      <c r="AG7319" s="3"/>
      <c r="AH7319" s="3"/>
    </row>
    <row r="7320" spans="1:34" ht="14.25" customHeight="1" x14ac:dyDescent="0.25">
      <c r="A7320" s="3"/>
      <c r="B7320" s="3"/>
      <c r="C7320" s="3"/>
      <c r="D7320" s="3"/>
      <c r="E7320" s="3"/>
      <c r="F7320" s="3"/>
      <c r="G7320" s="3"/>
      <c r="H7320" s="11"/>
      <c r="I7320" s="12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  <c r="AA7320" s="3"/>
      <c r="AB7320" s="3"/>
      <c r="AC7320" s="3"/>
      <c r="AD7320" s="3"/>
      <c r="AE7320" s="3"/>
      <c r="AF7320" s="3"/>
      <c r="AG7320" s="3"/>
      <c r="AH7320" s="3"/>
    </row>
    <row r="7321" spans="1:34" ht="14.25" customHeight="1" x14ac:dyDescent="0.25">
      <c r="A7321" s="3"/>
      <c r="B7321" s="3"/>
      <c r="C7321" s="3"/>
      <c r="D7321" s="3"/>
      <c r="E7321" s="3"/>
      <c r="F7321" s="3"/>
      <c r="G7321" s="3"/>
      <c r="H7321" s="11"/>
      <c r="I7321" s="12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  <c r="AA7321" s="3"/>
      <c r="AB7321" s="3"/>
      <c r="AC7321" s="3"/>
      <c r="AD7321" s="3"/>
      <c r="AE7321" s="3"/>
      <c r="AF7321" s="3"/>
      <c r="AG7321" s="3"/>
      <c r="AH7321" s="3"/>
    </row>
    <row r="7322" spans="1:34" ht="14.25" customHeight="1" x14ac:dyDescent="0.25">
      <c r="A7322" s="3"/>
      <c r="B7322" s="3"/>
      <c r="C7322" s="3"/>
      <c r="D7322" s="3"/>
      <c r="E7322" s="3"/>
      <c r="F7322" s="3"/>
      <c r="G7322" s="3"/>
      <c r="H7322" s="11"/>
      <c r="I7322" s="12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  <c r="AA7322" s="3"/>
      <c r="AB7322" s="3"/>
      <c r="AC7322" s="3"/>
      <c r="AD7322" s="3"/>
      <c r="AE7322" s="3"/>
      <c r="AF7322" s="3"/>
      <c r="AG7322" s="3"/>
      <c r="AH7322" s="3"/>
    </row>
    <row r="7323" spans="1:34" ht="14.25" customHeight="1" x14ac:dyDescent="0.25">
      <c r="A7323" s="3"/>
      <c r="B7323" s="3"/>
      <c r="C7323" s="3"/>
      <c r="D7323" s="3"/>
      <c r="E7323" s="3"/>
      <c r="F7323" s="3"/>
      <c r="G7323" s="3"/>
      <c r="H7323" s="11"/>
      <c r="I7323" s="12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  <c r="AA7323" s="3"/>
      <c r="AB7323" s="3"/>
      <c r="AC7323" s="3"/>
      <c r="AD7323" s="3"/>
      <c r="AE7323" s="3"/>
      <c r="AF7323" s="3"/>
      <c r="AG7323" s="3"/>
      <c r="AH7323" s="3"/>
    </row>
    <row r="7324" spans="1:34" ht="14.25" customHeight="1" x14ac:dyDescent="0.25">
      <c r="A7324" s="3"/>
      <c r="B7324" s="3"/>
      <c r="C7324" s="3"/>
      <c r="D7324" s="3"/>
      <c r="E7324" s="3"/>
      <c r="F7324" s="3"/>
      <c r="G7324" s="3"/>
      <c r="H7324" s="11"/>
      <c r="I7324" s="12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  <c r="AA7324" s="3"/>
      <c r="AB7324" s="3"/>
      <c r="AC7324" s="3"/>
      <c r="AD7324" s="3"/>
      <c r="AE7324" s="3"/>
      <c r="AF7324" s="3"/>
      <c r="AG7324" s="3"/>
      <c r="AH7324" s="3"/>
    </row>
    <row r="7325" spans="1:34" ht="14.25" customHeight="1" x14ac:dyDescent="0.25">
      <c r="A7325" s="3"/>
      <c r="B7325" s="3"/>
      <c r="C7325" s="3"/>
      <c r="D7325" s="3"/>
      <c r="E7325" s="3"/>
      <c r="F7325" s="3"/>
      <c r="G7325" s="3"/>
      <c r="H7325" s="11"/>
      <c r="I7325" s="12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  <c r="AA7325" s="3"/>
      <c r="AB7325" s="3"/>
      <c r="AC7325" s="3"/>
      <c r="AD7325" s="3"/>
      <c r="AE7325" s="3"/>
      <c r="AF7325" s="3"/>
      <c r="AG7325" s="3"/>
      <c r="AH7325" s="3"/>
    </row>
    <row r="7326" spans="1:34" ht="14.25" customHeight="1" x14ac:dyDescent="0.25">
      <c r="A7326" s="3"/>
      <c r="B7326" s="3"/>
      <c r="C7326" s="3"/>
      <c r="D7326" s="3"/>
      <c r="E7326" s="3"/>
      <c r="F7326" s="3"/>
      <c r="G7326" s="3"/>
      <c r="H7326" s="11"/>
      <c r="I7326" s="12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  <c r="AA7326" s="3"/>
      <c r="AB7326" s="3"/>
      <c r="AC7326" s="3"/>
      <c r="AD7326" s="3"/>
      <c r="AE7326" s="3"/>
      <c r="AF7326" s="3"/>
      <c r="AG7326" s="3"/>
      <c r="AH7326" s="3"/>
    </row>
    <row r="7327" spans="1:34" ht="14.25" customHeight="1" x14ac:dyDescent="0.25">
      <c r="A7327" s="3"/>
      <c r="B7327" s="3"/>
      <c r="C7327" s="3"/>
      <c r="D7327" s="3"/>
      <c r="E7327" s="3"/>
      <c r="F7327" s="3"/>
      <c r="G7327" s="3"/>
      <c r="H7327" s="11"/>
      <c r="I7327" s="12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  <c r="AA7327" s="3"/>
      <c r="AB7327" s="3"/>
      <c r="AC7327" s="3"/>
      <c r="AD7327" s="3"/>
      <c r="AE7327" s="3"/>
      <c r="AF7327" s="3"/>
      <c r="AG7327" s="3"/>
      <c r="AH7327" s="3"/>
    </row>
    <row r="7328" spans="1:34" ht="14.25" customHeight="1" x14ac:dyDescent="0.25">
      <c r="A7328" s="3"/>
      <c r="B7328" s="3"/>
      <c r="C7328" s="3"/>
      <c r="D7328" s="3"/>
      <c r="E7328" s="3"/>
      <c r="F7328" s="3"/>
      <c r="G7328" s="3"/>
      <c r="H7328" s="11"/>
      <c r="I7328" s="12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  <c r="AA7328" s="3"/>
      <c r="AB7328" s="3"/>
      <c r="AC7328" s="3"/>
      <c r="AD7328" s="3"/>
      <c r="AE7328" s="3"/>
      <c r="AF7328" s="3"/>
      <c r="AG7328" s="3"/>
      <c r="AH7328" s="3"/>
    </row>
    <row r="7329" spans="1:34" ht="14.25" customHeight="1" x14ac:dyDescent="0.25">
      <c r="A7329" s="3"/>
      <c r="B7329" s="3"/>
      <c r="C7329" s="3"/>
      <c r="D7329" s="3"/>
      <c r="E7329" s="3"/>
      <c r="F7329" s="3"/>
      <c r="G7329" s="3"/>
      <c r="H7329" s="11"/>
      <c r="I7329" s="12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  <c r="AA7329" s="3"/>
      <c r="AB7329" s="3"/>
      <c r="AC7329" s="3"/>
      <c r="AD7329" s="3"/>
      <c r="AE7329" s="3"/>
      <c r="AF7329" s="3"/>
      <c r="AG7329" s="3"/>
      <c r="AH7329" s="3"/>
    </row>
    <row r="7330" spans="1:34" ht="14.25" customHeight="1" x14ac:dyDescent="0.25">
      <c r="A7330" s="3"/>
      <c r="B7330" s="3"/>
      <c r="C7330" s="3"/>
      <c r="D7330" s="3"/>
      <c r="E7330" s="3"/>
      <c r="F7330" s="3"/>
      <c r="G7330" s="3"/>
      <c r="H7330" s="11"/>
      <c r="I7330" s="12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  <c r="AA7330" s="3"/>
      <c r="AB7330" s="3"/>
      <c r="AC7330" s="3"/>
      <c r="AD7330" s="3"/>
      <c r="AE7330" s="3"/>
      <c r="AF7330" s="3"/>
      <c r="AG7330" s="3"/>
      <c r="AH7330" s="3"/>
    </row>
    <row r="7331" spans="1:34" ht="14.25" customHeight="1" x14ac:dyDescent="0.25">
      <c r="A7331" s="3"/>
      <c r="B7331" s="3"/>
      <c r="C7331" s="3"/>
      <c r="D7331" s="3"/>
      <c r="E7331" s="3"/>
      <c r="F7331" s="3"/>
      <c r="G7331" s="3"/>
      <c r="H7331" s="11"/>
      <c r="I7331" s="12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  <c r="AA7331" s="3"/>
      <c r="AB7331" s="3"/>
      <c r="AC7331" s="3"/>
      <c r="AD7331" s="3"/>
      <c r="AE7331" s="3"/>
      <c r="AF7331" s="3"/>
      <c r="AG7331" s="3"/>
      <c r="AH7331" s="3"/>
    </row>
    <row r="7332" spans="1:34" ht="14.25" customHeight="1" x14ac:dyDescent="0.25">
      <c r="A7332" s="3"/>
      <c r="B7332" s="3"/>
      <c r="C7332" s="3"/>
      <c r="D7332" s="3"/>
      <c r="E7332" s="3"/>
      <c r="F7332" s="3"/>
      <c r="G7332" s="3"/>
      <c r="H7332" s="11"/>
      <c r="I7332" s="12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  <c r="AA7332" s="3"/>
      <c r="AB7332" s="3"/>
      <c r="AC7332" s="3"/>
      <c r="AD7332" s="3"/>
      <c r="AE7332" s="3"/>
      <c r="AF7332" s="3"/>
      <c r="AG7332" s="3"/>
      <c r="AH7332" s="3"/>
    </row>
    <row r="7333" spans="1:34" ht="14.25" customHeight="1" x14ac:dyDescent="0.25">
      <c r="A7333" s="3"/>
      <c r="B7333" s="3"/>
      <c r="C7333" s="3"/>
      <c r="D7333" s="3"/>
      <c r="E7333" s="3"/>
      <c r="F7333" s="3"/>
      <c r="G7333" s="3"/>
      <c r="H7333" s="11"/>
      <c r="I7333" s="12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  <c r="AA7333" s="3"/>
      <c r="AB7333" s="3"/>
      <c r="AC7333" s="3"/>
      <c r="AD7333" s="3"/>
      <c r="AE7333" s="3"/>
      <c r="AF7333" s="3"/>
      <c r="AG7333" s="3"/>
      <c r="AH7333" s="3"/>
    </row>
    <row r="7334" spans="1:34" ht="14.25" customHeight="1" x14ac:dyDescent="0.25">
      <c r="A7334" s="3"/>
      <c r="B7334" s="3"/>
      <c r="C7334" s="3"/>
      <c r="D7334" s="3"/>
      <c r="E7334" s="3"/>
      <c r="F7334" s="3"/>
      <c r="G7334" s="3"/>
      <c r="H7334" s="11"/>
      <c r="I7334" s="12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  <c r="AA7334" s="3"/>
      <c r="AB7334" s="3"/>
      <c r="AC7334" s="3"/>
      <c r="AD7334" s="3"/>
      <c r="AE7334" s="3"/>
      <c r="AF7334" s="3"/>
      <c r="AG7334" s="3"/>
      <c r="AH7334" s="3"/>
    </row>
    <row r="7335" spans="1:34" ht="14.25" customHeight="1" x14ac:dyDescent="0.25">
      <c r="A7335" s="3"/>
      <c r="B7335" s="3"/>
      <c r="C7335" s="3"/>
      <c r="D7335" s="3"/>
      <c r="E7335" s="3"/>
      <c r="F7335" s="3"/>
      <c r="G7335" s="3"/>
      <c r="H7335" s="11"/>
      <c r="I7335" s="12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  <c r="AA7335" s="3"/>
      <c r="AB7335" s="3"/>
      <c r="AC7335" s="3"/>
      <c r="AD7335" s="3"/>
      <c r="AE7335" s="3"/>
      <c r="AF7335" s="3"/>
      <c r="AG7335" s="3"/>
      <c r="AH7335" s="3"/>
    </row>
    <row r="7336" spans="1:34" ht="14.25" customHeight="1" x14ac:dyDescent="0.25">
      <c r="A7336" s="3"/>
      <c r="B7336" s="3"/>
      <c r="C7336" s="3"/>
      <c r="D7336" s="3"/>
      <c r="E7336" s="3"/>
      <c r="F7336" s="3"/>
      <c r="G7336" s="3"/>
      <c r="H7336" s="11"/>
      <c r="I7336" s="12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  <c r="AA7336" s="3"/>
      <c r="AB7336" s="3"/>
      <c r="AC7336" s="3"/>
      <c r="AD7336" s="3"/>
      <c r="AE7336" s="3"/>
      <c r="AF7336" s="3"/>
      <c r="AG7336" s="3"/>
      <c r="AH7336" s="3"/>
    </row>
    <row r="7337" spans="1:34" ht="14.25" customHeight="1" x14ac:dyDescent="0.25">
      <c r="A7337" s="3"/>
      <c r="B7337" s="3"/>
      <c r="C7337" s="3"/>
      <c r="D7337" s="3"/>
      <c r="E7337" s="3"/>
      <c r="F7337" s="3"/>
      <c r="G7337" s="3"/>
      <c r="H7337" s="11"/>
      <c r="I7337" s="12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  <c r="AA7337" s="3"/>
      <c r="AB7337" s="3"/>
      <c r="AC7337" s="3"/>
      <c r="AD7337" s="3"/>
      <c r="AE7337" s="3"/>
      <c r="AF7337" s="3"/>
      <c r="AG7337" s="3"/>
      <c r="AH7337" s="3"/>
    </row>
    <row r="7338" spans="1:34" ht="14.25" customHeight="1" x14ac:dyDescent="0.25">
      <c r="A7338" s="3"/>
      <c r="B7338" s="3"/>
      <c r="C7338" s="3"/>
      <c r="D7338" s="3"/>
      <c r="E7338" s="3"/>
      <c r="F7338" s="3"/>
      <c r="G7338" s="3"/>
      <c r="H7338" s="11"/>
      <c r="I7338" s="12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  <c r="AA7338" s="3"/>
      <c r="AB7338" s="3"/>
      <c r="AC7338" s="3"/>
      <c r="AD7338" s="3"/>
      <c r="AE7338" s="3"/>
      <c r="AF7338" s="3"/>
      <c r="AG7338" s="3"/>
      <c r="AH7338" s="3"/>
    </row>
    <row r="7339" spans="1:34" ht="14.25" customHeight="1" x14ac:dyDescent="0.25">
      <c r="A7339" s="3"/>
      <c r="B7339" s="3"/>
      <c r="C7339" s="3"/>
      <c r="D7339" s="3"/>
      <c r="E7339" s="3"/>
      <c r="F7339" s="3"/>
      <c r="G7339" s="3"/>
      <c r="H7339" s="11"/>
      <c r="I7339" s="12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  <c r="AA7339" s="3"/>
      <c r="AB7339" s="3"/>
      <c r="AC7339" s="3"/>
      <c r="AD7339" s="3"/>
      <c r="AE7339" s="3"/>
      <c r="AF7339" s="3"/>
      <c r="AG7339" s="3"/>
      <c r="AH7339" s="3"/>
    </row>
    <row r="7340" spans="1:34" ht="14.25" customHeight="1" x14ac:dyDescent="0.25">
      <c r="A7340" s="3"/>
      <c r="B7340" s="3"/>
      <c r="C7340" s="3"/>
      <c r="D7340" s="3"/>
      <c r="E7340" s="3"/>
      <c r="F7340" s="3"/>
      <c r="G7340" s="3"/>
      <c r="H7340" s="11"/>
      <c r="I7340" s="12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  <c r="AA7340" s="3"/>
      <c r="AB7340" s="3"/>
      <c r="AC7340" s="3"/>
      <c r="AD7340" s="3"/>
      <c r="AE7340" s="3"/>
      <c r="AF7340" s="3"/>
      <c r="AG7340" s="3"/>
      <c r="AH7340" s="3"/>
    </row>
    <row r="7341" spans="1:34" ht="14.25" customHeight="1" x14ac:dyDescent="0.25">
      <c r="A7341" s="3"/>
      <c r="B7341" s="3"/>
      <c r="C7341" s="3"/>
      <c r="D7341" s="3"/>
      <c r="E7341" s="3"/>
      <c r="F7341" s="3"/>
      <c r="G7341" s="3"/>
      <c r="H7341" s="11"/>
      <c r="I7341" s="12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  <c r="AA7341" s="3"/>
      <c r="AB7341" s="3"/>
      <c r="AC7341" s="3"/>
      <c r="AD7341" s="3"/>
      <c r="AE7341" s="3"/>
      <c r="AF7341" s="3"/>
      <c r="AG7341" s="3"/>
      <c r="AH7341" s="3"/>
    </row>
    <row r="7342" spans="1:34" ht="14.25" customHeight="1" x14ac:dyDescent="0.25">
      <c r="A7342" s="3"/>
      <c r="B7342" s="3"/>
      <c r="C7342" s="3"/>
      <c r="D7342" s="3"/>
      <c r="E7342" s="3"/>
      <c r="F7342" s="3"/>
      <c r="G7342" s="3"/>
      <c r="H7342" s="11"/>
      <c r="I7342" s="12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  <c r="AA7342" s="3"/>
      <c r="AB7342" s="3"/>
      <c r="AC7342" s="3"/>
      <c r="AD7342" s="3"/>
      <c r="AE7342" s="3"/>
      <c r="AF7342" s="3"/>
      <c r="AG7342" s="3"/>
      <c r="AH7342" s="3"/>
    </row>
    <row r="7343" spans="1:34" ht="14.25" customHeight="1" x14ac:dyDescent="0.25">
      <c r="A7343" s="3"/>
      <c r="B7343" s="3"/>
      <c r="C7343" s="3"/>
      <c r="D7343" s="3"/>
      <c r="E7343" s="3"/>
      <c r="F7343" s="3"/>
      <c r="G7343" s="3"/>
      <c r="H7343" s="11"/>
      <c r="I7343" s="12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  <c r="AA7343" s="3"/>
      <c r="AB7343" s="3"/>
      <c r="AC7343" s="3"/>
      <c r="AD7343" s="3"/>
      <c r="AE7343" s="3"/>
      <c r="AF7343" s="3"/>
      <c r="AG7343" s="3"/>
      <c r="AH7343" s="3"/>
    </row>
    <row r="7344" spans="1:34" ht="14.25" customHeight="1" x14ac:dyDescent="0.25">
      <c r="A7344" s="3"/>
      <c r="B7344" s="3"/>
      <c r="C7344" s="3"/>
      <c r="D7344" s="3"/>
      <c r="E7344" s="3"/>
      <c r="F7344" s="3"/>
      <c r="G7344" s="3"/>
      <c r="H7344" s="11"/>
      <c r="I7344" s="12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  <c r="AA7344" s="3"/>
      <c r="AB7344" s="3"/>
      <c r="AC7344" s="3"/>
      <c r="AD7344" s="3"/>
      <c r="AE7344" s="3"/>
      <c r="AF7344" s="3"/>
      <c r="AG7344" s="3"/>
      <c r="AH7344" s="3"/>
    </row>
    <row r="7345" spans="1:34" ht="14.25" customHeight="1" x14ac:dyDescent="0.25">
      <c r="A7345" s="3"/>
      <c r="B7345" s="3"/>
      <c r="C7345" s="3"/>
      <c r="D7345" s="3"/>
      <c r="E7345" s="3"/>
      <c r="F7345" s="3"/>
      <c r="G7345" s="3"/>
      <c r="H7345" s="11"/>
      <c r="I7345" s="12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  <c r="AA7345" s="3"/>
      <c r="AB7345" s="3"/>
      <c r="AC7345" s="3"/>
      <c r="AD7345" s="3"/>
      <c r="AE7345" s="3"/>
      <c r="AF7345" s="3"/>
      <c r="AG7345" s="3"/>
      <c r="AH7345" s="3"/>
    </row>
    <row r="7346" spans="1:34" ht="14.25" customHeight="1" x14ac:dyDescent="0.25">
      <c r="A7346" s="3"/>
      <c r="B7346" s="3"/>
      <c r="C7346" s="3"/>
      <c r="D7346" s="3"/>
      <c r="E7346" s="3"/>
      <c r="F7346" s="3"/>
      <c r="G7346" s="3"/>
      <c r="H7346" s="11"/>
      <c r="I7346" s="12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  <c r="AA7346" s="3"/>
      <c r="AB7346" s="3"/>
      <c r="AC7346" s="3"/>
      <c r="AD7346" s="3"/>
      <c r="AE7346" s="3"/>
      <c r="AF7346" s="3"/>
      <c r="AG7346" s="3"/>
      <c r="AH7346" s="3"/>
    </row>
    <row r="7347" spans="1:34" ht="14.25" customHeight="1" x14ac:dyDescent="0.25">
      <c r="A7347" s="3"/>
      <c r="B7347" s="3"/>
      <c r="C7347" s="3"/>
      <c r="D7347" s="3"/>
      <c r="E7347" s="3"/>
      <c r="F7347" s="3"/>
      <c r="G7347" s="3"/>
      <c r="H7347" s="11"/>
      <c r="I7347" s="12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  <c r="AA7347" s="3"/>
      <c r="AB7347" s="3"/>
      <c r="AC7347" s="3"/>
      <c r="AD7347" s="3"/>
      <c r="AE7347" s="3"/>
      <c r="AF7347" s="3"/>
      <c r="AG7347" s="3"/>
      <c r="AH7347" s="3"/>
    </row>
    <row r="7348" spans="1:34" ht="14.25" customHeight="1" x14ac:dyDescent="0.25">
      <c r="A7348" s="3"/>
      <c r="B7348" s="3"/>
      <c r="C7348" s="3"/>
      <c r="D7348" s="3"/>
      <c r="E7348" s="3"/>
      <c r="F7348" s="3"/>
      <c r="G7348" s="3"/>
      <c r="H7348" s="11"/>
      <c r="I7348" s="12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  <c r="AA7348" s="3"/>
      <c r="AB7348" s="3"/>
      <c r="AC7348" s="3"/>
      <c r="AD7348" s="3"/>
      <c r="AE7348" s="3"/>
      <c r="AF7348" s="3"/>
      <c r="AG7348" s="3"/>
      <c r="AH7348" s="3"/>
    </row>
    <row r="7349" spans="1:34" ht="14.25" customHeight="1" x14ac:dyDescent="0.25">
      <c r="A7349" s="3"/>
      <c r="B7349" s="3"/>
      <c r="C7349" s="3"/>
      <c r="D7349" s="3"/>
      <c r="E7349" s="3"/>
      <c r="F7349" s="3"/>
      <c r="G7349" s="3"/>
      <c r="H7349" s="11"/>
      <c r="I7349" s="12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  <c r="AA7349" s="3"/>
      <c r="AB7349" s="3"/>
      <c r="AC7349" s="3"/>
      <c r="AD7349" s="3"/>
      <c r="AE7349" s="3"/>
      <c r="AF7349" s="3"/>
      <c r="AG7349" s="3"/>
      <c r="AH7349" s="3"/>
    </row>
    <row r="7350" spans="1:34" ht="14.25" customHeight="1" x14ac:dyDescent="0.25">
      <c r="A7350" s="3"/>
      <c r="B7350" s="3"/>
      <c r="C7350" s="3"/>
      <c r="D7350" s="3"/>
      <c r="E7350" s="3"/>
      <c r="F7350" s="3"/>
      <c r="G7350" s="3"/>
      <c r="H7350" s="11"/>
      <c r="I7350" s="12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  <c r="AA7350" s="3"/>
      <c r="AB7350" s="3"/>
      <c r="AC7350" s="3"/>
      <c r="AD7350" s="3"/>
      <c r="AE7350" s="3"/>
      <c r="AF7350" s="3"/>
      <c r="AG7350" s="3"/>
      <c r="AH7350" s="3"/>
    </row>
    <row r="7351" spans="1:34" ht="14.25" customHeight="1" x14ac:dyDescent="0.25">
      <c r="A7351" s="3"/>
      <c r="B7351" s="3"/>
      <c r="C7351" s="3"/>
      <c r="D7351" s="3"/>
      <c r="E7351" s="3"/>
      <c r="F7351" s="3"/>
      <c r="G7351" s="3"/>
      <c r="H7351" s="11"/>
      <c r="I7351" s="12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  <c r="AA7351" s="3"/>
      <c r="AB7351" s="3"/>
      <c r="AC7351" s="3"/>
      <c r="AD7351" s="3"/>
      <c r="AE7351" s="3"/>
      <c r="AF7351" s="3"/>
      <c r="AG7351" s="3"/>
      <c r="AH7351" s="3"/>
    </row>
    <row r="7352" spans="1:34" ht="14.25" customHeight="1" x14ac:dyDescent="0.25">
      <c r="A7352" s="3"/>
      <c r="B7352" s="3"/>
      <c r="C7352" s="3"/>
      <c r="D7352" s="3"/>
      <c r="E7352" s="3"/>
      <c r="F7352" s="3"/>
      <c r="G7352" s="3"/>
      <c r="H7352" s="11"/>
      <c r="I7352" s="12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  <c r="AA7352" s="3"/>
      <c r="AB7352" s="3"/>
      <c r="AC7352" s="3"/>
      <c r="AD7352" s="3"/>
      <c r="AE7352" s="3"/>
      <c r="AF7352" s="3"/>
      <c r="AG7352" s="3"/>
      <c r="AH7352" s="3"/>
    </row>
    <row r="7353" spans="1:34" ht="14.25" customHeight="1" x14ac:dyDescent="0.25">
      <c r="A7353" s="3"/>
      <c r="B7353" s="3"/>
      <c r="C7353" s="3"/>
      <c r="D7353" s="3"/>
      <c r="E7353" s="3"/>
      <c r="F7353" s="3"/>
      <c r="G7353" s="3"/>
      <c r="H7353" s="11"/>
      <c r="I7353" s="12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  <c r="AA7353" s="3"/>
      <c r="AB7353" s="3"/>
      <c r="AC7353" s="3"/>
      <c r="AD7353" s="3"/>
      <c r="AE7353" s="3"/>
      <c r="AF7353" s="3"/>
      <c r="AG7353" s="3"/>
      <c r="AH7353" s="3"/>
    </row>
    <row r="7354" spans="1:34" ht="14.25" customHeight="1" x14ac:dyDescent="0.25">
      <c r="A7354" s="3"/>
      <c r="B7354" s="3"/>
      <c r="C7354" s="3"/>
      <c r="D7354" s="3"/>
      <c r="E7354" s="3"/>
      <c r="F7354" s="3"/>
      <c r="G7354" s="3"/>
      <c r="H7354" s="11"/>
      <c r="I7354" s="12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  <c r="AA7354" s="3"/>
      <c r="AB7354" s="3"/>
      <c r="AC7354" s="3"/>
      <c r="AD7354" s="3"/>
      <c r="AE7354" s="3"/>
      <c r="AF7354" s="3"/>
      <c r="AG7354" s="3"/>
      <c r="AH7354" s="3"/>
    </row>
    <row r="7355" spans="1:34" ht="14.25" customHeight="1" x14ac:dyDescent="0.25">
      <c r="A7355" s="3"/>
      <c r="B7355" s="3"/>
      <c r="C7355" s="3"/>
      <c r="D7355" s="3"/>
      <c r="E7355" s="3"/>
      <c r="F7355" s="3"/>
      <c r="G7355" s="3"/>
      <c r="H7355" s="11"/>
      <c r="I7355" s="12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  <c r="AA7355" s="3"/>
      <c r="AB7355" s="3"/>
      <c r="AC7355" s="3"/>
      <c r="AD7355" s="3"/>
      <c r="AE7355" s="3"/>
      <c r="AF7355" s="3"/>
      <c r="AG7355" s="3"/>
      <c r="AH7355" s="3"/>
    </row>
    <row r="7356" spans="1:34" ht="14.25" customHeight="1" x14ac:dyDescent="0.25">
      <c r="A7356" s="3"/>
      <c r="B7356" s="3"/>
      <c r="C7356" s="3"/>
      <c r="D7356" s="3"/>
      <c r="E7356" s="3"/>
      <c r="F7356" s="3"/>
      <c r="G7356" s="3"/>
      <c r="H7356" s="11"/>
      <c r="I7356" s="12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  <c r="AA7356" s="3"/>
      <c r="AB7356" s="3"/>
      <c r="AC7356" s="3"/>
      <c r="AD7356" s="3"/>
      <c r="AE7356" s="3"/>
      <c r="AF7356" s="3"/>
      <c r="AG7356" s="3"/>
      <c r="AH7356" s="3"/>
    </row>
    <row r="7357" spans="1:34" ht="14.25" customHeight="1" x14ac:dyDescent="0.25">
      <c r="A7357" s="3"/>
      <c r="B7357" s="3"/>
      <c r="C7357" s="3"/>
      <c r="D7357" s="3"/>
      <c r="E7357" s="3"/>
      <c r="F7357" s="3"/>
      <c r="G7357" s="3"/>
      <c r="H7357" s="11"/>
      <c r="I7357" s="12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  <c r="AA7357" s="3"/>
      <c r="AB7357" s="3"/>
      <c r="AC7357" s="3"/>
      <c r="AD7357" s="3"/>
      <c r="AE7357" s="3"/>
      <c r="AF7357" s="3"/>
      <c r="AG7357" s="3"/>
      <c r="AH7357" s="3"/>
    </row>
    <row r="7358" spans="1:34" ht="14.25" customHeight="1" x14ac:dyDescent="0.25">
      <c r="A7358" s="3"/>
      <c r="B7358" s="3"/>
      <c r="C7358" s="3"/>
      <c r="D7358" s="3"/>
      <c r="E7358" s="3"/>
      <c r="F7358" s="3"/>
      <c r="G7358" s="3"/>
      <c r="H7358" s="11"/>
      <c r="I7358" s="12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  <c r="AA7358" s="3"/>
      <c r="AB7358" s="3"/>
      <c r="AC7358" s="3"/>
      <c r="AD7358" s="3"/>
      <c r="AE7358" s="3"/>
      <c r="AF7358" s="3"/>
      <c r="AG7358" s="3"/>
      <c r="AH7358" s="3"/>
    </row>
    <row r="7359" spans="1:34" ht="14.25" customHeight="1" x14ac:dyDescent="0.25">
      <c r="A7359" s="3"/>
      <c r="B7359" s="3"/>
      <c r="C7359" s="3"/>
      <c r="D7359" s="3"/>
      <c r="E7359" s="3"/>
      <c r="F7359" s="3"/>
      <c r="G7359" s="3"/>
      <c r="H7359" s="11"/>
      <c r="I7359" s="12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  <c r="AA7359" s="3"/>
      <c r="AB7359" s="3"/>
      <c r="AC7359" s="3"/>
      <c r="AD7359" s="3"/>
      <c r="AE7359" s="3"/>
      <c r="AF7359" s="3"/>
      <c r="AG7359" s="3"/>
      <c r="AH7359" s="3"/>
    </row>
    <row r="7360" spans="1:34" ht="14.25" customHeight="1" x14ac:dyDescent="0.25">
      <c r="A7360" s="3"/>
      <c r="B7360" s="3"/>
      <c r="C7360" s="3"/>
      <c r="D7360" s="3"/>
      <c r="E7360" s="3"/>
      <c r="F7360" s="3"/>
      <c r="G7360" s="3"/>
      <c r="H7360" s="11"/>
      <c r="I7360" s="12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  <c r="AA7360" s="3"/>
      <c r="AB7360" s="3"/>
      <c r="AC7360" s="3"/>
      <c r="AD7360" s="3"/>
      <c r="AE7360" s="3"/>
      <c r="AF7360" s="3"/>
      <c r="AG7360" s="3"/>
      <c r="AH7360" s="3"/>
    </row>
    <row r="7361" spans="1:34" ht="14.25" customHeight="1" x14ac:dyDescent="0.25">
      <c r="A7361" s="3"/>
      <c r="B7361" s="3"/>
      <c r="C7361" s="3"/>
      <c r="D7361" s="3"/>
      <c r="E7361" s="3"/>
      <c r="F7361" s="3"/>
      <c r="G7361" s="3"/>
      <c r="H7361" s="11"/>
      <c r="I7361" s="12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  <c r="AA7361" s="3"/>
      <c r="AB7361" s="3"/>
      <c r="AC7361" s="3"/>
      <c r="AD7361" s="3"/>
      <c r="AE7361" s="3"/>
      <c r="AF7361" s="3"/>
      <c r="AG7361" s="3"/>
      <c r="AH7361" s="3"/>
    </row>
    <row r="7362" spans="1:34" ht="14.25" customHeight="1" x14ac:dyDescent="0.25">
      <c r="A7362" s="3"/>
      <c r="B7362" s="3"/>
      <c r="C7362" s="3"/>
      <c r="D7362" s="3"/>
      <c r="E7362" s="3"/>
      <c r="F7362" s="3"/>
      <c r="G7362" s="3"/>
      <c r="H7362" s="11"/>
      <c r="I7362" s="12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  <c r="AA7362" s="3"/>
      <c r="AB7362" s="3"/>
      <c r="AC7362" s="3"/>
      <c r="AD7362" s="3"/>
      <c r="AE7362" s="3"/>
      <c r="AF7362" s="3"/>
      <c r="AG7362" s="3"/>
      <c r="AH7362" s="3"/>
    </row>
    <row r="7363" spans="1:34" ht="14.25" customHeight="1" x14ac:dyDescent="0.25">
      <c r="A7363" s="3"/>
      <c r="B7363" s="3"/>
      <c r="C7363" s="3"/>
      <c r="D7363" s="3"/>
      <c r="E7363" s="3"/>
      <c r="F7363" s="3"/>
      <c r="G7363" s="3"/>
      <c r="H7363" s="11"/>
      <c r="I7363" s="12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  <c r="AA7363" s="3"/>
      <c r="AB7363" s="3"/>
      <c r="AC7363" s="3"/>
      <c r="AD7363" s="3"/>
      <c r="AE7363" s="3"/>
      <c r="AF7363" s="3"/>
      <c r="AG7363" s="3"/>
      <c r="AH7363" s="3"/>
    </row>
    <row r="7364" spans="1:34" ht="14.25" customHeight="1" x14ac:dyDescent="0.25">
      <c r="A7364" s="3"/>
      <c r="B7364" s="3"/>
      <c r="C7364" s="3"/>
      <c r="D7364" s="3"/>
      <c r="E7364" s="3"/>
      <c r="F7364" s="3"/>
      <c r="G7364" s="3"/>
      <c r="H7364" s="11"/>
      <c r="I7364" s="12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  <c r="AA7364" s="3"/>
      <c r="AB7364" s="3"/>
      <c r="AC7364" s="3"/>
      <c r="AD7364" s="3"/>
      <c r="AE7364" s="3"/>
      <c r="AF7364" s="3"/>
      <c r="AG7364" s="3"/>
      <c r="AH7364" s="3"/>
    </row>
    <row r="7365" spans="1:34" ht="14.25" customHeight="1" x14ac:dyDescent="0.25">
      <c r="A7365" s="3"/>
      <c r="B7365" s="3"/>
      <c r="C7365" s="3"/>
      <c r="D7365" s="3"/>
      <c r="E7365" s="3"/>
      <c r="F7365" s="3"/>
      <c r="G7365" s="3"/>
      <c r="H7365" s="11"/>
      <c r="I7365" s="12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  <c r="AA7365" s="3"/>
      <c r="AB7365" s="3"/>
      <c r="AC7365" s="3"/>
      <c r="AD7365" s="3"/>
      <c r="AE7365" s="3"/>
      <c r="AF7365" s="3"/>
      <c r="AG7365" s="3"/>
      <c r="AH7365" s="3"/>
    </row>
    <row r="7366" spans="1:34" ht="14.25" customHeight="1" x14ac:dyDescent="0.25">
      <c r="A7366" s="3"/>
      <c r="B7366" s="3"/>
      <c r="C7366" s="3"/>
      <c r="D7366" s="3"/>
      <c r="E7366" s="3"/>
      <c r="F7366" s="3"/>
      <c r="G7366" s="3"/>
      <c r="H7366" s="11"/>
      <c r="I7366" s="12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  <c r="AA7366" s="3"/>
      <c r="AB7366" s="3"/>
      <c r="AC7366" s="3"/>
      <c r="AD7366" s="3"/>
      <c r="AE7366" s="3"/>
      <c r="AF7366" s="3"/>
      <c r="AG7366" s="3"/>
      <c r="AH7366" s="3"/>
    </row>
    <row r="7367" spans="1:34" ht="14.25" customHeight="1" x14ac:dyDescent="0.25">
      <c r="A7367" s="3"/>
      <c r="B7367" s="3"/>
      <c r="C7367" s="3"/>
      <c r="D7367" s="3"/>
      <c r="E7367" s="3"/>
      <c r="F7367" s="3"/>
      <c r="G7367" s="3"/>
      <c r="H7367" s="11"/>
      <c r="I7367" s="12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  <c r="AA7367" s="3"/>
      <c r="AB7367" s="3"/>
      <c r="AC7367" s="3"/>
      <c r="AD7367" s="3"/>
      <c r="AE7367" s="3"/>
      <c r="AF7367" s="3"/>
      <c r="AG7367" s="3"/>
      <c r="AH7367" s="3"/>
    </row>
    <row r="7368" spans="1:34" ht="14.25" customHeight="1" x14ac:dyDescent="0.25">
      <c r="A7368" s="3"/>
      <c r="B7368" s="3"/>
      <c r="C7368" s="3"/>
      <c r="D7368" s="3"/>
      <c r="E7368" s="3"/>
      <c r="F7368" s="3"/>
      <c r="G7368" s="3"/>
      <c r="H7368" s="11"/>
      <c r="I7368" s="12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  <c r="AA7368" s="3"/>
      <c r="AB7368" s="3"/>
      <c r="AC7368" s="3"/>
      <c r="AD7368" s="3"/>
      <c r="AE7368" s="3"/>
      <c r="AF7368" s="3"/>
      <c r="AG7368" s="3"/>
      <c r="AH7368" s="3"/>
    </row>
    <row r="7369" spans="1:34" ht="14.25" customHeight="1" x14ac:dyDescent="0.25">
      <c r="A7369" s="3"/>
      <c r="B7369" s="3"/>
      <c r="C7369" s="3"/>
      <c r="D7369" s="3"/>
      <c r="E7369" s="3"/>
      <c r="F7369" s="3"/>
      <c r="G7369" s="3"/>
      <c r="H7369" s="11"/>
      <c r="I7369" s="12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  <c r="AA7369" s="3"/>
      <c r="AB7369" s="3"/>
      <c r="AC7369" s="3"/>
      <c r="AD7369" s="3"/>
      <c r="AE7369" s="3"/>
      <c r="AF7369" s="3"/>
      <c r="AG7369" s="3"/>
      <c r="AH7369" s="3"/>
    </row>
    <row r="7370" spans="1:34" ht="14.25" customHeight="1" x14ac:dyDescent="0.25">
      <c r="A7370" s="3"/>
      <c r="B7370" s="3"/>
      <c r="C7370" s="3"/>
      <c r="D7370" s="3"/>
      <c r="E7370" s="3"/>
      <c r="F7370" s="3"/>
      <c r="G7370" s="3"/>
      <c r="H7370" s="11"/>
      <c r="I7370" s="12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  <c r="AA7370" s="3"/>
      <c r="AB7370" s="3"/>
      <c r="AC7370" s="3"/>
      <c r="AD7370" s="3"/>
      <c r="AE7370" s="3"/>
      <c r="AF7370" s="3"/>
      <c r="AG7370" s="3"/>
      <c r="AH7370" s="3"/>
    </row>
    <row r="7371" spans="1:34" ht="14.25" customHeight="1" x14ac:dyDescent="0.25">
      <c r="A7371" s="3"/>
      <c r="B7371" s="3"/>
      <c r="C7371" s="3"/>
      <c r="D7371" s="3"/>
      <c r="E7371" s="3"/>
      <c r="F7371" s="3"/>
      <c r="G7371" s="3"/>
      <c r="H7371" s="11"/>
      <c r="I7371" s="12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  <c r="AA7371" s="3"/>
      <c r="AB7371" s="3"/>
      <c r="AC7371" s="3"/>
      <c r="AD7371" s="3"/>
      <c r="AE7371" s="3"/>
      <c r="AF7371" s="3"/>
      <c r="AG7371" s="3"/>
      <c r="AH7371" s="3"/>
    </row>
    <row r="7372" spans="1:34" ht="14.25" customHeight="1" x14ac:dyDescent="0.25">
      <c r="A7372" s="3"/>
      <c r="B7372" s="3"/>
      <c r="C7372" s="3"/>
      <c r="D7372" s="3"/>
      <c r="E7372" s="3"/>
      <c r="F7372" s="3"/>
      <c r="G7372" s="3"/>
      <c r="H7372" s="11"/>
      <c r="I7372" s="12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  <c r="AA7372" s="3"/>
      <c r="AB7372" s="3"/>
      <c r="AC7372" s="3"/>
      <c r="AD7372" s="3"/>
      <c r="AE7372" s="3"/>
      <c r="AF7372" s="3"/>
      <c r="AG7372" s="3"/>
      <c r="AH7372" s="3"/>
    </row>
    <row r="7373" spans="1:34" ht="14.25" customHeight="1" x14ac:dyDescent="0.25">
      <c r="A7373" s="3"/>
      <c r="B7373" s="3"/>
      <c r="C7373" s="3"/>
      <c r="D7373" s="3"/>
      <c r="E7373" s="3"/>
      <c r="F7373" s="3"/>
      <c r="G7373" s="3"/>
      <c r="H7373" s="11"/>
      <c r="I7373" s="12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  <c r="AA7373" s="3"/>
      <c r="AB7373" s="3"/>
      <c r="AC7373" s="3"/>
      <c r="AD7373" s="3"/>
      <c r="AE7373" s="3"/>
      <c r="AF7373" s="3"/>
      <c r="AG7373" s="3"/>
      <c r="AH7373" s="3"/>
    </row>
    <row r="7374" spans="1:34" ht="14.25" customHeight="1" x14ac:dyDescent="0.25">
      <c r="A7374" s="3"/>
      <c r="B7374" s="3"/>
      <c r="C7374" s="3"/>
      <c r="D7374" s="3"/>
      <c r="E7374" s="3"/>
      <c r="F7374" s="3"/>
      <c r="G7374" s="3"/>
      <c r="H7374" s="11"/>
      <c r="I7374" s="12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  <c r="AA7374" s="3"/>
      <c r="AB7374" s="3"/>
      <c r="AC7374" s="3"/>
      <c r="AD7374" s="3"/>
      <c r="AE7374" s="3"/>
      <c r="AF7374" s="3"/>
      <c r="AG7374" s="3"/>
      <c r="AH7374" s="3"/>
    </row>
    <row r="7375" spans="1:34" ht="14.25" customHeight="1" x14ac:dyDescent="0.25">
      <c r="A7375" s="3"/>
      <c r="B7375" s="3"/>
      <c r="C7375" s="3"/>
      <c r="D7375" s="3"/>
      <c r="E7375" s="3"/>
      <c r="F7375" s="3"/>
      <c r="G7375" s="3"/>
      <c r="H7375" s="11"/>
      <c r="I7375" s="12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  <c r="AA7375" s="3"/>
      <c r="AB7375" s="3"/>
      <c r="AC7375" s="3"/>
      <c r="AD7375" s="3"/>
      <c r="AE7375" s="3"/>
      <c r="AF7375" s="3"/>
      <c r="AG7375" s="3"/>
      <c r="AH7375" s="3"/>
    </row>
    <row r="7376" spans="1:34" ht="14.25" customHeight="1" x14ac:dyDescent="0.25">
      <c r="A7376" s="3"/>
      <c r="B7376" s="3"/>
      <c r="C7376" s="3"/>
      <c r="D7376" s="3"/>
      <c r="E7376" s="3"/>
      <c r="F7376" s="3"/>
      <c r="G7376" s="3"/>
      <c r="H7376" s="11"/>
      <c r="I7376" s="12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  <c r="AA7376" s="3"/>
      <c r="AB7376" s="3"/>
      <c r="AC7376" s="3"/>
      <c r="AD7376" s="3"/>
      <c r="AE7376" s="3"/>
      <c r="AF7376" s="3"/>
      <c r="AG7376" s="3"/>
      <c r="AH7376" s="3"/>
    </row>
    <row r="7377" spans="1:34" ht="14.25" customHeight="1" x14ac:dyDescent="0.25">
      <c r="A7377" s="3"/>
      <c r="B7377" s="3"/>
      <c r="C7377" s="3"/>
      <c r="D7377" s="3"/>
      <c r="E7377" s="3"/>
      <c r="F7377" s="3"/>
      <c r="G7377" s="3"/>
      <c r="H7377" s="11"/>
      <c r="I7377" s="12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  <c r="AA7377" s="3"/>
      <c r="AB7377" s="3"/>
      <c r="AC7377" s="3"/>
      <c r="AD7377" s="3"/>
      <c r="AE7377" s="3"/>
      <c r="AF7377" s="3"/>
      <c r="AG7377" s="3"/>
      <c r="AH7377" s="3"/>
    </row>
    <row r="7378" spans="1:34" ht="14.25" customHeight="1" x14ac:dyDescent="0.25">
      <c r="A7378" s="3"/>
      <c r="B7378" s="3"/>
      <c r="C7378" s="3"/>
      <c r="D7378" s="3"/>
      <c r="E7378" s="3"/>
      <c r="F7378" s="3"/>
      <c r="G7378" s="3"/>
      <c r="H7378" s="11"/>
      <c r="I7378" s="12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  <c r="AA7378" s="3"/>
      <c r="AB7378" s="3"/>
      <c r="AC7378" s="3"/>
      <c r="AD7378" s="3"/>
      <c r="AE7378" s="3"/>
      <c r="AF7378" s="3"/>
      <c r="AG7378" s="3"/>
      <c r="AH7378" s="3"/>
    </row>
    <row r="7379" spans="1:34" ht="14.25" customHeight="1" x14ac:dyDescent="0.25">
      <c r="A7379" s="3"/>
      <c r="B7379" s="3"/>
      <c r="C7379" s="3"/>
      <c r="D7379" s="3"/>
      <c r="E7379" s="3"/>
      <c r="F7379" s="3"/>
      <c r="G7379" s="3"/>
      <c r="H7379" s="11"/>
      <c r="I7379" s="12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  <c r="AA7379" s="3"/>
      <c r="AB7379" s="3"/>
      <c r="AC7379" s="3"/>
      <c r="AD7379" s="3"/>
      <c r="AE7379" s="3"/>
      <c r="AF7379" s="3"/>
      <c r="AG7379" s="3"/>
      <c r="AH7379" s="3"/>
    </row>
    <row r="7380" spans="1:34" ht="14.25" customHeight="1" x14ac:dyDescent="0.25">
      <c r="A7380" s="3"/>
      <c r="B7380" s="3"/>
      <c r="C7380" s="3"/>
      <c r="D7380" s="3"/>
      <c r="E7380" s="3"/>
      <c r="F7380" s="3"/>
      <c r="G7380" s="3"/>
      <c r="H7380" s="11"/>
      <c r="I7380" s="12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  <c r="AA7380" s="3"/>
      <c r="AB7380" s="3"/>
      <c r="AC7380" s="3"/>
      <c r="AD7380" s="3"/>
      <c r="AE7380" s="3"/>
      <c r="AF7380" s="3"/>
      <c r="AG7380" s="3"/>
      <c r="AH7380" s="3"/>
    </row>
    <row r="7381" spans="1:34" ht="14.25" customHeight="1" x14ac:dyDescent="0.25">
      <c r="A7381" s="3"/>
      <c r="B7381" s="3"/>
      <c r="C7381" s="3"/>
      <c r="D7381" s="3"/>
      <c r="E7381" s="3"/>
      <c r="F7381" s="3"/>
      <c r="G7381" s="3"/>
      <c r="H7381" s="11"/>
      <c r="I7381" s="12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  <c r="AA7381" s="3"/>
      <c r="AB7381" s="3"/>
      <c r="AC7381" s="3"/>
      <c r="AD7381" s="3"/>
      <c r="AE7381" s="3"/>
      <c r="AF7381" s="3"/>
      <c r="AG7381" s="3"/>
      <c r="AH7381" s="3"/>
    </row>
    <row r="7382" spans="1:34" ht="14.25" customHeight="1" x14ac:dyDescent="0.25">
      <c r="A7382" s="3"/>
      <c r="B7382" s="3"/>
      <c r="C7382" s="3"/>
      <c r="D7382" s="3"/>
      <c r="E7382" s="3"/>
      <c r="F7382" s="3"/>
      <c r="G7382" s="3"/>
      <c r="H7382" s="11"/>
      <c r="I7382" s="12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  <c r="AA7382" s="3"/>
      <c r="AB7382" s="3"/>
      <c r="AC7382" s="3"/>
      <c r="AD7382" s="3"/>
      <c r="AE7382" s="3"/>
      <c r="AF7382" s="3"/>
      <c r="AG7382" s="3"/>
      <c r="AH7382" s="3"/>
    </row>
    <row r="7383" spans="1:34" ht="14.25" customHeight="1" x14ac:dyDescent="0.25">
      <c r="A7383" s="3"/>
      <c r="B7383" s="3"/>
      <c r="C7383" s="3"/>
      <c r="D7383" s="3"/>
      <c r="E7383" s="3"/>
      <c r="F7383" s="3"/>
      <c r="G7383" s="3"/>
      <c r="H7383" s="11"/>
      <c r="I7383" s="12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  <c r="AA7383" s="3"/>
      <c r="AB7383" s="3"/>
      <c r="AC7383" s="3"/>
      <c r="AD7383" s="3"/>
      <c r="AE7383" s="3"/>
      <c r="AF7383" s="3"/>
      <c r="AG7383" s="3"/>
      <c r="AH7383" s="3"/>
    </row>
    <row r="7384" spans="1:34" ht="14.25" customHeight="1" x14ac:dyDescent="0.25">
      <c r="A7384" s="3"/>
      <c r="B7384" s="3"/>
      <c r="C7384" s="3"/>
      <c r="D7384" s="3"/>
      <c r="E7384" s="3"/>
      <c r="F7384" s="3"/>
      <c r="G7384" s="3"/>
      <c r="H7384" s="11"/>
      <c r="I7384" s="12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  <c r="AA7384" s="3"/>
      <c r="AB7384" s="3"/>
      <c r="AC7384" s="3"/>
      <c r="AD7384" s="3"/>
      <c r="AE7384" s="3"/>
      <c r="AF7384" s="3"/>
      <c r="AG7384" s="3"/>
      <c r="AH7384" s="3"/>
    </row>
    <row r="7385" spans="1:34" ht="14.25" customHeight="1" x14ac:dyDescent="0.25">
      <c r="A7385" s="3"/>
      <c r="B7385" s="3"/>
      <c r="C7385" s="3"/>
      <c r="D7385" s="3"/>
      <c r="E7385" s="3"/>
      <c r="F7385" s="3"/>
      <c r="G7385" s="3"/>
      <c r="H7385" s="11"/>
      <c r="I7385" s="12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  <c r="AA7385" s="3"/>
      <c r="AB7385" s="3"/>
      <c r="AC7385" s="3"/>
      <c r="AD7385" s="3"/>
      <c r="AE7385" s="3"/>
      <c r="AF7385" s="3"/>
      <c r="AG7385" s="3"/>
      <c r="AH7385" s="3"/>
    </row>
    <row r="7386" spans="1:34" ht="14.25" customHeight="1" x14ac:dyDescent="0.25">
      <c r="A7386" s="3"/>
      <c r="B7386" s="3"/>
      <c r="C7386" s="3"/>
      <c r="D7386" s="3"/>
      <c r="E7386" s="3"/>
      <c r="F7386" s="3"/>
      <c r="G7386" s="3"/>
      <c r="H7386" s="11"/>
      <c r="I7386" s="12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  <c r="AA7386" s="3"/>
      <c r="AB7386" s="3"/>
      <c r="AC7386" s="3"/>
      <c r="AD7386" s="3"/>
      <c r="AE7386" s="3"/>
      <c r="AF7386" s="3"/>
      <c r="AG7386" s="3"/>
      <c r="AH7386" s="3"/>
    </row>
    <row r="7387" spans="1:34" ht="14.25" customHeight="1" x14ac:dyDescent="0.25">
      <c r="A7387" s="3"/>
      <c r="B7387" s="3"/>
      <c r="C7387" s="3"/>
      <c r="D7387" s="3"/>
      <c r="E7387" s="3"/>
      <c r="F7387" s="3"/>
      <c r="G7387" s="3"/>
      <c r="H7387" s="11"/>
      <c r="I7387" s="12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  <c r="AA7387" s="3"/>
      <c r="AB7387" s="3"/>
      <c r="AC7387" s="3"/>
      <c r="AD7387" s="3"/>
      <c r="AE7387" s="3"/>
      <c r="AF7387" s="3"/>
      <c r="AG7387" s="3"/>
      <c r="AH7387" s="3"/>
    </row>
    <row r="7388" spans="1:34" ht="14.25" customHeight="1" x14ac:dyDescent="0.25">
      <c r="A7388" s="3"/>
      <c r="B7388" s="3"/>
      <c r="C7388" s="3"/>
      <c r="D7388" s="3"/>
      <c r="E7388" s="3"/>
      <c r="F7388" s="3"/>
      <c r="G7388" s="3"/>
      <c r="H7388" s="11"/>
      <c r="I7388" s="12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  <c r="AA7388" s="3"/>
      <c r="AB7388" s="3"/>
      <c r="AC7388" s="3"/>
      <c r="AD7388" s="3"/>
      <c r="AE7388" s="3"/>
      <c r="AF7388" s="3"/>
      <c r="AG7388" s="3"/>
      <c r="AH7388" s="3"/>
    </row>
    <row r="7389" spans="1:34" ht="14.25" customHeight="1" x14ac:dyDescent="0.25">
      <c r="A7389" s="3"/>
      <c r="B7389" s="3"/>
      <c r="C7389" s="3"/>
      <c r="D7389" s="3"/>
      <c r="E7389" s="3"/>
      <c r="F7389" s="3"/>
      <c r="G7389" s="3"/>
      <c r="H7389" s="11"/>
      <c r="I7389" s="12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  <c r="AA7389" s="3"/>
      <c r="AB7389" s="3"/>
      <c r="AC7389" s="3"/>
      <c r="AD7389" s="3"/>
      <c r="AE7389" s="3"/>
      <c r="AF7389" s="3"/>
      <c r="AG7389" s="3"/>
      <c r="AH7389" s="3"/>
    </row>
    <row r="7390" spans="1:34" ht="14.25" customHeight="1" x14ac:dyDescent="0.25">
      <c r="A7390" s="3"/>
      <c r="B7390" s="3"/>
      <c r="C7390" s="3"/>
      <c r="D7390" s="3"/>
      <c r="E7390" s="3"/>
      <c r="F7390" s="3"/>
      <c r="G7390" s="3"/>
      <c r="H7390" s="11"/>
      <c r="I7390" s="12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  <c r="AA7390" s="3"/>
      <c r="AB7390" s="3"/>
      <c r="AC7390" s="3"/>
      <c r="AD7390" s="3"/>
      <c r="AE7390" s="3"/>
      <c r="AF7390" s="3"/>
      <c r="AG7390" s="3"/>
      <c r="AH7390" s="3"/>
    </row>
    <row r="7391" spans="1:34" ht="14.25" customHeight="1" x14ac:dyDescent="0.25">
      <c r="A7391" s="3"/>
      <c r="B7391" s="3"/>
      <c r="C7391" s="3"/>
      <c r="D7391" s="3"/>
      <c r="E7391" s="3"/>
      <c r="F7391" s="3"/>
      <c r="G7391" s="3"/>
      <c r="H7391" s="11"/>
      <c r="I7391" s="12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  <c r="AA7391" s="3"/>
      <c r="AB7391" s="3"/>
      <c r="AC7391" s="3"/>
      <c r="AD7391" s="3"/>
      <c r="AE7391" s="3"/>
      <c r="AF7391" s="3"/>
      <c r="AG7391" s="3"/>
      <c r="AH7391" s="3"/>
    </row>
    <row r="7392" spans="1:34" ht="14.25" customHeight="1" x14ac:dyDescent="0.25">
      <c r="A7392" s="3"/>
      <c r="B7392" s="3"/>
      <c r="C7392" s="3"/>
      <c r="D7392" s="3"/>
      <c r="E7392" s="3"/>
      <c r="F7392" s="3"/>
      <c r="G7392" s="3"/>
      <c r="H7392" s="11"/>
      <c r="I7392" s="12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  <c r="AA7392" s="3"/>
      <c r="AB7392" s="3"/>
      <c r="AC7392" s="3"/>
      <c r="AD7392" s="3"/>
      <c r="AE7392" s="3"/>
      <c r="AF7392" s="3"/>
      <c r="AG7392" s="3"/>
      <c r="AH7392" s="3"/>
    </row>
    <row r="7393" spans="1:34" ht="14.25" customHeight="1" x14ac:dyDescent="0.25">
      <c r="A7393" s="3"/>
      <c r="B7393" s="3"/>
      <c r="C7393" s="3"/>
      <c r="D7393" s="3"/>
      <c r="E7393" s="3"/>
      <c r="F7393" s="3"/>
      <c r="G7393" s="3"/>
      <c r="H7393" s="11"/>
      <c r="I7393" s="12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  <c r="AA7393" s="3"/>
      <c r="AB7393" s="3"/>
      <c r="AC7393" s="3"/>
      <c r="AD7393" s="3"/>
      <c r="AE7393" s="3"/>
      <c r="AF7393" s="3"/>
      <c r="AG7393" s="3"/>
      <c r="AH7393" s="3"/>
    </row>
    <row r="7394" spans="1:34" ht="14.25" customHeight="1" x14ac:dyDescent="0.25">
      <c r="A7394" s="3"/>
      <c r="B7394" s="3"/>
      <c r="C7394" s="3"/>
      <c r="D7394" s="3"/>
      <c r="E7394" s="3"/>
      <c r="F7394" s="3"/>
      <c r="G7394" s="3"/>
      <c r="H7394" s="11"/>
      <c r="I7394" s="12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  <c r="AA7394" s="3"/>
      <c r="AB7394" s="3"/>
      <c r="AC7394" s="3"/>
      <c r="AD7394" s="3"/>
      <c r="AE7394" s="3"/>
      <c r="AF7394" s="3"/>
      <c r="AG7394" s="3"/>
      <c r="AH7394" s="3"/>
    </row>
    <row r="7395" spans="1:34" ht="14.25" customHeight="1" x14ac:dyDescent="0.25">
      <c r="A7395" s="3"/>
      <c r="B7395" s="3"/>
      <c r="C7395" s="3"/>
      <c r="D7395" s="3"/>
      <c r="E7395" s="3"/>
      <c r="F7395" s="3"/>
      <c r="G7395" s="3"/>
      <c r="H7395" s="11"/>
      <c r="I7395" s="12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  <c r="AA7395" s="3"/>
      <c r="AB7395" s="3"/>
      <c r="AC7395" s="3"/>
      <c r="AD7395" s="3"/>
      <c r="AE7395" s="3"/>
      <c r="AF7395" s="3"/>
      <c r="AG7395" s="3"/>
      <c r="AH7395" s="3"/>
    </row>
    <row r="7396" spans="1:34" ht="14.25" customHeight="1" x14ac:dyDescent="0.25">
      <c r="A7396" s="3"/>
      <c r="B7396" s="3"/>
      <c r="C7396" s="3"/>
      <c r="D7396" s="3"/>
      <c r="E7396" s="3"/>
      <c r="F7396" s="3"/>
      <c r="G7396" s="3"/>
      <c r="H7396" s="11"/>
      <c r="I7396" s="12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  <c r="AA7396" s="3"/>
      <c r="AB7396" s="3"/>
      <c r="AC7396" s="3"/>
      <c r="AD7396" s="3"/>
      <c r="AE7396" s="3"/>
      <c r="AF7396" s="3"/>
      <c r="AG7396" s="3"/>
      <c r="AH7396" s="3"/>
    </row>
    <row r="7397" spans="1:34" ht="14.25" customHeight="1" x14ac:dyDescent="0.25">
      <c r="A7397" s="3"/>
      <c r="B7397" s="3"/>
      <c r="C7397" s="3"/>
      <c r="D7397" s="3"/>
      <c r="E7397" s="3"/>
      <c r="F7397" s="3"/>
      <c r="G7397" s="3"/>
      <c r="H7397" s="11"/>
      <c r="I7397" s="12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  <c r="AA7397" s="3"/>
      <c r="AB7397" s="3"/>
      <c r="AC7397" s="3"/>
      <c r="AD7397" s="3"/>
      <c r="AE7397" s="3"/>
      <c r="AF7397" s="3"/>
      <c r="AG7397" s="3"/>
      <c r="AH7397" s="3"/>
    </row>
    <row r="7398" spans="1:34" ht="14.25" customHeight="1" x14ac:dyDescent="0.25">
      <c r="A7398" s="3"/>
      <c r="B7398" s="3"/>
      <c r="C7398" s="3"/>
      <c r="D7398" s="3"/>
      <c r="E7398" s="3"/>
      <c r="F7398" s="3"/>
      <c r="G7398" s="3"/>
      <c r="H7398" s="11"/>
      <c r="I7398" s="12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  <c r="AA7398" s="3"/>
      <c r="AB7398" s="3"/>
      <c r="AC7398" s="3"/>
      <c r="AD7398" s="3"/>
      <c r="AE7398" s="3"/>
      <c r="AF7398" s="3"/>
      <c r="AG7398" s="3"/>
      <c r="AH7398" s="3"/>
    </row>
    <row r="7399" spans="1:34" ht="14.25" customHeight="1" x14ac:dyDescent="0.25">
      <c r="A7399" s="3"/>
      <c r="B7399" s="3"/>
      <c r="C7399" s="3"/>
      <c r="D7399" s="3"/>
      <c r="E7399" s="3"/>
      <c r="F7399" s="3"/>
      <c r="G7399" s="3"/>
      <c r="H7399" s="11"/>
      <c r="I7399" s="12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  <c r="AA7399" s="3"/>
      <c r="AB7399" s="3"/>
      <c r="AC7399" s="3"/>
      <c r="AD7399" s="3"/>
      <c r="AE7399" s="3"/>
      <c r="AF7399" s="3"/>
      <c r="AG7399" s="3"/>
      <c r="AH7399" s="3"/>
    </row>
    <row r="7400" spans="1:34" ht="14.25" customHeight="1" x14ac:dyDescent="0.25">
      <c r="A7400" s="3"/>
      <c r="B7400" s="3"/>
      <c r="C7400" s="3"/>
      <c r="D7400" s="3"/>
      <c r="E7400" s="3"/>
      <c r="F7400" s="3"/>
      <c r="G7400" s="3"/>
      <c r="H7400" s="11"/>
      <c r="I7400" s="12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  <c r="AA7400" s="3"/>
      <c r="AB7400" s="3"/>
      <c r="AC7400" s="3"/>
      <c r="AD7400" s="3"/>
      <c r="AE7400" s="3"/>
      <c r="AF7400" s="3"/>
      <c r="AG7400" s="3"/>
      <c r="AH7400" s="3"/>
    </row>
    <row r="7401" spans="1:34" ht="14.25" customHeight="1" x14ac:dyDescent="0.25">
      <c r="A7401" s="3"/>
      <c r="B7401" s="3"/>
      <c r="C7401" s="3"/>
      <c r="D7401" s="3"/>
      <c r="E7401" s="3"/>
      <c r="F7401" s="3"/>
      <c r="G7401" s="3"/>
      <c r="H7401" s="11"/>
      <c r="I7401" s="12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  <c r="AA7401" s="3"/>
      <c r="AB7401" s="3"/>
      <c r="AC7401" s="3"/>
      <c r="AD7401" s="3"/>
      <c r="AE7401" s="3"/>
      <c r="AF7401" s="3"/>
      <c r="AG7401" s="3"/>
      <c r="AH7401" s="3"/>
    </row>
    <row r="7402" spans="1:34" ht="14.25" customHeight="1" x14ac:dyDescent="0.25">
      <c r="A7402" s="3"/>
      <c r="B7402" s="3"/>
      <c r="C7402" s="3"/>
      <c r="D7402" s="3"/>
      <c r="E7402" s="3"/>
      <c r="F7402" s="3"/>
      <c r="G7402" s="3"/>
      <c r="H7402" s="11"/>
      <c r="I7402" s="12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  <c r="AA7402" s="3"/>
      <c r="AB7402" s="3"/>
      <c r="AC7402" s="3"/>
      <c r="AD7402" s="3"/>
      <c r="AE7402" s="3"/>
      <c r="AF7402" s="3"/>
      <c r="AG7402" s="3"/>
      <c r="AH7402" s="3"/>
    </row>
    <row r="7403" spans="1:34" ht="14.25" customHeight="1" x14ac:dyDescent="0.25">
      <c r="A7403" s="3"/>
      <c r="B7403" s="3"/>
      <c r="C7403" s="3"/>
      <c r="D7403" s="3"/>
      <c r="E7403" s="3"/>
      <c r="F7403" s="3"/>
      <c r="G7403" s="3"/>
      <c r="H7403" s="11"/>
      <c r="I7403" s="12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  <c r="AA7403" s="3"/>
      <c r="AB7403" s="3"/>
      <c r="AC7403" s="3"/>
      <c r="AD7403" s="3"/>
      <c r="AE7403" s="3"/>
      <c r="AF7403" s="3"/>
      <c r="AG7403" s="3"/>
      <c r="AH7403" s="3"/>
    </row>
    <row r="7404" spans="1:34" ht="14.25" customHeight="1" x14ac:dyDescent="0.25">
      <c r="A7404" s="3"/>
      <c r="B7404" s="3"/>
      <c r="C7404" s="3"/>
      <c r="D7404" s="3"/>
      <c r="E7404" s="3"/>
      <c r="F7404" s="3"/>
      <c r="G7404" s="3"/>
      <c r="H7404" s="11"/>
      <c r="I7404" s="12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  <c r="AA7404" s="3"/>
      <c r="AB7404" s="3"/>
      <c r="AC7404" s="3"/>
      <c r="AD7404" s="3"/>
      <c r="AE7404" s="3"/>
      <c r="AF7404" s="3"/>
      <c r="AG7404" s="3"/>
      <c r="AH7404" s="3"/>
    </row>
    <row r="7405" spans="1:34" ht="14.25" customHeight="1" x14ac:dyDescent="0.25">
      <c r="A7405" s="3"/>
      <c r="B7405" s="3"/>
      <c r="C7405" s="3"/>
      <c r="D7405" s="3"/>
      <c r="E7405" s="3"/>
      <c r="F7405" s="3"/>
      <c r="G7405" s="3"/>
      <c r="H7405" s="11"/>
      <c r="I7405" s="12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  <c r="AA7405" s="3"/>
      <c r="AB7405" s="3"/>
      <c r="AC7405" s="3"/>
      <c r="AD7405" s="3"/>
      <c r="AE7405" s="3"/>
      <c r="AF7405" s="3"/>
      <c r="AG7405" s="3"/>
      <c r="AH7405" s="3"/>
    </row>
    <row r="7406" spans="1:34" ht="14.25" customHeight="1" x14ac:dyDescent="0.25">
      <c r="A7406" s="3"/>
      <c r="B7406" s="3"/>
      <c r="C7406" s="3"/>
      <c r="D7406" s="3"/>
      <c r="E7406" s="3"/>
      <c r="F7406" s="3"/>
      <c r="G7406" s="3"/>
      <c r="H7406" s="11"/>
      <c r="I7406" s="12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  <c r="AA7406" s="3"/>
      <c r="AB7406" s="3"/>
      <c r="AC7406" s="3"/>
      <c r="AD7406" s="3"/>
      <c r="AE7406" s="3"/>
      <c r="AF7406" s="3"/>
      <c r="AG7406" s="3"/>
      <c r="AH7406" s="3"/>
    </row>
    <row r="7407" spans="1:34" ht="14.25" customHeight="1" x14ac:dyDescent="0.25">
      <c r="A7407" s="3"/>
      <c r="B7407" s="3"/>
      <c r="C7407" s="3"/>
      <c r="D7407" s="3"/>
      <c r="E7407" s="3"/>
      <c r="F7407" s="3"/>
      <c r="G7407" s="3"/>
      <c r="H7407" s="11"/>
      <c r="I7407" s="12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  <c r="AA7407" s="3"/>
      <c r="AB7407" s="3"/>
      <c r="AC7407" s="3"/>
      <c r="AD7407" s="3"/>
      <c r="AE7407" s="3"/>
      <c r="AF7407" s="3"/>
      <c r="AG7407" s="3"/>
      <c r="AH7407" s="3"/>
    </row>
    <row r="7408" spans="1:34" ht="14.25" customHeight="1" x14ac:dyDescent="0.25">
      <c r="A7408" s="3"/>
      <c r="B7408" s="3"/>
      <c r="C7408" s="3"/>
      <c r="D7408" s="3"/>
      <c r="E7408" s="3"/>
      <c r="F7408" s="3"/>
      <c r="G7408" s="3"/>
      <c r="H7408" s="11"/>
      <c r="I7408" s="12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  <c r="AA7408" s="3"/>
      <c r="AB7408" s="3"/>
      <c r="AC7408" s="3"/>
      <c r="AD7408" s="3"/>
      <c r="AE7408" s="3"/>
      <c r="AF7408" s="3"/>
      <c r="AG7408" s="3"/>
      <c r="AH7408" s="3"/>
    </row>
    <row r="7409" spans="1:34" ht="14.25" customHeight="1" x14ac:dyDescent="0.25">
      <c r="A7409" s="3"/>
      <c r="B7409" s="3"/>
      <c r="C7409" s="3"/>
      <c r="D7409" s="3"/>
      <c r="E7409" s="3"/>
      <c r="F7409" s="3"/>
      <c r="G7409" s="3"/>
      <c r="H7409" s="11"/>
      <c r="I7409" s="12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  <c r="AA7409" s="3"/>
      <c r="AB7409" s="3"/>
      <c r="AC7409" s="3"/>
      <c r="AD7409" s="3"/>
      <c r="AE7409" s="3"/>
      <c r="AF7409" s="3"/>
      <c r="AG7409" s="3"/>
      <c r="AH7409" s="3"/>
    </row>
    <row r="7410" spans="1:34" ht="14.25" customHeight="1" x14ac:dyDescent="0.25">
      <c r="A7410" s="3"/>
      <c r="B7410" s="3"/>
      <c r="C7410" s="3"/>
      <c r="D7410" s="3"/>
      <c r="E7410" s="3"/>
      <c r="F7410" s="3"/>
      <c r="G7410" s="3"/>
      <c r="H7410" s="11"/>
      <c r="I7410" s="12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  <c r="AA7410" s="3"/>
      <c r="AB7410" s="3"/>
      <c r="AC7410" s="3"/>
      <c r="AD7410" s="3"/>
      <c r="AE7410" s="3"/>
      <c r="AF7410" s="3"/>
      <c r="AG7410" s="3"/>
      <c r="AH7410" s="3"/>
    </row>
    <row r="7411" spans="1:34" ht="14.25" customHeight="1" x14ac:dyDescent="0.25">
      <c r="A7411" s="3"/>
      <c r="B7411" s="3"/>
      <c r="C7411" s="3"/>
      <c r="D7411" s="3"/>
      <c r="E7411" s="3"/>
      <c r="F7411" s="3"/>
      <c r="G7411" s="3"/>
      <c r="H7411" s="11"/>
      <c r="I7411" s="12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  <c r="AA7411" s="3"/>
      <c r="AB7411" s="3"/>
      <c r="AC7411" s="3"/>
      <c r="AD7411" s="3"/>
      <c r="AE7411" s="3"/>
      <c r="AF7411" s="3"/>
      <c r="AG7411" s="3"/>
      <c r="AH7411" s="3"/>
    </row>
    <row r="7412" spans="1:34" ht="14.25" customHeight="1" x14ac:dyDescent="0.25">
      <c r="A7412" s="3"/>
      <c r="B7412" s="3"/>
      <c r="C7412" s="3"/>
      <c r="D7412" s="3"/>
      <c r="E7412" s="3"/>
      <c r="F7412" s="3"/>
      <c r="G7412" s="3"/>
      <c r="H7412" s="11"/>
      <c r="I7412" s="12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  <c r="AA7412" s="3"/>
      <c r="AB7412" s="3"/>
      <c r="AC7412" s="3"/>
      <c r="AD7412" s="3"/>
      <c r="AE7412" s="3"/>
      <c r="AF7412" s="3"/>
      <c r="AG7412" s="3"/>
      <c r="AH7412" s="3"/>
    </row>
    <row r="7413" spans="1:34" ht="14.25" customHeight="1" x14ac:dyDescent="0.25">
      <c r="A7413" s="3"/>
      <c r="B7413" s="3"/>
      <c r="C7413" s="3"/>
      <c r="D7413" s="3"/>
      <c r="E7413" s="3"/>
      <c r="F7413" s="3"/>
      <c r="G7413" s="3"/>
      <c r="H7413" s="11"/>
      <c r="I7413" s="12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  <c r="AA7413" s="3"/>
      <c r="AB7413" s="3"/>
      <c r="AC7413" s="3"/>
      <c r="AD7413" s="3"/>
      <c r="AE7413" s="3"/>
      <c r="AF7413" s="3"/>
      <c r="AG7413" s="3"/>
      <c r="AH7413" s="3"/>
    </row>
    <row r="7414" spans="1:34" ht="14.25" customHeight="1" x14ac:dyDescent="0.25">
      <c r="A7414" s="3"/>
      <c r="B7414" s="3"/>
      <c r="C7414" s="3"/>
      <c r="D7414" s="3"/>
      <c r="E7414" s="3"/>
      <c r="F7414" s="3"/>
      <c r="G7414" s="3"/>
      <c r="H7414" s="11"/>
      <c r="I7414" s="12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  <c r="AA7414" s="3"/>
      <c r="AB7414" s="3"/>
      <c r="AC7414" s="3"/>
      <c r="AD7414" s="3"/>
      <c r="AE7414" s="3"/>
      <c r="AF7414" s="3"/>
      <c r="AG7414" s="3"/>
      <c r="AH7414" s="3"/>
    </row>
    <row r="7415" spans="1:34" ht="14.25" customHeight="1" x14ac:dyDescent="0.25">
      <c r="A7415" s="3"/>
      <c r="B7415" s="3"/>
      <c r="C7415" s="3"/>
      <c r="D7415" s="3"/>
      <c r="E7415" s="3"/>
      <c r="F7415" s="3"/>
      <c r="G7415" s="3"/>
      <c r="H7415" s="11"/>
      <c r="I7415" s="12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  <c r="AA7415" s="3"/>
      <c r="AB7415" s="3"/>
      <c r="AC7415" s="3"/>
      <c r="AD7415" s="3"/>
      <c r="AE7415" s="3"/>
      <c r="AF7415" s="3"/>
      <c r="AG7415" s="3"/>
      <c r="AH7415" s="3"/>
    </row>
    <row r="7416" spans="1:34" ht="14.25" customHeight="1" x14ac:dyDescent="0.25">
      <c r="A7416" s="3"/>
      <c r="B7416" s="3"/>
      <c r="C7416" s="3"/>
      <c r="D7416" s="3"/>
      <c r="E7416" s="3"/>
      <c r="F7416" s="3"/>
      <c r="G7416" s="3"/>
      <c r="H7416" s="11"/>
      <c r="I7416" s="12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  <c r="AA7416" s="3"/>
      <c r="AB7416" s="3"/>
      <c r="AC7416" s="3"/>
      <c r="AD7416" s="3"/>
      <c r="AE7416" s="3"/>
      <c r="AF7416" s="3"/>
      <c r="AG7416" s="3"/>
      <c r="AH7416" s="3"/>
    </row>
    <row r="7417" spans="1:34" ht="14.25" customHeight="1" x14ac:dyDescent="0.25">
      <c r="A7417" s="3"/>
      <c r="B7417" s="3"/>
      <c r="C7417" s="3"/>
      <c r="D7417" s="3"/>
      <c r="E7417" s="3"/>
      <c r="F7417" s="3"/>
      <c r="G7417" s="3"/>
      <c r="H7417" s="11"/>
      <c r="I7417" s="12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  <c r="AA7417" s="3"/>
      <c r="AB7417" s="3"/>
      <c r="AC7417" s="3"/>
      <c r="AD7417" s="3"/>
      <c r="AE7417" s="3"/>
      <c r="AF7417" s="3"/>
      <c r="AG7417" s="3"/>
      <c r="AH7417" s="3"/>
    </row>
    <row r="7418" spans="1:34" ht="14.25" customHeight="1" x14ac:dyDescent="0.25">
      <c r="A7418" s="3"/>
      <c r="B7418" s="3"/>
      <c r="C7418" s="3"/>
      <c r="D7418" s="3"/>
      <c r="E7418" s="3"/>
      <c r="F7418" s="3"/>
      <c r="G7418" s="3"/>
      <c r="H7418" s="11"/>
      <c r="I7418" s="12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  <c r="AA7418" s="3"/>
      <c r="AB7418" s="3"/>
      <c r="AC7418" s="3"/>
      <c r="AD7418" s="3"/>
      <c r="AE7418" s="3"/>
      <c r="AF7418" s="3"/>
      <c r="AG7418" s="3"/>
      <c r="AH7418" s="3"/>
    </row>
    <row r="7419" spans="1:34" ht="14.25" customHeight="1" x14ac:dyDescent="0.25">
      <c r="A7419" s="3"/>
      <c r="B7419" s="3"/>
      <c r="C7419" s="3"/>
      <c r="D7419" s="3"/>
      <c r="E7419" s="3"/>
      <c r="F7419" s="3"/>
      <c r="G7419" s="3"/>
      <c r="H7419" s="11"/>
      <c r="I7419" s="12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  <c r="AA7419" s="3"/>
      <c r="AB7419" s="3"/>
      <c r="AC7419" s="3"/>
      <c r="AD7419" s="3"/>
      <c r="AE7419" s="3"/>
      <c r="AF7419" s="3"/>
      <c r="AG7419" s="3"/>
      <c r="AH7419" s="3"/>
    </row>
    <row r="7420" spans="1:34" ht="14.25" customHeight="1" x14ac:dyDescent="0.25">
      <c r="A7420" s="3"/>
      <c r="B7420" s="3"/>
      <c r="C7420" s="3"/>
      <c r="D7420" s="3"/>
      <c r="E7420" s="3"/>
      <c r="F7420" s="3"/>
      <c r="G7420" s="3"/>
      <c r="H7420" s="11"/>
      <c r="I7420" s="12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  <c r="AA7420" s="3"/>
      <c r="AB7420" s="3"/>
      <c r="AC7420" s="3"/>
      <c r="AD7420" s="3"/>
      <c r="AE7420" s="3"/>
      <c r="AF7420" s="3"/>
      <c r="AG7420" s="3"/>
      <c r="AH7420" s="3"/>
    </row>
    <row r="7421" spans="1:34" ht="14.25" customHeight="1" x14ac:dyDescent="0.25">
      <c r="A7421" s="3"/>
      <c r="B7421" s="3"/>
      <c r="C7421" s="3"/>
      <c r="D7421" s="3"/>
      <c r="E7421" s="3"/>
      <c r="F7421" s="3"/>
      <c r="G7421" s="3"/>
      <c r="H7421" s="11"/>
      <c r="I7421" s="12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  <c r="AA7421" s="3"/>
      <c r="AB7421" s="3"/>
      <c r="AC7421" s="3"/>
      <c r="AD7421" s="3"/>
      <c r="AE7421" s="3"/>
      <c r="AF7421" s="3"/>
      <c r="AG7421" s="3"/>
      <c r="AH7421" s="3"/>
    </row>
    <row r="7422" spans="1:34" ht="14.25" customHeight="1" x14ac:dyDescent="0.25">
      <c r="A7422" s="3"/>
      <c r="B7422" s="3"/>
      <c r="C7422" s="3"/>
      <c r="D7422" s="3"/>
      <c r="E7422" s="3"/>
      <c r="F7422" s="3"/>
      <c r="G7422" s="3"/>
      <c r="H7422" s="11"/>
      <c r="I7422" s="12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  <c r="AA7422" s="3"/>
      <c r="AB7422" s="3"/>
      <c r="AC7422" s="3"/>
      <c r="AD7422" s="3"/>
      <c r="AE7422" s="3"/>
      <c r="AF7422" s="3"/>
      <c r="AG7422" s="3"/>
      <c r="AH7422" s="3"/>
    </row>
    <row r="7423" spans="1:34" ht="14.25" customHeight="1" x14ac:dyDescent="0.25">
      <c r="A7423" s="3"/>
      <c r="B7423" s="3"/>
      <c r="C7423" s="3"/>
      <c r="D7423" s="3"/>
      <c r="E7423" s="3"/>
      <c r="F7423" s="3"/>
      <c r="G7423" s="3"/>
      <c r="H7423" s="11"/>
      <c r="I7423" s="12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  <c r="AA7423" s="3"/>
      <c r="AB7423" s="3"/>
      <c r="AC7423" s="3"/>
      <c r="AD7423" s="3"/>
      <c r="AE7423" s="3"/>
      <c r="AF7423" s="3"/>
      <c r="AG7423" s="3"/>
      <c r="AH7423" s="3"/>
    </row>
    <row r="7424" spans="1:34" ht="14.25" customHeight="1" x14ac:dyDescent="0.25">
      <c r="A7424" s="3"/>
      <c r="B7424" s="3"/>
      <c r="C7424" s="3"/>
      <c r="D7424" s="3"/>
      <c r="E7424" s="3"/>
      <c r="F7424" s="3"/>
      <c r="G7424" s="3"/>
      <c r="H7424" s="11"/>
      <c r="I7424" s="12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  <c r="AA7424" s="3"/>
      <c r="AB7424" s="3"/>
      <c r="AC7424" s="3"/>
      <c r="AD7424" s="3"/>
      <c r="AE7424" s="3"/>
      <c r="AF7424" s="3"/>
      <c r="AG7424" s="3"/>
      <c r="AH7424" s="3"/>
    </row>
    <row r="7425" spans="1:34" ht="14.25" customHeight="1" x14ac:dyDescent="0.25">
      <c r="A7425" s="3"/>
      <c r="B7425" s="3"/>
      <c r="C7425" s="3"/>
      <c r="D7425" s="3"/>
      <c r="E7425" s="3"/>
      <c r="F7425" s="3"/>
      <c r="G7425" s="3"/>
      <c r="H7425" s="11"/>
      <c r="I7425" s="12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  <c r="AA7425" s="3"/>
      <c r="AB7425" s="3"/>
      <c r="AC7425" s="3"/>
      <c r="AD7425" s="3"/>
      <c r="AE7425" s="3"/>
      <c r="AF7425" s="3"/>
      <c r="AG7425" s="3"/>
      <c r="AH7425" s="3"/>
    </row>
    <row r="7426" spans="1:34" ht="14.25" customHeight="1" x14ac:dyDescent="0.25">
      <c r="A7426" s="3"/>
      <c r="B7426" s="3"/>
      <c r="C7426" s="3"/>
      <c r="D7426" s="3"/>
      <c r="E7426" s="3"/>
      <c r="F7426" s="3"/>
      <c r="G7426" s="3"/>
      <c r="H7426" s="11"/>
      <c r="I7426" s="12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  <c r="AA7426" s="3"/>
      <c r="AB7426" s="3"/>
      <c r="AC7426" s="3"/>
      <c r="AD7426" s="3"/>
      <c r="AE7426" s="3"/>
      <c r="AF7426" s="3"/>
      <c r="AG7426" s="3"/>
      <c r="AH7426" s="3"/>
    </row>
    <row r="7427" spans="1:34" ht="14.25" customHeight="1" x14ac:dyDescent="0.25">
      <c r="A7427" s="3"/>
      <c r="B7427" s="3"/>
      <c r="C7427" s="3"/>
      <c r="D7427" s="3"/>
      <c r="E7427" s="3"/>
      <c r="F7427" s="3"/>
      <c r="G7427" s="3"/>
      <c r="H7427" s="11"/>
      <c r="I7427" s="12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  <c r="AA7427" s="3"/>
      <c r="AB7427" s="3"/>
      <c r="AC7427" s="3"/>
      <c r="AD7427" s="3"/>
      <c r="AE7427" s="3"/>
      <c r="AF7427" s="3"/>
      <c r="AG7427" s="3"/>
      <c r="AH7427" s="3"/>
    </row>
    <row r="7428" spans="1:34" ht="14.25" customHeight="1" x14ac:dyDescent="0.25">
      <c r="A7428" s="3"/>
      <c r="B7428" s="3"/>
      <c r="C7428" s="3"/>
      <c r="D7428" s="3"/>
      <c r="E7428" s="3"/>
      <c r="F7428" s="3"/>
      <c r="G7428" s="3"/>
      <c r="H7428" s="11"/>
      <c r="I7428" s="12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  <c r="AA7428" s="3"/>
      <c r="AB7428" s="3"/>
      <c r="AC7428" s="3"/>
      <c r="AD7428" s="3"/>
      <c r="AE7428" s="3"/>
      <c r="AF7428" s="3"/>
      <c r="AG7428" s="3"/>
      <c r="AH7428" s="3"/>
    </row>
    <row r="7429" spans="1:34" ht="14.25" customHeight="1" x14ac:dyDescent="0.25">
      <c r="A7429" s="3"/>
      <c r="B7429" s="3"/>
      <c r="C7429" s="3"/>
      <c r="D7429" s="3"/>
      <c r="E7429" s="3"/>
      <c r="F7429" s="3"/>
      <c r="G7429" s="3"/>
      <c r="H7429" s="11"/>
      <c r="I7429" s="12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  <c r="AA7429" s="3"/>
      <c r="AB7429" s="3"/>
      <c r="AC7429" s="3"/>
      <c r="AD7429" s="3"/>
      <c r="AE7429" s="3"/>
      <c r="AF7429" s="3"/>
      <c r="AG7429" s="3"/>
      <c r="AH7429" s="3"/>
    </row>
    <row r="7430" spans="1:34" ht="14.25" customHeight="1" x14ac:dyDescent="0.25">
      <c r="A7430" s="3"/>
      <c r="B7430" s="3"/>
      <c r="C7430" s="3"/>
      <c r="D7430" s="3"/>
      <c r="E7430" s="3"/>
      <c r="F7430" s="3"/>
      <c r="G7430" s="3"/>
      <c r="H7430" s="11"/>
      <c r="I7430" s="12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  <c r="AA7430" s="3"/>
      <c r="AB7430" s="3"/>
      <c r="AC7430" s="3"/>
      <c r="AD7430" s="3"/>
      <c r="AE7430" s="3"/>
      <c r="AF7430" s="3"/>
      <c r="AG7430" s="3"/>
      <c r="AH7430" s="3"/>
    </row>
    <row r="7431" spans="1:34" ht="14.25" customHeight="1" x14ac:dyDescent="0.25">
      <c r="A7431" s="3"/>
      <c r="B7431" s="3"/>
      <c r="C7431" s="3"/>
      <c r="D7431" s="3"/>
      <c r="E7431" s="3"/>
      <c r="F7431" s="3"/>
      <c r="G7431" s="3"/>
      <c r="H7431" s="11"/>
      <c r="I7431" s="12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  <c r="AA7431" s="3"/>
      <c r="AB7431" s="3"/>
      <c r="AC7431" s="3"/>
      <c r="AD7431" s="3"/>
      <c r="AE7431" s="3"/>
      <c r="AF7431" s="3"/>
      <c r="AG7431" s="3"/>
      <c r="AH7431" s="3"/>
    </row>
    <row r="7432" spans="1:34" ht="14.25" customHeight="1" x14ac:dyDescent="0.25">
      <c r="A7432" s="3"/>
      <c r="B7432" s="3"/>
      <c r="C7432" s="3"/>
      <c r="D7432" s="3"/>
      <c r="E7432" s="3"/>
      <c r="F7432" s="3"/>
      <c r="G7432" s="3"/>
      <c r="H7432" s="11"/>
      <c r="I7432" s="12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  <c r="AA7432" s="3"/>
      <c r="AB7432" s="3"/>
      <c r="AC7432" s="3"/>
      <c r="AD7432" s="3"/>
      <c r="AE7432" s="3"/>
      <c r="AF7432" s="3"/>
      <c r="AG7432" s="3"/>
      <c r="AH7432" s="3"/>
    </row>
    <row r="7433" spans="1:34" ht="14.25" customHeight="1" x14ac:dyDescent="0.25">
      <c r="A7433" s="3"/>
      <c r="B7433" s="3"/>
      <c r="C7433" s="3"/>
      <c r="D7433" s="3"/>
      <c r="E7433" s="3"/>
      <c r="F7433" s="3"/>
      <c r="G7433" s="3"/>
      <c r="H7433" s="11"/>
      <c r="I7433" s="12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  <c r="AA7433" s="3"/>
      <c r="AB7433" s="3"/>
      <c r="AC7433" s="3"/>
      <c r="AD7433" s="3"/>
      <c r="AE7433" s="3"/>
      <c r="AF7433" s="3"/>
      <c r="AG7433" s="3"/>
      <c r="AH7433" s="3"/>
    </row>
    <row r="7434" spans="1:34" ht="14.25" customHeight="1" x14ac:dyDescent="0.25">
      <c r="A7434" s="3"/>
      <c r="B7434" s="3"/>
      <c r="C7434" s="3"/>
      <c r="D7434" s="3"/>
      <c r="E7434" s="3"/>
      <c r="F7434" s="3"/>
      <c r="G7434" s="3"/>
      <c r="H7434" s="11"/>
      <c r="I7434" s="12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  <c r="AA7434" s="3"/>
      <c r="AB7434" s="3"/>
      <c r="AC7434" s="3"/>
      <c r="AD7434" s="3"/>
      <c r="AE7434" s="3"/>
      <c r="AF7434" s="3"/>
      <c r="AG7434" s="3"/>
      <c r="AH7434" s="3"/>
    </row>
    <row r="7435" spans="1:34" ht="14.25" customHeight="1" x14ac:dyDescent="0.25">
      <c r="A7435" s="3"/>
      <c r="B7435" s="3"/>
      <c r="C7435" s="3"/>
      <c r="D7435" s="3"/>
      <c r="E7435" s="3"/>
      <c r="F7435" s="3"/>
      <c r="G7435" s="3"/>
      <c r="H7435" s="11"/>
      <c r="I7435" s="12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  <c r="AA7435" s="3"/>
      <c r="AB7435" s="3"/>
      <c r="AC7435" s="3"/>
      <c r="AD7435" s="3"/>
      <c r="AE7435" s="3"/>
      <c r="AF7435" s="3"/>
      <c r="AG7435" s="3"/>
      <c r="AH7435" s="3"/>
    </row>
    <row r="7436" spans="1:34" ht="14.25" customHeight="1" x14ac:dyDescent="0.25">
      <c r="A7436" s="3"/>
      <c r="B7436" s="3"/>
      <c r="C7436" s="3"/>
      <c r="D7436" s="3"/>
      <c r="E7436" s="3"/>
      <c r="F7436" s="3"/>
      <c r="G7436" s="3"/>
      <c r="H7436" s="11"/>
      <c r="I7436" s="12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  <c r="AA7436" s="3"/>
      <c r="AB7436" s="3"/>
      <c r="AC7436" s="3"/>
      <c r="AD7436" s="3"/>
      <c r="AE7436" s="3"/>
      <c r="AF7436" s="3"/>
      <c r="AG7436" s="3"/>
      <c r="AH7436" s="3"/>
    </row>
    <row r="7437" spans="1:34" ht="14.25" customHeight="1" x14ac:dyDescent="0.25">
      <c r="A7437" s="3"/>
      <c r="B7437" s="3"/>
      <c r="C7437" s="3"/>
      <c r="D7437" s="3"/>
      <c r="E7437" s="3"/>
      <c r="F7437" s="3"/>
      <c r="G7437" s="3"/>
      <c r="H7437" s="11"/>
      <c r="I7437" s="12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  <c r="AA7437" s="3"/>
      <c r="AB7437" s="3"/>
      <c r="AC7437" s="3"/>
      <c r="AD7437" s="3"/>
      <c r="AE7437" s="3"/>
      <c r="AF7437" s="3"/>
      <c r="AG7437" s="3"/>
      <c r="AH7437" s="3"/>
    </row>
    <row r="7438" spans="1:34" ht="14.25" customHeight="1" x14ac:dyDescent="0.25">
      <c r="A7438" s="3"/>
      <c r="B7438" s="3"/>
      <c r="C7438" s="3"/>
      <c r="D7438" s="3"/>
      <c r="E7438" s="3"/>
      <c r="F7438" s="3"/>
      <c r="G7438" s="3"/>
      <c r="H7438" s="11"/>
      <c r="I7438" s="12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  <c r="AA7438" s="3"/>
      <c r="AB7438" s="3"/>
      <c r="AC7438" s="3"/>
      <c r="AD7438" s="3"/>
      <c r="AE7438" s="3"/>
      <c r="AF7438" s="3"/>
      <c r="AG7438" s="3"/>
      <c r="AH7438" s="3"/>
    </row>
    <row r="7439" spans="1:34" ht="14.25" customHeight="1" x14ac:dyDescent="0.25">
      <c r="A7439" s="3"/>
      <c r="B7439" s="3"/>
      <c r="C7439" s="3"/>
      <c r="D7439" s="3"/>
      <c r="E7439" s="3"/>
      <c r="F7439" s="3"/>
      <c r="G7439" s="3"/>
      <c r="H7439" s="11"/>
      <c r="I7439" s="12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  <c r="AA7439" s="3"/>
      <c r="AB7439" s="3"/>
      <c r="AC7439" s="3"/>
      <c r="AD7439" s="3"/>
      <c r="AE7439" s="3"/>
      <c r="AF7439" s="3"/>
      <c r="AG7439" s="3"/>
      <c r="AH7439" s="3"/>
    </row>
    <row r="7440" spans="1:34" ht="14.25" customHeight="1" x14ac:dyDescent="0.25">
      <c r="A7440" s="3"/>
      <c r="B7440" s="3"/>
      <c r="C7440" s="3"/>
      <c r="D7440" s="3"/>
      <c r="E7440" s="3"/>
      <c r="F7440" s="3"/>
      <c r="G7440" s="3"/>
      <c r="H7440" s="11"/>
      <c r="I7440" s="12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  <c r="AA7440" s="3"/>
      <c r="AB7440" s="3"/>
      <c r="AC7440" s="3"/>
      <c r="AD7440" s="3"/>
      <c r="AE7440" s="3"/>
      <c r="AF7440" s="3"/>
      <c r="AG7440" s="3"/>
      <c r="AH7440" s="3"/>
    </row>
    <row r="7441" spans="1:34" ht="14.25" customHeight="1" x14ac:dyDescent="0.25">
      <c r="A7441" s="3"/>
      <c r="B7441" s="3"/>
      <c r="C7441" s="3"/>
      <c r="D7441" s="3"/>
      <c r="E7441" s="3"/>
      <c r="F7441" s="3"/>
      <c r="G7441" s="3"/>
      <c r="H7441" s="11"/>
      <c r="I7441" s="12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  <c r="AA7441" s="3"/>
      <c r="AB7441" s="3"/>
      <c r="AC7441" s="3"/>
      <c r="AD7441" s="3"/>
      <c r="AE7441" s="3"/>
      <c r="AF7441" s="3"/>
      <c r="AG7441" s="3"/>
      <c r="AH7441" s="3"/>
    </row>
    <row r="7442" spans="1:34" ht="14.25" customHeight="1" x14ac:dyDescent="0.25">
      <c r="A7442" s="3"/>
      <c r="B7442" s="3"/>
      <c r="C7442" s="3"/>
      <c r="D7442" s="3"/>
      <c r="E7442" s="3"/>
      <c r="F7442" s="3"/>
      <c r="G7442" s="3"/>
      <c r="H7442" s="11"/>
      <c r="I7442" s="12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  <c r="AA7442" s="3"/>
      <c r="AB7442" s="3"/>
      <c r="AC7442" s="3"/>
      <c r="AD7442" s="3"/>
      <c r="AE7442" s="3"/>
      <c r="AF7442" s="3"/>
      <c r="AG7442" s="3"/>
      <c r="AH7442" s="3"/>
    </row>
    <row r="7443" spans="1:34" ht="14.25" customHeight="1" x14ac:dyDescent="0.25">
      <c r="A7443" s="3"/>
      <c r="B7443" s="3"/>
      <c r="C7443" s="3"/>
      <c r="D7443" s="3"/>
      <c r="E7443" s="3"/>
      <c r="F7443" s="3"/>
      <c r="G7443" s="3"/>
      <c r="H7443" s="11"/>
      <c r="I7443" s="12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  <c r="AA7443" s="3"/>
      <c r="AB7443" s="3"/>
      <c r="AC7443" s="3"/>
      <c r="AD7443" s="3"/>
      <c r="AE7443" s="3"/>
      <c r="AF7443" s="3"/>
      <c r="AG7443" s="3"/>
      <c r="AH7443" s="3"/>
    </row>
    <row r="7444" spans="1:34" ht="14.25" customHeight="1" x14ac:dyDescent="0.25">
      <c r="A7444" s="3"/>
      <c r="B7444" s="3"/>
      <c r="C7444" s="3"/>
      <c r="D7444" s="3"/>
      <c r="E7444" s="3"/>
      <c r="F7444" s="3"/>
      <c r="G7444" s="3"/>
      <c r="H7444" s="11"/>
      <c r="I7444" s="12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  <c r="AA7444" s="3"/>
      <c r="AB7444" s="3"/>
      <c r="AC7444" s="3"/>
      <c r="AD7444" s="3"/>
      <c r="AE7444" s="3"/>
      <c r="AF7444" s="3"/>
      <c r="AG7444" s="3"/>
      <c r="AH7444" s="3"/>
    </row>
    <row r="7445" spans="1:34" ht="14.25" customHeight="1" x14ac:dyDescent="0.25">
      <c r="A7445" s="3"/>
      <c r="B7445" s="3"/>
      <c r="C7445" s="3"/>
      <c r="D7445" s="3"/>
      <c r="E7445" s="3"/>
      <c r="F7445" s="3"/>
      <c r="G7445" s="3"/>
      <c r="H7445" s="11"/>
      <c r="I7445" s="12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  <c r="AA7445" s="3"/>
      <c r="AB7445" s="3"/>
      <c r="AC7445" s="3"/>
      <c r="AD7445" s="3"/>
      <c r="AE7445" s="3"/>
      <c r="AF7445" s="3"/>
      <c r="AG7445" s="3"/>
      <c r="AH7445" s="3"/>
    </row>
    <row r="7446" spans="1:34" ht="14.25" customHeight="1" x14ac:dyDescent="0.25">
      <c r="A7446" s="3"/>
      <c r="B7446" s="3"/>
      <c r="C7446" s="3"/>
      <c r="D7446" s="3"/>
      <c r="E7446" s="3"/>
      <c r="F7446" s="3"/>
      <c r="G7446" s="3"/>
      <c r="H7446" s="11"/>
      <c r="I7446" s="12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  <c r="AA7446" s="3"/>
      <c r="AB7446" s="3"/>
      <c r="AC7446" s="3"/>
      <c r="AD7446" s="3"/>
      <c r="AE7446" s="3"/>
      <c r="AF7446" s="3"/>
      <c r="AG7446" s="3"/>
      <c r="AH7446" s="3"/>
    </row>
    <row r="7447" spans="1:34" ht="14.25" customHeight="1" x14ac:dyDescent="0.25">
      <c r="A7447" s="3"/>
      <c r="B7447" s="3"/>
      <c r="C7447" s="3"/>
      <c r="D7447" s="3"/>
      <c r="E7447" s="3"/>
      <c r="F7447" s="3"/>
      <c r="G7447" s="3"/>
      <c r="H7447" s="11"/>
      <c r="I7447" s="12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  <c r="AA7447" s="3"/>
      <c r="AB7447" s="3"/>
      <c r="AC7447" s="3"/>
      <c r="AD7447" s="3"/>
      <c r="AE7447" s="3"/>
      <c r="AF7447" s="3"/>
      <c r="AG7447" s="3"/>
      <c r="AH7447" s="3"/>
    </row>
    <row r="7448" spans="1:34" ht="14.25" customHeight="1" x14ac:dyDescent="0.25">
      <c r="A7448" s="3"/>
      <c r="B7448" s="3"/>
      <c r="C7448" s="3"/>
      <c r="D7448" s="3"/>
      <c r="E7448" s="3"/>
      <c r="F7448" s="3"/>
      <c r="G7448" s="3"/>
      <c r="H7448" s="11"/>
      <c r="I7448" s="12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  <c r="AA7448" s="3"/>
      <c r="AB7448" s="3"/>
      <c r="AC7448" s="3"/>
      <c r="AD7448" s="3"/>
      <c r="AE7448" s="3"/>
      <c r="AF7448" s="3"/>
      <c r="AG7448" s="3"/>
      <c r="AH7448" s="3"/>
    </row>
    <row r="7449" spans="1:34" ht="14.25" customHeight="1" x14ac:dyDescent="0.25">
      <c r="A7449" s="3"/>
      <c r="B7449" s="3"/>
      <c r="C7449" s="3"/>
      <c r="D7449" s="3"/>
      <c r="E7449" s="3"/>
      <c r="F7449" s="3"/>
      <c r="G7449" s="3"/>
      <c r="H7449" s="11"/>
      <c r="I7449" s="12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  <c r="AA7449" s="3"/>
      <c r="AB7449" s="3"/>
      <c r="AC7449" s="3"/>
      <c r="AD7449" s="3"/>
      <c r="AE7449" s="3"/>
      <c r="AF7449" s="3"/>
      <c r="AG7449" s="3"/>
      <c r="AH7449" s="3"/>
    </row>
    <row r="7450" spans="1:34" ht="14.25" customHeight="1" x14ac:dyDescent="0.25">
      <c r="A7450" s="3"/>
      <c r="B7450" s="3"/>
      <c r="C7450" s="3"/>
      <c r="D7450" s="3"/>
      <c r="E7450" s="3"/>
      <c r="F7450" s="3"/>
      <c r="G7450" s="3"/>
      <c r="H7450" s="11"/>
      <c r="I7450" s="12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  <c r="AA7450" s="3"/>
      <c r="AB7450" s="3"/>
      <c r="AC7450" s="3"/>
      <c r="AD7450" s="3"/>
      <c r="AE7450" s="3"/>
      <c r="AF7450" s="3"/>
      <c r="AG7450" s="3"/>
      <c r="AH7450" s="3"/>
    </row>
    <row r="7451" spans="1:34" ht="14.25" customHeight="1" x14ac:dyDescent="0.25">
      <c r="A7451" s="3"/>
      <c r="B7451" s="3"/>
      <c r="C7451" s="3"/>
      <c r="D7451" s="3"/>
      <c r="E7451" s="3"/>
      <c r="F7451" s="3"/>
      <c r="G7451" s="3"/>
      <c r="H7451" s="11"/>
      <c r="I7451" s="12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  <c r="AA7451" s="3"/>
      <c r="AB7451" s="3"/>
      <c r="AC7451" s="3"/>
      <c r="AD7451" s="3"/>
      <c r="AE7451" s="3"/>
      <c r="AF7451" s="3"/>
      <c r="AG7451" s="3"/>
      <c r="AH7451" s="3"/>
    </row>
    <row r="7452" spans="1:34" ht="14.25" customHeight="1" x14ac:dyDescent="0.25">
      <c r="A7452" s="3"/>
      <c r="B7452" s="3"/>
      <c r="C7452" s="3"/>
      <c r="D7452" s="3"/>
      <c r="E7452" s="3"/>
      <c r="F7452" s="3"/>
      <c r="G7452" s="3"/>
      <c r="H7452" s="11"/>
      <c r="I7452" s="12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  <c r="AA7452" s="3"/>
      <c r="AB7452" s="3"/>
      <c r="AC7452" s="3"/>
      <c r="AD7452" s="3"/>
      <c r="AE7452" s="3"/>
      <c r="AF7452" s="3"/>
      <c r="AG7452" s="3"/>
      <c r="AH7452" s="3"/>
    </row>
    <row r="7453" spans="1:34" ht="14.25" customHeight="1" x14ac:dyDescent="0.25">
      <c r="A7453" s="3"/>
      <c r="B7453" s="3"/>
      <c r="C7453" s="3"/>
      <c r="D7453" s="3"/>
      <c r="E7453" s="3"/>
      <c r="F7453" s="3"/>
      <c r="G7453" s="3"/>
      <c r="H7453" s="11"/>
      <c r="I7453" s="12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  <c r="AA7453" s="3"/>
      <c r="AB7453" s="3"/>
      <c r="AC7453" s="3"/>
      <c r="AD7453" s="3"/>
      <c r="AE7453" s="3"/>
      <c r="AF7453" s="3"/>
      <c r="AG7453" s="3"/>
      <c r="AH7453" s="3"/>
    </row>
    <row r="7454" spans="1:34" ht="14.25" customHeight="1" x14ac:dyDescent="0.25">
      <c r="A7454" s="3"/>
      <c r="B7454" s="3"/>
      <c r="C7454" s="3"/>
      <c r="D7454" s="3"/>
      <c r="E7454" s="3"/>
      <c r="F7454" s="3"/>
      <c r="G7454" s="3"/>
      <c r="H7454" s="11"/>
      <c r="I7454" s="12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  <c r="AA7454" s="3"/>
      <c r="AB7454" s="3"/>
      <c r="AC7454" s="3"/>
      <c r="AD7454" s="3"/>
      <c r="AE7454" s="3"/>
      <c r="AF7454" s="3"/>
      <c r="AG7454" s="3"/>
      <c r="AH7454" s="3"/>
    </row>
    <row r="7455" spans="1:34" ht="14.25" customHeight="1" x14ac:dyDescent="0.25">
      <c r="A7455" s="3"/>
      <c r="B7455" s="3"/>
      <c r="C7455" s="3"/>
      <c r="D7455" s="3"/>
      <c r="E7455" s="3"/>
      <c r="F7455" s="3"/>
      <c r="G7455" s="3"/>
      <c r="H7455" s="11"/>
      <c r="I7455" s="12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  <c r="AA7455" s="3"/>
      <c r="AB7455" s="3"/>
      <c r="AC7455" s="3"/>
      <c r="AD7455" s="3"/>
      <c r="AE7455" s="3"/>
      <c r="AF7455" s="3"/>
      <c r="AG7455" s="3"/>
      <c r="AH7455" s="3"/>
    </row>
    <row r="7456" spans="1:34" ht="14.25" customHeight="1" x14ac:dyDescent="0.25">
      <c r="A7456" s="3"/>
      <c r="B7456" s="3"/>
      <c r="C7456" s="3"/>
      <c r="D7456" s="3"/>
      <c r="E7456" s="3"/>
      <c r="F7456" s="3"/>
      <c r="G7456" s="3"/>
      <c r="H7456" s="11"/>
      <c r="I7456" s="12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  <c r="AA7456" s="3"/>
      <c r="AB7456" s="3"/>
      <c r="AC7456" s="3"/>
      <c r="AD7456" s="3"/>
      <c r="AE7456" s="3"/>
      <c r="AF7456" s="3"/>
      <c r="AG7456" s="3"/>
      <c r="AH7456" s="3"/>
    </row>
    <row r="7457" spans="1:34" ht="14.25" customHeight="1" x14ac:dyDescent="0.25">
      <c r="A7457" s="3"/>
      <c r="B7457" s="3"/>
      <c r="C7457" s="3"/>
      <c r="D7457" s="3"/>
      <c r="E7457" s="3"/>
      <c r="F7457" s="3"/>
      <c r="G7457" s="3"/>
      <c r="H7457" s="11"/>
      <c r="I7457" s="12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  <c r="AA7457" s="3"/>
      <c r="AB7457" s="3"/>
      <c r="AC7457" s="3"/>
      <c r="AD7457" s="3"/>
      <c r="AE7457" s="3"/>
      <c r="AF7457" s="3"/>
      <c r="AG7457" s="3"/>
      <c r="AH7457" s="3"/>
    </row>
    <row r="7458" spans="1:34" ht="14.25" customHeight="1" x14ac:dyDescent="0.25">
      <c r="A7458" s="3"/>
      <c r="B7458" s="3"/>
      <c r="C7458" s="3"/>
      <c r="D7458" s="3"/>
      <c r="E7458" s="3"/>
      <c r="F7458" s="3"/>
      <c r="G7458" s="3"/>
      <c r="H7458" s="11"/>
      <c r="I7458" s="12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  <c r="AA7458" s="3"/>
      <c r="AB7458" s="3"/>
      <c r="AC7458" s="3"/>
      <c r="AD7458" s="3"/>
      <c r="AE7458" s="3"/>
      <c r="AF7458" s="3"/>
      <c r="AG7458" s="3"/>
      <c r="AH7458" s="3"/>
    </row>
    <row r="7459" spans="1:34" ht="14.25" customHeight="1" x14ac:dyDescent="0.25">
      <c r="A7459" s="3"/>
      <c r="B7459" s="3"/>
      <c r="C7459" s="3"/>
      <c r="D7459" s="3"/>
      <c r="E7459" s="3"/>
      <c r="F7459" s="3"/>
      <c r="G7459" s="3"/>
      <c r="H7459" s="11"/>
      <c r="I7459" s="12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  <c r="AA7459" s="3"/>
      <c r="AB7459" s="3"/>
      <c r="AC7459" s="3"/>
      <c r="AD7459" s="3"/>
      <c r="AE7459" s="3"/>
      <c r="AF7459" s="3"/>
      <c r="AG7459" s="3"/>
      <c r="AH7459" s="3"/>
    </row>
    <row r="7460" spans="1:34" ht="14.25" customHeight="1" x14ac:dyDescent="0.25">
      <c r="A7460" s="3"/>
      <c r="B7460" s="3"/>
      <c r="C7460" s="3"/>
      <c r="D7460" s="3"/>
      <c r="E7460" s="3"/>
      <c r="F7460" s="3"/>
      <c r="G7460" s="3"/>
      <c r="H7460" s="11"/>
      <c r="I7460" s="12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  <c r="AA7460" s="3"/>
      <c r="AB7460" s="3"/>
      <c r="AC7460" s="3"/>
      <c r="AD7460" s="3"/>
      <c r="AE7460" s="3"/>
      <c r="AF7460" s="3"/>
      <c r="AG7460" s="3"/>
      <c r="AH7460" s="3"/>
    </row>
    <row r="7461" spans="1:34" ht="14.25" customHeight="1" x14ac:dyDescent="0.25">
      <c r="A7461" s="3"/>
      <c r="B7461" s="3"/>
      <c r="C7461" s="3"/>
      <c r="D7461" s="3"/>
      <c r="E7461" s="3"/>
      <c r="F7461" s="3"/>
      <c r="G7461" s="3"/>
      <c r="H7461" s="11"/>
      <c r="I7461" s="12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  <c r="AA7461" s="3"/>
      <c r="AB7461" s="3"/>
      <c r="AC7461" s="3"/>
      <c r="AD7461" s="3"/>
      <c r="AE7461" s="3"/>
      <c r="AF7461" s="3"/>
      <c r="AG7461" s="3"/>
      <c r="AH7461" s="3"/>
    </row>
    <row r="7462" spans="1:34" ht="14.25" customHeight="1" x14ac:dyDescent="0.25">
      <c r="A7462" s="3"/>
      <c r="B7462" s="3"/>
      <c r="C7462" s="3"/>
      <c r="D7462" s="3"/>
      <c r="E7462" s="3"/>
      <c r="F7462" s="3"/>
      <c r="G7462" s="3"/>
      <c r="H7462" s="11"/>
      <c r="I7462" s="12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  <c r="AA7462" s="3"/>
      <c r="AB7462" s="3"/>
      <c r="AC7462" s="3"/>
      <c r="AD7462" s="3"/>
      <c r="AE7462" s="3"/>
      <c r="AF7462" s="3"/>
      <c r="AG7462" s="3"/>
      <c r="AH7462" s="3"/>
    </row>
    <row r="7463" spans="1:34" ht="14.25" customHeight="1" x14ac:dyDescent="0.25">
      <c r="A7463" s="3"/>
      <c r="B7463" s="3"/>
      <c r="C7463" s="3"/>
      <c r="D7463" s="3"/>
      <c r="E7463" s="3"/>
      <c r="F7463" s="3"/>
      <c r="G7463" s="3"/>
      <c r="H7463" s="11"/>
      <c r="I7463" s="12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  <c r="AA7463" s="3"/>
      <c r="AB7463" s="3"/>
      <c r="AC7463" s="3"/>
      <c r="AD7463" s="3"/>
      <c r="AE7463" s="3"/>
      <c r="AF7463" s="3"/>
      <c r="AG7463" s="3"/>
      <c r="AH7463" s="3"/>
    </row>
    <row r="7464" spans="1:34" ht="14.25" customHeight="1" x14ac:dyDescent="0.25">
      <c r="A7464" s="3"/>
      <c r="B7464" s="3"/>
      <c r="C7464" s="3"/>
      <c r="D7464" s="3"/>
      <c r="E7464" s="3"/>
      <c r="F7464" s="3"/>
      <c r="G7464" s="3"/>
      <c r="H7464" s="11"/>
      <c r="I7464" s="12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  <c r="AA7464" s="3"/>
      <c r="AB7464" s="3"/>
      <c r="AC7464" s="3"/>
      <c r="AD7464" s="3"/>
      <c r="AE7464" s="3"/>
      <c r="AF7464" s="3"/>
      <c r="AG7464" s="3"/>
      <c r="AH7464" s="3"/>
    </row>
    <row r="7465" spans="1:34" ht="14.25" customHeight="1" x14ac:dyDescent="0.25">
      <c r="A7465" s="3"/>
      <c r="B7465" s="3"/>
      <c r="C7465" s="3"/>
      <c r="D7465" s="3"/>
      <c r="E7465" s="3"/>
      <c r="F7465" s="3"/>
      <c r="G7465" s="3"/>
      <c r="H7465" s="11"/>
      <c r="I7465" s="12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  <c r="AA7465" s="3"/>
      <c r="AB7465" s="3"/>
      <c r="AC7465" s="3"/>
      <c r="AD7465" s="3"/>
      <c r="AE7465" s="3"/>
      <c r="AF7465" s="3"/>
      <c r="AG7465" s="3"/>
      <c r="AH7465" s="3"/>
    </row>
    <row r="7466" spans="1:34" ht="14.25" customHeight="1" x14ac:dyDescent="0.25">
      <c r="A7466" s="3"/>
      <c r="B7466" s="3"/>
      <c r="C7466" s="3"/>
      <c r="D7466" s="3"/>
      <c r="E7466" s="3"/>
      <c r="F7466" s="3"/>
      <c r="G7466" s="3"/>
      <c r="H7466" s="11"/>
      <c r="I7466" s="12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  <c r="AA7466" s="3"/>
      <c r="AB7466" s="3"/>
      <c r="AC7466" s="3"/>
      <c r="AD7466" s="3"/>
      <c r="AE7466" s="3"/>
      <c r="AF7466" s="3"/>
      <c r="AG7466" s="3"/>
      <c r="AH7466" s="3"/>
    </row>
    <row r="7467" spans="1:34" ht="14.25" customHeight="1" x14ac:dyDescent="0.25">
      <c r="A7467" s="3"/>
      <c r="B7467" s="3"/>
      <c r="C7467" s="3"/>
      <c r="D7467" s="3"/>
      <c r="E7467" s="3"/>
      <c r="F7467" s="3"/>
      <c r="G7467" s="3"/>
      <c r="H7467" s="11"/>
      <c r="I7467" s="12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  <c r="AA7467" s="3"/>
      <c r="AB7467" s="3"/>
      <c r="AC7467" s="3"/>
      <c r="AD7467" s="3"/>
      <c r="AE7467" s="3"/>
      <c r="AF7467" s="3"/>
      <c r="AG7467" s="3"/>
      <c r="AH7467" s="3"/>
    </row>
    <row r="7468" spans="1:34" ht="14.25" customHeight="1" x14ac:dyDescent="0.25">
      <c r="A7468" s="3"/>
      <c r="B7468" s="3"/>
      <c r="C7468" s="3"/>
      <c r="D7468" s="3"/>
      <c r="E7468" s="3"/>
      <c r="F7468" s="3"/>
      <c r="G7468" s="3"/>
      <c r="H7468" s="11"/>
      <c r="I7468" s="12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  <c r="AA7468" s="3"/>
      <c r="AB7468" s="3"/>
      <c r="AC7468" s="3"/>
      <c r="AD7468" s="3"/>
      <c r="AE7468" s="3"/>
      <c r="AF7468" s="3"/>
      <c r="AG7468" s="3"/>
      <c r="AH7468" s="3"/>
    </row>
    <row r="7469" spans="1:34" ht="14.25" customHeight="1" x14ac:dyDescent="0.25">
      <c r="A7469" s="3"/>
      <c r="B7469" s="3"/>
      <c r="C7469" s="3"/>
      <c r="D7469" s="3"/>
      <c r="E7469" s="3"/>
      <c r="F7469" s="3"/>
      <c r="G7469" s="3"/>
      <c r="H7469" s="11"/>
      <c r="I7469" s="12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  <c r="AA7469" s="3"/>
      <c r="AB7469" s="3"/>
      <c r="AC7469" s="3"/>
      <c r="AD7469" s="3"/>
      <c r="AE7469" s="3"/>
      <c r="AF7469" s="3"/>
      <c r="AG7469" s="3"/>
      <c r="AH7469" s="3"/>
    </row>
    <row r="7470" spans="1:34" ht="14.25" customHeight="1" x14ac:dyDescent="0.25">
      <c r="A7470" s="3"/>
      <c r="B7470" s="3"/>
      <c r="C7470" s="3"/>
      <c r="D7470" s="3"/>
      <c r="E7470" s="3"/>
      <c r="F7470" s="3"/>
      <c r="G7470" s="3"/>
      <c r="H7470" s="11"/>
      <c r="I7470" s="12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  <c r="AA7470" s="3"/>
      <c r="AB7470" s="3"/>
      <c r="AC7470" s="3"/>
      <c r="AD7470" s="3"/>
      <c r="AE7470" s="3"/>
      <c r="AF7470" s="3"/>
      <c r="AG7470" s="3"/>
      <c r="AH7470" s="3"/>
    </row>
    <row r="7471" spans="1:34" ht="14.25" customHeight="1" x14ac:dyDescent="0.25">
      <c r="A7471" s="3"/>
      <c r="B7471" s="3"/>
      <c r="C7471" s="3"/>
      <c r="D7471" s="3"/>
      <c r="E7471" s="3"/>
      <c r="F7471" s="3"/>
      <c r="G7471" s="3"/>
      <c r="H7471" s="11"/>
      <c r="I7471" s="12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  <c r="AA7471" s="3"/>
      <c r="AB7471" s="3"/>
      <c r="AC7471" s="3"/>
      <c r="AD7471" s="3"/>
      <c r="AE7471" s="3"/>
      <c r="AF7471" s="3"/>
      <c r="AG7471" s="3"/>
      <c r="AH7471" s="3"/>
    </row>
    <row r="7472" spans="1:34" ht="14.25" customHeight="1" x14ac:dyDescent="0.25">
      <c r="A7472" s="3"/>
      <c r="B7472" s="3"/>
      <c r="C7472" s="3"/>
      <c r="D7472" s="3"/>
      <c r="E7472" s="3"/>
      <c r="F7472" s="3"/>
      <c r="G7472" s="3"/>
      <c r="H7472" s="11"/>
      <c r="I7472" s="12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  <c r="AA7472" s="3"/>
      <c r="AB7472" s="3"/>
      <c r="AC7472" s="3"/>
      <c r="AD7472" s="3"/>
      <c r="AE7472" s="3"/>
      <c r="AF7472" s="3"/>
      <c r="AG7472" s="3"/>
      <c r="AH7472" s="3"/>
    </row>
    <row r="7473" spans="1:34" ht="14.25" customHeight="1" x14ac:dyDescent="0.25">
      <c r="A7473" s="3"/>
      <c r="B7473" s="3"/>
      <c r="C7473" s="3"/>
      <c r="D7473" s="3"/>
      <c r="E7473" s="3"/>
      <c r="F7473" s="3"/>
      <c r="G7473" s="3"/>
      <c r="H7473" s="11"/>
      <c r="I7473" s="12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  <c r="AA7473" s="3"/>
      <c r="AB7473" s="3"/>
      <c r="AC7473" s="3"/>
      <c r="AD7473" s="3"/>
      <c r="AE7473" s="3"/>
      <c r="AF7473" s="3"/>
      <c r="AG7473" s="3"/>
      <c r="AH7473" s="3"/>
    </row>
    <row r="7474" spans="1:34" ht="14.25" customHeight="1" x14ac:dyDescent="0.25">
      <c r="A7474" s="3"/>
      <c r="B7474" s="3"/>
      <c r="C7474" s="3"/>
      <c r="D7474" s="3"/>
      <c r="E7474" s="3"/>
      <c r="F7474" s="3"/>
      <c r="G7474" s="3"/>
      <c r="H7474" s="11"/>
      <c r="I7474" s="12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  <c r="AA7474" s="3"/>
      <c r="AB7474" s="3"/>
      <c r="AC7474" s="3"/>
      <c r="AD7474" s="3"/>
      <c r="AE7474" s="3"/>
      <c r="AF7474" s="3"/>
      <c r="AG7474" s="3"/>
      <c r="AH7474" s="3"/>
    </row>
    <row r="7475" spans="1:34" ht="14.25" customHeight="1" x14ac:dyDescent="0.25">
      <c r="A7475" s="3"/>
      <c r="B7475" s="3"/>
      <c r="C7475" s="3"/>
      <c r="D7475" s="3"/>
      <c r="E7475" s="3"/>
      <c r="F7475" s="3"/>
      <c r="G7475" s="3"/>
      <c r="H7475" s="11"/>
      <c r="I7475" s="12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  <c r="AA7475" s="3"/>
      <c r="AB7475" s="3"/>
      <c r="AC7475" s="3"/>
      <c r="AD7475" s="3"/>
      <c r="AE7475" s="3"/>
      <c r="AF7475" s="3"/>
      <c r="AG7475" s="3"/>
      <c r="AH7475" s="3"/>
    </row>
    <row r="7476" spans="1:34" ht="14.25" customHeight="1" x14ac:dyDescent="0.25">
      <c r="A7476" s="3"/>
      <c r="B7476" s="3"/>
      <c r="C7476" s="3"/>
      <c r="D7476" s="3"/>
      <c r="E7476" s="3"/>
      <c r="F7476" s="3"/>
      <c r="G7476" s="3"/>
      <c r="H7476" s="11"/>
      <c r="I7476" s="12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  <c r="AA7476" s="3"/>
      <c r="AB7476" s="3"/>
      <c r="AC7476" s="3"/>
      <c r="AD7476" s="3"/>
      <c r="AE7476" s="3"/>
      <c r="AF7476" s="3"/>
      <c r="AG7476" s="3"/>
      <c r="AH7476" s="3"/>
    </row>
    <row r="7477" spans="1:34" ht="14.25" customHeight="1" x14ac:dyDescent="0.25">
      <c r="A7477" s="3"/>
      <c r="B7477" s="3"/>
      <c r="C7477" s="3"/>
      <c r="D7477" s="3"/>
      <c r="E7477" s="3"/>
      <c r="F7477" s="3"/>
      <c r="G7477" s="3"/>
      <c r="H7477" s="11"/>
      <c r="I7477" s="12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  <c r="AA7477" s="3"/>
      <c r="AB7477" s="3"/>
      <c r="AC7477" s="3"/>
      <c r="AD7477" s="3"/>
      <c r="AE7477" s="3"/>
      <c r="AF7477" s="3"/>
      <c r="AG7477" s="3"/>
      <c r="AH7477" s="3"/>
    </row>
    <row r="7478" spans="1:34" ht="14.25" customHeight="1" x14ac:dyDescent="0.25">
      <c r="A7478" s="3"/>
      <c r="B7478" s="3"/>
      <c r="C7478" s="3"/>
      <c r="D7478" s="3"/>
      <c r="E7478" s="3"/>
      <c r="F7478" s="3"/>
      <c r="G7478" s="3"/>
      <c r="H7478" s="11"/>
      <c r="I7478" s="12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  <c r="AA7478" s="3"/>
      <c r="AB7478" s="3"/>
      <c r="AC7478" s="3"/>
      <c r="AD7478" s="3"/>
      <c r="AE7478" s="3"/>
      <c r="AF7478" s="3"/>
      <c r="AG7478" s="3"/>
      <c r="AH7478" s="3"/>
    </row>
    <row r="7479" spans="1:34" ht="14.25" customHeight="1" x14ac:dyDescent="0.25">
      <c r="A7479" s="3"/>
      <c r="B7479" s="3"/>
      <c r="C7479" s="3"/>
      <c r="D7479" s="3"/>
      <c r="E7479" s="3"/>
      <c r="F7479" s="3"/>
      <c r="G7479" s="3"/>
      <c r="H7479" s="11"/>
      <c r="I7479" s="12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  <c r="AA7479" s="3"/>
      <c r="AB7479" s="3"/>
      <c r="AC7479" s="3"/>
      <c r="AD7479" s="3"/>
      <c r="AE7479" s="3"/>
      <c r="AF7479" s="3"/>
      <c r="AG7479" s="3"/>
      <c r="AH7479" s="3"/>
    </row>
    <row r="7480" spans="1:34" ht="14.25" customHeight="1" x14ac:dyDescent="0.25">
      <c r="A7480" s="3"/>
      <c r="B7480" s="3"/>
      <c r="C7480" s="3"/>
      <c r="D7480" s="3"/>
      <c r="E7480" s="3"/>
      <c r="F7480" s="3"/>
      <c r="G7480" s="3"/>
      <c r="H7480" s="11"/>
      <c r="I7480" s="12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  <c r="AA7480" s="3"/>
      <c r="AB7480" s="3"/>
      <c r="AC7480" s="3"/>
      <c r="AD7480" s="3"/>
      <c r="AE7480" s="3"/>
      <c r="AF7480" s="3"/>
      <c r="AG7480" s="3"/>
      <c r="AH7480" s="3"/>
    </row>
    <row r="7481" spans="1:34" ht="14.25" customHeight="1" x14ac:dyDescent="0.25">
      <c r="A7481" s="3"/>
      <c r="B7481" s="3"/>
      <c r="C7481" s="3"/>
      <c r="D7481" s="3"/>
      <c r="E7481" s="3"/>
      <c r="F7481" s="3"/>
      <c r="G7481" s="3"/>
      <c r="H7481" s="11"/>
      <c r="I7481" s="12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  <c r="AA7481" s="3"/>
      <c r="AB7481" s="3"/>
      <c r="AC7481" s="3"/>
      <c r="AD7481" s="3"/>
      <c r="AE7481" s="3"/>
      <c r="AF7481" s="3"/>
      <c r="AG7481" s="3"/>
      <c r="AH7481" s="3"/>
    </row>
    <row r="7482" spans="1:34" ht="14.25" customHeight="1" x14ac:dyDescent="0.25">
      <c r="A7482" s="3"/>
      <c r="B7482" s="3"/>
      <c r="C7482" s="3"/>
      <c r="D7482" s="3"/>
      <c r="E7482" s="3"/>
      <c r="F7482" s="3"/>
      <c r="G7482" s="3"/>
      <c r="H7482" s="11"/>
      <c r="I7482" s="12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  <c r="AA7482" s="3"/>
      <c r="AB7482" s="3"/>
      <c r="AC7482" s="3"/>
      <c r="AD7482" s="3"/>
      <c r="AE7482" s="3"/>
      <c r="AF7482" s="3"/>
      <c r="AG7482" s="3"/>
      <c r="AH7482" s="3"/>
    </row>
    <row r="7483" spans="1:34" ht="14.25" customHeight="1" x14ac:dyDescent="0.25">
      <c r="A7483" s="3"/>
      <c r="B7483" s="3"/>
      <c r="C7483" s="3"/>
      <c r="D7483" s="3"/>
      <c r="E7483" s="3"/>
      <c r="F7483" s="3"/>
      <c r="G7483" s="3"/>
      <c r="H7483" s="11"/>
      <c r="I7483" s="12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  <c r="AA7483" s="3"/>
      <c r="AB7483" s="3"/>
      <c r="AC7483" s="3"/>
      <c r="AD7483" s="3"/>
      <c r="AE7483" s="3"/>
      <c r="AF7483" s="3"/>
      <c r="AG7483" s="3"/>
      <c r="AH7483" s="3"/>
    </row>
    <row r="7484" spans="1:34" ht="14.25" customHeight="1" x14ac:dyDescent="0.25">
      <c r="A7484" s="3"/>
      <c r="B7484" s="3"/>
      <c r="C7484" s="3"/>
      <c r="D7484" s="3"/>
      <c r="E7484" s="3"/>
      <c r="F7484" s="3"/>
      <c r="G7484" s="3"/>
      <c r="H7484" s="11"/>
      <c r="I7484" s="12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  <c r="AA7484" s="3"/>
      <c r="AB7484" s="3"/>
      <c r="AC7484" s="3"/>
      <c r="AD7484" s="3"/>
      <c r="AE7484" s="3"/>
      <c r="AF7484" s="3"/>
      <c r="AG7484" s="3"/>
      <c r="AH7484" s="3"/>
    </row>
    <row r="7485" spans="1:34" ht="14.25" customHeight="1" x14ac:dyDescent="0.25">
      <c r="A7485" s="3"/>
      <c r="B7485" s="3"/>
      <c r="C7485" s="3"/>
      <c r="D7485" s="3"/>
      <c r="E7485" s="3"/>
      <c r="F7485" s="3"/>
      <c r="G7485" s="3"/>
      <c r="H7485" s="11"/>
      <c r="I7485" s="12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  <c r="AA7485" s="3"/>
      <c r="AB7485" s="3"/>
      <c r="AC7485" s="3"/>
      <c r="AD7485" s="3"/>
      <c r="AE7485" s="3"/>
      <c r="AF7485" s="3"/>
      <c r="AG7485" s="3"/>
      <c r="AH7485" s="3"/>
    </row>
    <row r="7486" spans="1:34" ht="14.25" customHeight="1" x14ac:dyDescent="0.25">
      <c r="A7486" s="3"/>
      <c r="B7486" s="3"/>
      <c r="C7486" s="3"/>
      <c r="D7486" s="3"/>
      <c r="E7486" s="3"/>
      <c r="F7486" s="3"/>
      <c r="G7486" s="3"/>
      <c r="H7486" s="11"/>
      <c r="I7486" s="12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  <c r="AA7486" s="3"/>
      <c r="AB7486" s="3"/>
      <c r="AC7486" s="3"/>
      <c r="AD7486" s="3"/>
      <c r="AE7486" s="3"/>
      <c r="AF7486" s="3"/>
      <c r="AG7486" s="3"/>
      <c r="AH7486" s="3"/>
    </row>
    <row r="7487" spans="1:34" ht="14.25" customHeight="1" x14ac:dyDescent="0.25">
      <c r="A7487" s="3"/>
      <c r="B7487" s="3"/>
      <c r="C7487" s="3"/>
      <c r="D7487" s="3"/>
      <c r="E7487" s="3"/>
      <c r="F7487" s="3"/>
      <c r="G7487" s="3"/>
      <c r="H7487" s="11"/>
      <c r="I7487" s="12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  <c r="AA7487" s="3"/>
      <c r="AB7487" s="3"/>
      <c r="AC7487" s="3"/>
      <c r="AD7487" s="3"/>
      <c r="AE7487" s="3"/>
      <c r="AF7487" s="3"/>
      <c r="AG7487" s="3"/>
      <c r="AH7487" s="3"/>
    </row>
    <row r="7488" spans="1:34" ht="14.25" customHeight="1" x14ac:dyDescent="0.25">
      <c r="A7488" s="3"/>
      <c r="B7488" s="3"/>
      <c r="C7488" s="3"/>
      <c r="D7488" s="3"/>
      <c r="E7488" s="3"/>
      <c r="F7488" s="3"/>
      <c r="G7488" s="3"/>
      <c r="H7488" s="11"/>
      <c r="I7488" s="12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  <c r="AA7488" s="3"/>
      <c r="AB7488" s="3"/>
      <c r="AC7488" s="3"/>
      <c r="AD7488" s="3"/>
      <c r="AE7488" s="3"/>
      <c r="AF7488" s="3"/>
      <c r="AG7488" s="3"/>
      <c r="AH7488" s="3"/>
    </row>
    <row r="7489" spans="1:34" ht="14.25" customHeight="1" x14ac:dyDescent="0.25">
      <c r="A7489" s="3"/>
      <c r="B7489" s="3"/>
      <c r="C7489" s="3"/>
      <c r="D7489" s="3"/>
      <c r="E7489" s="3"/>
      <c r="F7489" s="3"/>
      <c r="G7489" s="3"/>
      <c r="H7489" s="11"/>
      <c r="I7489" s="12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  <c r="AA7489" s="3"/>
      <c r="AB7489" s="3"/>
      <c r="AC7489" s="3"/>
      <c r="AD7489" s="3"/>
      <c r="AE7489" s="3"/>
      <c r="AF7489" s="3"/>
      <c r="AG7489" s="3"/>
      <c r="AH7489" s="3"/>
    </row>
    <row r="7490" spans="1:34" ht="14.25" customHeight="1" x14ac:dyDescent="0.25">
      <c r="A7490" s="3"/>
      <c r="B7490" s="3"/>
      <c r="C7490" s="3"/>
      <c r="D7490" s="3"/>
      <c r="E7490" s="3"/>
      <c r="F7490" s="3"/>
      <c r="G7490" s="3"/>
      <c r="H7490" s="11"/>
      <c r="I7490" s="12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  <c r="AA7490" s="3"/>
      <c r="AB7490" s="3"/>
      <c r="AC7490" s="3"/>
      <c r="AD7490" s="3"/>
      <c r="AE7490" s="3"/>
      <c r="AF7490" s="3"/>
      <c r="AG7490" s="3"/>
      <c r="AH7490" s="3"/>
    </row>
    <row r="7491" spans="1:34" ht="14.25" customHeight="1" x14ac:dyDescent="0.25">
      <c r="A7491" s="3"/>
      <c r="B7491" s="3"/>
      <c r="C7491" s="3"/>
      <c r="D7491" s="3"/>
      <c r="E7491" s="3"/>
      <c r="F7491" s="3"/>
      <c r="G7491" s="3"/>
      <c r="H7491" s="11"/>
      <c r="I7491" s="12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  <c r="AA7491" s="3"/>
      <c r="AB7491" s="3"/>
      <c r="AC7491" s="3"/>
      <c r="AD7491" s="3"/>
      <c r="AE7491" s="3"/>
      <c r="AF7491" s="3"/>
      <c r="AG7491" s="3"/>
      <c r="AH7491" s="3"/>
    </row>
    <row r="7492" spans="1:34" ht="14.25" customHeight="1" x14ac:dyDescent="0.25">
      <c r="A7492" s="3"/>
      <c r="B7492" s="3"/>
      <c r="C7492" s="3"/>
      <c r="D7492" s="3"/>
      <c r="E7492" s="3"/>
      <c r="F7492" s="3"/>
      <c r="G7492" s="3"/>
      <c r="H7492" s="11"/>
      <c r="I7492" s="12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  <c r="AA7492" s="3"/>
      <c r="AB7492" s="3"/>
      <c r="AC7492" s="3"/>
      <c r="AD7492" s="3"/>
      <c r="AE7492" s="3"/>
      <c r="AF7492" s="3"/>
      <c r="AG7492" s="3"/>
      <c r="AH7492" s="3"/>
    </row>
    <row r="7493" spans="1:34" ht="14.25" customHeight="1" x14ac:dyDescent="0.25">
      <c r="A7493" s="3"/>
      <c r="B7493" s="3"/>
      <c r="C7493" s="3"/>
      <c r="D7493" s="3"/>
      <c r="E7493" s="3"/>
      <c r="F7493" s="3"/>
      <c r="G7493" s="3"/>
      <c r="H7493" s="11"/>
      <c r="I7493" s="12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  <c r="AA7493" s="3"/>
      <c r="AB7493" s="3"/>
      <c r="AC7493" s="3"/>
      <c r="AD7493" s="3"/>
      <c r="AE7493" s="3"/>
      <c r="AF7493" s="3"/>
      <c r="AG7493" s="3"/>
      <c r="AH7493" s="3"/>
    </row>
    <row r="7494" spans="1:34" ht="14.25" customHeight="1" x14ac:dyDescent="0.25">
      <c r="A7494" s="3"/>
      <c r="B7494" s="3"/>
      <c r="C7494" s="3"/>
      <c r="D7494" s="3"/>
      <c r="E7494" s="3"/>
      <c r="F7494" s="3"/>
      <c r="G7494" s="3"/>
      <c r="H7494" s="11"/>
      <c r="I7494" s="12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  <c r="AA7494" s="3"/>
      <c r="AB7494" s="3"/>
      <c r="AC7494" s="3"/>
      <c r="AD7494" s="3"/>
      <c r="AE7494" s="3"/>
      <c r="AF7494" s="3"/>
      <c r="AG7494" s="3"/>
      <c r="AH7494" s="3"/>
    </row>
    <row r="7495" spans="1:34" ht="14.25" customHeight="1" x14ac:dyDescent="0.25">
      <c r="A7495" s="3"/>
      <c r="B7495" s="3"/>
      <c r="C7495" s="3"/>
      <c r="D7495" s="3"/>
      <c r="E7495" s="3"/>
      <c r="F7495" s="3"/>
      <c r="G7495" s="3"/>
      <c r="H7495" s="11"/>
      <c r="I7495" s="12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  <c r="AA7495" s="3"/>
      <c r="AB7495" s="3"/>
      <c r="AC7495" s="3"/>
      <c r="AD7495" s="3"/>
      <c r="AE7495" s="3"/>
      <c r="AF7495" s="3"/>
      <c r="AG7495" s="3"/>
      <c r="AH7495" s="3"/>
    </row>
    <row r="7496" spans="1:34" ht="14.25" customHeight="1" x14ac:dyDescent="0.25">
      <c r="A7496" s="3"/>
      <c r="B7496" s="3"/>
      <c r="C7496" s="3"/>
      <c r="D7496" s="3"/>
      <c r="E7496" s="3"/>
      <c r="F7496" s="3"/>
      <c r="G7496" s="3"/>
      <c r="H7496" s="11"/>
      <c r="I7496" s="12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  <c r="AA7496" s="3"/>
      <c r="AB7496" s="3"/>
      <c r="AC7496" s="3"/>
      <c r="AD7496" s="3"/>
      <c r="AE7496" s="3"/>
      <c r="AF7496" s="3"/>
      <c r="AG7496" s="3"/>
      <c r="AH7496" s="3"/>
    </row>
    <row r="7497" spans="1:34" ht="14.25" customHeight="1" x14ac:dyDescent="0.25">
      <c r="A7497" s="3"/>
      <c r="B7497" s="3"/>
      <c r="C7497" s="3"/>
      <c r="D7497" s="3"/>
      <c r="E7497" s="3"/>
      <c r="F7497" s="3"/>
      <c r="G7497" s="3"/>
      <c r="H7497" s="11"/>
      <c r="I7497" s="12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  <c r="AA7497" s="3"/>
      <c r="AB7497" s="3"/>
      <c r="AC7497" s="3"/>
      <c r="AD7497" s="3"/>
      <c r="AE7497" s="3"/>
      <c r="AF7497" s="3"/>
      <c r="AG7497" s="3"/>
      <c r="AH7497" s="3"/>
    </row>
    <row r="7498" spans="1:34" ht="14.25" customHeight="1" x14ac:dyDescent="0.25">
      <c r="A7498" s="3"/>
      <c r="B7498" s="3"/>
      <c r="C7498" s="3"/>
      <c r="D7498" s="3"/>
      <c r="E7498" s="3"/>
      <c r="F7498" s="3"/>
      <c r="G7498" s="3"/>
      <c r="H7498" s="11"/>
      <c r="I7498" s="12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  <c r="AA7498" s="3"/>
      <c r="AB7498" s="3"/>
      <c r="AC7498" s="3"/>
      <c r="AD7498" s="3"/>
      <c r="AE7498" s="3"/>
      <c r="AF7498" s="3"/>
      <c r="AG7498" s="3"/>
      <c r="AH7498" s="3"/>
    </row>
    <row r="7499" spans="1:34" ht="14.25" customHeight="1" x14ac:dyDescent="0.25">
      <c r="A7499" s="3"/>
      <c r="B7499" s="3"/>
      <c r="C7499" s="3"/>
      <c r="D7499" s="3"/>
      <c r="E7499" s="3"/>
      <c r="F7499" s="3"/>
      <c r="G7499" s="3"/>
      <c r="H7499" s="11"/>
      <c r="I7499" s="12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  <c r="AA7499" s="3"/>
      <c r="AB7499" s="3"/>
      <c r="AC7499" s="3"/>
      <c r="AD7499" s="3"/>
      <c r="AE7499" s="3"/>
      <c r="AF7499" s="3"/>
      <c r="AG7499" s="3"/>
      <c r="AH7499" s="3"/>
    </row>
    <row r="7500" spans="1:34" ht="14.25" customHeight="1" x14ac:dyDescent="0.25">
      <c r="A7500" s="3"/>
      <c r="B7500" s="3"/>
      <c r="C7500" s="3"/>
      <c r="D7500" s="3"/>
      <c r="E7500" s="3"/>
      <c r="F7500" s="3"/>
      <c r="G7500" s="3"/>
      <c r="H7500" s="11"/>
      <c r="I7500" s="12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  <c r="AA7500" s="3"/>
      <c r="AB7500" s="3"/>
      <c r="AC7500" s="3"/>
      <c r="AD7500" s="3"/>
      <c r="AE7500" s="3"/>
      <c r="AF7500" s="3"/>
      <c r="AG7500" s="3"/>
      <c r="AH7500" s="3"/>
    </row>
    <row r="7501" spans="1:34" ht="14.25" customHeight="1" x14ac:dyDescent="0.25">
      <c r="A7501" s="3"/>
      <c r="B7501" s="3"/>
      <c r="C7501" s="3"/>
      <c r="D7501" s="3"/>
      <c r="E7501" s="3"/>
      <c r="F7501" s="3"/>
      <c r="G7501" s="3"/>
      <c r="H7501" s="11"/>
      <c r="I7501" s="12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  <c r="AA7501" s="3"/>
      <c r="AB7501" s="3"/>
      <c r="AC7501" s="3"/>
      <c r="AD7501" s="3"/>
      <c r="AE7501" s="3"/>
      <c r="AF7501" s="3"/>
      <c r="AG7501" s="3"/>
      <c r="AH7501" s="3"/>
    </row>
    <row r="7502" spans="1:34" ht="14.25" customHeight="1" x14ac:dyDescent="0.25">
      <c r="A7502" s="3"/>
      <c r="B7502" s="3"/>
      <c r="C7502" s="3"/>
      <c r="D7502" s="3"/>
      <c r="E7502" s="3"/>
      <c r="F7502" s="3"/>
      <c r="G7502" s="3"/>
      <c r="H7502" s="11"/>
      <c r="I7502" s="12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  <c r="AA7502" s="3"/>
      <c r="AB7502" s="3"/>
      <c r="AC7502" s="3"/>
      <c r="AD7502" s="3"/>
      <c r="AE7502" s="3"/>
      <c r="AF7502" s="3"/>
      <c r="AG7502" s="3"/>
      <c r="AH7502" s="3"/>
    </row>
    <row r="7503" spans="1:34" ht="14.25" customHeight="1" x14ac:dyDescent="0.25">
      <c r="A7503" s="3"/>
      <c r="B7503" s="3"/>
      <c r="C7503" s="3"/>
      <c r="D7503" s="3"/>
      <c r="E7503" s="3"/>
      <c r="F7503" s="3"/>
      <c r="G7503" s="3"/>
      <c r="H7503" s="11"/>
      <c r="I7503" s="12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  <c r="AA7503" s="3"/>
      <c r="AB7503" s="3"/>
      <c r="AC7503" s="3"/>
      <c r="AD7503" s="3"/>
      <c r="AE7503" s="3"/>
      <c r="AF7503" s="3"/>
      <c r="AG7503" s="3"/>
      <c r="AH7503" s="3"/>
    </row>
    <row r="7504" spans="1:34" ht="14.25" customHeight="1" x14ac:dyDescent="0.25">
      <c r="A7504" s="3"/>
      <c r="B7504" s="3"/>
      <c r="C7504" s="3"/>
      <c r="D7504" s="3"/>
      <c r="E7504" s="3"/>
      <c r="F7504" s="3"/>
      <c r="G7504" s="3"/>
      <c r="H7504" s="11"/>
      <c r="I7504" s="12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  <c r="AA7504" s="3"/>
      <c r="AB7504" s="3"/>
      <c r="AC7504" s="3"/>
      <c r="AD7504" s="3"/>
      <c r="AE7504" s="3"/>
      <c r="AF7504" s="3"/>
      <c r="AG7504" s="3"/>
      <c r="AH7504" s="3"/>
    </row>
    <row r="7505" spans="1:34" ht="14.25" customHeight="1" x14ac:dyDescent="0.25">
      <c r="A7505" s="3"/>
      <c r="B7505" s="3"/>
      <c r="C7505" s="3"/>
      <c r="D7505" s="3"/>
      <c r="E7505" s="3"/>
      <c r="F7505" s="3"/>
      <c r="G7505" s="3"/>
      <c r="H7505" s="11"/>
      <c r="I7505" s="12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  <c r="AA7505" s="3"/>
      <c r="AB7505" s="3"/>
      <c r="AC7505" s="3"/>
      <c r="AD7505" s="3"/>
      <c r="AE7505" s="3"/>
      <c r="AF7505" s="3"/>
      <c r="AG7505" s="3"/>
      <c r="AH7505" s="3"/>
    </row>
    <row r="7506" spans="1:34" ht="14.25" customHeight="1" x14ac:dyDescent="0.25">
      <c r="A7506" s="3"/>
      <c r="B7506" s="3"/>
      <c r="C7506" s="3"/>
      <c r="D7506" s="3"/>
      <c r="E7506" s="3"/>
      <c r="F7506" s="3"/>
      <c r="G7506" s="3"/>
      <c r="H7506" s="11"/>
      <c r="I7506" s="12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  <c r="AA7506" s="3"/>
      <c r="AB7506" s="3"/>
      <c r="AC7506" s="3"/>
      <c r="AD7506" s="3"/>
      <c r="AE7506" s="3"/>
      <c r="AF7506" s="3"/>
      <c r="AG7506" s="3"/>
      <c r="AH7506" s="3"/>
    </row>
    <row r="7507" spans="1:34" ht="14.25" customHeight="1" x14ac:dyDescent="0.25">
      <c r="A7507" s="3"/>
      <c r="B7507" s="3"/>
      <c r="C7507" s="3"/>
      <c r="D7507" s="3"/>
      <c r="E7507" s="3"/>
      <c r="F7507" s="3"/>
      <c r="G7507" s="3"/>
      <c r="H7507" s="11"/>
      <c r="I7507" s="12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  <c r="AA7507" s="3"/>
      <c r="AB7507" s="3"/>
      <c r="AC7507" s="3"/>
      <c r="AD7507" s="3"/>
      <c r="AE7507" s="3"/>
      <c r="AF7507" s="3"/>
      <c r="AG7507" s="3"/>
      <c r="AH7507" s="3"/>
    </row>
    <row r="7508" spans="1:34" ht="14.25" customHeight="1" x14ac:dyDescent="0.25">
      <c r="A7508" s="3"/>
      <c r="B7508" s="3"/>
      <c r="C7508" s="3"/>
      <c r="D7508" s="3"/>
      <c r="E7508" s="3"/>
      <c r="F7508" s="3"/>
      <c r="G7508" s="3"/>
      <c r="H7508" s="11"/>
      <c r="I7508" s="12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  <c r="AA7508" s="3"/>
      <c r="AB7508" s="3"/>
      <c r="AC7508" s="3"/>
      <c r="AD7508" s="3"/>
      <c r="AE7508" s="3"/>
      <c r="AF7508" s="3"/>
      <c r="AG7508" s="3"/>
      <c r="AH7508" s="3"/>
    </row>
    <row r="7509" spans="1:34" ht="14.25" customHeight="1" x14ac:dyDescent="0.25">
      <c r="A7509" s="3"/>
      <c r="B7509" s="3"/>
      <c r="C7509" s="3"/>
      <c r="D7509" s="3"/>
      <c r="E7509" s="3"/>
      <c r="F7509" s="3"/>
      <c r="G7509" s="3"/>
      <c r="H7509" s="11"/>
      <c r="I7509" s="12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  <c r="AA7509" s="3"/>
      <c r="AB7509" s="3"/>
      <c r="AC7509" s="3"/>
      <c r="AD7509" s="3"/>
      <c r="AE7509" s="3"/>
      <c r="AF7509" s="3"/>
      <c r="AG7509" s="3"/>
      <c r="AH7509" s="3"/>
    </row>
    <row r="7510" spans="1:34" ht="14.25" customHeight="1" x14ac:dyDescent="0.25">
      <c r="A7510" s="3"/>
      <c r="B7510" s="3"/>
      <c r="C7510" s="3"/>
      <c r="D7510" s="3"/>
      <c r="E7510" s="3"/>
      <c r="F7510" s="3"/>
      <c r="G7510" s="3"/>
      <c r="H7510" s="11"/>
      <c r="I7510" s="12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  <c r="AA7510" s="3"/>
      <c r="AB7510" s="3"/>
      <c r="AC7510" s="3"/>
      <c r="AD7510" s="3"/>
      <c r="AE7510" s="3"/>
      <c r="AF7510" s="3"/>
      <c r="AG7510" s="3"/>
      <c r="AH7510" s="3"/>
    </row>
    <row r="7511" spans="1:34" ht="14.25" customHeight="1" x14ac:dyDescent="0.25">
      <c r="A7511" s="3"/>
      <c r="B7511" s="3"/>
      <c r="C7511" s="3"/>
      <c r="D7511" s="3"/>
      <c r="E7511" s="3"/>
      <c r="F7511" s="3"/>
      <c r="G7511" s="3"/>
      <c r="H7511" s="11"/>
      <c r="I7511" s="12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  <c r="AA7511" s="3"/>
      <c r="AB7511" s="3"/>
      <c r="AC7511" s="3"/>
      <c r="AD7511" s="3"/>
      <c r="AE7511" s="3"/>
      <c r="AF7511" s="3"/>
      <c r="AG7511" s="3"/>
      <c r="AH7511" s="3"/>
    </row>
    <row r="7512" spans="1:34" ht="14.25" customHeight="1" x14ac:dyDescent="0.25">
      <c r="A7512" s="3"/>
      <c r="B7512" s="3"/>
      <c r="C7512" s="3"/>
      <c r="D7512" s="3"/>
      <c r="E7512" s="3"/>
      <c r="F7512" s="3"/>
      <c r="G7512" s="3"/>
      <c r="H7512" s="11"/>
      <c r="I7512" s="12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  <c r="AA7512" s="3"/>
      <c r="AB7512" s="3"/>
      <c r="AC7512" s="3"/>
      <c r="AD7512" s="3"/>
      <c r="AE7512" s="3"/>
      <c r="AF7512" s="3"/>
      <c r="AG7512" s="3"/>
      <c r="AH7512" s="3"/>
    </row>
    <row r="7513" spans="1:34" ht="14.25" customHeight="1" x14ac:dyDescent="0.25">
      <c r="A7513" s="3"/>
      <c r="B7513" s="3"/>
      <c r="C7513" s="3"/>
      <c r="D7513" s="3"/>
      <c r="E7513" s="3"/>
      <c r="F7513" s="3"/>
      <c r="G7513" s="3"/>
      <c r="H7513" s="11"/>
      <c r="I7513" s="12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  <c r="AA7513" s="3"/>
      <c r="AB7513" s="3"/>
      <c r="AC7513" s="3"/>
      <c r="AD7513" s="3"/>
      <c r="AE7513" s="3"/>
      <c r="AF7513" s="3"/>
      <c r="AG7513" s="3"/>
      <c r="AH7513" s="3"/>
    </row>
    <row r="7514" spans="1:34" ht="14.25" customHeight="1" x14ac:dyDescent="0.25">
      <c r="A7514" s="3"/>
      <c r="B7514" s="3"/>
      <c r="C7514" s="3"/>
      <c r="D7514" s="3"/>
      <c r="E7514" s="3"/>
      <c r="F7514" s="3"/>
      <c r="G7514" s="3"/>
      <c r="H7514" s="11"/>
      <c r="I7514" s="12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  <c r="AA7514" s="3"/>
      <c r="AB7514" s="3"/>
      <c r="AC7514" s="3"/>
      <c r="AD7514" s="3"/>
      <c r="AE7514" s="3"/>
      <c r="AF7514" s="3"/>
      <c r="AG7514" s="3"/>
      <c r="AH7514" s="3"/>
    </row>
    <row r="7515" spans="1:34" ht="14.25" customHeight="1" x14ac:dyDescent="0.25">
      <c r="A7515" s="3"/>
      <c r="B7515" s="3"/>
      <c r="C7515" s="3"/>
      <c r="D7515" s="3"/>
      <c r="E7515" s="3"/>
      <c r="F7515" s="3"/>
      <c r="G7515" s="3"/>
      <c r="H7515" s="11"/>
      <c r="I7515" s="12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  <c r="AA7515" s="3"/>
      <c r="AB7515" s="3"/>
      <c r="AC7515" s="3"/>
      <c r="AD7515" s="3"/>
      <c r="AE7515" s="3"/>
      <c r="AF7515" s="3"/>
      <c r="AG7515" s="3"/>
      <c r="AH7515" s="3"/>
    </row>
    <row r="7516" spans="1:34" ht="14.25" customHeight="1" x14ac:dyDescent="0.25">
      <c r="A7516" s="3"/>
      <c r="B7516" s="3"/>
      <c r="C7516" s="3"/>
      <c r="D7516" s="3"/>
      <c r="E7516" s="3"/>
      <c r="F7516" s="3"/>
      <c r="G7516" s="3"/>
      <c r="H7516" s="11"/>
      <c r="I7516" s="12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  <c r="AA7516" s="3"/>
      <c r="AB7516" s="3"/>
      <c r="AC7516" s="3"/>
      <c r="AD7516" s="3"/>
      <c r="AE7516" s="3"/>
      <c r="AF7516" s="3"/>
      <c r="AG7516" s="3"/>
      <c r="AH7516" s="3"/>
    </row>
    <row r="7517" spans="1:34" ht="14.25" customHeight="1" x14ac:dyDescent="0.25">
      <c r="A7517" s="3"/>
      <c r="B7517" s="3"/>
      <c r="C7517" s="3"/>
      <c r="D7517" s="3"/>
      <c r="E7517" s="3"/>
      <c r="F7517" s="3"/>
      <c r="G7517" s="3"/>
      <c r="H7517" s="11"/>
      <c r="I7517" s="12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  <c r="AA7517" s="3"/>
      <c r="AB7517" s="3"/>
      <c r="AC7517" s="3"/>
      <c r="AD7517" s="3"/>
      <c r="AE7517" s="3"/>
      <c r="AF7517" s="3"/>
      <c r="AG7517" s="3"/>
      <c r="AH7517" s="3"/>
    </row>
    <row r="7518" spans="1:34" ht="14.25" customHeight="1" x14ac:dyDescent="0.25">
      <c r="A7518" s="3"/>
      <c r="B7518" s="3"/>
      <c r="C7518" s="3"/>
      <c r="D7518" s="3"/>
      <c r="E7518" s="3"/>
      <c r="F7518" s="3"/>
      <c r="G7518" s="3"/>
      <c r="H7518" s="11"/>
      <c r="I7518" s="12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  <c r="AA7518" s="3"/>
      <c r="AB7518" s="3"/>
      <c r="AC7518" s="3"/>
      <c r="AD7518" s="3"/>
      <c r="AE7518" s="3"/>
      <c r="AF7518" s="3"/>
      <c r="AG7518" s="3"/>
      <c r="AH7518" s="3"/>
    </row>
    <row r="7519" spans="1:34" ht="14.25" customHeight="1" x14ac:dyDescent="0.25">
      <c r="A7519" s="3"/>
      <c r="B7519" s="3"/>
      <c r="C7519" s="3"/>
      <c r="D7519" s="3"/>
      <c r="E7519" s="3"/>
      <c r="F7519" s="3"/>
      <c r="G7519" s="3"/>
      <c r="H7519" s="11"/>
      <c r="I7519" s="12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  <c r="AA7519" s="3"/>
      <c r="AB7519" s="3"/>
      <c r="AC7519" s="3"/>
      <c r="AD7519" s="3"/>
      <c r="AE7519" s="3"/>
      <c r="AF7519" s="3"/>
      <c r="AG7519" s="3"/>
      <c r="AH7519" s="3"/>
    </row>
    <row r="7520" spans="1:34" ht="14.25" customHeight="1" x14ac:dyDescent="0.25">
      <c r="A7520" s="3"/>
      <c r="B7520" s="3"/>
      <c r="C7520" s="3"/>
      <c r="D7520" s="3"/>
      <c r="E7520" s="3"/>
      <c r="F7520" s="3"/>
      <c r="G7520" s="3"/>
      <c r="H7520" s="11"/>
      <c r="I7520" s="12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  <c r="AA7520" s="3"/>
      <c r="AB7520" s="3"/>
      <c r="AC7520" s="3"/>
      <c r="AD7520" s="3"/>
      <c r="AE7520" s="3"/>
      <c r="AF7520" s="3"/>
      <c r="AG7520" s="3"/>
      <c r="AH7520" s="3"/>
    </row>
    <row r="7521" spans="1:34" ht="14.25" customHeight="1" x14ac:dyDescent="0.25">
      <c r="A7521" s="3"/>
      <c r="B7521" s="3"/>
      <c r="C7521" s="3"/>
      <c r="D7521" s="3"/>
      <c r="E7521" s="3"/>
      <c r="F7521" s="3"/>
      <c r="G7521" s="3"/>
      <c r="H7521" s="11"/>
      <c r="I7521" s="12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  <c r="AA7521" s="3"/>
      <c r="AB7521" s="3"/>
      <c r="AC7521" s="3"/>
      <c r="AD7521" s="3"/>
      <c r="AE7521" s="3"/>
      <c r="AF7521" s="3"/>
      <c r="AG7521" s="3"/>
      <c r="AH7521" s="3"/>
    </row>
    <row r="7522" spans="1:34" ht="14.25" customHeight="1" x14ac:dyDescent="0.25">
      <c r="A7522" s="3"/>
      <c r="B7522" s="3"/>
      <c r="C7522" s="3"/>
      <c r="D7522" s="3"/>
      <c r="E7522" s="3"/>
      <c r="F7522" s="3"/>
      <c r="G7522" s="3"/>
      <c r="H7522" s="11"/>
      <c r="I7522" s="12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  <c r="AA7522" s="3"/>
      <c r="AB7522" s="3"/>
      <c r="AC7522" s="3"/>
      <c r="AD7522" s="3"/>
      <c r="AE7522" s="3"/>
      <c r="AF7522" s="3"/>
      <c r="AG7522" s="3"/>
      <c r="AH7522" s="3"/>
    </row>
    <row r="7523" spans="1:34" ht="14.25" customHeight="1" x14ac:dyDescent="0.25">
      <c r="A7523" s="3"/>
      <c r="B7523" s="3"/>
      <c r="C7523" s="3"/>
      <c r="D7523" s="3"/>
      <c r="E7523" s="3"/>
      <c r="F7523" s="3"/>
      <c r="G7523" s="3"/>
      <c r="H7523" s="11"/>
      <c r="I7523" s="12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  <c r="AA7523" s="3"/>
      <c r="AB7523" s="3"/>
      <c r="AC7523" s="3"/>
      <c r="AD7523" s="3"/>
      <c r="AE7523" s="3"/>
      <c r="AF7523" s="3"/>
      <c r="AG7523" s="3"/>
      <c r="AH7523" s="3"/>
    </row>
    <row r="7524" spans="1:34" ht="14.25" customHeight="1" x14ac:dyDescent="0.25">
      <c r="A7524" s="3"/>
      <c r="B7524" s="3"/>
      <c r="C7524" s="3"/>
      <c r="D7524" s="3"/>
      <c r="E7524" s="3"/>
      <c r="F7524" s="3"/>
      <c r="G7524" s="3"/>
      <c r="H7524" s="11"/>
      <c r="I7524" s="12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  <c r="AA7524" s="3"/>
      <c r="AB7524" s="3"/>
      <c r="AC7524" s="3"/>
      <c r="AD7524" s="3"/>
      <c r="AE7524" s="3"/>
      <c r="AF7524" s="3"/>
      <c r="AG7524" s="3"/>
      <c r="AH7524" s="3"/>
    </row>
    <row r="7525" spans="1:34" ht="14.25" customHeight="1" x14ac:dyDescent="0.25">
      <c r="A7525" s="3"/>
      <c r="B7525" s="3"/>
      <c r="C7525" s="3"/>
      <c r="D7525" s="3"/>
      <c r="E7525" s="3"/>
      <c r="F7525" s="3"/>
      <c r="G7525" s="3"/>
      <c r="H7525" s="11"/>
      <c r="I7525" s="12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  <c r="AA7525" s="3"/>
      <c r="AB7525" s="3"/>
      <c r="AC7525" s="3"/>
      <c r="AD7525" s="3"/>
      <c r="AE7525" s="3"/>
      <c r="AF7525" s="3"/>
      <c r="AG7525" s="3"/>
      <c r="AH7525" s="3"/>
    </row>
    <row r="7526" spans="1:34" ht="14.25" customHeight="1" x14ac:dyDescent="0.25">
      <c r="A7526" s="3"/>
      <c r="B7526" s="3"/>
      <c r="C7526" s="3"/>
      <c r="D7526" s="3"/>
      <c r="E7526" s="3"/>
      <c r="F7526" s="3"/>
      <c r="G7526" s="3"/>
      <c r="H7526" s="11"/>
      <c r="I7526" s="12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  <c r="AA7526" s="3"/>
      <c r="AB7526" s="3"/>
      <c r="AC7526" s="3"/>
      <c r="AD7526" s="3"/>
      <c r="AE7526" s="3"/>
      <c r="AF7526" s="3"/>
      <c r="AG7526" s="3"/>
      <c r="AH7526" s="3"/>
    </row>
    <row r="7527" spans="1:34" ht="14.25" customHeight="1" x14ac:dyDescent="0.25">
      <c r="A7527" s="3"/>
      <c r="B7527" s="3"/>
      <c r="C7527" s="3"/>
      <c r="D7527" s="3"/>
      <c r="E7527" s="3"/>
      <c r="F7527" s="3"/>
      <c r="G7527" s="3"/>
      <c r="H7527" s="11"/>
      <c r="I7527" s="12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  <c r="AA7527" s="3"/>
      <c r="AB7527" s="3"/>
      <c r="AC7527" s="3"/>
      <c r="AD7527" s="3"/>
      <c r="AE7527" s="3"/>
      <c r="AF7527" s="3"/>
      <c r="AG7527" s="3"/>
      <c r="AH7527" s="3"/>
    </row>
    <row r="7528" spans="1:34" ht="14.25" customHeight="1" x14ac:dyDescent="0.25">
      <c r="A7528" s="3"/>
      <c r="B7528" s="3"/>
      <c r="C7528" s="3"/>
      <c r="D7528" s="3"/>
      <c r="E7528" s="3"/>
      <c r="F7528" s="3"/>
      <c r="G7528" s="3"/>
      <c r="H7528" s="11"/>
      <c r="I7528" s="12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  <c r="AA7528" s="3"/>
      <c r="AB7528" s="3"/>
      <c r="AC7528" s="3"/>
      <c r="AD7528" s="3"/>
      <c r="AE7528" s="3"/>
      <c r="AF7528" s="3"/>
      <c r="AG7528" s="3"/>
      <c r="AH7528" s="3"/>
    </row>
    <row r="7529" spans="1:34" ht="14.25" customHeight="1" x14ac:dyDescent="0.25">
      <c r="A7529" s="3"/>
      <c r="B7529" s="3"/>
      <c r="C7529" s="3"/>
      <c r="D7529" s="3"/>
      <c r="E7529" s="3"/>
      <c r="F7529" s="3"/>
      <c r="G7529" s="3"/>
      <c r="H7529" s="11"/>
      <c r="I7529" s="12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  <c r="AA7529" s="3"/>
      <c r="AB7529" s="3"/>
      <c r="AC7529" s="3"/>
      <c r="AD7529" s="3"/>
      <c r="AE7529" s="3"/>
      <c r="AF7529" s="3"/>
      <c r="AG7529" s="3"/>
      <c r="AH7529" s="3"/>
    </row>
    <row r="7530" spans="1:34" ht="14.25" customHeight="1" x14ac:dyDescent="0.25">
      <c r="A7530" s="3"/>
      <c r="B7530" s="3"/>
      <c r="C7530" s="3"/>
      <c r="D7530" s="3"/>
      <c r="E7530" s="3"/>
      <c r="F7530" s="3"/>
      <c r="G7530" s="3"/>
      <c r="H7530" s="11"/>
      <c r="I7530" s="12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  <c r="AA7530" s="3"/>
      <c r="AB7530" s="3"/>
      <c r="AC7530" s="3"/>
      <c r="AD7530" s="3"/>
      <c r="AE7530" s="3"/>
      <c r="AF7530" s="3"/>
      <c r="AG7530" s="3"/>
      <c r="AH7530" s="3"/>
    </row>
    <row r="7531" spans="1:34" ht="14.25" customHeight="1" x14ac:dyDescent="0.25">
      <c r="A7531" s="3"/>
      <c r="B7531" s="3"/>
      <c r="C7531" s="3"/>
      <c r="D7531" s="3"/>
      <c r="E7531" s="3"/>
      <c r="F7531" s="3"/>
      <c r="G7531" s="3"/>
      <c r="H7531" s="11"/>
      <c r="I7531" s="12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  <c r="AA7531" s="3"/>
      <c r="AB7531" s="3"/>
      <c r="AC7531" s="3"/>
      <c r="AD7531" s="3"/>
      <c r="AE7531" s="3"/>
      <c r="AF7531" s="3"/>
      <c r="AG7531" s="3"/>
      <c r="AH7531" s="3"/>
    </row>
    <row r="7532" spans="1:34" ht="14.25" customHeight="1" x14ac:dyDescent="0.25">
      <c r="A7532" s="3"/>
      <c r="B7532" s="3"/>
      <c r="C7532" s="3"/>
      <c r="D7532" s="3"/>
      <c r="E7532" s="3"/>
      <c r="F7532" s="3"/>
      <c r="G7532" s="3"/>
      <c r="H7532" s="11"/>
      <c r="I7532" s="12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  <c r="AA7532" s="3"/>
      <c r="AB7532" s="3"/>
      <c r="AC7532" s="3"/>
      <c r="AD7532" s="3"/>
      <c r="AE7532" s="3"/>
      <c r="AF7532" s="3"/>
      <c r="AG7532" s="3"/>
      <c r="AH7532" s="3"/>
    </row>
    <row r="7533" spans="1:34" ht="14.25" customHeight="1" x14ac:dyDescent="0.25">
      <c r="A7533" s="3"/>
      <c r="B7533" s="3"/>
      <c r="C7533" s="3"/>
      <c r="D7533" s="3"/>
      <c r="E7533" s="3"/>
      <c r="F7533" s="3"/>
      <c r="G7533" s="3"/>
      <c r="H7533" s="11"/>
      <c r="I7533" s="12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  <c r="AA7533" s="3"/>
      <c r="AB7533" s="3"/>
      <c r="AC7533" s="3"/>
      <c r="AD7533" s="3"/>
      <c r="AE7533" s="3"/>
      <c r="AF7533" s="3"/>
      <c r="AG7533" s="3"/>
      <c r="AH7533" s="3"/>
    </row>
    <row r="7534" spans="1:34" ht="14.25" customHeight="1" x14ac:dyDescent="0.25">
      <c r="A7534" s="3"/>
      <c r="B7534" s="3"/>
      <c r="C7534" s="3"/>
      <c r="D7534" s="3"/>
      <c r="E7534" s="3"/>
      <c r="F7534" s="3"/>
      <c r="G7534" s="3"/>
      <c r="H7534" s="11"/>
      <c r="I7534" s="12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  <c r="AA7534" s="3"/>
      <c r="AB7534" s="3"/>
      <c r="AC7534" s="3"/>
      <c r="AD7534" s="3"/>
      <c r="AE7534" s="3"/>
      <c r="AF7534" s="3"/>
      <c r="AG7534" s="3"/>
      <c r="AH7534" s="3"/>
    </row>
    <row r="7535" spans="1:34" ht="14.25" customHeight="1" x14ac:dyDescent="0.25">
      <c r="A7535" s="3"/>
      <c r="B7535" s="3"/>
      <c r="C7535" s="3"/>
      <c r="D7535" s="3"/>
      <c r="E7535" s="3"/>
      <c r="F7535" s="3"/>
      <c r="G7535" s="3"/>
      <c r="H7535" s="11"/>
      <c r="I7535" s="12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  <c r="AA7535" s="3"/>
      <c r="AB7535" s="3"/>
      <c r="AC7535" s="3"/>
      <c r="AD7535" s="3"/>
      <c r="AE7535" s="3"/>
      <c r="AF7535" s="3"/>
      <c r="AG7535" s="3"/>
      <c r="AH7535" s="3"/>
    </row>
    <row r="7536" spans="1:34" ht="14.25" customHeight="1" x14ac:dyDescent="0.25">
      <c r="A7536" s="3"/>
      <c r="B7536" s="3"/>
      <c r="C7536" s="3"/>
      <c r="D7536" s="3"/>
      <c r="E7536" s="3"/>
      <c r="F7536" s="3"/>
      <c r="G7536" s="3"/>
      <c r="H7536" s="11"/>
      <c r="I7536" s="12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  <c r="AA7536" s="3"/>
      <c r="AB7536" s="3"/>
      <c r="AC7536" s="3"/>
      <c r="AD7536" s="3"/>
      <c r="AE7536" s="3"/>
      <c r="AF7536" s="3"/>
      <c r="AG7536" s="3"/>
      <c r="AH7536" s="3"/>
    </row>
    <row r="7537" spans="1:34" ht="14.25" customHeight="1" x14ac:dyDescent="0.25">
      <c r="A7537" s="3"/>
      <c r="B7537" s="3"/>
      <c r="C7537" s="3"/>
      <c r="D7537" s="3"/>
      <c r="E7537" s="3"/>
      <c r="F7537" s="3"/>
      <c r="G7537" s="3"/>
      <c r="H7537" s="11"/>
      <c r="I7537" s="12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  <c r="AA7537" s="3"/>
      <c r="AB7537" s="3"/>
      <c r="AC7537" s="3"/>
      <c r="AD7537" s="3"/>
      <c r="AE7537" s="3"/>
      <c r="AF7537" s="3"/>
      <c r="AG7537" s="3"/>
      <c r="AH7537" s="3"/>
    </row>
    <row r="7538" spans="1:34" ht="14.25" customHeight="1" x14ac:dyDescent="0.25">
      <c r="A7538" s="3"/>
      <c r="B7538" s="3"/>
      <c r="C7538" s="3"/>
      <c r="D7538" s="3"/>
      <c r="E7538" s="3"/>
      <c r="F7538" s="3"/>
      <c r="G7538" s="3"/>
      <c r="H7538" s="11"/>
      <c r="I7538" s="12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  <c r="AA7538" s="3"/>
      <c r="AB7538" s="3"/>
      <c r="AC7538" s="3"/>
      <c r="AD7538" s="3"/>
      <c r="AE7538" s="3"/>
      <c r="AF7538" s="3"/>
      <c r="AG7538" s="3"/>
      <c r="AH7538" s="3"/>
    </row>
    <row r="7539" spans="1:34" ht="14.25" customHeight="1" x14ac:dyDescent="0.25">
      <c r="A7539" s="3"/>
      <c r="B7539" s="3"/>
      <c r="C7539" s="3"/>
      <c r="D7539" s="3"/>
      <c r="E7539" s="3"/>
      <c r="F7539" s="3"/>
      <c r="G7539" s="3"/>
      <c r="H7539" s="11"/>
      <c r="I7539" s="12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  <c r="AA7539" s="3"/>
      <c r="AB7539" s="3"/>
      <c r="AC7539" s="3"/>
      <c r="AD7539" s="3"/>
      <c r="AE7539" s="3"/>
      <c r="AF7539" s="3"/>
      <c r="AG7539" s="3"/>
      <c r="AH7539" s="3"/>
    </row>
    <row r="7540" spans="1:34" ht="14.25" customHeight="1" x14ac:dyDescent="0.25">
      <c r="A7540" s="3"/>
      <c r="B7540" s="3"/>
      <c r="C7540" s="3"/>
      <c r="D7540" s="3"/>
      <c r="E7540" s="3"/>
      <c r="F7540" s="3"/>
      <c r="G7540" s="3"/>
      <c r="H7540" s="11"/>
      <c r="I7540" s="12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  <c r="AA7540" s="3"/>
      <c r="AB7540" s="3"/>
      <c r="AC7540" s="3"/>
      <c r="AD7540" s="3"/>
      <c r="AE7540" s="3"/>
      <c r="AF7540" s="3"/>
      <c r="AG7540" s="3"/>
      <c r="AH7540" s="3"/>
    </row>
    <row r="7541" spans="1:34" ht="14.25" customHeight="1" x14ac:dyDescent="0.25">
      <c r="A7541" s="3"/>
      <c r="B7541" s="3"/>
      <c r="C7541" s="3"/>
      <c r="D7541" s="3"/>
      <c r="E7541" s="3"/>
      <c r="F7541" s="3"/>
      <c r="G7541" s="3"/>
      <c r="H7541" s="11"/>
      <c r="I7541" s="12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  <c r="AA7541" s="3"/>
      <c r="AB7541" s="3"/>
      <c r="AC7541" s="3"/>
      <c r="AD7541" s="3"/>
      <c r="AE7541" s="3"/>
      <c r="AF7541" s="3"/>
      <c r="AG7541" s="3"/>
      <c r="AH7541" s="3"/>
    </row>
    <row r="7542" spans="1:34" ht="14.25" customHeight="1" x14ac:dyDescent="0.25">
      <c r="A7542" s="3"/>
      <c r="B7542" s="3"/>
      <c r="C7542" s="3"/>
      <c r="D7542" s="3"/>
      <c r="E7542" s="3"/>
      <c r="F7542" s="3"/>
      <c r="G7542" s="3"/>
      <c r="H7542" s="11"/>
      <c r="I7542" s="12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  <c r="AA7542" s="3"/>
      <c r="AB7542" s="3"/>
      <c r="AC7542" s="3"/>
      <c r="AD7542" s="3"/>
      <c r="AE7542" s="3"/>
      <c r="AF7542" s="3"/>
      <c r="AG7542" s="3"/>
      <c r="AH7542" s="3"/>
    </row>
    <row r="7543" spans="1:34" ht="14.25" customHeight="1" x14ac:dyDescent="0.25">
      <c r="A7543" s="3"/>
      <c r="B7543" s="3"/>
      <c r="C7543" s="3"/>
      <c r="D7543" s="3"/>
      <c r="E7543" s="3"/>
      <c r="F7543" s="3"/>
      <c r="G7543" s="3"/>
      <c r="H7543" s="11"/>
      <c r="I7543" s="12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  <c r="AA7543" s="3"/>
      <c r="AB7543" s="3"/>
      <c r="AC7543" s="3"/>
      <c r="AD7543" s="3"/>
      <c r="AE7543" s="3"/>
      <c r="AF7543" s="3"/>
      <c r="AG7543" s="3"/>
      <c r="AH7543" s="3"/>
    </row>
    <row r="7544" spans="1:34" ht="14.25" customHeight="1" x14ac:dyDescent="0.25">
      <c r="A7544" s="3"/>
      <c r="B7544" s="3"/>
      <c r="C7544" s="3"/>
      <c r="D7544" s="3"/>
      <c r="E7544" s="3"/>
      <c r="F7544" s="3"/>
      <c r="G7544" s="3"/>
      <c r="H7544" s="11"/>
      <c r="I7544" s="12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  <c r="AA7544" s="3"/>
      <c r="AB7544" s="3"/>
      <c r="AC7544" s="3"/>
      <c r="AD7544" s="3"/>
      <c r="AE7544" s="3"/>
      <c r="AF7544" s="3"/>
      <c r="AG7544" s="3"/>
      <c r="AH7544" s="3"/>
    </row>
    <row r="7545" spans="1:34" ht="14.25" customHeight="1" x14ac:dyDescent="0.25">
      <c r="A7545" s="3"/>
      <c r="B7545" s="3"/>
      <c r="C7545" s="3"/>
      <c r="D7545" s="3"/>
      <c r="E7545" s="3"/>
      <c r="F7545" s="3"/>
      <c r="G7545" s="3"/>
      <c r="H7545" s="11"/>
      <c r="I7545" s="12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  <c r="AA7545" s="3"/>
      <c r="AB7545" s="3"/>
      <c r="AC7545" s="3"/>
      <c r="AD7545" s="3"/>
      <c r="AE7545" s="3"/>
      <c r="AF7545" s="3"/>
      <c r="AG7545" s="3"/>
      <c r="AH7545" s="3"/>
    </row>
    <row r="7546" spans="1:34" ht="14.25" customHeight="1" x14ac:dyDescent="0.25">
      <c r="A7546" s="3"/>
      <c r="B7546" s="3"/>
      <c r="C7546" s="3"/>
      <c r="D7546" s="3"/>
      <c r="E7546" s="3"/>
      <c r="F7546" s="3"/>
      <c r="G7546" s="3"/>
      <c r="H7546" s="11"/>
      <c r="I7546" s="12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  <c r="AA7546" s="3"/>
      <c r="AB7546" s="3"/>
      <c r="AC7546" s="3"/>
      <c r="AD7546" s="3"/>
      <c r="AE7546" s="3"/>
      <c r="AF7546" s="3"/>
      <c r="AG7546" s="3"/>
      <c r="AH7546" s="3"/>
    </row>
    <row r="7547" spans="1:34" ht="14.25" customHeight="1" x14ac:dyDescent="0.25">
      <c r="A7547" s="3"/>
      <c r="B7547" s="3"/>
      <c r="C7547" s="3"/>
      <c r="D7547" s="3"/>
      <c r="E7547" s="3"/>
      <c r="F7547" s="3"/>
      <c r="G7547" s="3"/>
      <c r="H7547" s="11"/>
      <c r="I7547" s="12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  <c r="AA7547" s="3"/>
      <c r="AB7547" s="3"/>
      <c r="AC7547" s="3"/>
      <c r="AD7547" s="3"/>
      <c r="AE7547" s="3"/>
      <c r="AF7547" s="3"/>
      <c r="AG7547" s="3"/>
      <c r="AH7547" s="3"/>
    </row>
    <row r="7548" spans="1:34" ht="14.25" customHeight="1" x14ac:dyDescent="0.25">
      <c r="A7548" s="3"/>
      <c r="B7548" s="3"/>
      <c r="C7548" s="3"/>
      <c r="D7548" s="3"/>
      <c r="E7548" s="3"/>
      <c r="F7548" s="3"/>
      <c r="G7548" s="3"/>
      <c r="H7548" s="11"/>
      <c r="I7548" s="12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  <c r="AA7548" s="3"/>
      <c r="AB7548" s="3"/>
      <c r="AC7548" s="3"/>
      <c r="AD7548" s="3"/>
      <c r="AE7548" s="3"/>
      <c r="AF7548" s="3"/>
      <c r="AG7548" s="3"/>
      <c r="AH7548" s="3"/>
    </row>
    <row r="7549" spans="1:34" ht="14.25" customHeight="1" x14ac:dyDescent="0.25">
      <c r="A7549" s="3"/>
      <c r="B7549" s="3"/>
      <c r="C7549" s="3"/>
      <c r="D7549" s="3"/>
      <c r="E7549" s="3"/>
      <c r="F7549" s="3"/>
      <c r="G7549" s="3"/>
      <c r="H7549" s="11"/>
      <c r="I7549" s="12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  <c r="AA7549" s="3"/>
      <c r="AB7549" s="3"/>
      <c r="AC7549" s="3"/>
      <c r="AD7549" s="3"/>
      <c r="AE7549" s="3"/>
      <c r="AF7549" s="3"/>
      <c r="AG7549" s="3"/>
      <c r="AH7549" s="3"/>
    </row>
    <row r="7550" spans="1:34" ht="14.25" customHeight="1" x14ac:dyDescent="0.25">
      <c r="A7550" s="3"/>
      <c r="B7550" s="3"/>
      <c r="C7550" s="3"/>
      <c r="D7550" s="3"/>
      <c r="E7550" s="3"/>
      <c r="F7550" s="3"/>
      <c r="G7550" s="3"/>
      <c r="H7550" s="11"/>
      <c r="I7550" s="12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  <c r="AA7550" s="3"/>
      <c r="AB7550" s="3"/>
      <c r="AC7550" s="3"/>
      <c r="AD7550" s="3"/>
      <c r="AE7550" s="3"/>
      <c r="AF7550" s="3"/>
      <c r="AG7550" s="3"/>
      <c r="AH7550" s="3"/>
    </row>
    <row r="7551" spans="1:34" ht="14.25" customHeight="1" x14ac:dyDescent="0.25">
      <c r="A7551" s="3"/>
      <c r="B7551" s="3"/>
      <c r="C7551" s="3"/>
      <c r="D7551" s="3"/>
      <c r="E7551" s="3"/>
      <c r="F7551" s="3"/>
      <c r="G7551" s="3"/>
      <c r="H7551" s="11"/>
      <c r="I7551" s="12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  <c r="AA7551" s="3"/>
      <c r="AB7551" s="3"/>
      <c r="AC7551" s="3"/>
      <c r="AD7551" s="3"/>
      <c r="AE7551" s="3"/>
      <c r="AF7551" s="3"/>
      <c r="AG7551" s="3"/>
      <c r="AH7551" s="3"/>
    </row>
    <row r="7552" spans="1:34" ht="14.25" customHeight="1" x14ac:dyDescent="0.25">
      <c r="A7552" s="3"/>
      <c r="B7552" s="3"/>
      <c r="C7552" s="3"/>
      <c r="D7552" s="3"/>
      <c r="E7552" s="3"/>
      <c r="F7552" s="3"/>
      <c r="G7552" s="3"/>
      <c r="H7552" s="11"/>
      <c r="I7552" s="12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  <c r="AA7552" s="3"/>
      <c r="AB7552" s="3"/>
      <c r="AC7552" s="3"/>
      <c r="AD7552" s="3"/>
      <c r="AE7552" s="3"/>
      <c r="AF7552" s="3"/>
      <c r="AG7552" s="3"/>
      <c r="AH7552" s="3"/>
    </row>
    <row r="7553" spans="1:34" ht="14.25" customHeight="1" x14ac:dyDescent="0.25">
      <c r="A7553" s="3"/>
      <c r="B7553" s="3"/>
      <c r="C7553" s="3"/>
      <c r="D7553" s="3"/>
      <c r="E7553" s="3"/>
      <c r="F7553" s="3"/>
      <c r="G7553" s="3"/>
      <c r="H7553" s="11"/>
      <c r="I7553" s="12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  <c r="AA7553" s="3"/>
      <c r="AB7553" s="3"/>
      <c r="AC7553" s="3"/>
      <c r="AD7553" s="3"/>
      <c r="AE7553" s="3"/>
      <c r="AF7553" s="3"/>
      <c r="AG7553" s="3"/>
      <c r="AH7553" s="3"/>
    </row>
    <row r="7554" spans="1:34" ht="14.25" customHeight="1" x14ac:dyDescent="0.25">
      <c r="A7554" s="3"/>
      <c r="B7554" s="3"/>
      <c r="C7554" s="3"/>
      <c r="D7554" s="3"/>
      <c r="E7554" s="3"/>
      <c r="F7554" s="3"/>
      <c r="G7554" s="3"/>
      <c r="H7554" s="11"/>
      <c r="I7554" s="12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  <c r="AA7554" s="3"/>
      <c r="AB7554" s="3"/>
      <c r="AC7554" s="3"/>
      <c r="AD7554" s="3"/>
      <c r="AE7554" s="3"/>
      <c r="AF7554" s="3"/>
      <c r="AG7554" s="3"/>
      <c r="AH7554" s="3"/>
    </row>
    <row r="7555" spans="1:34" ht="14.25" customHeight="1" x14ac:dyDescent="0.25">
      <c r="A7555" s="3"/>
      <c r="B7555" s="3"/>
      <c r="C7555" s="3"/>
      <c r="D7555" s="3"/>
      <c r="E7555" s="3"/>
      <c r="F7555" s="3"/>
      <c r="G7555" s="3"/>
      <c r="H7555" s="11"/>
      <c r="I7555" s="12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  <c r="AA7555" s="3"/>
      <c r="AB7555" s="3"/>
      <c r="AC7555" s="3"/>
      <c r="AD7555" s="3"/>
      <c r="AE7555" s="3"/>
      <c r="AF7555" s="3"/>
      <c r="AG7555" s="3"/>
      <c r="AH7555" s="3"/>
    </row>
    <row r="7556" spans="1:34" ht="14.25" customHeight="1" x14ac:dyDescent="0.25">
      <c r="A7556" s="3"/>
      <c r="B7556" s="3"/>
      <c r="C7556" s="3"/>
      <c r="D7556" s="3"/>
      <c r="E7556" s="3"/>
      <c r="F7556" s="3"/>
      <c r="G7556" s="3"/>
      <c r="H7556" s="11"/>
      <c r="I7556" s="12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  <c r="AA7556" s="3"/>
      <c r="AB7556" s="3"/>
      <c r="AC7556" s="3"/>
      <c r="AD7556" s="3"/>
      <c r="AE7556" s="3"/>
      <c r="AF7556" s="3"/>
      <c r="AG7556" s="3"/>
      <c r="AH7556" s="3"/>
    </row>
    <row r="7557" spans="1:34" ht="14.25" customHeight="1" x14ac:dyDescent="0.25">
      <c r="A7557" s="3"/>
      <c r="B7557" s="3"/>
      <c r="C7557" s="3"/>
      <c r="D7557" s="3"/>
      <c r="E7557" s="3"/>
      <c r="F7557" s="3"/>
      <c r="G7557" s="3"/>
      <c r="H7557" s="11"/>
      <c r="I7557" s="12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  <c r="AA7557" s="3"/>
      <c r="AB7557" s="3"/>
      <c r="AC7557" s="3"/>
      <c r="AD7557" s="3"/>
      <c r="AE7557" s="3"/>
      <c r="AF7557" s="3"/>
      <c r="AG7557" s="3"/>
      <c r="AH7557" s="3"/>
    </row>
    <row r="7558" spans="1:34" ht="14.25" customHeight="1" x14ac:dyDescent="0.25">
      <c r="A7558" s="3"/>
      <c r="B7558" s="3"/>
      <c r="C7558" s="3"/>
      <c r="D7558" s="3"/>
      <c r="E7558" s="3"/>
      <c r="F7558" s="3"/>
      <c r="G7558" s="3"/>
      <c r="H7558" s="11"/>
      <c r="I7558" s="12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  <c r="AA7558" s="3"/>
      <c r="AB7558" s="3"/>
      <c r="AC7558" s="3"/>
      <c r="AD7558" s="3"/>
      <c r="AE7558" s="3"/>
      <c r="AF7558" s="3"/>
      <c r="AG7558" s="3"/>
      <c r="AH7558" s="3"/>
    </row>
    <row r="7559" spans="1:34" ht="14.25" customHeight="1" x14ac:dyDescent="0.25">
      <c r="A7559" s="3"/>
      <c r="B7559" s="3"/>
      <c r="C7559" s="3"/>
      <c r="D7559" s="3"/>
      <c r="E7559" s="3"/>
      <c r="F7559" s="3"/>
      <c r="G7559" s="3"/>
      <c r="H7559" s="11"/>
      <c r="I7559" s="12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  <c r="AA7559" s="3"/>
      <c r="AB7559" s="3"/>
      <c r="AC7559" s="3"/>
      <c r="AD7559" s="3"/>
      <c r="AE7559" s="3"/>
      <c r="AF7559" s="3"/>
      <c r="AG7559" s="3"/>
      <c r="AH7559" s="3"/>
    </row>
    <row r="7560" spans="1:34" ht="14.25" customHeight="1" x14ac:dyDescent="0.25">
      <c r="A7560" s="3"/>
      <c r="B7560" s="3"/>
      <c r="C7560" s="3"/>
      <c r="D7560" s="3"/>
      <c r="E7560" s="3"/>
      <c r="F7560" s="3"/>
      <c r="G7560" s="3"/>
      <c r="H7560" s="11"/>
      <c r="I7560" s="12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  <c r="AA7560" s="3"/>
      <c r="AB7560" s="3"/>
      <c r="AC7560" s="3"/>
      <c r="AD7560" s="3"/>
      <c r="AE7560" s="3"/>
      <c r="AF7560" s="3"/>
      <c r="AG7560" s="3"/>
      <c r="AH7560" s="3"/>
    </row>
    <row r="7561" spans="1:34" ht="14.25" customHeight="1" x14ac:dyDescent="0.25">
      <c r="A7561" s="3"/>
      <c r="B7561" s="3"/>
      <c r="C7561" s="3"/>
      <c r="D7561" s="3"/>
      <c r="E7561" s="3"/>
      <c r="F7561" s="3"/>
      <c r="G7561" s="3"/>
      <c r="H7561" s="11"/>
      <c r="I7561" s="12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  <c r="AA7561" s="3"/>
      <c r="AB7561" s="3"/>
      <c r="AC7561" s="3"/>
      <c r="AD7561" s="3"/>
      <c r="AE7561" s="3"/>
      <c r="AF7561" s="3"/>
      <c r="AG7561" s="3"/>
      <c r="AH7561" s="3"/>
    </row>
    <row r="7562" spans="1:34" ht="14.25" customHeight="1" x14ac:dyDescent="0.25">
      <c r="A7562" s="3"/>
      <c r="B7562" s="3"/>
      <c r="C7562" s="3"/>
      <c r="D7562" s="3"/>
      <c r="E7562" s="3"/>
      <c r="F7562" s="3"/>
      <c r="G7562" s="3"/>
      <c r="H7562" s="11"/>
      <c r="I7562" s="12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  <c r="AA7562" s="3"/>
      <c r="AB7562" s="3"/>
      <c r="AC7562" s="3"/>
      <c r="AD7562" s="3"/>
      <c r="AE7562" s="3"/>
      <c r="AF7562" s="3"/>
      <c r="AG7562" s="3"/>
      <c r="AH7562" s="3"/>
    </row>
    <row r="7563" spans="1:34" ht="14.25" customHeight="1" x14ac:dyDescent="0.25">
      <c r="A7563" s="3"/>
      <c r="B7563" s="3"/>
      <c r="C7563" s="3"/>
      <c r="D7563" s="3"/>
      <c r="E7563" s="3"/>
      <c r="F7563" s="3"/>
      <c r="G7563" s="3"/>
      <c r="H7563" s="11"/>
      <c r="I7563" s="12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  <c r="AA7563" s="3"/>
      <c r="AB7563" s="3"/>
      <c r="AC7563" s="3"/>
      <c r="AD7563" s="3"/>
      <c r="AE7563" s="3"/>
      <c r="AF7563" s="3"/>
      <c r="AG7563" s="3"/>
      <c r="AH7563" s="3"/>
    </row>
    <row r="7564" spans="1:34" ht="14.25" customHeight="1" x14ac:dyDescent="0.25">
      <c r="A7564" s="3"/>
      <c r="B7564" s="3"/>
      <c r="C7564" s="3"/>
      <c r="D7564" s="3"/>
      <c r="E7564" s="3"/>
      <c r="F7564" s="3"/>
      <c r="G7564" s="3"/>
      <c r="H7564" s="11"/>
      <c r="I7564" s="12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  <c r="AA7564" s="3"/>
      <c r="AB7564" s="3"/>
      <c r="AC7564" s="3"/>
      <c r="AD7564" s="3"/>
      <c r="AE7564" s="3"/>
      <c r="AF7564" s="3"/>
      <c r="AG7564" s="3"/>
      <c r="AH7564" s="3"/>
    </row>
    <row r="7565" spans="1:34" ht="14.25" customHeight="1" x14ac:dyDescent="0.25">
      <c r="A7565" s="3"/>
      <c r="B7565" s="3"/>
      <c r="C7565" s="3"/>
      <c r="D7565" s="3"/>
      <c r="E7565" s="3"/>
      <c r="F7565" s="3"/>
      <c r="G7565" s="3"/>
      <c r="H7565" s="11"/>
      <c r="I7565" s="12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  <c r="AA7565" s="3"/>
      <c r="AB7565" s="3"/>
      <c r="AC7565" s="3"/>
      <c r="AD7565" s="3"/>
      <c r="AE7565" s="3"/>
      <c r="AF7565" s="3"/>
      <c r="AG7565" s="3"/>
      <c r="AH7565" s="3"/>
    </row>
    <row r="7566" spans="1:34" ht="14.25" customHeight="1" x14ac:dyDescent="0.25">
      <c r="A7566" s="3"/>
      <c r="B7566" s="3"/>
      <c r="C7566" s="3"/>
      <c r="D7566" s="3"/>
      <c r="E7566" s="3"/>
      <c r="F7566" s="3"/>
      <c r="G7566" s="3"/>
      <c r="H7566" s="11"/>
      <c r="I7566" s="12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  <c r="AA7566" s="3"/>
      <c r="AB7566" s="3"/>
      <c r="AC7566" s="3"/>
      <c r="AD7566" s="3"/>
      <c r="AE7566" s="3"/>
      <c r="AF7566" s="3"/>
      <c r="AG7566" s="3"/>
      <c r="AH7566" s="3"/>
    </row>
    <row r="7567" spans="1:34" ht="14.25" customHeight="1" x14ac:dyDescent="0.25">
      <c r="A7567" s="3"/>
      <c r="B7567" s="3"/>
      <c r="C7567" s="3"/>
      <c r="D7567" s="3"/>
      <c r="E7567" s="3"/>
      <c r="F7567" s="3"/>
      <c r="G7567" s="3"/>
      <c r="H7567" s="11"/>
      <c r="I7567" s="12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  <c r="AA7567" s="3"/>
      <c r="AB7567" s="3"/>
      <c r="AC7567" s="3"/>
      <c r="AD7567" s="3"/>
      <c r="AE7567" s="3"/>
      <c r="AF7567" s="3"/>
      <c r="AG7567" s="3"/>
      <c r="AH7567" s="3"/>
    </row>
    <row r="7568" spans="1:34" ht="14.25" customHeight="1" x14ac:dyDescent="0.25">
      <c r="A7568" s="3"/>
      <c r="B7568" s="3"/>
      <c r="C7568" s="3"/>
      <c r="D7568" s="3"/>
      <c r="E7568" s="3"/>
      <c r="F7568" s="3"/>
      <c r="G7568" s="3"/>
      <c r="H7568" s="11"/>
      <c r="I7568" s="12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  <c r="AA7568" s="3"/>
      <c r="AB7568" s="3"/>
      <c r="AC7568" s="3"/>
      <c r="AD7568" s="3"/>
      <c r="AE7568" s="3"/>
      <c r="AF7568" s="3"/>
      <c r="AG7568" s="3"/>
      <c r="AH7568" s="3"/>
    </row>
    <row r="7569" spans="1:34" ht="14.25" customHeight="1" x14ac:dyDescent="0.25">
      <c r="A7569" s="3"/>
      <c r="B7569" s="3"/>
      <c r="C7569" s="3"/>
      <c r="D7569" s="3"/>
      <c r="E7569" s="3"/>
      <c r="F7569" s="3"/>
      <c r="G7569" s="3"/>
      <c r="H7569" s="11"/>
      <c r="I7569" s="12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  <c r="AA7569" s="3"/>
      <c r="AB7569" s="3"/>
      <c r="AC7569" s="3"/>
      <c r="AD7569" s="3"/>
      <c r="AE7569" s="3"/>
      <c r="AF7569" s="3"/>
      <c r="AG7569" s="3"/>
      <c r="AH7569" s="3"/>
    </row>
    <row r="7570" spans="1:34" ht="14.25" customHeight="1" x14ac:dyDescent="0.25">
      <c r="A7570" s="3"/>
      <c r="B7570" s="3"/>
      <c r="C7570" s="3"/>
      <c r="D7570" s="3"/>
      <c r="E7570" s="3"/>
      <c r="F7570" s="3"/>
      <c r="G7570" s="3"/>
      <c r="H7570" s="11"/>
      <c r="I7570" s="12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  <c r="AA7570" s="3"/>
      <c r="AB7570" s="3"/>
      <c r="AC7570" s="3"/>
      <c r="AD7570" s="3"/>
      <c r="AE7570" s="3"/>
      <c r="AF7570" s="3"/>
      <c r="AG7570" s="3"/>
      <c r="AH7570" s="3"/>
    </row>
    <row r="7571" spans="1:34" ht="14.25" customHeight="1" x14ac:dyDescent="0.25">
      <c r="A7571" s="3"/>
      <c r="B7571" s="3"/>
      <c r="C7571" s="3"/>
      <c r="D7571" s="3"/>
      <c r="E7571" s="3"/>
      <c r="F7571" s="3"/>
      <c r="G7571" s="3"/>
      <c r="H7571" s="11"/>
      <c r="I7571" s="12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  <c r="AA7571" s="3"/>
      <c r="AB7571" s="3"/>
      <c r="AC7571" s="3"/>
      <c r="AD7571" s="3"/>
      <c r="AE7571" s="3"/>
      <c r="AF7571" s="3"/>
      <c r="AG7571" s="3"/>
      <c r="AH7571" s="3"/>
    </row>
    <row r="7572" spans="1:34" ht="14.25" customHeight="1" x14ac:dyDescent="0.25">
      <c r="A7572" s="3"/>
      <c r="B7572" s="3"/>
      <c r="C7572" s="3"/>
      <c r="D7572" s="3"/>
      <c r="E7572" s="3"/>
      <c r="F7572" s="3"/>
      <c r="G7572" s="3"/>
      <c r="H7572" s="11"/>
      <c r="I7572" s="12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  <c r="AA7572" s="3"/>
      <c r="AB7572" s="3"/>
      <c r="AC7572" s="3"/>
      <c r="AD7572" s="3"/>
      <c r="AE7572" s="3"/>
      <c r="AF7572" s="3"/>
      <c r="AG7572" s="3"/>
      <c r="AH7572" s="3"/>
    </row>
    <row r="7573" spans="1:34" ht="14.25" customHeight="1" x14ac:dyDescent="0.25">
      <c r="A7573" s="3"/>
      <c r="B7573" s="3"/>
      <c r="C7573" s="3"/>
      <c r="D7573" s="3"/>
      <c r="E7573" s="3"/>
      <c r="F7573" s="3"/>
      <c r="G7573" s="3"/>
      <c r="H7573" s="11"/>
      <c r="I7573" s="12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  <c r="AA7573" s="3"/>
      <c r="AB7573" s="3"/>
      <c r="AC7573" s="3"/>
      <c r="AD7573" s="3"/>
      <c r="AE7573" s="3"/>
      <c r="AF7573" s="3"/>
      <c r="AG7573" s="3"/>
      <c r="AH7573" s="3"/>
    </row>
    <row r="7574" spans="1:34" ht="14.25" customHeight="1" x14ac:dyDescent="0.25">
      <c r="A7574" s="3"/>
      <c r="B7574" s="3"/>
      <c r="C7574" s="3"/>
      <c r="D7574" s="3"/>
      <c r="E7574" s="3"/>
      <c r="F7574" s="3"/>
      <c r="G7574" s="3"/>
      <c r="H7574" s="11"/>
      <c r="I7574" s="12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  <c r="AA7574" s="3"/>
      <c r="AB7574" s="3"/>
      <c r="AC7574" s="3"/>
      <c r="AD7574" s="3"/>
      <c r="AE7574" s="3"/>
      <c r="AF7574" s="3"/>
      <c r="AG7574" s="3"/>
      <c r="AH7574" s="3"/>
    </row>
    <row r="7575" spans="1:34" ht="14.25" customHeight="1" x14ac:dyDescent="0.25">
      <c r="A7575" s="3"/>
      <c r="B7575" s="3"/>
      <c r="C7575" s="3"/>
      <c r="D7575" s="3"/>
      <c r="E7575" s="3"/>
      <c r="F7575" s="3"/>
      <c r="G7575" s="3"/>
      <c r="H7575" s="11"/>
      <c r="I7575" s="12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  <c r="AA7575" s="3"/>
      <c r="AB7575" s="3"/>
      <c r="AC7575" s="3"/>
      <c r="AD7575" s="3"/>
      <c r="AE7575" s="3"/>
      <c r="AF7575" s="3"/>
      <c r="AG7575" s="3"/>
      <c r="AH7575" s="3"/>
    </row>
    <row r="7576" spans="1:34" ht="14.25" customHeight="1" x14ac:dyDescent="0.25">
      <c r="A7576" s="3"/>
      <c r="B7576" s="3"/>
      <c r="C7576" s="3"/>
      <c r="D7576" s="3"/>
      <c r="E7576" s="3"/>
      <c r="F7576" s="3"/>
      <c r="G7576" s="3"/>
      <c r="H7576" s="11"/>
      <c r="I7576" s="12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  <c r="AA7576" s="3"/>
      <c r="AB7576" s="3"/>
      <c r="AC7576" s="3"/>
      <c r="AD7576" s="3"/>
      <c r="AE7576" s="3"/>
      <c r="AF7576" s="3"/>
      <c r="AG7576" s="3"/>
      <c r="AH7576" s="3"/>
    </row>
    <row r="7577" spans="1:34" ht="14.25" customHeight="1" x14ac:dyDescent="0.25">
      <c r="A7577" s="3"/>
      <c r="B7577" s="3"/>
      <c r="C7577" s="3"/>
      <c r="D7577" s="3"/>
      <c r="E7577" s="3"/>
      <c r="F7577" s="3"/>
      <c r="G7577" s="3"/>
      <c r="H7577" s="11"/>
      <c r="I7577" s="12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  <c r="AA7577" s="3"/>
      <c r="AB7577" s="3"/>
      <c r="AC7577" s="3"/>
      <c r="AD7577" s="3"/>
      <c r="AE7577" s="3"/>
      <c r="AF7577" s="3"/>
      <c r="AG7577" s="3"/>
      <c r="AH7577" s="3"/>
    </row>
    <row r="7578" spans="1:34" ht="14.25" customHeight="1" x14ac:dyDescent="0.25">
      <c r="A7578" s="3"/>
      <c r="B7578" s="3"/>
      <c r="C7578" s="3"/>
      <c r="D7578" s="3"/>
      <c r="E7578" s="3"/>
      <c r="F7578" s="3"/>
      <c r="G7578" s="3"/>
      <c r="H7578" s="11"/>
      <c r="I7578" s="12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  <c r="AA7578" s="3"/>
      <c r="AB7578" s="3"/>
      <c r="AC7578" s="3"/>
      <c r="AD7578" s="3"/>
      <c r="AE7578" s="3"/>
      <c r="AF7578" s="3"/>
      <c r="AG7578" s="3"/>
      <c r="AH7578" s="3"/>
    </row>
    <row r="7579" spans="1:34" ht="14.25" customHeight="1" x14ac:dyDescent="0.25">
      <c r="A7579" s="3"/>
      <c r="B7579" s="3"/>
      <c r="C7579" s="3"/>
      <c r="D7579" s="3"/>
      <c r="E7579" s="3"/>
      <c r="F7579" s="3"/>
      <c r="G7579" s="3"/>
      <c r="H7579" s="11"/>
      <c r="I7579" s="12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  <c r="AA7579" s="3"/>
      <c r="AB7579" s="3"/>
      <c r="AC7579" s="3"/>
      <c r="AD7579" s="3"/>
      <c r="AE7579" s="3"/>
      <c r="AF7579" s="3"/>
      <c r="AG7579" s="3"/>
      <c r="AH7579" s="3"/>
    </row>
    <row r="7580" spans="1:34" ht="14.25" customHeight="1" x14ac:dyDescent="0.25">
      <c r="A7580" s="3"/>
      <c r="B7580" s="3"/>
      <c r="C7580" s="3"/>
      <c r="D7580" s="3"/>
      <c r="E7580" s="3"/>
      <c r="F7580" s="3"/>
      <c r="G7580" s="3"/>
      <c r="H7580" s="11"/>
      <c r="I7580" s="12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  <c r="AA7580" s="3"/>
      <c r="AB7580" s="3"/>
      <c r="AC7580" s="3"/>
      <c r="AD7580" s="3"/>
      <c r="AE7580" s="3"/>
      <c r="AF7580" s="3"/>
      <c r="AG7580" s="3"/>
      <c r="AH7580" s="3"/>
    </row>
    <row r="7581" spans="1:34" ht="14.25" customHeight="1" x14ac:dyDescent="0.25">
      <c r="A7581" s="3"/>
      <c r="B7581" s="3"/>
      <c r="C7581" s="3"/>
      <c r="D7581" s="3"/>
      <c r="E7581" s="3"/>
      <c r="F7581" s="3"/>
      <c r="G7581" s="3"/>
      <c r="H7581" s="11"/>
      <c r="I7581" s="12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  <c r="AA7581" s="3"/>
      <c r="AB7581" s="3"/>
      <c r="AC7581" s="3"/>
      <c r="AD7581" s="3"/>
      <c r="AE7581" s="3"/>
      <c r="AF7581" s="3"/>
      <c r="AG7581" s="3"/>
      <c r="AH7581" s="3"/>
    </row>
    <row r="7582" spans="1:34" ht="14.25" customHeight="1" x14ac:dyDescent="0.25">
      <c r="A7582" s="3"/>
      <c r="B7582" s="3"/>
      <c r="C7582" s="3"/>
      <c r="D7582" s="3"/>
      <c r="E7582" s="3"/>
      <c r="F7582" s="3"/>
      <c r="G7582" s="3"/>
      <c r="H7582" s="11"/>
      <c r="I7582" s="12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  <c r="AA7582" s="3"/>
      <c r="AB7582" s="3"/>
      <c r="AC7582" s="3"/>
      <c r="AD7582" s="3"/>
      <c r="AE7582" s="3"/>
      <c r="AF7582" s="3"/>
      <c r="AG7582" s="3"/>
      <c r="AH7582" s="3"/>
    </row>
    <row r="7583" spans="1:34" ht="14.25" customHeight="1" x14ac:dyDescent="0.25">
      <c r="A7583" s="3"/>
      <c r="B7583" s="3"/>
      <c r="C7583" s="3"/>
      <c r="D7583" s="3"/>
      <c r="E7583" s="3"/>
      <c r="F7583" s="3"/>
      <c r="G7583" s="3"/>
      <c r="H7583" s="11"/>
      <c r="I7583" s="12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  <c r="AA7583" s="3"/>
      <c r="AB7583" s="3"/>
      <c r="AC7583" s="3"/>
      <c r="AD7583" s="3"/>
      <c r="AE7583" s="3"/>
      <c r="AF7583" s="3"/>
      <c r="AG7583" s="3"/>
      <c r="AH7583" s="3"/>
    </row>
    <row r="7584" spans="1:34" ht="14.25" customHeight="1" x14ac:dyDescent="0.25">
      <c r="A7584" s="3"/>
      <c r="B7584" s="3"/>
      <c r="C7584" s="3"/>
      <c r="D7584" s="3"/>
      <c r="E7584" s="3"/>
      <c r="F7584" s="3"/>
      <c r="G7584" s="3"/>
      <c r="H7584" s="11"/>
      <c r="I7584" s="12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  <c r="AA7584" s="3"/>
      <c r="AB7584" s="3"/>
      <c r="AC7584" s="3"/>
      <c r="AD7584" s="3"/>
      <c r="AE7584" s="3"/>
      <c r="AF7584" s="3"/>
      <c r="AG7584" s="3"/>
      <c r="AH7584" s="3"/>
    </row>
    <row r="7585" spans="1:34" ht="14.25" customHeight="1" x14ac:dyDescent="0.25">
      <c r="A7585" s="3"/>
      <c r="B7585" s="3"/>
      <c r="C7585" s="3"/>
      <c r="D7585" s="3"/>
      <c r="E7585" s="3"/>
      <c r="F7585" s="3"/>
      <c r="G7585" s="3"/>
      <c r="H7585" s="11"/>
      <c r="I7585" s="12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  <c r="AA7585" s="3"/>
      <c r="AB7585" s="3"/>
      <c r="AC7585" s="3"/>
      <c r="AD7585" s="3"/>
      <c r="AE7585" s="3"/>
      <c r="AF7585" s="3"/>
      <c r="AG7585" s="3"/>
      <c r="AH7585" s="3"/>
    </row>
    <row r="7586" spans="1:34" ht="14.25" customHeight="1" x14ac:dyDescent="0.25">
      <c r="A7586" s="3"/>
      <c r="B7586" s="3"/>
      <c r="C7586" s="3"/>
      <c r="D7586" s="3"/>
      <c r="E7586" s="3"/>
      <c r="F7586" s="3"/>
      <c r="G7586" s="3"/>
      <c r="H7586" s="11"/>
      <c r="I7586" s="12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  <c r="AA7586" s="3"/>
      <c r="AB7586" s="3"/>
      <c r="AC7586" s="3"/>
      <c r="AD7586" s="3"/>
      <c r="AE7586" s="3"/>
      <c r="AF7586" s="3"/>
      <c r="AG7586" s="3"/>
      <c r="AH7586" s="3"/>
    </row>
    <row r="7587" spans="1:34" ht="14.25" customHeight="1" x14ac:dyDescent="0.25">
      <c r="A7587" s="3"/>
      <c r="B7587" s="3"/>
      <c r="C7587" s="3"/>
      <c r="D7587" s="3"/>
      <c r="E7587" s="3"/>
      <c r="F7587" s="3"/>
      <c r="G7587" s="3"/>
      <c r="H7587" s="11"/>
      <c r="I7587" s="12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  <c r="AA7587" s="3"/>
      <c r="AB7587" s="3"/>
      <c r="AC7587" s="3"/>
      <c r="AD7587" s="3"/>
      <c r="AE7587" s="3"/>
      <c r="AF7587" s="3"/>
      <c r="AG7587" s="3"/>
      <c r="AH7587" s="3"/>
    </row>
    <row r="7588" spans="1:34" ht="14.25" customHeight="1" x14ac:dyDescent="0.25">
      <c r="A7588" s="3"/>
      <c r="B7588" s="3"/>
      <c r="C7588" s="3"/>
      <c r="D7588" s="3"/>
      <c r="E7588" s="3"/>
      <c r="F7588" s="3"/>
      <c r="G7588" s="3"/>
      <c r="H7588" s="11"/>
      <c r="I7588" s="12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  <c r="AA7588" s="3"/>
      <c r="AB7588" s="3"/>
      <c r="AC7588" s="3"/>
      <c r="AD7588" s="3"/>
      <c r="AE7588" s="3"/>
      <c r="AF7588" s="3"/>
      <c r="AG7588" s="3"/>
      <c r="AH7588" s="3"/>
    </row>
    <row r="7589" spans="1:34" ht="14.25" customHeight="1" x14ac:dyDescent="0.25">
      <c r="A7589" s="3"/>
      <c r="B7589" s="3"/>
      <c r="C7589" s="3"/>
      <c r="D7589" s="3"/>
      <c r="E7589" s="3"/>
      <c r="F7589" s="3"/>
      <c r="G7589" s="3"/>
      <c r="H7589" s="11"/>
      <c r="I7589" s="12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  <c r="AA7589" s="3"/>
      <c r="AB7589" s="3"/>
      <c r="AC7589" s="3"/>
      <c r="AD7589" s="3"/>
      <c r="AE7589" s="3"/>
      <c r="AF7589" s="3"/>
      <c r="AG7589" s="3"/>
      <c r="AH7589" s="3"/>
    </row>
    <row r="7590" spans="1:34" ht="14.25" customHeight="1" x14ac:dyDescent="0.25">
      <c r="A7590" s="3"/>
      <c r="B7590" s="3"/>
      <c r="C7590" s="3"/>
      <c r="D7590" s="3"/>
      <c r="E7590" s="3"/>
      <c r="F7590" s="3"/>
      <c r="G7590" s="3"/>
      <c r="H7590" s="11"/>
      <c r="I7590" s="12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  <c r="AA7590" s="3"/>
      <c r="AB7590" s="3"/>
      <c r="AC7590" s="3"/>
      <c r="AD7590" s="3"/>
      <c r="AE7590" s="3"/>
      <c r="AF7590" s="3"/>
      <c r="AG7590" s="3"/>
      <c r="AH7590" s="3"/>
    </row>
    <row r="7591" spans="1:34" ht="14.25" customHeight="1" x14ac:dyDescent="0.25">
      <c r="A7591" s="3"/>
      <c r="B7591" s="3"/>
      <c r="C7591" s="3"/>
      <c r="D7591" s="3"/>
      <c r="E7591" s="3"/>
      <c r="F7591" s="3"/>
      <c r="G7591" s="3"/>
      <c r="H7591" s="11"/>
      <c r="I7591" s="12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  <c r="AA7591" s="3"/>
      <c r="AB7591" s="3"/>
      <c r="AC7591" s="3"/>
      <c r="AD7591" s="3"/>
      <c r="AE7591" s="3"/>
      <c r="AF7591" s="3"/>
      <c r="AG7591" s="3"/>
      <c r="AH7591" s="3"/>
    </row>
    <row r="7592" spans="1:34" ht="14.25" customHeight="1" x14ac:dyDescent="0.25">
      <c r="A7592" s="3"/>
      <c r="B7592" s="3"/>
      <c r="C7592" s="3"/>
      <c r="D7592" s="3"/>
      <c r="E7592" s="3"/>
      <c r="F7592" s="3"/>
      <c r="G7592" s="3"/>
      <c r="H7592" s="11"/>
      <c r="I7592" s="12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  <c r="AA7592" s="3"/>
      <c r="AB7592" s="3"/>
      <c r="AC7592" s="3"/>
      <c r="AD7592" s="3"/>
      <c r="AE7592" s="3"/>
      <c r="AF7592" s="3"/>
      <c r="AG7592" s="3"/>
      <c r="AH7592" s="3"/>
    </row>
    <row r="7593" spans="1:34" ht="14.25" customHeight="1" x14ac:dyDescent="0.25">
      <c r="A7593" s="3"/>
      <c r="B7593" s="3"/>
      <c r="C7593" s="3"/>
      <c r="D7593" s="3"/>
      <c r="E7593" s="3"/>
      <c r="F7593" s="3"/>
      <c r="G7593" s="3"/>
      <c r="H7593" s="11"/>
      <c r="I7593" s="12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  <c r="AA7593" s="3"/>
      <c r="AB7593" s="3"/>
      <c r="AC7593" s="3"/>
      <c r="AD7593" s="3"/>
      <c r="AE7593" s="3"/>
      <c r="AF7593" s="3"/>
      <c r="AG7593" s="3"/>
      <c r="AH7593" s="3"/>
    </row>
    <row r="7594" spans="1:34" ht="14.25" customHeight="1" x14ac:dyDescent="0.25">
      <c r="A7594" s="3"/>
      <c r="B7594" s="3"/>
      <c r="C7594" s="3"/>
      <c r="D7594" s="3"/>
      <c r="E7594" s="3"/>
      <c r="F7594" s="3"/>
      <c r="G7594" s="3"/>
      <c r="H7594" s="11"/>
      <c r="I7594" s="12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  <c r="AA7594" s="3"/>
      <c r="AB7594" s="3"/>
      <c r="AC7594" s="3"/>
      <c r="AD7594" s="3"/>
      <c r="AE7594" s="3"/>
      <c r="AF7594" s="3"/>
      <c r="AG7594" s="3"/>
      <c r="AH7594" s="3"/>
    </row>
    <row r="7595" spans="1:34" ht="14.25" customHeight="1" x14ac:dyDescent="0.25">
      <c r="A7595" s="3"/>
      <c r="B7595" s="3"/>
      <c r="C7595" s="3"/>
      <c r="D7595" s="3"/>
      <c r="E7595" s="3"/>
      <c r="F7595" s="3"/>
      <c r="G7595" s="3"/>
      <c r="H7595" s="11"/>
      <c r="I7595" s="12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  <c r="AA7595" s="3"/>
      <c r="AB7595" s="3"/>
      <c r="AC7595" s="3"/>
      <c r="AD7595" s="3"/>
      <c r="AE7595" s="3"/>
      <c r="AF7595" s="3"/>
      <c r="AG7595" s="3"/>
      <c r="AH7595" s="3"/>
    </row>
    <row r="7596" spans="1:34" ht="14.25" customHeight="1" x14ac:dyDescent="0.25">
      <c r="A7596" s="3"/>
      <c r="B7596" s="3"/>
      <c r="C7596" s="3"/>
      <c r="D7596" s="3"/>
      <c r="E7596" s="3"/>
      <c r="F7596" s="3"/>
      <c r="G7596" s="3"/>
      <c r="H7596" s="11"/>
      <c r="I7596" s="12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  <c r="AA7596" s="3"/>
      <c r="AB7596" s="3"/>
      <c r="AC7596" s="3"/>
      <c r="AD7596" s="3"/>
      <c r="AE7596" s="3"/>
      <c r="AF7596" s="3"/>
      <c r="AG7596" s="3"/>
      <c r="AH7596" s="3"/>
    </row>
    <row r="7597" spans="1:34" ht="14.25" customHeight="1" x14ac:dyDescent="0.25">
      <c r="A7597" s="3"/>
      <c r="B7597" s="3"/>
      <c r="C7597" s="3"/>
      <c r="D7597" s="3"/>
      <c r="E7597" s="3"/>
      <c r="F7597" s="3"/>
      <c r="G7597" s="3"/>
      <c r="H7597" s="11"/>
      <c r="I7597" s="12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  <c r="AA7597" s="3"/>
      <c r="AB7597" s="3"/>
      <c r="AC7597" s="3"/>
      <c r="AD7597" s="3"/>
      <c r="AE7597" s="3"/>
      <c r="AF7597" s="3"/>
      <c r="AG7597" s="3"/>
      <c r="AH7597" s="3"/>
    </row>
    <row r="7598" spans="1:34" ht="14.25" customHeight="1" x14ac:dyDescent="0.25">
      <c r="A7598" s="3"/>
      <c r="B7598" s="3"/>
      <c r="C7598" s="3"/>
      <c r="D7598" s="3"/>
      <c r="E7598" s="3"/>
      <c r="F7598" s="3"/>
      <c r="G7598" s="3"/>
      <c r="H7598" s="11"/>
      <c r="I7598" s="12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  <c r="AA7598" s="3"/>
      <c r="AB7598" s="3"/>
      <c r="AC7598" s="3"/>
      <c r="AD7598" s="3"/>
      <c r="AE7598" s="3"/>
      <c r="AF7598" s="3"/>
      <c r="AG7598" s="3"/>
      <c r="AH7598" s="3"/>
    </row>
    <row r="7599" spans="1:34" ht="14.25" customHeight="1" x14ac:dyDescent="0.25">
      <c r="A7599" s="3"/>
      <c r="B7599" s="3"/>
      <c r="C7599" s="3"/>
      <c r="D7599" s="3"/>
      <c r="E7599" s="3"/>
      <c r="F7599" s="3"/>
      <c r="G7599" s="3"/>
      <c r="H7599" s="11"/>
      <c r="I7599" s="12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  <c r="AA7599" s="3"/>
      <c r="AB7599" s="3"/>
      <c r="AC7599" s="3"/>
      <c r="AD7599" s="3"/>
      <c r="AE7599" s="3"/>
      <c r="AF7599" s="3"/>
      <c r="AG7599" s="3"/>
      <c r="AH7599" s="3"/>
    </row>
    <row r="7600" spans="1:34" ht="14.25" customHeight="1" x14ac:dyDescent="0.25">
      <c r="A7600" s="3"/>
      <c r="B7600" s="3"/>
      <c r="C7600" s="3"/>
      <c r="D7600" s="3"/>
      <c r="E7600" s="3"/>
      <c r="F7600" s="3"/>
      <c r="G7600" s="3"/>
      <c r="H7600" s="11"/>
      <c r="I7600" s="12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  <c r="AA7600" s="3"/>
      <c r="AB7600" s="3"/>
      <c r="AC7600" s="3"/>
      <c r="AD7600" s="3"/>
      <c r="AE7600" s="3"/>
      <c r="AF7600" s="3"/>
      <c r="AG7600" s="3"/>
      <c r="AH7600" s="3"/>
    </row>
    <row r="7601" spans="1:34" ht="14.25" customHeight="1" x14ac:dyDescent="0.25">
      <c r="A7601" s="3"/>
      <c r="B7601" s="3"/>
      <c r="C7601" s="3"/>
      <c r="D7601" s="3"/>
      <c r="E7601" s="3"/>
      <c r="F7601" s="3"/>
      <c r="G7601" s="3"/>
      <c r="H7601" s="11"/>
      <c r="I7601" s="12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  <c r="AA7601" s="3"/>
      <c r="AB7601" s="3"/>
      <c r="AC7601" s="3"/>
      <c r="AD7601" s="3"/>
      <c r="AE7601" s="3"/>
      <c r="AF7601" s="3"/>
      <c r="AG7601" s="3"/>
      <c r="AH7601" s="3"/>
    </row>
    <row r="7602" spans="1:34" ht="14.25" customHeight="1" x14ac:dyDescent="0.25">
      <c r="A7602" s="3"/>
      <c r="B7602" s="3"/>
      <c r="C7602" s="3"/>
      <c r="D7602" s="3"/>
      <c r="E7602" s="3"/>
      <c r="F7602" s="3"/>
      <c r="G7602" s="3"/>
      <c r="H7602" s="11"/>
      <c r="I7602" s="12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  <c r="AA7602" s="3"/>
      <c r="AB7602" s="3"/>
      <c r="AC7602" s="3"/>
      <c r="AD7602" s="3"/>
      <c r="AE7602" s="3"/>
      <c r="AF7602" s="3"/>
      <c r="AG7602" s="3"/>
      <c r="AH7602" s="3"/>
    </row>
    <row r="7603" spans="1:34" ht="14.25" customHeight="1" x14ac:dyDescent="0.25">
      <c r="A7603" s="3"/>
      <c r="B7603" s="3"/>
      <c r="C7603" s="3"/>
      <c r="D7603" s="3"/>
      <c r="E7603" s="3"/>
      <c r="F7603" s="3"/>
      <c r="G7603" s="3"/>
      <c r="H7603" s="11"/>
      <c r="I7603" s="12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  <c r="AA7603" s="3"/>
      <c r="AB7603" s="3"/>
      <c r="AC7603" s="3"/>
      <c r="AD7603" s="3"/>
      <c r="AE7603" s="3"/>
      <c r="AF7603" s="3"/>
      <c r="AG7603" s="3"/>
      <c r="AH7603" s="3"/>
    </row>
    <row r="7604" spans="1:34" ht="14.25" customHeight="1" x14ac:dyDescent="0.25">
      <c r="A7604" s="3"/>
      <c r="B7604" s="3"/>
      <c r="C7604" s="3"/>
      <c r="D7604" s="3"/>
      <c r="E7604" s="3"/>
      <c r="F7604" s="3"/>
      <c r="G7604" s="3"/>
      <c r="H7604" s="11"/>
      <c r="I7604" s="12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  <c r="AA7604" s="3"/>
      <c r="AB7604" s="3"/>
      <c r="AC7604" s="3"/>
      <c r="AD7604" s="3"/>
      <c r="AE7604" s="3"/>
      <c r="AF7604" s="3"/>
      <c r="AG7604" s="3"/>
      <c r="AH7604" s="3"/>
    </row>
    <row r="7605" spans="1:34" ht="14.25" customHeight="1" x14ac:dyDescent="0.25">
      <c r="A7605" s="3"/>
      <c r="B7605" s="3"/>
      <c r="C7605" s="3"/>
      <c r="D7605" s="3"/>
      <c r="E7605" s="3"/>
      <c r="F7605" s="3"/>
      <c r="G7605" s="3"/>
      <c r="H7605" s="11"/>
      <c r="I7605" s="12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  <c r="AA7605" s="3"/>
      <c r="AB7605" s="3"/>
      <c r="AC7605" s="3"/>
      <c r="AD7605" s="3"/>
      <c r="AE7605" s="3"/>
      <c r="AF7605" s="3"/>
      <c r="AG7605" s="3"/>
      <c r="AH7605" s="3"/>
    </row>
    <row r="7606" spans="1:34" ht="14.25" customHeight="1" x14ac:dyDescent="0.25">
      <c r="A7606" s="3"/>
      <c r="B7606" s="3"/>
      <c r="C7606" s="3"/>
      <c r="D7606" s="3"/>
      <c r="E7606" s="3"/>
      <c r="F7606" s="3"/>
      <c r="G7606" s="3"/>
      <c r="H7606" s="11"/>
      <c r="I7606" s="12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  <c r="AA7606" s="3"/>
      <c r="AB7606" s="3"/>
      <c r="AC7606" s="3"/>
      <c r="AD7606" s="3"/>
      <c r="AE7606" s="3"/>
      <c r="AF7606" s="3"/>
      <c r="AG7606" s="3"/>
      <c r="AH7606" s="3"/>
    </row>
    <row r="7607" spans="1:34" ht="14.25" customHeight="1" x14ac:dyDescent="0.25">
      <c r="A7607" s="3"/>
      <c r="B7607" s="3"/>
      <c r="C7607" s="3"/>
      <c r="D7607" s="3"/>
      <c r="E7607" s="3"/>
      <c r="F7607" s="3"/>
      <c r="G7607" s="3"/>
      <c r="H7607" s="11"/>
      <c r="I7607" s="12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  <c r="AA7607" s="3"/>
      <c r="AB7607" s="3"/>
      <c r="AC7607" s="3"/>
      <c r="AD7607" s="3"/>
      <c r="AE7607" s="3"/>
      <c r="AF7607" s="3"/>
      <c r="AG7607" s="3"/>
      <c r="AH7607" s="3"/>
    </row>
    <row r="7608" spans="1:34" ht="14.25" customHeight="1" x14ac:dyDescent="0.25">
      <c r="A7608" s="3"/>
      <c r="B7608" s="3"/>
      <c r="C7608" s="3"/>
      <c r="D7608" s="3"/>
      <c r="E7608" s="3"/>
      <c r="F7608" s="3"/>
      <c r="G7608" s="3"/>
      <c r="H7608" s="11"/>
      <c r="I7608" s="12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  <c r="AA7608" s="3"/>
      <c r="AB7608" s="3"/>
      <c r="AC7608" s="3"/>
      <c r="AD7608" s="3"/>
      <c r="AE7608" s="3"/>
      <c r="AF7608" s="3"/>
      <c r="AG7608" s="3"/>
      <c r="AH7608" s="3"/>
    </row>
    <row r="7609" spans="1:34" ht="14.25" customHeight="1" x14ac:dyDescent="0.25">
      <c r="A7609" s="3"/>
      <c r="B7609" s="3"/>
      <c r="C7609" s="3"/>
      <c r="D7609" s="3"/>
      <c r="E7609" s="3"/>
      <c r="F7609" s="3"/>
      <c r="G7609" s="3"/>
      <c r="H7609" s="11"/>
      <c r="I7609" s="12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  <c r="AA7609" s="3"/>
      <c r="AB7609" s="3"/>
      <c r="AC7609" s="3"/>
      <c r="AD7609" s="3"/>
      <c r="AE7609" s="3"/>
      <c r="AF7609" s="3"/>
      <c r="AG7609" s="3"/>
      <c r="AH7609" s="3"/>
    </row>
    <row r="7610" spans="1:34" ht="14.25" customHeight="1" x14ac:dyDescent="0.25">
      <c r="A7610" s="3"/>
      <c r="B7610" s="3"/>
      <c r="C7610" s="3"/>
      <c r="D7610" s="3"/>
      <c r="E7610" s="3"/>
      <c r="F7610" s="3"/>
      <c r="G7610" s="3"/>
      <c r="H7610" s="11"/>
      <c r="I7610" s="12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  <c r="AA7610" s="3"/>
      <c r="AB7610" s="3"/>
      <c r="AC7610" s="3"/>
      <c r="AD7610" s="3"/>
      <c r="AE7610" s="3"/>
      <c r="AF7610" s="3"/>
      <c r="AG7610" s="3"/>
      <c r="AH7610" s="3"/>
    </row>
    <row r="7611" spans="1:34" ht="14.25" customHeight="1" x14ac:dyDescent="0.25">
      <c r="A7611" s="3"/>
      <c r="B7611" s="3"/>
      <c r="C7611" s="3"/>
      <c r="D7611" s="3"/>
      <c r="E7611" s="3"/>
      <c r="F7611" s="3"/>
      <c r="G7611" s="3"/>
      <c r="H7611" s="11"/>
      <c r="I7611" s="12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  <c r="AA7611" s="3"/>
      <c r="AB7611" s="3"/>
      <c r="AC7611" s="3"/>
      <c r="AD7611" s="3"/>
      <c r="AE7611" s="3"/>
      <c r="AF7611" s="3"/>
      <c r="AG7611" s="3"/>
      <c r="AH7611" s="3"/>
    </row>
    <row r="7612" spans="1:34" ht="14.25" customHeight="1" x14ac:dyDescent="0.25">
      <c r="A7612" s="3"/>
      <c r="B7612" s="3"/>
      <c r="C7612" s="3"/>
      <c r="D7612" s="3"/>
      <c r="E7612" s="3"/>
      <c r="F7612" s="3"/>
      <c r="G7612" s="3"/>
      <c r="H7612" s="11"/>
      <c r="I7612" s="12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  <c r="AA7612" s="3"/>
      <c r="AB7612" s="3"/>
      <c r="AC7612" s="3"/>
      <c r="AD7612" s="3"/>
      <c r="AE7612" s="3"/>
      <c r="AF7612" s="3"/>
      <c r="AG7612" s="3"/>
      <c r="AH7612" s="3"/>
    </row>
    <row r="7613" spans="1:34" ht="14.25" customHeight="1" x14ac:dyDescent="0.25">
      <c r="A7613" s="3"/>
      <c r="B7613" s="3"/>
      <c r="C7613" s="3"/>
      <c r="D7613" s="3"/>
      <c r="E7613" s="3"/>
      <c r="F7613" s="3"/>
      <c r="G7613" s="3"/>
      <c r="H7613" s="11"/>
      <c r="I7613" s="12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  <c r="AA7613" s="3"/>
      <c r="AB7613" s="3"/>
      <c r="AC7613" s="3"/>
      <c r="AD7613" s="3"/>
      <c r="AE7613" s="3"/>
      <c r="AF7613" s="3"/>
      <c r="AG7613" s="3"/>
      <c r="AH7613" s="3"/>
    </row>
    <row r="7614" spans="1:34" ht="14.25" customHeight="1" x14ac:dyDescent="0.25">
      <c r="A7614" s="3"/>
      <c r="B7614" s="3"/>
      <c r="C7614" s="3"/>
      <c r="D7614" s="3"/>
      <c r="E7614" s="3"/>
      <c r="F7614" s="3"/>
      <c r="G7614" s="3"/>
      <c r="H7614" s="11"/>
      <c r="I7614" s="12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  <c r="AA7614" s="3"/>
      <c r="AB7614" s="3"/>
      <c r="AC7614" s="3"/>
      <c r="AD7614" s="3"/>
      <c r="AE7614" s="3"/>
      <c r="AF7614" s="3"/>
      <c r="AG7614" s="3"/>
      <c r="AH7614" s="3"/>
    </row>
    <row r="7615" spans="1:34" ht="14.25" customHeight="1" x14ac:dyDescent="0.25">
      <c r="A7615" s="3"/>
      <c r="B7615" s="3"/>
      <c r="C7615" s="3"/>
      <c r="D7615" s="3"/>
      <c r="E7615" s="3"/>
      <c r="F7615" s="3"/>
      <c r="G7615" s="3"/>
      <c r="H7615" s="11"/>
      <c r="I7615" s="12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  <c r="AA7615" s="3"/>
      <c r="AB7615" s="3"/>
      <c r="AC7615" s="3"/>
      <c r="AD7615" s="3"/>
      <c r="AE7615" s="3"/>
      <c r="AF7615" s="3"/>
      <c r="AG7615" s="3"/>
      <c r="AH7615" s="3"/>
    </row>
    <row r="7616" spans="1:34" ht="14.25" customHeight="1" x14ac:dyDescent="0.25">
      <c r="A7616" s="3"/>
      <c r="B7616" s="3"/>
      <c r="C7616" s="3"/>
      <c r="D7616" s="3"/>
      <c r="E7616" s="3"/>
      <c r="F7616" s="3"/>
      <c r="G7616" s="3"/>
      <c r="H7616" s="11"/>
      <c r="I7616" s="12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  <c r="AA7616" s="3"/>
      <c r="AB7616" s="3"/>
      <c r="AC7616" s="3"/>
      <c r="AD7616" s="3"/>
      <c r="AE7616" s="3"/>
      <c r="AF7616" s="3"/>
      <c r="AG7616" s="3"/>
      <c r="AH7616" s="3"/>
    </row>
    <row r="7617" spans="1:34" ht="14.25" customHeight="1" x14ac:dyDescent="0.25">
      <c r="A7617" s="3"/>
      <c r="B7617" s="3"/>
      <c r="C7617" s="3"/>
      <c r="D7617" s="3"/>
      <c r="E7617" s="3"/>
      <c r="F7617" s="3"/>
      <c r="G7617" s="3"/>
      <c r="H7617" s="11"/>
      <c r="I7617" s="12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  <c r="AA7617" s="3"/>
      <c r="AB7617" s="3"/>
      <c r="AC7617" s="3"/>
      <c r="AD7617" s="3"/>
      <c r="AE7617" s="3"/>
      <c r="AF7617" s="3"/>
      <c r="AG7617" s="3"/>
      <c r="AH7617" s="3"/>
    </row>
    <row r="7618" spans="1:34" ht="14.25" customHeight="1" x14ac:dyDescent="0.25">
      <c r="A7618" s="3"/>
      <c r="B7618" s="3"/>
      <c r="C7618" s="3"/>
      <c r="D7618" s="3"/>
      <c r="E7618" s="3"/>
      <c r="F7618" s="3"/>
      <c r="G7618" s="3"/>
      <c r="H7618" s="11"/>
      <c r="I7618" s="12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  <c r="AA7618" s="3"/>
      <c r="AB7618" s="3"/>
      <c r="AC7618" s="3"/>
      <c r="AD7618" s="3"/>
      <c r="AE7618" s="3"/>
      <c r="AF7618" s="3"/>
      <c r="AG7618" s="3"/>
      <c r="AH7618" s="3"/>
    </row>
    <row r="7619" spans="1:34" ht="14.25" customHeight="1" x14ac:dyDescent="0.25">
      <c r="A7619" s="3"/>
      <c r="B7619" s="3"/>
      <c r="C7619" s="3"/>
      <c r="D7619" s="3"/>
      <c r="E7619" s="3"/>
      <c r="F7619" s="3"/>
      <c r="G7619" s="3"/>
      <c r="H7619" s="11"/>
      <c r="I7619" s="12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  <c r="AA7619" s="3"/>
      <c r="AB7619" s="3"/>
      <c r="AC7619" s="3"/>
      <c r="AD7619" s="3"/>
      <c r="AE7619" s="3"/>
      <c r="AF7619" s="3"/>
      <c r="AG7619" s="3"/>
      <c r="AH7619" s="3"/>
    </row>
    <row r="7620" spans="1:34" ht="14.25" customHeight="1" x14ac:dyDescent="0.25">
      <c r="A7620" s="3"/>
      <c r="B7620" s="3"/>
      <c r="C7620" s="3"/>
      <c r="D7620" s="3"/>
      <c r="E7620" s="3"/>
      <c r="F7620" s="3"/>
      <c r="G7620" s="3"/>
      <c r="H7620" s="11"/>
      <c r="I7620" s="12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  <c r="AA7620" s="3"/>
      <c r="AB7620" s="3"/>
      <c r="AC7620" s="3"/>
      <c r="AD7620" s="3"/>
      <c r="AE7620" s="3"/>
      <c r="AF7620" s="3"/>
      <c r="AG7620" s="3"/>
      <c r="AH7620" s="3"/>
    </row>
    <row r="7621" spans="1:34" ht="14.25" customHeight="1" x14ac:dyDescent="0.25">
      <c r="A7621" s="3"/>
      <c r="B7621" s="3"/>
      <c r="C7621" s="3"/>
      <c r="D7621" s="3"/>
      <c r="E7621" s="3"/>
      <c r="F7621" s="3"/>
      <c r="G7621" s="3"/>
      <c r="H7621" s="11"/>
      <c r="I7621" s="12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  <c r="AA7621" s="3"/>
      <c r="AB7621" s="3"/>
      <c r="AC7621" s="3"/>
      <c r="AD7621" s="3"/>
      <c r="AE7621" s="3"/>
      <c r="AF7621" s="3"/>
      <c r="AG7621" s="3"/>
      <c r="AH7621" s="3"/>
    </row>
    <row r="7622" spans="1:34" ht="14.25" customHeight="1" x14ac:dyDescent="0.25">
      <c r="A7622" s="3"/>
      <c r="B7622" s="3"/>
      <c r="C7622" s="3"/>
      <c r="D7622" s="3"/>
      <c r="E7622" s="3"/>
      <c r="F7622" s="3"/>
      <c r="G7622" s="3"/>
      <c r="H7622" s="11"/>
      <c r="I7622" s="12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  <c r="AA7622" s="3"/>
      <c r="AB7622" s="3"/>
      <c r="AC7622" s="3"/>
      <c r="AD7622" s="3"/>
      <c r="AE7622" s="3"/>
      <c r="AF7622" s="3"/>
      <c r="AG7622" s="3"/>
      <c r="AH7622" s="3"/>
    </row>
    <row r="7623" spans="1:34" ht="14.25" customHeight="1" x14ac:dyDescent="0.25">
      <c r="A7623" s="3"/>
      <c r="B7623" s="3"/>
      <c r="C7623" s="3"/>
      <c r="D7623" s="3"/>
      <c r="E7623" s="3"/>
      <c r="F7623" s="3"/>
      <c r="G7623" s="3"/>
      <c r="H7623" s="11"/>
      <c r="I7623" s="12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  <c r="AA7623" s="3"/>
      <c r="AB7623" s="3"/>
      <c r="AC7623" s="3"/>
      <c r="AD7623" s="3"/>
      <c r="AE7623" s="3"/>
      <c r="AF7623" s="3"/>
      <c r="AG7623" s="3"/>
      <c r="AH7623" s="3"/>
    </row>
    <row r="7624" spans="1:34" ht="14.25" customHeight="1" x14ac:dyDescent="0.25">
      <c r="A7624" s="3"/>
      <c r="B7624" s="3"/>
      <c r="C7624" s="3"/>
      <c r="D7624" s="3"/>
      <c r="E7624" s="3"/>
      <c r="F7624" s="3"/>
      <c r="G7624" s="3"/>
      <c r="H7624" s="11"/>
      <c r="I7624" s="12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  <c r="AA7624" s="3"/>
      <c r="AB7624" s="3"/>
      <c r="AC7624" s="3"/>
      <c r="AD7624" s="3"/>
      <c r="AE7624" s="3"/>
      <c r="AF7624" s="3"/>
      <c r="AG7624" s="3"/>
      <c r="AH7624" s="3"/>
    </row>
    <row r="7625" spans="1:34" ht="14.25" customHeight="1" x14ac:dyDescent="0.25">
      <c r="A7625" s="3"/>
      <c r="B7625" s="3"/>
      <c r="C7625" s="3"/>
      <c r="D7625" s="3"/>
      <c r="E7625" s="3"/>
      <c r="F7625" s="3"/>
      <c r="G7625" s="3"/>
      <c r="H7625" s="11"/>
      <c r="I7625" s="12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  <c r="AA7625" s="3"/>
      <c r="AB7625" s="3"/>
      <c r="AC7625" s="3"/>
      <c r="AD7625" s="3"/>
      <c r="AE7625" s="3"/>
      <c r="AF7625" s="3"/>
      <c r="AG7625" s="3"/>
      <c r="AH7625" s="3"/>
    </row>
    <row r="7626" spans="1:34" ht="14.25" customHeight="1" x14ac:dyDescent="0.25">
      <c r="A7626" s="3"/>
      <c r="B7626" s="3"/>
      <c r="C7626" s="3"/>
      <c r="D7626" s="3"/>
      <c r="E7626" s="3"/>
      <c r="F7626" s="3"/>
      <c r="G7626" s="3"/>
      <c r="H7626" s="11"/>
      <c r="I7626" s="12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  <c r="AA7626" s="3"/>
      <c r="AB7626" s="3"/>
      <c r="AC7626" s="3"/>
      <c r="AD7626" s="3"/>
      <c r="AE7626" s="3"/>
      <c r="AF7626" s="3"/>
      <c r="AG7626" s="3"/>
      <c r="AH7626" s="3"/>
    </row>
    <row r="7627" spans="1:34" ht="14.25" customHeight="1" x14ac:dyDescent="0.25">
      <c r="A7627" s="3"/>
      <c r="B7627" s="3"/>
      <c r="C7627" s="3"/>
      <c r="D7627" s="3"/>
      <c r="E7627" s="3"/>
      <c r="F7627" s="3"/>
      <c r="G7627" s="3"/>
      <c r="H7627" s="11"/>
      <c r="I7627" s="12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  <c r="AA7627" s="3"/>
      <c r="AB7627" s="3"/>
      <c r="AC7627" s="3"/>
      <c r="AD7627" s="3"/>
      <c r="AE7627" s="3"/>
      <c r="AF7627" s="3"/>
      <c r="AG7627" s="3"/>
      <c r="AH7627" s="3"/>
    </row>
    <row r="7628" spans="1:34" ht="14.25" customHeight="1" x14ac:dyDescent="0.25">
      <c r="A7628" s="3"/>
      <c r="B7628" s="3"/>
      <c r="C7628" s="3"/>
      <c r="D7628" s="3"/>
      <c r="E7628" s="3"/>
      <c r="F7628" s="3"/>
      <c r="G7628" s="3"/>
      <c r="H7628" s="11"/>
      <c r="I7628" s="12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  <c r="AA7628" s="3"/>
      <c r="AB7628" s="3"/>
      <c r="AC7628" s="3"/>
      <c r="AD7628" s="3"/>
      <c r="AE7628" s="3"/>
      <c r="AF7628" s="3"/>
      <c r="AG7628" s="3"/>
      <c r="AH7628" s="3"/>
    </row>
    <row r="7629" spans="1:34" ht="14.25" customHeight="1" x14ac:dyDescent="0.25">
      <c r="A7629" s="3"/>
      <c r="B7629" s="3"/>
      <c r="C7629" s="3"/>
      <c r="D7629" s="3"/>
      <c r="E7629" s="3"/>
      <c r="F7629" s="3"/>
      <c r="G7629" s="3"/>
      <c r="H7629" s="11"/>
      <c r="I7629" s="12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  <c r="AA7629" s="3"/>
      <c r="AB7629" s="3"/>
      <c r="AC7629" s="3"/>
      <c r="AD7629" s="3"/>
      <c r="AE7629" s="3"/>
      <c r="AF7629" s="3"/>
      <c r="AG7629" s="3"/>
      <c r="AH7629" s="3"/>
    </row>
    <row r="7630" spans="1:34" ht="14.25" customHeight="1" x14ac:dyDescent="0.25">
      <c r="A7630" s="3"/>
      <c r="B7630" s="3"/>
      <c r="C7630" s="3"/>
      <c r="D7630" s="3"/>
      <c r="E7630" s="3"/>
      <c r="F7630" s="3"/>
      <c r="G7630" s="3"/>
      <c r="H7630" s="11"/>
      <c r="I7630" s="12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  <c r="AA7630" s="3"/>
      <c r="AB7630" s="3"/>
      <c r="AC7630" s="3"/>
      <c r="AD7630" s="3"/>
      <c r="AE7630" s="3"/>
      <c r="AF7630" s="3"/>
      <c r="AG7630" s="3"/>
      <c r="AH7630" s="3"/>
    </row>
    <row r="7631" spans="1:34" ht="14.25" customHeight="1" x14ac:dyDescent="0.25">
      <c r="A7631" s="3"/>
      <c r="B7631" s="3"/>
      <c r="C7631" s="3"/>
      <c r="D7631" s="3"/>
      <c r="E7631" s="3"/>
      <c r="F7631" s="3"/>
      <c r="G7631" s="3"/>
      <c r="H7631" s="11"/>
      <c r="I7631" s="12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  <c r="AA7631" s="3"/>
      <c r="AB7631" s="3"/>
      <c r="AC7631" s="3"/>
      <c r="AD7631" s="3"/>
      <c r="AE7631" s="3"/>
      <c r="AF7631" s="3"/>
      <c r="AG7631" s="3"/>
      <c r="AH7631" s="3"/>
    </row>
    <row r="7632" spans="1:34" ht="14.25" customHeight="1" x14ac:dyDescent="0.25">
      <c r="A7632" s="3"/>
      <c r="B7632" s="3"/>
      <c r="C7632" s="3"/>
      <c r="D7632" s="3"/>
      <c r="E7632" s="3"/>
      <c r="F7632" s="3"/>
      <c r="G7632" s="3"/>
      <c r="H7632" s="11"/>
      <c r="I7632" s="12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  <c r="AA7632" s="3"/>
      <c r="AB7632" s="3"/>
      <c r="AC7632" s="3"/>
      <c r="AD7632" s="3"/>
      <c r="AE7632" s="3"/>
      <c r="AF7632" s="3"/>
      <c r="AG7632" s="3"/>
      <c r="AH7632" s="3"/>
    </row>
    <row r="7633" spans="1:34" ht="14.25" customHeight="1" x14ac:dyDescent="0.25">
      <c r="A7633" s="3"/>
      <c r="B7633" s="3"/>
      <c r="C7633" s="3"/>
      <c r="D7633" s="3"/>
      <c r="E7633" s="3"/>
      <c r="F7633" s="3"/>
      <c r="G7633" s="3"/>
      <c r="H7633" s="11"/>
      <c r="I7633" s="12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  <c r="AA7633" s="3"/>
      <c r="AB7633" s="3"/>
      <c r="AC7633" s="3"/>
      <c r="AD7633" s="3"/>
      <c r="AE7633" s="3"/>
      <c r="AF7633" s="3"/>
      <c r="AG7633" s="3"/>
      <c r="AH7633" s="3"/>
    </row>
    <row r="7634" spans="1:34" ht="14.25" customHeight="1" x14ac:dyDescent="0.25">
      <c r="A7634" s="3"/>
      <c r="B7634" s="3"/>
      <c r="C7634" s="3"/>
      <c r="D7634" s="3"/>
      <c r="E7634" s="3"/>
      <c r="F7634" s="3"/>
      <c r="G7634" s="3"/>
      <c r="H7634" s="11"/>
      <c r="I7634" s="12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  <c r="AA7634" s="3"/>
      <c r="AB7634" s="3"/>
      <c r="AC7634" s="3"/>
      <c r="AD7634" s="3"/>
      <c r="AE7634" s="3"/>
      <c r="AF7634" s="3"/>
      <c r="AG7634" s="3"/>
      <c r="AH7634" s="3"/>
    </row>
    <row r="7635" spans="1:34" ht="14.25" customHeight="1" x14ac:dyDescent="0.25">
      <c r="A7635" s="3"/>
      <c r="B7635" s="3"/>
      <c r="C7635" s="3"/>
      <c r="D7635" s="3"/>
      <c r="E7635" s="3"/>
      <c r="F7635" s="3"/>
      <c r="G7635" s="3"/>
      <c r="H7635" s="11"/>
      <c r="I7635" s="12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  <c r="AA7635" s="3"/>
      <c r="AB7635" s="3"/>
      <c r="AC7635" s="3"/>
      <c r="AD7635" s="3"/>
      <c r="AE7635" s="3"/>
      <c r="AF7635" s="3"/>
      <c r="AG7635" s="3"/>
      <c r="AH7635" s="3"/>
    </row>
    <row r="7636" spans="1:34" ht="14.25" customHeight="1" x14ac:dyDescent="0.25">
      <c r="A7636" s="3"/>
      <c r="B7636" s="3"/>
      <c r="C7636" s="3"/>
      <c r="D7636" s="3"/>
      <c r="E7636" s="3"/>
      <c r="F7636" s="3"/>
      <c r="G7636" s="3"/>
      <c r="H7636" s="11"/>
      <c r="I7636" s="12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  <c r="AA7636" s="3"/>
      <c r="AB7636" s="3"/>
      <c r="AC7636" s="3"/>
      <c r="AD7636" s="3"/>
      <c r="AE7636" s="3"/>
      <c r="AF7636" s="3"/>
      <c r="AG7636" s="3"/>
      <c r="AH7636" s="3"/>
    </row>
    <row r="7637" spans="1:34" ht="14.25" customHeight="1" x14ac:dyDescent="0.25">
      <c r="A7637" s="3"/>
      <c r="B7637" s="3"/>
      <c r="C7637" s="3"/>
      <c r="D7637" s="3"/>
      <c r="E7637" s="3"/>
      <c r="F7637" s="3"/>
      <c r="G7637" s="3"/>
      <c r="H7637" s="11"/>
      <c r="I7637" s="12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  <c r="AA7637" s="3"/>
      <c r="AB7637" s="3"/>
      <c r="AC7637" s="3"/>
      <c r="AD7637" s="3"/>
      <c r="AE7637" s="3"/>
      <c r="AF7637" s="3"/>
      <c r="AG7637" s="3"/>
      <c r="AH7637" s="3"/>
    </row>
    <row r="7638" spans="1:34" ht="14.25" customHeight="1" x14ac:dyDescent="0.25">
      <c r="A7638" s="3"/>
      <c r="B7638" s="3"/>
      <c r="C7638" s="3"/>
      <c r="D7638" s="3"/>
      <c r="E7638" s="3"/>
      <c r="F7638" s="3"/>
      <c r="G7638" s="3"/>
      <c r="H7638" s="11"/>
      <c r="I7638" s="12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  <c r="AA7638" s="3"/>
      <c r="AB7638" s="3"/>
      <c r="AC7638" s="3"/>
      <c r="AD7638" s="3"/>
      <c r="AE7638" s="3"/>
      <c r="AF7638" s="3"/>
      <c r="AG7638" s="3"/>
      <c r="AH7638" s="3"/>
    </row>
    <row r="7639" spans="1:34" ht="14.25" customHeight="1" x14ac:dyDescent="0.25">
      <c r="A7639" s="3"/>
      <c r="B7639" s="3"/>
      <c r="C7639" s="3"/>
      <c r="D7639" s="3"/>
      <c r="E7639" s="3"/>
      <c r="F7639" s="3"/>
      <c r="G7639" s="3"/>
      <c r="H7639" s="11"/>
      <c r="I7639" s="12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  <c r="AA7639" s="3"/>
      <c r="AB7639" s="3"/>
      <c r="AC7639" s="3"/>
      <c r="AD7639" s="3"/>
      <c r="AE7639" s="3"/>
      <c r="AF7639" s="3"/>
      <c r="AG7639" s="3"/>
      <c r="AH7639" s="3"/>
    </row>
    <row r="7640" spans="1:34" ht="14.25" customHeight="1" x14ac:dyDescent="0.25">
      <c r="A7640" s="3"/>
      <c r="B7640" s="3"/>
      <c r="C7640" s="3"/>
      <c r="D7640" s="3"/>
      <c r="E7640" s="3"/>
      <c r="F7640" s="3"/>
      <c r="G7640" s="3"/>
      <c r="H7640" s="11"/>
      <c r="I7640" s="12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  <c r="AA7640" s="3"/>
      <c r="AB7640" s="3"/>
      <c r="AC7640" s="3"/>
      <c r="AD7640" s="3"/>
      <c r="AE7640" s="3"/>
      <c r="AF7640" s="3"/>
      <c r="AG7640" s="3"/>
      <c r="AH7640" s="3"/>
    </row>
    <row r="7641" spans="1:34" ht="14.25" customHeight="1" x14ac:dyDescent="0.25">
      <c r="A7641" s="3"/>
      <c r="B7641" s="3"/>
      <c r="C7641" s="3"/>
      <c r="D7641" s="3"/>
      <c r="E7641" s="3"/>
      <c r="F7641" s="3"/>
      <c r="G7641" s="3"/>
      <c r="H7641" s="11"/>
      <c r="I7641" s="12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  <c r="AA7641" s="3"/>
      <c r="AB7641" s="3"/>
      <c r="AC7641" s="3"/>
      <c r="AD7641" s="3"/>
      <c r="AE7641" s="3"/>
      <c r="AF7641" s="3"/>
      <c r="AG7641" s="3"/>
      <c r="AH7641" s="3"/>
    </row>
    <row r="7642" spans="1:34" ht="14.25" customHeight="1" x14ac:dyDescent="0.25">
      <c r="A7642" s="3"/>
      <c r="B7642" s="3"/>
      <c r="C7642" s="3"/>
      <c r="D7642" s="3"/>
      <c r="E7642" s="3"/>
      <c r="F7642" s="3"/>
      <c r="G7642" s="3"/>
      <c r="H7642" s="11"/>
      <c r="I7642" s="12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  <c r="AA7642" s="3"/>
      <c r="AB7642" s="3"/>
      <c r="AC7642" s="3"/>
      <c r="AD7642" s="3"/>
      <c r="AE7642" s="3"/>
      <c r="AF7642" s="3"/>
      <c r="AG7642" s="3"/>
      <c r="AH7642" s="3"/>
    </row>
    <row r="7643" spans="1:34" ht="14.25" customHeight="1" x14ac:dyDescent="0.25">
      <c r="A7643" s="3"/>
      <c r="B7643" s="3"/>
      <c r="C7643" s="3"/>
      <c r="D7643" s="3"/>
      <c r="E7643" s="3"/>
      <c r="F7643" s="3"/>
      <c r="G7643" s="3"/>
      <c r="H7643" s="11"/>
      <c r="I7643" s="12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  <c r="AA7643" s="3"/>
      <c r="AB7643" s="3"/>
      <c r="AC7643" s="3"/>
      <c r="AD7643" s="3"/>
      <c r="AE7643" s="3"/>
      <c r="AF7643" s="3"/>
      <c r="AG7643" s="3"/>
      <c r="AH7643" s="3"/>
    </row>
    <row r="7644" spans="1:34" ht="14.25" customHeight="1" x14ac:dyDescent="0.25">
      <c r="A7644" s="3"/>
      <c r="B7644" s="3"/>
      <c r="C7644" s="3"/>
      <c r="D7644" s="3"/>
      <c r="E7644" s="3"/>
      <c r="F7644" s="3"/>
      <c r="G7644" s="3"/>
      <c r="H7644" s="11"/>
      <c r="I7644" s="12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  <c r="AA7644" s="3"/>
      <c r="AB7644" s="3"/>
      <c r="AC7644" s="3"/>
      <c r="AD7644" s="3"/>
      <c r="AE7644" s="3"/>
      <c r="AF7644" s="3"/>
      <c r="AG7644" s="3"/>
      <c r="AH7644" s="3"/>
    </row>
    <row r="7645" spans="1:34" ht="14.25" customHeight="1" x14ac:dyDescent="0.25">
      <c r="A7645" s="3"/>
      <c r="B7645" s="3"/>
      <c r="C7645" s="3"/>
      <c r="D7645" s="3"/>
      <c r="E7645" s="3"/>
      <c r="F7645" s="3"/>
      <c r="G7645" s="3"/>
      <c r="H7645" s="11"/>
      <c r="I7645" s="12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  <c r="AA7645" s="3"/>
      <c r="AB7645" s="3"/>
      <c r="AC7645" s="3"/>
      <c r="AD7645" s="3"/>
      <c r="AE7645" s="3"/>
      <c r="AF7645" s="3"/>
      <c r="AG7645" s="3"/>
      <c r="AH7645" s="3"/>
    </row>
    <row r="7646" spans="1:34" ht="14.25" customHeight="1" x14ac:dyDescent="0.25">
      <c r="A7646" s="3"/>
      <c r="B7646" s="3"/>
      <c r="C7646" s="3"/>
      <c r="D7646" s="3"/>
      <c r="E7646" s="3"/>
      <c r="F7646" s="3"/>
      <c r="G7646" s="3"/>
      <c r="H7646" s="11"/>
      <c r="I7646" s="12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  <c r="AA7646" s="3"/>
      <c r="AB7646" s="3"/>
      <c r="AC7646" s="3"/>
      <c r="AD7646" s="3"/>
      <c r="AE7646" s="3"/>
      <c r="AF7646" s="3"/>
      <c r="AG7646" s="3"/>
      <c r="AH7646" s="3"/>
    </row>
    <row r="7647" spans="1:34" ht="14.25" customHeight="1" x14ac:dyDescent="0.25">
      <c r="A7647" s="3"/>
      <c r="B7647" s="3"/>
      <c r="C7647" s="3"/>
      <c r="D7647" s="3"/>
      <c r="E7647" s="3"/>
      <c r="F7647" s="3"/>
      <c r="G7647" s="3"/>
      <c r="H7647" s="11"/>
      <c r="I7647" s="12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  <c r="AA7647" s="3"/>
      <c r="AB7647" s="3"/>
      <c r="AC7647" s="3"/>
      <c r="AD7647" s="3"/>
      <c r="AE7647" s="3"/>
      <c r="AF7647" s="3"/>
      <c r="AG7647" s="3"/>
      <c r="AH7647" s="3"/>
    </row>
    <row r="7648" spans="1:34" ht="14.25" customHeight="1" x14ac:dyDescent="0.25">
      <c r="A7648" s="3"/>
      <c r="B7648" s="3"/>
      <c r="C7648" s="3"/>
      <c r="D7648" s="3"/>
      <c r="E7648" s="3"/>
      <c r="F7648" s="3"/>
      <c r="G7648" s="3"/>
      <c r="H7648" s="11"/>
      <c r="I7648" s="12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  <c r="AA7648" s="3"/>
      <c r="AB7648" s="3"/>
      <c r="AC7648" s="3"/>
      <c r="AD7648" s="3"/>
      <c r="AE7648" s="3"/>
      <c r="AF7648" s="3"/>
      <c r="AG7648" s="3"/>
      <c r="AH7648" s="3"/>
    </row>
    <row r="7649" spans="1:34" ht="14.25" customHeight="1" x14ac:dyDescent="0.25">
      <c r="A7649" s="3"/>
      <c r="B7649" s="3"/>
      <c r="C7649" s="3"/>
      <c r="D7649" s="3"/>
      <c r="E7649" s="3"/>
      <c r="F7649" s="3"/>
      <c r="G7649" s="3"/>
      <c r="H7649" s="11"/>
      <c r="I7649" s="12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  <c r="AA7649" s="3"/>
      <c r="AB7649" s="3"/>
      <c r="AC7649" s="3"/>
      <c r="AD7649" s="3"/>
      <c r="AE7649" s="3"/>
      <c r="AF7649" s="3"/>
      <c r="AG7649" s="3"/>
      <c r="AH7649" s="3"/>
    </row>
    <row r="7650" spans="1:34" ht="14.25" customHeight="1" x14ac:dyDescent="0.25">
      <c r="A7650" s="3"/>
      <c r="B7650" s="3"/>
      <c r="C7650" s="3"/>
      <c r="D7650" s="3"/>
      <c r="E7650" s="3"/>
      <c r="F7650" s="3"/>
      <c r="G7650" s="3"/>
      <c r="H7650" s="11"/>
      <c r="I7650" s="12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  <c r="AA7650" s="3"/>
      <c r="AB7650" s="3"/>
      <c r="AC7650" s="3"/>
      <c r="AD7650" s="3"/>
      <c r="AE7650" s="3"/>
      <c r="AF7650" s="3"/>
      <c r="AG7650" s="3"/>
      <c r="AH7650" s="3"/>
    </row>
    <row r="7651" spans="1:34" ht="14.25" customHeight="1" x14ac:dyDescent="0.25">
      <c r="A7651" s="3"/>
      <c r="B7651" s="3"/>
      <c r="C7651" s="3"/>
      <c r="D7651" s="3"/>
      <c r="E7651" s="3"/>
      <c r="F7651" s="3"/>
      <c r="G7651" s="3"/>
      <c r="H7651" s="11"/>
      <c r="I7651" s="12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  <c r="AA7651" s="3"/>
      <c r="AB7651" s="3"/>
      <c r="AC7651" s="3"/>
      <c r="AD7651" s="3"/>
      <c r="AE7651" s="3"/>
      <c r="AF7651" s="3"/>
      <c r="AG7651" s="3"/>
      <c r="AH7651" s="3"/>
    </row>
    <row r="7652" spans="1:34" ht="14.25" customHeight="1" x14ac:dyDescent="0.25">
      <c r="A7652" s="3"/>
      <c r="B7652" s="3"/>
      <c r="C7652" s="3"/>
      <c r="D7652" s="3"/>
      <c r="E7652" s="3"/>
      <c r="F7652" s="3"/>
      <c r="G7652" s="3"/>
      <c r="H7652" s="11"/>
      <c r="I7652" s="12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  <c r="AA7652" s="3"/>
      <c r="AB7652" s="3"/>
      <c r="AC7652" s="3"/>
      <c r="AD7652" s="3"/>
      <c r="AE7652" s="3"/>
      <c r="AF7652" s="3"/>
      <c r="AG7652" s="3"/>
      <c r="AH7652" s="3"/>
    </row>
    <row r="7653" spans="1:34" ht="14.25" customHeight="1" x14ac:dyDescent="0.25">
      <c r="A7653" s="3"/>
      <c r="B7653" s="3"/>
      <c r="C7653" s="3"/>
      <c r="D7653" s="3"/>
      <c r="E7653" s="3"/>
      <c r="F7653" s="3"/>
      <c r="G7653" s="3"/>
      <c r="H7653" s="11"/>
      <c r="I7653" s="12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  <c r="AA7653" s="3"/>
      <c r="AB7653" s="3"/>
      <c r="AC7653" s="3"/>
      <c r="AD7653" s="3"/>
      <c r="AE7653" s="3"/>
      <c r="AF7653" s="3"/>
      <c r="AG7653" s="3"/>
      <c r="AH7653" s="3"/>
    </row>
    <row r="7654" spans="1:34" ht="14.25" customHeight="1" x14ac:dyDescent="0.25">
      <c r="A7654" s="3"/>
      <c r="B7654" s="3"/>
      <c r="C7654" s="3"/>
      <c r="D7654" s="3"/>
      <c r="E7654" s="3"/>
      <c r="F7654" s="3"/>
      <c r="G7654" s="3"/>
      <c r="H7654" s="11"/>
      <c r="I7654" s="12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  <c r="AA7654" s="3"/>
      <c r="AB7654" s="3"/>
      <c r="AC7654" s="3"/>
      <c r="AD7654" s="3"/>
      <c r="AE7654" s="3"/>
      <c r="AF7654" s="3"/>
      <c r="AG7654" s="3"/>
      <c r="AH7654" s="3"/>
    </row>
    <row r="7655" spans="1:34" ht="14.25" customHeight="1" x14ac:dyDescent="0.25">
      <c r="A7655" s="3"/>
      <c r="B7655" s="3"/>
      <c r="C7655" s="3"/>
      <c r="D7655" s="3"/>
      <c r="E7655" s="3"/>
      <c r="F7655" s="3"/>
      <c r="G7655" s="3"/>
      <c r="H7655" s="11"/>
      <c r="I7655" s="12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  <c r="AA7655" s="3"/>
      <c r="AB7655" s="3"/>
      <c r="AC7655" s="3"/>
      <c r="AD7655" s="3"/>
      <c r="AE7655" s="3"/>
      <c r="AF7655" s="3"/>
      <c r="AG7655" s="3"/>
      <c r="AH7655" s="3"/>
    </row>
    <row r="7656" spans="1:34" ht="14.25" customHeight="1" x14ac:dyDescent="0.25">
      <c r="A7656" s="3"/>
      <c r="B7656" s="3"/>
      <c r="C7656" s="3"/>
      <c r="D7656" s="3"/>
      <c r="E7656" s="3"/>
      <c r="F7656" s="3"/>
      <c r="G7656" s="3"/>
      <c r="H7656" s="11"/>
      <c r="I7656" s="12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  <c r="AA7656" s="3"/>
      <c r="AB7656" s="3"/>
      <c r="AC7656" s="3"/>
      <c r="AD7656" s="3"/>
      <c r="AE7656" s="3"/>
      <c r="AF7656" s="3"/>
      <c r="AG7656" s="3"/>
      <c r="AH7656" s="3"/>
    </row>
    <row r="7657" spans="1:34" ht="14.25" customHeight="1" x14ac:dyDescent="0.25">
      <c r="A7657" s="3"/>
      <c r="B7657" s="3"/>
      <c r="C7657" s="3"/>
      <c r="D7657" s="3"/>
      <c r="E7657" s="3"/>
      <c r="F7657" s="3"/>
      <c r="G7657" s="3"/>
      <c r="H7657" s="11"/>
      <c r="I7657" s="12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  <c r="AA7657" s="3"/>
      <c r="AB7657" s="3"/>
      <c r="AC7657" s="3"/>
      <c r="AD7657" s="3"/>
      <c r="AE7657" s="3"/>
      <c r="AF7657" s="3"/>
      <c r="AG7657" s="3"/>
      <c r="AH7657" s="3"/>
    </row>
    <row r="7658" spans="1:34" ht="14.25" customHeight="1" x14ac:dyDescent="0.25">
      <c r="A7658" s="3"/>
      <c r="B7658" s="3"/>
      <c r="C7658" s="3"/>
      <c r="D7658" s="3"/>
      <c r="E7658" s="3"/>
      <c r="F7658" s="3"/>
      <c r="G7658" s="3"/>
      <c r="H7658" s="11"/>
      <c r="I7658" s="12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  <c r="AA7658" s="3"/>
      <c r="AB7658" s="3"/>
      <c r="AC7658" s="3"/>
      <c r="AD7658" s="3"/>
      <c r="AE7658" s="3"/>
      <c r="AF7658" s="3"/>
      <c r="AG7658" s="3"/>
      <c r="AH7658" s="3"/>
    </row>
    <row r="7659" spans="1:34" ht="14.25" customHeight="1" x14ac:dyDescent="0.25">
      <c r="A7659" s="3"/>
      <c r="B7659" s="3"/>
      <c r="C7659" s="3"/>
      <c r="D7659" s="3"/>
      <c r="E7659" s="3"/>
      <c r="F7659" s="3"/>
      <c r="G7659" s="3"/>
      <c r="H7659" s="11"/>
      <c r="I7659" s="12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  <c r="AA7659" s="3"/>
      <c r="AB7659" s="3"/>
      <c r="AC7659" s="3"/>
      <c r="AD7659" s="3"/>
      <c r="AE7659" s="3"/>
      <c r="AF7659" s="3"/>
      <c r="AG7659" s="3"/>
      <c r="AH7659" s="3"/>
    </row>
    <row r="7660" spans="1:34" ht="14.25" customHeight="1" x14ac:dyDescent="0.25">
      <c r="A7660" s="3"/>
      <c r="B7660" s="3"/>
      <c r="C7660" s="3"/>
      <c r="D7660" s="3"/>
      <c r="E7660" s="3"/>
      <c r="F7660" s="3"/>
      <c r="G7660" s="3"/>
      <c r="H7660" s="11"/>
      <c r="I7660" s="12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  <c r="AA7660" s="3"/>
      <c r="AB7660" s="3"/>
      <c r="AC7660" s="3"/>
      <c r="AD7660" s="3"/>
      <c r="AE7660" s="3"/>
      <c r="AF7660" s="3"/>
      <c r="AG7660" s="3"/>
      <c r="AH7660" s="3"/>
    </row>
    <row r="7661" spans="1:34" ht="14.25" customHeight="1" x14ac:dyDescent="0.25">
      <c r="A7661" s="3"/>
      <c r="B7661" s="3"/>
      <c r="C7661" s="3"/>
      <c r="D7661" s="3"/>
      <c r="E7661" s="3"/>
      <c r="F7661" s="3"/>
      <c r="G7661" s="3"/>
      <c r="H7661" s="11"/>
      <c r="I7661" s="12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  <c r="AA7661" s="3"/>
      <c r="AB7661" s="3"/>
      <c r="AC7661" s="3"/>
      <c r="AD7661" s="3"/>
      <c r="AE7661" s="3"/>
      <c r="AF7661" s="3"/>
      <c r="AG7661" s="3"/>
      <c r="AH7661" s="3"/>
    </row>
    <row r="7662" spans="1:34" ht="14.25" customHeight="1" x14ac:dyDescent="0.25">
      <c r="A7662" s="3"/>
      <c r="B7662" s="3"/>
      <c r="C7662" s="3"/>
      <c r="D7662" s="3"/>
      <c r="E7662" s="3"/>
      <c r="F7662" s="3"/>
      <c r="G7662" s="3"/>
      <c r="H7662" s="11"/>
      <c r="I7662" s="12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  <c r="AA7662" s="3"/>
      <c r="AB7662" s="3"/>
      <c r="AC7662" s="3"/>
      <c r="AD7662" s="3"/>
      <c r="AE7662" s="3"/>
      <c r="AF7662" s="3"/>
      <c r="AG7662" s="3"/>
      <c r="AH7662" s="3"/>
    </row>
    <row r="7663" spans="1:34" ht="14.25" customHeight="1" x14ac:dyDescent="0.25">
      <c r="A7663" s="3"/>
      <c r="B7663" s="3"/>
      <c r="C7663" s="3"/>
      <c r="D7663" s="3"/>
      <c r="E7663" s="3"/>
      <c r="F7663" s="3"/>
      <c r="G7663" s="3"/>
      <c r="H7663" s="11"/>
      <c r="I7663" s="12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  <c r="AA7663" s="3"/>
      <c r="AB7663" s="3"/>
      <c r="AC7663" s="3"/>
      <c r="AD7663" s="3"/>
      <c r="AE7663" s="3"/>
      <c r="AF7663" s="3"/>
      <c r="AG7663" s="3"/>
      <c r="AH7663" s="3"/>
    </row>
    <row r="7664" spans="1:34" ht="14.25" customHeight="1" x14ac:dyDescent="0.25">
      <c r="A7664" s="3"/>
      <c r="B7664" s="3"/>
      <c r="C7664" s="3"/>
      <c r="D7664" s="3"/>
      <c r="E7664" s="3"/>
      <c r="F7664" s="3"/>
      <c r="G7664" s="3"/>
      <c r="H7664" s="11"/>
      <c r="I7664" s="12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  <c r="AA7664" s="3"/>
      <c r="AB7664" s="3"/>
      <c r="AC7664" s="3"/>
      <c r="AD7664" s="3"/>
      <c r="AE7664" s="3"/>
      <c r="AF7664" s="3"/>
      <c r="AG7664" s="3"/>
      <c r="AH7664" s="3"/>
    </row>
    <row r="7665" spans="1:34" ht="14.25" customHeight="1" x14ac:dyDescent="0.25">
      <c r="A7665" s="3"/>
      <c r="B7665" s="3"/>
      <c r="C7665" s="3"/>
      <c r="D7665" s="3"/>
      <c r="E7665" s="3"/>
      <c r="F7665" s="3"/>
      <c r="G7665" s="3"/>
      <c r="H7665" s="11"/>
      <c r="I7665" s="12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  <c r="AA7665" s="3"/>
      <c r="AB7665" s="3"/>
      <c r="AC7665" s="3"/>
      <c r="AD7665" s="3"/>
      <c r="AE7665" s="3"/>
      <c r="AF7665" s="3"/>
      <c r="AG7665" s="3"/>
      <c r="AH7665" s="3"/>
    </row>
    <row r="7666" spans="1:34" ht="14.25" customHeight="1" x14ac:dyDescent="0.25">
      <c r="A7666" s="3"/>
      <c r="B7666" s="3"/>
      <c r="C7666" s="3"/>
      <c r="D7666" s="3"/>
      <c r="E7666" s="3"/>
      <c r="F7666" s="3"/>
      <c r="G7666" s="3"/>
      <c r="H7666" s="11"/>
      <c r="I7666" s="12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  <c r="AA7666" s="3"/>
      <c r="AB7666" s="3"/>
      <c r="AC7666" s="3"/>
      <c r="AD7666" s="3"/>
      <c r="AE7666" s="3"/>
      <c r="AF7666" s="3"/>
      <c r="AG7666" s="3"/>
      <c r="AH7666" s="3"/>
    </row>
    <row r="7667" spans="1:34" ht="14.25" customHeight="1" x14ac:dyDescent="0.25">
      <c r="A7667" s="3"/>
      <c r="B7667" s="3"/>
      <c r="C7667" s="3"/>
      <c r="D7667" s="3"/>
      <c r="E7667" s="3"/>
      <c r="F7667" s="3"/>
      <c r="G7667" s="3"/>
      <c r="H7667" s="11"/>
      <c r="I7667" s="12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  <c r="AA7667" s="3"/>
      <c r="AB7667" s="3"/>
      <c r="AC7667" s="3"/>
      <c r="AD7667" s="3"/>
      <c r="AE7667" s="3"/>
      <c r="AF7667" s="3"/>
      <c r="AG7667" s="3"/>
      <c r="AH7667" s="3"/>
    </row>
    <row r="7668" spans="1:34" ht="14.25" customHeight="1" x14ac:dyDescent="0.25">
      <c r="A7668" s="3"/>
      <c r="B7668" s="3"/>
      <c r="C7668" s="3"/>
      <c r="D7668" s="3"/>
      <c r="E7668" s="3"/>
      <c r="F7668" s="3"/>
      <c r="G7668" s="3"/>
      <c r="H7668" s="11"/>
      <c r="I7668" s="12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  <c r="AA7668" s="3"/>
      <c r="AB7668" s="3"/>
      <c r="AC7668" s="3"/>
      <c r="AD7668" s="3"/>
      <c r="AE7668" s="3"/>
      <c r="AF7668" s="3"/>
      <c r="AG7668" s="3"/>
      <c r="AH7668" s="3"/>
    </row>
    <row r="7669" spans="1:34" ht="14.25" customHeight="1" x14ac:dyDescent="0.25">
      <c r="A7669" s="3"/>
      <c r="B7669" s="3"/>
      <c r="C7669" s="3"/>
      <c r="D7669" s="3"/>
      <c r="E7669" s="3"/>
      <c r="F7669" s="3"/>
      <c r="G7669" s="3"/>
      <c r="H7669" s="11"/>
      <c r="I7669" s="12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  <c r="AA7669" s="3"/>
      <c r="AB7669" s="3"/>
      <c r="AC7669" s="3"/>
      <c r="AD7669" s="3"/>
      <c r="AE7669" s="3"/>
      <c r="AF7669" s="3"/>
      <c r="AG7669" s="3"/>
      <c r="AH7669" s="3"/>
    </row>
    <row r="7670" spans="1:34" ht="14.25" customHeight="1" x14ac:dyDescent="0.25">
      <c r="A7670" s="3"/>
      <c r="B7670" s="3"/>
      <c r="C7670" s="3"/>
      <c r="D7670" s="3"/>
      <c r="E7670" s="3"/>
      <c r="F7670" s="3"/>
      <c r="G7670" s="3"/>
      <c r="H7670" s="11"/>
      <c r="I7670" s="12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  <c r="AA7670" s="3"/>
      <c r="AB7670" s="3"/>
      <c r="AC7670" s="3"/>
      <c r="AD7670" s="3"/>
      <c r="AE7670" s="3"/>
      <c r="AF7670" s="3"/>
      <c r="AG7670" s="3"/>
      <c r="AH7670" s="3"/>
    </row>
    <row r="7671" spans="1:34" ht="14.25" customHeight="1" x14ac:dyDescent="0.25">
      <c r="A7671" s="3"/>
      <c r="B7671" s="3"/>
      <c r="C7671" s="3"/>
      <c r="D7671" s="3"/>
      <c r="E7671" s="3"/>
      <c r="F7671" s="3"/>
      <c r="G7671" s="3"/>
      <c r="H7671" s="11"/>
      <c r="I7671" s="12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  <c r="AA7671" s="3"/>
      <c r="AB7671" s="3"/>
      <c r="AC7671" s="3"/>
      <c r="AD7671" s="3"/>
      <c r="AE7671" s="3"/>
      <c r="AF7671" s="3"/>
      <c r="AG7671" s="3"/>
      <c r="AH7671" s="3"/>
    </row>
    <row r="7672" spans="1:34" ht="14.25" customHeight="1" x14ac:dyDescent="0.25">
      <c r="A7672" s="3"/>
      <c r="B7672" s="3"/>
      <c r="C7672" s="3"/>
      <c r="D7672" s="3"/>
      <c r="E7672" s="3"/>
      <c r="F7672" s="3"/>
      <c r="G7672" s="3"/>
      <c r="H7672" s="11"/>
      <c r="I7672" s="12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  <c r="AA7672" s="3"/>
      <c r="AB7672" s="3"/>
      <c r="AC7672" s="3"/>
      <c r="AD7672" s="3"/>
      <c r="AE7672" s="3"/>
      <c r="AF7672" s="3"/>
      <c r="AG7672" s="3"/>
      <c r="AH7672" s="3"/>
    </row>
    <row r="7673" spans="1:34" ht="14.25" customHeight="1" x14ac:dyDescent="0.25">
      <c r="A7673" s="3"/>
      <c r="B7673" s="3"/>
      <c r="C7673" s="3"/>
      <c r="D7673" s="3"/>
      <c r="E7673" s="3"/>
      <c r="F7673" s="3"/>
      <c r="G7673" s="3"/>
      <c r="H7673" s="11"/>
      <c r="I7673" s="12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  <c r="AA7673" s="3"/>
      <c r="AB7673" s="3"/>
      <c r="AC7673" s="3"/>
      <c r="AD7673" s="3"/>
      <c r="AE7673" s="3"/>
      <c r="AF7673" s="3"/>
      <c r="AG7673" s="3"/>
      <c r="AH7673" s="3"/>
    </row>
    <row r="7674" spans="1:34" ht="14.25" customHeight="1" x14ac:dyDescent="0.25">
      <c r="A7674" s="3"/>
      <c r="B7674" s="3"/>
      <c r="C7674" s="3"/>
      <c r="D7674" s="3"/>
      <c r="E7674" s="3"/>
      <c r="F7674" s="3"/>
      <c r="G7674" s="3"/>
      <c r="H7674" s="11"/>
      <c r="I7674" s="12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  <c r="AA7674" s="3"/>
      <c r="AB7674" s="3"/>
      <c r="AC7674" s="3"/>
      <c r="AD7674" s="3"/>
      <c r="AE7674" s="3"/>
      <c r="AF7674" s="3"/>
      <c r="AG7674" s="3"/>
      <c r="AH7674" s="3"/>
    </row>
    <row r="7675" spans="1:34" ht="14.25" customHeight="1" x14ac:dyDescent="0.25">
      <c r="A7675" s="3"/>
      <c r="B7675" s="3"/>
      <c r="C7675" s="3"/>
      <c r="D7675" s="3"/>
      <c r="E7675" s="3"/>
      <c r="F7675" s="3"/>
      <c r="G7675" s="3"/>
      <c r="H7675" s="11"/>
      <c r="I7675" s="12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  <c r="AA7675" s="3"/>
      <c r="AB7675" s="3"/>
      <c r="AC7675" s="3"/>
      <c r="AD7675" s="3"/>
      <c r="AE7675" s="3"/>
      <c r="AF7675" s="3"/>
      <c r="AG7675" s="3"/>
      <c r="AH7675" s="3"/>
    </row>
    <row r="7676" spans="1:34" ht="14.25" customHeight="1" x14ac:dyDescent="0.25">
      <c r="A7676" s="3"/>
      <c r="B7676" s="3"/>
      <c r="C7676" s="3"/>
      <c r="D7676" s="3"/>
      <c r="E7676" s="3"/>
      <c r="F7676" s="3"/>
      <c r="G7676" s="3"/>
      <c r="H7676" s="11"/>
      <c r="I7676" s="12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  <c r="AA7676" s="3"/>
      <c r="AB7676" s="3"/>
      <c r="AC7676" s="3"/>
      <c r="AD7676" s="3"/>
      <c r="AE7676" s="3"/>
      <c r="AF7676" s="3"/>
      <c r="AG7676" s="3"/>
      <c r="AH7676" s="3"/>
    </row>
    <row r="7677" spans="1:34" ht="14.25" customHeight="1" x14ac:dyDescent="0.25">
      <c r="A7677" s="3"/>
      <c r="B7677" s="3"/>
      <c r="C7677" s="3"/>
      <c r="D7677" s="3"/>
      <c r="E7677" s="3"/>
      <c r="F7677" s="3"/>
      <c r="G7677" s="3"/>
      <c r="H7677" s="11"/>
      <c r="I7677" s="12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  <c r="AA7677" s="3"/>
      <c r="AB7677" s="3"/>
      <c r="AC7677" s="3"/>
      <c r="AD7677" s="3"/>
      <c r="AE7677" s="3"/>
      <c r="AF7677" s="3"/>
      <c r="AG7677" s="3"/>
      <c r="AH7677" s="3"/>
    </row>
    <row r="7678" spans="1:34" ht="14.25" customHeight="1" x14ac:dyDescent="0.25">
      <c r="A7678" s="3"/>
      <c r="B7678" s="3"/>
      <c r="C7678" s="3"/>
      <c r="D7678" s="3"/>
      <c r="E7678" s="3"/>
      <c r="F7678" s="3"/>
      <c r="G7678" s="3"/>
      <c r="H7678" s="11"/>
      <c r="I7678" s="12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  <c r="AA7678" s="3"/>
      <c r="AB7678" s="3"/>
      <c r="AC7678" s="3"/>
      <c r="AD7678" s="3"/>
      <c r="AE7678" s="3"/>
      <c r="AF7678" s="3"/>
      <c r="AG7678" s="3"/>
      <c r="AH7678" s="3"/>
    </row>
    <row r="7679" spans="1:34" ht="14.25" customHeight="1" x14ac:dyDescent="0.25">
      <c r="A7679" s="3"/>
      <c r="B7679" s="3"/>
      <c r="C7679" s="3"/>
      <c r="D7679" s="3"/>
      <c r="E7679" s="3"/>
      <c r="F7679" s="3"/>
      <c r="G7679" s="3"/>
      <c r="H7679" s="11"/>
      <c r="I7679" s="12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  <c r="AA7679" s="3"/>
      <c r="AB7679" s="3"/>
      <c r="AC7679" s="3"/>
      <c r="AD7679" s="3"/>
      <c r="AE7679" s="3"/>
      <c r="AF7679" s="3"/>
      <c r="AG7679" s="3"/>
      <c r="AH7679" s="3"/>
    </row>
    <row r="7680" spans="1:34" ht="14.25" customHeight="1" x14ac:dyDescent="0.25">
      <c r="A7680" s="3"/>
      <c r="B7680" s="3"/>
      <c r="C7680" s="3"/>
      <c r="D7680" s="3"/>
      <c r="E7680" s="3"/>
      <c r="F7680" s="3"/>
      <c r="G7680" s="3"/>
      <c r="H7680" s="11"/>
      <c r="I7680" s="12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  <c r="AA7680" s="3"/>
      <c r="AB7680" s="3"/>
      <c r="AC7680" s="3"/>
      <c r="AD7680" s="3"/>
      <c r="AE7680" s="3"/>
      <c r="AF7680" s="3"/>
      <c r="AG7680" s="3"/>
      <c r="AH7680" s="3"/>
    </row>
    <row r="7681" spans="1:34" ht="14.25" customHeight="1" x14ac:dyDescent="0.25">
      <c r="A7681" s="3"/>
      <c r="B7681" s="3"/>
      <c r="C7681" s="3"/>
      <c r="D7681" s="3"/>
      <c r="E7681" s="3"/>
      <c r="F7681" s="3"/>
      <c r="G7681" s="3"/>
      <c r="H7681" s="11"/>
      <c r="I7681" s="12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  <c r="AA7681" s="3"/>
      <c r="AB7681" s="3"/>
      <c r="AC7681" s="3"/>
      <c r="AD7681" s="3"/>
      <c r="AE7681" s="3"/>
      <c r="AF7681" s="3"/>
      <c r="AG7681" s="3"/>
      <c r="AH7681" s="3"/>
    </row>
    <row r="7682" spans="1:34" ht="14.25" customHeight="1" x14ac:dyDescent="0.25">
      <c r="A7682" s="3"/>
      <c r="B7682" s="3"/>
      <c r="C7682" s="3"/>
      <c r="D7682" s="3"/>
      <c r="E7682" s="3"/>
      <c r="F7682" s="3"/>
      <c r="G7682" s="3"/>
      <c r="H7682" s="11"/>
      <c r="I7682" s="12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  <c r="AA7682" s="3"/>
      <c r="AB7682" s="3"/>
      <c r="AC7682" s="3"/>
      <c r="AD7682" s="3"/>
      <c r="AE7682" s="3"/>
      <c r="AF7682" s="3"/>
      <c r="AG7682" s="3"/>
      <c r="AH7682" s="3"/>
    </row>
    <row r="7683" spans="1:34" ht="14.25" customHeight="1" x14ac:dyDescent="0.25">
      <c r="A7683" s="3"/>
      <c r="B7683" s="3"/>
      <c r="C7683" s="3"/>
      <c r="D7683" s="3"/>
      <c r="E7683" s="3"/>
      <c r="F7683" s="3"/>
      <c r="G7683" s="3"/>
      <c r="H7683" s="11"/>
      <c r="I7683" s="12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  <c r="AA7683" s="3"/>
      <c r="AB7683" s="3"/>
      <c r="AC7683" s="3"/>
      <c r="AD7683" s="3"/>
      <c r="AE7683" s="3"/>
      <c r="AF7683" s="3"/>
      <c r="AG7683" s="3"/>
      <c r="AH7683" s="3"/>
    </row>
    <row r="7684" spans="1:34" ht="14.25" customHeight="1" x14ac:dyDescent="0.25">
      <c r="A7684" s="3"/>
      <c r="B7684" s="3"/>
      <c r="C7684" s="3"/>
      <c r="D7684" s="3"/>
      <c r="E7684" s="3"/>
      <c r="F7684" s="3"/>
      <c r="G7684" s="3"/>
      <c r="H7684" s="11"/>
      <c r="I7684" s="12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  <c r="AA7684" s="3"/>
      <c r="AB7684" s="3"/>
      <c r="AC7684" s="3"/>
      <c r="AD7684" s="3"/>
      <c r="AE7684" s="3"/>
      <c r="AF7684" s="3"/>
      <c r="AG7684" s="3"/>
      <c r="AH7684" s="3"/>
    </row>
    <row r="7685" spans="1:34" ht="14.25" customHeight="1" x14ac:dyDescent="0.25">
      <c r="A7685" s="3"/>
      <c r="B7685" s="3"/>
      <c r="C7685" s="3"/>
      <c r="D7685" s="3"/>
      <c r="E7685" s="3"/>
      <c r="F7685" s="3"/>
      <c r="G7685" s="3"/>
      <c r="H7685" s="11"/>
      <c r="I7685" s="12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  <c r="AA7685" s="3"/>
      <c r="AB7685" s="3"/>
      <c r="AC7685" s="3"/>
      <c r="AD7685" s="3"/>
      <c r="AE7685" s="3"/>
      <c r="AF7685" s="3"/>
      <c r="AG7685" s="3"/>
      <c r="AH7685" s="3"/>
    </row>
    <row r="7686" spans="1:34" ht="14.25" customHeight="1" x14ac:dyDescent="0.25">
      <c r="A7686" s="3"/>
      <c r="B7686" s="3"/>
      <c r="C7686" s="3"/>
      <c r="D7686" s="3"/>
      <c r="E7686" s="3"/>
      <c r="F7686" s="3"/>
      <c r="G7686" s="3"/>
      <c r="H7686" s="11"/>
      <c r="I7686" s="12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  <c r="AA7686" s="3"/>
      <c r="AB7686" s="3"/>
      <c r="AC7686" s="3"/>
      <c r="AD7686" s="3"/>
      <c r="AE7686" s="3"/>
      <c r="AF7686" s="3"/>
      <c r="AG7686" s="3"/>
      <c r="AH7686" s="3"/>
    </row>
    <row r="7687" spans="1:34" ht="14.25" customHeight="1" x14ac:dyDescent="0.25">
      <c r="A7687" s="3"/>
      <c r="B7687" s="3"/>
      <c r="C7687" s="3"/>
      <c r="D7687" s="3"/>
      <c r="E7687" s="3"/>
      <c r="F7687" s="3"/>
      <c r="G7687" s="3"/>
      <c r="H7687" s="11"/>
      <c r="I7687" s="12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  <c r="AA7687" s="3"/>
      <c r="AB7687" s="3"/>
      <c r="AC7687" s="3"/>
      <c r="AD7687" s="3"/>
      <c r="AE7687" s="3"/>
      <c r="AF7687" s="3"/>
      <c r="AG7687" s="3"/>
      <c r="AH7687" s="3"/>
    </row>
    <row r="7688" spans="1:34" ht="14.25" customHeight="1" x14ac:dyDescent="0.25">
      <c r="A7688" s="3"/>
      <c r="B7688" s="3"/>
      <c r="C7688" s="3"/>
      <c r="D7688" s="3"/>
      <c r="E7688" s="3"/>
      <c r="F7688" s="3"/>
      <c r="G7688" s="3"/>
      <c r="H7688" s="11"/>
      <c r="I7688" s="12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  <c r="AA7688" s="3"/>
      <c r="AB7688" s="3"/>
      <c r="AC7688" s="3"/>
      <c r="AD7688" s="3"/>
      <c r="AE7688" s="3"/>
      <c r="AF7688" s="3"/>
      <c r="AG7688" s="3"/>
      <c r="AH7688" s="3"/>
    </row>
    <row r="7689" spans="1:34" ht="14.25" customHeight="1" x14ac:dyDescent="0.25">
      <c r="A7689" s="3"/>
      <c r="B7689" s="3"/>
      <c r="C7689" s="3"/>
      <c r="D7689" s="3"/>
      <c r="E7689" s="3"/>
      <c r="F7689" s="3"/>
      <c r="G7689" s="3"/>
      <c r="H7689" s="11"/>
      <c r="I7689" s="12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  <c r="AA7689" s="3"/>
      <c r="AB7689" s="3"/>
      <c r="AC7689" s="3"/>
      <c r="AD7689" s="3"/>
      <c r="AE7689" s="3"/>
      <c r="AF7689" s="3"/>
      <c r="AG7689" s="3"/>
      <c r="AH7689" s="3"/>
    </row>
    <row r="7690" spans="1:34" ht="14.25" customHeight="1" x14ac:dyDescent="0.25">
      <c r="A7690" s="3"/>
      <c r="B7690" s="3"/>
      <c r="C7690" s="3"/>
      <c r="D7690" s="3"/>
      <c r="E7690" s="3"/>
      <c r="F7690" s="3"/>
      <c r="G7690" s="3"/>
      <c r="H7690" s="11"/>
      <c r="I7690" s="12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  <c r="AA7690" s="3"/>
      <c r="AB7690" s="3"/>
      <c r="AC7690" s="3"/>
      <c r="AD7690" s="3"/>
      <c r="AE7690" s="3"/>
      <c r="AF7690" s="3"/>
      <c r="AG7690" s="3"/>
      <c r="AH7690" s="3"/>
    </row>
    <row r="7691" spans="1:34" ht="14.25" customHeight="1" x14ac:dyDescent="0.25">
      <c r="A7691" s="3"/>
      <c r="B7691" s="3"/>
      <c r="C7691" s="3"/>
      <c r="D7691" s="3"/>
      <c r="E7691" s="3"/>
      <c r="F7691" s="3"/>
      <c r="G7691" s="3"/>
      <c r="H7691" s="11"/>
      <c r="I7691" s="12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  <c r="AA7691" s="3"/>
      <c r="AB7691" s="3"/>
      <c r="AC7691" s="3"/>
      <c r="AD7691" s="3"/>
      <c r="AE7691" s="3"/>
      <c r="AF7691" s="3"/>
      <c r="AG7691" s="3"/>
      <c r="AH7691" s="3"/>
    </row>
    <row r="7692" spans="1:34" ht="14.25" customHeight="1" x14ac:dyDescent="0.25">
      <c r="A7692" s="3"/>
      <c r="B7692" s="3"/>
      <c r="C7692" s="3"/>
      <c r="D7692" s="3"/>
      <c r="E7692" s="3"/>
      <c r="F7692" s="3"/>
      <c r="G7692" s="3"/>
      <c r="H7692" s="11"/>
      <c r="I7692" s="12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  <c r="AA7692" s="3"/>
      <c r="AB7692" s="3"/>
      <c r="AC7692" s="3"/>
      <c r="AD7692" s="3"/>
      <c r="AE7692" s="3"/>
      <c r="AF7692" s="3"/>
      <c r="AG7692" s="3"/>
      <c r="AH7692" s="3"/>
    </row>
    <row r="7693" spans="1:34" ht="14.25" customHeight="1" x14ac:dyDescent="0.25">
      <c r="A7693" s="3"/>
      <c r="B7693" s="3"/>
      <c r="C7693" s="3"/>
      <c r="D7693" s="3"/>
      <c r="E7693" s="3"/>
      <c r="F7693" s="3"/>
      <c r="G7693" s="3"/>
      <c r="H7693" s="11"/>
      <c r="I7693" s="12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  <c r="AA7693" s="3"/>
      <c r="AB7693" s="3"/>
      <c r="AC7693" s="3"/>
      <c r="AD7693" s="3"/>
      <c r="AE7693" s="3"/>
      <c r="AF7693" s="3"/>
      <c r="AG7693" s="3"/>
      <c r="AH7693" s="3"/>
    </row>
    <row r="7694" spans="1:34" ht="14.25" customHeight="1" x14ac:dyDescent="0.25">
      <c r="A7694" s="3"/>
      <c r="B7694" s="3"/>
      <c r="C7694" s="3"/>
      <c r="D7694" s="3"/>
      <c r="E7694" s="3"/>
      <c r="F7694" s="3"/>
      <c r="G7694" s="3"/>
      <c r="H7694" s="11"/>
      <c r="I7694" s="12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  <c r="AA7694" s="3"/>
      <c r="AB7694" s="3"/>
      <c r="AC7694" s="3"/>
      <c r="AD7694" s="3"/>
      <c r="AE7694" s="3"/>
      <c r="AF7694" s="3"/>
      <c r="AG7694" s="3"/>
      <c r="AH7694" s="3"/>
    </row>
    <row r="7695" spans="1:34" ht="14.25" customHeight="1" x14ac:dyDescent="0.25">
      <c r="A7695" s="3"/>
      <c r="B7695" s="3"/>
      <c r="C7695" s="3"/>
      <c r="D7695" s="3"/>
      <c r="E7695" s="3"/>
      <c r="F7695" s="3"/>
      <c r="G7695" s="3"/>
      <c r="H7695" s="11"/>
      <c r="I7695" s="12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  <c r="AA7695" s="3"/>
      <c r="AB7695" s="3"/>
      <c r="AC7695" s="3"/>
      <c r="AD7695" s="3"/>
      <c r="AE7695" s="3"/>
      <c r="AF7695" s="3"/>
      <c r="AG7695" s="3"/>
      <c r="AH7695" s="3"/>
    </row>
    <row r="7696" spans="1:34" ht="14.25" customHeight="1" x14ac:dyDescent="0.25">
      <c r="A7696" s="3"/>
      <c r="B7696" s="3"/>
      <c r="C7696" s="3"/>
      <c r="D7696" s="3"/>
      <c r="E7696" s="3"/>
      <c r="F7696" s="3"/>
      <c r="G7696" s="3"/>
      <c r="H7696" s="11"/>
      <c r="I7696" s="12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  <c r="AA7696" s="3"/>
      <c r="AB7696" s="3"/>
      <c r="AC7696" s="3"/>
      <c r="AD7696" s="3"/>
      <c r="AE7696" s="3"/>
      <c r="AF7696" s="3"/>
      <c r="AG7696" s="3"/>
      <c r="AH7696" s="3"/>
    </row>
    <row r="7697" spans="1:34" ht="14.25" customHeight="1" x14ac:dyDescent="0.25">
      <c r="A7697" s="3"/>
      <c r="B7697" s="3"/>
      <c r="C7697" s="3"/>
      <c r="D7697" s="3"/>
      <c r="E7697" s="3"/>
      <c r="F7697" s="3"/>
      <c r="G7697" s="3"/>
      <c r="H7697" s="11"/>
      <c r="I7697" s="12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  <c r="AA7697" s="3"/>
      <c r="AB7697" s="3"/>
      <c r="AC7697" s="3"/>
      <c r="AD7697" s="3"/>
      <c r="AE7697" s="3"/>
      <c r="AF7697" s="3"/>
      <c r="AG7697" s="3"/>
      <c r="AH7697" s="3"/>
    </row>
    <row r="7698" spans="1:34" ht="14.25" customHeight="1" x14ac:dyDescent="0.25">
      <c r="A7698" s="3"/>
      <c r="B7698" s="3"/>
      <c r="C7698" s="3"/>
      <c r="D7698" s="3"/>
      <c r="E7698" s="3"/>
      <c r="F7698" s="3"/>
      <c r="G7698" s="3"/>
      <c r="H7698" s="11"/>
      <c r="I7698" s="12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  <c r="AA7698" s="3"/>
      <c r="AB7698" s="3"/>
      <c r="AC7698" s="3"/>
      <c r="AD7698" s="3"/>
      <c r="AE7698" s="3"/>
      <c r="AF7698" s="3"/>
      <c r="AG7698" s="3"/>
      <c r="AH7698" s="3"/>
    </row>
    <row r="7699" spans="1:34" ht="14.25" customHeight="1" x14ac:dyDescent="0.25">
      <c r="A7699" s="3"/>
      <c r="B7699" s="3"/>
      <c r="C7699" s="3"/>
      <c r="D7699" s="3"/>
      <c r="E7699" s="3"/>
      <c r="F7699" s="3"/>
      <c r="G7699" s="3"/>
      <c r="H7699" s="11"/>
      <c r="I7699" s="12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  <c r="AA7699" s="3"/>
      <c r="AB7699" s="3"/>
      <c r="AC7699" s="3"/>
      <c r="AD7699" s="3"/>
      <c r="AE7699" s="3"/>
      <c r="AF7699" s="3"/>
      <c r="AG7699" s="3"/>
      <c r="AH7699" s="3"/>
    </row>
    <row r="7700" spans="1:34" ht="14.25" customHeight="1" x14ac:dyDescent="0.25">
      <c r="A7700" s="3"/>
      <c r="B7700" s="3"/>
      <c r="C7700" s="3"/>
      <c r="D7700" s="3"/>
      <c r="E7700" s="3"/>
      <c r="F7700" s="3"/>
      <c r="G7700" s="3"/>
      <c r="H7700" s="11"/>
      <c r="I7700" s="12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  <c r="AA7700" s="3"/>
      <c r="AB7700" s="3"/>
      <c r="AC7700" s="3"/>
      <c r="AD7700" s="3"/>
      <c r="AE7700" s="3"/>
      <c r="AF7700" s="3"/>
      <c r="AG7700" s="3"/>
      <c r="AH7700" s="3"/>
    </row>
    <row r="7701" spans="1:34" ht="14.25" customHeight="1" x14ac:dyDescent="0.25">
      <c r="A7701" s="3"/>
      <c r="B7701" s="3"/>
      <c r="C7701" s="3"/>
      <c r="D7701" s="3"/>
      <c r="E7701" s="3"/>
      <c r="F7701" s="3"/>
      <c r="G7701" s="3"/>
      <c r="H7701" s="11"/>
      <c r="I7701" s="12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  <c r="AA7701" s="3"/>
      <c r="AB7701" s="3"/>
      <c r="AC7701" s="3"/>
      <c r="AD7701" s="3"/>
      <c r="AE7701" s="3"/>
      <c r="AF7701" s="3"/>
      <c r="AG7701" s="3"/>
      <c r="AH7701" s="3"/>
    </row>
    <row r="7702" spans="1:34" ht="14.25" customHeight="1" x14ac:dyDescent="0.25">
      <c r="A7702" s="3"/>
      <c r="B7702" s="3"/>
      <c r="C7702" s="3"/>
      <c r="D7702" s="3"/>
      <c r="E7702" s="3"/>
      <c r="F7702" s="3"/>
      <c r="G7702" s="3"/>
      <c r="H7702" s="11"/>
      <c r="I7702" s="12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  <c r="AA7702" s="3"/>
      <c r="AB7702" s="3"/>
      <c r="AC7702" s="3"/>
      <c r="AD7702" s="3"/>
      <c r="AE7702" s="3"/>
      <c r="AF7702" s="3"/>
      <c r="AG7702" s="3"/>
      <c r="AH7702" s="3"/>
    </row>
    <row r="7703" spans="1:34" ht="14.25" customHeight="1" x14ac:dyDescent="0.25">
      <c r="A7703" s="3"/>
      <c r="B7703" s="3"/>
      <c r="C7703" s="3"/>
      <c r="D7703" s="3"/>
      <c r="E7703" s="3"/>
      <c r="F7703" s="3"/>
      <c r="G7703" s="3"/>
      <c r="H7703" s="11"/>
      <c r="I7703" s="12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  <c r="AA7703" s="3"/>
      <c r="AB7703" s="3"/>
      <c r="AC7703" s="3"/>
      <c r="AD7703" s="3"/>
      <c r="AE7703" s="3"/>
      <c r="AF7703" s="3"/>
      <c r="AG7703" s="3"/>
      <c r="AH7703" s="3"/>
    </row>
    <row r="7704" spans="1:34" ht="14.25" customHeight="1" x14ac:dyDescent="0.25">
      <c r="A7704" s="3"/>
      <c r="B7704" s="3"/>
      <c r="C7704" s="3"/>
      <c r="D7704" s="3"/>
      <c r="E7704" s="3"/>
      <c r="F7704" s="3"/>
      <c r="G7704" s="3"/>
      <c r="H7704" s="11"/>
      <c r="I7704" s="12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  <c r="AA7704" s="3"/>
      <c r="AB7704" s="3"/>
      <c r="AC7704" s="3"/>
      <c r="AD7704" s="3"/>
      <c r="AE7704" s="3"/>
      <c r="AF7704" s="3"/>
      <c r="AG7704" s="3"/>
      <c r="AH7704" s="3"/>
    </row>
    <row r="7705" spans="1:34" ht="14.25" customHeight="1" x14ac:dyDescent="0.25">
      <c r="A7705" s="3"/>
      <c r="B7705" s="3"/>
      <c r="C7705" s="3"/>
      <c r="D7705" s="3"/>
      <c r="E7705" s="3"/>
      <c r="F7705" s="3"/>
      <c r="G7705" s="3"/>
      <c r="H7705" s="11"/>
      <c r="I7705" s="12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  <c r="AA7705" s="3"/>
      <c r="AB7705" s="3"/>
      <c r="AC7705" s="3"/>
      <c r="AD7705" s="3"/>
      <c r="AE7705" s="3"/>
      <c r="AF7705" s="3"/>
      <c r="AG7705" s="3"/>
      <c r="AH7705" s="3"/>
    </row>
    <row r="7706" spans="1:34" ht="14.25" customHeight="1" x14ac:dyDescent="0.25">
      <c r="A7706" s="3"/>
      <c r="B7706" s="3"/>
      <c r="C7706" s="3"/>
      <c r="D7706" s="3"/>
      <c r="E7706" s="3"/>
      <c r="F7706" s="3"/>
      <c r="G7706" s="3"/>
      <c r="H7706" s="11"/>
      <c r="I7706" s="12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  <c r="AA7706" s="3"/>
      <c r="AB7706" s="3"/>
      <c r="AC7706" s="3"/>
      <c r="AD7706" s="3"/>
      <c r="AE7706" s="3"/>
      <c r="AF7706" s="3"/>
      <c r="AG7706" s="3"/>
      <c r="AH7706" s="3"/>
    </row>
    <row r="7707" spans="1:34" ht="14.25" customHeight="1" x14ac:dyDescent="0.25">
      <c r="A7707" s="3"/>
      <c r="B7707" s="3"/>
      <c r="C7707" s="3"/>
      <c r="D7707" s="3"/>
      <c r="E7707" s="3"/>
      <c r="F7707" s="3"/>
      <c r="G7707" s="3"/>
      <c r="H7707" s="11"/>
      <c r="I7707" s="12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  <c r="AA7707" s="3"/>
      <c r="AB7707" s="3"/>
      <c r="AC7707" s="3"/>
      <c r="AD7707" s="3"/>
      <c r="AE7707" s="3"/>
      <c r="AF7707" s="3"/>
      <c r="AG7707" s="3"/>
      <c r="AH7707" s="3"/>
    </row>
    <row r="7708" spans="1:34" ht="14.25" customHeight="1" x14ac:dyDescent="0.25">
      <c r="A7708" s="3"/>
      <c r="B7708" s="3"/>
      <c r="C7708" s="3"/>
      <c r="D7708" s="3"/>
      <c r="E7708" s="3"/>
      <c r="F7708" s="3"/>
      <c r="G7708" s="3"/>
      <c r="H7708" s="11"/>
      <c r="I7708" s="12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  <c r="AA7708" s="3"/>
      <c r="AB7708" s="3"/>
      <c r="AC7708" s="3"/>
      <c r="AD7708" s="3"/>
      <c r="AE7708" s="3"/>
      <c r="AF7708" s="3"/>
      <c r="AG7708" s="3"/>
      <c r="AH7708" s="3"/>
    </row>
    <row r="7709" spans="1:34" ht="14.25" customHeight="1" x14ac:dyDescent="0.25">
      <c r="A7709" s="3"/>
      <c r="B7709" s="3"/>
      <c r="C7709" s="3"/>
      <c r="D7709" s="3"/>
      <c r="E7709" s="3"/>
      <c r="F7709" s="3"/>
      <c r="G7709" s="3"/>
      <c r="H7709" s="11"/>
      <c r="I7709" s="12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  <c r="AA7709" s="3"/>
      <c r="AB7709" s="3"/>
      <c r="AC7709" s="3"/>
      <c r="AD7709" s="3"/>
      <c r="AE7709" s="3"/>
      <c r="AF7709" s="3"/>
      <c r="AG7709" s="3"/>
      <c r="AH7709" s="3"/>
    </row>
    <row r="7710" spans="1:34" ht="14.25" customHeight="1" x14ac:dyDescent="0.25">
      <c r="A7710" s="3"/>
      <c r="B7710" s="3"/>
      <c r="C7710" s="3"/>
      <c r="D7710" s="3"/>
      <c r="E7710" s="3"/>
      <c r="F7710" s="3"/>
      <c r="G7710" s="3"/>
      <c r="H7710" s="11"/>
      <c r="I7710" s="12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  <c r="AA7710" s="3"/>
      <c r="AB7710" s="3"/>
      <c r="AC7710" s="3"/>
      <c r="AD7710" s="3"/>
      <c r="AE7710" s="3"/>
      <c r="AF7710" s="3"/>
      <c r="AG7710" s="3"/>
      <c r="AH7710" s="3"/>
    </row>
    <row r="7711" spans="1:34" ht="14.25" customHeight="1" x14ac:dyDescent="0.25">
      <c r="A7711" s="3"/>
      <c r="B7711" s="3"/>
      <c r="C7711" s="3"/>
      <c r="D7711" s="3"/>
      <c r="E7711" s="3"/>
      <c r="F7711" s="3"/>
      <c r="G7711" s="3"/>
      <c r="H7711" s="11"/>
      <c r="I7711" s="12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  <c r="AA7711" s="3"/>
      <c r="AB7711" s="3"/>
      <c r="AC7711" s="3"/>
      <c r="AD7711" s="3"/>
      <c r="AE7711" s="3"/>
      <c r="AF7711" s="3"/>
      <c r="AG7711" s="3"/>
      <c r="AH7711" s="3"/>
    </row>
    <row r="7712" spans="1:34" ht="14.25" customHeight="1" x14ac:dyDescent="0.25">
      <c r="A7712" s="3"/>
      <c r="B7712" s="3"/>
      <c r="C7712" s="3"/>
      <c r="D7712" s="3"/>
      <c r="E7712" s="3"/>
      <c r="F7712" s="3"/>
      <c r="G7712" s="3"/>
      <c r="H7712" s="11"/>
      <c r="I7712" s="12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  <c r="AA7712" s="3"/>
      <c r="AB7712" s="3"/>
      <c r="AC7712" s="3"/>
      <c r="AD7712" s="3"/>
      <c r="AE7712" s="3"/>
      <c r="AF7712" s="3"/>
      <c r="AG7712" s="3"/>
      <c r="AH7712" s="3"/>
    </row>
    <row r="7713" spans="1:34" ht="14.25" customHeight="1" x14ac:dyDescent="0.25">
      <c r="A7713" s="3"/>
      <c r="B7713" s="3"/>
      <c r="C7713" s="3"/>
      <c r="D7713" s="3"/>
      <c r="E7713" s="3"/>
      <c r="F7713" s="3"/>
      <c r="G7713" s="3"/>
      <c r="H7713" s="11"/>
      <c r="I7713" s="12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  <c r="AA7713" s="3"/>
      <c r="AB7713" s="3"/>
      <c r="AC7713" s="3"/>
      <c r="AD7713" s="3"/>
      <c r="AE7713" s="3"/>
      <c r="AF7713" s="3"/>
      <c r="AG7713" s="3"/>
      <c r="AH7713" s="3"/>
    </row>
    <row r="7714" spans="1:34" ht="14.25" customHeight="1" x14ac:dyDescent="0.25">
      <c r="A7714" s="3"/>
      <c r="B7714" s="3"/>
      <c r="C7714" s="3"/>
      <c r="D7714" s="3"/>
      <c r="E7714" s="3"/>
      <c r="F7714" s="3"/>
      <c r="G7714" s="3"/>
      <c r="H7714" s="11"/>
      <c r="I7714" s="12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  <c r="AA7714" s="3"/>
      <c r="AB7714" s="3"/>
      <c r="AC7714" s="3"/>
      <c r="AD7714" s="3"/>
      <c r="AE7714" s="3"/>
      <c r="AF7714" s="3"/>
      <c r="AG7714" s="3"/>
      <c r="AH7714" s="3"/>
    </row>
    <row r="7715" spans="1:34" ht="14.25" customHeight="1" x14ac:dyDescent="0.25">
      <c r="A7715" s="3"/>
      <c r="B7715" s="3"/>
      <c r="C7715" s="3"/>
      <c r="D7715" s="3"/>
      <c r="E7715" s="3"/>
      <c r="F7715" s="3"/>
      <c r="G7715" s="3"/>
      <c r="H7715" s="11"/>
      <c r="I7715" s="12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  <c r="AA7715" s="3"/>
      <c r="AB7715" s="3"/>
      <c r="AC7715" s="3"/>
      <c r="AD7715" s="3"/>
      <c r="AE7715" s="3"/>
      <c r="AF7715" s="3"/>
      <c r="AG7715" s="3"/>
      <c r="AH7715" s="3"/>
    </row>
    <row r="7716" spans="1:34" ht="14.25" customHeight="1" x14ac:dyDescent="0.25">
      <c r="A7716" s="3"/>
      <c r="B7716" s="3"/>
      <c r="C7716" s="3"/>
      <c r="D7716" s="3"/>
      <c r="E7716" s="3"/>
      <c r="F7716" s="3"/>
      <c r="G7716" s="3"/>
      <c r="H7716" s="11"/>
      <c r="I7716" s="12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  <c r="AA7716" s="3"/>
      <c r="AB7716" s="3"/>
      <c r="AC7716" s="3"/>
      <c r="AD7716" s="3"/>
      <c r="AE7716" s="3"/>
      <c r="AF7716" s="3"/>
      <c r="AG7716" s="3"/>
      <c r="AH7716" s="3"/>
    </row>
    <row r="7717" spans="1:34" ht="14.25" customHeight="1" x14ac:dyDescent="0.25">
      <c r="A7717" s="3"/>
      <c r="B7717" s="3"/>
      <c r="C7717" s="3"/>
      <c r="D7717" s="3"/>
      <c r="E7717" s="3"/>
      <c r="F7717" s="3"/>
      <c r="G7717" s="3"/>
      <c r="H7717" s="11"/>
      <c r="I7717" s="12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  <c r="AA7717" s="3"/>
      <c r="AB7717" s="3"/>
      <c r="AC7717" s="3"/>
      <c r="AD7717" s="3"/>
      <c r="AE7717" s="3"/>
      <c r="AF7717" s="3"/>
      <c r="AG7717" s="3"/>
      <c r="AH7717" s="3"/>
    </row>
    <row r="7718" spans="1:34" ht="14.25" customHeight="1" x14ac:dyDescent="0.25">
      <c r="A7718" s="3"/>
      <c r="B7718" s="3"/>
      <c r="C7718" s="3"/>
      <c r="D7718" s="3"/>
      <c r="E7718" s="3"/>
      <c r="F7718" s="3"/>
      <c r="G7718" s="3"/>
      <c r="H7718" s="11"/>
      <c r="I7718" s="12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  <c r="AA7718" s="3"/>
      <c r="AB7718" s="3"/>
      <c r="AC7718" s="3"/>
      <c r="AD7718" s="3"/>
      <c r="AE7718" s="3"/>
      <c r="AF7718" s="3"/>
      <c r="AG7718" s="3"/>
      <c r="AH7718" s="3"/>
    </row>
    <row r="7719" spans="1:34" ht="14.25" customHeight="1" x14ac:dyDescent="0.25">
      <c r="A7719" s="3"/>
      <c r="B7719" s="3"/>
      <c r="C7719" s="3"/>
      <c r="D7719" s="3"/>
      <c r="E7719" s="3"/>
      <c r="F7719" s="3"/>
      <c r="G7719" s="3"/>
      <c r="H7719" s="11"/>
      <c r="I7719" s="12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  <c r="AA7719" s="3"/>
      <c r="AB7719" s="3"/>
      <c r="AC7719" s="3"/>
      <c r="AD7719" s="3"/>
      <c r="AE7719" s="3"/>
      <c r="AF7719" s="3"/>
      <c r="AG7719" s="3"/>
      <c r="AH7719" s="3"/>
    </row>
    <row r="7720" spans="1:34" ht="14.25" customHeight="1" x14ac:dyDescent="0.25">
      <c r="A7720" s="3"/>
      <c r="B7720" s="3"/>
      <c r="C7720" s="3"/>
      <c r="D7720" s="3"/>
      <c r="E7720" s="3"/>
      <c r="F7720" s="3"/>
      <c r="G7720" s="3"/>
      <c r="H7720" s="11"/>
      <c r="I7720" s="12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  <c r="AA7720" s="3"/>
      <c r="AB7720" s="3"/>
      <c r="AC7720" s="3"/>
      <c r="AD7720" s="3"/>
      <c r="AE7720" s="3"/>
      <c r="AF7720" s="3"/>
      <c r="AG7720" s="3"/>
      <c r="AH7720" s="3"/>
    </row>
    <row r="7721" spans="1:34" ht="14.25" customHeight="1" x14ac:dyDescent="0.25">
      <c r="A7721" s="3"/>
      <c r="B7721" s="3"/>
      <c r="C7721" s="3"/>
      <c r="D7721" s="3"/>
      <c r="E7721" s="3"/>
      <c r="F7721" s="3"/>
      <c r="G7721" s="3"/>
      <c r="H7721" s="11"/>
      <c r="I7721" s="12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  <c r="AA7721" s="3"/>
      <c r="AB7721" s="3"/>
      <c r="AC7721" s="3"/>
      <c r="AD7721" s="3"/>
      <c r="AE7721" s="3"/>
      <c r="AF7721" s="3"/>
      <c r="AG7721" s="3"/>
      <c r="AH7721" s="3"/>
    </row>
    <row r="7722" spans="1:34" ht="14.25" customHeight="1" x14ac:dyDescent="0.25">
      <c r="A7722" s="3"/>
      <c r="B7722" s="3"/>
      <c r="C7722" s="3"/>
      <c r="D7722" s="3"/>
      <c r="E7722" s="3"/>
      <c r="F7722" s="3"/>
      <c r="G7722" s="3"/>
      <c r="H7722" s="11"/>
      <c r="I7722" s="12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  <c r="AA7722" s="3"/>
      <c r="AB7722" s="3"/>
      <c r="AC7722" s="3"/>
      <c r="AD7722" s="3"/>
      <c r="AE7722" s="3"/>
      <c r="AF7722" s="3"/>
      <c r="AG7722" s="3"/>
      <c r="AH7722" s="3"/>
    </row>
    <row r="7723" spans="1:34" ht="14.25" customHeight="1" x14ac:dyDescent="0.25">
      <c r="A7723" s="3"/>
      <c r="B7723" s="3"/>
      <c r="C7723" s="3"/>
      <c r="D7723" s="3"/>
      <c r="E7723" s="3"/>
      <c r="F7723" s="3"/>
      <c r="G7723" s="3"/>
      <c r="H7723" s="11"/>
      <c r="I7723" s="12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  <c r="AA7723" s="3"/>
      <c r="AB7723" s="3"/>
      <c r="AC7723" s="3"/>
      <c r="AD7723" s="3"/>
      <c r="AE7723" s="3"/>
      <c r="AF7723" s="3"/>
      <c r="AG7723" s="3"/>
      <c r="AH7723" s="3"/>
    </row>
    <row r="7724" spans="1:34" ht="14.25" customHeight="1" x14ac:dyDescent="0.25">
      <c r="A7724" s="3"/>
      <c r="B7724" s="3"/>
      <c r="C7724" s="3"/>
      <c r="D7724" s="3"/>
      <c r="E7724" s="3"/>
      <c r="F7724" s="3"/>
      <c r="G7724" s="3"/>
      <c r="H7724" s="11"/>
      <c r="I7724" s="12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  <c r="AA7724" s="3"/>
      <c r="AB7724" s="3"/>
      <c r="AC7724" s="3"/>
      <c r="AD7724" s="3"/>
      <c r="AE7724" s="3"/>
      <c r="AF7724" s="3"/>
      <c r="AG7724" s="3"/>
      <c r="AH7724" s="3"/>
    </row>
    <row r="7725" spans="1:34" ht="14.25" customHeight="1" x14ac:dyDescent="0.25">
      <c r="A7725" s="3"/>
      <c r="B7725" s="3"/>
      <c r="C7725" s="3"/>
      <c r="D7725" s="3"/>
      <c r="E7725" s="3"/>
      <c r="F7725" s="3"/>
      <c r="G7725" s="3"/>
      <c r="H7725" s="11"/>
      <c r="I7725" s="12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  <c r="AA7725" s="3"/>
      <c r="AB7725" s="3"/>
      <c r="AC7725" s="3"/>
      <c r="AD7725" s="3"/>
      <c r="AE7725" s="3"/>
      <c r="AF7725" s="3"/>
      <c r="AG7725" s="3"/>
      <c r="AH7725" s="3"/>
    </row>
    <row r="7726" spans="1:34" ht="14.25" customHeight="1" x14ac:dyDescent="0.25">
      <c r="A7726" s="3"/>
      <c r="B7726" s="3"/>
      <c r="C7726" s="3"/>
      <c r="D7726" s="3"/>
      <c r="E7726" s="3"/>
      <c r="F7726" s="3"/>
      <c r="G7726" s="3"/>
      <c r="H7726" s="11"/>
      <c r="I7726" s="12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  <c r="AA7726" s="3"/>
      <c r="AB7726" s="3"/>
      <c r="AC7726" s="3"/>
      <c r="AD7726" s="3"/>
      <c r="AE7726" s="3"/>
      <c r="AF7726" s="3"/>
      <c r="AG7726" s="3"/>
      <c r="AH7726" s="3"/>
    </row>
    <row r="7727" spans="1:34" ht="14.25" customHeight="1" x14ac:dyDescent="0.25">
      <c r="A7727" s="3"/>
      <c r="B7727" s="3"/>
      <c r="C7727" s="3"/>
      <c r="D7727" s="3"/>
      <c r="E7727" s="3"/>
      <c r="F7727" s="3"/>
      <c r="G7727" s="3"/>
      <c r="H7727" s="11"/>
      <c r="I7727" s="12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  <c r="AA7727" s="3"/>
      <c r="AB7727" s="3"/>
      <c r="AC7727" s="3"/>
      <c r="AD7727" s="3"/>
      <c r="AE7727" s="3"/>
      <c r="AF7727" s="3"/>
      <c r="AG7727" s="3"/>
      <c r="AH7727" s="3"/>
    </row>
    <row r="7728" spans="1:34" ht="14.25" customHeight="1" x14ac:dyDescent="0.25">
      <c r="A7728" s="3"/>
      <c r="B7728" s="3"/>
      <c r="C7728" s="3"/>
      <c r="D7728" s="3"/>
      <c r="E7728" s="3"/>
      <c r="F7728" s="3"/>
      <c r="G7728" s="3"/>
      <c r="H7728" s="11"/>
      <c r="I7728" s="12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  <c r="AA7728" s="3"/>
      <c r="AB7728" s="3"/>
      <c r="AC7728" s="3"/>
      <c r="AD7728" s="3"/>
      <c r="AE7728" s="3"/>
      <c r="AF7728" s="3"/>
      <c r="AG7728" s="3"/>
      <c r="AH7728" s="3"/>
    </row>
    <row r="7729" spans="1:34" ht="14.25" customHeight="1" x14ac:dyDescent="0.25">
      <c r="A7729" s="3"/>
      <c r="B7729" s="3"/>
      <c r="C7729" s="3"/>
      <c r="D7729" s="3"/>
      <c r="E7729" s="3"/>
      <c r="F7729" s="3"/>
      <c r="G7729" s="3"/>
      <c r="H7729" s="11"/>
      <c r="I7729" s="12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  <c r="AA7729" s="3"/>
      <c r="AB7729" s="3"/>
      <c r="AC7729" s="3"/>
      <c r="AD7729" s="3"/>
      <c r="AE7729" s="3"/>
      <c r="AF7729" s="3"/>
      <c r="AG7729" s="3"/>
      <c r="AH7729" s="3"/>
    </row>
    <row r="7730" spans="1:34" ht="14.25" customHeight="1" x14ac:dyDescent="0.25">
      <c r="A7730" s="3"/>
      <c r="B7730" s="3"/>
      <c r="C7730" s="3"/>
      <c r="D7730" s="3"/>
      <c r="E7730" s="3"/>
      <c r="F7730" s="3"/>
      <c r="G7730" s="3"/>
      <c r="H7730" s="11"/>
      <c r="I7730" s="12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  <c r="AA7730" s="3"/>
      <c r="AB7730" s="3"/>
      <c r="AC7730" s="3"/>
      <c r="AD7730" s="3"/>
      <c r="AE7730" s="3"/>
      <c r="AF7730" s="3"/>
      <c r="AG7730" s="3"/>
      <c r="AH7730" s="3"/>
    </row>
    <row r="7731" spans="1:34" ht="14.25" customHeight="1" x14ac:dyDescent="0.25">
      <c r="A7731" s="3"/>
      <c r="B7731" s="3"/>
      <c r="C7731" s="3"/>
      <c r="D7731" s="3"/>
      <c r="E7731" s="3"/>
      <c r="F7731" s="3"/>
      <c r="G7731" s="3"/>
      <c r="H7731" s="11"/>
      <c r="I7731" s="12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  <c r="AA7731" s="3"/>
      <c r="AB7731" s="3"/>
      <c r="AC7731" s="3"/>
      <c r="AD7731" s="3"/>
      <c r="AE7731" s="3"/>
      <c r="AF7731" s="3"/>
      <c r="AG7731" s="3"/>
      <c r="AH7731" s="3"/>
    </row>
    <row r="7732" spans="1:34" ht="14.25" customHeight="1" x14ac:dyDescent="0.25">
      <c r="A7732" s="3"/>
      <c r="B7732" s="3"/>
      <c r="C7732" s="3"/>
      <c r="D7732" s="3"/>
      <c r="E7732" s="3"/>
      <c r="F7732" s="3"/>
      <c r="G7732" s="3"/>
      <c r="H7732" s="11"/>
      <c r="I7732" s="12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  <c r="AA7732" s="3"/>
      <c r="AB7732" s="3"/>
      <c r="AC7732" s="3"/>
      <c r="AD7732" s="3"/>
      <c r="AE7732" s="3"/>
      <c r="AF7732" s="3"/>
      <c r="AG7732" s="3"/>
      <c r="AH7732" s="3"/>
    </row>
    <row r="7733" spans="1:34" ht="14.25" customHeight="1" x14ac:dyDescent="0.25">
      <c r="A7733" s="3"/>
      <c r="B7733" s="3"/>
      <c r="C7733" s="3"/>
      <c r="D7733" s="3"/>
      <c r="E7733" s="3"/>
      <c r="F7733" s="3"/>
      <c r="G7733" s="3"/>
      <c r="H7733" s="11"/>
      <c r="I7733" s="12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  <c r="AA7733" s="3"/>
      <c r="AB7733" s="3"/>
      <c r="AC7733" s="3"/>
      <c r="AD7733" s="3"/>
      <c r="AE7733" s="3"/>
      <c r="AF7733" s="3"/>
      <c r="AG7733" s="3"/>
      <c r="AH7733" s="3"/>
    </row>
    <row r="7734" spans="1:34" ht="14.25" customHeight="1" x14ac:dyDescent="0.25">
      <c r="A7734" s="3"/>
      <c r="B7734" s="3"/>
      <c r="C7734" s="3"/>
      <c r="D7734" s="3"/>
      <c r="E7734" s="3"/>
      <c r="F7734" s="3"/>
      <c r="G7734" s="3"/>
      <c r="H7734" s="11"/>
      <c r="I7734" s="12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  <c r="AA7734" s="3"/>
      <c r="AB7734" s="3"/>
      <c r="AC7734" s="3"/>
      <c r="AD7734" s="3"/>
      <c r="AE7734" s="3"/>
      <c r="AF7734" s="3"/>
      <c r="AG7734" s="3"/>
      <c r="AH7734" s="3"/>
    </row>
    <row r="7735" spans="1:34" ht="14.25" customHeight="1" x14ac:dyDescent="0.25">
      <c r="A7735" s="3"/>
      <c r="B7735" s="3"/>
      <c r="C7735" s="3"/>
      <c r="D7735" s="3"/>
      <c r="E7735" s="3"/>
      <c r="F7735" s="3"/>
      <c r="G7735" s="3"/>
      <c r="H7735" s="11"/>
      <c r="I7735" s="12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  <c r="AA7735" s="3"/>
      <c r="AB7735" s="3"/>
      <c r="AC7735" s="3"/>
      <c r="AD7735" s="3"/>
      <c r="AE7735" s="3"/>
      <c r="AF7735" s="3"/>
      <c r="AG7735" s="3"/>
      <c r="AH7735" s="3"/>
    </row>
    <row r="7736" spans="1:34" ht="14.25" customHeight="1" x14ac:dyDescent="0.25">
      <c r="A7736" s="3"/>
      <c r="B7736" s="3"/>
      <c r="C7736" s="3"/>
      <c r="D7736" s="3"/>
      <c r="E7736" s="3"/>
      <c r="F7736" s="3"/>
      <c r="G7736" s="3"/>
      <c r="H7736" s="11"/>
      <c r="I7736" s="12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  <c r="AA7736" s="3"/>
      <c r="AB7736" s="3"/>
      <c r="AC7736" s="3"/>
      <c r="AD7736" s="3"/>
      <c r="AE7736" s="3"/>
      <c r="AF7736" s="3"/>
      <c r="AG7736" s="3"/>
      <c r="AH7736" s="3"/>
    </row>
    <row r="7737" spans="1:34" ht="14.25" customHeight="1" x14ac:dyDescent="0.25">
      <c r="A7737" s="3"/>
      <c r="B7737" s="3"/>
      <c r="C7737" s="3"/>
      <c r="D7737" s="3"/>
      <c r="E7737" s="3"/>
      <c r="F7737" s="3"/>
      <c r="G7737" s="3"/>
      <c r="H7737" s="11"/>
      <c r="I7737" s="12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  <c r="AA7737" s="3"/>
      <c r="AB7737" s="3"/>
      <c r="AC7737" s="3"/>
      <c r="AD7737" s="3"/>
      <c r="AE7737" s="3"/>
      <c r="AF7737" s="3"/>
      <c r="AG7737" s="3"/>
      <c r="AH7737" s="3"/>
    </row>
    <row r="7738" spans="1:34" ht="14.25" customHeight="1" x14ac:dyDescent="0.25">
      <c r="A7738" s="3"/>
      <c r="B7738" s="3"/>
      <c r="C7738" s="3"/>
      <c r="D7738" s="3"/>
      <c r="E7738" s="3"/>
      <c r="F7738" s="3"/>
      <c r="G7738" s="3"/>
      <c r="H7738" s="11"/>
      <c r="I7738" s="12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  <c r="AA7738" s="3"/>
      <c r="AB7738" s="3"/>
      <c r="AC7738" s="3"/>
      <c r="AD7738" s="3"/>
      <c r="AE7738" s="3"/>
      <c r="AF7738" s="3"/>
      <c r="AG7738" s="3"/>
      <c r="AH7738" s="3"/>
    </row>
    <row r="7739" spans="1:34" ht="14.25" customHeight="1" x14ac:dyDescent="0.25">
      <c r="A7739" s="3"/>
      <c r="B7739" s="3"/>
      <c r="C7739" s="3"/>
      <c r="D7739" s="3"/>
      <c r="E7739" s="3"/>
      <c r="F7739" s="3"/>
      <c r="G7739" s="3"/>
      <c r="H7739" s="11"/>
      <c r="I7739" s="12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  <c r="AA7739" s="3"/>
      <c r="AB7739" s="3"/>
      <c r="AC7739" s="3"/>
      <c r="AD7739" s="3"/>
      <c r="AE7739" s="3"/>
      <c r="AF7739" s="3"/>
      <c r="AG7739" s="3"/>
      <c r="AH7739" s="3"/>
    </row>
    <row r="7740" spans="1:34" ht="14.25" customHeight="1" x14ac:dyDescent="0.25">
      <c r="A7740" s="3"/>
      <c r="B7740" s="3"/>
      <c r="C7740" s="3"/>
      <c r="D7740" s="3"/>
      <c r="E7740" s="3"/>
      <c r="F7740" s="3"/>
      <c r="G7740" s="3"/>
      <c r="H7740" s="11"/>
      <c r="I7740" s="12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  <c r="AA7740" s="3"/>
      <c r="AB7740" s="3"/>
      <c r="AC7740" s="3"/>
      <c r="AD7740" s="3"/>
      <c r="AE7740" s="3"/>
      <c r="AF7740" s="3"/>
      <c r="AG7740" s="3"/>
      <c r="AH7740" s="3"/>
    </row>
    <row r="7741" spans="1:34" ht="14.25" customHeight="1" x14ac:dyDescent="0.25">
      <c r="A7741" s="3"/>
      <c r="B7741" s="3"/>
      <c r="C7741" s="3"/>
      <c r="D7741" s="3"/>
      <c r="E7741" s="3"/>
      <c r="F7741" s="3"/>
      <c r="G7741" s="3"/>
      <c r="H7741" s="11"/>
      <c r="I7741" s="12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  <c r="AA7741" s="3"/>
      <c r="AB7741" s="3"/>
      <c r="AC7741" s="3"/>
      <c r="AD7741" s="3"/>
      <c r="AE7741" s="3"/>
      <c r="AF7741" s="3"/>
      <c r="AG7741" s="3"/>
      <c r="AH7741" s="3"/>
    </row>
    <row r="7742" spans="1:34" ht="14.25" customHeight="1" x14ac:dyDescent="0.25">
      <c r="A7742" s="3"/>
      <c r="B7742" s="3"/>
      <c r="C7742" s="3"/>
      <c r="D7742" s="3"/>
      <c r="E7742" s="3"/>
      <c r="F7742" s="3"/>
      <c r="G7742" s="3"/>
      <c r="H7742" s="11"/>
      <c r="I7742" s="12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  <c r="AA7742" s="3"/>
      <c r="AB7742" s="3"/>
      <c r="AC7742" s="3"/>
      <c r="AD7742" s="3"/>
      <c r="AE7742" s="3"/>
      <c r="AF7742" s="3"/>
      <c r="AG7742" s="3"/>
      <c r="AH7742" s="3"/>
    </row>
    <row r="7743" spans="1:34" ht="14.25" customHeight="1" x14ac:dyDescent="0.25">
      <c r="A7743" s="3"/>
      <c r="B7743" s="3"/>
      <c r="C7743" s="3"/>
      <c r="D7743" s="3"/>
      <c r="E7743" s="3"/>
      <c r="F7743" s="3"/>
      <c r="G7743" s="3"/>
      <c r="H7743" s="11"/>
      <c r="I7743" s="12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  <c r="AA7743" s="3"/>
      <c r="AB7743" s="3"/>
      <c r="AC7743" s="3"/>
      <c r="AD7743" s="3"/>
      <c r="AE7743" s="3"/>
      <c r="AF7743" s="3"/>
      <c r="AG7743" s="3"/>
      <c r="AH7743" s="3"/>
    </row>
    <row r="7744" spans="1:34" ht="14.25" customHeight="1" x14ac:dyDescent="0.25">
      <c r="A7744" s="3"/>
      <c r="B7744" s="3"/>
      <c r="C7744" s="3"/>
      <c r="D7744" s="3"/>
      <c r="E7744" s="3"/>
      <c r="F7744" s="3"/>
      <c r="G7744" s="3"/>
      <c r="H7744" s="11"/>
      <c r="I7744" s="12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  <c r="AA7744" s="3"/>
      <c r="AB7744" s="3"/>
      <c r="AC7744" s="3"/>
      <c r="AD7744" s="3"/>
      <c r="AE7744" s="3"/>
      <c r="AF7744" s="3"/>
      <c r="AG7744" s="3"/>
      <c r="AH7744" s="3"/>
    </row>
    <row r="7745" spans="1:34" ht="14.25" customHeight="1" x14ac:dyDescent="0.25">
      <c r="A7745" s="3"/>
      <c r="B7745" s="3"/>
      <c r="C7745" s="3"/>
      <c r="D7745" s="3"/>
      <c r="E7745" s="3"/>
      <c r="F7745" s="3"/>
      <c r="G7745" s="3"/>
      <c r="H7745" s="11"/>
      <c r="I7745" s="12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  <c r="AA7745" s="3"/>
      <c r="AB7745" s="3"/>
      <c r="AC7745" s="3"/>
      <c r="AD7745" s="3"/>
      <c r="AE7745" s="3"/>
      <c r="AF7745" s="3"/>
      <c r="AG7745" s="3"/>
      <c r="AH7745" s="3"/>
    </row>
    <row r="7746" spans="1:34" ht="14.25" customHeight="1" x14ac:dyDescent="0.25">
      <c r="A7746" s="3"/>
      <c r="B7746" s="3"/>
      <c r="C7746" s="3"/>
      <c r="D7746" s="3"/>
      <c r="E7746" s="3"/>
      <c r="F7746" s="3"/>
      <c r="G7746" s="3"/>
      <c r="H7746" s="11"/>
      <c r="I7746" s="12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  <c r="AA7746" s="3"/>
      <c r="AB7746" s="3"/>
      <c r="AC7746" s="3"/>
      <c r="AD7746" s="3"/>
      <c r="AE7746" s="3"/>
      <c r="AF7746" s="3"/>
      <c r="AG7746" s="3"/>
      <c r="AH7746" s="3"/>
    </row>
    <row r="7747" spans="1:34" ht="14.25" customHeight="1" x14ac:dyDescent="0.25">
      <c r="A7747" s="3"/>
      <c r="B7747" s="3"/>
      <c r="C7747" s="3"/>
      <c r="D7747" s="3"/>
      <c r="E7747" s="3"/>
      <c r="F7747" s="3"/>
      <c r="G7747" s="3"/>
      <c r="H7747" s="11"/>
      <c r="I7747" s="12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  <c r="AA7747" s="3"/>
      <c r="AB7747" s="3"/>
      <c r="AC7747" s="3"/>
      <c r="AD7747" s="3"/>
      <c r="AE7747" s="3"/>
      <c r="AF7747" s="3"/>
      <c r="AG7747" s="3"/>
      <c r="AH7747" s="3"/>
    </row>
    <row r="7748" spans="1:34" ht="14.25" customHeight="1" x14ac:dyDescent="0.25">
      <c r="A7748" s="3"/>
      <c r="B7748" s="3"/>
      <c r="C7748" s="3"/>
      <c r="D7748" s="3"/>
      <c r="E7748" s="3"/>
      <c r="F7748" s="3"/>
      <c r="G7748" s="3"/>
      <c r="H7748" s="11"/>
      <c r="I7748" s="12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  <c r="AA7748" s="3"/>
      <c r="AB7748" s="3"/>
      <c r="AC7748" s="3"/>
      <c r="AD7748" s="3"/>
      <c r="AE7748" s="3"/>
      <c r="AF7748" s="3"/>
      <c r="AG7748" s="3"/>
      <c r="AH7748" s="3"/>
    </row>
    <row r="7749" spans="1:34" ht="14.25" customHeight="1" x14ac:dyDescent="0.25">
      <c r="A7749" s="3"/>
      <c r="B7749" s="3"/>
      <c r="C7749" s="3"/>
      <c r="D7749" s="3"/>
      <c r="E7749" s="3"/>
      <c r="F7749" s="3"/>
      <c r="G7749" s="3"/>
      <c r="H7749" s="11"/>
      <c r="I7749" s="12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  <c r="AA7749" s="3"/>
      <c r="AB7749" s="3"/>
      <c r="AC7749" s="3"/>
      <c r="AD7749" s="3"/>
      <c r="AE7749" s="3"/>
      <c r="AF7749" s="3"/>
      <c r="AG7749" s="3"/>
      <c r="AH7749" s="3"/>
    </row>
    <row r="7750" spans="1:34" ht="14.25" customHeight="1" x14ac:dyDescent="0.25">
      <c r="A7750" s="3"/>
      <c r="B7750" s="3"/>
      <c r="C7750" s="3"/>
      <c r="D7750" s="3"/>
      <c r="E7750" s="3"/>
      <c r="F7750" s="3"/>
      <c r="G7750" s="3"/>
      <c r="H7750" s="11"/>
      <c r="I7750" s="12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  <c r="AA7750" s="3"/>
      <c r="AB7750" s="3"/>
      <c r="AC7750" s="3"/>
      <c r="AD7750" s="3"/>
      <c r="AE7750" s="3"/>
      <c r="AF7750" s="3"/>
      <c r="AG7750" s="3"/>
      <c r="AH7750" s="3"/>
    </row>
    <row r="7751" spans="1:34" ht="14.25" customHeight="1" x14ac:dyDescent="0.25">
      <c r="A7751" s="3"/>
      <c r="B7751" s="3"/>
      <c r="C7751" s="3"/>
      <c r="D7751" s="3"/>
      <c r="E7751" s="3"/>
      <c r="F7751" s="3"/>
      <c r="G7751" s="3"/>
      <c r="H7751" s="11"/>
      <c r="I7751" s="12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  <c r="AA7751" s="3"/>
      <c r="AB7751" s="3"/>
      <c r="AC7751" s="3"/>
      <c r="AD7751" s="3"/>
      <c r="AE7751" s="3"/>
      <c r="AF7751" s="3"/>
      <c r="AG7751" s="3"/>
      <c r="AH7751" s="3"/>
    </row>
    <row r="7752" spans="1:34" ht="14.25" customHeight="1" x14ac:dyDescent="0.25">
      <c r="A7752" s="3"/>
      <c r="B7752" s="3"/>
      <c r="C7752" s="3"/>
      <c r="D7752" s="3"/>
      <c r="E7752" s="3"/>
      <c r="F7752" s="3"/>
      <c r="G7752" s="3"/>
      <c r="H7752" s="11"/>
      <c r="I7752" s="12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  <c r="AA7752" s="3"/>
      <c r="AB7752" s="3"/>
      <c r="AC7752" s="3"/>
      <c r="AD7752" s="3"/>
      <c r="AE7752" s="3"/>
      <c r="AF7752" s="3"/>
      <c r="AG7752" s="3"/>
      <c r="AH7752" s="3"/>
    </row>
    <row r="7753" spans="1:34" ht="14.25" customHeight="1" x14ac:dyDescent="0.25">
      <c r="A7753" s="3"/>
      <c r="B7753" s="3"/>
      <c r="C7753" s="3"/>
      <c r="D7753" s="3"/>
      <c r="E7753" s="3"/>
      <c r="F7753" s="3"/>
      <c r="G7753" s="3"/>
      <c r="H7753" s="11"/>
      <c r="I7753" s="12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  <c r="AA7753" s="3"/>
      <c r="AB7753" s="3"/>
      <c r="AC7753" s="3"/>
      <c r="AD7753" s="3"/>
      <c r="AE7753" s="3"/>
      <c r="AF7753" s="3"/>
      <c r="AG7753" s="3"/>
      <c r="AH7753" s="3"/>
    </row>
    <row r="7754" spans="1:34" ht="14.25" customHeight="1" x14ac:dyDescent="0.25">
      <c r="A7754" s="3"/>
      <c r="B7754" s="3"/>
      <c r="C7754" s="3"/>
      <c r="D7754" s="3"/>
      <c r="E7754" s="3"/>
      <c r="F7754" s="3"/>
      <c r="G7754" s="3"/>
      <c r="H7754" s="11"/>
      <c r="I7754" s="12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  <c r="AA7754" s="3"/>
      <c r="AB7754" s="3"/>
      <c r="AC7754" s="3"/>
      <c r="AD7754" s="3"/>
      <c r="AE7754" s="3"/>
      <c r="AF7754" s="3"/>
      <c r="AG7754" s="3"/>
      <c r="AH7754" s="3"/>
    </row>
    <row r="7755" spans="1:34" ht="14.25" customHeight="1" x14ac:dyDescent="0.25">
      <c r="A7755" s="3"/>
      <c r="B7755" s="3"/>
      <c r="C7755" s="3"/>
      <c r="D7755" s="3"/>
      <c r="E7755" s="3"/>
      <c r="F7755" s="3"/>
      <c r="G7755" s="3"/>
      <c r="H7755" s="11"/>
      <c r="I7755" s="12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  <c r="AA7755" s="3"/>
      <c r="AB7755" s="3"/>
      <c r="AC7755" s="3"/>
      <c r="AD7755" s="3"/>
      <c r="AE7755" s="3"/>
      <c r="AF7755" s="3"/>
      <c r="AG7755" s="3"/>
      <c r="AH7755" s="3"/>
    </row>
    <row r="7756" spans="1:34" ht="14.25" customHeight="1" x14ac:dyDescent="0.25">
      <c r="A7756" s="3"/>
      <c r="B7756" s="3"/>
      <c r="C7756" s="3"/>
      <c r="D7756" s="3"/>
      <c r="E7756" s="3"/>
      <c r="F7756" s="3"/>
      <c r="G7756" s="3"/>
      <c r="H7756" s="11"/>
      <c r="I7756" s="12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  <c r="AA7756" s="3"/>
      <c r="AB7756" s="3"/>
      <c r="AC7756" s="3"/>
      <c r="AD7756" s="3"/>
      <c r="AE7756" s="3"/>
      <c r="AF7756" s="3"/>
      <c r="AG7756" s="3"/>
      <c r="AH7756" s="3"/>
    </row>
    <row r="7757" spans="1:34" ht="14.25" customHeight="1" x14ac:dyDescent="0.25">
      <c r="A7757" s="3"/>
      <c r="B7757" s="3"/>
      <c r="C7757" s="3"/>
      <c r="D7757" s="3"/>
      <c r="E7757" s="3"/>
      <c r="F7757" s="3"/>
      <c r="G7757" s="3"/>
      <c r="H7757" s="11"/>
      <c r="I7757" s="12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  <c r="AA7757" s="3"/>
      <c r="AB7757" s="3"/>
      <c r="AC7757" s="3"/>
      <c r="AD7757" s="3"/>
      <c r="AE7757" s="3"/>
      <c r="AF7757" s="3"/>
      <c r="AG7757" s="3"/>
      <c r="AH7757" s="3"/>
    </row>
    <row r="7758" spans="1:34" ht="14.25" customHeight="1" x14ac:dyDescent="0.25">
      <c r="A7758" s="3"/>
      <c r="B7758" s="3"/>
      <c r="C7758" s="3"/>
      <c r="D7758" s="3"/>
      <c r="E7758" s="3"/>
      <c r="F7758" s="3"/>
      <c r="G7758" s="3"/>
      <c r="H7758" s="11"/>
      <c r="I7758" s="12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  <c r="AA7758" s="3"/>
      <c r="AB7758" s="3"/>
      <c r="AC7758" s="3"/>
      <c r="AD7758" s="3"/>
      <c r="AE7758" s="3"/>
      <c r="AF7758" s="3"/>
      <c r="AG7758" s="3"/>
      <c r="AH7758" s="3"/>
    </row>
    <row r="7759" spans="1:34" ht="14.25" customHeight="1" x14ac:dyDescent="0.25">
      <c r="A7759" s="3"/>
      <c r="B7759" s="3"/>
      <c r="C7759" s="3"/>
      <c r="D7759" s="3"/>
      <c r="E7759" s="3"/>
      <c r="F7759" s="3"/>
      <c r="G7759" s="3"/>
      <c r="H7759" s="11"/>
      <c r="I7759" s="12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  <c r="AA7759" s="3"/>
      <c r="AB7759" s="3"/>
      <c r="AC7759" s="3"/>
      <c r="AD7759" s="3"/>
      <c r="AE7759" s="3"/>
      <c r="AF7759" s="3"/>
      <c r="AG7759" s="3"/>
      <c r="AH7759" s="3"/>
    </row>
    <row r="7760" spans="1:34" ht="14.25" customHeight="1" x14ac:dyDescent="0.25">
      <c r="A7760" s="3"/>
      <c r="B7760" s="3"/>
      <c r="C7760" s="3"/>
      <c r="D7760" s="3"/>
      <c r="E7760" s="3"/>
      <c r="F7760" s="3"/>
      <c r="G7760" s="3"/>
      <c r="H7760" s="11"/>
      <c r="I7760" s="12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  <c r="AA7760" s="3"/>
      <c r="AB7760" s="3"/>
      <c r="AC7760" s="3"/>
      <c r="AD7760" s="3"/>
      <c r="AE7760" s="3"/>
      <c r="AF7760" s="3"/>
      <c r="AG7760" s="3"/>
      <c r="AH7760" s="3"/>
    </row>
    <row r="7761" spans="1:34" ht="14.25" customHeight="1" x14ac:dyDescent="0.25">
      <c r="A7761" s="3"/>
      <c r="B7761" s="3"/>
      <c r="C7761" s="3"/>
      <c r="D7761" s="3"/>
      <c r="E7761" s="3"/>
      <c r="F7761" s="3"/>
      <c r="G7761" s="3"/>
      <c r="H7761" s="11"/>
      <c r="I7761" s="12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  <c r="AA7761" s="3"/>
      <c r="AB7761" s="3"/>
      <c r="AC7761" s="3"/>
      <c r="AD7761" s="3"/>
      <c r="AE7761" s="3"/>
      <c r="AF7761" s="3"/>
      <c r="AG7761" s="3"/>
      <c r="AH7761" s="3"/>
    </row>
    <row r="7762" spans="1:34" ht="14.25" customHeight="1" x14ac:dyDescent="0.25">
      <c r="A7762" s="3"/>
      <c r="B7762" s="3"/>
      <c r="C7762" s="3"/>
      <c r="D7762" s="3"/>
      <c r="E7762" s="3"/>
      <c r="F7762" s="3"/>
      <c r="G7762" s="3"/>
      <c r="H7762" s="11"/>
      <c r="I7762" s="12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  <c r="AA7762" s="3"/>
      <c r="AB7762" s="3"/>
      <c r="AC7762" s="3"/>
      <c r="AD7762" s="3"/>
      <c r="AE7762" s="3"/>
      <c r="AF7762" s="3"/>
      <c r="AG7762" s="3"/>
      <c r="AH7762" s="3"/>
    </row>
    <row r="7763" spans="1:34" ht="14.25" customHeight="1" x14ac:dyDescent="0.25">
      <c r="A7763" s="3"/>
      <c r="B7763" s="3"/>
      <c r="C7763" s="3"/>
      <c r="D7763" s="3"/>
      <c r="E7763" s="3"/>
      <c r="F7763" s="3"/>
      <c r="G7763" s="3"/>
      <c r="H7763" s="11"/>
      <c r="I7763" s="12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  <c r="AA7763" s="3"/>
      <c r="AB7763" s="3"/>
      <c r="AC7763" s="3"/>
      <c r="AD7763" s="3"/>
      <c r="AE7763" s="3"/>
      <c r="AF7763" s="3"/>
      <c r="AG7763" s="3"/>
      <c r="AH7763" s="3"/>
    </row>
    <row r="7764" spans="1:34" ht="14.25" customHeight="1" x14ac:dyDescent="0.25">
      <c r="A7764" s="3"/>
      <c r="B7764" s="3"/>
      <c r="C7764" s="3"/>
      <c r="D7764" s="3"/>
      <c r="E7764" s="3"/>
      <c r="F7764" s="3"/>
      <c r="G7764" s="3"/>
      <c r="H7764" s="11"/>
      <c r="I7764" s="12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  <c r="AA7764" s="3"/>
      <c r="AB7764" s="3"/>
      <c r="AC7764" s="3"/>
      <c r="AD7764" s="3"/>
      <c r="AE7764" s="3"/>
      <c r="AF7764" s="3"/>
      <c r="AG7764" s="3"/>
      <c r="AH7764" s="3"/>
    </row>
    <row r="7765" spans="1:34" ht="14.25" customHeight="1" x14ac:dyDescent="0.25">
      <c r="A7765" s="3"/>
      <c r="B7765" s="3"/>
      <c r="C7765" s="3"/>
      <c r="D7765" s="3"/>
      <c r="E7765" s="3"/>
      <c r="F7765" s="3"/>
      <c r="G7765" s="3"/>
      <c r="H7765" s="11"/>
      <c r="I7765" s="12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  <c r="AA7765" s="3"/>
      <c r="AB7765" s="3"/>
      <c r="AC7765" s="3"/>
      <c r="AD7765" s="3"/>
      <c r="AE7765" s="3"/>
      <c r="AF7765" s="3"/>
      <c r="AG7765" s="3"/>
      <c r="AH7765" s="3"/>
    </row>
    <row r="7766" spans="1:34" ht="14.25" customHeight="1" x14ac:dyDescent="0.25">
      <c r="A7766" s="3"/>
      <c r="B7766" s="3"/>
      <c r="C7766" s="3"/>
      <c r="D7766" s="3"/>
      <c r="E7766" s="3"/>
      <c r="F7766" s="3"/>
      <c r="G7766" s="3"/>
      <c r="H7766" s="11"/>
      <c r="I7766" s="12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  <c r="AA7766" s="3"/>
      <c r="AB7766" s="3"/>
      <c r="AC7766" s="3"/>
      <c r="AD7766" s="3"/>
      <c r="AE7766" s="3"/>
      <c r="AF7766" s="3"/>
      <c r="AG7766" s="3"/>
      <c r="AH7766" s="3"/>
    </row>
    <row r="7767" spans="1:34" ht="14.25" customHeight="1" x14ac:dyDescent="0.25">
      <c r="A7767" s="3"/>
      <c r="B7767" s="3"/>
      <c r="C7767" s="3"/>
      <c r="D7767" s="3"/>
      <c r="E7767" s="3"/>
      <c r="F7767" s="3"/>
      <c r="G7767" s="3"/>
      <c r="H7767" s="11"/>
      <c r="I7767" s="12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  <c r="AA7767" s="3"/>
      <c r="AB7767" s="3"/>
      <c r="AC7767" s="3"/>
      <c r="AD7767" s="3"/>
      <c r="AE7767" s="3"/>
      <c r="AF7767" s="3"/>
      <c r="AG7767" s="3"/>
      <c r="AH7767" s="3"/>
    </row>
    <row r="7768" spans="1:34" ht="14.25" customHeight="1" x14ac:dyDescent="0.25">
      <c r="A7768" s="3"/>
      <c r="B7768" s="3"/>
      <c r="C7768" s="3"/>
      <c r="D7768" s="3"/>
      <c r="E7768" s="3"/>
      <c r="F7768" s="3"/>
      <c r="G7768" s="3"/>
      <c r="H7768" s="11"/>
      <c r="I7768" s="12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  <c r="AA7768" s="3"/>
      <c r="AB7768" s="3"/>
      <c r="AC7768" s="3"/>
      <c r="AD7768" s="3"/>
      <c r="AE7768" s="3"/>
      <c r="AF7768" s="3"/>
      <c r="AG7768" s="3"/>
      <c r="AH7768" s="3"/>
    </row>
    <row r="7769" spans="1:34" ht="14.25" customHeight="1" x14ac:dyDescent="0.25">
      <c r="A7769" s="3"/>
      <c r="B7769" s="3"/>
      <c r="C7769" s="3"/>
      <c r="D7769" s="3"/>
      <c r="E7769" s="3"/>
      <c r="F7769" s="3"/>
      <c r="G7769" s="3"/>
      <c r="H7769" s="11"/>
      <c r="I7769" s="12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  <c r="AA7769" s="3"/>
      <c r="AB7769" s="3"/>
      <c r="AC7769" s="3"/>
      <c r="AD7769" s="3"/>
      <c r="AE7769" s="3"/>
      <c r="AF7769" s="3"/>
      <c r="AG7769" s="3"/>
      <c r="AH7769" s="3"/>
    </row>
    <row r="7770" spans="1:34" ht="14.25" customHeight="1" x14ac:dyDescent="0.25">
      <c r="A7770" s="3"/>
      <c r="B7770" s="3"/>
      <c r="C7770" s="3"/>
      <c r="D7770" s="3"/>
      <c r="E7770" s="3"/>
      <c r="F7770" s="3"/>
      <c r="G7770" s="3"/>
      <c r="H7770" s="11"/>
      <c r="I7770" s="12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  <c r="AA7770" s="3"/>
      <c r="AB7770" s="3"/>
      <c r="AC7770" s="3"/>
      <c r="AD7770" s="3"/>
      <c r="AE7770" s="3"/>
      <c r="AF7770" s="3"/>
      <c r="AG7770" s="3"/>
      <c r="AH7770" s="3"/>
    </row>
    <row r="7771" spans="1:34" ht="14.25" customHeight="1" x14ac:dyDescent="0.25">
      <c r="A7771" s="3"/>
      <c r="B7771" s="3"/>
      <c r="C7771" s="3"/>
      <c r="D7771" s="3"/>
      <c r="E7771" s="3"/>
      <c r="F7771" s="3"/>
      <c r="G7771" s="3"/>
      <c r="H7771" s="11"/>
      <c r="I7771" s="12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  <c r="AA7771" s="3"/>
      <c r="AB7771" s="3"/>
      <c r="AC7771" s="3"/>
      <c r="AD7771" s="3"/>
      <c r="AE7771" s="3"/>
      <c r="AF7771" s="3"/>
      <c r="AG7771" s="3"/>
      <c r="AH7771" s="3"/>
    </row>
    <row r="7772" spans="1:34" ht="14.25" customHeight="1" x14ac:dyDescent="0.25">
      <c r="A7772" s="3"/>
      <c r="B7772" s="3"/>
      <c r="C7772" s="3"/>
      <c r="D7772" s="3"/>
      <c r="E7772" s="3"/>
      <c r="F7772" s="3"/>
      <c r="G7772" s="3"/>
      <c r="H7772" s="11"/>
      <c r="I7772" s="12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  <c r="AA7772" s="3"/>
      <c r="AB7772" s="3"/>
      <c r="AC7772" s="3"/>
      <c r="AD7772" s="3"/>
      <c r="AE7772" s="3"/>
      <c r="AF7772" s="3"/>
      <c r="AG7772" s="3"/>
      <c r="AH7772" s="3"/>
    </row>
    <row r="7773" spans="1:34" ht="14.25" customHeight="1" x14ac:dyDescent="0.25">
      <c r="A7773" s="3"/>
      <c r="B7773" s="3"/>
      <c r="C7773" s="3"/>
      <c r="D7773" s="3"/>
      <c r="E7773" s="3"/>
      <c r="F7773" s="3"/>
      <c r="G7773" s="3"/>
      <c r="H7773" s="11"/>
      <c r="I7773" s="12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  <c r="AA7773" s="3"/>
      <c r="AB7773" s="3"/>
      <c r="AC7773" s="3"/>
      <c r="AD7773" s="3"/>
      <c r="AE7773" s="3"/>
      <c r="AF7773" s="3"/>
      <c r="AG7773" s="3"/>
      <c r="AH7773" s="3"/>
    </row>
    <row r="7774" spans="1:34" ht="14.25" customHeight="1" x14ac:dyDescent="0.25">
      <c r="A7774" s="3"/>
      <c r="B7774" s="3"/>
      <c r="C7774" s="3"/>
      <c r="D7774" s="3"/>
      <c r="E7774" s="3"/>
      <c r="F7774" s="3"/>
      <c r="G7774" s="3"/>
      <c r="H7774" s="11"/>
      <c r="I7774" s="12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  <c r="AA7774" s="3"/>
      <c r="AB7774" s="3"/>
      <c r="AC7774" s="3"/>
      <c r="AD7774" s="3"/>
      <c r="AE7774" s="3"/>
      <c r="AF7774" s="3"/>
      <c r="AG7774" s="3"/>
      <c r="AH7774" s="3"/>
    </row>
    <row r="7775" spans="1:34" ht="14.25" customHeight="1" x14ac:dyDescent="0.25">
      <c r="A7775" s="3"/>
      <c r="B7775" s="3"/>
      <c r="C7775" s="3"/>
      <c r="D7775" s="3"/>
      <c r="E7775" s="3"/>
      <c r="F7775" s="3"/>
      <c r="G7775" s="3"/>
      <c r="H7775" s="11"/>
      <c r="I7775" s="12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  <c r="AA7775" s="3"/>
      <c r="AB7775" s="3"/>
      <c r="AC7775" s="3"/>
      <c r="AD7775" s="3"/>
      <c r="AE7775" s="3"/>
      <c r="AF7775" s="3"/>
      <c r="AG7775" s="3"/>
      <c r="AH7775" s="3"/>
    </row>
    <row r="7776" spans="1:34" ht="14.25" customHeight="1" x14ac:dyDescent="0.25">
      <c r="A7776" s="3"/>
      <c r="B7776" s="3"/>
      <c r="C7776" s="3"/>
      <c r="D7776" s="3"/>
      <c r="E7776" s="3"/>
      <c r="F7776" s="3"/>
      <c r="G7776" s="3"/>
      <c r="H7776" s="11"/>
      <c r="I7776" s="12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  <c r="AA7776" s="3"/>
      <c r="AB7776" s="3"/>
      <c r="AC7776" s="3"/>
      <c r="AD7776" s="3"/>
      <c r="AE7776" s="3"/>
      <c r="AF7776" s="3"/>
      <c r="AG7776" s="3"/>
      <c r="AH7776" s="3"/>
    </row>
    <row r="7777" spans="1:34" ht="14.25" customHeight="1" x14ac:dyDescent="0.25">
      <c r="A7777" s="3"/>
      <c r="B7777" s="3"/>
      <c r="C7777" s="3"/>
      <c r="D7777" s="3"/>
      <c r="E7777" s="3"/>
      <c r="F7777" s="3"/>
      <c r="G7777" s="3"/>
      <c r="H7777" s="11"/>
      <c r="I7777" s="12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  <c r="AA7777" s="3"/>
      <c r="AB7777" s="3"/>
      <c r="AC7777" s="3"/>
      <c r="AD7777" s="3"/>
      <c r="AE7777" s="3"/>
      <c r="AF7777" s="3"/>
      <c r="AG7777" s="3"/>
      <c r="AH7777" s="3"/>
    </row>
    <row r="7778" spans="1:34" ht="14.25" customHeight="1" x14ac:dyDescent="0.25">
      <c r="A7778" s="3"/>
      <c r="B7778" s="3"/>
      <c r="C7778" s="3"/>
      <c r="D7778" s="3"/>
      <c r="E7778" s="3"/>
      <c r="F7778" s="3"/>
      <c r="G7778" s="3"/>
      <c r="H7778" s="11"/>
      <c r="I7778" s="12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  <c r="AA7778" s="3"/>
      <c r="AB7778" s="3"/>
      <c r="AC7778" s="3"/>
      <c r="AD7778" s="3"/>
      <c r="AE7778" s="3"/>
      <c r="AF7778" s="3"/>
      <c r="AG7778" s="3"/>
      <c r="AH7778" s="3"/>
    </row>
    <row r="7779" spans="1:34" ht="14.25" customHeight="1" x14ac:dyDescent="0.25">
      <c r="A7779" s="3"/>
      <c r="B7779" s="3"/>
      <c r="C7779" s="3"/>
      <c r="D7779" s="3"/>
      <c r="E7779" s="3"/>
      <c r="F7779" s="3"/>
      <c r="G7779" s="3"/>
      <c r="H7779" s="11"/>
      <c r="I7779" s="12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  <c r="AA7779" s="3"/>
      <c r="AB7779" s="3"/>
      <c r="AC7779" s="3"/>
      <c r="AD7779" s="3"/>
      <c r="AE7779" s="3"/>
      <c r="AF7779" s="3"/>
      <c r="AG7779" s="3"/>
      <c r="AH7779" s="3"/>
    </row>
    <row r="7780" spans="1:34" ht="14.25" customHeight="1" x14ac:dyDescent="0.25">
      <c r="A7780" s="3"/>
      <c r="B7780" s="3"/>
      <c r="C7780" s="3"/>
      <c r="D7780" s="3"/>
      <c r="E7780" s="3"/>
      <c r="F7780" s="3"/>
      <c r="G7780" s="3"/>
      <c r="H7780" s="11"/>
      <c r="I7780" s="12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  <c r="AA7780" s="3"/>
      <c r="AB7780" s="3"/>
      <c r="AC7780" s="3"/>
      <c r="AD7780" s="3"/>
      <c r="AE7780" s="3"/>
      <c r="AF7780" s="3"/>
      <c r="AG7780" s="3"/>
      <c r="AH7780" s="3"/>
    </row>
    <row r="7781" spans="1:34" ht="14.25" customHeight="1" x14ac:dyDescent="0.25">
      <c r="A7781" s="3"/>
      <c r="B7781" s="3"/>
      <c r="C7781" s="3"/>
      <c r="D7781" s="3"/>
      <c r="E7781" s="3"/>
      <c r="F7781" s="3"/>
      <c r="G7781" s="3"/>
      <c r="H7781" s="11"/>
      <c r="I7781" s="12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  <c r="AA7781" s="3"/>
      <c r="AB7781" s="3"/>
      <c r="AC7781" s="3"/>
      <c r="AD7781" s="3"/>
      <c r="AE7781" s="3"/>
      <c r="AF7781" s="3"/>
      <c r="AG7781" s="3"/>
      <c r="AH7781" s="3"/>
    </row>
    <row r="7782" spans="1:34" ht="14.25" customHeight="1" x14ac:dyDescent="0.25">
      <c r="A7782" s="3"/>
      <c r="B7782" s="3"/>
      <c r="C7782" s="3"/>
      <c r="D7782" s="3"/>
      <c r="E7782" s="3"/>
      <c r="F7782" s="3"/>
      <c r="G7782" s="3"/>
      <c r="H7782" s="11"/>
      <c r="I7782" s="12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  <c r="AA7782" s="3"/>
      <c r="AB7782" s="3"/>
      <c r="AC7782" s="3"/>
      <c r="AD7782" s="3"/>
      <c r="AE7782" s="3"/>
      <c r="AF7782" s="3"/>
      <c r="AG7782" s="3"/>
      <c r="AH7782" s="3"/>
    </row>
    <row r="7783" spans="1:34" ht="14.25" customHeight="1" x14ac:dyDescent="0.25">
      <c r="A7783" s="3"/>
      <c r="B7783" s="3"/>
      <c r="C7783" s="3"/>
      <c r="D7783" s="3"/>
      <c r="E7783" s="3"/>
      <c r="F7783" s="3"/>
      <c r="G7783" s="3"/>
      <c r="H7783" s="11"/>
      <c r="I7783" s="12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  <c r="AA7783" s="3"/>
      <c r="AB7783" s="3"/>
      <c r="AC7783" s="3"/>
      <c r="AD7783" s="3"/>
      <c r="AE7783" s="3"/>
      <c r="AF7783" s="3"/>
      <c r="AG7783" s="3"/>
      <c r="AH7783" s="3"/>
    </row>
    <row r="7784" spans="1:34" ht="14.25" customHeight="1" x14ac:dyDescent="0.25">
      <c r="A7784" s="3"/>
      <c r="B7784" s="3"/>
      <c r="C7784" s="3"/>
      <c r="D7784" s="3"/>
      <c r="E7784" s="3"/>
      <c r="F7784" s="3"/>
      <c r="G7784" s="3"/>
      <c r="H7784" s="11"/>
      <c r="I7784" s="12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  <c r="AA7784" s="3"/>
      <c r="AB7784" s="3"/>
      <c r="AC7784" s="3"/>
      <c r="AD7784" s="3"/>
      <c r="AE7784" s="3"/>
      <c r="AF7784" s="3"/>
      <c r="AG7784" s="3"/>
      <c r="AH7784" s="3"/>
    </row>
    <row r="7785" spans="1:34" ht="14.25" customHeight="1" x14ac:dyDescent="0.25">
      <c r="A7785" s="3"/>
      <c r="B7785" s="3"/>
      <c r="C7785" s="3"/>
      <c r="D7785" s="3"/>
      <c r="E7785" s="3"/>
      <c r="F7785" s="3"/>
      <c r="G7785" s="3"/>
      <c r="H7785" s="11"/>
      <c r="I7785" s="12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  <c r="AA7785" s="3"/>
      <c r="AB7785" s="3"/>
      <c r="AC7785" s="3"/>
      <c r="AD7785" s="3"/>
      <c r="AE7785" s="3"/>
      <c r="AF7785" s="3"/>
      <c r="AG7785" s="3"/>
      <c r="AH7785" s="3"/>
    </row>
    <row r="7786" spans="1:34" ht="14.25" customHeight="1" x14ac:dyDescent="0.25">
      <c r="A7786" s="3"/>
      <c r="B7786" s="3"/>
      <c r="C7786" s="3"/>
      <c r="D7786" s="3"/>
      <c r="E7786" s="3"/>
      <c r="F7786" s="3"/>
      <c r="G7786" s="3"/>
      <c r="H7786" s="11"/>
      <c r="I7786" s="12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  <c r="AA7786" s="3"/>
      <c r="AB7786" s="3"/>
      <c r="AC7786" s="3"/>
      <c r="AD7786" s="3"/>
      <c r="AE7786" s="3"/>
      <c r="AF7786" s="3"/>
      <c r="AG7786" s="3"/>
      <c r="AH7786" s="3"/>
    </row>
    <row r="7787" spans="1:34" ht="14.25" customHeight="1" x14ac:dyDescent="0.25">
      <c r="A7787" s="3"/>
      <c r="B7787" s="3"/>
      <c r="C7787" s="3"/>
      <c r="D7787" s="3"/>
      <c r="E7787" s="3"/>
      <c r="F7787" s="3"/>
      <c r="G7787" s="3"/>
      <c r="H7787" s="11"/>
      <c r="I7787" s="12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  <c r="AA7787" s="3"/>
      <c r="AB7787" s="3"/>
      <c r="AC7787" s="3"/>
      <c r="AD7787" s="3"/>
      <c r="AE7787" s="3"/>
      <c r="AF7787" s="3"/>
      <c r="AG7787" s="3"/>
      <c r="AH7787" s="3"/>
    </row>
    <row r="7788" spans="1:34" ht="14.25" customHeight="1" x14ac:dyDescent="0.25">
      <c r="A7788" s="3"/>
      <c r="B7788" s="3"/>
      <c r="C7788" s="3"/>
      <c r="D7788" s="3"/>
      <c r="E7788" s="3"/>
      <c r="F7788" s="3"/>
      <c r="G7788" s="3"/>
      <c r="H7788" s="11"/>
      <c r="I7788" s="12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  <c r="AA7788" s="3"/>
      <c r="AB7788" s="3"/>
      <c r="AC7788" s="3"/>
      <c r="AD7788" s="3"/>
      <c r="AE7788" s="3"/>
      <c r="AF7788" s="3"/>
      <c r="AG7788" s="3"/>
      <c r="AH7788" s="3"/>
    </row>
    <row r="7789" spans="1:34" ht="14.25" customHeight="1" x14ac:dyDescent="0.25">
      <c r="A7789" s="3"/>
      <c r="B7789" s="3"/>
      <c r="C7789" s="3"/>
      <c r="D7789" s="3"/>
      <c r="E7789" s="3"/>
      <c r="F7789" s="3"/>
      <c r="G7789" s="3"/>
      <c r="H7789" s="11"/>
      <c r="I7789" s="12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  <c r="AA7789" s="3"/>
      <c r="AB7789" s="3"/>
      <c r="AC7789" s="3"/>
      <c r="AD7789" s="3"/>
      <c r="AE7789" s="3"/>
      <c r="AF7789" s="3"/>
      <c r="AG7789" s="3"/>
      <c r="AH7789" s="3"/>
    </row>
    <row r="7790" spans="1:34" ht="14.25" customHeight="1" x14ac:dyDescent="0.25">
      <c r="A7790" s="3"/>
      <c r="B7790" s="3"/>
      <c r="C7790" s="3"/>
      <c r="D7790" s="3"/>
      <c r="E7790" s="3"/>
      <c r="F7790" s="3"/>
      <c r="G7790" s="3"/>
      <c r="H7790" s="11"/>
      <c r="I7790" s="12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  <c r="AA7790" s="3"/>
      <c r="AB7790" s="3"/>
      <c r="AC7790" s="3"/>
      <c r="AD7790" s="3"/>
      <c r="AE7790" s="3"/>
      <c r="AF7790" s="3"/>
      <c r="AG7790" s="3"/>
      <c r="AH7790" s="3"/>
    </row>
    <row r="7791" spans="1:34" ht="14.25" customHeight="1" x14ac:dyDescent="0.25">
      <c r="A7791" s="3"/>
      <c r="B7791" s="3"/>
      <c r="C7791" s="3"/>
      <c r="D7791" s="3"/>
      <c r="E7791" s="3"/>
      <c r="F7791" s="3"/>
      <c r="G7791" s="3"/>
      <c r="H7791" s="11"/>
      <c r="I7791" s="12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  <c r="AA7791" s="3"/>
      <c r="AB7791" s="3"/>
      <c r="AC7791" s="3"/>
      <c r="AD7791" s="3"/>
      <c r="AE7791" s="3"/>
      <c r="AF7791" s="3"/>
      <c r="AG7791" s="3"/>
      <c r="AH7791" s="3"/>
    </row>
    <row r="7792" spans="1:34" ht="14.25" customHeight="1" x14ac:dyDescent="0.25">
      <c r="A7792" s="3"/>
      <c r="B7792" s="3"/>
      <c r="C7792" s="3"/>
      <c r="D7792" s="3"/>
      <c r="E7792" s="3"/>
      <c r="F7792" s="3"/>
      <c r="G7792" s="3"/>
      <c r="H7792" s="11"/>
      <c r="I7792" s="12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  <c r="AA7792" s="3"/>
      <c r="AB7792" s="3"/>
      <c r="AC7792" s="3"/>
      <c r="AD7792" s="3"/>
      <c r="AE7792" s="3"/>
      <c r="AF7792" s="3"/>
      <c r="AG7792" s="3"/>
      <c r="AH7792" s="3"/>
    </row>
    <row r="7793" spans="1:34" ht="14.25" customHeight="1" x14ac:dyDescent="0.25">
      <c r="A7793" s="3"/>
      <c r="B7793" s="3"/>
      <c r="C7793" s="3"/>
      <c r="D7793" s="3"/>
      <c r="E7793" s="3"/>
      <c r="F7793" s="3"/>
      <c r="G7793" s="3"/>
      <c r="H7793" s="11"/>
      <c r="I7793" s="12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  <c r="AA7793" s="3"/>
      <c r="AB7793" s="3"/>
      <c r="AC7793" s="3"/>
      <c r="AD7793" s="3"/>
      <c r="AE7793" s="3"/>
      <c r="AF7793" s="3"/>
      <c r="AG7793" s="3"/>
      <c r="AH7793" s="3"/>
    </row>
    <row r="7794" spans="1:34" ht="14.25" customHeight="1" x14ac:dyDescent="0.25">
      <c r="A7794" s="3"/>
      <c r="B7794" s="3"/>
      <c r="C7794" s="3"/>
      <c r="D7794" s="3"/>
      <c r="E7794" s="3"/>
      <c r="F7794" s="3"/>
      <c r="G7794" s="3"/>
      <c r="H7794" s="11"/>
      <c r="I7794" s="12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  <c r="AA7794" s="3"/>
      <c r="AB7794" s="3"/>
      <c r="AC7794" s="3"/>
      <c r="AD7794" s="3"/>
      <c r="AE7794" s="3"/>
      <c r="AF7794" s="3"/>
      <c r="AG7794" s="3"/>
      <c r="AH7794" s="3"/>
    </row>
    <row r="7795" spans="1:34" ht="14.25" customHeight="1" x14ac:dyDescent="0.25">
      <c r="A7795" s="3"/>
      <c r="B7795" s="3"/>
      <c r="C7795" s="3"/>
      <c r="D7795" s="3"/>
      <c r="E7795" s="3"/>
      <c r="F7795" s="3"/>
      <c r="G7795" s="3"/>
      <c r="H7795" s="11"/>
      <c r="I7795" s="12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  <c r="AA7795" s="3"/>
      <c r="AB7795" s="3"/>
      <c r="AC7795" s="3"/>
      <c r="AD7795" s="3"/>
      <c r="AE7795" s="3"/>
      <c r="AF7795" s="3"/>
      <c r="AG7795" s="3"/>
      <c r="AH7795" s="3"/>
    </row>
    <row r="7796" spans="1:34" ht="14.25" customHeight="1" x14ac:dyDescent="0.25">
      <c r="A7796" s="3"/>
      <c r="B7796" s="3"/>
      <c r="C7796" s="3"/>
      <c r="D7796" s="3"/>
      <c r="E7796" s="3"/>
      <c r="F7796" s="3"/>
      <c r="G7796" s="3"/>
      <c r="H7796" s="11"/>
      <c r="I7796" s="12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  <c r="AA7796" s="3"/>
      <c r="AB7796" s="3"/>
      <c r="AC7796" s="3"/>
      <c r="AD7796" s="3"/>
      <c r="AE7796" s="3"/>
      <c r="AF7796" s="3"/>
      <c r="AG7796" s="3"/>
      <c r="AH7796" s="3"/>
    </row>
    <row r="7797" spans="1:34" ht="14.25" customHeight="1" x14ac:dyDescent="0.25">
      <c r="A7797" s="3"/>
      <c r="B7797" s="3"/>
      <c r="C7797" s="3"/>
      <c r="D7797" s="3"/>
      <c r="E7797" s="3"/>
      <c r="F7797" s="3"/>
      <c r="G7797" s="3"/>
      <c r="H7797" s="11"/>
      <c r="I7797" s="12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  <c r="AA7797" s="3"/>
      <c r="AB7797" s="3"/>
      <c r="AC7797" s="3"/>
      <c r="AD7797" s="3"/>
      <c r="AE7797" s="3"/>
      <c r="AF7797" s="3"/>
      <c r="AG7797" s="3"/>
      <c r="AH7797" s="3"/>
    </row>
    <row r="7798" spans="1:34" ht="14.25" customHeight="1" x14ac:dyDescent="0.25">
      <c r="A7798" s="3"/>
      <c r="B7798" s="3"/>
      <c r="C7798" s="3"/>
      <c r="D7798" s="3"/>
      <c r="E7798" s="3"/>
      <c r="F7798" s="3"/>
      <c r="G7798" s="3"/>
      <c r="H7798" s="11"/>
      <c r="I7798" s="12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  <c r="AA7798" s="3"/>
      <c r="AB7798" s="3"/>
      <c r="AC7798" s="3"/>
      <c r="AD7798" s="3"/>
      <c r="AE7798" s="3"/>
      <c r="AF7798" s="3"/>
      <c r="AG7798" s="3"/>
      <c r="AH7798" s="3"/>
    </row>
    <row r="7799" spans="1:34" ht="14.25" customHeight="1" x14ac:dyDescent="0.25">
      <c r="A7799" s="3"/>
      <c r="B7799" s="3"/>
      <c r="C7799" s="3"/>
      <c r="D7799" s="3"/>
      <c r="E7799" s="3"/>
      <c r="F7799" s="3"/>
      <c r="G7799" s="3"/>
      <c r="H7799" s="11"/>
      <c r="I7799" s="12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  <c r="AA7799" s="3"/>
      <c r="AB7799" s="3"/>
      <c r="AC7799" s="3"/>
      <c r="AD7799" s="3"/>
      <c r="AE7799" s="3"/>
      <c r="AF7799" s="3"/>
      <c r="AG7799" s="3"/>
      <c r="AH7799" s="3"/>
    </row>
    <row r="7800" spans="1:34" ht="14.25" customHeight="1" x14ac:dyDescent="0.25">
      <c r="A7800" s="3"/>
      <c r="B7800" s="3"/>
      <c r="C7800" s="3"/>
      <c r="D7800" s="3"/>
      <c r="E7800" s="3"/>
      <c r="F7800" s="3"/>
      <c r="G7800" s="3"/>
      <c r="H7800" s="11"/>
      <c r="I7800" s="12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  <c r="AA7800" s="3"/>
      <c r="AB7800" s="3"/>
      <c r="AC7800" s="3"/>
      <c r="AD7800" s="3"/>
      <c r="AE7800" s="3"/>
      <c r="AF7800" s="3"/>
      <c r="AG7800" s="3"/>
      <c r="AH7800" s="3"/>
    </row>
    <row r="7801" spans="1:34" ht="14.25" customHeight="1" x14ac:dyDescent="0.25">
      <c r="A7801" s="3"/>
      <c r="B7801" s="3"/>
      <c r="C7801" s="3"/>
      <c r="D7801" s="3"/>
      <c r="E7801" s="3"/>
      <c r="F7801" s="3"/>
      <c r="G7801" s="3"/>
      <c r="H7801" s="11"/>
      <c r="I7801" s="12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  <c r="AA7801" s="3"/>
      <c r="AB7801" s="3"/>
      <c r="AC7801" s="3"/>
      <c r="AD7801" s="3"/>
      <c r="AE7801" s="3"/>
      <c r="AF7801" s="3"/>
      <c r="AG7801" s="3"/>
      <c r="AH7801" s="3"/>
    </row>
    <row r="7802" spans="1:34" ht="14.25" customHeight="1" x14ac:dyDescent="0.25">
      <c r="A7802" s="3"/>
      <c r="B7802" s="3"/>
      <c r="C7802" s="3"/>
      <c r="D7802" s="3"/>
      <c r="E7802" s="3"/>
      <c r="F7802" s="3"/>
      <c r="G7802" s="3"/>
      <c r="H7802" s="11"/>
      <c r="I7802" s="12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  <c r="AA7802" s="3"/>
      <c r="AB7802" s="3"/>
      <c r="AC7802" s="3"/>
      <c r="AD7802" s="3"/>
      <c r="AE7802" s="3"/>
      <c r="AF7802" s="3"/>
      <c r="AG7802" s="3"/>
      <c r="AH7802" s="3"/>
    </row>
    <row r="7803" spans="1:34" ht="14.25" customHeight="1" x14ac:dyDescent="0.25">
      <c r="A7803" s="3"/>
      <c r="B7803" s="3"/>
      <c r="C7803" s="3"/>
      <c r="D7803" s="3"/>
      <c r="E7803" s="3"/>
      <c r="F7803" s="3"/>
      <c r="G7803" s="3"/>
      <c r="H7803" s="11"/>
      <c r="I7803" s="12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  <c r="AA7803" s="3"/>
      <c r="AB7803" s="3"/>
      <c r="AC7803" s="3"/>
      <c r="AD7803" s="3"/>
      <c r="AE7803" s="3"/>
      <c r="AF7803" s="3"/>
      <c r="AG7803" s="3"/>
      <c r="AH7803" s="3"/>
    </row>
    <row r="7804" spans="1:34" ht="14.25" customHeight="1" x14ac:dyDescent="0.25">
      <c r="A7804" s="3"/>
      <c r="B7804" s="3"/>
      <c r="C7804" s="3"/>
      <c r="D7804" s="3"/>
      <c r="E7804" s="3"/>
      <c r="F7804" s="3"/>
      <c r="G7804" s="3"/>
      <c r="H7804" s="11"/>
      <c r="I7804" s="12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  <c r="AA7804" s="3"/>
      <c r="AB7804" s="3"/>
      <c r="AC7804" s="3"/>
      <c r="AD7804" s="3"/>
      <c r="AE7804" s="3"/>
      <c r="AF7804" s="3"/>
      <c r="AG7804" s="3"/>
      <c r="AH7804" s="3"/>
    </row>
    <row r="7805" spans="1:34" ht="14.25" customHeight="1" x14ac:dyDescent="0.25">
      <c r="A7805" s="3"/>
      <c r="B7805" s="3"/>
      <c r="C7805" s="3"/>
      <c r="D7805" s="3"/>
      <c r="E7805" s="3"/>
      <c r="F7805" s="3"/>
      <c r="G7805" s="3"/>
      <c r="H7805" s="11"/>
      <c r="I7805" s="12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  <c r="AA7805" s="3"/>
      <c r="AB7805" s="3"/>
      <c r="AC7805" s="3"/>
      <c r="AD7805" s="3"/>
      <c r="AE7805" s="3"/>
      <c r="AF7805" s="3"/>
      <c r="AG7805" s="3"/>
      <c r="AH7805" s="3"/>
    </row>
    <row r="7806" spans="1:34" ht="14.25" customHeight="1" x14ac:dyDescent="0.25">
      <c r="A7806" s="3"/>
      <c r="B7806" s="3"/>
      <c r="C7806" s="3"/>
      <c r="D7806" s="3"/>
      <c r="E7806" s="3"/>
      <c r="F7806" s="3"/>
      <c r="G7806" s="3"/>
      <c r="H7806" s="11"/>
      <c r="I7806" s="12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  <c r="AA7806" s="3"/>
      <c r="AB7806" s="3"/>
      <c r="AC7806" s="3"/>
      <c r="AD7806" s="3"/>
      <c r="AE7806" s="3"/>
      <c r="AF7806" s="3"/>
      <c r="AG7806" s="3"/>
      <c r="AH7806" s="3"/>
    </row>
    <row r="7807" spans="1:34" ht="14.25" customHeight="1" x14ac:dyDescent="0.25">
      <c r="A7807" s="3"/>
      <c r="B7807" s="3"/>
      <c r="C7807" s="3"/>
      <c r="D7807" s="3"/>
      <c r="E7807" s="3"/>
      <c r="F7807" s="3"/>
      <c r="G7807" s="3"/>
      <c r="H7807" s="11"/>
      <c r="I7807" s="12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  <c r="AA7807" s="3"/>
      <c r="AB7807" s="3"/>
      <c r="AC7807" s="3"/>
      <c r="AD7807" s="3"/>
      <c r="AE7807" s="3"/>
      <c r="AF7807" s="3"/>
      <c r="AG7807" s="3"/>
      <c r="AH7807" s="3"/>
    </row>
    <row r="7808" spans="1:34" ht="14.25" customHeight="1" x14ac:dyDescent="0.25">
      <c r="A7808" s="3"/>
      <c r="B7808" s="3"/>
      <c r="C7808" s="3"/>
      <c r="D7808" s="3"/>
      <c r="E7808" s="3"/>
      <c r="F7808" s="3"/>
      <c r="G7808" s="3"/>
      <c r="H7808" s="11"/>
      <c r="I7808" s="12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  <c r="AA7808" s="3"/>
      <c r="AB7808" s="3"/>
      <c r="AC7808" s="3"/>
      <c r="AD7808" s="3"/>
      <c r="AE7808" s="3"/>
      <c r="AF7808" s="3"/>
      <c r="AG7808" s="3"/>
      <c r="AH7808" s="3"/>
    </row>
    <row r="7809" spans="1:34" ht="14.25" customHeight="1" x14ac:dyDescent="0.25">
      <c r="A7809" s="3"/>
      <c r="B7809" s="3"/>
      <c r="C7809" s="3"/>
      <c r="D7809" s="3"/>
      <c r="E7809" s="3"/>
      <c r="F7809" s="3"/>
      <c r="G7809" s="3"/>
      <c r="H7809" s="11"/>
      <c r="I7809" s="12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  <c r="AA7809" s="3"/>
      <c r="AB7809" s="3"/>
      <c r="AC7809" s="3"/>
      <c r="AD7809" s="3"/>
      <c r="AE7809" s="3"/>
      <c r="AF7809" s="3"/>
      <c r="AG7809" s="3"/>
      <c r="AH7809" s="3"/>
    </row>
    <row r="7810" spans="1:34" ht="14.25" customHeight="1" x14ac:dyDescent="0.25">
      <c r="A7810" s="3"/>
      <c r="B7810" s="3"/>
      <c r="C7810" s="3"/>
      <c r="D7810" s="3"/>
      <c r="E7810" s="3"/>
      <c r="F7810" s="3"/>
      <c r="G7810" s="3"/>
      <c r="H7810" s="11"/>
      <c r="I7810" s="12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  <c r="AA7810" s="3"/>
      <c r="AB7810" s="3"/>
      <c r="AC7810" s="3"/>
      <c r="AD7810" s="3"/>
      <c r="AE7810" s="3"/>
      <c r="AF7810" s="3"/>
      <c r="AG7810" s="3"/>
      <c r="AH7810" s="3"/>
    </row>
    <row r="7811" spans="1:34" ht="14.25" customHeight="1" x14ac:dyDescent="0.25">
      <c r="A7811" s="3"/>
      <c r="B7811" s="3"/>
      <c r="C7811" s="3"/>
      <c r="D7811" s="3"/>
      <c r="E7811" s="3"/>
      <c r="F7811" s="3"/>
      <c r="G7811" s="3"/>
      <c r="H7811" s="11"/>
      <c r="I7811" s="12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  <c r="AA7811" s="3"/>
      <c r="AB7811" s="3"/>
      <c r="AC7811" s="3"/>
      <c r="AD7811" s="3"/>
      <c r="AE7811" s="3"/>
      <c r="AF7811" s="3"/>
      <c r="AG7811" s="3"/>
      <c r="AH7811" s="3"/>
    </row>
    <row r="7812" spans="1:34" ht="14.25" customHeight="1" x14ac:dyDescent="0.25">
      <c r="A7812" s="3"/>
      <c r="B7812" s="3"/>
      <c r="C7812" s="3"/>
      <c r="D7812" s="3"/>
      <c r="E7812" s="3"/>
      <c r="F7812" s="3"/>
      <c r="G7812" s="3"/>
      <c r="H7812" s="11"/>
      <c r="I7812" s="12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  <c r="AA7812" s="3"/>
      <c r="AB7812" s="3"/>
      <c r="AC7812" s="3"/>
      <c r="AD7812" s="3"/>
      <c r="AE7812" s="3"/>
      <c r="AF7812" s="3"/>
      <c r="AG7812" s="3"/>
      <c r="AH7812" s="3"/>
    </row>
    <row r="7813" spans="1:34" ht="14.25" customHeight="1" x14ac:dyDescent="0.25">
      <c r="A7813" s="3"/>
      <c r="B7813" s="3"/>
      <c r="C7813" s="3"/>
      <c r="D7813" s="3"/>
      <c r="E7813" s="3"/>
      <c r="F7813" s="3"/>
      <c r="G7813" s="3"/>
      <c r="H7813" s="11"/>
      <c r="I7813" s="12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  <c r="AA7813" s="3"/>
      <c r="AB7813" s="3"/>
      <c r="AC7813" s="3"/>
      <c r="AD7813" s="3"/>
      <c r="AE7813" s="3"/>
      <c r="AF7813" s="3"/>
      <c r="AG7813" s="3"/>
      <c r="AH7813" s="3"/>
    </row>
    <row r="7814" spans="1:34" ht="14.25" customHeight="1" x14ac:dyDescent="0.25">
      <c r="A7814" s="3"/>
      <c r="B7814" s="3"/>
      <c r="C7814" s="3"/>
      <c r="D7814" s="3"/>
      <c r="E7814" s="3"/>
      <c r="F7814" s="3"/>
      <c r="G7814" s="3"/>
      <c r="H7814" s="11"/>
      <c r="I7814" s="12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  <c r="AA7814" s="3"/>
      <c r="AB7814" s="3"/>
      <c r="AC7814" s="3"/>
      <c r="AD7814" s="3"/>
      <c r="AE7814" s="3"/>
      <c r="AF7814" s="3"/>
      <c r="AG7814" s="3"/>
      <c r="AH7814" s="3"/>
    </row>
    <row r="7815" spans="1:34" ht="14.25" customHeight="1" x14ac:dyDescent="0.25">
      <c r="A7815" s="3"/>
      <c r="B7815" s="3"/>
      <c r="C7815" s="3"/>
      <c r="D7815" s="3"/>
      <c r="E7815" s="3"/>
      <c r="F7815" s="3"/>
      <c r="G7815" s="3"/>
      <c r="H7815" s="11"/>
      <c r="I7815" s="12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  <c r="AA7815" s="3"/>
      <c r="AB7815" s="3"/>
      <c r="AC7815" s="3"/>
      <c r="AD7815" s="3"/>
      <c r="AE7815" s="3"/>
      <c r="AF7815" s="3"/>
      <c r="AG7815" s="3"/>
      <c r="AH7815" s="3"/>
    </row>
    <row r="7816" spans="1:34" ht="14.25" customHeight="1" x14ac:dyDescent="0.25">
      <c r="A7816" s="3"/>
      <c r="B7816" s="3"/>
      <c r="C7816" s="3"/>
      <c r="D7816" s="3"/>
      <c r="E7816" s="3"/>
      <c r="F7816" s="3"/>
      <c r="G7816" s="3"/>
      <c r="H7816" s="11"/>
      <c r="I7816" s="12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  <c r="AA7816" s="3"/>
      <c r="AB7816" s="3"/>
      <c r="AC7816" s="3"/>
      <c r="AD7816" s="3"/>
      <c r="AE7816" s="3"/>
      <c r="AF7816" s="3"/>
      <c r="AG7816" s="3"/>
      <c r="AH7816" s="3"/>
    </row>
    <row r="7817" spans="1:34" ht="14.25" customHeight="1" x14ac:dyDescent="0.25">
      <c r="A7817" s="3"/>
      <c r="B7817" s="3"/>
      <c r="C7817" s="3"/>
      <c r="D7817" s="3"/>
      <c r="E7817" s="3"/>
      <c r="F7817" s="3"/>
      <c r="G7817" s="3"/>
      <c r="H7817" s="11"/>
      <c r="I7817" s="12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  <c r="AA7817" s="3"/>
      <c r="AB7817" s="3"/>
      <c r="AC7817" s="3"/>
      <c r="AD7817" s="3"/>
      <c r="AE7817" s="3"/>
      <c r="AF7817" s="3"/>
      <c r="AG7817" s="3"/>
      <c r="AH7817" s="3"/>
    </row>
    <row r="7818" spans="1:34" ht="14.25" customHeight="1" x14ac:dyDescent="0.25">
      <c r="A7818" s="3"/>
      <c r="B7818" s="3"/>
      <c r="C7818" s="3"/>
      <c r="D7818" s="3"/>
      <c r="E7818" s="3"/>
      <c r="F7818" s="3"/>
      <c r="G7818" s="3"/>
      <c r="H7818" s="11"/>
      <c r="I7818" s="12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  <c r="AA7818" s="3"/>
      <c r="AB7818" s="3"/>
      <c r="AC7818" s="3"/>
      <c r="AD7818" s="3"/>
      <c r="AE7818" s="3"/>
      <c r="AF7818" s="3"/>
      <c r="AG7818" s="3"/>
      <c r="AH7818" s="3"/>
    </row>
    <row r="7819" spans="1:34" ht="14.25" customHeight="1" x14ac:dyDescent="0.25">
      <c r="A7819" s="3"/>
      <c r="B7819" s="3"/>
      <c r="C7819" s="3"/>
      <c r="D7819" s="3"/>
      <c r="E7819" s="3"/>
      <c r="F7819" s="3"/>
      <c r="G7819" s="3"/>
      <c r="H7819" s="11"/>
      <c r="I7819" s="12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  <c r="AA7819" s="3"/>
      <c r="AB7819" s="3"/>
      <c r="AC7819" s="3"/>
      <c r="AD7819" s="3"/>
      <c r="AE7819" s="3"/>
      <c r="AF7819" s="3"/>
      <c r="AG7819" s="3"/>
      <c r="AH7819" s="3"/>
    </row>
    <row r="7820" spans="1:34" ht="14.25" customHeight="1" x14ac:dyDescent="0.25">
      <c r="A7820" s="3"/>
      <c r="B7820" s="3"/>
      <c r="C7820" s="3"/>
      <c r="D7820" s="3"/>
      <c r="E7820" s="3"/>
      <c r="F7820" s="3"/>
      <c r="G7820" s="3"/>
      <c r="H7820" s="11"/>
      <c r="I7820" s="12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  <c r="AA7820" s="3"/>
      <c r="AB7820" s="3"/>
      <c r="AC7820" s="3"/>
      <c r="AD7820" s="3"/>
      <c r="AE7820" s="3"/>
      <c r="AF7820" s="3"/>
      <c r="AG7820" s="3"/>
      <c r="AH7820" s="3"/>
    </row>
    <row r="7821" spans="1:34" ht="14.25" customHeight="1" x14ac:dyDescent="0.25">
      <c r="A7821" s="3"/>
      <c r="B7821" s="3"/>
      <c r="C7821" s="3"/>
      <c r="D7821" s="3"/>
      <c r="E7821" s="3"/>
      <c r="F7821" s="3"/>
      <c r="G7821" s="3"/>
      <c r="H7821" s="11"/>
      <c r="I7821" s="12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  <c r="AA7821" s="3"/>
      <c r="AB7821" s="3"/>
      <c r="AC7821" s="3"/>
      <c r="AD7821" s="3"/>
      <c r="AE7821" s="3"/>
      <c r="AF7821" s="3"/>
      <c r="AG7821" s="3"/>
      <c r="AH7821" s="3"/>
    </row>
    <row r="7822" spans="1:34" ht="14.25" customHeight="1" x14ac:dyDescent="0.25">
      <c r="A7822" s="3"/>
      <c r="B7822" s="3"/>
      <c r="C7822" s="3"/>
      <c r="D7822" s="3"/>
      <c r="E7822" s="3"/>
      <c r="F7822" s="3"/>
      <c r="G7822" s="3"/>
      <c r="H7822" s="11"/>
      <c r="I7822" s="12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  <c r="AA7822" s="3"/>
      <c r="AB7822" s="3"/>
      <c r="AC7822" s="3"/>
      <c r="AD7822" s="3"/>
      <c r="AE7822" s="3"/>
      <c r="AF7822" s="3"/>
      <c r="AG7822" s="3"/>
      <c r="AH7822" s="3"/>
    </row>
    <row r="7823" spans="1:34" ht="14.25" customHeight="1" x14ac:dyDescent="0.25">
      <c r="A7823" s="3"/>
      <c r="B7823" s="3"/>
      <c r="C7823" s="3"/>
      <c r="D7823" s="3"/>
      <c r="E7823" s="3"/>
      <c r="F7823" s="3"/>
      <c r="G7823" s="3"/>
      <c r="H7823" s="11"/>
      <c r="I7823" s="12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  <c r="AA7823" s="3"/>
      <c r="AB7823" s="3"/>
      <c r="AC7823" s="3"/>
      <c r="AD7823" s="3"/>
      <c r="AE7823" s="3"/>
      <c r="AF7823" s="3"/>
      <c r="AG7823" s="3"/>
      <c r="AH7823" s="3"/>
    </row>
    <row r="7824" spans="1:34" ht="14.25" customHeight="1" x14ac:dyDescent="0.25">
      <c r="A7824" s="3"/>
      <c r="B7824" s="3"/>
      <c r="C7824" s="3"/>
      <c r="D7824" s="3"/>
      <c r="E7824" s="3"/>
      <c r="F7824" s="3"/>
      <c r="G7824" s="3"/>
      <c r="H7824" s="11"/>
      <c r="I7824" s="12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  <c r="AA7824" s="3"/>
      <c r="AB7824" s="3"/>
      <c r="AC7824" s="3"/>
      <c r="AD7824" s="3"/>
      <c r="AE7824" s="3"/>
      <c r="AF7824" s="3"/>
      <c r="AG7824" s="3"/>
      <c r="AH7824" s="3"/>
    </row>
    <row r="7825" spans="1:34" ht="14.25" customHeight="1" x14ac:dyDescent="0.25">
      <c r="A7825" s="3"/>
      <c r="B7825" s="3"/>
      <c r="C7825" s="3"/>
      <c r="D7825" s="3"/>
      <c r="E7825" s="3"/>
      <c r="F7825" s="3"/>
      <c r="G7825" s="3"/>
      <c r="H7825" s="11"/>
      <c r="I7825" s="12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  <c r="AA7825" s="3"/>
      <c r="AB7825" s="3"/>
      <c r="AC7825" s="3"/>
      <c r="AD7825" s="3"/>
      <c r="AE7825" s="3"/>
      <c r="AF7825" s="3"/>
      <c r="AG7825" s="3"/>
      <c r="AH7825" s="3"/>
    </row>
    <row r="7826" spans="1:34" ht="14.25" customHeight="1" x14ac:dyDescent="0.25">
      <c r="A7826" s="3"/>
      <c r="B7826" s="3"/>
      <c r="C7826" s="3"/>
      <c r="D7826" s="3"/>
      <c r="E7826" s="3"/>
      <c r="F7826" s="3"/>
      <c r="G7826" s="3"/>
      <c r="H7826" s="11"/>
      <c r="I7826" s="12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  <c r="AA7826" s="3"/>
      <c r="AB7826" s="3"/>
      <c r="AC7826" s="3"/>
      <c r="AD7826" s="3"/>
      <c r="AE7826" s="3"/>
      <c r="AF7826" s="3"/>
      <c r="AG7826" s="3"/>
      <c r="AH7826" s="3"/>
    </row>
    <row r="7827" spans="1:34" ht="14.25" customHeight="1" x14ac:dyDescent="0.25">
      <c r="A7827" s="3"/>
      <c r="B7827" s="3"/>
      <c r="C7827" s="3"/>
      <c r="D7827" s="3"/>
      <c r="E7827" s="3"/>
      <c r="F7827" s="3"/>
      <c r="G7827" s="3"/>
      <c r="H7827" s="11"/>
      <c r="I7827" s="12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  <c r="AA7827" s="3"/>
      <c r="AB7827" s="3"/>
      <c r="AC7827" s="3"/>
      <c r="AD7827" s="3"/>
      <c r="AE7827" s="3"/>
      <c r="AF7827" s="3"/>
      <c r="AG7827" s="3"/>
      <c r="AH7827" s="3"/>
    </row>
    <row r="7828" spans="1:34" ht="14.25" customHeight="1" x14ac:dyDescent="0.25">
      <c r="A7828" s="3"/>
      <c r="B7828" s="3"/>
      <c r="C7828" s="3"/>
      <c r="D7828" s="3"/>
      <c r="E7828" s="3"/>
      <c r="F7828" s="3"/>
      <c r="G7828" s="3"/>
      <c r="H7828" s="11"/>
      <c r="I7828" s="12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  <c r="AA7828" s="3"/>
      <c r="AB7828" s="3"/>
      <c r="AC7828" s="3"/>
      <c r="AD7828" s="3"/>
      <c r="AE7828" s="3"/>
      <c r="AF7828" s="3"/>
      <c r="AG7828" s="3"/>
      <c r="AH7828" s="3"/>
    </row>
    <row r="7829" spans="1:34" ht="14.25" customHeight="1" x14ac:dyDescent="0.25">
      <c r="A7829" s="3"/>
      <c r="B7829" s="3"/>
      <c r="C7829" s="3"/>
      <c r="D7829" s="3"/>
      <c r="E7829" s="3"/>
      <c r="F7829" s="3"/>
      <c r="G7829" s="3"/>
      <c r="H7829" s="11"/>
      <c r="I7829" s="12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  <c r="AA7829" s="3"/>
      <c r="AB7829" s="3"/>
      <c r="AC7829" s="3"/>
      <c r="AD7829" s="3"/>
      <c r="AE7829" s="3"/>
      <c r="AF7829" s="3"/>
      <c r="AG7829" s="3"/>
      <c r="AH7829" s="3"/>
    </row>
    <row r="7830" spans="1:34" ht="14.25" customHeight="1" x14ac:dyDescent="0.25">
      <c r="A7830" s="3"/>
      <c r="B7830" s="3"/>
      <c r="C7830" s="3"/>
      <c r="D7830" s="3"/>
      <c r="E7830" s="3"/>
      <c r="F7830" s="3"/>
      <c r="G7830" s="3"/>
      <c r="H7830" s="11"/>
      <c r="I7830" s="12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  <c r="AA7830" s="3"/>
      <c r="AB7830" s="3"/>
      <c r="AC7830" s="3"/>
      <c r="AD7830" s="3"/>
      <c r="AE7830" s="3"/>
      <c r="AF7830" s="3"/>
      <c r="AG7830" s="3"/>
      <c r="AH7830" s="3"/>
    </row>
    <row r="7831" spans="1:34" ht="14.25" customHeight="1" x14ac:dyDescent="0.25">
      <c r="A7831" s="3"/>
      <c r="B7831" s="3"/>
      <c r="C7831" s="3"/>
      <c r="D7831" s="3"/>
      <c r="E7831" s="3"/>
      <c r="F7831" s="3"/>
      <c r="G7831" s="3"/>
      <c r="H7831" s="11"/>
      <c r="I7831" s="12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  <c r="AA7831" s="3"/>
      <c r="AB7831" s="3"/>
      <c r="AC7831" s="3"/>
      <c r="AD7831" s="3"/>
      <c r="AE7831" s="3"/>
      <c r="AF7831" s="3"/>
      <c r="AG7831" s="3"/>
      <c r="AH7831" s="3"/>
    </row>
    <row r="7832" spans="1:34" ht="14.25" customHeight="1" x14ac:dyDescent="0.25">
      <c r="A7832" s="3"/>
      <c r="B7832" s="3"/>
      <c r="C7832" s="3"/>
      <c r="D7832" s="3"/>
      <c r="E7832" s="3"/>
      <c r="F7832" s="3"/>
      <c r="G7832" s="3"/>
      <c r="H7832" s="11"/>
      <c r="I7832" s="12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  <c r="AA7832" s="3"/>
      <c r="AB7832" s="3"/>
      <c r="AC7832" s="3"/>
      <c r="AD7832" s="3"/>
      <c r="AE7832" s="3"/>
      <c r="AF7832" s="3"/>
      <c r="AG7832" s="3"/>
      <c r="AH7832" s="3"/>
    </row>
    <row r="7833" spans="1:34" ht="14.25" customHeight="1" x14ac:dyDescent="0.25">
      <c r="A7833" s="3"/>
      <c r="B7833" s="3"/>
      <c r="C7833" s="3"/>
      <c r="D7833" s="3"/>
      <c r="E7833" s="3"/>
      <c r="F7833" s="3"/>
      <c r="G7833" s="3"/>
      <c r="H7833" s="11"/>
      <c r="I7833" s="12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  <c r="AA7833" s="3"/>
      <c r="AB7833" s="3"/>
      <c r="AC7833" s="3"/>
      <c r="AD7833" s="3"/>
      <c r="AE7833" s="3"/>
      <c r="AF7833" s="3"/>
      <c r="AG7833" s="3"/>
      <c r="AH7833" s="3"/>
    </row>
    <row r="7834" spans="1:34" ht="14.25" customHeight="1" x14ac:dyDescent="0.25">
      <c r="A7834" s="3"/>
      <c r="B7834" s="3"/>
      <c r="C7834" s="3"/>
      <c r="D7834" s="3"/>
      <c r="E7834" s="3"/>
      <c r="F7834" s="3"/>
      <c r="G7834" s="3"/>
      <c r="H7834" s="11"/>
      <c r="I7834" s="12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  <c r="AA7834" s="3"/>
      <c r="AB7834" s="3"/>
      <c r="AC7834" s="3"/>
      <c r="AD7834" s="3"/>
      <c r="AE7834" s="3"/>
      <c r="AF7834" s="3"/>
      <c r="AG7834" s="3"/>
      <c r="AH7834" s="3"/>
    </row>
    <row r="7835" spans="1:34" ht="14.25" customHeight="1" x14ac:dyDescent="0.25">
      <c r="A7835" s="3"/>
      <c r="B7835" s="3"/>
      <c r="C7835" s="3"/>
      <c r="D7835" s="3"/>
      <c r="E7835" s="3"/>
      <c r="F7835" s="3"/>
      <c r="G7835" s="3"/>
      <c r="H7835" s="11"/>
      <c r="I7835" s="12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  <c r="AA7835" s="3"/>
      <c r="AB7835" s="3"/>
      <c r="AC7835" s="3"/>
      <c r="AD7835" s="3"/>
      <c r="AE7835" s="3"/>
      <c r="AF7835" s="3"/>
      <c r="AG7835" s="3"/>
      <c r="AH7835" s="3"/>
    </row>
    <row r="7836" spans="1:34" ht="14.25" customHeight="1" x14ac:dyDescent="0.25">
      <c r="A7836" s="3"/>
      <c r="B7836" s="3"/>
      <c r="C7836" s="3"/>
      <c r="D7836" s="3"/>
      <c r="E7836" s="3"/>
      <c r="F7836" s="3"/>
      <c r="G7836" s="3"/>
      <c r="H7836" s="11"/>
      <c r="I7836" s="12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  <c r="AA7836" s="3"/>
      <c r="AB7836" s="3"/>
      <c r="AC7836" s="3"/>
      <c r="AD7836" s="3"/>
      <c r="AE7836" s="3"/>
      <c r="AF7836" s="3"/>
      <c r="AG7836" s="3"/>
      <c r="AH7836" s="3"/>
    </row>
    <row r="7837" spans="1:34" ht="14.25" customHeight="1" x14ac:dyDescent="0.25">
      <c r="A7837" s="3"/>
      <c r="B7837" s="3"/>
      <c r="C7837" s="3"/>
      <c r="D7837" s="3"/>
      <c r="E7837" s="3"/>
      <c r="F7837" s="3"/>
      <c r="G7837" s="3"/>
      <c r="H7837" s="11"/>
      <c r="I7837" s="12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  <c r="AA7837" s="3"/>
      <c r="AB7837" s="3"/>
      <c r="AC7837" s="3"/>
      <c r="AD7837" s="3"/>
      <c r="AE7837" s="3"/>
      <c r="AF7837" s="3"/>
      <c r="AG7837" s="3"/>
      <c r="AH7837" s="3"/>
    </row>
    <row r="7838" spans="1:34" ht="14.25" customHeight="1" x14ac:dyDescent="0.25">
      <c r="A7838" s="3"/>
      <c r="B7838" s="3"/>
      <c r="C7838" s="3"/>
      <c r="D7838" s="3"/>
      <c r="E7838" s="3"/>
      <c r="F7838" s="3"/>
      <c r="G7838" s="3"/>
      <c r="H7838" s="11"/>
      <c r="I7838" s="12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  <c r="AA7838" s="3"/>
      <c r="AB7838" s="3"/>
      <c r="AC7838" s="3"/>
      <c r="AD7838" s="3"/>
      <c r="AE7838" s="3"/>
      <c r="AF7838" s="3"/>
      <c r="AG7838" s="3"/>
      <c r="AH7838" s="3"/>
    </row>
    <row r="7839" spans="1:34" ht="14.25" customHeight="1" x14ac:dyDescent="0.25">
      <c r="A7839" s="3"/>
      <c r="B7839" s="3"/>
      <c r="C7839" s="3"/>
      <c r="D7839" s="3"/>
      <c r="E7839" s="3"/>
      <c r="F7839" s="3"/>
      <c r="G7839" s="3"/>
      <c r="H7839" s="11"/>
      <c r="I7839" s="12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  <c r="AA7839" s="3"/>
      <c r="AB7839" s="3"/>
      <c r="AC7839" s="3"/>
      <c r="AD7839" s="3"/>
      <c r="AE7839" s="3"/>
      <c r="AF7839" s="3"/>
      <c r="AG7839" s="3"/>
      <c r="AH7839" s="3"/>
    </row>
    <row r="7840" spans="1:34" ht="14.25" customHeight="1" x14ac:dyDescent="0.25">
      <c r="A7840" s="3"/>
      <c r="B7840" s="3"/>
      <c r="C7840" s="3"/>
      <c r="D7840" s="3"/>
      <c r="E7840" s="3"/>
      <c r="F7840" s="3"/>
      <c r="G7840" s="3"/>
      <c r="H7840" s="11"/>
      <c r="I7840" s="12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  <c r="AA7840" s="3"/>
      <c r="AB7840" s="3"/>
      <c r="AC7840" s="3"/>
      <c r="AD7840" s="3"/>
      <c r="AE7840" s="3"/>
      <c r="AF7840" s="3"/>
      <c r="AG7840" s="3"/>
      <c r="AH7840" s="3"/>
    </row>
    <row r="7841" spans="1:34" ht="14.25" customHeight="1" x14ac:dyDescent="0.25">
      <c r="A7841" s="3"/>
      <c r="B7841" s="3"/>
      <c r="C7841" s="3"/>
      <c r="D7841" s="3"/>
      <c r="E7841" s="3"/>
      <c r="F7841" s="3"/>
      <c r="G7841" s="3"/>
      <c r="H7841" s="11"/>
      <c r="I7841" s="12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  <c r="AA7841" s="3"/>
      <c r="AB7841" s="3"/>
      <c r="AC7841" s="3"/>
      <c r="AD7841" s="3"/>
      <c r="AE7841" s="3"/>
      <c r="AF7841" s="3"/>
      <c r="AG7841" s="3"/>
      <c r="AH7841" s="3"/>
    </row>
    <row r="7842" spans="1:34" ht="14.25" customHeight="1" x14ac:dyDescent="0.25">
      <c r="A7842" s="3"/>
      <c r="B7842" s="3"/>
      <c r="C7842" s="3"/>
      <c r="D7842" s="3"/>
      <c r="E7842" s="3"/>
      <c r="F7842" s="3"/>
      <c r="G7842" s="3"/>
      <c r="H7842" s="11"/>
      <c r="I7842" s="12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  <c r="AA7842" s="3"/>
      <c r="AB7842" s="3"/>
      <c r="AC7842" s="3"/>
      <c r="AD7842" s="3"/>
      <c r="AE7842" s="3"/>
      <c r="AF7842" s="3"/>
      <c r="AG7842" s="3"/>
      <c r="AH7842" s="3"/>
    </row>
    <row r="7843" spans="1:34" ht="14.25" customHeight="1" x14ac:dyDescent="0.25">
      <c r="A7843" s="3"/>
      <c r="B7843" s="3"/>
      <c r="C7843" s="3"/>
      <c r="D7843" s="3"/>
      <c r="E7843" s="3"/>
      <c r="F7843" s="3"/>
      <c r="G7843" s="3"/>
      <c r="H7843" s="11"/>
      <c r="I7843" s="12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  <c r="AA7843" s="3"/>
      <c r="AB7843" s="3"/>
      <c r="AC7843" s="3"/>
      <c r="AD7843" s="3"/>
      <c r="AE7843" s="3"/>
      <c r="AF7843" s="3"/>
      <c r="AG7843" s="3"/>
      <c r="AH7843" s="3"/>
    </row>
    <row r="7844" spans="1:34" ht="14.25" customHeight="1" x14ac:dyDescent="0.25">
      <c r="A7844" s="3"/>
      <c r="B7844" s="3"/>
      <c r="C7844" s="3"/>
      <c r="D7844" s="3"/>
      <c r="E7844" s="3"/>
      <c r="F7844" s="3"/>
      <c r="G7844" s="3"/>
      <c r="H7844" s="11"/>
      <c r="I7844" s="12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  <c r="AA7844" s="3"/>
      <c r="AB7844" s="3"/>
      <c r="AC7844" s="3"/>
      <c r="AD7844" s="3"/>
      <c r="AE7844" s="3"/>
      <c r="AF7844" s="3"/>
      <c r="AG7844" s="3"/>
      <c r="AH7844" s="3"/>
    </row>
    <row r="7845" spans="1:34" ht="14.25" customHeight="1" x14ac:dyDescent="0.25">
      <c r="A7845" s="3"/>
      <c r="B7845" s="3"/>
      <c r="C7845" s="3"/>
      <c r="D7845" s="3"/>
      <c r="E7845" s="3"/>
      <c r="F7845" s="3"/>
      <c r="G7845" s="3"/>
      <c r="H7845" s="11"/>
      <c r="I7845" s="12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  <c r="AA7845" s="3"/>
      <c r="AB7845" s="3"/>
      <c r="AC7845" s="3"/>
      <c r="AD7845" s="3"/>
      <c r="AE7845" s="3"/>
      <c r="AF7845" s="3"/>
      <c r="AG7845" s="3"/>
      <c r="AH7845" s="3"/>
    </row>
    <row r="7846" spans="1:34" ht="14.25" customHeight="1" x14ac:dyDescent="0.25">
      <c r="A7846" s="3"/>
      <c r="B7846" s="3"/>
      <c r="C7846" s="3"/>
      <c r="D7846" s="3"/>
      <c r="E7846" s="3"/>
      <c r="F7846" s="3"/>
      <c r="G7846" s="3"/>
      <c r="H7846" s="11"/>
      <c r="I7846" s="12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  <c r="AA7846" s="3"/>
      <c r="AB7846" s="3"/>
      <c r="AC7846" s="3"/>
      <c r="AD7846" s="3"/>
      <c r="AE7846" s="3"/>
      <c r="AF7846" s="3"/>
      <c r="AG7846" s="3"/>
      <c r="AH7846" s="3"/>
    </row>
    <row r="7847" spans="1:34" ht="14.25" customHeight="1" x14ac:dyDescent="0.25">
      <c r="A7847" s="3"/>
      <c r="B7847" s="3"/>
      <c r="C7847" s="3"/>
      <c r="D7847" s="3"/>
      <c r="E7847" s="3"/>
      <c r="F7847" s="3"/>
      <c r="G7847" s="3"/>
      <c r="H7847" s="11"/>
      <c r="I7847" s="12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  <c r="AA7847" s="3"/>
      <c r="AB7847" s="3"/>
      <c r="AC7847" s="3"/>
      <c r="AD7847" s="3"/>
      <c r="AE7847" s="3"/>
      <c r="AF7847" s="3"/>
      <c r="AG7847" s="3"/>
      <c r="AH7847" s="3"/>
    </row>
    <row r="7848" spans="1:34" ht="14.25" customHeight="1" x14ac:dyDescent="0.25">
      <c r="A7848" s="3"/>
      <c r="B7848" s="3"/>
      <c r="C7848" s="3"/>
      <c r="D7848" s="3"/>
      <c r="E7848" s="3"/>
      <c r="F7848" s="3"/>
      <c r="G7848" s="3"/>
      <c r="H7848" s="11"/>
      <c r="I7848" s="12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  <c r="AA7848" s="3"/>
      <c r="AB7848" s="3"/>
      <c r="AC7848" s="3"/>
      <c r="AD7848" s="3"/>
      <c r="AE7848" s="3"/>
      <c r="AF7848" s="3"/>
      <c r="AG7848" s="3"/>
      <c r="AH7848" s="3"/>
    </row>
    <row r="7849" spans="1:34" ht="14.25" customHeight="1" x14ac:dyDescent="0.25">
      <c r="A7849" s="3"/>
      <c r="B7849" s="3"/>
      <c r="C7849" s="3"/>
      <c r="D7849" s="3"/>
      <c r="E7849" s="3"/>
      <c r="F7849" s="3"/>
      <c r="G7849" s="3"/>
      <c r="H7849" s="11"/>
      <c r="I7849" s="12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  <c r="AA7849" s="3"/>
      <c r="AB7849" s="3"/>
      <c r="AC7849" s="3"/>
      <c r="AD7849" s="3"/>
      <c r="AE7849" s="3"/>
      <c r="AF7849" s="3"/>
      <c r="AG7849" s="3"/>
      <c r="AH7849" s="3"/>
    </row>
    <row r="7850" spans="1:34" ht="14.25" customHeight="1" x14ac:dyDescent="0.25">
      <c r="A7850" s="3"/>
      <c r="B7850" s="3"/>
      <c r="C7850" s="3"/>
      <c r="D7850" s="3"/>
      <c r="E7850" s="3"/>
      <c r="F7850" s="3"/>
      <c r="G7850" s="3"/>
      <c r="H7850" s="11"/>
      <c r="I7850" s="12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  <c r="AA7850" s="3"/>
      <c r="AB7850" s="3"/>
      <c r="AC7850" s="3"/>
      <c r="AD7850" s="3"/>
      <c r="AE7850" s="3"/>
      <c r="AF7850" s="3"/>
      <c r="AG7850" s="3"/>
      <c r="AH7850" s="3"/>
    </row>
    <row r="7851" spans="1:34" ht="14.25" customHeight="1" x14ac:dyDescent="0.25">
      <c r="A7851" s="3"/>
      <c r="B7851" s="3"/>
      <c r="C7851" s="3"/>
      <c r="D7851" s="3"/>
      <c r="E7851" s="3"/>
      <c r="F7851" s="3"/>
      <c r="G7851" s="3"/>
      <c r="H7851" s="11"/>
      <c r="I7851" s="12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  <c r="AA7851" s="3"/>
      <c r="AB7851" s="3"/>
      <c r="AC7851" s="3"/>
      <c r="AD7851" s="3"/>
      <c r="AE7851" s="3"/>
      <c r="AF7851" s="3"/>
      <c r="AG7851" s="3"/>
      <c r="AH7851" s="3"/>
    </row>
    <row r="7852" spans="1:34" ht="14.25" customHeight="1" x14ac:dyDescent="0.25">
      <c r="A7852" s="3"/>
      <c r="B7852" s="3"/>
      <c r="C7852" s="3"/>
      <c r="D7852" s="3"/>
      <c r="E7852" s="3"/>
      <c r="F7852" s="3"/>
      <c r="G7852" s="3"/>
      <c r="H7852" s="11"/>
      <c r="I7852" s="12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  <c r="AA7852" s="3"/>
      <c r="AB7852" s="3"/>
      <c r="AC7852" s="3"/>
      <c r="AD7852" s="3"/>
      <c r="AE7852" s="3"/>
      <c r="AF7852" s="3"/>
      <c r="AG7852" s="3"/>
      <c r="AH7852" s="3"/>
    </row>
    <row r="7853" spans="1:34" ht="14.25" customHeight="1" x14ac:dyDescent="0.25">
      <c r="A7853" s="3"/>
      <c r="B7853" s="3"/>
      <c r="C7853" s="3"/>
      <c r="D7853" s="3"/>
      <c r="E7853" s="3"/>
      <c r="F7853" s="3"/>
      <c r="G7853" s="3"/>
      <c r="H7853" s="11"/>
      <c r="I7853" s="12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  <c r="AA7853" s="3"/>
      <c r="AB7853" s="3"/>
      <c r="AC7853" s="3"/>
      <c r="AD7853" s="3"/>
      <c r="AE7853" s="3"/>
      <c r="AF7853" s="3"/>
      <c r="AG7853" s="3"/>
      <c r="AH7853" s="3"/>
    </row>
    <row r="7854" spans="1:34" ht="14.25" customHeight="1" x14ac:dyDescent="0.25">
      <c r="A7854" s="3"/>
      <c r="B7854" s="3"/>
      <c r="C7854" s="3"/>
      <c r="D7854" s="3"/>
      <c r="E7854" s="3"/>
      <c r="F7854" s="3"/>
      <c r="G7854" s="3"/>
      <c r="H7854" s="11"/>
      <c r="I7854" s="12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  <c r="AA7854" s="3"/>
      <c r="AB7854" s="3"/>
      <c r="AC7854" s="3"/>
      <c r="AD7854" s="3"/>
      <c r="AE7854" s="3"/>
      <c r="AF7854" s="3"/>
      <c r="AG7854" s="3"/>
      <c r="AH7854" s="3"/>
    </row>
    <row r="7855" spans="1:34" ht="14.25" customHeight="1" x14ac:dyDescent="0.25">
      <c r="A7855" s="3"/>
      <c r="B7855" s="3"/>
      <c r="C7855" s="3"/>
      <c r="D7855" s="3"/>
      <c r="E7855" s="3"/>
      <c r="F7855" s="3"/>
      <c r="G7855" s="3"/>
      <c r="H7855" s="11"/>
      <c r="I7855" s="12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  <c r="AA7855" s="3"/>
      <c r="AB7855" s="3"/>
      <c r="AC7855" s="3"/>
      <c r="AD7855" s="3"/>
      <c r="AE7855" s="3"/>
      <c r="AF7855" s="3"/>
      <c r="AG7855" s="3"/>
      <c r="AH7855" s="3"/>
    </row>
    <row r="7856" spans="1:34" ht="14.25" customHeight="1" x14ac:dyDescent="0.25">
      <c r="A7856" s="3"/>
      <c r="B7856" s="3"/>
      <c r="C7856" s="3"/>
      <c r="D7856" s="3"/>
      <c r="E7856" s="3"/>
      <c r="F7856" s="3"/>
      <c r="G7856" s="3"/>
      <c r="H7856" s="11"/>
      <c r="I7856" s="12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  <c r="AA7856" s="3"/>
      <c r="AB7856" s="3"/>
      <c r="AC7856" s="3"/>
      <c r="AD7856" s="3"/>
      <c r="AE7856" s="3"/>
      <c r="AF7856" s="3"/>
      <c r="AG7856" s="3"/>
      <c r="AH7856" s="3"/>
    </row>
    <row r="7857" spans="1:34" ht="14.25" customHeight="1" x14ac:dyDescent="0.25">
      <c r="A7857" s="3"/>
      <c r="B7857" s="3"/>
      <c r="C7857" s="3"/>
      <c r="D7857" s="3"/>
      <c r="E7857" s="3"/>
      <c r="F7857" s="3"/>
      <c r="G7857" s="3"/>
      <c r="H7857" s="11"/>
      <c r="I7857" s="12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  <c r="AA7857" s="3"/>
      <c r="AB7857" s="3"/>
      <c r="AC7857" s="3"/>
      <c r="AD7857" s="3"/>
      <c r="AE7857" s="3"/>
      <c r="AF7857" s="3"/>
      <c r="AG7857" s="3"/>
      <c r="AH7857" s="3"/>
    </row>
    <row r="7858" spans="1:34" ht="14.25" customHeight="1" x14ac:dyDescent="0.25">
      <c r="A7858" s="3"/>
      <c r="B7858" s="3"/>
      <c r="C7858" s="3"/>
      <c r="D7858" s="3"/>
      <c r="E7858" s="3"/>
      <c r="F7858" s="3"/>
      <c r="G7858" s="3"/>
      <c r="H7858" s="11"/>
      <c r="I7858" s="12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  <c r="AA7858" s="3"/>
      <c r="AB7858" s="3"/>
      <c r="AC7858" s="3"/>
      <c r="AD7858" s="3"/>
      <c r="AE7858" s="3"/>
      <c r="AF7858" s="3"/>
      <c r="AG7858" s="3"/>
      <c r="AH7858" s="3"/>
    </row>
    <row r="7859" spans="1:34" ht="14.25" customHeight="1" x14ac:dyDescent="0.25">
      <c r="A7859" s="3"/>
      <c r="B7859" s="3"/>
      <c r="C7859" s="3"/>
      <c r="D7859" s="3"/>
      <c r="E7859" s="3"/>
      <c r="F7859" s="3"/>
      <c r="G7859" s="3"/>
      <c r="H7859" s="11"/>
      <c r="I7859" s="12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  <c r="AA7859" s="3"/>
      <c r="AB7859" s="3"/>
      <c r="AC7859" s="3"/>
      <c r="AD7859" s="3"/>
      <c r="AE7859" s="3"/>
      <c r="AF7859" s="3"/>
      <c r="AG7859" s="3"/>
      <c r="AH7859" s="3"/>
    </row>
    <row r="7860" spans="1:34" ht="14.25" customHeight="1" x14ac:dyDescent="0.25">
      <c r="A7860" s="3"/>
      <c r="B7860" s="3"/>
      <c r="C7860" s="3"/>
      <c r="D7860" s="3"/>
      <c r="E7860" s="3"/>
      <c r="F7860" s="3"/>
      <c r="G7860" s="3"/>
      <c r="H7860" s="11"/>
      <c r="I7860" s="12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  <c r="AA7860" s="3"/>
      <c r="AB7860" s="3"/>
      <c r="AC7860" s="3"/>
      <c r="AD7860" s="3"/>
      <c r="AE7860" s="3"/>
      <c r="AF7860" s="3"/>
      <c r="AG7860" s="3"/>
      <c r="AH7860" s="3"/>
    </row>
    <row r="7861" spans="1:34" ht="14.25" customHeight="1" x14ac:dyDescent="0.25">
      <c r="A7861" s="3"/>
      <c r="B7861" s="3"/>
      <c r="C7861" s="3"/>
      <c r="D7861" s="3"/>
      <c r="E7861" s="3"/>
      <c r="F7861" s="3"/>
      <c r="G7861" s="3"/>
      <c r="H7861" s="11"/>
      <c r="I7861" s="12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  <c r="AA7861" s="3"/>
      <c r="AB7861" s="3"/>
      <c r="AC7861" s="3"/>
      <c r="AD7861" s="3"/>
      <c r="AE7861" s="3"/>
      <c r="AF7861" s="3"/>
      <c r="AG7861" s="3"/>
      <c r="AH7861" s="3"/>
    </row>
    <row r="7862" spans="1:34" ht="14.25" customHeight="1" x14ac:dyDescent="0.25">
      <c r="A7862" s="3"/>
      <c r="B7862" s="3"/>
      <c r="C7862" s="3"/>
      <c r="D7862" s="3"/>
      <c r="E7862" s="3"/>
      <c r="F7862" s="3"/>
      <c r="G7862" s="3"/>
      <c r="H7862" s="11"/>
      <c r="I7862" s="12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  <c r="AA7862" s="3"/>
      <c r="AB7862" s="3"/>
      <c r="AC7862" s="3"/>
      <c r="AD7862" s="3"/>
      <c r="AE7862" s="3"/>
      <c r="AF7862" s="3"/>
      <c r="AG7862" s="3"/>
      <c r="AH7862" s="3"/>
    </row>
    <row r="7863" spans="1:34" ht="14.25" customHeight="1" x14ac:dyDescent="0.25">
      <c r="A7863" s="3"/>
      <c r="B7863" s="3"/>
      <c r="C7863" s="3"/>
      <c r="D7863" s="3"/>
      <c r="E7863" s="3"/>
      <c r="F7863" s="3"/>
      <c r="G7863" s="3"/>
      <c r="H7863" s="11"/>
      <c r="I7863" s="12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  <c r="AA7863" s="3"/>
      <c r="AB7863" s="3"/>
      <c r="AC7863" s="3"/>
      <c r="AD7863" s="3"/>
      <c r="AE7863" s="3"/>
      <c r="AF7863" s="3"/>
      <c r="AG7863" s="3"/>
      <c r="AH7863" s="3"/>
    </row>
    <row r="7864" spans="1:34" ht="14.25" customHeight="1" x14ac:dyDescent="0.25">
      <c r="A7864" s="3"/>
      <c r="B7864" s="3"/>
      <c r="C7864" s="3"/>
      <c r="D7864" s="3"/>
      <c r="E7864" s="3"/>
      <c r="F7864" s="3"/>
      <c r="G7864" s="3"/>
      <c r="H7864" s="11"/>
      <c r="I7864" s="12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  <c r="AA7864" s="3"/>
      <c r="AB7864" s="3"/>
      <c r="AC7864" s="3"/>
      <c r="AD7864" s="3"/>
      <c r="AE7864" s="3"/>
      <c r="AF7864" s="3"/>
      <c r="AG7864" s="3"/>
      <c r="AH7864" s="3"/>
    </row>
    <row r="7865" spans="1:34" ht="14.25" customHeight="1" x14ac:dyDescent="0.25">
      <c r="A7865" s="3"/>
      <c r="B7865" s="3"/>
      <c r="C7865" s="3"/>
      <c r="D7865" s="3"/>
      <c r="E7865" s="3"/>
      <c r="F7865" s="3"/>
      <c r="G7865" s="3"/>
      <c r="H7865" s="11"/>
      <c r="I7865" s="12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  <c r="AA7865" s="3"/>
      <c r="AB7865" s="3"/>
      <c r="AC7865" s="3"/>
      <c r="AD7865" s="3"/>
      <c r="AE7865" s="3"/>
      <c r="AF7865" s="3"/>
      <c r="AG7865" s="3"/>
      <c r="AH7865" s="3"/>
    </row>
    <row r="7866" spans="1:34" ht="14.25" customHeight="1" x14ac:dyDescent="0.25">
      <c r="A7866" s="3"/>
      <c r="B7866" s="3"/>
      <c r="C7866" s="3"/>
      <c r="D7866" s="3"/>
      <c r="E7866" s="3"/>
      <c r="F7866" s="3"/>
      <c r="G7866" s="3"/>
      <c r="H7866" s="11"/>
      <c r="I7866" s="12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  <c r="AA7866" s="3"/>
      <c r="AB7866" s="3"/>
      <c r="AC7866" s="3"/>
      <c r="AD7866" s="3"/>
      <c r="AE7866" s="3"/>
      <c r="AF7866" s="3"/>
      <c r="AG7866" s="3"/>
      <c r="AH7866" s="3"/>
    </row>
    <row r="7867" spans="1:34" ht="14.25" customHeight="1" x14ac:dyDescent="0.25">
      <c r="A7867" s="3"/>
      <c r="B7867" s="3"/>
      <c r="C7867" s="3"/>
      <c r="D7867" s="3"/>
      <c r="E7867" s="3"/>
      <c r="F7867" s="3"/>
      <c r="G7867" s="3"/>
      <c r="H7867" s="11"/>
      <c r="I7867" s="12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  <c r="AA7867" s="3"/>
      <c r="AB7867" s="3"/>
      <c r="AC7867" s="3"/>
      <c r="AD7867" s="3"/>
      <c r="AE7867" s="3"/>
      <c r="AF7867" s="3"/>
      <c r="AG7867" s="3"/>
      <c r="AH7867" s="3"/>
    </row>
    <row r="7868" spans="1:34" ht="14.25" customHeight="1" x14ac:dyDescent="0.25">
      <c r="A7868" s="3"/>
      <c r="B7868" s="3"/>
      <c r="C7868" s="3"/>
      <c r="D7868" s="3"/>
      <c r="E7868" s="3"/>
      <c r="F7868" s="3"/>
      <c r="G7868" s="3"/>
      <c r="H7868" s="11"/>
      <c r="I7868" s="12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  <c r="AA7868" s="3"/>
      <c r="AB7868" s="3"/>
      <c r="AC7868" s="3"/>
      <c r="AD7868" s="3"/>
      <c r="AE7868" s="3"/>
      <c r="AF7868" s="3"/>
      <c r="AG7868" s="3"/>
      <c r="AH7868" s="3"/>
    </row>
    <row r="7869" spans="1:34" ht="14.25" customHeight="1" x14ac:dyDescent="0.25">
      <c r="A7869" s="3"/>
      <c r="B7869" s="3"/>
      <c r="C7869" s="3"/>
      <c r="D7869" s="3"/>
      <c r="E7869" s="3"/>
      <c r="F7869" s="3"/>
      <c r="G7869" s="3"/>
      <c r="H7869" s="11"/>
      <c r="I7869" s="12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  <c r="AA7869" s="3"/>
      <c r="AB7869" s="3"/>
      <c r="AC7869" s="3"/>
      <c r="AD7869" s="3"/>
      <c r="AE7869" s="3"/>
      <c r="AF7869" s="3"/>
      <c r="AG7869" s="3"/>
      <c r="AH7869" s="3"/>
    </row>
    <row r="7870" spans="1:34" ht="14.25" customHeight="1" x14ac:dyDescent="0.25">
      <c r="A7870" s="3"/>
      <c r="B7870" s="3"/>
      <c r="C7870" s="3"/>
      <c r="D7870" s="3"/>
      <c r="E7870" s="3"/>
      <c r="F7870" s="3"/>
      <c r="G7870" s="3"/>
      <c r="H7870" s="11"/>
      <c r="I7870" s="12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  <c r="AA7870" s="3"/>
      <c r="AB7870" s="3"/>
      <c r="AC7870" s="3"/>
      <c r="AD7870" s="3"/>
      <c r="AE7870" s="3"/>
      <c r="AF7870" s="3"/>
      <c r="AG7870" s="3"/>
      <c r="AH7870" s="3"/>
    </row>
    <row r="7871" spans="1:34" ht="14.25" customHeight="1" x14ac:dyDescent="0.25">
      <c r="A7871" s="3"/>
      <c r="B7871" s="3"/>
      <c r="C7871" s="3"/>
      <c r="D7871" s="3"/>
      <c r="E7871" s="3"/>
      <c r="F7871" s="3"/>
      <c r="G7871" s="3"/>
      <c r="H7871" s="11"/>
      <c r="I7871" s="12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  <c r="AA7871" s="3"/>
      <c r="AB7871" s="3"/>
      <c r="AC7871" s="3"/>
      <c r="AD7871" s="3"/>
      <c r="AE7871" s="3"/>
      <c r="AF7871" s="3"/>
      <c r="AG7871" s="3"/>
      <c r="AH7871" s="3"/>
    </row>
    <row r="7872" spans="1:34" ht="14.25" customHeight="1" x14ac:dyDescent="0.25">
      <c r="A7872" s="3"/>
      <c r="B7872" s="3"/>
      <c r="C7872" s="3"/>
      <c r="D7872" s="3"/>
      <c r="E7872" s="3"/>
      <c r="F7872" s="3"/>
      <c r="G7872" s="3"/>
      <c r="H7872" s="11"/>
      <c r="I7872" s="12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  <c r="AA7872" s="3"/>
      <c r="AB7872" s="3"/>
      <c r="AC7872" s="3"/>
      <c r="AD7872" s="3"/>
      <c r="AE7872" s="3"/>
      <c r="AF7872" s="3"/>
      <c r="AG7872" s="3"/>
      <c r="AH7872" s="3"/>
    </row>
    <row r="7873" spans="1:34" ht="14.25" customHeight="1" x14ac:dyDescent="0.25">
      <c r="A7873" s="3"/>
      <c r="B7873" s="3"/>
      <c r="C7873" s="3"/>
      <c r="D7873" s="3"/>
      <c r="E7873" s="3"/>
      <c r="F7873" s="3"/>
      <c r="G7873" s="3"/>
      <c r="H7873" s="11"/>
      <c r="I7873" s="12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  <c r="AA7873" s="3"/>
      <c r="AB7873" s="3"/>
      <c r="AC7873" s="3"/>
      <c r="AD7873" s="3"/>
      <c r="AE7873" s="3"/>
      <c r="AF7873" s="3"/>
      <c r="AG7873" s="3"/>
      <c r="AH7873" s="3"/>
    </row>
    <row r="7874" spans="1:34" ht="14.25" customHeight="1" x14ac:dyDescent="0.25">
      <c r="A7874" s="3"/>
      <c r="B7874" s="3"/>
      <c r="C7874" s="3"/>
      <c r="D7874" s="3"/>
      <c r="E7874" s="3"/>
      <c r="F7874" s="3"/>
      <c r="G7874" s="3"/>
      <c r="H7874" s="11"/>
      <c r="I7874" s="12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  <c r="AA7874" s="3"/>
      <c r="AB7874" s="3"/>
      <c r="AC7874" s="3"/>
      <c r="AD7874" s="3"/>
      <c r="AE7874" s="3"/>
      <c r="AF7874" s="3"/>
      <c r="AG7874" s="3"/>
      <c r="AH7874" s="3"/>
    </row>
    <row r="7875" spans="1:34" ht="14.25" customHeight="1" x14ac:dyDescent="0.25">
      <c r="A7875" s="3"/>
      <c r="B7875" s="3"/>
      <c r="C7875" s="3"/>
      <c r="D7875" s="3"/>
      <c r="E7875" s="3"/>
      <c r="F7875" s="3"/>
      <c r="G7875" s="3"/>
      <c r="H7875" s="11"/>
      <c r="I7875" s="12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  <c r="AA7875" s="3"/>
      <c r="AB7875" s="3"/>
      <c r="AC7875" s="3"/>
      <c r="AD7875" s="3"/>
      <c r="AE7875" s="3"/>
      <c r="AF7875" s="3"/>
      <c r="AG7875" s="3"/>
      <c r="AH7875" s="3"/>
    </row>
    <row r="7876" spans="1:34" ht="14.25" customHeight="1" x14ac:dyDescent="0.25">
      <c r="A7876" s="3"/>
      <c r="B7876" s="3"/>
      <c r="C7876" s="3"/>
      <c r="D7876" s="3"/>
      <c r="E7876" s="3"/>
      <c r="F7876" s="3"/>
      <c r="G7876" s="3"/>
      <c r="H7876" s="11"/>
      <c r="I7876" s="12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  <c r="AA7876" s="3"/>
      <c r="AB7876" s="3"/>
      <c r="AC7876" s="3"/>
      <c r="AD7876" s="3"/>
      <c r="AE7876" s="3"/>
      <c r="AF7876" s="3"/>
      <c r="AG7876" s="3"/>
      <c r="AH7876" s="3"/>
    </row>
    <row r="7877" spans="1:34" ht="14.25" customHeight="1" x14ac:dyDescent="0.25">
      <c r="A7877" s="3"/>
      <c r="B7877" s="3"/>
      <c r="C7877" s="3"/>
      <c r="D7877" s="3"/>
      <c r="E7877" s="3"/>
      <c r="F7877" s="3"/>
      <c r="G7877" s="3"/>
      <c r="H7877" s="11"/>
      <c r="I7877" s="12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  <c r="AA7877" s="3"/>
      <c r="AB7877" s="3"/>
      <c r="AC7877" s="3"/>
      <c r="AD7877" s="3"/>
      <c r="AE7877" s="3"/>
      <c r="AF7877" s="3"/>
      <c r="AG7877" s="3"/>
      <c r="AH7877" s="3"/>
    </row>
    <row r="7878" spans="1:34" ht="14.25" customHeight="1" x14ac:dyDescent="0.25">
      <c r="A7878" s="3"/>
      <c r="B7878" s="3"/>
      <c r="C7878" s="3"/>
      <c r="D7878" s="3"/>
      <c r="E7878" s="3"/>
      <c r="F7878" s="3"/>
      <c r="G7878" s="3"/>
      <c r="H7878" s="11"/>
      <c r="I7878" s="12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  <c r="AA7878" s="3"/>
      <c r="AB7878" s="3"/>
      <c r="AC7878" s="3"/>
      <c r="AD7878" s="3"/>
      <c r="AE7878" s="3"/>
      <c r="AF7878" s="3"/>
      <c r="AG7878" s="3"/>
      <c r="AH7878" s="3"/>
    </row>
    <row r="7879" spans="1:34" ht="14.25" customHeight="1" x14ac:dyDescent="0.25">
      <c r="A7879" s="3"/>
      <c r="B7879" s="3"/>
      <c r="C7879" s="3"/>
      <c r="D7879" s="3"/>
      <c r="E7879" s="3"/>
      <c r="F7879" s="3"/>
      <c r="G7879" s="3"/>
      <c r="H7879" s="11"/>
      <c r="I7879" s="12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  <c r="AA7879" s="3"/>
      <c r="AB7879" s="3"/>
      <c r="AC7879" s="3"/>
      <c r="AD7879" s="3"/>
      <c r="AE7879" s="3"/>
      <c r="AF7879" s="3"/>
      <c r="AG7879" s="3"/>
      <c r="AH7879" s="3"/>
    </row>
    <row r="7880" spans="1:34" ht="14.25" customHeight="1" x14ac:dyDescent="0.25">
      <c r="A7880" s="3"/>
      <c r="B7880" s="3"/>
      <c r="C7880" s="3"/>
      <c r="D7880" s="3"/>
      <c r="E7880" s="3"/>
      <c r="F7880" s="3"/>
      <c r="G7880" s="3"/>
      <c r="H7880" s="11"/>
      <c r="I7880" s="12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  <c r="AA7880" s="3"/>
      <c r="AB7880" s="3"/>
      <c r="AC7880" s="3"/>
      <c r="AD7880" s="3"/>
      <c r="AE7880" s="3"/>
      <c r="AF7880" s="3"/>
      <c r="AG7880" s="3"/>
      <c r="AH7880" s="3"/>
    </row>
    <row r="7881" spans="1:34" ht="14.25" customHeight="1" x14ac:dyDescent="0.25">
      <c r="A7881" s="3"/>
      <c r="B7881" s="3"/>
      <c r="C7881" s="3"/>
      <c r="D7881" s="3"/>
      <c r="E7881" s="3"/>
      <c r="F7881" s="3"/>
      <c r="G7881" s="3"/>
      <c r="H7881" s="11"/>
      <c r="I7881" s="12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  <c r="AA7881" s="3"/>
      <c r="AB7881" s="3"/>
      <c r="AC7881" s="3"/>
      <c r="AD7881" s="3"/>
      <c r="AE7881" s="3"/>
      <c r="AF7881" s="3"/>
      <c r="AG7881" s="3"/>
      <c r="AH7881" s="3"/>
    </row>
    <row r="7882" spans="1:34" ht="14.25" customHeight="1" x14ac:dyDescent="0.25">
      <c r="A7882" s="3"/>
      <c r="B7882" s="3"/>
      <c r="C7882" s="3"/>
      <c r="D7882" s="3"/>
      <c r="E7882" s="3"/>
      <c r="F7882" s="3"/>
      <c r="G7882" s="3"/>
      <c r="H7882" s="11"/>
      <c r="I7882" s="12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  <c r="AA7882" s="3"/>
      <c r="AB7882" s="3"/>
      <c r="AC7882" s="3"/>
      <c r="AD7882" s="3"/>
      <c r="AE7882" s="3"/>
      <c r="AF7882" s="3"/>
      <c r="AG7882" s="3"/>
      <c r="AH7882" s="3"/>
    </row>
    <row r="7883" spans="1:34" ht="14.25" customHeight="1" x14ac:dyDescent="0.25">
      <c r="A7883" s="3"/>
      <c r="B7883" s="3"/>
      <c r="C7883" s="3"/>
      <c r="D7883" s="3"/>
      <c r="E7883" s="3"/>
      <c r="F7883" s="3"/>
      <c r="G7883" s="3"/>
      <c r="H7883" s="11"/>
      <c r="I7883" s="12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  <c r="AA7883" s="3"/>
      <c r="AB7883" s="3"/>
      <c r="AC7883" s="3"/>
      <c r="AD7883" s="3"/>
      <c r="AE7883" s="3"/>
      <c r="AF7883" s="3"/>
      <c r="AG7883" s="3"/>
      <c r="AH7883" s="3"/>
    </row>
    <row r="7884" spans="1:34" ht="14.25" customHeight="1" x14ac:dyDescent="0.25">
      <c r="A7884" s="3"/>
      <c r="B7884" s="3"/>
      <c r="C7884" s="3"/>
      <c r="D7884" s="3"/>
      <c r="E7884" s="3"/>
      <c r="F7884" s="3"/>
      <c r="G7884" s="3"/>
      <c r="H7884" s="11"/>
      <c r="I7884" s="12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  <c r="AA7884" s="3"/>
      <c r="AB7884" s="3"/>
      <c r="AC7884" s="3"/>
      <c r="AD7884" s="3"/>
      <c r="AE7884" s="3"/>
      <c r="AF7884" s="3"/>
      <c r="AG7884" s="3"/>
      <c r="AH7884" s="3"/>
    </row>
    <row r="7885" spans="1:34" ht="14.25" customHeight="1" x14ac:dyDescent="0.25">
      <c r="A7885" s="3"/>
      <c r="B7885" s="3"/>
      <c r="C7885" s="3"/>
      <c r="D7885" s="3"/>
      <c r="E7885" s="3"/>
      <c r="F7885" s="3"/>
      <c r="G7885" s="3"/>
      <c r="H7885" s="11"/>
      <c r="I7885" s="12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  <c r="AA7885" s="3"/>
      <c r="AB7885" s="3"/>
      <c r="AC7885" s="3"/>
      <c r="AD7885" s="3"/>
      <c r="AE7885" s="3"/>
      <c r="AF7885" s="3"/>
      <c r="AG7885" s="3"/>
      <c r="AH7885" s="3"/>
    </row>
    <row r="7886" spans="1:34" ht="14.25" customHeight="1" x14ac:dyDescent="0.25">
      <c r="A7886" s="3"/>
      <c r="B7886" s="3"/>
      <c r="C7886" s="3"/>
      <c r="D7886" s="3"/>
      <c r="E7886" s="3"/>
      <c r="F7886" s="3"/>
      <c r="G7886" s="3"/>
      <c r="H7886" s="11"/>
      <c r="I7886" s="12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  <c r="AA7886" s="3"/>
      <c r="AB7886" s="3"/>
      <c r="AC7886" s="3"/>
      <c r="AD7886" s="3"/>
      <c r="AE7886" s="3"/>
      <c r="AF7886" s="3"/>
      <c r="AG7886" s="3"/>
      <c r="AH7886" s="3"/>
    </row>
    <row r="7887" spans="1:34" ht="14.25" customHeight="1" x14ac:dyDescent="0.25">
      <c r="A7887" s="3"/>
      <c r="B7887" s="3"/>
      <c r="C7887" s="3"/>
      <c r="D7887" s="3"/>
      <c r="E7887" s="3"/>
      <c r="F7887" s="3"/>
      <c r="G7887" s="3"/>
      <c r="H7887" s="11"/>
      <c r="I7887" s="12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  <c r="AA7887" s="3"/>
      <c r="AB7887" s="3"/>
      <c r="AC7887" s="3"/>
      <c r="AD7887" s="3"/>
      <c r="AE7887" s="3"/>
      <c r="AF7887" s="3"/>
      <c r="AG7887" s="3"/>
      <c r="AH7887" s="3"/>
    </row>
    <row r="7888" spans="1:34" ht="14.25" customHeight="1" x14ac:dyDescent="0.25">
      <c r="A7888" s="3"/>
      <c r="B7888" s="3"/>
      <c r="C7888" s="3"/>
      <c r="D7888" s="3"/>
      <c r="E7888" s="3"/>
      <c r="F7888" s="3"/>
      <c r="G7888" s="3"/>
      <c r="H7888" s="11"/>
      <c r="I7888" s="12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  <c r="AA7888" s="3"/>
      <c r="AB7888" s="3"/>
      <c r="AC7888" s="3"/>
      <c r="AD7888" s="3"/>
      <c r="AE7888" s="3"/>
      <c r="AF7888" s="3"/>
      <c r="AG7888" s="3"/>
      <c r="AH7888" s="3"/>
    </row>
    <row r="7889" spans="1:34" ht="14.25" customHeight="1" x14ac:dyDescent="0.25">
      <c r="A7889" s="3"/>
      <c r="B7889" s="3"/>
      <c r="C7889" s="3"/>
      <c r="D7889" s="3"/>
      <c r="E7889" s="3"/>
      <c r="F7889" s="3"/>
      <c r="G7889" s="3"/>
      <c r="H7889" s="11"/>
      <c r="I7889" s="12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  <c r="AA7889" s="3"/>
      <c r="AB7889" s="3"/>
      <c r="AC7889" s="3"/>
      <c r="AD7889" s="3"/>
      <c r="AE7889" s="3"/>
      <c r="AF7889" s="3"/>
      <c r="AG7889" s="3"/>
      <c r="AH7889" s="3"/>
    </row>
    <row r="7890" spans="1:34" ht="14.25" customHeight="1" x14ac:dyDescent="0.25">
      <c r="A7890" s="3"/>
      <c r="B7890" s="3"/>
      <c r="C7890" s="3"/>
      <c r="D7890" s="3"/>
      <c r="E7890" s="3"/>
      <c r="F7890" s="3"/>
      <c r="G7890" s="3"/>
      <c r="H7890" s="11"/>
      <c r="I7890" s="12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  <c r="AA7890" s="3"/>
      <c r="AB7890" s="3"/>
      <c r="AC7890" s="3"/>
      <c r="AD7890" s="3"/>
      <c r="AE7890" s="3"/>
      <c r="AF7890" s="3"/>
      <c r="AG7890" s="3"/>
      <c r="AH7890" s="3"/>
    </row>
    <row r="7891" spans="1:34" ht="14.25" customHeight="1" x14ac:dyDescent="0.25">
      <c r="A7891" s="3"/>
      <c r="B7891" s="3"/>
      <c r="C7891" s="3"/>
      <c r="D7891" s="3"/>
      <c r="E7891" s="3"/>
      <c r="F7891" s="3"/>
      <c r="G7891" s="3"/>
      <c r="H7891" s="11"/>
      <c r="I7891" s="12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  <c r="AA7891" s="3"/>
      <c r="AB7891" s="3"/>
      <c r="AC7891" s="3"/>
      <c r="AD7891" s="3"/>
      <c r="AE7891" s="3"/>
      <c r="AF7891" s="3"/>
      <c r="AG7891" s="3"/>
      <c r="AH7891" s="3"/>
    </row>
    <row r="7892" spans="1:34" ht="14.25" customHeight="1" x14ac:dyDescent="0.25">
      <c r="A7892" s="3"/>
      <c r="B7892" s="3"/>
      <c r="C7892" s="3"/>
      <c r="D7892" s="3"/>
      <c r="E7892" s="3"/>
      <c r="F7892" s="3"/>
      <c r="G7892" s="3"/>
      <c r="H7892" s="11"/>
      <c r="I7892" s="12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  <c r="AA7892" s="3"/>
      <c r="AB7892" s="3"/>
      <c r="AC7892" s="3"/>
      <c r="AD7892" s="3"/>
      <c r="AE7892" s="3"/>
      <c r="AF7892" s="3"/>
      <c r="AG7892" s="3"/>
      <c r="AH7892" s="3"/>
    </row>
    <row r="7893" spans="1:34" ht="14.25" customHeight="1" x14ac:dyDescent="0.25">
      <c r="A7893" s="3"/>
      <c r="B7893" s="3"/>
      <c r="C7893" s="3"/>
      <c r="D7893" s="3"/>
      <c r="E7893" s="3"/>
      <c r="F7893" s="3"/>
      <c r="G7893" s="3"/>
      <c r="H7893" s="11"/>
      <c r="I7893" s="12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  <c r="AA7893" s="3"/>
      <c r="AB7893" s="3"/>
      <c r="AC7893" s="3"/>
      <c r="AD7893" s="3"/>
      <c r="AE7893" s="3"/>
      <c r="AF7893" s="3"/>
      <c r="AG7893" s="3"/>
      <c r="AH7893" s="3"/>
    </row>
    <row r="7894" spans="1:34" ht="14.25" customHeight="1" x14ac:dyDescent="0.25">
      <c r="A7894" s="3"/>
      <c r="B7894" s="3"/>
      <c r="C7894" s="3"/>
      <c r="D7894" s="3"/>
      <c r="E7894" s="3"/>
      <c r="F7894" s="3"/>
      <c r="G7894" s="3"/>
      <c r="H7894" s="11"/>
      <c r="I7894" s="12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  <c r="AA7894" s="3"/>
      <c r="AB7894" s="3"/>
      <c r="AC7894" s="3"/>
      <c r="AD7894" s="3"/>
      <c r="AE7894" s="3"/>
      <c r="AF7894" s="3"/>
      <c r="AG7894" s="3"/>
      <c r="AH7894" s="3"/>
    </row>
    <row r="7895" spans="1:34" ht="14.25" customHeight="1" x14ac:dyDescent="0.25">
      <c r="A7895" s="3"/>
      <c r="B7895" s="3"/>
      <c r="C7895" s="3"/>
      <c r="D7895" s="3"/>
      <c r="E7895" s="3"/>
      <c r="F7895" s="3"/>
      <c r="G7895" s="3"/>
      <c r="H7895" s="11"/>
      <c r="I7895" s="12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  <c r="AA7895" s="3"/>
      <c r="AB7895" s="3"/>
      <c r="AC7895" s="3"/>
      <c r="AD7895" s="3"/>
      <c r="AE7895" s="3"/>
      <c r="AF7895" s="3"/>
      <c r="AG7895" s="3"/>
      <c r="AH7895" s="3"/>
    </row>
    <row r="7896" spans="1:34" ht="14.25" customHeight="1" x14ac:dyDescent="0.25">
      <c r="A7896" s="3"/>
      <c r="B7896" s="3"/>
      <c r="C7896" s="3"/>
      <c r="D7896" s="3"/>
      <c r="E7896" s="3"/>
      <c r="F7896" s="3"/>
      <c r="G7896" s="3"/>
      <c r="H7896" s="11"/>
      <c r="I7896" s="12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  <c r="AA7896" s="3"/>
      <c r="AB7896" s="3"/>
      <c r="AC7896" s="3"/>
      <c r="AD7896" s="3"/>
      <c r="AE7896" s="3"/>
      <c r="AF7896" s="3"/>
      <c r="AG7896" s="3"/>
      <c r="AH7896" s="3"/>
    </row>
    <row r="7897" spans="1:34" ht="14.25" customHeight="1" x14ac:dyDescent="0.25">
      <c r="A7897" s="3"/>
      <c r="B7897" s="3"/>
      <c r="C7897" s="3"/>
      <c r="D7897" s="3"/>
      <c r="E7897" s="3"/>
      <c r="F7897" s="3"/>
      <c r="G7897" s="3"/>
      <c r="H7897" s="11"/>
      <c r="I7897" s="12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  <c r="AA7897" s="3"/>
      <c r="AB7897" s="3"/>
      <c r="AC7897" s="3"/>
      <c r="AD7897" s="3"/>
      <c r="AE7897" s="3"/>
      <c r="AF7897" s="3"/>
      <c r="AG7897" s="3"/>
      <c r="AH7897" s="3"/>
    </row>
    <row r="7898" spans="1:34" ht="14.25" customHeight="1" x14ac:dyDescent="0.25">
      <c r="A7898" s="3"/>
      <c r="B7898" s="3"/>
      <c r="C7898" s="3"/>
      <c r="D7898" s="3"/>
      <c r="E7898" s="3"/>
      <c r="F7898" s="3"/>
      <c r="G7898" s="3"/>
      <c r="H7898" s="11"/>
      <c r="I7898" s="12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  <c r="AA7898" s="3"/>
      <c r="AB7898" s="3"/>
      <c r="AC7898" s="3"/>
      <c r="AD7898" s="3"/>
      <c r="AE7898" s="3"/>
      <c r="AF7898" s="3"/>
      <c r="AG7898" s="3"/>
      <c r="AH7898" s="3"/>
    </row>
    <row r="7899" spans="1:34" ht="14.25" customHeight="1" x14ac:dyDescent="0.25">
      <c r="A7899" s="3"/>
      <c r="B7899" s="3"/>
      <c r="C7899" s="3"/>
      <c r="D7899" s="3"/>
      <c r="E7899" s="3"/>
      <c r="F7899" s="3"/>
      <c r="G7899" s="3"/>
      <c r="H7899" s="11"/>
      <c r="I7899" s="12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  <c r="AA7899" s="3"/>
      <c r="AB7899" s="3"/>
      <c r="AC7899" s="3"/>
      <c r="AD7899" s="3"/>
      <c r="AE7899" s="3"/>
      <c r="AF7899" s="3"/>
      <c r="AG7899" s="3"/>
      <c r="AH7899" s="3"/>
    </row>
    <row r="7900" spans="1:34" ht="14.25" customHeight="1" x14ac:dyDescent="0.25">
      <c r="A7900" s="3"/>
      <c r="B7900" s="3"/>
      <c r="C7900" s="3"/>
      <c r="D7900" s="3"/>
      <c r="E7900" s="3"/>
      <c r="F7900" s="3"/>
      <c r="G7900" s="3"/>
      <c r="H7900" s="11"/>
      <c r="I7900" s="12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  <c r="AA7900" s="3"/>
      <c r="AB7900" s="3"/>
      <c r="AC7900" s="3"/>
      <c r="AD7900" s="3"/>
      <c r="AE7900" s="3"/>
      <c r="AF7900" s="3"/>
      <c r="AG7900" s="3"/>
      <c r="AH7900" s="3"/>
    </row>
    <row r="7901" spans="1:34" ht="14.25" customHeight="1" x14ac:dyDescent="0.25">
      <c r="A7901" s="3"/>
      <c r="B7901" s="3"/>
      <c r="C7901" s="3"/>
      <c r="D7901" s="3"/>
      <c r="E7901" s="3"/>
      <c r="F7901" s="3"/>
      <c r="G7901" s="3"/>
      <c r="H7901" s="11"/>
      <c r="I7901" s="12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  <c r="AA7901" s="3"/>
      <c r="AB7901" s="3"/>
      <c r="AC7901" s="3"/>
      <c r="AD7901" s="3"/>
      <c r="AE7901" s="3"/>
      <c r="AF7901" s="3"/>
      <c r="AG7901" s="3"/>
      <c r="AH7901" s="3"/>
    </row>
    <row r="7902" spans="1:34" ht="14.25" customHeight="1" x14ac:dyDescent="0.25">
      <c r="A7902" s="3"/>
      <c r="B7902" s="3"/>
      <c r="C7902" s="3"/>
      <c r="D7902" s="3"/>
      <c r="E7902" s="3"/>
      <c r="F7902" s="3"/>
      <c r="G7902" s="3"/>
      <c r="H7902" s="11"/>
      <c r="I7902" s="12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  <c r="AA7902" s="3"/>
      <c r="AB7902" s="3"/>
      <c r="AC7902" s="3"/>
      <c r="AD7902" s="3"/>
      <c r="AE7902" s="3"/>
      <c r="AF7902" s="3"/>
      <c r="AG7902" s="3"/>
      <c r="AH7902" s="3"/>
    </row>
    <row r="7903" spans="1:34" ht="14.25" customHeight="1" x14ac:dyDescent="0.25">
      <c r="A7903" s="3"/>
      <c r="B7903" s="3"/>
      <c r="C7903" s="3"/>
      <c r="D7903" s="3"/>
      <c r="E7903" s="3"/>
      <c r="F7903" s="3"/>
      <c r="G7903" s="3"/>
      <c r="H7903" s="11"/>
      <c r="I7903" s="12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  <c r="AA7903" s="3"/>
      <c r="AB7903" s="3"/>
      <c r="AC7903" s="3"/>
      <c r="AD7903" s="3"/>
      <c r="AE7903" s="3"/>
      <c r="AF7903" s="3"/>
      <c r="AG7903" s="3"/>
      <c r="AH7903" s="3"/>
    </row>
    <row r="7904" spans="1:34" ht="14.25" customHeight="1" x14ac:dyDescent="0.25">
      <c r="A7904" s="3"/>
      <c r="B7904" s="3"/>
      <c r="C7904" s="3"/>
      <c r="D7904" s="3"/>
      <c r="E7904" s="3"/>
      <c r="F7904" s="3"/>
      <c r="G7904" s="3"/>
      <c r="H7904" s="11"/>
      <c r="I7904" s="12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  <c r="AA7904" s="3"/>
      <c r="AB7904" s="3"/>
      <c r="AC7904" s="3"/>
      <c r="AD7904" s="3"/>
      <c r="AE7904" s="3"/>
      <c r="AF7904" s="3"/>
      <c r="AG7904" s="3"/>
      <c r="AH7904" s="3"/>
    </row>
    <row r="7905" spans="1:34" ht="14.25" customHeight="1" x14ac:dyDescent="0.25">
      <c r="A7905" s="3"/>
      <c r="B7905" s="3"/>
      <c r="C7905" s="3"/>
      <c r="D7905" s="3"/>
      <c r="E7905" s="3"/>
      <c r="F7905" s="3"/>
      <c r="G7905" s="3"/>
      <c r="H7905" s="11"/>
      <c r="I7905" s="12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  <c r="AA7905" s="3"/>
      <c r="AB7905" s="3"/>
      <c r="AC7905" s="3"/>
      <c r="AD7905" s="3"/>
      <c r="AE7905" s="3"/>
      <c r="AF7905" s="3"/>
      <c r="AG7905" s="3"/>
      <c r="AH7905" s="3"/>
    </row>
    <row r="7906" spans="1:34" ht="14.25" customHeight="1" x14ac:dyDescent="0.25">
      <c r="A7906" s="3"/>
      <c r="B7906" s="3"/>
      <c r="C7906" s="3"/>
      <c r="D7906" s="3"/>
      <c r="E7906" s="3"/>
      <c r="F7906" s="3"/>
      <c r="G7906" s="3"/>
      <c r="H7906" s="11"/>
      <c r="I7906" s="12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  <c r="AA7906" s="3"/>
      <c r="AB7906" s="3"/>
      <c r="AC7906" s="3"/>
      <c r="AD7906" s="3"/>
      <c r="AE7906" s="3"/>
      <c r="AF7906" s="3"/>
      <c r="AG7906" s="3"/>
      <c r="AH7906" s="3"/>
    </row>
    <row r="7907" spans="1:34" ht="14.25" customHeight="1" x14ac:dyDescent="0.25">
      <c r="A7907" s="3"/>
      <c r="B7907" s="3"/>
      <c r="C7907" s="3"/>
      <c r="D7907" s="3"/>
      <c r="E7907" s="3"/>
      <c r="F7907" s="3"/>
      <c r="G7907" s="3"/>
      <c r="H7907" s="11"/>
      <c r="I7907" s="12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  <c r="AA7907" s="3"/>
      <c r="AB7907" s="3"/>
      <c r="AC7907" s="3"/>
      <c r="AD7907" s="3"/>
      <c r="AE7907" s="3"/>
      <c r="AF7907" s="3"/>
      <c r="AG7907" s="3"/>
      <c r="AH7907" s="3"/>
    </row>
    <row r="7908" spans="1:34" ht="14.25" customHeight="1" x14ac:dyDescent="0.25">
      <c r="A7908" s="3"/>
      <c r="B7908" s="3"/>
      <c r="C7908" s="3"/>
      <c r="D7908" s="3"/>
      <c r="E7908" s="3"/>
      <c r="F7908" s="3"/>
      <c r="G7908" s="3"/>
      <c r="H7908" s="11"/>
      <c r="I7908" s="12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  <c r="AA7908" s="3"/>
      <c r="AB7908" s="3"/>
      <c r="AC7908" s="3"/>
      <c r="AD7908" s="3"/>
      <c r="AE7908" s="3"/>
      <c r="AF7908" s="3"/>
      <c r="AG7908" s="3"/>
      <c r="AH7908" s="3"/>
    </row>
    <row r="7909" spans="1:34" ht="14.25" customHeight="1" x14ac:dyDescent="0.25">
      <c r="A7909" s="3"/>
      <c r="B7909" s="3"/>
      <c r="C7909" s="3"/>
      <c r="D7909" s="3"/>
      <c r="E7909" s="3"/>
      <c r="F7909" s="3"/>
      <c r="G7909" s="3"/>
      <c r="H7909" s="11"/>
      <c r="I7909" s="12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  <c r="AA7909" s="3"/>
      <c r="AB7909" s="3"/>
      <c r="AC7909" s="3"/>
      <c r="AD7909" s="3"/>
      <c r="AE7909" s="3"/>
      <c r="AF7909" s="3"/>
      <c r="AG7909" s="3"/>
      <c r="AH7909" s="3"/>
    </row>
    <row r="7910" spans="1:34" ht="14.25" customHeight="1" x14ac:dyDescent="0.25">
      <c r="A7910" s="3"/>
      <c r="B7910" s="3"/>
      <c r="C7910" s="3"/>
      <c r="D7910" s="3"/>
      <c r="E7910" s="3"/>
      <c r="F7910" s="3"/>
      <c r="G7910" s="3"/>
      <c r="H7910" s="11"/>
      <c r="I7910" s="12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  <c r="AA7910" s="3"/>
      <c r="AB7910" s="3"/>
      <c r="AC7910" s="3"/>
      <c r="AD7910" s="3"/>
      <c r="AE7910" s="3"/>
      <c r="AF7910" s="3"/>
      <c r="AG7910" s="3"/>
      <c r="AH7910" s="3"/>
    </row>
    <row r="7911" spans="1:34" ht="14.25" customHeight="1" x14ac:dyDescent="0.25">
      <c r="A7911" s="3"/>
      <c r="B7911" s="3"/>
      <c r="C7911" s="3"/>
      <c r="D7911" s="3"/>
      <c r="E7911" s="3"/>
      <c r="F7911" s="3"/>
      <c r="G7911" s="3"/>
      <c r="H7911" s="11"/>
      <c r="I7911" s="12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  <c r="AA7911" s="3"/>
      <c r="AB7911" s="3"/>
      <c r="AC7911" s="3"/>
      <c r="AD7911" s="3"/>
      <c r="AE7911" s="3"/>
      <c r="AF7911" s="3"/>
      <c r="AG7911" s="3"/>
      <c r="AH7911" s="3"/>
    </row>
    <row r="7912" spans="1:34" ht="14.25" customHeight="1" x14ac:dyDescent="0.25">
      <c r="A7912" s="3"/>
      <c r="B7912" s="3"/>
      <c r="C7912" s="3"/>
      <c r="D7912" s="3"/>
      <c r="E7912" s="3"/>
      <c r="F7912" s="3"/>
      <c r="G7912" s="3"/>
      <c r="H7912" s="11"/>
      <c r="I7912" s="12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  <c r="AA7912" s="3"/>
      <c r="AB7912" s="3"/>
      <c r="AC7912" s="3"/>
      <c r="AD7912" s="3"/>
      <c r="AE7912" s="3"/>
      <c r="AF7912" s="3"/>
      <c r="AG7912" s="3"/>
      <c r="AH7912" s="3"/>
    </row>
    <row r="7913" spans="1:34" ht="14.25" customHeight="1" x14ac:dyDescent="0.25">
      <c r="A7913" s="3"/>
      <c r="B7913" s="3"/>
      <c r="C7913" s="3"/>
      <c r="D7913" s="3"/>
      <c r="E7913" s="3"/>
      <c r="F7913" s="3"/>
      <c r="G7913" s="3"/>
      <c r="H7913" s="11"/>
      <c r="I7913" s="12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  <c r="AA7913" s="3"/>
      <c r="AB7913" s="3"/>
      <c r="AC7913" s="3"/>
      <c r="AD7913" s="3"/>
      <c r="AE7913" s="3"/>
      <c r="AF7913" s="3"/>
      <c r="AG7913" s="3"/>
      <c r="AH7913" s="3"/>
    </row>
    <row r="7914" spans="1:34" ht="14.25" customHeight="1" x14ac:dyDescent="0.25">
      <c r="A7914" s="3"/>
      <c r="B7914" s="3"/>
      <c r="C7914" s="3"/>
      <c r="D7914" s="3"/>
      <c r="E7914" s="3"/>
      <c r="F7914" s="3"/>
      <c r="G7914" s="3"/>
      <c r="H7914" s="11"/>
      <c r="I7914" s="12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  <c r="AA7914" s="3"/>
      <c r="AB7914" s="3"/>
      <c r="AC7914" s="3"/>
      <c r="AD7914" s="3"/>
      <c r="AE7914" s="3"/>
      <c r="AF7914" s="3"/>
      <c r="AG7914" s="3"/>
      <c r="AH7914" s="3"/>
    </row>
    <row r="7915" spans="1:34" ht="14.25" customHeight="1" x14ac:dyDescent="0.25">
      <c r="A7915" s="3"/>
      <c r="B7915" s="3"/>
      <c r="C7915" s="3"/>
      <c r="D7915" s="3"/>
      <c r="E7915" s="3"/>
      <c r="F7915" s="3"/>
      <c r="G7915" s="3"/>
      <c r="H7915" s="11"/>
      <c r="I7915" s="12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  <c r="AA7915" s="3"/>
      <c r="AB7915" s="3"/>
      <c r="AC7915" s="3"/>
      <c r="AD7915" s="3"/>
      <c r="AE7915" s="3"/>
      <c r="AF7915" s="3"/>
      <c r="AG7915" s="3"/>
      <c r="AH7915" s="3"/>
    </row>
    <row r="7916" spans="1:34" ht="14.25" customHeight="1" x14ac:dyDescent="0.25">
      <c r="A7916" s="3"/>
      <c r="B7916" s="3"/>
      <c r="C7916" s="3"/>
      <c r="D7916" s="3"/>
      <c r="E7916" s="3"/>
      <c r="F7916" s="3"/>
      <c r="G7916" s="3"/>
      <c r="H7916" s="11"/>
      <c r="I7916" s="12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  <c r="AA7916" s="3"/>
      <c r="AB7916" s="3"/>
      <c r="AC7916" s="3"/>
      <c r="AD7916" s="3"/>
      <c r="AE7916" s="3"/>
      <c r="AF7916" s="3"/>
      <c r="AG7916" s="3"/>
      <c r="AH7916" s="3"/>
    </row>
    <row r="7917" spans="1:34" ht="14.25" customHeight="1" x14ac:dyDescent="0.25">
      <c r="A7917" s="3"/>
      <c r="B7917" s="3"/>
      <c r="C7917" s="3"/>
      <c r="D7917" s="3"/>
      <c r="E7917" s="3"/>
      <c r="F7917" s="3"/>
      <c r="G7917" s="3"/>
      <c r="H7917" s="11"/>
      <c r="I7917" s="12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  <c r="AA7917" s="3"/>
      <c r="AB7917" s="3"/>
      <c r="AC7917" s="3"/>
      <c r="AD7917" s="3"/>
      <c r="AE7917" s="3"/>
      <c r="AF7917" s="3"/>
      <c r="AG7917" s="3"/>
      <c r="AH7917" s="3"/>
    </row>
    <row r="7918" spans="1:34" ht="14.25" customHeight="1" x14ac:dyDescent="0.25">
      <c r="A7918" s="3"/>
      <c r="B7918" s="3"/>
      <c r="C7918" s="3"/>
      <c r="D7918" s="3"/>
      <c r="E7918" s="3"/>
      <c r="F7918" s="3"/>
      <c r="G7918" s="3"/>
      <c r="H7918" s="11"/>
      <c r="I7918" s="12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  <c r="AA7918" s="3"/>
      <c r="AB7918" s="3"/>
      <c r="AC7918" s="3"/>
      <c r="AD7918" s="3"/>
      <c r="AE7918" s="3"/>
      <c r="AF7918" s="3"/>
      <c r="AG7918" s="3"/>
      <c r="AH7918" s="3"/>
    </row>
    <row r="7919" spans="1:34" ht="14.25" customHeight="1" x14ac:dyDescent="0.25">
      <c r="A7919" s="3"/>
      <c r="B7919" s="3"/>
      <c r="C7919" s="3"/>
      <c r="D7919" s="3"/>
      <c r="E7919" s="3"/>
      <c r="F7919" s="3"/>
      <c r="G7919" s="3"/>
      <c r="H7919" s="11"/>
      <c r="I7919" s="12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  <c r="AA7919" s="3"/>
      <c r="AB7919" s="3"/>
      <c r="AC7919" s="3"/>
      <c r="AD7919" s="3"/>
      <c r="AE7919" s="3"/>
      <c r="AF7919" s="3"/>
      <c r="AG7919" s="3"/>
      <c r="AH7919" s="3"/>
    </row>
    <row r="7920" spans="1:34" ht="14.25" customHeight="1" x14ac:dyDescent="0.25">
      <c r="A7920" s="3"/>
      <c r="B7920" s="3"/>
      <c r="C7920" s="3"/>
      <c r="D7920" s="3"/>
      <c r="E7920" s="3"/>
      <c r="F7920" s="3"/>
      <c r="G7920" s="3"/>
      <c r="H7920" s="11"/>
      <c r="I7920" s="12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  <c r="AA7920" s="3"/>
      <c r="AB7920" s="3"/>
      <c r="AC7920" s="3"/>
      <c r="AD7920" s="3"/>
      <c r="AE7920" s="3"/>
      <c r="AF7920" s="3"/>
      <c r="AG7920" s="3"/>
      <c r="AH7920" s="3"/>
    </row>
    <row r="7921" spans="1:34" ht="14.25" customHeight="1" x14ac:dyDescent="0.25">
      <c r="A7921" s="3"/>
      <c r="B7921" s="3"/>
      <c r="C7921" s="3"/>
      <c r="D7921" s="3"/>
      <c r="E7921" s="3"/>
      <c r="F7921" s="3"/>
      <c r="G7921" s="3"/>
      <c r="H7921" s="11"/>
      <c r="I7921" s="12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  <c r="AA7921" s="3"/>
      <c r="AB7921" s="3"/>
      <c r="AC7921" s="3"/>
      <c r="AD7921" s="3"/>
      <c r="AE7921" s="3"/>
      <c r="AF7921" s="3"/>
      <c r="AG7921" s="3"/>
      <c r="AH7921" s="3"/>
    </row>
    <row r="7922" spans="1:34" ht="14.25" customHeight="1" x14ac:dyDescent="0.25">
      <c r="A7922" s="3"/>
      <c r="B7922" s="3"/>
      <c r="C7922" s="3"/>
      <c r="D7922" s="3"/>
      <c r="E7922" s="3"/>
      <c r="F7922" s="3"/>
      <c r="G7922" s="3"/>
      <c r="H7922" s="11"/>
      <c r="I7922" s="12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  <c r="AA7922" s="3"/>
      <c r="AB7922" s="3"/>
      <c r="AC7922" s="3"/>
      <c r="AD7922" s="3"/>
      <c r="AE7922" s="3"/>
      <c r="AF7922" s="3"/>
      <c r="AG7922" s="3"/>
      <c r="AH7922" s="3"/>
    </row>
    <row r="7923" spans="1:34" ht="14.25" customHeight="1" x14ac:dyDescent="0.25">
      <c r="A7923" s="3"/>
      <c r="B7923" s="3"/>
      <c r="C7923" s="3"/>
      <c r="D7923" s="3"/>
      <c r="E7923" s="3"/>
      <c r="F7923" s="3"/>
      <c r="G7923" s="3"/>
      <c r="H7923" s="11"/>
      <c r="I7923" s="12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  <c r="AA7923" s="3"/>
      <c r="AB7923" s="3"/>
      <c r="AC7923" s="3"/>
      <c r="AD7923" s="3"/>
      <c r="AE7923" s="3"/>
      <c r="AF7923" s="3"/>
      <c r="AG7923" s="3"/>
      <c r="AH7923" s="3"/>
    </row>
    <row r="7924" spans="1:34" ht="14.25" customHeight="1" x14ac:dyDescent="0.25">
      <c r="A7924" s="3"/>
      <c r="B7924" s="3"/>
      <c r="C7924" s="3"/>
      <c r="D7924" s="3"/>
      <c r="E7924" s="3"/>
      <c r="F7924" s="3"/>
      <c r="G7924" s="3"/>
      <c r="H7924" s="11"/>
      <c r="I7924" s="12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  <c r="AA7924" s="3"/>
      <c r="AB7924" s="3"/>
      <c r="AC7924" s="3"/>
      <c r="AD7924" s="3"/>
      <c r="AE7924" s="3"/>
      <c r="AF7924" s="3"/>
      <c r="AG7924" s="3"/>
      <c r="AH7924" s="3"/>
    </row>
    <row r="7925" spans="1:34" ht="14.25" customHeight="1" x14ac:dyDescent="0.25">
      <c r="A7925" s="3"/>
      <c r="B7925" s="3"/>
      <c r="C7925" s="3"/>
      <c r="D7925" s="3"/>
      <c r="E7925" s="3"/>
      <c r="F7925" s="3"/>
      <c r="G7925" s="3"/>
      <c r="H7925" s="11"/>
      <c r="I7925" s="12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  <c r="AA7925" s="3"/>
      <c r="AB7925" s="3"/>
      <c r="AC7925" s="3"/>
      <c r="AD7925" s="3"/>
      <c r="AE7925" s="3"/>
      <c r="AF7925" s="3"/>
      <c r="AG7925" s="3"/>
      <c r="AH7925" s="3"/>
    </row>
    <row r="7926" spans="1:34" ht="14.25" customHeight="1" x14ac:dyDescent="0.25">
      <c r="A7926" s="3"/>
      <c r="B7926" s="3"/>
      <c r="C7926" s="3"/>
      <c r="D7926" s="3"/>
      <c r="E7926" s="3"/>
      <c r="F7926" s="3"/>
      <c r="G7926" s="3"/>
      <c r="H7926" s="11"/>
      <c r="I7926" s="12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  <c r="AA7926" s="3"/>
      <c r="AB7926" s="3"/>
      <c r="AC7926" s="3"/>
      <c r="AD7926" s="3"/>
      <c r="AE7926" s="3"/>
      <c r="AF7926" s="3"/>
      <c r="AG7926" s="3"/>
      <c r="AH7926" s="3"/>
    </row>
    <row r="7927" spans="1:34" ht="14.25" customHeight="1" x14ac:dyDescent="0.25">
      <c r="A7927" s="3"/>
      <c r="B7927" s="3"/>
      <c r="C7927" s="3"/>
      <c r="D7927" s="3"/>
      <c r="E7927" s="3"/>
      <c r="F7927" s="3"/>
      <c r="G7927" s="3"/>
      <c r="H7927" s="11"/>
      <c r="I7927" s="12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  <c r="AA7927" s="3"/>
      <c r="AB7927" s="3"/>
      <c r="AC7927" s="3"/>
      <c r="AD7927" s="3"/>
      <c r="AE7927" s="3"/>
      <c r="AF7927" s="3"/>
      <c r="AG7927" s="3"/>
      <c r="AH7927" s="3"/>
    </row>
    <row r="7928" spans="1:34" ht="14.25" customHeight="1" x14ac:dyDescent="0.25">
      <c r="A7928" s="3"/>
      <c r="B7928" s="3"/>
      <c r="C7928" s="3"/>
      <c r="D7928" s="3"/>
      <c r="E7928" s="3"/>
      <c r="F7928" s="3"/>
      <c r="G7928" s="3"/>
      <c r="H7928" s="11"/>
      <c r="I7928" s="12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  <c r="AA7928" s="3"/>
      <c r="AB7928" s="3"/>
      <c r="AC7928" s="3"/>
      <c r="AD7928" s="3"/>
      <c r="AE7928" s="3"/>
      <c r="AF7928" s="3"/>
      <c r="AG7928" s="3"/>
      <c r="AH7928" s="3"/>
    </row>
    <row r="7929" spans="1:34" ht="14.25" customHeight="1" x14ac:dyDescent="0.25">
      <c r="A7929" s="3"/>
      <c r="B7929" s="3"/>
      <c r="C7929" s="3"/>
      <c r="D7929" s="3"/>
      <c r="E7929" s="3"/>
      <c r="F7929" s="3"/>
      <c r="G7929" s="3"/>
      <c r="H7929" s="11"/>
      <c r="I7929" s="12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  <c r="AA7929" s="3"/>
      <c r="AB7929" s="3"/>
      <c r="AC7929" s="3"/>
      <c r="AD7929" s="3"/>
      <c r="AE7929" s="3"/>
      <c r="AF7929" s="3"/>
      <c r="AG7929" s="3"/>
      <c r="AH7929" s="3"/>
    </row>
    <row r="7930" spans="1:34" ht="14.25" customHeight="1" x14ac:dyDescent="0.25">
      <c r="A7930" s="3"/>
      <c r="B7930" s="3"/>
      <c r="C7930" s="3"/>
      <c r="D7930" s="3"/>
      <c r="E7930" s="3"/>
      <c r="F7930" s="3"/>
      <c r="G7930" s="3"/>
      <c r="H7930" s="11"/>
      <c r="I7930" s="12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  <c r="AA7930" s="3"/>
      <c r="AB7930" s="3"/>
      <c r="AC7930" s="3"/>
      <c r="AD7930" s="3"/>
      <c r="AE7930" s="3"/>
      <c r="AF7930" s="3"/>
      <c r="AG7930" s="3"/>
      <c r="AH7930" s="3"/>
    </row>
    <row r="7931" spans="1:34" ht="14.25" customHeight="1" x14ac:dyDescent="0.25">
      <c r="A7931" s="3"/>
      <c r="B7931" s="3"/>
      <c r="C7931" s="3"/>
      <c r="D7931" s="3"/>
      <c r="E7931" s="3"/>
      <c r="F7931" s="3"/>
      <c r="G7931" s="3"/>
      <c r="H7931" s="11"/>
      <c r="I7931" s="12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  <c r="AA7931" s="3"/>
      <c r="AB7931" s="3"/>
      <c r="AC7931" s="3"/>
      <c r="AD7931" s="3"/>
      <c r="AE7931" s="3"/>
      <c r="AF7931" s="3"/>
      <c r="AG7931" s="3"/>
      <c r="AH7931" s="3"/>
    </row>
    <row r="7932" spans="1:34" ht="14.25" customHeight="1" x14ac:dyDescent="0.25">
      <c r="A7932" s="3"/>
      <c r="B7932" s="3"/>
      <c r="C7932" s="3"/>
      <c r="D7932" s="3"/>
      <c r="E7932" s="3"/>
      <c r="F7932" s="3"/>
      <c r="G7932" s="3"/>
      <c r="H7932" s="11"/>
      <c r="I7932" s="12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  <c r="AA7932" s="3"/>
      <c r="AB7932" s="3"/>
      <c r="AC7932" s="3"/>
      <c r="AD7932" s="3"/>
      <c r="AE7932" s="3"/>
      <c r="AF7932" s="3"/>
      <c r="AG7932" s="3"/>
      <c r="AH7932" s="3"/>
    </row>
    <row r="7933" spans="1:34" ht="14.25" customHeight="1" x14ac:dyDescent="0.25">
      <c r="A7933" s="3"/>
      <c r="B7933" s="3"/>
      <c r="C7933" s="3"/>
      <c r="D7933" s="3"/>
      <c r="E7933" s="3"/>
      <c r="F7933" s="3"/>
      <c r="G7933" s="3"/>
      <c r="H7933" s="11"/>
      <c r="I7933" s="12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  <c r="AA7933" s="3"/>
      <c r="AB7933" s="3"/>
      <c r="AC7933" s="3"/>
      <c r="AD7933" s="3"/>
      <c r="AE7933" s="3"/>
      <c r="AF7933" s="3"/>
      <c r="AG7933" s="3"/>
      <c r="AH7933" s="3"/>
    </row>
    <row r="7934" spans="1:34" ht="14.25" customHeight="1" x14ac:dyDescent="0.25">
      <c r="A7934" s="3"/>
      <c r="B7934" s="3"/>
      <c r="C7934" s="3"/>
      <c r="D7934" s="3"/>
      <c r="E7934" s="3"/>
      <c r="F7934" s="3"/>
      <c r="G7934" s="3"/>
      <c r="H7934" s="11"/>
      <c r="I7934" s="12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  <c r="AA7934" s="3"/>
      <c r="AB7934" s="3"/>
      <c r="AC7934" s="3"/>
      <c r="AD7934" s="3"/>
      <c r="AE7934" s="3"/>
      <c r="AF7934" s="3"/>
      <c r="AG7934" s="3"/>
      <c r="AH7934" s="3"/>
    </row>
    <row r="7935" spans="1:34" ht="14.25" customHeight="1" x14ac:dyDescent="0.25">
      <c r="A7935" s="3"/>
      <c r="B7935" s="3"/>
      <c r="C7935" s="3"/>
      <c r="D7935" s="3"/>
      <c r="E7935" s="3"/>
      <c r="F7935" s="3"/>
      <c r="G7935" s="3"/>
      <c r="H7935" s="11"/>
      <c r="I7935" s="12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  <c r="AA7935" s="3"/>
      <c r="AB7935" s="3"/>
      <c r="AC7935" s="3"/>
      <c r="AD7935" s="3"/>
      <c r="AE7935" s="3"/>
      <c r="AF7935" s="3"/>
      <c r="AG7935" s="3"/>
      <c r="AH7935" s="3"/>
    </row>
    <row r="7936" spans="1:34" ht="14.25" customHeight="1" x14ac:dyDescent="0.25">
      <c r="A7936" s="3"/>
      <c r="B7936" s="3"/>
      <c r="C7936" s="3"/>
      <c r="D7936" s="3"/>
      <c r="E7936" s="3"/>
      <c r="F7936" s="3"/>
      <c r="G7936" s="3"/>
      <c r="H7936" s="11"/>
      <c r="I7936" s="12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  <c r="AA7936" s="3"/>
      <c r="AB7936" s="3"/>
      <c r="AC7936" s="3"/>
      <c r="AD7936" s="3"/>
      <c r="AE7936" s="3"/>
      <c r="AF7936" s="3"/>
      <c r="AG7936" s="3"/>
      <c r="AH7936" s="3"/>
    </row>
    <row r="7937" spans="1:34" ht="14.25" customHeight="1" x14ac:dyDescent="0.25">
      <c r="A7937" s="3"/>
      <c r="B7937" s="3"/>
      <c r="C7937" s="3"/>
      <c r="D7937" s="3"/>
      <c r="E7937" s="3"/>
      <c r="F7937" s="3"/>
      <c r="G7937" s="3"/>
      <c r="H7937" s="11"/>
      <c r="I7937" s="12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  <c r="AA7937" s="3"/>
      <c r="AB7937" s="3"/>
      <c r="AC7937" s="3"/>
      <c r="AD7937" s="3"/>
      <c r="AE7937" s="3"/>
      <c r="AF7937" s="3"/>
      <c r="AG7937" s="3"/>
      <c r="AH7937" s="3"/>
    </row>
    <row r="7938" spans="1:34" ht="14.25" customHeight="1" x14ac:dyDescent="0.25">
      <c r="A7938" s="3"/>
      <c r="B7938" s="3"/>
      <c r="C7938" s="3"/>
      <c r="D7938" s="3"/>
      <c r="E7938" s="3"/>
      <c r="F7938" s="3"/>
      <c r="G7938" s="3"/>
      <c r="H7938" s="11"/>
      <c r="I7938" s="12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  <c r="AA7938" s="3"/>
      <c r="AB7938" s="3"/>
      <c r="AC7938" s="3"/>
      <c r="AD7938" s="3"/>
      <c r="AE7938" s="3"/>
      <c r="AF7938" s="3"/>
      <c r="AG7938" s="3"/>
      <c r="AH7938" s="3"/>
    </row>
    <row r="7939" spans="1:34" ht="14.25" customHeight="1" x14ac:dyDescent="0.25">
      <c r="A7939" s="3"/>
      <c r="B7939" s="3"/>
      <c r="C7939" s="3"/>
      <c r="D7939" s="3"/>
      <c r="E7939" s="3"/>
      <c r="F7939" s="3"/>
      <c r="G7939" s="3"/>
      <c r="H7939" s="11"/>
      <c r="I7939" s="12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  <c r="AA7939" s="3"/>
      <c r="AB7939" s="3"/>
      <c r="AC7939" s="3"/>
      <c r="AD7939" s="3"/>
      <c r="AE7939" s="3"/>
      <c r="AF7939" s="3"/>
      <c r="AG7939" s="3"/>
      <c r="AH7939" s="3"/>
    </row>
    <row r="7940" spans="1:34" ht="14.25" customHeight="1" x14ac:dyDescent="0.25">
      <c r="A7940" s="3"/>
      <c r="B7940" s="3"/>
      <c r="C7940" s="3"/>
      <c r="D7940" s="3"/>
      <c r="E7940" s="3"/>
      <c r="F7940" s="3"/>
      <c r="G7940" s="3"/>
      <c r="H7940" s="11"/>
      <c r="I7940" s="12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  <c r="AA7940" s="3"/>
      <c r="AB7940" s="3"/>
      <c r="AC7940" s="3"/>
      <c r="AD7940" s="3"/>
      <c r="AE7940" s="3"/>
      <c r="AF7940" s="3"/>
      <c r="AG7940" s="3"/>
      <c r="AH7940" s="3"/>
    </row>
    <row r="7941" spans="1:34" ht="14.25" customHeight="1" x14ac:dyDescent="0.25">
      <c r="A7941" s="3"/>
      <c r="B7941" s="3"/>
      <c r="C7941" s="3"/>
      <c r="D7941" s="3"/>
      <c r="E7941" s="3"/>
      <c r="F7941" s="3"/>
      <c r="G7941" s="3"/>
      <c r="H7941" s="11"/>
      <c r="I7941" s="12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  <c r="AA7941" s="3"/>
      <c r="AB7941" s="3"/>
      <c r="AC7941" s="3"/>
      <c r="AD7941" s="3"/>
      <c r="AE7941" s="3"/>
      <c r="AF7941" s="3"/>
      <c r="AG7941" s="3"/>
      <c r="AH7941" s="3"/>
    </row>
    <row r="7942" spans="1:34" ht="14.25" customHeight="1" x14ac:dyDescent="0.25">
      <c r="A7942" s="3"/>
      <c r="B7942" s="3"/>
      <c r="C7942" s="3"/>
      <c r="D7942" s="3"/>
      <c r="E7942" s="3"/>
      <c r="F7942" s="3"/>
      <c r="G7942" s="3"/>
      <c r="H7942" s="11"/>
      <c r="I7942" s="12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  <c r="AA7942" s="3"/>
      <c r="AB7942" s="3"/>
      <c r="AC7942" s="3"/>
      <c r="AD7942" s="3"/>
      <c r="AE7942" s="3"/>
      <c r="AF7942" s="3"/>
      <c r="AG7942" s="3"/>
      <c r="AH7942" s="3"/>
    </row>
    <row r="7943" spans="1:34" ht="14.25" customHeight="1" x14ac:dyDescent="0.25">
      <c r="A7943" s="3"/>
      <c r="B7943" s="3"/>
      <c r="C7943" s="3"/>
      <c r="D7943" s="3"/>
      <c r="E7943" s="3"/>
      <c r="F7943" s="3"/>
      <c r="G7943" s="3"/>
      <c r="H7943" s="11"/>
      <c r="I7943" s="12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  <c r="AA7943" s="3"/>
      <c r="AB7943" s="3"/>
      <c r="AC7943" s="3"/>
      <c r="AD7943" s="3"/>
      <c r="AE7943" s="3"/>
      <c r="AF7943" s="3"/>
      <c r="AG7943" s="3"/>
      <c r="AH7943" s="3"/>
    </row>
    <row r="7944" spans="1:34" ht="14.25" customHeight="1" x14ac:dyDescent="0.25">
      <c r="A7944" s="3"/>
      <c r="B7944" s="3"/>
      <c r="C7944" s="3"/>
      <c r="D7944" s="3"/>
      <c r="E7944" s="3"/>
      <c r="F7944" s="3"/>
      <c r="G7944" s="3"/>
      <c r="H7944" s="11"/>
      <c r="I7944" s="12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  <c r="AA7944" s="3"/>
      <c r="AB7944" s="3"/>
      <c r="AC7944" s="3"/>
      <c r="AD7944" s="3"/>
      <c r="AE7944" s="3"/>
      <c r="AF7944" s="3"/>
      <c r="AG7944" s="3"/>
      <c r="AH7944" s="3"/>
    </row>
    <row r="7945" spans="1:34" ht="14.25" customHeight="1" x14ac:dyDescent="0.25">
      <c r="A7945" s="3"/>
      <c r="B7945" s="3"/>
      <c r="C7945" s="3"/>
      <c r="D7945" s="3"/>
      <c r="E7945" s="3"/>
      <c r="F7945" s="3"/>
      <c r="G7945" s="3"/>
      <c r="H7945" s="11"/>
      <c r="I7945" s="12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  <c r="AA7945" s="3"/>
      <c r="AB7945" s="3"/>
      <c r="AC7945" s="3"/>
      <c r="AD7945" s="3"/>
      <c r="AE7945" s="3"/>
      <c r="AF7945" s="3"/>
      <c r="AG7945" s="3"/>
      <c r="AH7945" s="3"/>
    </row>
    <row r="7946" spans="1:34" ht="14.25" customHeight="1" x14ac:dyDescent="0.25">
      <c r="A7946" s="3"/>
      <c r="B7946" s="3"/>
      <c r="C7946" s="3"/>
      <c r="D7946" s="3"/>
      <c r="E7946" s="3"/>
      <c r="F7946" s="3"/>
      <c r="G7946" s="3"/>
      <c r="H7946" s="11"/>
      <c r="I7946" s="12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  <c r="AA7946" s="3"/>
      <c r="AB7946" s="3"/>
      <c r="AC7946" s="3"/>
      <c r="AD7946" s="3"/>
      <c r="AE7946" s="3"/>
      <c r="AF7946" s="3"/>
      <c r="AG7946" s="3"/>
      <c r="AH7946" s="3"/>
    </row>
    <row r="7947" spans="1:34" ht="14.25" customHeight="1" x14ac:dyDescent="0.25">
      <c r="A7947" s="3"/>
      <c r="B7947" s="3"/>
      <c r="C7947" s="3"/>
      <c r="D7947" s="3"/>
      <c r="E7947" s="3"/>
      <c r="F7947" s="3"/>
      <c r="G7947" s="3"/>
      <c r="H7947" s="11"/>
      <c r="I7947" s="12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  <c r="AA7947" s="3"/>
      <c r="AB7947" s="3"/>
      <c r="AC7947" s="3"/>
      <c r="AD7947" s="3"/>
      <c r="AE7947" s="3"/>
      <c r="AF7947" s="3"/>
      <c r="AG7947" s="3"/>
      <c r="AH7947" s="3"/>
    </row>
    <row r="7948" spans="1:34" ht="14.25" customHeight="1" x14ac:dyDescent="0.25">
      <c r="A7948" s="3"/>
      <c r="B7948" s="3"/>
      <c r="C7948" s="3"/>
      <c r="D7948" s="3"/>
      <c r="E7948" s="3"/>
      <c r="F7948" s="3"/>
      <c r="G7948" s="3"/>
      <c r="H7948" s="11"/>
      <c r="I7948" s="12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  <c r="AA7948" s="3"/>
      <c r="AB7948" s="3"/>
      <c r="AC7948" s="3"/>
      <c r="AD7948" s="3"/>
      <c r="AE7948" s="3"/>
      <c r="AF7948" s="3"/>
      <c r="AG7948" s="3"/>
      <c r="AH7948" s="3"/>
    </row>
    <row r="7949" spans="1:34" ht="14.25" customHeight="1" x14ac:dyDescent="0.25">
      <c r="A7949" s="3"/>
      <c r="B7949" s="3"/>
      <c r="C7949" s="3"/>
      <c r="D7949" s="3"/>
      <c r="E7949" s="3"/>
      <c r="F7949" s="3"/>
      <c r="G7949" s="3"/>
      <c r="H7949" s="11"/>
      <c r="I7949" s="12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  <c r="AA7949" s="3"/>
      <c r="AB7949" s="3"/>
      <c r="AC7949" s="3"/>
      <c r="AD7949" s="3"/>
      <c r="AE7949" s="3"/>
      <c r="AF7949" s="3"/>
      <c r="AG7949" s="3"/>
      <c r="AH7949" s="3"/>
    </row>
    <row r="7950" spans="1:34" ht="14.25" customHeight="1" x14ac:dyDescent="0.25">
      <c r="A7950" s="3"/>
      <c r="B7950" s="3"/>
      <c r="C7950" s="3"/>
      <c r="D7950" s="3"/>
      <c r="E7950" s="3"/>
      <c r="F7950" s="3"/>
      <c r="G7950" s="3"/>
      <c r="H7950" s="11"/>
      <c r="I7950" s="12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  <c r="AA7950" s="3"/>
      <c r="AB7950" s="3"/>
      <c r="AC7950" s="3"/>
      <c r="AD7950" s="3"/>
      <c r="AE7950" s="3"/>
      <c r="AF7950" s="3"/>
      <c r="AG7950" s="3"/>
      <c r="AH7950" s="3"/>
    </row>
    <row r="7951" spans="1:34" ht="14.25" customHeight="1" x14ac:dyDescent="0.25">
      <c r="A7951" s="3"/>
      <c r="B7951" s="3"/>
      <c r="C7951" s="3"/>
      <c r="D7951" s="3"/>
      <c r="E7951" s="3"/>
      <c r="F7951" s="3"/>
      <c r="G7951" s="3"/>
      <c r="H7951" s="11"/>
      <c r="I7951" s="12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  <c r="AA7951" s="3"/>
      <c r="AB7951" s="3"/>
      <c r="AC7951" s="3"/>
      <c r="AD7951" s="3"/>
      <c r="AE7951" s="3"/>
      <c r="AF7951" s="3"/>
      <c r="AG7951" s="3"/>
      <c r="AH7951" s="3"/>
    </row>
    <row r="7952" spans="1:34" ht="14.25" customHeight="1" x14ac:dyDescent="0.25">
      <c r="A7952" s="3"/>
      <c r="B7952" s="3"/>
      <c r="C7952" s="3"/>
      <c r="D7952" s="3"/>
      <c r="E7952" s="3"/>
      <c r="F7952" s="3"/>
      <c r="G7952" s="3"/>
      <c r="H7952" s="11"/>
      <c r="I7952" s="12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  <c r="AA7952" s="3"/>
      <c r="AB7952" s="3"/>
      <c r="AC7952" s="3"/>
      <c r="AD7952" s="3"/>
      <c r="AE7952" s="3"/>
      <c r="AF7952" s="3"/>
      <c r="AG7952" s="3"/>
      <c r="AH7952" s="3"/>
    </row>
    <row r="7953" spans="1:34" ht="14.25" customHeight="1" x14ac:dyDescent="0.25">
      <c r="A7953" s="3"/>
      <c r="B7953" s="3"/>
      <c r="C7953" s="3"/>
      <c r="D7953" s="3"/>
      <c r="E7953" s="3"/>
      <c r="F7953" s="3"/>
      <c r="G7953" s="3"/>
      <c r="H7953" s="11"/>
      <c r="I7953" s="12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  <c r="AA7953" s="3"/>
      <c r="AB7953" s="3"/>
      <c r="AC7953" s="3"/>
      <c r="AD7953" s="3"/>
      <c r="AE7953" s="3"/>
      <c r="AF7953" s="3"/>
      <c r="AG7953" s="3"/>
      <c r="AH7953" s="3"/>
    </row>
    <row r="7954" spans="1:34" ht="14.25" customHeight="1" x14ac:dyDescent="0.25">
      <c r="A7954" s="3"/>
      <c r="B7954" s="3"/>
      <c r="C7954" s="3"/>
      <c r="D7954" s="3"/>
      <c r="E7954" s="3"/>
      <c r="F7954" s="3"/>
      <c r="G7954" s="3"/>
      <c r="H7954" s="11"/>
      <c r="I7954" s="12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  <c r="AA7954" s="3"/>
      <c r="AB7954" s="3"/>
      <c r="AC7954" s="3"/>
      <c r="AD7954" s="3"/>
      <c r="AE7954" s="3"/>
      <c r="AF7954" s="3"/>
      <c r="AG7954" s="3"/>
      <c r="AH7954" s="3"/>
    </row>
    <row r="7955" spans="1:34" ht="14.25" customHeight="1" x14ac:dyDescent="0.25">
      <c r="A7955" s="3"/>
      <c r="B7955" s="3"/>
      <c r="C7955" s="3"/>
      <c r="D7955" s="3"/>
      <c r="E7955" s="3"/>
      <c r="F7955" s="3"/>
      <c r="G7955" s="3"/>
      <c r="H7955" s="11"/>
      <c r="I7955" s="12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  <c r="AA7955" s="3"/>
      <c r="AB7955" s="3"/>
      <c r="AC7955" s="3"/>
      <c r="AD7955" s="3"/>
      <c r="AE7955" s="3"/>
      <c r="AF7955" s="3"/>
      <c r="AG7955" s="3"/>
      <c r="AH7955" s="3"/>
    </row>
    <row r="7956" spans="1:34" ht="14.25" customHeight="1" x14ac:dyDescent="0.25">
      <c r="A7956" s="3"/>
      <c r="B7956" s="3"/>
      <c r="C7956" s="3"/>
      <c r="D7956" s="3"/>
      <c r="E7956" s="3"/>
      <c r="F7956" s="3"/>
      <c r="G7956" s="3"/>
      <c r="H7956" s="11"/>
      <c r="I7956" s="12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  <c r="AA7956" s="3"/>
      <c r="AB7956" s="3"/>
      <c r="AC7956" s="3"/>
      <c r="AD7956" s="3"/>
      <c r="AE7956" s="3"/>
      <c r="AF7956" s="3"/>
      <c r="AG7956" s="3"/>
      <c r="AH7956" s="3"/>
    </row>
    <row r="7957" spans="1:34" ht="14.25" customHeight="1" x14ac:dyDescent="0.25">
      <c r="A7957" s="3"/>
      <c r="B7957" s="3"/>
      <c r="C7957" s="3"/>
      <c r="D7957" s="3"/>
      <c r="E7957" s="3"/>
      <c r="F7957" s="3"/>
      <c r="G7957" s="3"/>
      <c r="H7957" s="11"/>
      <c r="I7957" s="12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  <c r="AA7957" s="3"/>
      <c r="AB7957" s="3"/>
      <c r="AC7957" s="3"/>
      <c r="AD7957" s="3"/>
      <c r="AE7957" s="3"/>
      <c r="AF7957" s="3"/>
      <c r="AG7957" s="3"/>
      <c r="AH7957" s="3"/>
    </row>
    <row r="7958" spans="1:34" ht="14.25" customHeight="1" x14ac:dyDescent="0.25">
      <c r="A7958" s="3"/>
      <c r="B7958" s="3"/>
      <c r="C7958" s="3"/>
      <c r="D7958" s="3"/>
      <c r="E7958" s="3"/>
      <c r="F7958" s="3"/>
      <c r="G7958" s="3"/>
      <c r="H7958" s="11"/>
      <c r="I7958" s="12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  <c r="AA7958" s="3"/>
      <c r="AB7958" s="3"/>
      <c r="AC7958" s="3"/>
      <c r="AD7958" s="3"/>
      <c r="AE7958" s="3"/>
      <c r="AF7958" s="3"/>
      <c r="AG7958" s="3"/>
      <c r="AH7958" s="3"/>
    </row>
    <row r="7959" spans="1:34" ht="14.25" customHeight="1" x14ac:dyDescent="0.25">
      <c r="A7959" s="3"/>
      <c r="B7959" s="3"/>
      <c r="C7959" s="3"/>
      <c r="D7959" s="3"/>
      <c r="E7959" s="3"/>
      <c r="F7959" s="3"/>
      <c r="G7959" s="3"/>
      <c r="H7959" s="11"/>
      <c r="I7959" s="12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  <c r="AA7959" s="3"/>
      <c r="AB7959" s="3"/>
      <c r="AC7959" s="3"/>
      <c r="AD7959" s="3"/>
      <c r="AE7959" s="3"/>
      <c r="AF7959" s="3"/>
      <c r="AG7959" s="3"/>
      <c r="AH7959" s="3"/>
    </row>
    <row r="7960" spans="1:34" ht="14.25" customHeight="1" x14ac:dyDescent="0.25">
      <c r="A7960" s="3"/>
      <c r="B7960" s="3"/>
      <c r="C7960" s="3"/>
      <c r="D7960" s="3"/>
      <c r="E7960" s="3"/>
      <c r="F7960" s="3"/>
      <c r="G7960" s="3"/>
      <c r="H7960" s="11"/>
      <c r="I7960" s="12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  <c r="AA7960" s="3"/>
      <c r="AB7960" s="3"/>
      <c r="AC7960" s="3"/>
      <c r="AD7960" s="3"/>
      <c r="AE7960" s="3"/>
      <c r="AF7960" s="3"/>
      <c r="AG7960" s="3"/>
      <c r="AH7960" s="3"/>
    </row>
    <row r="7961" spans="1:34" ht="14.25" customHeight="1" x14ac:dyDescent="0.25">
      <c r="A7961" s="3"/>
      <c r="B7961" s="3"/>
      <c r="C7961" s="3"/>
      <c r="D7961" s="3"/>
      <c r="E7961" s="3"/>
      <c r="F7961" s="3"/>
      <c r="G7961" s="3"/>
      <c r="H7961" s="11"/>
      <c r="I7961" s="12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  <c r="AA7961" s="3"/>
      <c r="AB7961" s="3"/>
      <c r="AC7961" s="3"/>
      <c r="AD7961" s="3"/>
      <c r="AE7961" s="3"/>
      <c r="AF7961" s="3"/>
      <c r="AG7961" s="3"/>
      <c r="AH7961" s="3"/>
    </row>
    <row r="7962" spans="1:34" ht="14.25" customHeight="1" x14ac:dyDescent="0.25">
      <c r="A7962" s="3"/>
      <c r="B7962" s="3"/>
      <c r="C7962" s="3"/>
      <c r="D7962" s="3"/>
      <c r="E7962" s="3"/>
      <c r="F7962" s="3"/>
      <c r="G7962" s="3"/>
      <c r="H7962" s="11"/>
      <c r="I7962" s="12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  <c r="AA7962" s="3"/>
      <c r="AB7962" s="3"/>
      <c r="AC7962" s="3"/>
      <c r="AD7962" s="3"/>
      <c r="AE7962" s="3"/>
      <c r="AF7962" s="3"/>
      <c r="AG7962" s="3"/>
      <c r="AH7962" s="3"/>
    </row>
    <row r="7963" spans="1:34" ht="14.25" customHeight="1" x14ac:dyDescent="0.25">
      <c r="A7963" s="3"/>
      <c r="B7963" s="3"/>
      <c r="C7963" s="3"/>
      <c r="D7963" s="3"/>
      <c r="E7963" s="3"/>
      <c r="F7963" s="3"/>
      <c r="G7963" s="3"/>
      <c r="H7963" s="11"/>
      <c r="I7963" s="12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  <c r="AA7963" s="3"/>
      <c r="AB7963" s="3"/>
      <c r="AC7963" s="3"/>
      <c r="AD7963" s="3"/>
      <c r="AE7963" s="3"/>
      <c r="AF7963" s="3"/>
      <c r="AG7963" s="3"/>
      <c r="AH7963" s="3"/>
    </row>
    <row r="7964" spans="1:34" ht="14.25" customHeight="1" x14ac:dyDescent="0.25">
      <c r="A7964" s="3"/>
      <c r="B7964" s="3"/>
      <c r="C7964" s="3"/>
      <c r="D7964" s="3"/>
      <c r="E7964" s="3"/>
      <c r="F7964" s="3"/>
      <c r="G7964" s="3"/>
      <c r="H7964" s="11"/>
      <c r="I7964" s="12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  <c r="AA7964" s="3"/>
      <c r="AB7964" s="3"/>
      <c r="AC7964" s="3"/>
      <c r="AD7964" s="3"/>
      <c r="AE7964" s="3"/>
      <c r="AF7964" s="3"/>
      <c r="AG7964" s="3"/>
      <c r="AH7964" s="3"/>
    </row>
    <row r="7965" spans="1:34" ht="14.25" customHeight="1" x14ac:dyDescent="0.25">
      <c r="A7965" s="3"/>
      <c r="B7965" s="3"/>
      <c r="C7965" s="3"/>
      <c r="D7965" s="3"/>
      <c r="E7965" s="3"/>
      <c r="F7965" s="3"/>
      <c r="G7965" s="3"/>
      <c r="H7965" s="11"/>
      <c r="I7965" s="12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  <c r="AA7965" s="3"/>
      <c r="AB7965" s="3"/>
      <c r="AC7965" s="3"/>
      <c r="AD7965" s="3"/>
      <c r="AE7965" s="3"/>
      <c r="AF7965" s="3"/>
      <c r="AG7965" s="3"/>
      <c r="AH7965" s="3"/>
    </row>
    <row r="7966" spans="1:34" ht="14.25" customHeight="1" x14ac:dyDescent="0.25">
      <c r="A7966" s="3"/>
      <c r="B7966" s="3"/>
      <c r="C7966" s="3"/>
      <c r="D7966" s="3"/>
      <c r="E7966" s="3"/>
      <c r="F7966" s="3"/>
      <c r="G7966" s="3"/>
      <c r="H7966" s="11"/>
      <c r="I7966" s="12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  <c r="AA7966" s="3"/>
      <c r="AB7966" s="3"/>
      <c r="AC7966" s="3"/>
      <c r="AD7966" s="3"/>
      <c r="AE7966" s="3"/>
      <c r="AF7966" s="3"/>
      <c r="AG7966" s="3"/>
      <c r="AH7966" s="3"/>
    </row>
    <row r="7967" spans="1:34" ht="14.25" customHeight="1" x14ac:dyDescent="0.25">
      <c r="A7967" s="3"/>
      <c r="B7967" s="3"/>
      <c r="C7967" s="3"/>
      <c r="D7967" s="3"/>
      <c r="E7967" s="3"/>
      <c r="F7967" s="3"/>
      <c r="G7967" s="3"/>
      <c r="H7967" s="11"/>
      <c r="I7967" s="12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  <c r="AA7967" s="3"/>
      <c r="AB7967" s="3"/>
      <c r="AC7967" s="3"/>
      <c r="AD7967" s="3"/>
      <c r="AE7967" s="3"/>
      <c r="AF7967" s="3"/>
      <c r="AG7967" s="3"/>
      <c r="AH7967" s="3"/>
    </row>
    <row r="7968" spans="1:34" ht="14.25" customHeight="1" x14ac:dyDescent="0.25">
      <c r="A7968" s="3"/>
      <c r="B7968" s="3"/>
      <c r="C7968" s="3"/>
      <c r="D7968" s="3"/>
      <c r="E7968" s="3"/>
      <c r="F7968" s="3"/>
      <c r="G7968" s="3"/>
      <c r="H7968" s="11"/>
      <c r="I7968" s="12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  <c r="AA7968" s="3"/>
      <c r="AB7968" s="3"/>
      <c r="AC7968" s="3"/>
      <c r="AD7968" s="3"/>
      <c r="AE7968" s="3"/>
      <c r="AF7968" s="3"/>
      <c r="AG7968" s="3"/>
      <c r="AH7968" s="3"/>
    </row>
    <row r="7969" spans="1:34" ht="14.25" customHeight="1" x14ac:dyDescent="0.25">
      <c r="A7969" s="3"/>
      <c r="B7969" s="3"/>
      <c r="C7969" s="3"/>
      <c r="D7969" s="3"/>
      <c r="E7969" s="3"/>
      <c r="F7969" s="3"/>
      <c r="G7969" s="3"/>
      <c r="H7969" s="11"/>
      <c r="I7969" s="12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  <c r="AA7969" s="3"/>
      <c r="AB7969" s="3"/>
      <c r="AC7969" s="3"/>
      <c r="AD7969" s="3"/>
      <c r="AE7969" s="3"/>
      <c r="AF7969" s="3"/>
      <c r="AG7969" s="3"/>
      <c r="AH7969" s="3"/>
    </row>
    <row r="7970" spans="1:34" ht="14.25" customHeight="1" x14ac:dyDescent="0.25">
      <c r="A7970" s="3"/>
      <c r="B7970" s="3"/>
      <c r="C7970" s="3"/>
      <c r="D7970" s="3"/>
      <c r="E7970" s="3"/>
      <c r="F7970" s="3"/>
      <c r="G7970" s="3"/>
      <c r="H7970" s="11"/>
      <c r="I7970" s="12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  <c r="AA7970" s="3"/>
      <c r="AB7970" s="3"/>
      <c r="AC7970" s="3"/>
      <c r="AD7970" s="3"/>
      <c r="AE7970" s="3"/>
      <c r="AF7970" s="3"/>
      <c r="AG7970" s="3"/>
      <c r="AH7970" s="3"/>
    </row>
    <row r="7971" spans="1:34" ht="14.25" customHeight="1" x14ac:dyDescent="0.25">
      <c r="A7971" s="3"/>
      <c r="B7971" s="3"/>
      <c r="C7971" s="3"/>
      <c r="D7971" s="3"/>
      <c r="E7971" s="3"/>
      <c r="F7971" s="3"/>
      <c r="G7971" s="3"/>
      <c r="H7971" s="11"/>
      <c r="I7971" s="12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  <c r="AA7971" s="3"/>
      <c r="AB7971" s="3"/>
      <c r="AC7971" s="3"/>
      <c r="AD7971" s="3"/>
      <c r="AE7971" s="3"/>
      <c r="AF7971" s="3"/>
      <c r="AG7971" s="3"/>
      <c r="AH7971" s="3"/>
    </row>
    <row r="7972" spans="1:34" ht="14.25" customHeight="1" x14ac:dyDescent="0.25">
      <c r="A7972" s="3"/>
      <c r="B7972" s="3"/>
      <c r="C7972" s="3"/>
      <c r="D7972" s="3"/>
      <c r="E7972" s="3"/>
      <c r="F7972" s="3"/>
      <c r="G7972" s="3"/>
      <c r="H7972" s="11"/>
      <c r="I7972" s="12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  <c r="AA7972" s="3"/>
      <c r="AB7972" s="3"/>
      <c r="AC7972" s="3"/>
      <c r="AD7972" s="3"/>
      <c r="AE7972" s="3"/>
      <c r="AF7972" s="3"/>
      <c r="AG7972" s="3"/>
      <c r="AH7972" s="3"/>
    </row>
    <row r="7973" spans="1:34" ht="14.25" customHeight="1" x14ac:dyDescent="0.25">
      <c r="A7973" s="3"/>
      <c r="B7973" s="3"/>
      <c r="C7973" s="3"/>
      <c r="D7973" s="3"/>
      <c r="E7973" s="3"/>
      <c r="F7973" s="3"/>
      <c r="G7973" s="3"/>
      <c r="H7973" s="11"/>
      <c r="I7973" s="12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  <c r="AA7973" s="3"/>
      <c r="AB7973" s="3"/>
      <c r="AC7973" s="3"/>
      <c r="AD7973" s="3"/>
      <c r="AE7973" s="3"/>
      <c r="AF7973" s="3"/>
      <c r="AG7973" s="3"/>
      <c r="AH7973" s="3"/>
    </row>
    <row r="7974" spans="1:34" ht="14.25" customHeight="1" x14ac:dyDescent="0.25">
      <c r="A7974" s="3"/>
      <c r="B7974" s="3"/>
      <c r="C7974" s="3"/>
      <c r="D7974" s="3"/>
      <c r="E7974" s="3"/>
      <c r="F7974" s="3"/>
      <c r="G7974" s="3"/>
      <c r="H7974" s="11"/>
      <c r="I7974" s="12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  <c r="AA7974" s="3"/>
      <c r="AB7974" s="3"/>
      <c r="AC7974" s="3"/>
      <c r="AD7974" s="3"/>
      <c r="AE7974" s="3"/>
      <c r="AF7974" s="3"/>
      <c r="AG7974" s="3"/>
      <c r="AH7974" s="3"/>
    </row>
    <row r="7975" spans="1:34" ht="14.25" customHeight="1" x14ac:dyDescent="0.25">
      <c r="A7975" s="3"/>
      <c r="B7975" s="3"/>
      <c r="C7975" s="3"/>
      <c r="D7975" s="3"/>
      <c r="E7975" s="3"/>
      <c r="F7975" s="3"/>
      <c r="G7975" s="3"/>
      <c r="H7975" s="11"/>
      <c r="I7975" s="12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  <c r="AA7975" s="3"/>
      <c r="AB7975" s="3"/>
      <c r="AC7975" s="3"/>
      <c r="AD7975" s="3"/>
      <c r="AE7975" s="3"/>
      <c r="AF7975" s="3"/>
      <c r="AG7975" s="3"/>
      <c r="AH7975" s="3"/>
    </row>
    <row r="7976" spans="1:34" ht="14.25" customHeight="1" x14ac:dyDescent="0.25">
      <c r="A7976" s="3"/>
      <c r="B7976" s="3"/>
      <c r="C7976" s="3"/>
      <c r="D7976" s="3"/>
      <c r="E7976" s="3"/>
      <c r="F7976" s="3"/>
      <c r="G7976" s="3"/>
      <c r="H7976" s="11"/>
      <c r="I7976" s="12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  <c r="AA7976" s="3"/>
      <c r="AB7976" s="3"/>
      <c r="AC7976" s="3"/>
      <c r="AD7976" s="3"/>
      <c r="AE7976" s="3"/>
      <c r="AF7976" s="3"/>
      <c r="AG7976" s="3"/>
      <c r="AH7976" s="3"/>
    </row>
    <row r="7977" spans="1:34" ht="14.25" customHeight="1" x14ac:dyDescent="0.25">
      <c r="A7977" s="3"/>
      <c r="B7977" s="3"/>
      <c r="C7977" s="3"/>
      <c r="D7977" s="3"/>
      <c r="E7977" s="3"/>
      <c r="F7977" s="3"/>
      <c r="G7977" s="3"/>
      <c r="H7977" s="11"/>
      <c r="I7977" s="12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  <c r="AA7977" s="3"/>
      <c r="AB7977" s="3"/>
      <c r="AC7977" s="3"/>
      <c r="AD7977" s="3"/>
      <c r="AE7977" s="3"/>
      <c r="AF7977" s="3"/>
      <c r="AG7977" s="3"/>
      <c r="AH7977" s="3"/>
    </row>
    <row r="7978" spans="1:34" ht="14.25" customHeight="1" x14ac:dyDescent="0.25">
      <c r="A7978" s="3"/>
      <c r="B7978" s="3"/>
      <c r="C7978" s="3"/>
      <c r="D7978" s="3"/>
      <c r="E7978" s="3"/>
      <c r="F7978" s="3"/>
      <c r="G7978" s="3"/>
      <c r="H7978" s="11"/>
      <c r="I7978" s="12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  <c r="AA7978" s="3"/>
      <c r="AB7978" s="3"/>
      <c r="AC7978" s="3"/>
      <c r="AD7978" s="3"/>
      <c r="AE7978" s="3"/>
      <c r="AF7978" s="3"/>
      <c r="AG7978" s="3"/>
      <c r="AH7978" s="3"/>
    </row>
    <row r="7979" spans="1:34" ht="14.25" customHeight="1" x14ac:dyDescent="0.25">
      <c r="A7979" s="3"/>
      <c r="B7979" s="3"/>
      <c r="C7979" s="3"/>
      <c r="D7979" s="3"/>
      <c r="E7979" s="3"/>
      <c r="F7979" s="3"/>
      <c r="G7979" s="3"/>
      <c r="H7979" s="11"/>
      <c r="I7979" s="12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  <c r="AA7979" s="3"/>
      <c r="AB7979" s="3"/>
      <c r="AC7979" s="3"/>
      <c r="AD7979" s="3"/>
      <c r="AE7979" s="3"/>
      <c r="AF7979" s="3"/>
      <c r="AG7979" s="3"/>
      <c r="AH7979" s="3"/>
    </row>
    <row r="7980" spans="1:34" ht="14.25" customHeight="1" x14ac:dyDescent="0.25">
      <c r="A7980" s="3"/>
      <c r="B7980" s="3"/>
      <c r="C7980" s="3"/>
      <c r="D7980" s="3"/>
      <c r="E7980" s="3"/>
      <c r="F7980" s="3"/>
      <c r="G7980" s="3"/>
      <c r="H7980" s="11"/>
      <c r="I7980" s="12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  <c r="AA7980" s="3"/>
      <c r="AB7980" s="3"/>
      <c r="AC7980" s="3"/>
      <c r="AD7980" s="3"/>
      <c r="AE7980" s="3"/>
      <c r="AF7980" s="3"/>
      <c r="AG7980" s="3"/>
      <c r="AH7980" s="3"/>
    </row>
    <row r="7981" spans="1:34" ht="14.25" customHeight="1" x14ac:dyDescent="0.25">
      <c r="A7981" s="3"/>
      <c r="B7981" s="3"/>
      <c r="C7981" s="3"/>
      <c r="D7981" s="3"/>
      <c r="E7981" s="3"/>
      <c r="F7981" s="3"/>
      <c r="G7981" s="3"/>
      <c r="H7981" s="11"/>
      <c r="I7981" s="12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  <c r="AA7981" s="3"/>
      <c r="AB7981" s="3"/>
      <c r="AC7981" s="3"/>
      <c r="AD7981" s="3"/>
      <c r="AE7981" s="3"/>
      <c r="AF7981" s="3"/>
      <c r="AG7981" s="3"/>
      <c r="AH7981" s="3"/>
    </row>
    <row r="7982" spans="1:34" ht="14.25" customHeight="1" x14ac:dyDescent="0.25">
      <c r="A7982" s="3"/>
      <c r="B7982" s="3"/>
      <c r="C7982" s="3"/>
      <c r="D7982" s="3"/>
      <c r="E7982" s="3"/>
      <c r="F7982" s="3"/>
      <c r="G7982" s="3"/>
      <c r="H7982" s="11"/>
      <c r="I7982" s="12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  <c r="AA7982" s="3"/>
      <c r="AB7982" s="3"/>
      <c r="AC7982" s="3"/>
      <c r="AD7982" s="3"/>
      <c r="AE7982" s="3"/>
      <c r="AF7982" s="3"/>
      <c r="AG7982" s="3"/>
      <c r="AH7982" s="3"/>
    </row>
    <row r="7983" spans="1:34" ht="14.25" customHeight="1" x14ac:dyDescent="0.25">
      <c r="A7983" s="3"/>
      <c r="B7983" s="3"/>
      <c r="C7983" s="3"/>
      <c r="D7983" s="3"/>
      <c r="E7983" s="3"/>
      <c r="F7983" s="3"/>
      <c r="G7983" s="3"/>
      <c r="H7983" s="11"/>
      <c r="I7983" s="12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  <c r="AA7983" s="3"/>
      <c r="AB7983" s="3"/>
      <c r="AC7983" s="3"/>
      <c r="AD7983" s="3"/>
      <c r="AE7983" s="3"/>
      <c r="AF7983" s="3"/>
      <c r="AG7983" s="3"/>
      <c r="AH7983" s="3"/>
    </row>
    <row r="7984" spans="1:34" ht="14.25" customHeight="1" x14ac:dyDescent="0.25">
      <c r="A7984" s="3"/>
      <c r="B7984" s="3"/>
      <c r="C7984" s="3"/>
      <c r="D7984" s="3"/>
      <c r="E7984" s="3"/>
      <c r="F7984" s="3"/>
      <c r="G7984" s="3"/>
      <c r="H7984" s="11"/>
      <c r="I7984" s="12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  <c r="AA7984" s="3"/>
      <c r="AB7984" s="3"/>
      <c r="AC7984" s="3"/>
      <c r="AD7984" s="3"/>
      <c r="AE7984" s="3"/>
      <c r="AF7984" s="3"/>
      <c r="AG7984" s="3"/>
      <c r="AH7984" s="3"/>
    </row>
    <row r="7985" spans="1:34" ht="14.25" customHeight="1" x14ac:dyDescent="0.25">
      <c r="A7985" s="3"/>
      <c r="B7985" s="3"/>
      <c r="C7985" s="3"/>
      <c r="D7985" s="3"/>
      <c r="E7985" s="3"/>
      <c r="F7985" s="3"/>
      <c r="G7985" s="3"/>
      <c r="H7985" s="11"/>
      <c r="I7985" s="12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  <c r="AA7985" s="3"/>
      <c r="AB7985" s="3"/>
      <c r="AC7985" s="3"/>
      <c r="AD7985" s="3"/>
      <c r="AE7985" s="3"/>
      <c r="AF7985" s="3"/>
      <c r="AG7985" s="3"/>
      <c r="AH7985" s="3"/>
    </row>
    <row r="7986" spans="1:34" ht="14.25" customHeight="1" x14ac:dyDescent="0.25">
      <c r="A7986" s="3"/>
      <c r="B7986" s="3"/>
      <c r="C7986" s="3"/>
      <c r="D7986" s="3"/>
      <c r="E7986" s="3"/>
      <c r="F7986" s="3"/>
      <c r="G7986" s="3"/>
      <c r="H7986" s="11"/>
      <c r="I7986" s="12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  <c r="AA7986" s="3"/>
      <c r="AB7986" s="3"/>
      <c r="AC7986" s="3"/>
      <c r="AD7986" s="3"/>
      <c r="AE7986" s="3"/>
      <c r="AF7986" s="3"/>
      <c r="AG7986" s="3"/>
      <c r="AH7986" s="3"/>
    </row>
    <row r="7987" spans="1:34" ht="14.25" customHeight="1" x14ac:dyDescent="0.25">
      <c r="A7987" s="3"/>
      <c r="B7987" s="3"/>
      <c r="C7987" s="3"/>
      <c r="D7987" s="3"/>
      <c r="E7987" s="3"/>
      <c r="F7987" s="3"/>
      <c r="G7987" s="3"/>
      <c r="H7987" s="11"/>
      <c r="I7987" s="12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  <c r="AA7987" s="3"/>
      <c r="AB7987" s="3"/>
      <c r="AC7987" s="3"/>
      <c r="AD7987" s="3"/>
      <c r="AE7987" s="3"/>
      <c r="AF7987" s="3"/>
      <c r="AG7987" s="3"/>
      <c r="AH7987" s="3"/>
    </row>
    <row r="7988" spans="1:34" ht="14.25" customHeight="1" x14ac:dyDescent="0.25">
      <c r="A7988" s="3"/>
      <c r="B7988" s="3"/>
      <c r="C7988" s="3"/>
      <c r="D7988" s="3"/>
      <c r="E7988" s="3"/>
      <c r="F7988" s="3"/>
      <c r="G7988" s="3"/>
      <c r="H7988" s="11"/>
      <c r="I7988" s="12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  <c r="AA7988" s="3"/>
      <c r="AB7988" s="3"/>
      <c r="AC7988" s="3"/>
      <c r="AD7988" s="3"/>
      <c r="AE7988" s="3"/>
      <c r="AF7988" s="3"/>
      <c r="AG7988" s="3"/>
      <c r="AH7988" s="3"/>
    </row>
    <row r="7989" spans="1:34" ht="14.25" customHeight="1" x14ac:dyDescent="0.25">
      <c r="A7989" s="3"/>
      <c r="B7989" s="3"/>
      <c r="C7989" s="3"/>
      <c r="D7989" s="3"/>
      <c r="E7989" s="3"/>
      <c r="F7989" s="3"/>
      <c r="G7989" s="3"/>
      <c r="H7989" s="11"/>
      <c r="I7989" s="12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  <c r="AA7989" s="3"/>
      <c r="AB7989" s="3"/>
      <c r="AC7989" s="3"/>
      <c r="AD7989" s="3"/>
      <c r="AE7989" s="3"/>
      <c r="AF7989" s="3"/>
      <c r="AG7989" s="3"/>
      <c r="AH7989" s="3"/>
    </row>
    <row r="7990" spans="1:34" ht="14.25" customHeight="1" x14ac:dyDescent="0.25">
      <c r="A7990" s="3"/>
      <c r="B7990" s="3"/>
      <c r="C7990" s="3"/>
      <c r="D7990" s="3"/>
      <c r="E7990" s="3"/>
      <c r="F7990" s="3"/>
      <c r="G7990" s="3"/>
      <c r="H7990" s="11"/>
      <c r="I7990" s="12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  <c r="AA7990" s="3"/>
      <c r="AB7990" s="3"/>
      <c r="AC7990" s="3"/>
      <c r="AD7990" s="3"/>
      <c r="AE7990" s="3"/>
      <c r="AF7990" s="3"/>
      <c r="AG7990" s="3"/>
      <c r="AH7990" s="3"/>
    </row>
    <row r="7991" spans="1:34" ht="14.25" customHeight="1" x14ac:dyDescent="0.25">
      <c r="A7991" s="3"/>
      <c r="B7991" s="3"/>
      <c r="C7991" s="3"/>
      <c r="D7991" s="3"/>
      <c r="E7991" s="3"/>
      <c r="F7991" s="3"/>
      <c r="G7991" s="3"/>
      <c r="H7991" s="11"/>
      <c r="I7991" s="12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  <c r="AA7991" s="3"/>
      <c r="AB7991" s="3"/>
      <c r="AC7991" s="3"/>
      <c r="AD7991" s="3"/>
      <c r="AE7991" s="3"/>
      <c r="AF7991" s="3"/>
      <c r="AG7991" s="3"/>
      <c r="AH7991" s="3"/>
    </row>
    <row r="7992" spans="1:34" ht="14.25" customHeight="1" x14ac:dyDescent="0.25">
      <c r="A7992" s="3"/>
      <c r="B7992" s="3"/>
      <c r="C7992" s="3"/>
      <c r="D7992" s="3"/>
      <c r="E7992" s="3"/>
      <c r="F7992" s="3"/>
      <c r="G7992" s="3"/>
      <c r="H7992" s="11"/>
      <c r="I7992" s="12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  <c r="AA7992" s="3"/>
      <c r="AB7992" s="3"/>
      <c r="AC7992" s="3"/>
      <c r="AD7992" s="3"/>
      <c r="AE7992" s="3"/>
      <c r="AF7992" s="3"/>
      <c r="AG7992" s="3"/>
      <c r="AH7992" s="3"/>
    </row>
    <row r="7993" spans="1:34" ht="14.25" customHeight="1" x14ac:dyDescent="0.25">
      <c r="A7993" s="3"/>
      <c r="B7993" s="3"/>
      <c r="C7993" s="3"/>
      <c r="D7993" s="3"/>
      <c r="E7993" s="3"/>
      <c r="F7993" s="3"/>
      <c r="G7993" s="3"/>
      <c r="H7993" s="11"/>
      <c r="I7993" s="12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  <c r="AA7993" s="3"/>
      <c r="AB7993" s="3"/>
      <c r="AC7993" s="3"/>
      <c r="AD7993" s="3"/>
      <c r="AE7993" s="3"/>
      <c r="AF7993" s="3"/>
      <c r="AG7993" s="3"/>
      <c r="AH7993" s="3"/>
    </row>
    <row r="7994" spans="1:34" ht="14.25" customHeight="1" x14ac:dyDescent="0.25">
      <c r="A7994" s="3"/>
      <c r="B7994" s="3"/>
      <c r="C7994" s="3"/>
      <c r="D7994" s="3"/>
      <c r="E7994" s="3"/>
      <c r="F7994" s="3"/>
      <c r="G7994" s="3"/>
      <c r="H7994" s="11"/>
      <c r="I7994" s="12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  <c r="AA7994" s="3"/>
      <c r="AB7994" s="3"/>
      <c r="AC7994" s="3"/>
      <c r="AD7994" s="3"/>
      <c r="AE7994" s="3"/>
      <c r="AF7994" s="3"/>
      <c r="AG7994" s="3"/>
      <c r="AH7994" s="3"/>
    </row>
    <row r="7995" spans="1:34" ht="14.25" customHeight="1" x14ac:dyDescent="0.25">
      <c r="A7995" s="3"/>
      <c r="B7995" s="3"/>
      <c r="C7995" s="3"/>
      <c r="D7995" s="3"/>
      <c r="E7995" s="3"/>
      <c r="F7995" s="3"/>
      <c r="G7995" s="3"/>
      <c r="H7995" s="11"/>
      <c r="I7995" s="12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  <c r="AA7995" s="3"/>
      <c r="AB7995" s="3"/>
      <c r="AC7995" s="3"/>
      <c r="AD7995" s="3"/>
      <c r="AE7995" s="3"/>
      <c r="AF7995" s="3"/>
      <c r="AG7995" s="3"/>
      <c r="AH7995" s="3"/>
    </row>
    <row r="7996" spans="1:34" ht="14.25" customHeight="1" x14ac:dyDescent="0.25">
      <c r="A7996" s="3"/>
      <c r="B7996" s="3"/>
      <c r="C7996" s="3"/>
      <c r="D7996" s="3"/>
      <c r="E7996" s="3"/>
      <c r="F7996" s="3"/>
      <c r="G7996" s="3"/>
      <c r="H7996" s="11"/>
      <c r="I7996" s="12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  <c r="AA7996" s="3"/>
      <c r="AB7996" s="3"/>
      <c r="AC7996" s="3"/>
      <c r="AD7996" s="3"/>
      <c r="AE7996" s="3"/>
      <c r="AF7996" s="3"/>
      <c r="AG7996" s="3"/>
      <c r="AH7996" s="3"/>
    </row>
    <row r="7997" spans="1:34" ht="14.25" customHeight="1" x14ac:dyDescent="0.25">
      <c r="A7997" s="3"/>
      <c r="B7997" s="3"/>
      <c r="C7997" s="3"/>
      <c r="D7997" s="3"/>
      <c r="E7997" s="3"/>
      <c r="F7997" s="3"/>
      <c r="G7997" s="3"/>
      <c r="H7997" s="11"/>
      <c r="I7997" s="12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  <c r="AA7997" s="3"/>
      <c r="AB7997" s="3"/>
      <c r="AC7997" s="3"/>
      <c r="AD7997" s="3"/>
      <c r="AE7997" s="3"/>
      <c r="AF7997" s="3"/>
      <c r="AG7997" s="3"/>
      <c r="AH7997" s="3"/>
    </row>
    <row r="7998" spans="1:34" ht="14.25" customHeight="1" x14ac:dyDescent="0.25">
      <c r="A7998" s="3"/>
      <c r="B7998" s="3"/>
      <c r="C7998" s="3"/>
      <c r="D7998" s="3"/>
      <c r="E7998" s="3"/>
      <c r="F7998" s="3"/>
      <c r="G7998" s="3"/>
      <c r="H7998" s="11"/>
      <c r="I7998" s="12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  <c r="AA7998" s="3"/>
      <c r="AB7998" s="3"/>
      <c r="AC7998" s="3"/>
      <c r="AD7998" s="3"/>
      <c r="AE7998" s="3"/>
      <c r="AF7998" s="3"/>
      <c r="AG7998" s="3"/>
      <c r="AH7998" s="3"/>
    </row>
    <row r="7999" spans="1:34" ht="14.25" customHeight="1" x14ac:dyDescent="0.25">
      <c r="A7999" s="3"/>
      <c r="B7999" s="3"/>
      <c r="C7999" s="3"/>
      <c r="D7999" s="3"/>
      <c r="E7999" s="3"/>
      <c r="F7999" s="3"/>
      <c r="G7999" s="3"/>
      <c r="H7999" s="11"/>
      <c r="I7999" s="12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  <c r="AA7999" s="3"/>
      <c r="AB7999" s="3"/>
      <c r="AC7999" s="3"/>
      <c r="AD7999" s="3"/>
      <c r="AE7999" s="3"/>
      <c r="AF7999" s="3"/>
      <c r="AG7999" s="3"/>
      <c r="AH7999" s="3"/>
    </row>
    <row r="8000" spans="1:34" ht="14.25" customHeight="1" x14ac:dyDescent="0.25">
      <c r="A8000" s="3"/>
      <c r="B8000" s="3"/>
      <c r="C8000" s="3"/>
      <c r="D8000" s="3"/>
      <c r="E8000" s="3"/>
      <c r="F8000" s="3"/>
      <c r="G8000" s="3"/>
      <c r="H8000" s="11"/>
      <c r="I8000" s="12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  <c r="AA8000" s="3"/>
      <c r="AB8000" s="3"/>
      <c r="AC8000" s="3"/>
      <c r="AD8000" s="3"/>
      <c r="AE8000" s="3"/>
      <c r="AF8000" s="3"/>
      <c r="AG8000" s="3"/>
      <c r="AH8000" s="3"/>
    </row>
    <row r="8001" spans="1:34" ht="14.25" customHeight="1" x14ac:dyDescent="0.25">
      <c r="A8001" s="3"/>
      <c r="B8001" s="3"/>
      <c r="C8001" s="3"/>
      <c r="D8001" s="3"/>
      <c r="E8001" s="3"/>
      <c r="F8001" s="3"/>
      <c r="G8001" s="3"/>
      <c r="H8001" s="11"/>
      <c r="I8001" s="12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  <c r="AA8001" s="3"/>
      <c r="AB8001" s="3"/>
      <c r="AC8001" s="3"/>
      <c r="AD8001" s="3"/>
      <c r="AE8001" s="3"/>
      <c r="AF8001" s="3"/>
      <c r="AG8001" s="3"/>
      <c r="AH8001" s="3"/>
    </row>
    <row r="8002" spans="1:34" ht="14.25" customHeight="1" x14ac:dyDescent="0.25">
      <c r="A8002" s="3"/>
      <c r="B8002" s="3"/>
      <c r="C8002" s="3"/>
      <c r="D8002" s="3"/>
      <c r="E8002" s="3"/>
      <c r="F8002" s="3"/>
      <c r="G8002" s="3"/>
      <c r="H8002" s="11"/>
      <c r="I8002" s="12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  <c r="AA8002" s="3"/>
      <c r="AB8002" s="3"/>
      <c r="AC8002" s="3"/>
      <c r="AD8002" s="3"/>
      <c r="AE8002" s="3"/>
      <c r="AF8002" s="3"/>
      <c r="AG8002" s="3"/>
      <c r="AH8002" s="3"/>
    </row>
    <row r="8003" spans="1:34" ht="14.25" customHeight="1" x14ac:dyDescent="0.25">
      <c r="A8003" s="3"/>
      <c r="B8003" s="3"/>
      <c r="C8003" s="3"/>
      <c r="D8003" s="3"/>
      <c r="E8003" s="3"/>
      <c r="F8003" s="3"/>
      <c r="G8003" s="3"/>
      <c r="H8003" s="11"/>
      <c r="I8003" s="12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  <c r="AA8003" s="3"/>
      <c r="AB8003" s="3"/>
      <c r="AC8003" s="3"/>
      <c r="AD8003" s="3"/>
      <c r="AE8003" s="3"/>
      <c r="AF8003" s="3"/>
      <c r="AG8003" s="3"/>
      <c r="AH8003" s="3"/>
    </row>
    <row r="8004" spans="1:34" ht="14.25" customHeight="1" x14ac:dyDescent="0.25">
      <c r="A8004" s="3"/>
      <c r="B8004" s="3"/>
      <c r="C8004" s="3"/>
      <c r="D8004" s="3"/>
      <c r="E8004" s="3"/>
      <c r="F8004" s="3"/>
      <c r="G8004" s="3"/>
      <c r="H8004" s="11"/>
      <c r="I8004" s="12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  <c r="AA8004" s="3"/>
      <c r="AB8004" s="3"/>
      <c r="AC8004" s="3"/>
      <c r="AD8004" s="3"/>
      <c r="AE8004" s="3"/>
      <c r="AF8004" s="3"/>
      <c r="AG8004" s="3"/>
      <c r="AH8004" s="3"/>
    </row>
    <row r="8005" spans="1:34" ht="14.25" customHeight="1" x14ac:dyDescent="0.25">
      <c r="A8005" s="3"/>
      <c r="B8005" s="3"/>
      <c r="C8005" s="3"/>
      <c r="D8005" s="3"/>
      <c r="E8005" s="3"/>
      <c r="F8005" s="3"/>
      <c r="G8005" s="3"/>
      <c r="H8005" s="11"/>
      <c r="I8005" s="12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  <c r="AA8005" s="3"/>
      <c r="AB8005" s="3"/>
      <c r="AC8005" s="3"/>
      <c r="AD8005" s="3"/>
      <c r="AE8005" s="3"/>
      <c r="AF8005" s="3"/>
      <c r="AG8005" s="3"/>
      <c r="AH8005" s="3"/>
    </row>
    <row r="8006" spans="1:34" ht="14.25" customHeight="1" x14ac:dyDescent="0.25">
      <c r="A8006" s="3"/>
      <c r="B8006" s="3"/>
      <c r="C8006" s="3"/>
      <c r="D8006" s="3"/>
      <c r="E8006" s="3"/>
      <c r="F8006" s="3"/>
      <c r="G8006" s="3"/>
      <c r="H8006" s="11"/>
      <c r="I8006" s="12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  <c r="AA8006" s="3"/>
      <c r="AB8006" s="3"/>
      <c r="AC8006" s="3"/>
      <c r="AD8006" s="3"/>
      <c r="AE8006" s="3"/>
      <c r="AF8006" s="3"/>
      <c r="AG8006" s="3"/>
      <c r="AH8006" s="3"/>
    </row>
    <row r="8007" spans="1:34" ht="14.25" customHeight="1" x14ac:dyDescent="0.25">
      <c r="A8007" s="3"/>
      <c r="B8007" s="3"/>
      <c r="C8007" s="3"/>
      <c r="D8007" s="3"/>
      <c r="E8007" s="3"/>
      <c r="F8007" s="3"/>
      <c r="G8007" s="3"/>
      <c r="H8007" s="11"/>
      <c r="I8007" s="12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  <c r="AA8007" s="3"/>
      <c r="AB8007" s="3"/>
      <c r="AC8007" s="3"/>
      <c r="AD8007" s="3"/>
      <c r="AE8007" s="3"/>
      <c r="AF8007" s="3"/>
      <c r="AG8007" s="3"/>
      <c r="AH8007" s="3"/>
    </row>
    <row r="8008" spans="1:34" ht="14.25" customHeight="1" x14ac:dyDescent="0.25">
      <c r="A8008" s="3"/>
      <c r="B8008" s="3"/>
      <c r="C8008" s="3"/>
      <c r="D8008" s="3"/>
      <c r="E8008" s="3"/>
      <c r="F8008" s="3"/>
      <c r="G8008" s="3"/>
      <c r="H8008" s="11"/>
      <c r="I8008" s="12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  <c r="AA8008" s="3"/>
      <c r="AB8008" s="3"/>
      <c r="AC8008" s="3"/>
      <c r="AD8008" s="3"/>
      <c r="AE8008" s="3"/>
      <c r="AF8008" s="3"/>
      <c r="AG8008" s="3"/>
      <c r="AH8008" s="3"/>
    </row>
    <row r="8009" spans="1:34" ht="14.25" customHeight="1" x14ac:dyDescent="0.25">
      <c r="A8009" s="3"/>
      <c r="B8009" s="3"/>
      <c r="C8009" s="3"/>
      <c r="D8009" s="3"/>
      <c r="E8009" s="3"/>
      <c r="F8009" s="3"/>
      <c r="G8009" s="3"/>
      <c r="H8009" s="11"/>
      <c r="I8009" s="12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  <c r="AA8009" s="3"/>
      <c r="AB8009" s="3"/>
      <c r="AC8009" s="3"/>
      <c r="AD8009" s="3"/>
      <c r="AE8009" s="3"/>
      <c r="AF8009" s="3"/>
      <c r="AG8009" s="3"/>
      <c r="AH8009" s="3"/>
    </row>
    <row r="8010" spans="1:34" ht="14.25" customHeight="1" x14ac:dyDescent="0.25">
      <c r="A8010" s="3"/>
      <c r="B8010" s="3"/>
      <c r="C8010" s="3"/>
      <c r="D8010" s="3"/>
      <c r="E8010" s="3"/>
      <c r="F8010" s="3"/>
      <c r="G8010" s="3"/>
      <c r="H8010" s="11"/>
      <c r="I8010" s="12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  <c r="AA8010" s="3"/>
      <c r="AB8010" s="3"/>
      <c r="AC8010" s="3"/>
      <c r="AD8010" s="3"/>
      <c r="AE8010" s="3"/>
      <c r="AF8010" s="3"/>
      <c r="AG8010" s="3"/>
      <c r="AH8010" s="3"/>
    </row>
    <row r="8011" spans="1:34" ht="14.25" customHeight="1" x14ac:dyDescent="0.25">
      <c r="A8011" s="3"/>
      <c r="B8011" s="3"/>
      <c r="C8011" s="3"/>
      <c r="D8011" s="3"/>
      <c r="E8011" s="3"/>
      <c r="F8011" s="3"/>
      <c r="G8011" s="3"/>
      <c r="H8011" s="11"/>
      <c r="I8011" s="12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  <c r="AA8011" s="3"/>
      <c r="AB8011" s="3"/>
      <c r="AC8011" s="3"/>
      <c r="AD8011" s="3"/>
      <c r="AE8011" s="3"/>
      <c r="AF8011" s="3"/>
      <c r="AG8011" s="3"/>
      <c r="AH8011" s="3"/>
    </row>
    <row r="8012" spans="1:34" ht="14.25" customHeight="1" x14ac:dyDescent="0.25">
      <c r="A8012" s="3"/>
      <c r="B8012" s="3"/>
      <c r="C8012" s="3"/>
      <c r="D8012" s="3"/>
      <c r="E8012" s="3"/>
      <c r="F8012" s="3"/>
      <c r="G8012" s="3"/>
      <c r="H8012" s="11"/>
      <c r="I8012" s="12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  <c r="AA8012" s="3"/>
      <c r="AB8012" s="3"/>
      <c r="AC8012" s="3"/>
      <c r="AD8012" s="3"/>
      <c r="AE8012" s="3"/>
      <c r="AF8012" s="3"/>
      <c r="AG8012" s="3"/>
      <c r="AH8012" s="3"/>
    </row>
    <row r="8013" spans="1:34" ht="14.25" customHeight="1" x14ac:dyDescent="0.25">
      <c r="A8013" s="3"/>
      <c r="B8013" s="3"/>
      <c r="C8013" s="3"/>
      <c r="D8013" s="3"/>
      <c r="E8013" s="3"/>
      <c r="F8013" s="3"/>
      <c r="G8013" s="3"/>
      <c r="H8013" s="11"/>
      <c r="I8013" s="12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  <c r="AA8013" s="3"/>
      <c r="AB8013" s="3"/>
      <c r="AC8013" s="3"/>
      <c r="AD8013" s="3"/>
      <c r="AE8013" s="3"/>
      <c r="AF8013" s="3"/>
      <c r="AG8013" s="3"/>
      <c r="AH8013" s="3"/>
    </row>
    <row r="8014" spans="1:34" ht="14.25" customHeight="1" x14ac:dyDescent="0.25">
      <c r="A8014" s="3"/>
      <c r="B8014" s="3"/>
      <c r="C8014" s="3"/>
      <c r="D8014" s="3"/>
      <c r="E8014" s="3"/>
      <c r="F8014" s="3"/>
      <c r="G8014" s="3"/>
      <c r="H8014" s="11"/>
      <c r="I8014" s="12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  <c r="AA8014" s="3"/>
      <c r="AB8014" s="3"/>
      <c r="AC8014" s="3"/>
      <c r="AD8014" s="3"/>
      <c r="AE8014" s="3"/>
      <c r="AF8014" s="3"/>
      <c r="AG8014" s="3"/>
      <c r="AH8014" s="3"/>
    </row>
    <row r="8015" spans="1:34" ht="14.25" customHeight="1" x14ac:dyDescent="0.25">
      <c r="A8015" s="3"/>
      <c r="B8015" s="3"/>
      <c r="C8015" s="3"/>
      <c r="D8015" s="3"/>
      <c r="E8015" s="3"/>
      <c r="F8015" s="3"/>
      <c r="G8015" s="3"/>
      <c r="H8015" s="11"/>
      <c r="I8015" s="12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  <c r="AA8015" s="3"/>
      <c r="AB8015" s="3"/>
      <c r="AC8015" s="3"/>
      <c r="AD8015" s="3"/>
      <c r="AE8015" s="3"/>
      <c r="AF8015" s="3"/>
      <c r="AG8015" s="3"/>
      <c r="AH8015" s="3"/>
    </row>
    <row r="8016" spans="1:34" ht="14.25" customHeight="1" x14ac:dyDescent="0.25">
      <c r="A8016" s="3"/>
      <c r="B8016" s="3"/>
      <c r="C8016" s="3"/>
      <c r="D8016" s="3"/>
      <c r="E8016" s="3"/>
      <c r="F8016" s="3"/>
      <c r="G8016" s="3"/>
      <c r="H8016" s="11"/>
      <c r="I8016" s="12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  <c r="AA8016" s="3"/>
      <c r="AB8016" s="3"/>
      <c r="AC8016" s="3"/>
      <c r="AD8016" s="3"/>
      <c r="AE8016" s="3"/>
      <c r="AF8016" s="3"/>
      <c r="AG8016" s="3"/>
      <c r="AH8016" s="3"/>
    </row>
    <row r="8017" spans="1:34" ht="14.25" customHeight="1" x14ac:dyDescent="0.25">
      <c r="A8017" s="3"/>
      <c r="B8017" s="3"/>
      <c r="C8017" s="3"/>
      <c r="D8017" s="3"/>
      <c r="E8017" s="3"/>
      <c r="F8017" s="3"/>
      <c r="G8017" s="3"/>
      <c r="H8017" s="11"/>
      <c r="I8017" s="12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  <c r="AA8017" s="3"/>
      <c r="AB8017" s="3"/>
      <c r="AC8017" s="3"/>
      <c r="AD8017" s="3"/>
      <c r="AE8017" s="3"/>
      <c r="AF8017" s="3"/>
      <c r="AG8017" s="3"/>
      <c r="AH8017" s="3"/>
    </row>
    <row r="8018" spans="1:34" ht="14.25" customHeight="1" x14ac:dyDescent="0.25">
      <c r="A8018" s="3"/>
      <c r="B8018" s="3"/>
      <c r="C8018" s="3"/>
      <c r="D8018" s="3"/>
      <c r="E8018" s="3"/>
      <c r="F8018" s="3"/>
      <c r="G8018" s="3"/>
      <c r="H8018" s="11"/>
      <c r="I8018" s="12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  <c r="AA8018" s="3"/>
      <c r="AB8018" s="3"/>
      <c r="AC8018" s="3"/>
      <c r="AD8018" s="3"/>
      <c r="AE8018" s="3"/>
      <c r="AF8018" s="3"/>
      <c r="AG8018" s="3"/>
      <c r="AH8018" s="3"/>
    </row>
    <row r="8019" spans="1:34" ht="14.25" customHeight="1" x14ac:dyDescent="0.25">
      <c r="A8019" s="3"/>
      <c r="B8019" s="3"/>
      <c r="C8019" s="3"/>
      <c r="D8019" s="3"/>
      <c r="E8019" s="3"/>
      <c r="F8019" s="3"/>
      <c r="G8019" s="3"/>
      <c r="H8019" s="11"/>
      <c r="I8019" s="12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  <c r="AA8019" s="3"/>
      <c r="AB8019" s="3"/>
      <c r="AC8019" s="3"/>
      <c r="AD8019" s="3"/>
      <c r="AE8019" s="3"/>
      <c r="AF8019" s="3"/>
      <c r="AG8019" s="3"/>
      <c r="AH8019" s="3"/>
    </row>
    <row r="8020" spans="1:34" ht="14.25" customHeight="1" x14ac:dyDescent="0.25">
      <c r="A8020" s="3"/>
      <c r="B8020" s="3"/>
      <c r="C8020" s="3"/>
      <c r="D8020" s="3"/>
      <c r="E8020" s="3"/>
      <c r="F8020" s="3"/>
      <c r="G8020" s="3"/>
      <c r="H8020" s="11"/>
      <c r="I8020" s="12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  <c r="AA8020" s="3"/>
      <c r="AB8020" s="3"/>
      <c r="AC8020" s="3"/>
      <c r="AD8020" s="3"/>
      <c r="AE8020" s="3"/>
      <c r="AF8020" s="3"/>
      <c r="AG8020" s="3"/>
      <c r="AH8020" s="3"/>
    </row>
    <row r="8021" spans="1:34" ht="14.25" customHeight="1" x14ac:dyDescent="0.25">
      <c r="A8021" s="3"/>
      <c r="B8021" s="3"/>
      <c r="C8021" s="3"/>
      <c r="D8021" s="3"/>
      <c r="E8021" s="3"/>
      <c r="F8021" s="3"/>
      <c r="G8021" s="3"/>
      <c r="H8021" s="11"/>
      <c r="I8021" s="12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  <c r="AA8021" s="3"/>
      <c r="AB8021" s="3"/>
      <c r="AC8021" s="3"/>
      <c r="AD8021" s="3"/>
      <c r="AE8021" s="3"/>
      <c r="AF8021" s="3"/>
      <c r="AG8021" s="3"/>
      <c r="AH8021" s="3"/>
    </row>
    <row r="8022" spans="1:34" ht="14.25" customHeight="1" x14ac:dyDescent="0.25">
      <c r="A8022" s="3"/>
      <c r="B8022" s="3"/>
      <c r="C8022" s="3"/>
      <c r="D8022" s="3"/>
      <c r="E8022" s="3"/>
      <c r="F8022" s="3"/>
      <c r="G8022" s="3"/>
      <c r="H8022" s="11"/>
      <c r="I8022" s="12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  <c r="AA8022" s="3"/>
      <c r="AB8022" s="3"/>
      <c r="AC8022" s="3"/>
      <c r="AD8022" s="3"/>
      <c r="AE8022" s="3"/>
      <c r="AF8022" s="3"/>
      <c r="AG8022" s="3"/>
      <c r="AH8022" s="3"/>
    </row>
    <row r="8023" spans="1:34" ht="14.25" customHeight="1" x14ac:dyDescent="0.25">
      <c r="A8023" s="3"/>
      <c r="B8023" s="3"/>
      <c r="C8023" s="3"/>
      <c r="D8023" s="3"/>
      <c r="E8023" s="3"/>
      <c r="F8023" s="3"/>
      <c r="G8023" s="3"/>
      <c r="H8023" s="11"/>
      <c r="I8023" s="12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  <c r="AA8023" s="3"/>
      <c r="AB8023" s="3"/>
      <c r="AC8023" s="3"/>
      <c r="AD8023" s="3"/>
      <c r="AE8023" s="3"/>
      <c r="AF8023" s="3"/>
      <c r="AG8023" s="3"/>
      <c r="AH8023" s="3"/>
    </row>
    <row r="8024" spans="1:34" ht="14.25" customHeight="1" x14ac:dyDescent="0.25">
      <c r="A8024" s="3"/>
      <c r="B8024" s="3"/>
      <c r="C8024" s="3"/>
      <c r="D8024" s="3"/>
      <c r="E8024" s="3"/>
      <c r="F8024" s="3"/>
      <c r="G8024" s="3"/>
      <c r="H8024" s="11"/>
      <c r="I8024" s="12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  <c r="AA8024" s="3"/>
      <c r="AB8024" s="3"/>
      <c r="AC8024" s="3"/>
      <c r="AD8024" s="3"/>
      <c r="AE8024" s="3"/>
      <c r="AF8024" s="3"/>
      <c r="AG8024" s="3"/>
      <c r="AH8024" s="3"/>
    </row>
    <row r="8025" spans="1:34" ht="14.25" customHeight="1" x14ac:dyDescent="0.25">
      <c r="A8025" s="3"/>
      <c r="B8025" s="3"/>
      <c r="C8025" s="3"/>
      <c r="D8025" s="3"/>
      <c r="E8025" s="3"/>
      <c r="F8025" s="3"/>
      <c r="G8025" s="3"/>
      <c r="H8025" s="11"/>
      <c r="I8025" s="12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  <c r="AA8025" s="3"/>
      <c r="AB8025" s="3"/>
      <c r="AC8025" s="3"/>
      <c r="AD8025" s="3"/>
      <c r="AE8025" s="3"/>
      <c r="AF8025" s="3"/>
      <c r="AG8025" s="3"/>
      <c r="AH8025" s="3"/>
    </row>
    <row r="8026" spans="1:34" ht="14.25" customHeight="1" x14ac:dyDescent="0.25">
      <c r="A8026" s="3"/>
      <c r="B8026" s="3"/>
      <c r="C8026" s="3"/>
      <c r="D8026" s="3"/>
      <c r="E8026" s="3"/>
      <c r="F8026" s="3"/>
      <c r="G8026" s="3"/>
      <c r="H8026" s="11"/>
      <c r="I8026" s="12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  <c r="AA8026" s="3"/>
      <c r="AB8026" s="3"/>
      <c r="AC8026" s="3"/>
      <c r="AD8026" s="3"/>
      <c r="AE8026" s="3"/>
      <c r="AF8026" s="3"/>
      <c r="AG8026" s="3"/>
      <c r="AH8026" s="3"/>
    </row>
    <row r="8027" spans="1:34" ht="14.25" customHeight="1" x14ac:dyDescent="0.25">
      <c r="A8027" s="3"/>
      <c r="B8027" s="3"/>
      <c r="C8027" s="3"/>
      <c r="D8027" s="3"/>
      <c r="E8027" s="3"/>
      <c r="F8027" s="3"/>
      <c r="G8027" s="3"/>
      <c r="H8027" s="11"/>
      <c r="I8027" s="12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  <c r="AA8027" s="3"/>
      <c r="AB8027" s="3"/>
      <c r="AC8027" s="3"/>
      <c r="AD8027" s="3"/>
      <c r="AE8027" s="3"/>
      <c r="AF8027" s="3"/>
      <c r="AG8027" s="3"/>
      <c r="AH8027" s="3"/>
    </row>
    <row r="8028" spans="1:34" ht="14.25" customHeight="1" x14ac:dyDescent="0.25">
      <c r="A8028" s="3"/>
      <c r="B8028" s="3"/>
      <c r="C8028" s="3"/>
      <c r="D8028" s="3"/>
      <c r="E8028" s="3"/>
      <c r="F8028" s="3"/>
      <c r="G8028" s="3"/>
      <c r="H8028" s="11"/>
      <c r="I8028" s="12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  <c r="AA8028" s="3"/>
      <c r="AB8028" s="3"/>
      <c r="AC8028" s="3"/>
      <c r="AD8028" s="3"/>
      <c r="AE8028" s="3"/>
      <c r="AF8028" s="3"/>
      <c r="AG8028" s="3"/>
      <c r="AH8028" s="3"/>
    </row>
    <row r="8029" spans="1:34" ht="14.25" customHeight="1" x14ac:dyDescent="0.25">
      <c r="A8029" s="3"/>
      <c r="B8029" s="3"/>
      <c r="C8029" s="3"/>
      <c r="D8029" s="3"/>
      <c r="E8029" s="3"/>
      <c r="F8029" s="3"/>
      <c r="G8029" s="3"/>
      <c r="H8029" s="11"/>
      <c r="I8029" s="12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  <c r="AA8029" s="3"/>
      <c r="AB8029" s="3"/>
      <c r="AC8029" s="3"/>
      <c r="AD8029" s="3"/>
      <c r="AE8029" s="3"/>
      <c r="AF8029" s="3"/>
      <c r="AG8029" s="3"/>
      <c r="AH8029" s="3"/>
    </row>
    <row r="8030" spans="1:34" ht="14.25" customHeight="1" x14ac:dyDescent="0.25">
      <c r="A8030" s="3"/>
      <c r="B8030" s="3"/>
      <c r="C8030" s="3"/>
      <c r="D8030" s="3"/>
      <c r="E8030" s="3"/>
      <c r="F8030" s="3"/>
      <c r="G8030" s="3"/>
      <c r="H8030" s="11"/>
      <c r="I8030" s="12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  <c r="AA8030" s="3"/>
      <c r="AB8030" s="3"/>
      <c r="AC8030" s="3"/>
      <c r="AD8030" s="3"/>
      <c r="AE8030" s="3"/>
      <c r="AF8030" s="3"/>
      <c r="AG8030" s="3"/>
      <c r="AH8030" s="3"/>
    </row>
    <row r="8031" spans="1:34" ht="14.25" customHeight="1" x14ac:dyDescent="0.25">
      <c r="A8031" s="3"/>
      <c r="B8031" s="3"/>
      <c r="C8031" s="3"/>
      <c r="D8031" s="3"/>
      <c r="E8031" s="3"/>
      <c r="F8031" s="3"/>
      <c r="G8031" s="3"/>
      <c r="H8031" s="11"/>
      <c r="I8031" s="12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  <c r="AA8031" s="3"/>
      <c r="AB8031" s="3"/>
      <c r="AC8031" s="3"/>
      <c r="AD8031" s="3"/>
      <c r="AE8031" s="3"/>
      <c r="AF8031" s="3"/>
      <c r="AG8031" s="3"/>
      <c r="AH8031" s="3"/>
    </row>
    <row r="8032" spans="1:34" ht="14.25" customHeight="1" x14ac:dyDescent="0.25">
      <c r="A8032" s="3"/>
      <c r="B8032" s="3"/>
      <c r="C8032" s="3"/>
      <c r="D8032" s="3"/>
      <c r="E8032" s="3"/>
      <c r="F8032" s="3"/>
      <c r="G8032" s="3"/>
      <c r="H8032" s="11"/>
      <c r="I8032" s="12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  <c r="AA8032" s="3"/>
      <c r="AB8032" s="3"/>
      <c r="AC8032" s="3"/>
      <c r="AD8032" s="3"/>
      <c r="AE8032" s="3"/>
      <c r="AF8032" s="3"/>
      <c r="AG8032" s="3"/>
      <c r="AH8032" s="3"/>
    </row>
    <row r="8033" spans="1:34" ht="14.25" customHeight="1" x14ac:dyDescent="0.25">
      <c r="A8033" s="3"/>
      <c r="B8033" s="3"/>
      <c r="C8033" s="3"/>
      <c r="D8033" s="3"/>
      <c r="E8033" s="3"/>
      <c r="F8033" s="3"/>
      <c r="G8033" s="3"/>
      <c r="H8033" s="11"/>
      <c r="I8033" s="12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  <c r="AA8033" s="3"/>
      <c r="AB8033" s="3"/>
      <c r="AC8033" s="3"/>
      <c r="AD8033" s="3"/>
      <c r="AE8033" s="3"/>
      <c r="AF8033" s="3"/>
      <c r="AG8033" s="3"/>
      <c r="AH8033" s="3"/>
    </row>
    <row r="8034" spans="1:34" ht="14.25" customHeight="1" x14ac:dyDescent="0.25">
      <c r="A8034" s="3"/>
      <c r="B8034" s="3"/>
      <c r="C8034" s="3"/>
      <c r="D8034" s="3"/>
      <c r="E8034" s="3"/>
      <c r="F8034" s="3"/>
      <c r="G8034" s="3"/>
      <c r="H8034" s="11"/>
      <c r="I8034" s="12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  <c r="AA8034" s="3"/>
      <c r="AB8034" s="3"/>
      <c r="AC8034" s="3"/>
      <c r="AD8034" s="3"/>
      <c r="AE8034" s="3"/>
      <c r="AF8034" s="3"/>
      <c r="AG8034" s="3"/>
      <c r="AH8034" s="3"/>
    </row>
    <row r="8035" spans="1:34" ht="14.25" customHeight="1" x14ac:dyDescent="0.25">
      <c r="A8035" s="3"/>
      <c r="B8035" s="3"/>
      <c r="C8035" s="3"/>
      <c r="D8035" s="3"/>
      <c r="E8035" s="3"/>
      <c r="F8035" s="3"/>
      <c r="G8035" s="3"/>
      <c r="H8035" s="11"/>
      <c r="I8035" s="12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  <c r="AA8035" s="3"/>
      <c r="AB8035" s="3"/>
      <c r="AC8035" s="3"/>
      <c r="AD8035" s="3"/>
      <c r="AE8035" s="3"/>
      <c r="AF8035" s="3"/>
      <c r="AG8035" s="3"/>
      <c r="AH8035" s="3"/>
    </row>
    <row r="8036" spans="1:34" ht="14.25" customHeight="1" x14ac:dyDescent="0.25">
      <c r="A8036" s="3"/>
      <c r="B8036" s="3"/>
      <c r="C8036" s="3"/>
      <c r="D8036" s="3"/>
      <c r="E8036" s="3"/>
      <c r="F8036" s="3"/>
      <c r="G8036" s="3"/>
      <c r="H8036" s="11"/>
      <c r="I8036" s="12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  <c r="AA8036" s="3"/>
      <c r="AB8036" s="3"/>
      <c r="AC8036" s="3"/>
      <c r="AD8036" s="3"/>
      <c r="AE8036" s="3"/>
      <c r="AF8036" s="3"/>
      <c r="AG8036" s="3"/>
      <c r="AH8036" s="3"/>
    </row>
    <row r="8037" spans="1:34" ht="14.25" customHeight="1" x14ac:dyDescent="0.25">
      <c r="A8037" s="3"/>
      <c r="B8037" s="3"/>
      <c r="C8037" s="3"/>
      <c r="D8037" s="3"/>
      <c r="E8037" s="3"/>
      <c r="F8037" s="3"/>
      <c r="G8037" s="3"/>
      <c r="H8037" s="11"/>
      <c r="I8037" s="12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  <c r="AA8037" s="3"/>
      <c r="AB8037" s="3"/>
      <c r="AC8037" s="3"/>
      <c r="AD8037" s="3"/>
      <c r="AE8037" s="3"/>
      <c r="AF8037" s="3"/>
      <c r="AG8037" s="3"/>
      <c r="AH8037" s="3"/>
    </row>
    <row r="8038" spans="1:34" ht="14.25" customHeight="1" x14ac:dyDescent="0.25">
      <c r="A8038" s="3"/>
      <c r="B8038" s="3"/>
      <c r="C8038" s="3"/>
      <c r="D8038" s="3"/>
      <c r="E8038" s="3"/>
      <c r="F8038" s="3"/>
      <c r="G8038" s="3"/>
      <c r="H8038" s="11"/>
      <c r="I8038" s="12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  <c r="AA8038" s="3"/>
      <c r="AB8038" s="3"/>
      <c r="AC8038" s="3"/>
      <c r="AD8038" s="3"/>
      <c r="AE8038" s="3"/>
      <c r="AF8038" s="3"/>
      <c r="AG8038" s="3"/>
      <c r="AH8038" s="3"/>
    </row>
    <row r="8039" spans="1:34" ht="14.25" customHeight="1" x14ac:dyDescent="0.25">
      <c r="A8039" s="3"/>
      <c r="B8039" s="3"/>
      <c r="C8039" s="3"/>
      <c r="D8039" s="3"/>
      <c r="E8039" s="3"/>
      <c r="F8039" s="3"/>
      <c r="G8039" s="3"/>
      <c r="H8039" s="11"/>
      <c r="I8039" s="12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  <c r="AA8039" s="3"/>
      <c r="AB8039" s="3"/>
      <c r="AC8039" s="3"/>
      <c r="AD8039" s="3"/>
      <c r="AE8039" s="3"/>
      <c r="AF8039" s="3"/>
      <c r="AG8039" s="3"/>
      <c r="AH8039" s="3"/>
    </row>
    <row r="8040" spans="1:34" ht="14.25" customHeight="1" x14ac:dyDescent="0.25">
      <c r="A8040" s="3"/>
      <c r="B8040" s="3"/>
      <c r="C8040" s="3"/>
      <c r="D8040" s="3"/>
      <c r="E8040" s="3"/>
      <c r="F8040" s="3"/>
      <c r="G8040" s="3"/>
      <c r="H8040" s="11"/>
      <c r="I8040" s="12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  <c r="AA8040" s="3"/>
      <c r="AB8040" s="3"/>
      <c r="AC8040" s="3"/>
      <c r="AD8040" s="3"/>
      <c r="AE8040" s="3"/>
      <c r="AF8040" s="3"/>
      <c r="AG8040" s="3"/>
      <c r="AH8040" s="3"/>
    </row>
    <row r="8041" spans="1:34" ht="14.25" customHeight="1" x14ac:dyDescent="0.25">
      <c r="A8041" s="3"/>
      <c r="B8041" s="3"/>
      <c r="C8041" s="3"/>
      <c r="D8041" s="3"/>
      <c r="E8041" s="3"/>
      <c r="F8041" s="3"/>
      <c r="G8041" s="3"/>
      <c r="H8041" s="11"/>
      <c r="I8041" s="12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  <c r="AA8041" s="3"/>
      <c r="AB8041" s="3"/>
      <c r="AC8041" s="3"/>
      <c r="AD8041" s="3"/>
      <c r="AE8041" s="3"/>
      <c r="AF8041" s="3"/>
      <c r="AG8041" s="3"/>
      <c r="AH8041" s="3"/>
    </row>
    <row r="8042" spans="1:34" ht="14.25" customHeight="1" x14ac:dyDescent="0.25">
      <c r="A8042" s="3"/>
      <c r="B8042" s="3"/>
      <c r="C8042" s="3"/>
      <c r="D8042" s="3"/>
      <c r="E8042" s="3"/>
      <c r="F8042" s="3"/>
      <c r="G8042" s="3"/>
      <c r="H8042" s="11"/>
      <c r="I8042" s="12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  <c r="AA8042" s="3"/>
      <c r="AB8042" s="3"/>
      <c r="AC8042" s="3"/>
      <c r="AD8042" s="3"/>
      <c r="AE8042" s="3"/>
      <c r="AF8042" s="3"/>
      <c r="AG8042" s="3"/>
      <c r="AH8042" s="3"/>
    </row>
    <row r="8043" spans="1:34" ht="14.25" customHeight="1" x14ac:dyDescent="0.25">
      <c r="A8043" s="3"/>
      <c r="B8043" s="3"/>
      <c r="C8043" s="3"/>
      <c r="D8043" s="3"/>
      <c r="E8043" s="3"/>
      <c r="F8043" s="3"/>
      <c r="G8043" s="3"/>
      <c r="H8043" s="11"/>
      <c r="I8043" s="12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  <c r="AA8043" s="3"/>
      <c r="AB8043" s="3"/>
      <c r="AC8043" s="3"/>
      <c r="AD8043" s="3"/>
      <c r="AE8043" s="3"/>
      <c r="AF8043" s="3"/>
      <c r="AG8043" s="3"/>
      <c r="AH8043" s="3"/>
    </row>
    <row r="8044" spans="1:34" ht="14.25" customHeight="1" x14ac:dyDescent="0.25">
      <c r="A8044" s="3"/>
      <c r="B8044" s="3"/>
      <c r="C8044" s="3"/>
      <c r="D8044" s="3"/>
      <c r="E8044" s="3"/>
      <c r="F8044" s="3"/>
      <c r="G8044" s="3"/>
      <c r="H8044" s="11"/>
      <c r="I8044" s="12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  <c r="AA8044" s="3"/>
      <c r="AB8044" s="3"/>
      <c r="AC8044" s="3"/>
      <c r="AD8044" s="3"/>
      <c r="AE8044" s="3"/>
      <c r="AF8044" s="3"/>
      <c r="AG8044" s="3"/>
      <c r="AH8044" s="3"/>
    </row>
    <row r="8045" spans="1:34" ht="14.25" customHeight="1" x14ac:dyDescent="0.25">
      <c r="A8045" s="3"/>
      <c r="B8045" s="3"/>
      <c r="C8045" s="3"/>
      <c r="D8045" s="3"/>
      <c r="E8045" s="3"/>
      <c r="F8045" s="3"/>
      <c r="G8045" s="3"/>
      <c r="H8045" s="11"/>
      <c r="I8045" s="12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  <c r="AA8045" s="3"/>
      <c r="AB8045" s="3"/>
      <c r="AC8045" s="3"/>
      <c r="AD8045" s="3"/>
      <c r="AE8045" s="3"/>
      <c r="AF8045" s="3"/>
      <c r="AG8045" s="3"/>
      <c r="AH8045" s="3"/>
    </row>
    <row r="8046" spans="1:34" ht="14.25" customHeight="1" x14ac:dyDescent="0.25">
      <c r="A8046" s="3"/>
      <c r="B8046" s="3"/>
      <c r="C8046" s="3"/>
      <c r="D8046" s="3"/>
      <c r="E8046" s="3"/>
      <c r="F8046" s="3"/>
      <c r="G8046" s="3"/>
      <c r="H8046" s="11"/>
      <c r="I8046" s="12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  <c r="AA8046" s="3"/>
      <c r="AB8046" s="3"/>
      <c r="AC8046" s="3"/>
      <c r="AD8046" s="3"/>
      <c r="AE8046" s="3"/>
      <c r="AF8046" s="3"/>
      <c r="AG8046" s="3"/>
      <c r="AH8046" s="3"/>
    </row>
    <row r="8047" spans="1:34" ht="14.25" customHeight="1" x14ac:dyDescent="0.25">
      <c r="A8047" s="3"/>
      <c r="B8047" s="3"/>
      <c r="C8047" s="3"/>
      <c r="D8047" s="3"/>
      <c r="E8047" s="3"/>
      <c r="F8047" s="3"/>
      <c r="G8047" s="3"/>
      <c r="H8047" s="11"/>
      <c r="I8047" s="12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  <c r="AA8047" s="3"/>
      <c r="AB8047" s="3"/>
      <c r="AC8047" s="3"/>
      <c r="AD8047" s="3"/>
      <c r="AE8047" s="3"/>
      <c r="AF8047" s="3"/>
      <c r="AG8047" s="3"/>
      <c r="AH8047" s="3"/>
    </row>
    <row r="8048" spans="1:34" ht="14.25" customHeight="1" x14ac:dyDescent="0.25">
      <c r="A8048" s="3"/>
      <c r="B8048" s="3"/>
      <c r="C8048" s="3"/>
      <c r="D8048" s="3"/>
      <c r="E8048" s="3"/>
      <c r="F8048" s="3"/>
      <c r="G8048" s="3"/>
      <c r="H8048" s="11"/>
      <c r="I8048" s="12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  <c r="AA8048" s="3"/>
      <c r="AB8048" s="3"/>
      <c r="AC8048" s="3"/>
      <c r="AD8048" s="3"/>
      <c r="AE8048" s="3"/>
      <c r="AF8048" s="3"/>
      <c r="AG8048" s="3"/>
      <c r="AH8048" s="3"/>
    </row>
    <row r="8049" spans="1:34" ht="14.25" customHeight="1" x14ac:dyDescent="0.25">
      <c r="A8049" s="3"/>
      <c r="B8049" s="3"/>
      <c r="C8049" s="3"/>
      <c r="D8049" s="3"/>
      <c r="E8049" s="3"/>
      <c r="F8049" s="3"/>
      <c r="G8049" s="3"/>
      <c r="H8049" s="11"/>
      <c r="I8049" s="12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  <c r="AA8049" s="3"/>
      <c r="AB8049" s="3"/>
      <c r="AC8049" s="3"/>
      <c r="AD8049" s="3"/>
      <c r="AE8049" s="3"/>
      <c r="AF8049" s="3"/>
      <c r="AG8049" s="3"/>
      <c r="AH8049" s="3"/>
    </row>
    <row r="8050" spans="1:34" ht="14.25" customHeight="1" x14ac:dyDescent="0.25">
      <c r="A8050" s="3"/>
      <c r="B8050" s="3"/>
      <c r="C8050" s="3"/>
      <c r="D8050" s="3"/>
      <c r="E8050" s="3"/>
      <c r="F8050" s="3"/>
      <c r="G8050" s="3"/>
      <c r="H8050" s="11"/>
      <c r="I8050" s="12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  <c r="AA8050" s="3"/>
      <c r="AB8050" s="3"/>
      <c r="AC8050" s="3"/>
      <c r="AD8050" s="3"/>
      <c r="AE8050" s="3"/>
      <c r="AF8050" s="3"/>
      <c r="AG8050" s="3"/>
      <c r="AH8050" s="3"/>
    </row>
    <row r="8051" spans="1:34" ht="14.25" customHeight="1" x14ac:dyDescent="0.25">
      <c r="A8051" s="3"/>
      <c r="B8051" s="3"/>
      <c r="C8051" s="3"/>
      <c r="D8051" s="3"/>
      <c r="E8051" s="3"/>
      <c r="F8051" s="3"/>
      <c r="G8051" s="3"/>
      <c r="H8051" s="11"/>
      <c r="I8051" s="12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  <c r="AA8051" s="3"/>
      <c r="AB8051" s="3"/>
      <c r="AC8051" s="3"/>
      <c r="AD8051" s="3"/>
      <c r="AE8051" s="3"/>
      <c r="AF8051" s="3"/>
      <c r="AG8051" s="3"/>
      <c r="AH8051" s="3"/>
    </row>
    <row r="8052" spans="1:34" ht="14.25" customHeight="1" x14ac:dyDescent="0.25">
      <c r="A8052" s="3"/>
      <c r="B8052" s="3"/>
      <c r="C8052" s="3"/>
      <c r="D8052" s="3"/>
      <c r="E8052" s="3"/>
      <c r="F8052" s="3"/>
      <c r="G8052" s="3"/>
      <c r="H8052" s="11"/>
      <c r="I8052" s="12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  <c r="AA8052" s="3"/>
      <c r="AB8052" s="3"/>
      <c r="AC8052" s="3"/>
      <c r="AD8052" s="3"/>
      <c r="AE8052" s="3"/>
      <c r="AF8052" s="3"/>
      <c r="AG8052" s="3"/>
      <c r="AH8052" s="3"/>
    </row>
    <row r="8053" spans="1:34" ht="14.25" customHeight="1" x14ac:dyDescent="0.25">
      <c r="A8053" s="3"/>
      <c r="B8053" s="3"/>
      <c r="C8053" s="3"/>
      <c r="D8053" s="3"/>
      <c r="E8053" s="3"/>
      <c r="F8053" s="3"/>
      <c r="G8053" s="3"/>
      <c r="H8053" s="11"/>
      <c r="I8053" s="12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  <c r="AA8053" s="3"/>
      <c r="AB8053" s="3"/>
      <c r="AC8053" s="3"/>
      <c r="AD8053" s="3"/>
      <c r="AE8053" s="3"/>
      <c r="AF8053" s="3"/>
      <c r="AG8053" s="3"/>
      <c r="AH8053" s="3"/>
    </row>
    <row r="8054" spans="1:34" ht="14.25" customHeight="1" x14ac:dyDescent="0.25">
      <c r="A8054" s="3"/>
      <c r="B8054" s="3"/>
      <c r="C8054" s="3"/>
      <c r="D8054" s="3"/>
      <c r="E8054" s="3"/>
      <c r="F8054" s="3"/>
      <c r="G8054" s="3"/>
      <c r="H8054" s="11"/>
      <c r="I8054" s="12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  <c r="AA8054" s="3"/>
      <c r="AB8054" s="3"/>
      <c r="AC8054" s="3"/>
      <c r="AD8054" s="3"/>
      <c r="AE8054" s="3"/>
      <c r="AF8054" s="3"/>
      <c r="AG8054" s="3"/>
      <c r="AH8054" s="3"/>
    </row>
    <row r="8055" spans="1:34" ht="14.25" customHeight="1" x14ac:dyDescent="0.25">
      <c r="A8055" s="3"/>
      <c r="B8055" s="3"/>
      <c r="C8055" s="3"/>
      <c r="D8055" s="3"/>
      <c r="E8055" s="3"/>
      <c r="F8055" s="3"/>
      <c r="G8055" s="3"/>
      <c r="H8055" s="11"/>
      <c r="I8055" s="12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  <c r="AA8055" s="3"/>
      <c r="AB8055" s="3"/>
      <c r="AC8055" s="3"/>
      <c r="AD8055" s="3"/>
      <c r="AE8055" s="3"/>
      <c r="AF8055" s="3"/>
      <c r="AG8055" s="3"/>
      <c r="AH8055" s="3"/>
    </row>
    <row r="8056" spans="1:34" ht="14.25" customHeight="1" x14ac:dyDescent="0.25">
      <c r="A8056" s="3"/>
      <c r="B8056" s="3"/>
      <c r="C8056" s="3"/>
      <c r="D8056" s="3"/>
      <c r="E8056" s="3"/>
      <c r="F8056" s="3"/>
      <c r="G8056" s="3"/>
      <c r="H8056" s="11"/>
      <c r="I8056" s="12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  <c r="AA8056" s="3"/>
      <c r="AB8056" s="3"/>
      <c r="AC8056" s="3"/>
      <c r="AD8056" s="3"/>
      <c r="AE8056" s="3"/>
      <c r="AF8056" s="3"/>
      <c r="AG8056" s="3"/>
      <c r="AH8056" s="3"/>
    </row>
    <row r="8057" spans="1:34" ht="14.25" customHeight="1" x14ac:dyDescent="0.25">
      <c r="A8057" s="3"/>
      <c r="B8057" s="3"/>
      <c r="C8057" s="3"/>
      <c r="D8057" s="3"/>
      <c r="E8057" s="3"/>
      <c r="F8057" s="3"/>
      <c r="G8057" s="3"/>
      <c r="H8057" s="11"/>
      <c r="I8057" s="12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  <c r="AA8057" s="3"/>
      <c r="AB8057" s="3"/>
      <c r="AC8057" s="3"/>
      <c r="AD8057" s="3"/>
      <c r="AE8057" s="3"/>
      <c r="AF8057" s="3"/>
      <c r="AG8057" s="3"/>
      <c r="AH8057" s="3"/>
    </row>
    <row r="8058" spans="1:34" ht="14.25" customHeight="1" x14ac:dyDescent="0.25">
      <c r="A8058" s="3"/>
      <c r="B8058" s="3"/>
      <c r="C8058" s="3"/>
      <c r="D8058" s="3"/>
      <c r="E8058" s="3"/>
      <c r="F8058" s="3"/>
      <c r="G8058" s="3"/>
      <c r="H8058" s="11"/>
      <c r="I8058" s="12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  <c r="AA8058" s="3"/>
      <c r="AB8058" s="3"/>
      <c r="AC8058" s="3"/>
      <c r="AD8058" s="3"/>
      <c r="AE8058" s="3"/>
      <c r="AF8058" s="3"/>
      <c r="AG8058" s="3"/>
      <c r="AH8058" s="3"/>
    </row>
    <row r="8059" spans="1:34" ht="14.25" customHeight="1" x14ac:dyDescent="0.25">
      <c r="A8059" s="3"/>
      <c r="B8059" s="3"/>
      <c r="C8059" s="3"/>
      <c r="D8059" s="3"/>
      <c r="E8059" s="3"/>
      <c r="F8059" s="3"/>
      <c r="G8059" s="3"/>
      <c r="H8059" s="11"/>
      <c r="I8059" s="12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  <c r="AA8059" s="3"/>
      <c r="AB8059" s="3"/>
      <c r="AC8059" s="3"/>
      <c r="AD8059" s="3"/>
      <c r="AE8059" s="3"/>
      <c r="AF8059" s="3"/>
      <c r="AG8059" s="3"/>
      <c r="AH8059" s="3"/>
    </row>
    <row r="8060" spans="1:34" ht="14.25" customHeight="1" x14ac:dyDescent="0.25">
      <c r="A8060" s="3"/>
      <c r="B8060" s="3"/>
      <c r="C8060" s="3"/>
      <c r="D8060" s="3"/>
      <c r="E8060" s="3"/>
      <c r="F8060" s="3"/>
      <c r="G8060" s="3"/>
      <c r="H8060" s="11"/>
      <c r="I8060" s="12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  <c r="AA8060" s="3"/>
      <c r="AB8060" s="3"/>
      <c r="AC8060" s="3"/>
      <c r="AD8060" s="3"/>
      <c r="AE8060" s="3"/>
      <c r="AF8060" s="3"/>
      <c r="AG8060" s="3"/>
      <c r="AH8060" s="3"/>
    </row>
    <row r="8061" spans="1:34" ht="14.25" customHeight="1" x14ac:dyDescent="0.25">
      <c r="A8061" s="3"/>
      <c r="B8061" s="3"/>
      <c r="C8061" s="3"/>
      <c r="D8061" s="3"/>
      <c r="E8061" s="3"/>
      <c r="F8061" s="3"/>
      <c r="G8061" s="3"/>
      <c r="H8061" s="11"/>
      <c r="I8061" s="12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  <c r="AA8061" s="3"/>
      <c r="AB8061" s="3"/>
      <c r="AC8061" s="3"/>
      <c r="AD8061" s="3"/>
      <c r="AE8061" s="3"/>
      <c r="AF8061" s="3"/>
      <c r="AG8061" s="3"/>
      <c r="AH8061" s="3"/>
    </row>
    <row r="8062" spans="1:34" ht="14.25" customHeight="1" x14ac:dyDescent="0.25">
      <c r="A8062" s="3"/>
      <c r="B8062" s="3"/>
      <c r="C8062" s="3"/>
      <c r="D8062" s="3"/>
      <c r="E8062" s="3"/>
      <c r="F8062" s="3"/>
      <c r="G8062" s="3"/>
      <c r="H8062" s="11"/>
      <c r="I8062" s="12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  <c r="AA8062" s="3"/>
      <c r="AB8062" s="3"/>
      <c r="AC8062" s="3"/>
      <c r="AD8062" s="3"/>
      <c r="AE8062" s="3"/>
      <c r="AF8062" s="3"/>
      <c r="AG8062" s="3"/>
      <c r="AH8062" s="3"/>
    </row>
    <row r="8063" spans="1:34" ht="14.25" customHeight="1" x14ac:dyDescent="0.25">
      <c r="A8063" s="3"/>
      <c r="B8063" s="3"/>
      <c r="C8063" s="3"/>
      <c r="D8063" s="3"/>
      <c r="E8063" s="3"/>
      <c r="F8063" s="3"/>
      <c r="G8063" s="3"/>
      <c r="H8063" s="11"/>
      <c r="I8063" s="12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  <c r="AA8063" s="3"/>
      <c r="AB8063" s="3"/>
      <c r="AC8063" s="3"/>
      <c r="AD8063" s="3"/>
      <c r="AE8063" s="3"/>
      <c r="AF8063" s="3"/>
      <c r="AG8063" s="3"/>
      <c r="AH8063" s="3"/>
    </row>
    <row r="8064" spans="1:34" ht="14.25" customHeight="1" x14ac:dyDescent="0.25">
      <c r="A8064" s="3"/>
      <c r="B8064" s="3"/>
      <c r="C8064" s="3"/>
      <c r="D8064" s="3"/>
      <c r="E8064" s="3"/>
      <c r="F8064" s="3"/>
      <c r="G8064" s="3"/>
      <c r="H8064" s="11"/>
      <c r="I8064" s="12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  <c r="AA8064" s="3"/>
      <c r="AB8064" s="3"/>
      <c r="AC8064" s="3"/>
      <c r="AD8064" s="3"/>
      <c r="AE8064" s="3"/>
      <c r="AF8064" s="3"/>
      <c r="AG8064" s="3"/>
      <c r="AH8064" s="3"/>
    </row>
    <row r="8065" spans="1:34" ht="14.25" customHeight="1" x14ac:dyDescent="0.25">
      <c r="A8065" s="3"/>
      <c r="B8065" s="3"/>
      <c r="C8065" s="3"/>
      <c r="D8065" s="3"/>
      <c r="E8065" s="3"/>
      <c r="F8065" s="3"/>
      <c r="G8065" s="3"/>
      <c r="H8065" s="11"/>
      <c r="I8065" s="12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  <c r="AA8065" s="3"/>
      <c r="AB8065" s="3"/>
      <c r="AC8065" s="3"/>
      <c r="AD8065" s="3"/>
      <c r="AE8065" s="3"/>
      <c r="AF8065" s="3"/>
      <c r="AG8065" s="3"/>
      <c r="AH8065" s="3"/>
    </row>
    <row r="8066" spans="1:34" ht="14.25" customHeight="1" x14ac:dyDescent="0.25">
      <c r="A8066" s="3"/>
      <c r="B8066" s="3"/>
      <c r="C8066" s="3"/>
      <c r="D8066" s="3"/>
      <c r="E8066" s="3"/>
      <c r="F8066" s="3"/>
      <c r="G8066" s="3"/>
      <c r="H8066" s="11"/>
      <c r="I8066" s="12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  <c r="AA8066" s="3"/>
      <c r="AB8066" s="3"/>
      <c r="AC8066" s="3"/>
      <c r="AD8066" s="3"/>
      <c r="AE8066" s="3"/>
      <c r="AF8066" s="3"/>
      <c r="AG8066" s="3"/>
      <c r="AH8066" s="3"/>
    </row>
    <row r="8067" spans="1:34" ht="14.25" customHeight="1" x14ac:dyDescent="0.25">
      <c r="A8067" s="3"/>
      <c r="B8067" s="3"/>
      <c r="C8067" s="3"/>
      <c r="D8067" s="3"/>
      <c r="E8067" s="3"/>
      <c r="F8067" s="3"/>
      <c r="G8067" s="3"/>
      <c r="H8067" s="11"/>
      <c r="I8067" s="12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  <c r="AA8067" s="3"/>
      <c r="AB8067" s="3"/>
      <c r="AC8067" s="3"/>
      <c r="AD8067" s="3"/>
      <c r="AE8067" s="3"/>
      <c r="AF8067" s="3"/>
      <c r="AG8067" s="3"/>
      <c r="AH8067" s="3"/>
    </row>
    <row r="8068" spans="1:34" ht="14.25" customHeight="1" x14ac:dyDescent="0.25">
      <c r="A8068" s="3"/>
      <c r="B8068" s="3"/>
      <c r="C8068" s="3"/>
      <c r="D8068" s="3"/>
      <c r="E8068" s="3"/>
      <c r="F8068" s="3"/>
      <c r="G8068" s="3"/>
      <c r="H8068" s="11"/>
      <c r="I8068" s="12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  <c r="AA8068" s="3"/>
      <c r="AB8068" s="3"/>
      <c r="AC8068" s="3"/>
      <c r="AD8068" s="3"/>
      <c r="AE8068" s="3"/>
      <c r="AF8068" s="3"/>
      <c r="AG8068" s="3"/>
      <c r="AH8068" s="3"/>
    </row>
    <row r="8069" spans="1:34" ht="14.25" customHeight="1" x14ac:dyDescent="0.25">
      <c r="A8069" s="3"/>
      <c r="B8069" s="3"/>
      <c r="C8069" s="3"/>
      <c r="D8069" s="3"/>
      <c r="E8069" s="3"/>
      <c r="F8069" s="3"/>
      <c r="G8069" s="3"/>
      <c r="H8069" s="11"/>
      <c r="I8069" s="12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  <c r="AA8069" s="3"/>
      <c r="AB8069" s="3"/>
      <c r="AC8069" s="3"/>
      <c r="AD8069" s="3"/>
      <c r="AE8069" s="3"/>
      <c r="AF8069" s="3"/>
      <c r="AG8069" s="3"/>
      <c r="AH8069" s="3"/>
    </row>
    <row r="8070" spans="1:34" ht="14.25" customHeight="1" x14ac:dyDescent="0.25">
      <c r="A8070" s="3"/>
      <c r="B8070" s="3"/>
      <c r="C8070" s="3"/>
      <c r="D8070" s="3"/>
      <c r="E8070" s="3"/>
      <c r="F8070" s="3"/>
      <c r="G8070" s="3"/>
      <c r="H8070" s="11"/>
      <c r="I8070" s="12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  <c r="AA8070" s="3"/>
      <c r="AB8070" s="3"/>
      <c r="AC8070" s="3"/>
      <c r="AD8070" s="3"/>
      <c r="AE8070" s="3"/>
      <c r="AF8070" s="3"/>
      <c r="AG8070" s="3"/>
      <c r="AH8070" s="3"/>
    </row>
    <row r="8071" spans="1:34" ht="14.25" customHeight="1" x14ac:dyDescent="0.25">
      <c r="A8071" s="3"/>
      <c r="B8071" s="3"/>
      <c r="C8071" s="3"/>
      <c r="D8071" s="3"/>
      <c r="E8071" s="3"/>
      <c r="F8071" s="3"/>
      <c r="G8071" s="3"/>
      <c r="H8071" s="11"/>
      <c r="I8071" s="12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  <c r="AA8071" s="3"/>
      <c r="AB8071" s="3"/>
      <c r="AC8071" s="3"/>
      <c r="AD8071" s="3"/>
      <c r="AE8071" s="3"/>
      <c r="AF8071" s="3"/>
      <c r="AG8071" s="3"/>
      <c r="AH8071" s="3"/>
    </row>
    <row r="8072" spans="1:34" ht="14.25" customHeight="1" x14ac:dyDescent="0.25">
      <c r="A8072" s="3"/>
      <c r="B8072" s="3"/>
      <c r="C8072" s="3"/>
      <c r="D8072" s="3"/>
      <c r="E8072" s="3"/>
      <c r="F8072" s="3"/>
      <c r="G8072" s="3"/>
      <c r="H8072" s="11"/>
      <c r="I8072" s="12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  <c r="AA8072" s="3"/>
      <c r="AB8072" s="3"/>
      <c r="AC8072" s="3"/>
      <c r="AD8072" s="3"/>
      <c r="AE8072" s="3"/>
      <c r="AF8072" s="3"/>
      <c r="AG8072" s="3"/>
      <c r="AH8072" s="3"/>
    </row>
    <row r="8073" spans="1:34" ht="14.25" customHeight="1" x14ac:dyDescent="0.25">
      <c r="A8073" s="3"/>
      <c r="B8073" s="3"/>
      <c r="C8073" s="3"/>
      <c r="D8073" s="3"/>
      <c r="E8073" s="3"/>
      <c r="F8073" s="3"/>
      <c r="G8073" s="3"/>
      <c r="H8073" s="11"/>
      <c r="I8073" s="12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  <c r="AA8073" s="3"/>
      <c r="AB8073" s="3"/>
      <c r="AC8073" s="3"/>
      <c r="AD8073" s="3"/>
      <c r="AE8073" s="3"/>
      <c r="AF8073" s="3"/>
      <c r="AG8073" s="3"/>
      <c r="AH8073" s="3"/>
    </row>
    <row r="8074" spans="1:34" ht="14.25" customHeight="1" x14ac:dyDescent="0.25">
      <c r="A8074" s="3"/>
      <c r="B8074" s="3"/>
      <c r="C8074" s="3"/>
      <c r="D8074" s="3"/>
      <c r="E8074" s="3"/>
      <c r="F8074" s="3"/>
      <c r="G8074" s="3"/>
      <c r="H8074" s="11"/>
      <c r="I8074" s="12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  <c r="AA8074" s="3"/>
      <c r="AB8074" s="3"/>
      <c r="AC8074" s="3"/>
      <c r="AD8074" s="3"/>
      <c r="AE8074" s="3"/>
      <c r="AF8074" s="3"/>
      <c r="AG8074" s="3"/>
      <c r="AH8074" s="3"/>
    </row>
    <row r="8075" spans="1:34" ht="14.25" customHeight="1" x14ac:dyDescent="0.25">
      <c r="A8075" s="3"/>
      <c r="B8075" s="3"/>
      <c r="C8075" s="3"/>
      <c r="D8075" s="3"/>
      <c r="E8075" s="3"/>
      <c r="F8075" s="3"/>
      <c r="G8075" s="3"/>
      <c r="H8075" s="11"/>
      <c r="I8075" s="12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  <c r="AA8075" s="3"/>
      <c r="AB8075" s="3"/>
      <c r="AC8075" s="3"/>
      <c r="AD8075" s="3"/>
      <c r="AE8075" s="3"/>
      <c r="AF8075" s="3"/>
      <c r="AG8075" s="3"/>
      <c r="AH8075" s="3"/>
    </row>
    <row r="8076" spans="1:34" ht="14.25" customHeight="1" x14ac:dyDescent="0.25">
      <c r="A8076" s="3"/>
      <c r="B8076" s="3"/>
      <c r="C8076" s="3"/>
      <c r="D8076" s="3"/>
      <c r="E8076" s="3"/>
      <c r="F8076" s="3"/>
      <c r="G8076" s="3"/>
      <c r="H8076" s="11"/>
      <c r="I8076" s="12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  <c r="AA8076" s="3"/>
      <c r="AB8076" s="3"/>
      <c r="AC8076" s="3"/>
      <c r="AD8076" s="3"/>
      <c r="AE8076" s="3"/>
      <c r="AF8076" s="3"/>
      <c r="AG8076" s="3"/>
      <c r="AH8076" s="3"/>
    </row>
    <row r="8077" spans="1:34" ht="14.25" customHeight="1" x14ac:dyDescent="0.25">
      <c r="A8077" s="3"/>
      <c r="B8077" s="3"/>
      <c r="C8077" s="3"/>
      <c r="D8077" s="3"/>
      <c r="E8077" s="3"/>
      <c r="F8077" s="3"/>
      <c r="G8077" s="3"/>
      <c r="H8077" s="11"/>
      <c r="I8077" s="12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  <c r="AA8077" s="3"/>
      <c r="AB8077" s="3"/>
      <c r="AC8077" s="3"/>
      <c r="AD8077" s="3"/>
      <c r="AE8077" s="3"/>
      <c r="AF8077" s="3"/>
      <c r="AG8077" s="3"/>
      <c r="AH8077" s="3"/>
    </row>
    <row r="8078" spans="1:34" ht="14.25" customHeight="1" x14ac:dyDescent="0.25">
      <c r="A8078" s="3"/>
      <c r="B8078" s="3"/>
      <c r="C8078" s="3"/>
      <c r="D8078" s="3"/>
      <c r="E8078" s="3"/>
      <c r="F8078" s="3"/>
      <c r="G8078" s="3"/>
      <c r="H8078" s="11"/>
      <c r="I8078" s="12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  <c r="AA8078" s="3"/>
      <c r="AB8078" s="3"/>
      <c r="AC8078" s="3"/>
      <c r="AD8078" s="3"/>
      <c r="AE8078" s="3"/>
      <c r="AF8078" s="3"/>
      <c r="AG8078" s="3"/>
      <c r="AH8078" s="3"/>
    </row>
    <row r="8079" spans="1:34" ht="14.25" customHeight="1" x14ac:dyDescent="0.25">
      <c r="A8079" s="3"/>
      <c r="B8079" s="3"/>
      <c r="C8079" s="3"/>
      <c r="D8079" s="3"/>
      <c r="E8079" s="3"/>
      <c r="F8079" s="3"/>
      <c r="G8079" s="3"/>
      <c r="H8079" s="11"/>
      <c r="I8079" s="12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  <c r="AA8079" s="3"/>
      <c r="AB8079" s="3"/>
      <c r="AC8079" s="3"/>
      <c r="AD8079" s="3"/>
      <c r="AE8079" s="3"/>
      <c r="AF8079" s="3"/>
      <c r="AG8079" s="3"/>
      <c r="AH8079" s="3"/>
    </row>
    <row r="8080" spans="1:34" ht="14.25" customHeight="1" x14ac:dyDescent="0.25">
      <c r="A8080" s="3"/>
      <c r="B8080" s="3"/>
      <c r="C8080" s="3"/>
      <c r="D8080" s="3"/>
      <c r="E8080" s="3"/>
      <c r="F8080" s="3"/>
      <c r="G8080" s="3"/>
      <c r="H8080" s="11"/>
      <c r="I8080" s="12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  <c r="AA8080" s="3"/>
      <c r="AB8080" s="3"/>
      <c r="AC8080" s="3"/>
      <c r="AD8080" s="3"/>
      <c r="AE8080" s="3"/>
      <c r="AF8080" s="3"/>
      <c r="AG8080" s="3"/>
      <c r="AH8080" s="3"/>
    </row>
    <row r="8081" spans="1:34" ht="14.25" customHeight="1" x14ac:dyDescent="0.25">
      <c r="A8081" s="3"/>
      <c r="B8081" s="3"/>
      <c r="C8081" s="3"/>
      <c r="D8081" s="3"/>
      <c r="E8081" s="3"/>
      <c r="F8081" s="3"/>
      <c r="G8081" s="3"/>
      <c r="H8081" s="11"/>
      <c r="I8081" s="12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  <c r="AA8081" s="3"/>
      <c r="AB8081" s="3"/>
      <c r="AC8081" s="3"/>
      <c r="AD8081" s="3"/>
      <c r="AE8081" s="3"/>
      <c r="AF8081" s="3"/>
      <c r="AG8081" s="3"/>
      <c r="AH8081" s="3"/>
    </row>
    <row r="8082" spans="1:34" ht="14.25" customHeight="1" x14ac:dyDescent="0.25">
      <c r="A8082" s="3"/>
      <c r="B8082" s="3"/>
      <c r="C8082" s="3"/>
      <c r="D8082" s="3"/>
      <c r="E8082" s="3"/>
      <c r="F8082" s="3"/>
      <c r="G8082" s="3"/>
      <c r="H8082" s="11"/>
      <c r="I8082" s="12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  <c r="AA8082" s="3"/>
      <c r="AB8082" s="3"/>
      <c r="AC8082" s="3"/>
      <c r="AD8082" s="3"/>
      <c r="AE8082" s="3"/>
      <c r="AF8082" s="3"/>
      <c r="AG8082" s="3"/>
      <c r="AH8082" s="3"/>
    </row>
    <row r="8083" spans="1:34" ht="14.25" customHeight="1" x14ac:dyDescent="0.25">
      <c r="A8083" s="3"/>
      <c r="B8083" s="3"/>
      <c r="C8083" s="3"/>
      <c r="D8083" s="3"/>
      <c r="E8083" s="3"/>
      <c r="F8083" s="3"/>
      <c r="G8083" s="3"/>
      <c r="H8083" s="11"/>
      <c r="I8083" s="12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  <c r="AA8083" s="3"/>
      <c r="AB8083" s="3"/>
      <c r="AC8083" s="3"/>
      <c r="AD8083" s="3"/>
      <c r="AE8083" s="3"/>
      <c r="AF8083" s="3"/>
      <c r="AG8083" s="3"/>
      <c r="AH8083" s="3"/>
    </row>
    <row r="8084" spans="1:34" ht="14.25" customHeight="1" x14ac:dyDescent="0.25">
      <c r="A8084" s="3"/>
      <c r="B8084" s="3"/>
      <c r="C8084" s="3"/>
      <c r="D8084" s="3"/>
      <c r="E8084" s="3"/>
      <c r="F8084" s="3"/>
      <c r="G8084" s="3"/>
      <c r="H8084" s="11"/>
      <c r="I8084" s="12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  <c r="AA8084" s="3"/>
      <c r="AB8084" s="3"/>
      <c r="AC8084" s="3"/>
      <c r="AD8084" s="3"/>
      <c r="AE8084" s="3"/>
      <c r="AF8084" s="3"/>
      <c r="AG8084" s="3"/>
      <c r="AH8084" s="3"/>
    </row>
    <row r="8085" spans="1:34" ht="14.25" customHeight="1" x14ac:dyDescent="0.25">
      <c r="A8085" s="3"/>
      <c r="B8085" s="3"/>
      <c r="C8085" s="3"/>
      <c r="D8085" s="3"/>
      <c r="E8085" s="3"/>
      <c r="F8085" s="3"/>
      <c r="G8085" s="3"/>
      <c r="H8085" s="11"/>
      <c r="I8085" s="12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  <c r="AA8085" s="3"/>
      <c r="AB8085" s="3"/>
      <c r="AC8085" s="3"/>
      <c r="AD8085" s="3"/>
      <c r="AE8085" s="3"/>
      <c r="AF8085" s="3"/>
      <c r="AG8085" s="3"/>
      <c r="AH8085" s="3"/>
    </row>
    <row r="8086" spans="1:34" ht="14.25" customHeight="1" x14ac:dyDescent="0.25">
      <c r="A8086" s="3"/>
      <c r="B8086" s="3"/>
      <c r="C8086" s="3"/>
      <c r="D8086" s="3"/>
      <c r="E8086" s="3"/>
      <c r="F8086" s="3"/>
      <c r="G8086" s="3"/>
      <c r="H8086" s="11"/>
      <c r="I8086" s="12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  <c r="AA8086" s="3"/>
      <c r="AB8086" s="3"/>
      <c r="AC8086" s="3"/>
      <c r="AD8086" s="3"/>
      <c r="AE8086" s="3"/>
      <c r="AF8086" s="3"/>
      <c r="AG8086" s="3"/>
      <c r="AH8086" s="3"/>
    </row>
    <row r="8087" spans="1:34" ht="14.25" customHeight="1" x14ac:dyDescent="0.25">
      <c r="A8087" s="3"/>
      <c r="B8087" s="3"/>
      <c r="C8087" s="3"/>
      <c r="D8087" s="3"/>
      <c r="E8087" s="3"/>
      <c r="F8087" s="3"/>
      <c r="G8087" s="3"/>
      <c r="H8087" s="11"/>
      <c r="I8087" s="12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  <c r="AA8087" s="3"/>
      <c r="AB8087" s="3"/>
      <c r="AC8087" s="3"/>
      <c r="AD8087" s="3"/>
      <c r="AE8087" s="3"/>
      <c r="AF8087" s="3"/>
      <c r="AG8087" s="3"/>
      <c r="AH8087" s="3"/>
    </row>
    <row r="8088" spans="1:34" ht="14.25" customHeight="1" x14ac:dyDescent="0.25">
      <c r="A8088" s="3"/>
      <c r="B8088" s="3"/>
      <c r="C8088" s="3"/>
      <c r="D8088" s="3"/>
      <c r="E8088" s="3"/>
      <c r="F8088" s="3"/>
      <c r="G8088" s="3"/>
      <c r="H8088" s="11"/>
      <c r="I8088" s="12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  <c r="AA8088" s="3"/>
      <c r="AB8088" s="3"/>
      <c r="AC8088" s="3"/>
      <c r="AD8088" s="3"/>
      <c r="AE8088" s="3"/>
      <c r="AF8088" s="3"/>
      <c r="AG8088" s="3"/>
      <c r="AH8088" s="3"/>
    </row>
    <row r="8089" spans="1:34" ht="14.25" customHeight="1" x14ac:dyDescent="0.25">
      <c r="A8089" s="3"/>
      <c r="B8089" s="3"/>
      <c r="C8089" s="3"/>
      <c r="D8089" s="3"/>
      <c r="E8089" s="3"/>
      <c r="F8089" s="3"/>
      <c r="G8089" s="3"/>
      <c r="H8089" s="11"/>
      <c r="I8089" s="12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  <c r="AA8089" s="3"/>
      <c r="AB8089" s="3"/>
      <c r="AC8089" s="3"/>
      <c r="AD8089" s="3"/>
      <c r="AE8089" s="3"/>
      <c r="AF8089" s="3"/>
      <c r="AG8089" s="3"/>
      <c r="AH8089" s="3"/>
    </row>
    <row r="8090" spans="1:34" ht="14.25" customHeight="1" x14ac:dyDescent="0.25">
      <c r="A8090" s="3"/>
      <c r="B8090" s="3"/>
      <c r="C8090" s="3"/>
      <c r="D8090" s="3"/>
      <c r="E8090" s="3"/>
      <c r="F8090" s="3"/>
      <c r="G8090" s="3"/>
      <c r="H8090" s="11"/>
      <c r="I8090" s="12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  <c r="AA8090" s="3"/>
      <c r="AB8090" s="3"/>
      <c r="AC8090" s="3"/>
      <c r="AD8090" s="3"/>
      <c r="AE8090" s="3"/>
      <c r="AF8090" s="3"/>
      <c r="AG8090" s="3"/>
      <c r="AH8090" s="3"/>
    </row>
    <row r="8091" spans="1:34" ht="14.25" customHeight="1" x14ac:dyDescent="0.25">
      <c r="A8091" s="3"/>
      <c r="B8091" s="3"/>
      <c r="C8091" s="3"/>
      <c r="D8091" s="3"/>
      <c r="E8091" s="3"/>
      <c r="F8091" s="3"/>
      <c r="G8091" s="3"/>
      <c r="H8091" s="11"/>
      <c r="I8091" s="12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  <c r="AA8091" s="3"/>
      <c r="AB8091" s="3"/>
      <c r="AC8091" s="3"/>
      <c r="AD8091" s="3"/>
      <c r="AE8091" s="3"/>
      <c r="AF8091" s="3"/>
      <c r="AG8091" s="3"/>
      <c r="AH8091" s="3"/>
    </row>
    <row r="8092" spans="1:34" ht="14.25" customHeight="1" x14ac:dyDescent="0.25">
      <c r="A8092" s="3"/>
      <c r="B8092" s="3"/>
      <c r="C8092" s="3"/>
      <c r="D8092" s="3"/>
      <c r="E8092" s="3"/>
      <c r="F8092" s="3"/>
      <c r="G8092" s="3"/>
      <c r="H8092" s="11"/>
      <c r="I8092" s="12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  <c r="AA8092" s="3"/>
      <c r="AB8092" s="3"/>
      <c r="AC8092" s="3"/>
      <c r="AD8092" s="3"/>
      <c r="AE8092" s="3"/>
      <c r="AF8092" s="3"/>
      <c r="AG8092" s="3"/>
      <c r="AH8092" s="3"/>
    </row>
    <row r="8093" spans="1:34" ht="14.25" customHeight="1" x14ac:dyDescent="0.25">
      <c r="A8093" s="3"/>
      <c r="B8093" s="3"/>
      <c r="C8093" s="3"/>
      <c r="D8093" s="3"/>
      <c r="E8093" s="3"/>
      <c r="F8093" s="3"/>
      <c r="G8093" s="3"/>
      <c r="H8093" s="11"/>
      <c r="I8093" s="12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  <c r="AA8093" s="3"/>
      <c r="AB8093" s="3"/>
      <c r="AC8093" s="3"/>
      <c r="AD8093" s="3"/>
      <c r="AE8093" s="3"/>
      <c r="AF8093" s="3"/>
      <c r="AG8093" s="3"/>
      <c r="AH8093" s="3"/>
    </row>
    <row r="8094" spans="1:34" ht="14.25" customHeight="1" x14ac:dyDescent="0.25">
      <c r="A8094" s="3"/>
      <c r="B8094" s="3"/>
      <c r="C8094" s="3"/>
      <c r="D8094" s="3"/>
      <c r="E8094" s="3"/>
      <c r="F8094" s="3"/>
      <c r="G8094" s="3"/>
      <c r="H8094" s="11"/>
      <c r="I8094" s="12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  <c r="AA8094" s="3"/>
      <c r="AB8094" s="3"/>
      <c r="AC8094" s="3"/>
      <c r="AD8094" s="3"/>
      <c r="AE8094" s="3"/>
      <c r="AF8094" s="3"/>
      <c r="AG8094" s="3"/>
      <c r="AH8094" s="3"/>
    </row>
    <row r="8095" spans="1:34" ht="14.25" customHeight="1" x14ac:dyDescent="0.25">
      <c r="A8095" s="3"/>
      <c r="B8095" s="3"/>
      <c r="C8095" s="3"/>
      <c r="D8095" s="3"/>
      <c r="E8095" s="3"/>
      <c r="F8095" s="3"/>
      <c r="G8095" s="3"/>
      <c r="H8095" s="11"/>
      <c r="I8095" s="12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  <c r="AA8095" s="3"/>
      <c r="AB8095" s="3"/>
      <c r="AC8095" s="3"/>
      <c r="AD8095" s="3"/>
      <c r="AE8095" s="3"/>
      <c r="AF8095" s="3"/>
      <c r="AG8095" s="3"/>
      <c r="AH8095" s="3"/>
    </row>
    <row r="8096" spans="1:34" ht="14.25" customHeight="1" x14ac:dyDescent="0.25">
      <c r="A8096" s="3"/>
      <c r="B8096" s="3"/>
      <c r="C8096" s="3"/>
      <c r="D8096" s="3"/>
      <c r="E8096" s="3"/>
      <c r="F8096" s="3"/>
      <c r="G8096" s="3"/>
      <c r="H8096" s="11"/>
      <c r="I8096" s="12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  <c r="AA8096" s="3"/>
      <c r="AB8096" s="3"/>
      <c r="AC8096" s="3"/>
      <c r="AD8096" s="3"/>
      <c r="AE8096" s="3"/>
      <c r="AF8096" s="3"/>
      <c r="AG8096" s="3"/>
      <c r="AH8096" s="3"/>
    </row>
    <row r="8097" spans="1:34" ht="14.25" customHeight="1" x14ac:dyDescent="0.25">
      <c r="A8097" s="3"/>
      <c r="B8097" s="3"/>
      <c r="C8097" s="3"/>
      <c r="D8097" s="3"/>
      <c r="E8097" s="3"/>
      <c r="F8097" s="3"/>
      <c r="G8097" s="3"/>
      <c r="H8097" s="11"/>
      <c r="I8097" s="12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  <c r="AA8097" s="3"/>
      <c r="AB8097" s="3"/>
      <c r="AC8097" s="3"/>
      <c r="AD8097" s="3"/>
      <c r="AE8097" s="3"/>
      <c r="AF8097" s="3"/>
      <c r="AG8097" s="3"/>
      <c r="AH8097" s="3"/>
    </row>
    <row r="8098" spans="1:34" ht="14.25" customHeight="1" x14ac:dyDescent="0.25">
      <c r="A8098" s="3"/>
      <c r="B8098" s="3"/>
      <c r="C8098" s="3"/>
      <c r="D8098" s="3"/>
      <c r="E8098" s="3"/>
      <c r="F8098" s="3"/>
      <c r="G8098" s="3"/>
      <c r="H8098" s="11"/>
      <c r="I8098" s="12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  <c r="AA8098" s="3"/>
      <c r="AB8098" s="3"/>
      <c r="AC8098" s="3"/>
      <c r="AD8098" s="3"/>
      <c r="AE8098" s="3"/>
      <c r="AF8098" s="3"/>
      <c r="AG8098" s="3"/>
      <c r="AH8098" s="3"/>
    </row>
    <row r="8099" spans="1:34" ht="14.25" customHeight="1" x14ac:dyDescent="0.25">
      <c r="A8099" s="3"/>
      <c r="B8099" s="3"/>
      <c r="C8099" s="3"/>
      <c r="D8099" s="3"/>
      <c r="E8099" s="3"/>
      <c r="F8099" s="3"/>
      <c r="G8099" s="3"/>
      <c r="H8099" s="11"/>
      <c r="I8099" s="12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  <c r="AA8099" s="3"/>
      <c r="AB8099" s="3"/>
      <c r="AC8099" s="3"/>
      <c r="AD8099" s="3"/>
      <c r="AE8099" s="3"/>
      <c r="AF8099" s="3"/>
      <c r="AG8099" s="3"/>
      <c r="AH8099" s="3"/>
    </row>
    <row r="8100" spans="1:34" ht="14.25" customHeight="1" x14ac:dyDescent="0.25">
      <c r="A8100" s="3"/>
      <c r="B8100" s="3"/>
      <c r="C8100" s="3"/>
      <c r="D8100" s="3"/>
      <c r="E8100" s="3"/>
      <c r="F8100" s="3"/>
      <c r="G8100" s="3"/>
      <c r="H8100" s="11"/>
      <c r="I8100" s="12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  <c r="AA8100" s="3"/>
      <c r="AB8100" s="3"/>
      <c r="AC8100" s="3"/>
      <c r="AD8100" s="3"/>
      <c r="AE8100" s="3"/>
      <c r="AF8100" s="3"/>
      <c r="AG8100" s="3"/>
      <c r="AH8100" s="3"/>
    </row>
    <row r="8101" spans="1:34" ht="14.25" customHeight="1" x14ac:dyDescent="0.25">
      <c r="A8101" s="3"/>
      <c r="B8101" s="3"/>
      <c r="C8101" s="3"/>
      <c r="D8101" s="3"/>
      <c r="E8101" s="3"/>
      <c r="F8101" s="3"/>
      <c r="G8101" s="3"/>
      <c r="H8101" s="11"/>
      <c r="I8101" s="12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  <c r="AA8101" s="3"/>
      <c r="AB8101" s="3"/>
      <c r="AC8101" s="3"/>
      <c r="AD8101" s="3"/>
      <c r="AE8101" s="3"/>
      <c r="AF8101" s="3"/>
      <c r="AG8101" s="3"/>
      <c r="AH8101" s="3"/>
    </row>
    <row r="8102" spans="1:34" ht="14.25" customHeight="1" x14ac:dyDescent="0.25">
      <c r="A8102" s="3"/>
      <c r="B8102" s="3"/>
      <c r="C8102" s="3"/>
      <c r="D8102" s="3"/>
      <c r="E8102" s="3"/>
      <c r="F8102" s="3"/>
      <c r="G8102" s="3"/>
      <c r="H8102" s="11"/>
      <c r="I8102" s="12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  <c r="AA8102" s="3"/>
      <c r="AB8102" s="3"/>
      <c r="AC8102" s="3"/>
      <c r="AD8102" s="3"/>
      <c r="AE8102" s="3"/>
      <c r="AF8102" s="3"/>
      <c r="AG8102" s="3"/>
      <c r="AH8102" s="3"/>
    </row>
    <row r="8103" spans="1:34" ht="14.25" customHeight="1" x14ac:dyDescent="0.25">
      <c r="A8103" s="3"/>
      <c r="B8103" s="3"/>
      <c r="C8103" s="3"/>
      <c r="D8103" s="3"/>
      <c r="E8103" s="3"/>
      <c r="F8103" s="3"/>
      <c r="G8103" s="3"/>
      <c r="H8103" s="11"/>
      <c r="I8103" s="12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  <c r="AA8103" s="3"/>
      <c r="AB8103" s="3"/>
      <c r="AC8103" s="3"/>
      <c r="AD8103" s="3"/>
      <c r="AE8103" s="3"/>
      <c r="AF8103" s="3"/>
      <c r="AG8103" s="3"/>
      <c r="AH8103" s="3"/>
    </row>
    <row r="8104" spans="1:34" ht="14.25" customHeight="1" x14ac:dyDescent="0.25">
      <c r="A8104" s="3"/>
      <c r="B8104" s="3"/>
      <c r="C8104" s="3"/>
      <c r="D8104" s="3"/>
      <c r="E8104" s="3"/>
      <c r="F8104" s="3"/>
      <c r="G8104" s="3"/>
      <c r="H8104" s="11"/>
      <c r="I8104" s="12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  <c r="AA8104" s="3"/>
      <c r="AB8104" s="3"/>
      <c r="AC8104" s="3"/>
      <c r="AD8104" s="3"/>
      <c r="AE8104" s="3"/>
      <c r="AF8104" s="3"/>
      <c r="AG8104" s="3"/>
      <c r="AH8104" s="3"/>
    </row>
    <row r="8105" spans="1:34" ht="14.25" customHeight="1" x14ac:dyDescent="0.25">
      <c r="A8105" s="3"/>
      <c r="B8105" s="3"/>
      <c r="C8105" s="3"/>
      <c r="D8105" s="3"/>
      <c r="E8105" s="3"/>
      <c r="F8105" s="3"/>
      <c r="G8105" s="3"/>
      <c r="H8105" s="11"/>
      <c r="I8105" s="12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  <c r="AA8105" s="3"/>
      <c r="AB8105" s="3"/>
      <c r="AC8105" s="3"/>
      <c r="AD8105" s="3"/>
      <c r="AE8105" s="3"/>
      <c r="AF8105" s="3"/>
      <c r="AG8105" s="3"/>
      <c r="AH8105" s="3"/>
    </row>
    <row r="8106" spans="1:34" ht="14.25" customHeight="1" x14ac:dyDescent="0.25">
      <c r="A8106" s="3"/>
      <c r="B8106" s="3"/>
      <c r="C8106" s="3"/>
      <c r="D8106" s="3"/>
      <c r="E8106" s="3"/>
      <c r="F8106" s="3"/>
      <c r="G8106" s="3"/>
      <c r="H8106" s="11"/>
      <c r="I8106" s="12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  <c r="AA8106" s="3"/>
      <c r="AB8106" s="3"/>
      <c r="AC8106" s="3"/>
      <c r="AD8106" s="3"/>
      <c r="AE8106" s="3"/>
      <c r="AF8106" s="3"/>
      <c r="AG8106" s="3"/>
      <c r="AH8106" s="3"/>
    </row>
    <row r="8107" spans="1:34" ht="14.25" customHeight="1" x14ac:dyDescent="0.25">
      <c r="A8107" s="3"/>
      <c r="B8107" s="3"/>
      <c r="C8107" s="3"/>
      <c r="D8107" s="3"/>
      <c r="E8107" s="3"/>
      <c r="F8107" s="3"/>
      <c r="G8107" s="3"/>
      <c r="H8107" s="11"/>
      <c r="I8107" s="12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  <c r="AA8107" s="3"/>
      <c r="AB8107" s="3"/>
      <c r="AC8107" s="3"/>
      <c r="AD8107" s="3"/>
      <c r="AE8107" s="3"/>
      <c r="AF8107" s="3"/>
      <c r="AG8107" s="3"/>
      <c r="AH8107" s="3"/>
    </row>
    <row r="8108" spans="1:34" ht="14.25" customHeight="1" x14ac:dyDescent="0.25">
      <c r="A8108" s="3"/>
      <c r="B8108" s="3"/>
      <c r="C8108" s="3"/>
      <c r="D8108" s="3"/>
      <c r="E8108" s="3"/>
      <c r="F8108" s="3"/>
      <c r="G8108" s="3"/>
      <c r="H8108" s="11"/>
      <c r="I8108" s="12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  <c r="AA8108" s="3"/>
      <c r="AB8108" s="3"/>
      <c r="AC8108" s="3"/>
      <c r="AD8108" s="3"/>
      <c r="AE8108" s="3"/>
      <c r="AF8108" s="3"/>
      <c r="AG8108" s="3"/>
      <c r="AH8108" s="3"/>
    </row>
    <row r="8109" spans="1:34" ht="14.25" customHeight="1" x14ac:dyDescent="0.25">
      <c r="A8109" s="3"/>
      <c r="B8109" s="3"/>
      <c r="C8109" s="3"/>
      <c r="D8109" s="3"/>
      <c r="E8109" s="3"/>
      <c r="F8109" s="3"/>
      <c r="G8109" s="3"/>
      <c r="H8109" s="11"/>
      <c r="I8109" s="12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  <c r="AA8109" s="3"/>
      <c r="AB8109" s="3"/>
      <c r="AC8109" s="3"/>
      <c r="AD8109" s="3"/>
      <c r="AE8109" s="3"/>
      <c r="AF8109" s="3"/>
      <c r="AG8109" s="3"/>
      <c r="AH8109" s="3"/>
    </row>
    <row r="8110" spans="1:34" ht="14.25" customHeight="1" x14ac:dyDescent="0.25">
      <c r="A8110" s="3"/>
      <c r="B8110" s="3"/>
      <c r="C8110" s="3"/>
      <c r="D8110" s="3"/>
      <c r="E8110" s="3"/>
      <c r="F8110" s="3"/>
      <c r="G8110" s="3"/>
      <c r="H8110" s="11"/>
      <c r="I8110" s="12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  <c r="AA8110" s="3"/>
      <c r="AB8110" s="3"/>
      <c r="AC8110" s="3"/>
      <c r="AD8110" s="3"/>
      <c r="AE8110" s="3"/>
      <c r="AF8110" s="3"/>
      <c r="AG8110" s="3"/>
      <c r="AH8110" s="3"/>
    </row>
    <row r="8111" spans="1:34" ht="14.25" customHeight="1" x14ac:dyDescent="0.25">
      <c r="A8111" s="3"/>
      <c r="B8111" s="3"/>
      <c r="C8111" s="3"/>
      <c r="D8111" s="3"/>
      <c r="E8111" s="3"/>
      <c r="F8111" s="3"/>
      <c r="G8111" s="3"/>
      <c r="H8111" s="11"/>
      <c r="I8111" s="12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  <c r="AA8111" s="3"/>
      <c r="AB8111" s="3"/>
      <c r="AC8111" s="3"/>
      <c r="AD8111" s="3"/>
      <c r="AE8111" s="3"/>
      <c r="AF8111" s="3"/>
      <c r="AG8111" s="3"/>
      <c r="AH8111" s="3"/>
    </row>
    <row r="8112" spans="1:34" ht="14.25" customHeight="1" x14ac:dyDescent="0.25">
      <c r="A8112" s="3"/>
      <c r="B8112" s="3"/>
      <c r="C8112" s="3"/>
      <c r="D8112" s="3"/>
      <c r="E8112" s="3"/>
      <c r="F8112" s="3"/>
      <c r="G8112" s="3"/>
      <c r="H8112" s="11"/>
      <c r="I8112" s="12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  <c r="AA8112" s="3"/>
      <c r="AB8112" s="3"/>
      <c r="AC8112" s="3"/>
      <c r="AD8112" s="3"/>
      <c r="AE8112" s="3"/>
      <c r="AF8112" s="3"/>
      <c r="AG8112" s="3"/>
      <c r="AH8112" s="3"/>
    </row>
    <row r="8113" spans="1:34" ht="14.25" customHeight="1" x14ac:dyDescent="0.25">
      <c r="A8113" s="3"/>
      <c r="B8113" s="3"/>
      <c r="C8113" s="3"/>
      <c r="D8113" s="3"/>
      <c r="E8113" s="3"/>
      <c r="F8113" s="3"/>
      <c r="G8113" s="3"/>
      <c r="H8113" s="11"/>
      <c r="I8113" s="12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  <c r="AA8113" s="3"/>
      <c r="AB8113" s="3"/>
      <c r="AC8113" s="3"/>
      <c r="AD8113" s="3"/>
      <c r="AE8113" s="3"/>
      <c r="AF8113" s="3"/>
      <c r="AG8113" s="3"/>
      <c r="AH8113" s="3"/>
    </row>
    <row r="8114" spans="1:34" ht="14.25" customHeight="1" x14ac:dyDescent="0.25">
      <c r="A8114" s="3"/>
      <c r="B8114" s="3"/>
      <c r="C8114" s="3"/>
      <c r="D8114" s="3"/>
      <c r="E8114" s="3"/>
      <c r="F8114" s="3"/>
      <c r="G8114" s="3"/>
      <c r="H8114" s="11"/>
      <c r="I8114" s="12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  <c r="AA8114" s="3"/>
      <c r="AB8114" s="3"/>
      <c r="AC8114" s="3"/>
      <c r="AD8114" s="3"/>
      <c r="AE8114" s="3"/>
      <c r="AF8114" s="3"/>
      <c r="AG8114" s="3"/>
      <c r="AH8114" s="3"/>
    </row>
    <row r="8115" spans="1:34" ht="14.25" customHeight="1" x14ac:dyDescent="0.25">
      <c r="A8115" s="3"/>
      <c r="B8115" s="3"/>
      <c r="C8115" s="3"/>
      <c r="D8115" s="3"/>
      <c r="E8115" s="3"/>
      <c r="F8115" s="3"/>
      <c r="G8115" s="3"/>
      <c r="H8115" s="11"/>
      <c r="I8115" s="12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  <c r="AA8115" s="3"/>
      <c r="AB8115" s="3"/>
      <c r="AC8115" s="3"/>
      <c r="AD8115" s="3"/>
      <c r="AE8115" s="3"/>
      <c r="AF8115" s="3"/>
      <c r="AG8115" s="3"/>
      <c r="AH8115" s="3"/>
    </row>
    <row r="8116" spans="1:34" ht="14.25" customHeight="1" x14ac:dyDescent="0.25">
      <c r="A8116" s="3"/>
      <c r="B8116" s="3"/>
      <c r="C8116" s="3"/>
      <c r="D8116" s="3"/>
      <c r="E8116" s="3"/>
      <c r="F8116" s="3"/>
      <c r="G8116" s="3"/>
      <c r="H8116" s="11"/>
      <c r="I8116" s="12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  <c r="AA8116" s="3"/>
      <c r="AB8116" s="3"/>
      <c r="AC8116" s="3"/>
      <c r="AD8116" s="3"/>
      <c r="AE8116" s="3"/>
      <c r="AF8116" s="3"/>
      <c r="AG8116" s="3"/>
      <c r="AH8116" s="3"/>
    </row>
    <row r="8117" spans="1:34" ht="14.25" customHeight="1" x14ac:dyDescent="0.25">
      <c r="A8117" s="3"/>
      <c r="B8117" s="3"/>
      <c r="C8117" s="3"/>
      <c r="D8117" s="3"/>
      <c r="E8117" s="3"/>
      <c r="F8117" s="3"/>
      <c r="G8117" s="3"/>
      <c r="H8117" s="11"/>
      <c r="I8117" s="12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  <c r="AA8117" s="3"/>
      <c r="AB8117" s="3"/>
      <c r="AC8117" s="3"/>
      <c r="AD8117" s="3"/>
      <c r="AE8117" s="3"/>
      <c r="AF8117" s="3"/>
      <c r="AG8117" s="3"/>
      <c r="AH8117" s="3"/>
    </row>
    <row r="8118" spans="1:34" ht="14.25" customHeight="1" x14ac:dyDescent="0.25">
      <c r="A8118" s="3"/>
      <c r="B8118" s="3"/>
      <c r="C8118" s="3"/>
      <c r="D8118" s="3"/>
      <c r="E8118" s="3"/>
      <c r="F8118" s="3"/>
      <c r="G8118" s="3"/>
      <c r="H8118" s="11"/>
      <c r="I8118" s="12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  <c r="AA8118" s="3"/>
      <c r="AB8118" s="3"/>
      <c r="AC8118" s="3"/>
      <c r="AD8118" s="3"/>
      <c r="AE8118" s="3"/>
      <c r="AF8118" s="3"/>
      <c r="AG8118" s="3"/>
      <c r="AH8118" s="3"/>
    </row>
    <row r="8119" spans="1:34" ht="14.25" customHeight="1" x14ac:dyDescent="0.25">
      <c r="A8119" s="3"/>
      <c r="B8119" s="3"/>
      <c r="C8119" s="3"/>
      <c r="D8119" s="3"/>
      <c r="E8119" s="3"/>
      <c r="F8119" s="3"/>
      <c r="G8119" s="3"/>
      <c r="H8119" s="11"/>
      <c r="I8119" s="12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  <c r="AA8119" s="3"/>
      <c r="AB8119" s="3"/>
      <c r="AC8119" s="3"/>
      <c r="AD8119" s="3"/>
      <c r="AE8119" s="3"/>
      <c r="AF8119" s="3"/>
      <c r="AG8119" s="3"/>
      <c r="AH8119" s="3"/>
    </row>
    <row r="8120" spans="1:34" ht="14.25" customHeight="1" x14ac:dyDescent="0.25">
      <c r="A8120" s="3"/>
      <c r="B8120" s="3"/>
      <c r="C8120" s="3"/>
      <c r="D8120" s="3"/>
      <c r="E8120" s="3"/>
      <c r="F8120" s="3"/>
      <c r="G8120" s="3"/>
      <c r="H8120" s="11"/>
      <c r="I8120" s="12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  <c r="AA8120" s="3"/>
      <c r="AB8120" s="3"/>
      <c r="AC8120" s="3"/>
      <c r="AD8120" s="3"/>
      <c r="AE8120" s="3"/>
      <c r="AF8120" s="3"/>
      <c r="AG8120" s="3"/>
      <c r="AH8120" s="3"/>
    </row>
    <row r="8121" spans="1:34" ht="14.25" customHeight="1" x14ac:dyDescent="0.25">
      <c r="A8121" s="3"/>
      <c r="B8121" s="3"/>
      <c r="C8121" s="3"/>
      <c r="D8121" s="3"/>
      <c r="E8121" s="3"/>
      <c r="F8121" s="3"/>
      <c r="G8121" s="3"/>
      <c r="H8121" s="11"/>
      <c r="I8121" s="12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  <c r="AA8121" s="3"/>
      <c r="AB8121" s="3"/>
      <c r="AC8121" s="3"/>
      <c r="AD8121" s="3"/>
      <c r="AE8121" s="3"/>
      <c r="AF8121" s="3"/>
      <c r="AG8121" s="3"/>
      <c r="AH8121" s="3"/>
    </row>
    <row r="8122" spans="1:34" ht="14.25" customHeight="1" x14ac:dyDescent="0.25">
      <c r="A8122" s="3"/>
      <c r="B8122" s="3"/>
      <c r="C8122" s="3"/>
      <c r="D8122" s="3"/>
      <c r="E8122" s="3"/>
      <c r="F8122" s="3"/>
      <c r="G8122" s="3"/>
      <c r="H8122" s="11"/>
      <c r="I8122" s="12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  <c r="AA8122" s="3"/>
      <c r="AB8122" s="3"/>
      <c r="AC8122" s="3"/>
      <c r="AD8122" s="3"/>
      <c r="AE8122" s="3"/>
      <c r="AF8122" s="3"/>
      <c r="AG8122" s="3"/>
      <c r="AH8122" s="3"/>
    </row>
    <row r="8123" spans="1:34" ht="14.25" customHeight="1" x14ac:dyDescent="0.25">
      <c r="A8123" s="3"/>
      <c r="B8123" s="3"/>
      <c r="C8123" s="3"/>
      <c r="D8123" s="3"/>
      <c r="E8123" s="3"/>
      <c r="F8123" s="3"/>
      <c r="G8123" s="3"/>
      <c r="H8123" s="11"/>
      <c r="I8123" s="12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  <c r="AA8123" s="3"/>
      <c r="AB8123" s="3"/>
      <c r="AC8123" s="3"/>
      <c r="AD8123" s="3"/>
      <c r="AE8123" s="3"/>
      <c r="AF8123" s="3"/>
      <c r="AG8123" s="3"/>
      <c r="AH8123" s="3"/>
    </row>
    <row r="8124" spans="1:34" ht="14.25" customHeight="1" x14ac:dyDescent="0.25">
      <c r="A8124" s="3"/>
      <c r="B8124" s="3"/>
      <c r="C8124" s="3"/>
      <c r="D8124" s="3"/>
      <c r="E8124" s="3"/>
      <c r="F8124" s="3"/>
      <c r="G8124" s="3"/>
      <c r="H8124" s="11"/>
      <c r="I8124" s="12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  <c r="AA8124" s="3"/>
      <c r="AB8124" s="3"/>
      <c r="AC8124" s="3"/>
      <c r="AD8124" s="3"/>
      <c r="AE8124" s="3"/>
      <c r="AF8124" s="3"/>
      <c r="AG8124" s="3"/>
      <c r="AH8124" s="3"/>
    </row>
    <row r="8125" spans="1:34" ht="14.25" customHeight="1" x14ac:dyDescent="0.25">
      <c r="A8125" s="3"/>
      <c r="B8125" s="3"/>
      <c r="C8125" s="3"/>
      <c r="D8125" s="3"/>
      <c r="E8125" s="3"/>
      <c r="F8125" s="3"/>
      <c r="G8125" s="3"/>
      <c r="H8125" s="11"/>
      <c r="I8125" s="12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  <c r="AA8125" s="3"/>
      <c r="AB8125" s="3"/>
      <c r="AC8125" s="3"/>
      <c r="AD8125" s="3"/>
      <c r="AE8125" s="3"/>
      <c r="AF8125" s="3"/>
      <c r="AG8125" s="3"/>
      <c r="AH8125" s="3"/>
    </row>
    <row r="8126" spans="1:34" ht="14.25" customHeight="1" x14ac:dyDescent="0.25">
      <c r="A8126" s="3"/>
      <c r="B8126" s="3"/>
      <c r="C8126" s="3"/>
      <c r="D8126" s="3"/>
      <c r="E8126" s="3"/>
      <c r="F8126" s="3"/>
      <c r="G8126" s="3"/>
      <c r="H8126" s="11"/>
      <c r="I8126" s="12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  <c r="AA8126" s="3"/>
      <c r="AB8126" s="3"/>
      <c r="AC8126" s="3"/>
      <c r="AD8126" s="3"/>
      <c r="AE8126" s="3"/>
      <c r="AF8126" s="3"/>
      <c r="AG8126" s="3"/>
      <c r="AH8126" s="3"/>
    </row>
    <row r="8127" spans="1:34" ht="14.25" customHeight="1" x14ac:dyDescent="0.25">
      <c r="A8127" s="3"/>
      <c r="B8127" s="3"/>
      <c r="C8127" s="3"/>
      <c r="D8127" s="3"/>
      <c r="E8127" s="3"/>
      <c r="F8127" s="3"/>
      <c r="G8127" s="3"/>
      <c r="H8127" s="11"/>
      <c r="I8127" s="12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  <c r="AA8127" s="3"/>
      <c r="AB8127" s="3"/>
      <c r="AC8127" s="3"/>
      <c r="AD8127" s="3"/>
      <c r="AE8127" s="3"/>
      <c r="AF8127" s="3"/>
      <c r="AG8127" s="3"/>
      <c r="AH8127" s="3"/>
    </row>
    <row r="8128" spans="1:34" ht="14.25" customHeight="1" x14ac:dyDescent="0.25">
      <c r="A8128" s="3"/>
      <c r="B8128" s="3"/>
      <c r="C8128" s="3"/>
      <c r="D8128" s="3"/>
      <c r="E8128" s="3"/>
      <c r="F8128" s="3"/>
      <c r="G8128" s="3"/>
      <c r="H8128" s="11"/>
      <c r="I8128" s="12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  <c r="AA8128" s="3"/>
      <c r="AB8128" s="3"/>
      <c r="AC8128" s="3"/>
      <c r="AD8128" s="3"/>
      <c r="AE8128" s="3"/>
      <c r="AF8128" s="3"/>
      <c r="AG8128" s="3"/>
      <c r="AH8128" s="3"/>
    </row>
    <row r="8129" spans="1:34" ht="14.25" customHeight="1" x14ac:dyDescent="0.25">
      <c r="A8129" s="3"/>
      <c r="B8129" s="3"/>
      <c r="C8129" s="3"/>
      <c r="D8129" s="3"/>
      <c r="E8129" s="3"/>
      <c r="F8129" s="3"/>
      <c r="G8129" s="3"/>
      <c r="H8129" s="11"/>
      <c r="I8129" s="12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  <c r="AA8129" s="3"/>
      <c r="AB8129" s="3"/>
      <c r="AC8129" s="3"/>
      <c r="AD8129" s="3"/>
      <c r="AE8129" s="3"/>
      <c r="AF8129" s="3"/>
      <c r="AG8129" s="3"/>
      <c r="AH8129" s="3"/>
    </row>
    <row r="8130" spans="1:34" ht="14.25" customHeight="1" x14ac:dyDescent="0.25">
      <c r="A8130" s="3"/>
      <c r="B8130" s="3"/>
      <c r="C8130" s="3"/>
      <c r="D8130" s="3"/>
      <c r="E8130" s="3"/>
      <c r="F8130" s="3"/>
      <c r="G8130" s="3"/>
      <c r="H8130" s="11"/>
      <c r="I8130" s="12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  <c r="AA8130" s="3"/>
      <c r="AB8130" s="3"/>
      <c r="AC8130" s="3"/>
      <c r="AD8130" s="3"/>
      <c r="AE8130" s="3"/>
      <c r="AF8130" s="3"/>
      <c r="AG8130" s="3"/>
      <c r="AH8130" s="3"/>
    </row>
    <row r="8131" spans="1:34" ht="14.25" customHeight="1" x14ac:dyDescent="0.25">
      <c r="A8131" s="3"/>
      <c r="B8131" s="3"/>
      <c r="C8131" s="3"/>
      <c r="D8131" s="3"/>
      <c r="E8131" s="3"/>
      <c r="F8131" s="3"/>
      <c r="G8131" s="3"/>
      <c r="H8131" s="11"/>
      <c r="I8131" s="12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  <c r="AA8131" s="3"/>
      <c r="AB8131" s="3"/>
      <c r="AC8131" s="3"/>
      <c r="AD8131" s="3"/>
      <c r="AE8131" s="3"/>
      <c r="AF8131" s="3"/>
      <c r="AG8131" s="3"/>
      <c r="AH8131" s="3"/>
    </row>
    <row r="8132" spans="1:34" ht="14.25" customHeight="1" x14ac:dyDescent="0.25">
      <c r="A8132" s="3"/>
      <c r="B8132" s="3"/>
      <c r="C8132" s="3"/>
      <c r="D8132" s="3"/>
      <c r="E8132" s="3"/>
      <c r="F8132" s="3"/>
      <c r="G8132" s="3"/>
      <c r="H8132" s="11"/>
      <c r="I8132" s="12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  <c r="AA8132" s="3"/>
      <c r="AB8132" s="3"/>
      <c r="AC8132" s="3"/>
      <c r="AD8132" s="3"/>
      <c r="AE8132" s="3"/>
      <c r="AF8132" s="3"/>
      <c r="AG8132" s="3"/>
      <c r="AH8132" s="3"/>
    </row>
    <row r="8133" spans="1:34" ht="14.25" customHeight="1" x14ac:dyDescent="0.25">
      <c r="A8133" s="3"/>
      <c r="B8133" s="3"/>
      <c r="C8133" s="3"/>
      <c r="D8133" s="3"/>
      <c r="E8133" s="3"/>
      <c r="F8133" s="3"/>
      <c r="G8133" s="3"/>
      <c r="H8133" s="11"/>
      <c r="I8133" s="12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  <c r="AA8133" s="3"/>
      <c r="AB8133" s="3"/>
      <c r="AC8133" s="3"/>
      <c r="AD8133" s="3"/>
      <c r="AE8133" s="3"/>
      <c r="AF8133" s="3"/>
      <c r="AG8133" s="3"/>
      <c r="AH8133" s="3"/>
    </row>
    <row r="8134" spans="1:34" ht="14.25" customHeight="1" x14ac:dyDescent="0.25">
      <c r="A8134" s="3"/>
      <c r="B8134" s="3"/>
      <c r="C8134" s="3"/>
      <c r="D8134" s="3"/>
      <c r="E8134" s="3"/>
      <c r="F8134" s="3"/>
      <c r="G8134" s="3"/>
      <c r="H8134" s="11"/>
      <c r="I8134" s="12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  <c r="AA8134" s="3"/>
      <c r="AB8134" s="3"/>
      <c r="AC8134" s="3"/>
      <c r="AD8134" s="3"/>
      <c r="AE8134" s="3"/>
      <c r="AF8134" s="3"/>
      <c r="AG8134" s="3"/>
      <c r="AH8134" s="3"/>
    </row>
    <row r="8135" spans="1:34" ht="14.25" customHeight="1" x14ac:dyDescent="0.25">
      <c r="A8135" s="3"/>
      <c r="B8135" s="3"/>
      <c r="C8135" s="3"/>
      <c r="D8135" s="3"/>
      <c r="E8135" s="3"/>
      <c r="F8135" s="3"/>
      <c r="G8135" s="3"/>
      <c r="H8135" s="11"/>
      <c r="I8135" s="12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  <c r="AA8135" s="3"/>
      <c r="AB8135" s="3"/>
      <c r="AC8135" s="3"/>
      <c r="AD8135" s="3"/>
      <c r="AE8135" s="3"/>
      <c r="AF8135" s="3"/>
      <c r="AG8135" s="3"/>
      <c r="AH8135" s="3"/>
    </row>
    <row r="8136" spans="1:34" ht="14.25" customHeight="1" x14ac:dyDescent="0.25">
      <c r="A8136" s="3"/>
      <c r="B8136" s="3"/>
      <c r="C8136" s="3"/>
      <c r="D8136" s="3"/>
      <c r="E8136" s="3"/>
      <c r="F8136" s="3"/>
      <c r="G8136" s="3"/>
      <c r="H8136" s="11"/>
      <c r="I8136" s="12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  <c r="AA8136" s="3"/>
      <c r="AB8136" s="3"/>
      <c r="AC8136" s="3"/>
      <c r="AD8136" s="3"/>
      <c r="AE8136" s="3"/>
      <c r="AF8136" s="3"/>
      <c r="AG8136" s="3"/>
      <c r="AH8136" s="3"/>
    </row>
    <row r="8137" spans="1:34" ht="14.25" customHeight="1" x14ac:dyDescent="0.25">
      <c r="A8137" s="3"/>
      <c r="B8137" s="3"/>
      <c r="C8137" s="3"/>
      <c r="D8137" s="3"/>
      <c r="E8137" s="3"/>
      <c r="F8137" s="3"/>
      <c r="G8137" s="3"/>
      <c r="H8137" s="11"/>
      <c r="I8137" s="12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  <c r="AA8137" s="3"/>
      <c r="AB8137" s="3"/>
      <c r="AC8137" s="3"/>
      <c r="AD8137" s="3"/>
      <c r="AE8137" s="3"/>
      <c r="AF8137" s="3"/>
      <c r="AG8137" s="3"/>
      <c r="AH8137" s="3"/>
    </row>
    <row r="8138" spans="1:34" ht="14.25" customHeight="1" x14ac:dyDescent="0.25">
      <c r="A8138" s="3"/>
      <c r="B8138" s="3"/>
      <c r="C8138" s="3"/>
      <c r="D8138" s="3"/>
      <c r="E8138" s="3"/>
      <c r="F8138" s="3"/>
      <c r="G8138" s="3"/>
      <c r="H8138" s="11"/>
      <c r="I8138" s="12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  <c r="AA8138" s="3"/>
      <c r="AB8138" s="3"/>
      <c r="AC8138" s="3"/>
      <c r="AD8138" s="3"/>
      <c r="AE8138" s="3"/>
      <c r="AF8138" s="3"/>
      <c r="AG8138" s="3"/>
      <c r="AH8138" s="3"/>
    </row>
    <row r="8139" spans="1:34" ht="14.25" customHeight="1" x14ac:dyDescent="0.25">
      <c r="A8139" s="3"/>
      <c r="B8139" s="3"/>
      <c r="C8139" s="3"/>
      <c r="D8139" s="3"/>
      <c r="E8139" s="3"/>
      <c r="F8139" s="3"/>
      <c r="G8139" s="3"/>
      <c r="H8139" s="11"/>
      <c r="I8139" s="12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  <c r="AA8139" s="3"/>
      <c r="AB8139" s="3"/>
      <c r="AC8139" s="3"/>
      <c r="AD8139" s="3"/>
      <c r="AE8139" s="3"/>
      <c r="AF8139" s="3"/>
      <c r="AG8139" s="3"/>
      <c r="AH8139" s="3"/>
    </row>
    <row r="8140" spans="1:34" ht="14.25" customHeight="1" x14ac:dyDescent="0.25">
      <c r="A8140" s="3"/>
      <c r="B8140" s="3"/>
      <c r="C8140" s="3"/>
      <c r="D8140" s="3"/>
      <c r="E8140" s="3"/>
      <c r="F8140" s="3"/>
      <c r="G8140" s="3"/>
      <c r="H8140" s="11"/>
      <c r="I8140" s="12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  <c r="AA8140" s="3"/>
      <c r="AB8140" s="3"/>
      <c r="AC8140" s="3"/>
      <c r="AD8140" s="3"/>
      <c r="AE8140" s="3"/>
      <c r="AF8140" s="3"/>
      <c r="AG8140" s="3"/>
      <c r="AH8140" s="3"/>
    </row>
    <row r="8141" spans="1:34" ht="14.25" customHeight="1" x14ac:dyDescent="0.25">
      <c r="A8141" s="3"/>
      <c r="B8141" s="3"/>
      <c r="C8141" s="3"/>
      <c r="D8141" s="3"/>
      <c r="E8141" s="3"/>
      <c r="F8141" s="3"/>
      <c r="G8141" s="3"/>
      <c r="H8141" s="11"/>
      <c r="I8141" s="12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  <c r="AA8141" s="3"/>
      <c r="AB8141" s="3"/>
      <c r="AC8141" s="3"/>
      <c r="AD8141" s="3"/>
      <c r="AE8141" s="3"/>
      <c r="AF8141" s="3"/>
      <c r="AG8141" s="3"/>
      <c r="AH8141" s="3"/>
    </row>
    <row r="8142" spans="1:34" ht="14.25" customHeight="1" x14ac:dyDescent="0.25">
      <c r="A8142" s="3"/>
      <c r="B8142" s="3"/>
      <c r="C8142" s="3"/>
      <c r="D8142" s="3"/>
      <c r="E8142" s="3"/>
      <c r="F8142" s="3"/>
      <c r="G8142" s="3"/>
      <c r="H8142" s="11"/>
      <c r="I8142" s="12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  <c r="AA8142" s="3"/>
      <c r="AB8142" s="3"/>
      <c r="AC8142" s="3"/>
      <c r="AD8142" s="3"/>
      <c r="AE8142" s="3"/>
      <c r="AF8142" s="3"/>
      <c r="AG8142" s="3"/>
      <c r="AH8142" s="3"/>
    </row>
    <row r="8143" spans="1:34" ht="14.25" customHeight="1" x14ac:dyDescent="0.25">
      <c r="A8143" s="3"/>
      <c r="B8143" s="3"/>
      <c r="C8143" s="3"/>
      <c r="D8143" s="3"/>
      <c r="E8143" s="3"/>
      <c r="F8143" s="3"/>
      <c r="G8143" s="3"/>
      <c r="H8143" s="11"/>
      <c r="I8143" s="12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  <c r="AA8143" s="3"/>
      <c r="AB8143" s="3"/>
      <c r="AC8143" s="3"/>
      <c r="AD8143" s="3"/>
      <c r="AE8143" s="3"/>
      <c r="AF8143" s="3"/>
      <c r="AG8143" s="3"/>
      <c r="AH8143" s="3"/>
    </row>
    <row r="8144" spans="1:34" ht="14.25" customHeight="1" x14ac:dyDescent="0.25">
      <c r="A8144" s="3"/>
      <c r="B8144" s="3"/>
      <c r="C8144" s="3"/>
      <c r="D8144" s="3"/>
      <c r="E8144" s="3"/>
      <c r="F8144" s="3"/>
      <c r="G8144" s="3"/>
      <c r="H8144" s="11"/>
      <c r="I8144" s="12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  <c r="AA8144" s="3"/>
      <c r="AB8144" s="3"/>
      <c r="AC8144" s="3"/>
      <c r="AD8144" s="3"/>
      <c r="AE8144" s="3"/>
      <c r="AF8144" s="3"/>
      <c r="AG8144" s="3"/>
      <c r="AH8144" s="3"/>
    </row>
    <row r="8145" spans="1:34" ht="14.25" customHeight="1" x14ac:dyDescent="0.25">
      <c r="A8145" s="3"/>
      <c r="B8145" s="3"/>
      <c r="C8145" s="3"/>
      <c r="D8145" s="3"/>
      <c r="E8145" s="3"/>
      <c r="F8145" s="3"/>
      <c r="G8145" s="3"/>
      <c r="H8145" s="11"/>
      <c r="I8145" s="12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  <c r="AA8145" s="3"/>
      <c r="AB8145" s="3"/>
      <c r="AC8145" s="3"/>
      <c r="AD8145" s="3"/>
      <c r="AE8145" s="3"/>
      <c r="AF8145" s="3"/>
      <c r="AG8145" s="3"/>
      <c r="AH8145" s="3"/>
    </row>
    <row r="8146" spans="1:34" ht="14.25" customHeight="1" x14ac:dyDescent="0.25">
      <c r="A8146" s="3"/>
      <c r="B8146" s="3"/>
      <c r="C8146" s="3"/>
      <c r="D8146" s="3"/>
      <c r="E8146" s="3"/>
      <c r="F8146" s="3"/>
      <c r="G8146" s="3"/>
      <c r="H8146" s="11"/>
      <c r="I8146" s="12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  <c r="AA8146" s="3"/>
      <c r="AB8146" s="3"/>
      <c r="AC8146" s="3"/>
      <c r="AD8146" s="3"/>
      <c r="AE8146" s="3"/>
      <c r="AF8146" s="3"/>
      <c r="AG8146" s="3"/>
      <c r="AH8146" s="3"/>
    </row>
    <row r="8147" spans="1:34" ht="14.25" customHeight="1" x14ac:dyDescent="0.25">
      <c r="A8147" s="3"/>
      <c r="B8147" s="3"/>
      <c r="C8147" s="3"/>
      <c r="D8147" s="3"/>
      <c r="E8147" s="3"/>
      <c r="F8147" s="3"/>
      <c r="G8147" s="3"/>
      <c r="H8147" s="11"/>
      <c r="I8147" s="12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  <c r="AA8147" s="3"/>
      <c r="AB8147" s="3"/>
      <c r="AC8147" s="3"/>
      <c r="AD8147" s="3"/>
      <c r="AE8147" s="3"/>
      <c r="AF8147" s="3"/>
      <c r="AG8147" s="3"/>
      <c r="AH8147" s="3"/>
    </row>
    <row r="8148" spans="1:34" ht="14.25" customHeight="1" x14ac:dyDescent="0.25">
      <c r="A8148" s="3"/>
      <c r="B8148" s="3"/>
      <c r="C8148" s="3"/>
      <c r="D8148" s="3"/>
      <c r="E8148" s="3"/>
      <c r="F8148" s="3"/>
      <c r="G8148" s="3"/>
      <c r="H8148" s="11"/>
      <c r="I8148" s="12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  <c r="AA8148" s="3"/>
      <c r="AB8148" s="3"/>
      <c r="AC8148" s="3"/>
      <c r="AD8148" s="3"/>
      <c r="AE8148" s="3"/>
      <c r="AF8148" s="3"/>
      <c r="AG8148" s="3"/>
      <c r="AH8148" s="3"/>
    </row>
    <row r="8149" spans="1:34" ht="14.25" customHeight="1" x14ac:dyDescent="0.25">
      <c r="A8149" s="3"/>
      <c r="B8149" s="3"/>
      <c r="C8149" s="3"/>
      <c r="D8149" s="3"/>
      <c r="E8149" s="3"/>
      <c r="F8149" s="3"/>
      <c r="G8149" s="3"/>
      <c r="H8149" s="11"/>
      <c r="I8149" s="12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  <c r="AA8149" s="3"/>
      <c r="AB8149" s="3"/>
      <c r="AC8149" s="3"/>
      <c r="AD8149" s="3"/>
      <c r="AE8149" s="3"/>
      <c r="AF8149" s="3"/>
      <c r="AG8149" s="3"/>
      <c r="AH8149" s="3"/>
    </row>
    <row r="8150" spans="1:34" ht="14.25" customHeight="1" x14ac:dyDescent="0.25">
      <c r="A8150" s="3"/>
      <c r="B8150" s="3"/>
      <c r="C8150" s="3"/>
      <c r="D8150" s="3"/>
      <c r="E8150" s="3"/>
      <c r="F8150" s="3"/>
      <c r="G8150" s="3"/>
      <c r="H8150" s="11"/>
      <c r="I8150" s="12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  <c r="AA8150" s="3"/>
      <c r="AB8150" s="3"/>
      <c r="AC8150" s="3"/>
      <c r="AD8150" s="3"/>
      <c r="AE8150" s="3"/>
      <c r="AF8150" s="3"/>
      <c r="AG8150" s="3"/>
      <c r="AH8150" s="3"/>
    </row>
    <row r="8151" spans="1:34" ht="14.25" customHeight="1" x14ac:dyDescent="0.25">
      <c r="A8151" s="3"/>
      <c r="B8151" s="3"/>
      <c r="C8151" s="3"/>
      <c r="D8151" s="3"/>
      <c r="E8151" s="3"/>
      <c r="F8151" s="3"/>
      <c r="G8151" s="3"/>
      <c r="H8151" s="11"/>
      <c r="I8151" s="12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  <c r="AA8151" s="3"/>
      <c r="AB8151" s="3"/>
      <c r="AC8151" s="3"/>
      <c r="AD8151" s="3"/>
      <c r="AE8151" s="3"/>
      <c r="AF8151" s="3"/>
      <c r="AG8151" s="3"/>
      <c r="AH8151" s="3"/>
    </row>
    <row r="8152" spans="1:34" ht="14.25" customHeight="1" x14ac:dyDescent="0.25">
      <c r="A8152" s="3"/>
      <c r="B8152" s="3"/>
      <c r="C8152" s="3"/>
      <c r="D8152" s="3"/>
      <c r="E8152" s="3"/>
      <c r="F8152" s="3"/>
      <c r="G8152" s="3"/>
      <c r="H8152" s="11"/>
      <c r="I8152" s="12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  <c r="AA8152" s="3"/>
      <c r="AB8152" s="3"/>
      <c r="AC8152" s="3"/>
      <c r="AD8152" s="3"/>
      <c r="AE8152" s="3"/>
      <c r="AF8152" s="3"/>
      <c r="AG8152" s="3"/>
      <c r="AH8152" s="3"/>
    </row>
    <row r="8153" spans="1:34" ht="14.25" customHeight="1" x14ac:dyDescent="0.25">
      <c r="A8153" s="3"/>
      <c r="B8153" s="3"/>
      <c r="C8153" s="3"/>
      <c r="D8153" s="3"/>
      <c r="E8153" s="3"/>
      <c r="F8153" s="3"/>
      <c r="G8153" s="3"/>
      <c r="H8153" s="11"/>
      <c r="I8153" s="12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  <c r="AA8153" s="3"/>
      <c r="AB8153" s="3"/>
      <c r="AC8153" s="3"/>
      <c r="AD8153" s="3"/>
      <c r="AE8153" s="3"/>
      <c r="AF8153" s="3"/>
      <c r="AG8153" s="3"/>
      <c r="AH8153" s="3"/>
    </row>
    <row r="8154" spans="1:34" ht="14.25" customHeight="1" x14ac:dyDescent="0.25">
      <c r="A8154" s="3"/>
      <c r="B8154" s="3"/>
      <c r="C8154" s="3"/>
      <c r="D8154" s="3"/>
      <c r="E8154" s="3"/>
      <c r="F8154" s="3"/>
      <c r="G8154" s="3"/>
      <c r="H8154" s="11"/>
      <c r="I8154" s="12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  <c r="AA8154" s="3"/>
      <c r="AB8154" s="3"/>
      <c r="AC8154" s="3"/>
      <c r="AD8154" s="3"/>
      <c r="AE8154" s="3"/>
      <c r="AF8154" s="3"/>
      <c r="AG8154" s="3"/>
      <c r="AH8154" s="3"/>
    </row>
    <row r="8155" spans="1:34" ht="14.25" customHeight="1" x14ac:dyDescent="0.25">
      <c r="A8155" s="3"/>
      <c r="B8155" s="3"/>
      <c r="C8155" s="3"/>
      <c r="D8155" s="3"/>
      <c r="E8155" s="3"/>
      <c r="F8155" s="3"/>
      <c r="G8155" s="3"/>
      <c r="H8155" s="11"/>
      <c r="I8155" s="12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  <c r="AA8155" s="3"/>
      <c r="AB8155" s="3"/>
      <c r="AC8155" s="3"/>
      <c r="AD8155" s="3"/>
      <c r="AE8155" s="3"/>
      <c r="AF8155" s="3"/>
      <c r="AG8155" s="3"/>
      <c r="AH8155" s="3"/>
    </row>
    <row r="8156" spans="1:34" ht="14.25" customHeight="1" x14ac:dyDescent="0.25">
      <c r="A8156" s="3"/>
      <c r="B8156" s="3"/>
      <c r="C8156" s="3"/>
      <c r="D8156" s="3"/>
      <c r="E8156" s="3"/>
      <c r="F8156" s="3"/>
      <c r="G8156" s="3"/>
      <c r="H8156" s="11"/>
      <c r="I8156" s="12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  <c r="AA8156" s="3"/>
      <c r="AB8156" s="3"/>
      <c r="AC8156" s="3"/>
      <c r="AD8156" s="3"/>
      <c r="AE8156" s="3"/>
      <c r="AF8156" s="3"/>
      <c r="AG8156" s="3"/>
      <c r="AH8156" s="3"/>
    </row>
    <row r="8157" spans="1:34" ht="14.25" customHeight="1" x14ac:dyDescent="0.25">
      <c r="A8157" s="3"/>
      <c r="B8157" s="3"/>
      <c r="C8157" s="3"/>
      <c r="D8157" s="3"/>
      <c r="E8157" s="3"/>
      <c r="F8157" s="3"/>
      <c r="G8157" s="3"/>
      <c r="H8157" s="11"/>
      <c r="I8157" s="12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  <c r="AA8157" s="3"/>
      <c r="AB8157" s="3"/>
      <c r="AC8157" s="3"/>
      <c r="AD8157" s="3"/>
      <c r="AE8157" s="3"/>
      <c r="AF8157" s="3"/>
      <c r="AG8157" s="3"/>
      <c r="AH8157" s="3"/>
    </row>
    <row r="8158" spans="1:34" ht="14.25" customHeight="1" x14ac:dyDescent="0.25">
      <c r="A8158" s="3"/>
      <c r="B8158" s="3"/>
      <c r="C8158" s="3"/>
      <c r="D8158" s="3"/>
      <c r="E8158" s="3"/>
      <c r="F8158" s="3"/>
      <c r="G8158" s="3"/>
      <c r="H8158" s="11"/>
      <c r="I8158" s="12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  <c r="AA8158" s="3"/>
      <c r="AB8158" s="3"/>
      <c r="AC8158" s="3"/>
      <c r="AD8158" s="3"/>
      <c r="AE8158" s="3"/>
      <c r="AF8158" s="3"/>
      <c r="AG8158" s="3"/>
      <c r="AH8158" s="3"/>
    </row>
    <row r="8159" spans="1:34" ht="14.25" customHeight="1" x14ac:dyDescent="0.25">
      <c r="A8159" s="3"/>
      <c r="B8159" s="3"/>
      <c r="C8159" s="3"/>
      <c r="D8159" s="3"/>
      <c r="E8159" s="3"/>
      <c r="F8159" s="3"/>
      <c r="G8159" s="3"/>
      <c r="H8159" s="11"/>
      <c r="I8159" s="12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  <c r="AA8159" s="3"/>
      <c r="AB8159" s="3"/>
      <c r="AC8159" s="3"/>
      <c r="AD8159" s="3"/>
      <c r="AE8159" s="3"/>
      <c r="AF8159" s="3"/>
      <c r="AG8159" s="3"/>
      <c r="AH8159" s="3"/>
    </row>
    <row r="8160" spans="1:34" ht="14.25" customHeight="1" x14ac:dyDescent="0.25">
      <c r="A8160" s="3"/>
      <c r="B8160" s="3"/>
      <c r="C8160" s="3"/>
      <c r="D8160" s="3"/>
      <c r="E8160" s="3"/>
      <c r="F8160" s="3"/>
      <c r="G8160" s="3"/>
      <c r="H8160" s="11"/>
      <c r="I8160" s="12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  <c r="AA8160" s="3"/>
      <c r="AB8160" s="3"/>
      <c r="AC8160" s="3"/>
      <c r="AD8160" s="3"/>
      <c r="AE8160" s="3"/>
      <c r="AF8160" s="3"/>
      <c r="AG8160" s="3"/>
      <c r="AH8160" s="3"/>
    </row>
    <row r="8161" spans="1:34" ht="14.25" customHeight="1" x14ac:dyDescent="0.25">
      <c r="A8161" s="3"/>
      <c r="B8161" s="3"/>
      <c r="C8161" s="3"/>
      <c r="D8161" s="3"/>
      <c r="E8161" s="3"/>
      <c r="F8161" s="3"/>
      <c r="G8161" s="3"/>
      <c r="H8161" s="11"/>
      <c r="I8161" s="12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  <c r="AA8161" s="3"/>
      <c r="AB8161" s="3"/>
      <c r="AC8161" s="3"/>
      <c r="AD8161" s="3"/>
      <c r="AE8161" s="3"/>
      <c r="AF8161" s="3"/>
      <c r="AG8161" s="3"/>
      <c r="AH8161" s="3"/>
    </row>
    <row r="8162" spans="1:34" ht="14.25" customHeight="1" x14ac:dyDescent="0.25">
      <c r="A8162" s="3"/>
      <c r="B8162" s="3"/>
      <c r="C8162" s="3"/>
      <c r="D8162" s="3"/>
      <c r="E8162" s="3"/>
      <c r="F8162" s="3"/>
      <c r="G8162" s="3"/>
      <c r="H8162" s="11"/>
      <c r="I8162" s="12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  <c r="AA8162" s="3"/>
      <c r="AB8162" s="3"/>
      <c r="AC8162" s="3"/>
      <c r="AD8162" s="3"/>
      <c r="AE8162" s="3"/>
      <c r="AF8162" s="3"/>
      <c r="AG8162" s="3"/>
      <c r="AH8162" s="3"/>
    </row>
    <row r="8163" spans="1:34" ht="14.25" customHeight="1" x14ac:dyDescent="0.25">
      <c r="A8163" s="3"/>
      <c r="B8163" s="3"/>
      <c r="C8163" s="3"/>
      <c r="D8163" s="3"/>
      <c r="E8163" s="3"/>
      <c r="F8163" s="3"/>
      <c r="G8163" s="3"/>
      <c r="H8163" s="11"/>
      <c r="I8163" s="12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  <c r="AA8163" s="3"/>
      <c r="AB8163" s="3"/>
      <c r="AC8163" s="3"/>
      <c r="AD8163" s="3"/>
      <c r="AE8163" s="3"/>
      <c r="AF8163" s="3"/>
      <c r="AG8163" s="3"/>
      <c r="AH8163" s="3"/>
    </row>
    <row r="8164" spans="1:34" ht="14.25" customHeight="1" x14ac:dyDescent="0.25">
      <c r="A8164" s="3"/>
      <c r="B8164" s="3"/>
      <c r="C8164" s="3"/>
      <c r="D8164" s="3"/>
      <c r="E8164" s="3"/>
      <c r="F8164" s="3"/>
      <c r="G8164" s="3"/>
      <c r="H8164" s="11"/>
      <c r="I8164" s="12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  <c r="AA8164" s="3"/>
      <c r="AB8164" s="3"/>
      <c r="AC8164" s="3"/>
      <c r="AD8164" s="3"/>
      <c r="AE8164" s="3"/>
      <c r="AF8164" s="3"/>
      <c r="AG8164" s="3"/>
      <c r="AH8164" s="3"/>
    </row>
    <row r="8165" spans="1:34" ht="14.25" customHeight="1" x14ac:dyDescent="0.25">
      <c r="A8165" s="3"/>
      <c r="B8165" s="3"/>
      <c r="C8165" s="3"/>
      <c r="D8165" s="3"/>
      <c r="E8165" s="3"/>
      <c r="F8165" s="3"/>
      <c r="G8165" s="3"/>
      <c r="H8165" s="11"/>
      <c r="I8165" s="12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  <c r="AA8165" s="3"/>
      <c r="AB8165" s="3"/>
      <c r="AC8165" s="3"/>
      <c r="AD8165" s="3"/>
      <c r="AE8165" s="3"/>
      <c r="AF8165" s="3"/>
      <c r="AG8165" s="3"/>
      <c r="AH8165" s="3"/>
    </row>
    <row r="8166" spans="1:34" ht="14.25" customHeight="1" x14ac:dyDescent="0.25">
      <c r="A8166" s="3"/>
      <c r="B8166" s="3"/>
      <c r="C8166" s="3"/>
      <c r="D8166" s="3"/>
      <c r="E8166" s="3"/>
      <c r="F8166" s="3"/>
      <c r="G8166" s="3"/>
      <c r="H8166" s="11"/>
      <c r="I8166" s="12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  <c r="AA8166" s="3"/>
      <c r="AB8166" s="3"/>
      <c r="AC8166" s="3"/>
      <c r="AD8166" s="3"/>
      <c r="AE8166" s="3"/>
      <c r="AF8166" s="3"/>
      <c r="AG8166" s="3"/>
      <c r="AH8166" s="3"/>
    </row>
    <row r="8167" spans="1:34" ht="14.25" customHeight="1" x14ac:dyDescent="0.25">
      <c r="A8167" s="3"/>
      <c r="B8167" s="3"/>
      <c r="C8167" s="3"/>
      <c r="D8167" s="3"/>
      <c r="E8167" s="3"/>
      <c r="F8167" s="3"/>
      <c r="G8167" s="3"/>
      <c r="H8167" s="11"/>
      <c r="I8167" s="12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  <c r="AA8167" s="3"/>
      <c r="AB8167" s="3"/>
      <c r="AC8167" s="3"/>
      <c r="AD8167" s="3"/>
      <c r="AE8167" s="3"/>
      <c r="AF8167" s="3"/>
      <c r="AG8167" s="3"/>
      <c r="AH8167" s="3"/>
    </row>
    <row r="8168" spans="1:34" ht="14.25" customHeight="1" x14ac:dyDescent="0.25">
      <c r="A8168" s="3"/>
      <c r="B8168" s="3"/>
      <c r="C8168" s="3"/>
      <c r="D8168" s="3"/>
      <c r="E8168" s="3"/>
      <c r="F8168" s="3"/>
      <c r="G8168" s="3"/>
      <c r="H8168" s="11"/>
      <c r="I8168" s="12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  <c r="AA8168" s="3"/>
      <c r="AB8168" s="3"/>
      <c r="AC8168" s="3"/>
      <c r="AD8168" s="3"/>
      <c r="AE8168" s="3"/>
      <c r="AF8168" s="3"/>
      <c r="AG8168" s="3"/>
      <c r="AH8168" s="3"/>
    </row>
    <row r="8169" spans="1:34" ht="14.25" customHeight="1" x14ac:dyDescent="0.25">
      <c r="A8169" s="3"/>
      <c r="B8169" s="3"/>
      <c r="C8169" s="3"/>
      <c r="D8169" s="3"/>
      <c r="E8169" s="3"/>
      <c r="F8169" s="3"/>
      <c r="G8169" s="3"/>
      <c r="H8169" s="11"/>
      <c r="I8169" s="12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  <c r="AA8169" s="3"/>
      <c r="AB8169" s="3"/>
      <c r="AC8169" s="3"/>
      <c r="AD8169" s="3"/>
      <c r="AE8169" s="3"/>
      <c r="AF8169" s="3"/>
      <c r="AG8169" s="3"/>
      <c r="AH8169" s="3"/>
    </row>
    <row r="8170" spans="1:34" ht="14.25" customHeight="1" x14ac:dyDescent="0.25">
      <c r="A8170" s="3"/>
      <c r="B8170" s="3"/>
      <c r="C8170" s="3"/>
      <c r="D8170" s="3"/>
      <c r="E8170" s="3"/>
      <c r="F8170" s="3"/>
      <c r="G8170" s="3"/>
      <c r="H8170" s="11"/>
      <c r="I8170" s="12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  <c r="AA8170" s="3"/>
      <c r="AB8170" s="3"/>
      <c r="AC8170" s="3"/>
      <c r="AD8170" s="3"/>
      <c r="AE8170" s="3"/>
      <c r="AF8170" s="3"/>
      <c r="AG8170" s="3"/>
      <c r="AH8170" s="3"/>
    </row>
    <row r="8171" spans="1:34" ht="14.25" customHeight="1" x14ac:dyDescent="0.25">
      <c r="A8171" s="3"/>
      <c r="B8171" s="3"/>
      <c r="C8171" s="3"/>
      <c r="D8171" s="3"/>
      <c r="E8171" s="3"/>
      <c r="F8171" s="3"/>
      <c r="G8171" s="3"/>
      <c r="H8171" s="11"/>
      <c r="I8171" s="12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  <c r="AA8171" s="3"/>
      <c r="AB8171" s="3"/>
      <c r="AC8171" s="3"/>
      <c r="AD8171" s="3"/>
      <c r="AE8171" s="3"/>
      <c r="AF8171" s="3"/>
      <c r="AG8171" s="3"/>
      <c r="AH8171" s="3"/>
    </row>
    <row r="8172" spans="1:34" ht="14.25" customHeight="1" x14ac:dyDescent="0.25">
      <c r="A8172" s="3"/>
      <c r="B8172" s="3"/>
      <c r="C8172" s="3"/>
      <c r="D8172" s="3"/>
      <c r="E8172" s="3"/>
      <c r="F8172" s="3"/>
      <c r="G8172" s="3"/>
      <c r="H8172" s="11"/>
      <c r="I8172" s="12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  <c r="AA8172" s="3"/>
      <c r="AB8172" s="3"/>
      <c r="AC8172" s="3"/>
      <c r="AD8172" s="3"/>
      <c r="AE8172" s="3"/>
      <c r="AF8172" s="3"/>
      <c r="AG8172" s="3"/>
      <c r="AH8172" s="3"/>
    </row>
    <row r="8173" spans="1:34" ht="14.25" customHeight="1" x14ac:dyDescent="0.25">
      <c r="A8173" s="3"/>
      <c r="B8173" s="3"/>
      <c r="C8173" s="3"/>
      <c r="D8173" s="3"/>
      <c r="E8173" s="3"/>
      <c r="F8173" s="3"/>
      <c r="G8173" s="3"/>
      <c r="H8173" s="11"/>
      <c r="I8173" s="12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  <c r="AA8173" s="3"/>
      <c r="AB8173" s="3"/>
      <c r="AC8173" s="3"/>
      <c r="AD8173" s="3"/>
      <c r="AE8173" s="3"/>
      <c r="AF8173" s="3"/>
      <c r="AG8173" s="3"/>
      <c r="AH8173" s="3"/>
    </row>
    <row r="8174" spans="1:34" ht="14.25" customHeight="1" x14ac:dyDescent="0.25">
      <c r="A8174" s="3"/>
      <c r="B8174" s="3"/>
      <c r="C8174" s="3"/>
      <c r="D8174" s="3"/>
      <c r="E8174" s="3"/>
      <c r="F8174" s="3"/>
      <c r="G8174" s="3"/>
      <c r="H8174" s="11"/>
      <c r="I8174" s="12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  <c r="AA8174" s="3"/>
      <c r="AB8174" s="3"/>
      <c r="AC8174" s="3"/>
      <c r="AD8174" s="3"/>
      <c r="AE8174" s="3"/>
      <c r="AF8174" s="3"/>
      <c r="AG8174" s="3"/>
      <c r="AH8174" s="3"/>
    </row>
    <row r="8175" spans="1:34" ht="14.25" customHeight="1" x14ac:dyDescent="0.25">
      <c r="A8175" s="3"/>
      <c r="B8175" s="3"/>
      <c r="C8175" s="3"/>
      <c r="D8175" s="3"/>
      <c r="E8175" s="3"/>
      <c r="F8175" s="3"/>
      <c r="G8175" s="3"/>
      <c r="H8175" s="11"/>
      <c r="I8175" s="12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  <c r="AA8175" s="3"/>
      <c r="AB8175" s="3"/>
      <c r="AC8175" s="3"/>
      <c r="AD8175" s="3"/>
      <c r="AE8175" s="3"/>
      <c r="AF8175" s="3"/>
      <c r="AG8175" s="3"/>
      <c r="AH8175" s="3"/>
    </row>
    <row r="8176" spans="1:34" ht="14.25" customHeight="1" x14ac:dyDescent="0.25">
      <c r="A8176" s="3"/>
      <c r="B8176" s="3"/>
      <c r="C8176" s="3"/>
      <c r="D8176" s="3"/>
      <c r="E8176" s="3"/>
      <c r="F8176" s="3"/>
      <c r="G8176" s="3"/>
      <c r="H8176" s="11"/>
      <c r="I8176" s="12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  <c r="AA8176" s="3"/>
      <c r="AB8176" s="3"/>
      <c r="AC8176" s="3"/>
      <c r="AD8176" s="3"/>
      <c r="AE8176" s="3"/>
      <c r="AF8176" s="3"/>
      <c r="AG8176" s="3"/>
      <c r="AH8176" s="3"/>
    </row>
    <row r="8177" spans="1:34" ht="14.25" customHeight="1" x14ac:dyDescent="0.25">
      <c r="A8177" s="3"/>
      <c r="B8177" s="3"/>
      <c r="C8177" s="3"/>
      <c r="D8177" s="3"/>
      <c r="E8177" s="3"/>
      <c r="F8177" s="3"/>
      <c r="G8177" s="3"/>
      <c r="H8177" s="11"/>
      <c r="I8177" s="12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  <c r="AA8177" s="3"/>
      <c r="AB8177" s="3"/>
      <c r="AC8177" s="3"/>
      <c r="AD8177" s="3"/>
      <c r="AE8177" s="3"/>
      <c r="AF8177" s="3"/>
      <c r="AG8177" s="3"/>
      <c r="AH8177" s="3"/>
    </row>
    <row r="8178" spans="1:34" ht="14.25" customHeight="1" x14ac:dyDescent="0.25">
      <c r="A8178" s="3"/>
      <c r="B8178" s="3"/>
      <c r="C8178" s="3"/>
      <c r="D8178" s="3"/>
      <c r="E8178" s="3"/>
      <c r="F8178" s="3"/>
      <c r="G8178" s="3"/>
      <c r="H8178" s="11"/>
      <c r="I8178" s="12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  <c r="AA8178" s="3"/>
      <c r="AB8178" s="3"/>
      <c r="AC8178" s="3"/>
      <c r="AD8178" s="3"/>
      <c r="AE8178" s="3"/>
      <c r="AF8178" s="3"/>
      <c r="AG8178" s="3"/>
      <c r="AH8178" s="3"/>
    </row>
    <row r="8179" spans="1:34" ht="14.25" customHeight="1" x14ac:dyDescent="0.25">
      <c r="A8179" s="3"/>
      <c r="B8179" s="3"/>
      <c r="C8179" s="3"/>
      <c r="D8179" s="3"/>
      <c r="E8179" s="3"/>
      <c r="F8179" s="3"/>
      <c r="G8179" s="3"/>
      <c r="H8179" s="11"/>
      <c r="I8179" s="12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  <c r="AA8179" s="3"/>
      <c r="AB8179" s="3"/>
      <c r="AC8179" s="3"/>
      <c r="AD8179" s="3"/>
      <c r="AE8179" s="3"/>
      <c r="AF8179" s="3"/>
      <c r="AG8179" s="3"/>
      <c r="AH8179" s="3"/>
    </row>
    <row r="8180" spans="1:34" ht="14.25" customHeight="1" x14ac:dyDescent="0.25">
      <c r="A8180" s="3"/>
      <c r="B8180" s="3"/>
      <c r="C8180" s="3"/>
      <c r="D8180" s="3"/>
      <c r="E8180" s="3"/>
      <c r="F8180" s="3"/>
      <c r="G8180" s="3"/>
      <c r="H8180" s="11"/>
      <c r="I8180" s="12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  <c r="AA8180" s="3"/>
      <c r="AB8180" s="3"/>
      <c r="AC8180" s="3"/>
      <c r="AD8180" s="3"/>
      <c r="AE8180" s="3"/>
      <c r="AF8180" s="3"/>
      <c r="AG8180" s="3"/>
      <c r="AH8180" s="3"/>
    </row>
    <row r="8181" spans="1:34" ht="14.25" customHeight="1" x14ac:dyDescent="0.25">
      <c r="A8181" s="3"/>
      <c r="B8181" s="3"/>
      <c r="C8181" s="3"/>
      <c r="D8181" s="3"/>
      <c r="E8181" s="3"/>
      <c r="F8181" s="3"/>
      <c r="G8181" s="3"/>
      <c r="H8181" s="11"/>
      <c r="I8181" s="12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  <c r="AA8181" s="3"/>
      <c r="AB8181" s="3"/>
      <c r="AC8181" s="3"/>
      <c r="AD8181" s="3"/>
      <c r="AE8181" s="3"/>
      <c r="AF8181" s="3"/>
      <c r="AG8181" s="3"/>
      <c r="AH8181" s="3"/>
    </row>
    <row r="8182" spans="1:34" ht="14.25" customHeight="1" x14ac:dyDescent="0.25">
      <c r="A8182" s="3"/>
      <c r="B8182" s="3"/>
      <c r="C8182" s="3"/>
      <c r="D8182" s="3"/>
      <c r="E8182" s="3"/>
      <c r="F8182" s="3"/>
      <c r="G8182" s="3"/>
      <c r="H8182" s="11"/>
      <c r="I8182" s="12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  <c r="AA8182" s="3"/>
      <c r="AB8182" s="3"/>
      <c r="AC8182" s="3"/>
      <c r="AD8182" s="3"/>
      <c r="AE8182" s="3"/>
      <c r="AF8182" s="3"/>
      <c r="AG8182" s="3"/>
      <c r="AH8182" s="3"/>
    </row>
    <row r="8183" spans="1:34" ht="14.25" customHeight="1" x14ac:dyDescent="0.25">
      <c r="A8183" s="3"/>
      <c r="B8183" s="3"/>
      <c r="C8183" s="3"/>
      <c r="D8183" s="3"/>
      <c r="E8183" s="3"/>
      <c r="F8183" s="3"/>
      <c r="G8183" s="3"/>
      <c r="H8183" s="11"/>
      <c r="I8183" s="12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  <c r="AA8183" s="3"/>
      <c r="AB8183" s="3"/>
      <c r="AC8183" s="3"/>
      <c r="AD8183" s="3"/>
      <c r="AE8183" s="3"/>
      <c r="AF8183" s="3"/>
      <c r="AG8183" s="3"/>
      <c r="AH8183" s="3"/>
    </row>
    <row r="8184" spans="1:34" ht="14.25" customHeight="1" x14ac:dyDescent="0.25">
      <c r="A8184" s="3"/>
      <c r="B8184" s="3"/>
      <c r="C8184" s="3"/>
      <c r="D8184" s="3"/>
      <c r="E8184" s="3"/>
      <c r="F8184" s="3"/>
      <c r="G8184" s="3"/>
      <c r="H8184" s="11"/>
      <c r="I8184" s="12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  <c r="AA8184" s="3"/>
      <c r="AB8184" s="3"/>
      <c r="AC8184" s="3"/>
      <c r="AD8184" s="3"/>
      <c r="AE8184" s="3"/>
      <c r="AF8184" s="3"/>
      <c r="AG8184" s="3"/>
      <c r="AH8184" s="3"/>
    </row>
    <row r="8185" spans="1:34" ht="14.25" customHeight="1" x14ac:dyDescent="0.25">
      <c r="A8185" s="3"/>
      <c r="B8185" s="3"/>
      <c r="C8185" s="3"/>
      <c r="D8185" s="3"/>
      <c r="E8185" s="3"/>
      <c r="F8185" s="3"/>
      <c r="G8185" s="3"/>
      <c r="H8185" s="11"/>
      <c r="I8185" s="12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  <c r="AA8185" s="3"/>
      <c r="AB8185" s="3"/>
      <c r="AC8185" s="3"/>
      <c r="AD8185" s="3"/>
      <c r="AE8185" s="3"/>
      <c r="AF8185" s="3"/>
      <c r="AG8185" s="3"/>
      <c r="AH8185" s="3"/>
    </row>
    <row r="8186" spans="1:34" ht="14.25" customHeight="1" x14ac:dyDescent="0.25">
      <c r="A8186" s="3"/>
      <c r="B8186" s="3"/>
      <c r="C8186" s="3"/>
      <c r="D8186" s="3"/>
      <c r="E8186" s="3"/>
      <c r="F8186" s="3"/>
      <c r="G8186" s="3"/>
      <c r="H8186" s="11"/>
      <c r="I8186" s="12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  <c r="AA8186" s="3"/>
      <c r="AB8186" s="3"/>
      <c r="AC8186" s="3"/>
      <c r="AD8186" s="3"/>
      <c r="AE8186" s="3"/>
      <c r="AF8186" s="3"/>
      <c r="AG8186" s="3"/>
      <c r="AH8186" s="3"/>
    </row>
    <row r="8187" spans="1:34" ht="14.25" customHeight="1" x14ac:dyDescent="0.25">
      <c r="A8187" s="3"/>
      <c r="B8187" s="3"/>
      <c r="C8187" s="3"/>
      <c r="D8187" s="3"/>
      <c r="E8187" s="3"/>
      <c r="F8187" s="3"/>
      <c r="G8187" s="3"/>
      <c r="H8187" s="11"/>
      <c r="I8187" s="12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  <c r="AA8187" s="3"/>
      <c r="AB8187" s="3"/>
      <c r="AC8187" s="3"/>
      <c r="AD8187" s="3"/>
      <c r="AE8187" s="3"/>
      <c r="AF8187" s="3"/>
      <c r="AG8187" s="3"/>
      <c r="AH8187" s="3"/>
    </row>
    <row r="8188" spans="1:34" ht="14.25" customHeight="1" x14ac:dyDescent="0.25">
      <c r="A8188" s="3"/>
      <c r="B8188" s="3"/>
      <c r="C8188" s="3"/>
      <c r="D8188" s="3"/>
      <c r="E8188" s="3"/>
      <c r="F8188" s="3"/>
      <c r="G8188" s="3"/>
      <c r="H8188" s="11"/>
      <c r="I8188" s="12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  <c r="AA8188" s="3"/>
      <c r="AB8188" s="3"/>
      <c r="AC8188" s="3"/>
      <c r="AD8188" s="3"/>
      <c r="AE8188" s="3"/>
      <c r="AF8188" s="3"/>
      <c r="AG8188" s="3"/>
      <c r="AH8188" s="3"/>
    </row>
    <row r="8189" spans="1:34" ht="14.25" customHeight="1" x14ac:dyDescent="0.25">
      <c r="A8189" s="3"/>
      <c r="B8189" s="3"/>
      <c r="C8189" s="3"/>
      <c r="D8189" s="3"/>
      <c r="E8189" s="3"/>
      <c r="F8189" s="3"/>
      <c r="G8189" s="3"/>
      <c r="H8189" s="11"/>
      <c r="I8189" s="12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  <c r="AA8189" s="3"/>
      <c r="AB8189" s="3"/>
      <c r="AC8189" s="3"/>
      <c r="AD8189" s="3"/>
      <c r="AE8189" s="3"/>
      <c r="AF8189" s="3"/>
      <c r="AG8189" s="3"/>
      <c r="AH8189" s="3"/>
    </row>
    <row r="8190" spans="1:34" ht="14.25" customHeight="1" x14ac:dyDescent="0.25">
      <c r="A8190" s="3"/>
      <c r="B8190" s="3"/>
      <c r="C8190" s="3"/>
      <c r="D8190" s="3"/>
      <c r="E8190" s="3"/>
      <c r="F8190" s="3"/>
      <c r="G8190" s="3"/>
      <c r="H8190" s="11"/>
      <c r="I8190" s="12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  <c r="AA8190" s="3"/>
      <c r="AB8190" s="3"/>
      <c r="AC8190" s="3"/>
      <c r="AD8190" s="3"/>
      <c r="AE8190" s="3"/>
      <c r="AF8190" s="3"/>
      <c r="AG8190" s="3"/>
      <c r="AH8190" s="3"/>
    </row>
    <row r="8191" spans="1:34" ht="14.25" customHeight="1" x14ac:dyDescent="0.25">
      <c r="A8191" s="3"/>
      <c r="B8191" s="3"/>
      <c r="C8191" s="3"/>
      <c r="D8191" s="3"/>
      <c r="E8191" s="3"/>
      <c r="F8191" s="3"/>
      <c r="G8191" s="3"/>
      <c r="H8191" s="11"/>
      <c r="I8191" s="12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  <c r="AA8191" s="3"/>
      <c r="AB8191" s="3"/>
      <c r="AC8191" s="3"/>
      <c r="AD8191" s="3"/>
      <c r="AE8191" s="3"/>
      <c r="AF8191" s="3"/>
      <c r="AG8191" s="3"/>
      <c r="AH8191" s="3"/>
    </row>
    <row r="8192" spans="1:34" ht="14.25" customHeight="1" x14ac:dyDescent="0.25">
      <c r="A8192" s="3"/>
      <c r="B8192" s="3"/>
      <c r="C8192" s="3"/>
      <c r="D8192" s="3"/>
      <c r="E8192" s="3"/>
      <c r="F8192" s="3"/>
      <c r="G8192" s="3"/>
      <c r="H8192" s="11"/>
      <c r="I8192" s="12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  <c r="AA8192" s="3"/>
      <c r="AB8192" s="3"/>
      <c r="AC8192" s="3"/>
      <c r="AD8192" s="3"/>
      <c r="AE8192" s="3"/>
      <c r="AF8192" s="3"/>
      <c r="AG8192" s="3"/>
      <c r="AH8192" s="3"/>
    </row>
    <row r="8193" spans="1:34" ht="14.25" customHeight="1" x14ac:dyDescent="0.25">
      <c r="A8193" s="3"/>
      <c r="B8193" s="3"/>
      <c r="C8193" s="3"/>
      <c r="D8193" s="3"/>
      <c r="E8193" s="3"/>
      <c r="F8193" s="3"/>
      <c r="G8193" s="3"/>
      <c r="H8193" s="11"/>
      <c r="I8193" s="12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  <c r="AA8193" s="3"/>
      <c r="AB8193" s="3"/>
      <c r="AC8193" s="3"/>
      <c r="AD8193" s="3"/>
      <c r="AE8193" s="3"/>
      <c r="AF8193" s="3"/>
      <c r="AG8193" s="3"/>
      <c r="AH8193" s="3"/>
    </row>
    <row r="8194" spans="1:34" ht="14.25" customHeight="1" x14ac:dyDescent="0.25">
      <c r="A8194" s="3"/>
      <c r="B8194" s="3"/>
      <c r="C8194" s="3"/>
      <c r="D8194" s="3"/>
      <c r="E8194" s="3"/>
      <c r="F8194" s="3"/>
      <c r="G8194" s="3"/>
      <c r="H8194" s="11"/>
      <c r="I8194" s="12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  <c r="AA8194" s="3"/>
      <c r="AB8194" s="3"/>
      <c r="AC8194" s="3"/>
      <c r="AD8194" s="3"/>
      <c r="AE8194" s="3"/>
      <c r="AF8194" s="3"/>
      <c r="AG8194" s="3"/>
      <c r="AH8194" s="3"/>
    </row>
    <row r="8195" spans="1:34" ht="14.25" customHeight="1" x14ac:dyDescent="0.25">
      <c r="A8195" s="3"/>
      <c r="B8195" s="3"/>
      <c r="C8195" s="3"/>
      <c r="D8195" s="3"/>
      <c r="E8195" s="3"/>
      <c r="F8195" s="3"/>
      <c r="G8195" s="3"/>
      <c r="H8195" s="11"/>
      <c r="I8195" s="12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  <c r="AA8195" s="3"/>
      <c r="AB8195" s="3"/>
      <c r="AC8195" s="3"/>
      <c r="AD8195" s="3"/>
      <c r="AE8195" s="3"/>
      <c r="AF8195" s="3"/>
      <c r="AG8195" s="3"/>
      <c r="AH8195" s="3"/>
    </row>
    <row r="8196" spans="1:34" ht="14.25" customHeight="1" x14ac:dyDescent="0.25">
      <c r="A8196" s="3"/>
      <c r="B8196" s="3"/>
      <c r="C8196" s="3"/>
      <c r="D8196" s="3"/>
      <c r="E8196" s="3"/>
      <c r="F8196" s="3"/>
      <c r="G8196" s="3"/>
      <c r="H8196" s="11"/>
      <c r="I8196" s="12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  <c r="AA8196" s="3"/>
      <c r="AB8196" s="3"/>
      <c r="AC8196" s="3"/>
      <c r="AD8196" s="3"/>
      <c r="AE8196" s="3"/>
      <c r="AF8196" s="3"/>
      <c r="AG8196" s="3"/>
      <c r="AH8196" s="3"/>
    </row>
    <row r="8197" spans="1:34" ht="14.25" customHeight="1" x14ac:dyDescent="0.25">
      <c r="A8197" s="3"/>
      <c r="B8197" s="3"/>
      <c r="C8197" s="3"/>
      <c r="D8197" s="3"/>
      <c r="E8197" s="3"/>
      <c r="F8197" s="3"/>
      <c r="G8197" s="3"/>
      <c r="H8197" s="11"/>
      <c r="I8197" s="12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  <c r="AA8197" s="3"/>
      <c r="AB8197" s="3"/>
      <c r="AC8197" s="3"/>
      <c r="AD8197" s="3"/>
      <c r="AE8197" s="3"/>
      <c r="AF8197" s="3"/>
      <c r="AG8197" s="3"/>
      <c r="AH8197" s="3"/>
    </row>
    <row r="8198" spans="1:34" ht="14.25" customHeight="1" x14ac:dyDescent="0.25">
      <c r="A8198" s="3"/>
      <c r="B8198" s="3"/>
      <c r="C8198" s="3"/>
      <c r="D8198" s="3"/>
      <c r="E8198" s="3"/>
      <c r="F8198" s="3"/>
      <c r="G8198" s="3"/>
      <c r="H8198" s="11"/>
      <c r="I8198" s="12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  <c r="AA8198" s="3"/>
      <c r="AB8198" s="3"/>
      <c r="AC8198" s="3"/>
      <c r="AD8198" s="3"/>
      <c r="AE8198" s="3"/>
      <c r="AF8198" s="3"/>
      <c r="AG8198" s="3"/>
      <c r="AH8198" s="3"/>
    </row>
    <row r="8199" spans="1:34" ht="14.25" customHeight="1" x14ac:dyDescent="0.25">
      <c r="A8199" s="3"/>
      <c r="B8199" s="3"/>
      <c r="C8199" s="3"/>
      <c r="D8199" s="3"/>
      <c r="E8199" s="3"/>
      <c r="F8199" s="3"/>
      <c r="G8199" s="3"/>
      <c r="H8199" s="11"/>
      <c r="I8199" s="12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  <c r="AA8199" s="3"/>
      <c r="AB8199" s="3"/>
      <c r="AC8199" s="3"/>
      <c r="AD8199" s="3"/>
      <c r="AE8199" s="3"/>
      <c r="AF8199" s="3"/>
      <c r="AG8199" s="3"/>
      <c r="AH8199" s="3"/>
    </row>
    <row r="8200" spans="1:34" ht="14.25" customHeight="1" x14ac:dyDescent="0.25">
      <c r="A8200" s="3"/>
      <c r="B8200" s="3"/>
      <c r="C8200" s="3"/>
      <c r="D8200" s="3"/>
      <c r="E8200" s="3"/>
      <c r="F8200" s="3"/>
      <c r="G8200" s="3"/>
      <c r="H8200" s="11"/>
      <c r="I8200" s="12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  <c r="AA8200" s="3"/>
      <c r="AB8200" s="3"/>
      <c r="AC8200" s="3"/>
      <c r="AD8200" s="3"/>
      <c r="AE8200" s="3"/>
      <c r="AF8200" s="3"/>
      <c r="AG8200" s="3"/>
      <c r="AH8200" s="3"/>
    </row>
    <row r="8201" spans="1:34" ht="14.25" customHeight="1" x14ac:dyDescent="0.25">
      <c r="A8201" s="3"/>
      <c r="B8201" s="3"/>
      <c r="C8201" s="3"/>
      <c r="D8201" s="3"/>
      <c r="E8201" s="3"/>
      <c r="F8201" s="3"/>
      <c r="G8201" s="3"/>
      <c r="H8201" s="11"/>
      <c r="I8201" s="12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  <c r="AA8201" s="3"/>
      <c r="AB8201" s="3"/>
      <c r="AC8201" s="3"/>
      <c r="AD8201" s="3"/>
      <c r="AE8201" s="3"/>
      <c r="AF8201" s="3"/>
      <c r="AG8201" s="3"/>
      <c r="AH8201" s="3"/>
    </row>
    <row r="8202" spans="1:34" ht="14.25" customHeight="1" x14ac:dyDescent="0.25">
      <c r="A8202" s="3"/>
      <c r="B8202" s="3"/>
      <c r="C8202" s="3"/>
      <c r="D8202" s="3"/>
      <c r="E8202" s="3"/>
      <c r="F8202" s="3"/>
      <c r="G8202" s="3"/>
      <c r="H8202" s="11"/>
      <c r="I8202" s="12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  <c r="AA8202" s="3"/>
      <c r="AB8202" s="3"/>
      <c r="AC8202" s="3"/>
      <c r="AD8202" s="3"/>
      <c r="AE8202" s="3"/>
      <c r="AF8202" s="3"/>
      <c r="AG8202" s="3"/>
      <c r="AH8202" s="3"/>
    </row>
    <row r="8203" spans="1:34" ht="14.25" customHeight="1" x14ac:dyDescent="0.25">
      <c r="A8203" s="3"/>
      <c r="B8203" s="3"/>
      <c r="C8203" s="3"/>
      <c r="D8203" s="3"/>
      <c r="E8203" s="3"/>
      <c r="F8203" s="3"/>
      <c r="G8203" s="3"/>
      <c r="H8203" s="11"/>
      <c r="I8203" s="12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  <c r="AA8203" s="3"/>
      <c r="AB8203" s="3"/>
      <c r="AC8203" s="3"/>
      <c r="AD8203" s="3"/>
      <c r="AE8203" s="3"/>
      <c r="AF8203" s="3"/>
      <c r="AG8203" s="3"/>
      <c r="AH8203" s="3"/>
    </row>
    <row r="8204" spans="1:34" ht="14.25" customHeight="1" x14ac:dyDescent="0.25">
      <c r="A8204" s="3"/>
      <c r="B8204" s="3"/>
      <c r="C8204" s="3"/>
      <c r="D8204" s="3"/>
      <c r="E8204" s="3"/>
      <c r="F8204" s="3"/>
      <c r="G8204" s="3"/>
      <c r="H8204" s="11"/>
      <c r="I8204" s="12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  <c r="AA8204" s="3"/>
      <c r="AB8204" s="3"/>
      <c r="AC8204" s="3"/>
      <c r="AD8204" s="3"/>
      <c r="AE8204" s="3"/>
      <c r="AF8204" s="3"/>
      <c r="AG8204" s="3"/>
      <c r="AH8204" s="3"/>
    </row>
    <row r="8205" spans="1:34" ht="14.25" customHeight="1" x14ac:dyDescent="0.25">
      <c r="A8205" s="3"/>
      <c r="B8205" s="3"/>
      <c r="C8205" s="3"/>
      <c r="D8205" s="3"/>
      <c r="E8205" s="3"/>
      <c r="F8205" s="3"/>
      <c r="G8205" s="3"/>
      <c r="H8205" s="11"/>
      <c r="I8205" s="12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  <c r="AA8205" s="3"/>
      <c r="AB8205" s="3"/>
      <c r="AC8205" s="3"/>
      <c r="AD8205" s="3"/>
      <c r="AE8205" s="3"/>
      <c r="AF8205" s="3"/>
      <c r="AG8205" s="3"/>
      <c r="AH8205" s="3"/>
    </row>
    <row r="8206" spans="1:34" ht="14.25" customHeight="1" x14ac:dyDescent="0.25">
      <c r="A8206" s="3"/>
      <c r="B8206" s="3"/>
      <c r="C8206" s="3"/>
      <c r="D8206" s="3"/>
      <c r="E8206" s="3"/>
      <c r="F8206" s="3"/>
      <c r="G8206" s="3"/>
      <c r="H8206" s="11"/>
      <c r="I8206" s="12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  <c r="AA8206" s="3"/>
      <c r="AB8206" s="3"/>
      <c r="AC8206" s="3"/>
      <c r="AD8206" s="3"/>
      <c r="AE8206" s="3"/>
      <c r="AF8206" s="3"/>
      <c r="AG8206" s="3"/>
      <c r="AH8206" s="3"/>
    </row>
    <row r="8207" spans="1:34" ht="14.25" customHeight="1" x14ac:dyDescent="0.25">
      <c r="A8207" s="3"/>
      <c r="B8207" s="3"/>
      <c r="C8207" s="3"/>
      <c r="D8207" s="3"/>
      <c r="E8207" s="3"/>
      <c r="F8207" s="3"/>
      <c r="G8207" s="3"/>
      <c r="H8207" s="11"/>
      <c r="I8207" s="12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  <c r="AA8207" s="3"/>
      <c r="AB8207" s="3"/>
      <c r="AC8207" s="3"/>
      <c r="AD8207" s="3"/>
      <c r="AE8207" s="3"/>
      <c r="AF8207" s="3"/>
      <c r="AG8207" s="3"/>
      <c r="AH8207" s="3"/>
    </row>
    <row r="8208" spans="1:34" ht="14.25" customHeight="1" x14ac:dyDescent="0.25">
      <c r="A8208" s="3"/>
      <c r="B8208" s="3"/>
      <c r="C8208" s="3"/>
      <c r="D8208" s="3"/>
      <c r="E8208" s="3"/>
      <c r="F8208" s="3"/>
      <c r="G8208" s="3"/>
      <c r="H8208" s="11"/>
      <c r="I8208" s="12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  <c r="AA8208" s="3"/>
      <c r="AB8208" s="3"/>
      <c r="AC8208" s="3"/>
      <c r="AD8208" s="3"/>
      <c r="AE8208" s="3"/>
      <c r="AF8208" s="3"/>
      <c r="AG8208" s="3"/>
      <c r="AH8208" s="3"/>
    </row>
    <row r="8209" spans="1:34" ht="14.25" customHeight="1" x14ac:dyDescent="0.25">
      <c r="A8209" s="3"/>
      <c r="B8209" s="3"/>
      <c r="C8209" s="3"/>
      <c r="D8209" s="3"/>
      <c r="E8209" s="3"/>
      <c r="F8209" s="3"/>
      <c r="G8209" s="3"/>
      <c r="H8209" s="11"/>
      <c r="I8209" s="12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  <c r="AA8209" s="3"/>
      <c r="AB8209" s="3"/>
      <c r="AC8209" s="3"/>
      <c r="AD8209" s="3"/>
      <c r="AE8209" s="3"/>
      <c r="AF8209" s="3"/>
      <c r="AG8209" s="3"/>
      <c r="AH8209" s="3"/>
    </row>
    <row r="8210" spans="1:34" ht="14.25" customHeight="1" x14ac:dyDescent="0.25">
      <c r="A8210" s="3"/>
      <c r="B8210" s="3"/>
      <c r="C8210" s="3"/>
      <c r="D8210" s="3"/>
      <c r="E8210" s="3"/>
      <c r="F8210" s="3"/>
      <c r="G8210" s="3"/>
      <c r="H8210" s="11"/>
      <c r="I8210" s="12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  <c r="AA8210" s="3"/>
      <c r="AB8210" s="3"/>
      <c r="AC8210" s="3"/>
      <c r="AD8210" s="3"/>
      <c r="AE8210" s="3"/>
      <c r="AF8210" s="3"/>
      <c r="AG8210" s="3"/>
      <c r="AH8210" s="3"/>
    </row>
    <row r="8211" spans="1:34" ht="14.25" customHeight="1" x14ac:dyDescent="0.25">
      <c r="A8211" s="3"/>
      <c r="B8211" s="3"/>
      <c r="C8211" s="3"/>
      <c r="D8211" s="3"/>
      <c r="E8211" s="3"/>
      <c r="F8211" s="3"/>
      <c r="G8211" s="3"/>
      <c r="H8211" s="11"/>
      <c r="I8211" s="12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  <c r="AA8211" s="3"/>
      <c r="AB8211" s="3"/>
      <c r="AC8211" s="3"/>
      <c r="AD8211" s="3"/>
      <c r="AE8211" s="3"/>
      <c r="AF8211" s="3"/>
      <c r="AG8211" s="3"/>
      <c r="AH8211" s="3"/>
    </row>
    <row r="8212" spans="1:34" ht="14.25" customHeight="1" x14ac:dyDescent="0.25">
      <c r="A8212" s="3"/>
      <c r="B8212" s="3"/>
      <c r="C8212" s="3"/>
      <c r="D8212" s="3"/>
      <c r="E8212" s="3"/>
      <c r="F8212" s="3"/>
      <c r="G8212" s="3"/>
      <c r="H8212" s="11"/>
      <c r="I8212" s="12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  <c r="AA8212" s="3"/>
      <c r="AB8212" s="3"/>
      <c r="AC8212" s="3"/>
      <c r="AD8212" s="3"/>
      <c r="AE8212" s="3"/>
      <c r="AF8212" s="3"/>
      <c r="AG8212" s="3"/>
      <c r="AH8212" s="3"/>
    </row>
    <row r="8213" spans="1:34" ht="14.25" customHeight="1" x14ac:dyDescent="0.25">
      <c r="A8213" s="3"/>
      <c r="B8213" s="3"/>
      <c r="C8213" s="3"/>
      <c r="D8213" s="3"/>
      <c r="E8213" s="3"/>
      <c r="F8213" s="3"/>
      <c r="G8213" s="3"/>
      <c r="H8213" s="11"/>
      <c r="I8213" s="12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  <c r="AA8213" s="3"/>
      <c r="AB8213" s="3"/>
      <c r="AC8213" s="3"/>
      <c r="AD8213" s="3"/>
      <c r="AE8213" s="3"/>
      <c r="AF8213" s="3"/>
      <c r="AG8213" s="3"/>
      <c r="AH8213" s="3"/>
    </row>
    <row r="8214" spans="1:34" ht="14.25" customHeight="1" x14ac:dyDescent="0.25">
      <c r="A8214" s="3"/>
      <c r="B8214" s="3"/>
      <c r="C8214" s="3"/>
      <c r="D8214" s="3"/>
      <c r="E8214" s="3"/>
      <c r="F8214" s="3"/>
      <c r="G8214" s="3"/>
      <c r="H8214" s="11"/>
      <c r="I8214" s="12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  <c r="AA8214" s="3"/>
      <c r="AB8214" s="3"/>
      <c r="AC8214" s="3"/>
      <c r="AD8214" s="3"/>
      <c r="AE8214" s="3"/>
      <c r="AF8214" s="3"/>
      <c r="AG8214" s="3"/>
      <c r="AH8214" s="3"/>
    </row>
    <row r="8215" spans="1:34" ht="14.25" customHeight="1" x14ac:dyDescent="0.25">
      <c r="A8215" s="3"/>
      <c r="B8215" s="3"/>
      <c r="C8215" s="3"/>
      <c r="D8215" s="3"/>
      <c r="E8215" s="3"/>
      <c r="F8215" s="3"/>
      <c r="G8215" s="3"/>
      <c r="H8215" s="11"/>
      <c r="I8215" s="12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  <c r="AA8215" s="3"/>
      <c r="AB8215" s="3"/>
      <c r="AC8215" s="3"/>
      <c r="AD8215" s="3"/>
      <c r="AE8215" s="3"/>
      <c r="AF8215" s="3"/>
      <c r="AG8215" s="3"/>
      <c r="AH8215" s="3"/>
    </row>
    <row r="8216" spans="1:34" ht="14.25" customHeight="1" x14ac:dyDescent="0.25">
      <c r="A8216" s="3"/>
      <c r="B8216" s="3"/>
      <c r="C8216" s="3"/>
      <c r="D8216" s="3"/>
      <c r="E8216" s="3"/>
      <c r="F8216" s="3"/>
      <c r="G8216" s="3"/>
      <c r="H8216" s="11"/>
      <c r="I8216" s="12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  <c r="AA8216" s="3"/>
      <c r="AB8216" s="3"/>
      <c r="AC8216" s="3"/>
      <c r="AD8216" s="3"/>
      <c r="AE8216" s="3"/>
      <c r="AF8216" s="3"/>
      <c r="AG8216" s="3"/>
      <c r="AH8216" s="3"/>
    </row>
    <row r="8217" spans="1:34" ht="14.25" customHeight="1" x14ac:dyDescent="0.25">
      <c r="A8217" s="3"/>
      <c r="B8217" s="3"/>
      <c r="C8217" s="3"/>
      <c r="D8217" s="3"/>
      <c r="E8217" s="3"/>
      <c r="F8217" s="3"/>
      <c r="G8217" s="3"/>
      <c r="H8217" s="11"/>
      <c r="I8217" s="12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  <c r="AA8217" s="3"/>
      <c r="AB8217" s="3"/>
      <c r="AC8217" s="3"/>
      <c r="AD8217" s="3"/>
      <c r="AE8217" s="3"/>
      <c r="AF8217" s="3"/>
      <c r="AG8217" s="3"/>
      <c r="AH8217" s="3"/>
    </row>
    <row r="8218" spans="1:34" ht="14.25" customHeight="1" x14ac:dyDescent="0.25">
      <c r="A8218" s="3"/>
      <c r="B8218" s="3"/>
      <c r="C8218" s="3"/>
      <c r="D8218" s="3"/>
      <c r="E8218" s="3"/>
      <c r="F8218" s="3"/>
      <c r="G8218" s="3"/>
      <c r="H8218" s="11"/>
      <c r="I8218" s="12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  <c r="AA8218" s="3"/>
      <c r="AB8218" s="3"/>
      <c r="AC8218" s="3"/>
      <c r="AD8218" s="3"/>
      <c r="AE8218" s="3"/>
      <c r="AF8218" s="3"/>
      <c r="AG8218" s="3"/>
      <c r="AH8218" s="3"/>
    </row>
    <row r="8219" spans="1:34" ht="14.25" customHeight="1" x14ac:dyDescent="0.25">
      <c r="A8219" s="3"/>
      <c r="B8219" s="3"/>
      <c r="C8219" s="3"/>
      <c r="D8219" s="3"/>
      <c r="E8219" s="3"/>
      <c r="F8219" s="3"/>
      <c r="G8219" s="3"/>
      <c r="H8219" s="11"/>
      <c r="I8219" s="12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  <c r="AA8219" s="3"/>
      <c r="AB8219" s="3"/>
      <c r="AC8219" s="3"/>
      <c r="AD8219" s="3"/>
      <c r="AE8219" s="3"/>
      <c r="AF8219" s="3"/>
      <c r="AG8219" s="3"/>
      <c r="AH8219" s="3"/>
    </row>
    <row r="8220" spans="1:34" ht="14.25" customHeight="1" x14ac:dyDescent="0.25">
      <c r="A8220" s="3"/>
      <c r="B8220" s="3"/>
      <c r="C8220" s="3"/>
      <c r="D8220" s="3"/>
      <c r="E8220" s="3"/>
      <c r="F8220" s="3"/>
      <c r="G8220" s="3"/>
      <c r="H8220" s="11"/>
      <c r="I8220" s="12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  <c r="AA8220" s="3"/>
      <c r="AB8220" s="3"/>
      <c r="AC8220" s="3"/>
      <c r="AD8220" s="3"/>
      <c r="AE8220" s="3"/>
      <c r="AF8220" s="3"/>
      <c r="AG8220" s="3"/>
      <c r="AH8220" s="3"/>
    </row>
    <row r="8221" spans="1:34" ht="14.25" customHeight="1" x14ac:dyDescent="0.25">
      <c r="A8221" s="3"/>
      <c r="B8221" s="3"/>
      <c r="C8221" s="3"/>
      <c r="D8221" s="3"/>
      <c r="E8221" s="3"/>
      <c r="F8221" s="3"/>
      <c r="G8221" s="3"/>
      <c r="H8221" s="11"/>
      <c r="I8221" s="12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  <c r="AA8221" s="3"/>
      <c r="AB8221" s="3"/>
      <c r="AC8221" s="3"/>
      <c r="AD8221" s="3"/>
      <c r="AE8221" s="3"/>
      <c r="AF8221" s="3"/>
      <c r="AG8221" s="3"/>
      <c r="AH8221" s="3"/>
    </row>
    <row r="8222" spans="1:34" ht="14.25" customHeight="1" x14ac:dyDescent="0.25">
      <c r="A8222" s="3"/>
      <c r="B8222" s="3"/>
      <c r="C8222" s="3"/>
      <c r="D8222" s="3"/>
      <c r="E8222" s="3"/>
      <c r="F8222" s="3"/>
      <c r="G8222" s="3"/>
      <c r="H8222" s="11"/>
      <c r="I8222" s="12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  <c r="AA8222" s="3"/>
      <c r="AB8222" s="3"/>
      <c r="AC8222" s="3"/>
      <c r="AD8222" s="3"/>
      <c r="AE8222" s="3"/>
      <c r="AF8222" s="3"/>
      <c r="AG8222" s="3"/>
      <c r="AH8222" s="3"/>
    </row>
    <row r="8223" spans="1:34" ht="14.25" customHeight="1" x14ac:dyDescent="0.25">
      <c r="A8223" s="3"/>
      <c r="B8223" s="3"/>
      <c r="C8223" s="3"/>
      <c r="D8223" s="3"/>
      <c r="E8223" s="3"/>
      <c r="F8223" s="3"/>
      <c r="G8223" s="3"/>
      <c r="H8223" s="11"/>
      <c r="I8223" s="12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  <c r="AA8223" s="3"/>
      <c r="AB8223" s="3"/>
      <c r="AC8223" s="3"/>
      <c r="AD8223" s="3"/>
      <c r="AE8223" s="3"/>
      <c r="AF8223" s="3"/>
      <c r="AG8223" s="3"/>
      <c r="AH8223" s="3"/>
    </row>
    <row r="8224" spans="1:34" ht="14.25" customHeight="1" x14ac:dyDescent="0.25">
      <c r="A8224" s="3"/>
      <c r="B8224" s="3"/>
      <c r="C8224" s="3"/>
      <c r="D8224" s="3"/>
      <c r="E8224" s="3"/>
      <c r="F8224" s="3"/>
      <c r="G8224" s="3"/>
      <c r="H8224" s="11"/>
      <c r="I8224" s="12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  <c r="AA8224" s="3"/>
      <c r="AB8224" s="3"/>
      <c r="AC8224" s="3"/>
      <c r="AD8224" s="3"/>
      <c r="AE8224" s="3"/>
      <c r="AF8224" s="3"/>
      <c r="AG8224" s="3"/>
      <c r="AH8224" s="3"/>
    </row>
    <row r="8225" spans="1:34" ht="14.25" customHeight="1" x14ac:dyDescent="0.25">
      <c r="A8225" s="3"/>
      <c r="B8225" s="3"/>
      <c r="C8225" s="3"/>
      <c r="D8225" s="3"/>
      <c r="E8225" s="3"/>
      <c r="F8225" s="3"/>
      <c r="G8225" s="3"/>
      <c r="H8225" s="11"/>
      <c r="I8225" s="12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  <c r="AA8225" s="3"/>
      <c r="AB8225" s="3"/>
      <c r="AC8225" s="3"/>
      <c r="AD8225" s="3"/>
      <c r="AE8225" s="3"/>
      <c r="AF8225" s="3"/>
      <c r="AG8225" s="3"/>
      <c r="AH8225" s="3"/>
    </row>
    <row r="8226" spans="1:34" ht="14.25" customHeight="1" x14ac:dyDescent="0.25">
      <c r="A8226" s="3"/>
      <c r="B8226" s="3"/>
      <c r="C8226" s="3"/>
      <c r="D8226" s="3"/>
      <c r="E8226" s="3"/>
      <c r="F8226" s="3"/>
      <c r="G8226" s="3"/>
      <c r="H8226" s="11"/>
      <c r="I8226" s="12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  <c r="AA8226" s="3"/>
      <c r="AB8226" s="3"/>
      <c r="AC8226" s="3"/>
      <c r="AD8226" s="3"/>
      <c r="AE8226" s="3"/>
      <c r="AF8226" s="3"/>
      <c r="AG8226" s="3"/>
      <c r="AH8226" s="3"/>
    </row>
    <row r="8227" spans="1:34" ht="14.25" customHeight="1" x14ac:dyDescent="0.25">
      <c r="A8227" s="3"/>
      <c r="B8227" s="3"/>
      <c r="C8227" s="3"/>
      <c r="D8227" s="3"/>
      <c r="E8227" s="3"/>
      <c r="F8227" s="3"/>
      <c r="G8227" s="3"/>
      <c r="H8227" s="11"/>
      <c r="I8227" s="12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  <c r="AA8227" s="3"/>
      <c r="AB8227" s="3"/>
      <c r="AC8227" s="3"/>
      <c r="AD8227" s="3"/>
      <c r="AE8227" s="3"/>
      <c r="AF8227" s="3"/>
      <c r="AG8227" s="3"/>
      <c r="AH8227" s="3"/>
    </row>
    <row r="8228" spans="1:34" ht="14.25" customHeight="1" x14ac:dyDescent="0.25">
      <c r="A8228" s="3"/>
      <c r="B8228" s="3"/>
      <c r="C8228" s="3"/>
      <c r="D8228" s="3"/>
      <c r="E8228" s="3"/>
      <c r="F8228" s="3"/>
      <c r="G8228" s="3"/>
      <c r="H8228" s="11"/>
      <c r="I8228" s="12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  <c r="AA8228" s="3"/>
      <c r="AB8228" s="3"/>
      <c r="AC8228" s="3"/>
      <c r="AD8228" s="3"/>
      <c r="AE8228" s="3"/>
      <c r="AF8228" s="3"/>
      <c r="AG8228" s="3"/>
      <c r="AH8228" s="3"/>
    </row>
    <row r="8229" spans="1:34" ht="14.25" customHeight="1" x14ac:dyDescent="0.25">
      <c r="A8229" s="3"/>
      <c r="B8229" s="3"/>
      <c r="C8229" s="3"/>
      <c r="D8229" s="3"/>
      <c r="E8229" s="3"/>
      <c r="F8229" s="3"/>
      <c r="G8229" s="3"/>
      <c r="H8229" s="11"/>
      <c r="I8229" s="12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  <c r="AA8229" s="3"/>
      <c r="AB8229" s="3"/>
      <c r="AC8229" s="3"/>
      <c r="AD8229" s="3"/>
      <c r="AE8229" s="3"/>
      <c r="AF8229" s="3"/>
      <c r="AG8229" s="3"/>
      <c r="AH8229" s="3"/>
    </row>
    <row r="8230" spans="1:34" ht="14.25" customHeight="1" x14ac:dyDescent="0.25">
      <c r="A8230" s="3"/>
      <c r="B8230" s="3"/>
      <c r="C8230" s="3"/>
      <c r="D8230" s="3"/>
      <c r="E8230" s="3"/>
      <c r="F8230" s="3"/>
      <c r="G8230" s="3"/>
      <c r="H8230" s="11"/>
      <c r="I8230" s="12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  <c r="AA8230" s="3"/>
      <c r="AB8230" s="3"/>
      <c r="AC8230" s="3"/>
      <c r="AD8230" s="3"/>
      <c r="AE8230" s="3"/>
      <c r="AF8230" s="3"/>
      <c r="AG8230" s="3"/>
      <c r="AH8230" s="3"/>
    </row>
    <row r="8231" spans="1:34" ht="14.25" customHeight="1" x14ac:dyDescent="0.25">
      <c r="A8231" s="3"/>
      <c r="B8231" s="3"/>
      <c r="C8231" s="3"/>
      <c r="D8231" s="3"/>
      <c r="E8231" s="3"/>
      <c r="F8231" s="3"/>
      <c r="G8231" s="3"/>
      <c r="H8231" s="11"/>
      <c r="I8231" s="12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  <c r="AA8231" s="3"/>
      <c r="AB8231" s="3"/>
      <c r="AC8231" s="3"/>
      <c r="AD8231" s="3"/>
      <c r="AE8231" s="3"/>
      <c r="AF8231" s="3"/>
      <c r="AG8231" s="3"/>
      <c r="AH8231" s="3"/>
    </row>
    <row r="8232" spans="1:34" ht="14.25" customHeight="1" x14ac:dyDescent="0.25">
      <c r="A8232" s="3"/>
      <c r="B8232" s="3"/>
      <c r="C8232" s="3"/>
      <c r="D8232" s="3"/>
      <c r="E8232" s="3"/>
      <c r="F8232" s="3"/>
      <c r="G8232" s="3"/>
      <c r="H8232" s="11"/>
      <c r="I8232" s="12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  <c r="AA8232" s="3"/>
      <c r="AB8232" s="3"/>
      <c r="AC8232" s="3"/>
      <c r="AD8232" s="3"/>
      <c r="AE8232" s="3"/>
      <c r="AF8232" s="3"/>
      <c r="AG8232" s="3"/>
      <c r="AH8232" s="3"/>
    </row>
    <row r="8233" spans="1:34" ht="14.25" customHeight="1" x14ac:dyDescent="0.25">
      <c r="A8233" s="3"/>
      <c r="B8233" s="3"/>
      <c r="C8233" s="3"/>
      <c r="D8233" s="3"/>
      <c r="E8233" s="3"/>
      <c r="F8233" s="3"/>
      <c r="G8233" s="3"/>
      <c r="H8233" s="11"/>
      <c r="I8233" s="12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  <c r="AA8233" s="3"/>
      <c r="AB8233" s="3"/>
      <c r="AC8233" s="3"/>
      <c r="AD8233" s="3"/>
      <c r="AE8233" s="3"/>
      <c r="AF8233" s="3"/>
      <c r="AG8233" s="3"/>
      <c r="AH8233" s="3"/>
    </row>
    <row r="8234" spans="1:34" ht="14.25" customHeight="1" x14ac:dyDescent="0.25">
      <c r="A8234" s="3"/>
      <c r="B8234" s="3"/>
      <c r="C8234" s="3"/>
      <c r="D8234" s="3"/>
      <c r="E8234" s="3"/>
      <c r="F8234" s="3"/>
      <c r="G8234" s="3"/>
      <c r="H8234" s="11"/>
      <c r="I8234" s="12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  <c r="AA8234" s="3"/>
      <c r="AB8234" s="3"/>
      <c r="AC8234" s="3"/>
      <c r="AD8234" s="3"/>
      <c r="AE8234" s="3"/>
      <c r="AF8234" s="3"/>
      <c r="AG8234" s="3"/>
      <c r="AH8234" s="3"/>
    </row>
    <row r="8235" spans="1:34" ht="14.25" customHeight="1" x14ac:dyDescent="0.25">
      <c r="A8235" s="3"/>
      <c r="B8235" s="3"/>
      <c r="C8235" s="3"/>
      <c r="D8235" s="3"/>
      <c r="E8235" s="3"/>
      <c r="F8235" s="3"/>
      <c r="G8235" s="3"/>
      <c r="H8235" s="11"/>
      <c r="I8235" s="12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  <c r="AA8235" s="3"/>
      <c r="AB8235" s="3"/>
      <c r="AC8235" s="3"/>
      <c r="AD8235" s="3"/>
      <c r="AE8235" s="3"/>
      <c r="AF8235" s="3"/>
      <c r="AG8235" s="3"/>
      <c r="AH8235" s="3"/>
    </row>
    <row r="8236" spans="1:34" ht="14.25" customHeight="1" x14ac:dyDescent="0.25">
      <c r="A8236" s="3"/>
      <c r="B8236" s="3"/>
      <c r="C8236" s="3"/>
      <c r="D8236" s="3"/>
      <c r="E8236" s="3"/>
      <c r="F8236" s="3"/>
      <c r="G8236" s="3"/>
      <c r="H8236" s="11"/>
      <c r="I8236" s="12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  <c r="AA8236" s="3"/>
      <c r="AB8236" s="3"/>
      <c r="AC8236" s="3"/>
      <c r="AD8236" s="3"/>
      <c r="AE8236" s="3"/>
      <c r="AF8236" s="3"/>
      <c r="AG8236" s="3"/>
      <c r="AH8236" s="3"/>
    </row>
    <row r="8237" spans="1:34" ht="14.25" customHeight="1" x14ac:dyDescent="0.25">
      <c r="A8237" s="3"/>
      <c r="B8237" s="3"/>
      <c r="C8237" s="3"/>
      <c r="D8237" s="3"/>
      <c r="E8237" s="3"/>
      <c r="F8237" s="3"/>
      <c r="G8237" s="3"/>
      <c r="H8237" s="11"/>
      <c r="I8237" s="12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  <c r="AA8237" s="3"/>
      <c r="AB8237" s="3"/>
      <c r="AC8237" s="3"/>
      <c r="AD8237" s="3"/>
      <c r="AE8237" s="3"/>
      <c r="AF8237" s="3"/>
      <c r="AG8237" s="3"/>
      <c r="AH8237" s="3"/>
    </row>
    <row r="8238" spans="1:34" ht="14.25" customHeight="1" x14ac:dyDescent="0.25">
      <c r="A8238" s="3"/>
      <c r="B8238" s="3"/>
      <c r="C8238" s="3"/>
      <c r="D8238" s="3"/>
      <c r="E8238" s="3"/>
      <c r="F8238" s="3"/>
      <c r="G8238" s="3"/>
      <c r="H8238" s="11"/>
      <c r="I8238" s="12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  <c r="AA8238" s="3"/>
      <c r="AB8238" s="3"/>
      <c r="AC8238" s="3"/>
      <c r="AD8238" s="3"/>
      <c r="AE8238" s="3"/>
      <c r="AF8238" s="3"/>
      <c r="AG8238" s="3"/>
      <c r="AH8238" s="3"/>
    </row>
    <row r="8239" spans="1:34" ht="14.25" customHeight="1" x14ac:dyDescent="0.25">
      <c r="A8239" s="3"/>
      <c r="B8239" s="3"/>
      <c r="C8239" s="3"/>
      <c r="D8239" s="3"/>
      <c r="E8239" s="3"/>
      <c r="F8239" s="3"/>
      <c r="G8239" s="3"/>
      <c r="H8239" s="11"/>
      <c r="I8239" s="12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  <c r="AA8239" s="3"/>
      <c r="AB8239" s="3"/>
      <c r="AC8239" s="3"/>
      <c r="AD8239" s="3"/>
      <c r="AE8239" s="3"/>
      <c r="AF8239" s="3"/>
      <c r="AG8239" s="3"/>
      <c r="AH8239" s="3"/>
    </row>
    <row r="8240" spans="1:34" ht="14.25" customHeight="1" x14ac:dyDescent="0.25">
      <c r="A8240" s="3"/>
      <c r="B8240" s="3"/>
      <c r="C8240" s="3"/>
      <c r="D8240" s="3"/>
      <c r="E8240" s="3"/>
      <c r="F8240" s="3"/>
      <c r="G8240" s="3"/>
      <c r="H8240" s="11"/>
      <c r="I8240" s="12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  <c r="AA8240" s="3"/>
      <c r="AB8240" s="3"/>
      <c r="AC8240" s="3"/>
      <c r="AD8240" s="3"/>
      <c r="AE8240" s="3"/>
      <c r="AF8240" s="3"/>
      <c r="AG8240" s="3"/>
      <c r="AH8240" s="3"/>
    </row>
    <row r="8241" spans="1:34" ht="14.25" customHeight="1" x14ac:dyDescent="0.25">
      <c r="A8241" s="3"/>
      <c r="B8241" s="3"/>
      <c r="C8241" s="3"/>
      <c r="D8241" s="3"/>
      <c r="E8241" s="3"/>
      <c r="F8241" s="3"/>
      <c r="G8241" s="3"/>
      <c r="H8241" s="11"/>
      <c r="I8241" s="12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  <c r="AA8241" s="3"/>
      <c r="AB8241" s="3"/>
      <c r="AC8241" s="3"/>
      <c r="AD8241" s="3"/>
      <c r="AE8241" s="3"/>
      <c r="AF8241" s="3"/>
      <c r="AG8241" s="3"/>
      <c r="AH8241" s="3"/>
    </row>
    <row r="8242" spans="1:34" ht="14.25" customHeight="1" x14ac:dyDescent="0.25">
      <c r="A8242" s="3"/>
      <c r="B8242" s="3"/>
      <c r="C8242" s="3"/>
      <c r="D8242" s="3"/>
      <c r="E8242" s="3"/>
      <c r="F8242" s="3"/>
      <c r="G8242" s="3"/>
      <c r="H8242" s="11"/>
      <c r="I8242" s="12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  <c r="AA8242" s="3"/>
      <c r="AB8242" s="3"/>
      <c r="AC8242" s="3"/>
      <c r="AD8242" s="3"/>
      <c r="AE8242" s="3"/>
      <c r="AF8242" s="3"/>
      <c r="AG8242" s="3"/>
      <c r="AH8242" s="3"/>
    </row>
    <row r="8243" spans="1:34" ht="14.25" customHeight="1" x14ac:dyDescent="0.25">
      <c r="A8243" s="3"/>
      <c r="B8243" s="3"/>
      <c r="C8243" s="3"/>
      <c r="D8243" s="3"/>
      <c r="E8243" s="3"/>
      <c r="F8243" s="3"/>
      <c r="G8243" s="3"/>
      <c r="H8243" s="11"/>
      <c r="I8243" s="12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  <c r="AA8243" s="3"/>
      <c r="AB8243" s="3"/>
      <c r="AC8243" s="3"/>
      <c r="AD8243" s="3"/>
      <c r="AE8243" s="3"/>
      <c r="AF8243" s="3"/>
      <c r="AG8243" s="3"/>
      <c r="AH8243" s="3"/>
    </row>
    <row r="8244" spans="1:34" ht="14.25" customHeight="1" x14ac:dyDescent="0.25">
      <c r="A8244" s="3"/>
      <c r="B8244" s="3"/>
      <c r="C8244" s="3"/>
      <c r="D8244" s="3"/>
      <c r="E8244" s="3"/>
      <c r="F8244" s="3"/>
      <c r="G8244" s="3"/>
      <c r="H8244" s="11"/>
      <c r="I8244" s="12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  <c r="AA8244" s="3"/>
      <c r="AB8244" s="3"/>
      <c r="AC8244" s="3"/>
      <c r="AD8244" s="3"/>
      <c r="AE8244" s="3"/>
      <c r="AF8244" s="3"/>
      <c r="AG8244" s="3"/>
      <c r="AH8244" s="3"/>
    </row>
    <row r="8245" spans="1:34" ht="14.25" customHeight="1" x14ac:dyDescent="0.25">
      <c r="A8245" s="3"/>
      <c r="B8245" s="3"/>
      <c r="C8245" s="3"/>
      <c r="D8245" s="3"/>
      <c r="E8245" s="3"/>
      <c r="F8245" s="3"/>
      <c r="G8245" s="3"/>
      <c r="H8245" s="11"/>
      <c r="I8245" s="12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  <c r="AA8245" s="3"/>
      <c r="AB8245" s="3"/>
      <c r="AC8245" s="3"/>
      <c r="AD8245" s="3"/>
      <c r="AE8245" s="3"/>
      <c r="AF8245" s="3"/>
      <c r="AG8245" s="3"/>
      <c r="AH8245" s="3"/>
    </row>
    <row r="8246" spans="1:34" ht="14.25" customHeight="1" x14ac:dyDescent="0.25">
      <c r="A8246" s="3"/>
      <c r="B8246" s="3"/>
      <c r="C8246" s="3"/>
      <c r="D8246" s="3"/>
      <c r="E8246" s="3"/>
      <c r="F8246" s="3"/>
      <c r="G8246" s="3"/>
      <c r="H8246" s="11"/>
      <c r="I8246" s="12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  <c r="AA8246" s="3"/>
      <c r="AB8246" s="3"/>
      <c r="AC8246" s="3"/>
      <c r="AD8246" s="3"/>
      <c r="AE8246" s="3"/>
      <c r="AF8246" s="3"/>
      <c r="AG8246" s="3"/>
      <c r="AH8246" s="3"/>
    </row>
    <row r="8247" spans="1:34" ht="14.25" customHeight="1" x14ac:dyDescent="0.25">
      <c r="A8247" s="3"/>
      <c r="B8247" s="3"/>
      <c r="C8247" s="3"/>
      <c r="D8247" s="3"/>
      <c r="E8247" s="3"/>
      <c r="F8247" s="3"/>
      <c r="G8247" s="3"/>
      <c r="H8247" s="11"/>
      <c r="I8247" s="12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  <c r="AA8247" s="3"/>
      <c r="AB8247" s="3"/>
      <c r="AC8247" s="3"/>
      <c r="AD8247" s="3"/>
      <c r="AE8247" s="3"/>
      <c r="AF8247" s="3"/>
      <c r="AG8247" s="3"/>
      <c r="AH8247" s="3"/>
    </row>
    <row r="8248" spans="1:34" ht="14.25" customHeight="1" x14ac:dyDescent="0.25">
      <c r="A8248" s="3"/>
      <c r="B8248" s="3"/>
      <c r="C8248" s="3"/>
      <c r="D8248" s="3"/>
      <c r="E8248" s="3"/>
      <c r="F8248" s="3"/>
      <c r="G8248" s="3"/>
      <c r="H8248" s="11"/>
      <c r="I8248" s="12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  <c r="AA8248" s="3"/>
      <c r="AB8248" s="3"/>
      <c r="AC8248" s="3"/>
      <c r="AD8248" s="3"/>
      <c r="AE8248" s="3"/>
      <c r="AF8248" s="3"/>
      <c r="AG8248" s="3"/>
      <c r="AH8248" s="3"/>
    </row>
    <row r="8249" spans="1:34" ht="14.25" customHeight="1" x14ac:dyDescent="0.25">
      <c r="A8249" s="3"/>
      <c r="B8249" s="3"/>
      <c r="C8249" s="3"/>
      <c r="D8249" s="3"/>
      <c r="E8249" s="3"/>
      <c r="F8249" s="3"/>
      <c r="G8249" s="3"/>
      <c r="H8249" s="11"/>
      <c r="I8249" s="12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  <c r="AA8249" s="3"/>
      <c r="AB8249" s="3"/>
      <c r="AC8249" s="3"/>
      <c r="AD8249" s="3"/>
      <c r="AE8249" s="3"/>
      <c r="AF8249" s="3"/>
      <c r="AG8249" s="3"/>
      <c r="AH8249" s="3"/>
    </row>
    <row r="8250" spans="1:34" ht="14.25" customHeight="1" x14ac:dyDescent="0.25">
      <c r="A8250" s="3"/>
      <c r="B8250" s="3"/>
      <c r="C8250" s="3"/>
      <c r="D8250" s="3"/>
      <c r="E8250" s="3"/>
      <c r="F8250" s="3"/>
      <c r="G8250" s="3"/>
      <c r="H8250" s="11"/>
      <c r="I8250" s="12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  <c r="AA8250" s="3"/>
      <c r="AB8250" s="3"/>
      <c r="AC8250" s="3"/>
      <c r="AD8250" s="3"/>
      <c r="AE8250" s="3"/>
      <c r="AF8250" s="3"/>
      <c r="AG8250" s="3"/>
      <c r="AH8250" s="3"/>
    </row>
    <row r="8251" spans="1:34" ht="14.25" customHeight="1" x14ac:dyDescent="0.25">
      <c r="A8251" s="3"/>
      <c r="B8251" s="3"/>
      <c r="C8251" s="3"/>
      <c r="D8251" s="3"/>
      <c r="E8251" s="3"/>
      <c r="F8251" s="3"/>
      <c r="G8251" s="3"/>
      <c r="H8251" s="11"/>
      <c r="I8251" s="12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  <c r="AA8251" s="3"/>
      <c r="AB8251" s="3"/>
      <c r="AC8251" s="3"/>
      <c r="AD8251" s="3"/>
      <c r="AE8251" s="3"/>
      <c r="AF8251" s="3"/>
      <c r="AG8251" s="3"/>
      <c r="AH8251" s="3"/>
    </row>
    <row r="8252" spans="1:34" ht="14.25" customHeight="1" x14ac:dyDescent="0.25">
      <c r="A8252" s="3"/>
      <c r="B8252" s="3"/>
      <c r="C8252" s="3"/>
      <c r="D8252" s="3"/>
      <c r="E8252" s="3"/>
      <c r="F8252" s="3"/>
      <c r="G8252" s="3"/>
      <c r="H8252" s="11"/>
      <c r="I8252" s="12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  <c r="AA8252" s="3"/>
      <c r="AB8252" s="3"/>
      <c r="AC8252" s="3"/>
      <c r="AD8252" s="3"/>
      <c r="AE8252" s="3"/>
      <c r="AF8252" s="3"/>
      <c r="AG8252" s="3"/>
      <c r="AH8252" s="3"/>
    </row>
    <row r="8253" spans="1:34" ht="14.25" customHeight="1" x14ac:dyDescent="0.25">
      <c r="A8253" s="3"/>
      <c r="B8253" s="3"/>
      <c r="C8253" s="3"/>
      <c r="D8253" s="3"/>
      <c r="E8253" s="3"/>
      <c r="F8253" s="3"/>
      <c r="G8253" s="3"/>
      <c r="H8253" s="11"/>
      <c r="I8253" s="12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  <c r="AA8253" s="3"/>
      <c r="AB8253" s="3"/>
      <c r="AC8253" s="3"/>
      <c r="AD8253" s="3"/>
      <c r="AE8253" s="3"/>
      <c r="AF8253" s="3"/>
      <c r="AG8253" s="3"/>
      <c r="AH8253" s="3"/>
    </row>
    <row r="8254" spans="1:34" ht="14.25" customHeight="1" x14ac:dyDescent="0.25">
      <c r="A8254" s="3"/>
      <c r="B8254" s="3"/>
      <c r="C8254" s="3"/>
      <c r="D8254" s="3"/>
      <c r="E8254" s="3"/>
      <c r="F8254" s="3"/>
      <c r="G8254" s="3"/>
      <c r="H8254" s="11"/>
      <c r="I8254" s="12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  <c r="AA8254" s="3"/>
      <c r="AB8254" s="3"/>
      <c r="AC8254" s="3"/>
      <c r="AD8254" s="3"/>
      <c r="AE8254" s="3"/>
      <c r="AF8254" s="3"/>
      <c r="AG8254" s="3"/>
      <c r="AH8254" s="3"/>
    </row>
    <row r="8255" spans="1:34" ht="14.25" customHeight="1" x14ac:dyDescent="0.25">
      <c r="A8255" s="3"/>
      <c r="B8255" s="3"/>
      <c r="C8255" s="3"/>
      <c r="D8255" s="3"/>
      <c r="E8255" s="3"/>
      <c r="F8255" s="3"/>
      <c r="G8255" s="3"/>
      <c r="H8255" s="11"/>
      <c r="I8255" s="12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  <c r="AA8255" s="3"/>
      <c r="AB8255" s="3"/>
      <c r="AC8255" s="3"/>
      <c r="AD8255" s="3"/>
      <c r="AE8255" s="3"/>
      <c r="AF8255" s="3"/>
      <c r="AG8255" s="3"/>
      <c r="AH8255" s="3"/>
    </row>
    <row r="8256" spans="1:34" ht="14.25" customHeight="1" x14ac:dyDescent="0.25">
      <c r="A8256" s="3"/>
      <c r="B8256" s="3"/>
      <c r="C8256" s="3"/>
      <c r="D8256" s="3"/>
      <c r="E8256" s="3"/>
      <c r="F8256" s="3"/>
      <c r="G8256" s="3"/>
      <c r="H8256" s="11"/>
      <c r="I8256" s="12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  <c r="AA8256" s="3"/>
      <c r="AB8256" s="3"/>
      <c r="AC8256" s="3"/>
      <c r="AD8256" s="3"/>
      <c r="AE8256" s="3"/>
      <c r="AF8256" s="3"/>
      <c r="AG8256" s="3"/>
      <c r="AH8256" s="3"/>
    </row>
    <row r="8257" spans="1:34" ht="14.25" customHeight="1" x14ac:dyDescent="0.25">
      <c r="A8257" s="3"/>
      <c r="B8257" s="3"/>
      <c r="C8257" s="3"/>
      <c r="D8257" s="3"/>
      <c r="E8257" s="3"/>
      <c r="F8257" s="3"/>
      <c r="G8257" s="3"/>
      <c r="H8257" s="11"/>
      <c r="I8257" s="12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  <c r="AA8257" s="3"/>
      <c r="AB8257" s="3"/>
      <c r="AC8257" s="3"/>
      <c r="AD8257" s="3"/>
      <c r="AE8257" s="3"/>
      <c r="AF8257" s="3"/>
      <c r="AG8257" s="3"/>
      <c r="AH8257" s="3"/>
    </row>
    <row r="8258" spans="1:34" ht="14.25" customHeight="1" x14ac:dyDescent="0.25">
      <c r="A8258" s="3"/>
      <c r="B8258" s="3"/>
      <c r="C8258" s="3"/>
      <c r="D8258" s="3"/>
      <c r="E8258" s="3"/>
      <c r="F8258" s="3"/>
      <c r="G8258" s="3"/>
      <c r="H8258" s="11"/>
      <c r="I8258" s="12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  <c r="AA8258" s="3"/>
      <c r="AB8258" s="3"/>
      <c r="AC8258" s="3"/>
      <c r="AD8258" s="3"/>
      <c r="AE8258" s="3"/>
      <c r="AF8258" s="3"/>
      <c r="AG8258" s="3"/>
      <c r="AH8258" s="3"/>
    </row>
    <row r="8259" spans="1:34" ht="14.25" customHeight="1" x14ac:dyDescent="0.25">
      <c r="A8259" s="3"/>
      <c r="B8259" s="3"/>
      <c r="C8259" s="3"/>
      <c r="D8259" s="3"/>
      <c r="E8259" s="3"/>
      <c r="F8259" s="3"/>
      <c r="G8259" s="3"/>
      <c r="H8259" s="11"/>
      <c r="I8259" s="12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  <c r="AA8259" s="3"/>
      <c r="AB8259" s="3"/>
      <c r="AC8259" s="3"/>
      <c r="AD8259" s="3"/>
      <c r="AE8259" s="3"/>
      <c r="AF8259" s="3"/>
      <c r="AG8259" s="3"/>
      <c r="AH8259" s="3"/>
    </row>
    <row r="8260" spans="1:34" ht="14.25" customHeight="1" x14ac:dyDescent="0.25">
      <c r="A8260" s="3"/>
      <c r="B8260" s="3"/>
      <c r="C8260" s="3"/>
      <c r="D8260" s="3"/>
      <c r="E8260" s="3"/>
      <c r="F8260" s="3"/>
      <c r="G8260" s="3"/>
      <c r="H8260" s="11"/>
      <c r="I8260" s="12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  <c r="AA8260" s="3"/>
      <c r="AB8260" s="3"/>
      <c r="AC8260" s="3"/>
      <c r="AD8260" s="3"/>
      <c r="AE8260" s="3"/>
      <c r="AF8260" s="3"/>
      <c r="AG8260" s="3"/>
      <c r="AH8260" s="3"/>
    </row>
    <row r="8261" spans="1:34" ht="14.25" customHeight="1" x14ac:dyDescent="0.25">
      <c r="A8261" s="3"/>
      <c r="B8261" s="3"/>
      <c r="C8261" s="3"/>
      <c r="D8261" s="3"/>
      <c r="E8261" s="3"/>
      <c r="F8261" s="3"/>
      <c r="G8261" s="3"/>
      <c r="H8261" s="11"/>
      <c r="I8261" s="12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  <c r="AA8261" s="3"/>
      <c r="AB8261" s="3"/>
      <c r="AC8261" s="3"/>
      <c r="AD8261" s="3"/>
      <c r="AE8261" s="3"/>
      <c r="AF8261" s="3"/>
      <c r="AG8261" s="3"/>
      <c r="AH8261" s="3"/>
    </row>
    <row r="8262" spans="1:34" ht="14.25" customHeight="1" x14ac:dyDescent="0.25">
      <c r="A8262" s="3"/>
      <c r="B8262" s="3"/>
      <c r="C8262" s="3"/>
      <c r="D8262" s="3"/>
      <c r="E8262" s="3"/>
      <c r="F8262" s="3"/>
      <c r="G8262" s="3"/>
      <c r="H8262" s="11"/>
      <c r="I8262" s="12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  <c r="AA8262" s="3"/>
      <c r="AB8262" s="3"/>
      <c r="AC8262" s="3"/>
      <c r="AD8262" s="3"/>
      <c r="AE8262" s="3"/>
      <c r="AF8262" s="3"/>
      <c r="AG8262" s="3"/>
      <c r="AH8262" s="3"/>
    </row>
    <row r="8263" spans="1:34" ht="14.25" customHeight="1" x14ac:dyDescent="0.25">
      <c r="A8263" s="3"/>
      <c r="B8263" s="3"/>
      <c r="C8263" s="3"/>
      <c r="D8263" s="3"/>
      <c r="E8263" s="3"/>
      <c r="F8263" s="3"/>
      <c r="G8263" s="3"/>
      <c r="H8263" s="11"/>
      <c r="I8263" s="12"/>
      <c r="J8263" s="15"/>
      <c r="K8263" s="15"/>
      <c r="L8263" s="15"/>
      <c r="M8263" s="15"/>
      <c r="N8263" s="15"/>
      <c r="O8263" s="3"/>
      <c r="P8263" s="15"/>
      <c r="Q8263" s="15"/>
      <c r="R8263" s="15"/>
      <c r="S8263" s="15"/>
      <c r="T8263" s="15"/>
      <c r="U8263" s="3"/>
      <c r="V8263" s="3"/>
      <c r="W8263" s="3"/>
      <c r="X8263" s="3"/>
      <c r="Y8263" s="15"/>
      <c r="Z8263" s="15"/>
      <c r="AA8263" s="3"/>
      <c r="AB8263" s="15"/>
      <c r="AC8263" s="3"/>
      <c r="AD8263" s="3"/>
      <c r="AE8263" s="3"/>
      <c r="AF8263" s="3"/>
      <c r="AG8263" s="3"/>
      <c r="AH8263" s="3"/>
    </row>
    <row r="8264" spans="1:34" ht="14.25" customHeight="1" x14ac:dyDescent="0.25">
      <c r="A8264" s="3"/>
      <c r="B8264" s="3"/>
      <c r="C8264" s="3"/>
      <c r="D8264" s="3"/>
      <c r="E8264" s="3"/>
      <c r="F8264" s="3"/>
      <c r="G8264" s="3"/>
      <c r="H8264" s="11"/>
      <c r="I8264" s="12"/>
      <c r="J8264" s="15"/>
      <c r="K8264" s="15"/>
      <c r="L8264" s="15"/>
      <c r="M8264" s="15"/>
      <c r="N8264" s="15"/>
      <c r="O8264" s="3"/>
      <c r="P8264" s="15"/>
      <c r="Q8264" s="15"/>
      <c r="R8264" s="15"/>
      <c r="S8264" s="15"/>
      <c r="T8264" s="15"/>
      <c r="U8264" s="3"/>
      <c r="V8264" s="3"/>
      <c r="W8264" s="3"/>
      <c r="X8264" s="3"/>
      <c r="Y8264" s="15"/>
      <c r="Z8264" s="15"/>
      <c r="AA8264" s="3"/>
      <c r="AB8264" s="15"/>
      <c r="AC8264" s="3"/>
      <c r="AD8264" s="3"/>
      <c r="AE8264" s="3"/>
      <c r="AF8264" s="3"/>
      <c r="AG8264" s="3"/>
      <c r="AH8264" s="3"/>
    </row>
    <row r="8265" spans="1:34" ht="14.25" customHeight="1" x14ac:dyDescent="0.25">
      <c r="A8265" s="3"/>
      <c r="B8265" s="3"/>
      <c r="C8265" s="3"/>
      <c r="D8265" s="3"/>
      <c r="E8265" s="3"/>
      <c r="F8265" s="3"/>
      <c r="G8265" s="3"/>
      <c r="H8265" s="11"/>
      <c r="I8265" s="12"/>
      <c r="J8265" s="15"/>
      <c r="K8265" s="15"/>
      <c r="L8265" s="15"/>
      <c r="M8265" s="15"/>
      <c r="N8265" s="15"/>
      <c r="O8265" s="3"/>
      <c r="P8265" s="15"/>
      <c r="Q8265" s="15"/>
      <c r="R8265" s="15"/>
      <c r="S8265" s="15"/>
      <c r="T8265" s="15"/>
      <c r="U8265" s="3"/>
      <c r="V8265" s="3"/>
      <c r="W8265" s="3"/>
      <c r="X8265" s="3"/>
      <c r="Y8265" s="15"/>
      <c r="Z8265" s="15"/>
      <c r="AA8265" s="3"/>
      <c r="AB8265" s="15"/>
      <c r="AC8265" s="3"/>
      <c r="AD8265" s="3"/>
      <c r="AE8265" s="3"/>
      <c r="AF8265" s="3"/>
      <c r="AG8265" s="3"/>
      <c r="AH8265" s="3"/>
    </row>
    <row r="8266" spans="1:34" ht="14.25" customHeight="1" x14ac:dyDescent="0.25">
      <c r="A8266" s="3"/>
      <c r="B8266" s="3"/>
      <c r="C8266" s="3"/>
      <c r="D8266" s="3"/>
      <c r="E8266" s="3"/>
      <c r="F8266" s="3"/>
      <c r="G8266" s="3"/>
      <c r="H8266" s="11"/>
      <c r="I8266" s="12"/>
      <c r="J8266" s="15"/>
      <c r="K8266" s="15"/>
      <c r="L8266" s="15"/>
      <c r="M8266" s="15"/>
      <c r="N8266" s="15"/>
      <c r="O8266" s="3"/>
      <c r="P8266" s="15"/>
      <c r="Q8266" s="15"/>
      <c r="R8266" s="15"/>
      <c r="S8266" s="15"/>
      <c r="T8266" s="15"/>
      <c r="U8266" s="3"/>
      <c r="V8266" s="3"/>
      <c r="W8266" s="3"/>
      <c r="X8266" s="3"/>
      <c r="Y8266" s="15"/>
      <c r="Z8266" s="15"/>
      <c r="AA8266" s="3"/>
      <c r="AB8266" s="15"/>
      <c r="AC8266" s="3"/>
      <c r="AD8266" s="3"/>
      <c r="AE8266" s="3"/>
      <c r="AF8266" s="3"/>
      <c r="AG8266" s="3"/>
      <c r="AH8266" s="3"/>
    </row>
    <row r="8267" spans="1:34" ht="14.25" customHeight="1" x14ac:dyDescent="0.25">
      <c r="A8267" s="3"/>
      <c r="B8267" s="3"/>
      <c r="C8267" s="3"/>
      <c r="D8267" s="3"/>
      <c r="E8267" s="3"/>
      <c r="F8267" s="3"/>
      <c r="G8267" s="3"/>
      <c r="H8267" s="11"/>
      <c r="I8267" s="12"/>
      <c r="J8267" s="15"/>
      <c r="K8267" s="15"/>
      <c r="L8267" s="15"/>
      <c r="M8267" s="15"/>
      <c r="N8267" s="15"/>
      <c r="O8267" s="3"/>
      <c r="P8267" s="15"/>
      <c r="Q8267" s="15"/>
      <c r="R8267" s="15"/>
      <c r="S8267" s="15"/>
      <c r="T8267" s="15"/>
      <c r="U8267" s="3"/>
      <c r="V8267" s="3"/>
      <c r="W8267" s="3"/>
      <c r="X8267" s="3"/>
      <c r="Y8267" s="15"/>
      <c r="Z8267" s="15"/>
      <c r="AA8267" s="3"/>
      <c r="AB8267" s="15"/>
      <c r="AC8267" s="3"/>
      <c r="AD8267" s="3"/>
      <c r="AE8267" s="3"/>
      <c r="AF8267" s="3"/>
      <c r="AG8267" s="3"/>
      <c r="AH8267" s="3"/>
    </row>
    <row r="8268" spans="1:34" ht="14.25" customHeight="1" x14ac:dyDescent="0.25">
      <c r="A8268" s="3"/>
      <c r="B8268" s="3"/>
      <c r="C8268" s="3"/>
      <c r="D8268" s="3"/>
      <c r="E8268" s="3"/>
      <c r="F8268" s="3"/>
      <c r="G8268" s="3"/>
      <c r="H8268" s="11"/>
      <c r="I8268" s="12"/>
      <c r="J8268" s="15"/>
      <c r="K8268" s="15"/>
      <c r="L8268" s="15"/>
      <c r="M8268" s="15"/>
      <c r="N8268" s="15"/>
      <c r="O8268" s="3"/>
      <c r="P8268" s="15"/>
      <c r="Q8268" s="15"/>
      <c r="R8268" s="15"/>
      <c r="S8268" s="15"/>
      <c r="T8268" s="15"/>
      <c r="U8268" s="3"/>
      <c r="V8268" s="3"/>
      <c r="W8268" s="3"/>
      <c r="X8268" s="3"/>
      <c r="Y8268" s="15"/>
      <c r="Z8268" s="15"/>
      <c r="AA8268" s="3"/>
      <c r="AB8268" s="15"/>
      <c r="AC8268" s="3"/>
      <c r="AD8268" s="3"/>
      <c r="AE8268" s="3"/>
      <c r="AF8268" s="3"/>
      <c r="AG8268" s="3"/>
      <c r="AH8268" s="3"/>
    </row>
    <row r="8269" spans="1:34" ht="14.25" customHeight="1" x14ac:dyDescent="0.25">
      <c r="A8269" s="3"/>
      <c r="B8269" s="3"/>
      <c r="C8269" s="3"/>
      <c r="D8269" s="3"/>
      <c r="E8269" s="3"/>
      <c r="F8269" s="3"/>
      <c r="G8269" s="3"/>
      <c r="H8269" s="11"/>
      <c r="I8269" s="12"/>
      <c r="J8269" s="15"/>
      <c r="K8269" s="15"/>
      <c r="L8269" s="15"/>
      <c r="M8269" s="15"/>
      <c r="N8269" s="15"/>
      <c r="O8269" s="3"/>
      <c r="P8269" s="15"/>
      <c r="Q8269" s="15"/>
      <c r="R8269" s="15"/>
      <c r="S8269" s="15"/>
      <c r="T8269" s="15"/>
      <c r="U8269" s="3"/>
      <c r="V8269" s="3"/>
      <c r="W8269" s="3"/>
      <c r="X8269" s="3"/>
      <c r="Y8269" s="15"/>
      <c r="Z8269" s="15"/>
      <c r="AA8269" s="3"/>
      <c r="AB8269" s="15"/>
      <c r="AC8269" s="3"/>
      <c r="AD8269" s="3"/>
      <c r="AE8269" s="3"/>
      <c r="AF8269" s="3"/>
      <c r="AG8269" s="3"/>
      <c r="AH8269" s="3"/>
    </row>
    <row r="8270" spans="1:34" ht="14.25" customHeight="1" x14ac:dyDescent="0.25">
      <c r="A8270" s="3"/>
      <c r="B8270" s="3"/>
      <c r="C8270" s="3"/>
      <c r="D8270" s="3"/>
      <c r="E8270" s="3"/>
      <c r="F8270" s="3"/>
      <c r="G8270" s="3"/>
      <c r="H8270" s="11"/>
      <c r="I8270" s="12"/>
      <c r="J8270" s="15"/>
      <c r="K8270" s="15"/>
      <c r="L8270" s="15"/>
      <c r="M8270" s="15"/>
      <c r="N8270" s="15"/>
      <c r="O8270" s="3"/>
      <c r="P8270" s="15"/>
      <c r="Q8270" s="15"/>
      <c r="R8270" s="15"/>
      <c r="S8270" s="15"/>
      <c r="T8270" s="15"/>
      <c r="U8270" s="3"/>
      <c r="V8270" s="3"/>
      <c r="W8270" s="3"/>
      <c r="X8270" s="3"/>
      <c r="Y8270" s="15"/>
      <c r="Z8270" s="15"/>
      <c r="AA8270" s="3"/>
      <c r="AB8270" s="15"/>
      <c r="AC8270" s="3"/>
      <c r="AD8270" s="3"/>
      <c r="AE8270" s="3"/>
      <c r="AF8270" s="3"/>
      <c r="AG8270" s="3"/>
      <c r="AH8270" s="3"/>
    </row>
    <row r="8271" spans="1:34" ht="14.25" customHeight="1" x14ac:dyDescent="0.25">
      <c r="A8271" s="15"/>
      <c r="B8271" s="15"/>
      <c r="C8271" s="15"/>
      <c r="D8271" s="15"/>
      <c r="E8271" s="15"/>
      <c r="F8271" s="15"/>
      <c r="G8271" s="3"/>
      <c r="H8271" s="11"/>
      <c r="I8271" s="12"/>
      <c r="J8271" s="15"/>
      <c r="K8271" s="15"/>
      <c r="L8271" s="15"/>
      <c r="M8271" s="15"/>
      <c r="N8271" s="15"/>
      <c r="O8271" s="3"/>
      <c r="P8271" s="15"/>
      <c r="Q8271" s="15"/>
      <c r="R8271" s="15"/>
      <c r="S8271" s="15"/>
      <c r="T8271" s="15"/>
      <c r="U8271" s="3"/>
      <c r="V8271" s="15"/>
      <c r="W8271" s="15"/>
      <c r="X8271" s="3"/>
      <c r="Y8271" s="15"/>
      <c r="Z8271" s="15"/>
      <c r="AA8271" s="15"/>
      <c r="AB8271" s="15"/>
      <c r="AC8271" s="3"/>
      <c r="AD8271" s="3"/>
      <c r="AE8271" s="3"/>
      <c r="AF8271" s="3"/>
      <c r="AG8271" s="3"/>
      <c r="AH8271" s="3"/>
    </row>
    <row r="8272" spans="1:34" ht="14.25" customHeight="1" x14ac:dyDescent="0.25">
      <c r="A8272" s="15"/>
      <c r="B8272" s="15"/>
      <c r="C8272" s="15"/>
      <c r="D8272" s="15"/>
      <c r="E8272" s="15"/>
      <c r="F8272" s="15"/>
      <c r="G8272" s="3"/>
      <c r="H8272" s="11"/>
      <c r="I8272" s="12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15"/>
      <c r="W8272" s="15"/>
      <c r="X8272" s="3"/>
      <c r="Y8272" s="3"/>
      <c r="Z8272" s="3"/>
      <c r="AA8272" s="15"/>
      <c r="AB8272" s="3"/>
      <c r="AC8272" s="3"/>
      <c r="AD8272" s="3"/>
      <c r="AE8272" s="3"/>
      <c r="AF8272" s="3"/>
      <c r="AG8272" s="3"/>
      <c r="AH8272" s="3"/>
    </row>
    <row r="8273" spans="1:34" ht="14.25" customHeight="1" x14ac:dyDescent="0.25">
      <c r="A8273" s="15"/>
      <c r="B8273" s="15"/>
      <c r="C8273" s="15"/>
      <c r="D8273" s="15"/>
      <c r="E8273" s="15"/>
      <c r="F8273" s="15"/>
      <c r="G8273" s="3"/>
      <c r="H8273" s="11"/>
      <c r="I8273" s="12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15"/>
      <c r="W8273" s="15"/>
      <c r="X8273" s="3"/>
      <c r="Y8273" s="3"/>
      <c r="Z8273" s="3"/>
      <c r="AA8273" s="15"/>
      <c r="AB8273" s="3"/>
      <c r="AC8273" s="3"/>
      <c r="AD8273" s="3"/>
      <c r="AE8273" s="3"/>
      <c r="AF8273" s="3"/>
      <c r="AG8273" s="3"/>
      <c r="AH8273" s="3"/>
    </row>
    <row r="8274" spans="1:34" ht="14.25" customHeight="1" x14ac:dyDescent="0.25">
      <c r="A8274" s="15"/>
      <c r="B8274" s="15"/>
      <c r="C8274" s="15"/>
      <c r="D8274" s="15"/>
      <c r="E8274" s="15"/>
      <c r="F8274" s="15"/>
      <c r="G8274" s="3"/>
      <c r="H8274" s="11"/>
      <c r="I8274" s="12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15"/>
      <c r="W8274" s="15"/>
      <c r="X8274" s="3"/>
      <c r="Y8274" s="3"/>
      <c r="Z8274" s="3"/>
      <c r="AA8274" s="15"/>
      <c r="AB8274" s="3"/>
      <c r="AC8274" s="3"/>
      <c r="AD8274" s="3"/>
      <c r="AE8274" s="3"/>
      <c r="AF8274" s="3"/>
      <c r="AG8274" s="3"/>
      <c r="AH8274" s="3"/>
    </row>
    <row r="8275" spans="1:34" ht="14.25" customHeight="1" x14ac:dyDescent="0.25">
      <c r="A8275" s="15"/>
      <c r="B8275" s="15"/>
      <c r="C8275" s="15"/>
      <c r="D8275" s="15"/>
      <c r="E8275" s="15"/>
      <c r="F8275" s="15"/>
      <c r="G8275" s="3"/>
      <c r="H8275" s="11"/>
      <c r="I8275" s="12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15"/>
      <c r="W8275" s="15"/>
      <c r="X8275" s="3"/>
      <c r="Y8275" s="3"/>
      <c r="Z8275" s="3"/>
      <c r="AA8275" s="15"/>
      <c r="AB8275" s="3"/>
      <c r="AC8275" s="3"/>
      <c r="AD8275" s="3"/>
      <c r="AE8275" s="3"/>
      <c r="AF8275" s="3"/>
      <c r="AG8275" s="3"/>
      <c r="AH8275" s="3"/>
    </row>
    <row r="8276" spans="1:34" ht="14.25" customHeight="1" x14ac:dyDescent="0.25">
      <c r="A8276" s="15"/>
      <c r="B8276" s="15"/>
      <c r="C8276" s="15"/>
      <c r="D8276" s="15"/>
      <c r="E8276" s="15"/>
      <c r="F8276" s="15"/>
      <c r="G8276" s="3"/>
      <c r="H8276" s="11"/>
      <c r="I8276" s="12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15"/>
      <c r="W8276" s="15"/>
      <c r="X8276" s="3"/>
      <c r="Y8276" s="3"/>
      <c r="Z8276" s="3"/>
      <c r="AA8276" s="15"/>
      <c r="AB8276" s="3"/>
      <c r="AC8276" s="3"/>
      <c r="AD8276" s="3"/>
      <c r="AE8276" s="3"/>
      <c r="AF8276" s="3"/>
      <c r="AG8276" s="3"/>
      <c r="AH8276" s="3"/>
    </row>
    <row r="8277" spans="1:34" ht="14.25" customHeight="1" x14ac:dyDescent="0.25">
      <c r="A8277" s="15"/>
      <c r="B8277" s="15"/>
      <c r="C8277" s="15"/>
      <c r="D8277" s="15"/>
      <c r="E8277" s="15"/>
      <c r="F8277" s="15"/>
      <c r="G8277" s="3"/>
      <c r="H8277" s="11"/>
      <c r="I8277" s="12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15"/>
      <c r="W8277" s="15"/>
      <c r="X8277" s="3"/>
      <c r="Y8277" s="3"/>
      <c r="Z8277" s="3"/>
      <c r="AA8277" s="15"/>
      <c r="AB8277" s="3"/>
      <c r="AC8277" s="3"/>
      <c r="AD8277" s="3"/>
      <c r="AE8277" s="3"/>
      <c r="AF8277" s="3"/>
      <c r="AG8277" s="3"/>
      <c r="AH8277" s="3"/>
    </row>
    <row r="8278" spans="1:34" ht="14.25" customHeight="1" x14ac:dyDescent="0.25">
      <c r="A8278" s="3"/>
      <c r="B8278" s="3"/>
      <c r="C8278" s="3"/>
      <c r="D8278" s="3"/>
      <c r="E8278" s="3"/>
      <c r="F8278" s="3"/>
      <c r="G8278" s="3"/>
      <c r="H8278" s="11"/>
      <c r="I8278" s="12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  <c r="AA8278" s="3"/>
      <c r="AB8278" s="3"/>
      <c r="AC8278" s="3"/>
      <c r="AD8278" s="3"/>
      <c r="AE8278" s="3"/>
      <c r="AF8278" s="3"/>
      <c r="AG8278" s="3"/>
      <c r="AH8278" s="3"/>
    </row>
    <row r="8279" spans="1:34" ht="14.25" customHeight="1" x14ac:dyDescent="0.25">
      <c r="A8279" s="3"/>
      <c r="B8279" s="3"/>
      <c r="C8279" s="3"/>
      <c r="D8279" s="3"/>
      <c r="E8279" s="3"/>
      <c r="F8279" s="3"/>
      <c r="G8279" s="3"/>
      <c r="H8279" s="11"/>
      <c r="I8279" s="12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  <c r="AA8279" s="3"/>
      <c r="AB8279" s="3"/>
      <c r="AC8279" s="3"/>
      <c r="AD8279" s="3"/>
      <c r="AE8279" s="3"/>
      <c r="AF8279" s="3"/>
      <c r="AG8279" s="3"/>
      <c r="AH8279" s="3"/>
    </row>
    <row r="8280" spans="1:34" ht="14.25" customHeight="1" x14ac:dyDescent="0.25">
      <c r="A8280" s="3"/>
      <c r="B8280" s="3"/>
      <c r="C8280" s="3"/>
      <c r="D8280" s="3"/>
      <c r="E8280" s="3"/>
      <c r="F8280" s="3"/>
      <c r="G8280" s="3"/>
      <c r="H8280" s="11"/>
      <c r="I8280" s="12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  <c r="AA8280" s="3"/>
      <c r="AB8280" s="3"/>
      <c r="AC8280" s="3"/>
      <c r="AD8280" s="3"/>
      <c r="AE8280" s="3"/>
      <c r="AF8280" s="3"/>
      <c r="AG8280" s="3"/>
      <c r="AH8280" s="3"/>
    </row>
    <row r="8281" spans="1:34" ht="14.25" customHeight="1" x14ac:dyDescent="0.25">
      <c r="A8281" s="3"/>
      <c r="B8281" s="3"/>
      <c r="C8281" s="3"/>
      <c r="D8281" s="3"/>
      <c r="E8281" s="3"/>
      <c r="F8281" s="3"/>
      <c r="G8281" s="3"/>
      <c r="H8281" s="11"/>
      <c r="I8281" s="12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  <c r="AA8281" s="3"/>
      <c r="AB8281" s="3"/>
      <c r="AC8281" s="3"/>
      <c r="AD8281" s="3"/>
      <c r="AE8281" s="3"/>
      <c r="AF8281" s="3"/>
      <c r="AG8281" s="3"/>
      <c r="AH8281" s="3"/>
    </row>
    <row r="8282" spans="1:34" ht="14.25" customHeight="1" x14ac:dyDescent="0.25">
      <c r="A8282" s="3"/>
      <c r="B8282" s="3"/>
      <c r="C8282" s="3"/>
      <c r="D8282" s="3"/>
      <c r="E8282" s="3"/>
      <c r="F8282" s="3"/>
      <c r="G8282" s="3"/>
      <c r="H8282" s="11"/>
      <c r="I8282" s="12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  <c r="AA8282" s="3"/>
      <c r="AB8282" s="3"/>
      <c r="AC8282" s="3"/>
      <c r="AD8282" s="3"/>
      <c r="AE8282" s="3"/>
      <c r="AF8282" s="3"/>
      <c r="AG8282" s="3"/>
      <c r="AH8282" s="3"/>
    </row>
    <row r="8283" spans="1:34" ht="14.25" customHeight="1" x14ac:dyDescent="0.25">
      <c r="A8283" s="3"/>
      <c r="B8283" s="3"/>
      <c r="C8283" s="3"/>
      <c r="D8283" s="3"/>
      <c r="E8283" s="3"/>
      <c r="F8283" s="3"/>
      <c r="G8283" s="3"/>
      <c r="H8283" s="11"/>
      <c r="I8283" s="12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  <c r="AA8283" s="3"/>
      <c r="AB8283" s="3"/>
      <c r="AC8283" s="3"/>
      <c r="AD8283" s="3"/>
      <c r="AE8283" s="3"/>
      <c r="AF8283" s="3"/>
      <c r="AG8283" s="3"/>
      <c r="AH8283" s="3"/>
    </row>
    <row r="8284" spans="1:34" ht="14.25" customHeight="1" x14ac:dyDescent="0.25">
      <c r="A8284" s="3"/>
      <c r="B8284" s="3"/>
      <c r="C8284" s="3"/>
      <c r="D8284" s="3"/>
      <c r="E8284" s="3"/>
      <c r="F8284" s="3"/>
      <c r="G8284" s="3"/>
      <c r="H8284" s="11"/>
      <c r="I8284" s="12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  <c r="AA8284" s="3"/>
      <c r="AB8284" s="3"/>
      <c r="AC8284" s="3"/>
      <c r="AD8284" s="3"/>
      <c r="AE8284" s="3"/>
      <c r="AF8284" s="3"/>
      <c r="AG8284" s="3"/>
      <c r="AH8284" s="3"/>
    </row>
    <row r="8285" spans="1:34" ht="14.25" customHeight="1" x14ac:dyDescent="0.25">
      <c r="A8285" s="3"/>
      <c r="B8285" s="3"/>
      <c r="C8285" s="3"/>
      <c r="D8285" s="3"/>
      <c r="E8285" s="3"/>
      <c r="F8285" s="3"/>
      <c r="G8285" s="3"/>
      <c r="H8285" s="11"/>
      <c r="I8285" s="12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  <c r="AA8285" s="3"/>
      <c r="AB8285" s="3"/>
      <c r="AC8285" s="3"/>
      <c r="AD8285" s="3"/>
      <c r="AE8285" s="3"/>
      <c r="AF8285" s="3"/>
      <c r="AG8285" s="3"/>
      <c r="AH8285" s="3"/>
    </row>
    <row r="8286" spans="1:34" ht="14.25" customHeight="1" x14ac:dyDescent="0.25">
      <c r="A8286" s="3"/>
      <c r="B8286" s="3"/>
      <c r="C8286" s="3"/>
      <c r="D8286" s="3"/>
      <c r="E8286" s="3"/>
      <c r="F8286" s="3"/>
      <c r="G8286" s="3"/>
      <c r="H8286" s="11"/>
      <c r="I8286" s="12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  <c r="AA8286" s="3"/>
      <c r="AB8286" s="3"/>
      <c r="AC8286" s="3"/>
      <c r="AD8286" s="3"/>
      <c r="AE8286" s="3"/>
      <c r="AF8286" s="3"/>
      <c r="AG8286" s="3"/>
      <c r="AH8286" s="3"/>
    </row>
    <row r="8287" spans="1:34" ht="14.25" customHeight="1" x14ac:dyDescent="0.25">
      <c r="A8287" s="3"/>
      <c r="B8287" s="3"/>
      <c r="C8287" s="3"/>
      <c r="D8287" s="3"/>
      <c r="E8287" s="3"/>
      <c r="F8287" s="3"/>
      <c r="G8287" s="3"/>
      <c r="H8287" s="11"/>
      <c r="I8287" s="12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  <c r="AA8287" s="3"/>
      <c r="AB8287" s="3"/>
      <c r="AC8287" s="3"/>
      <c r="AD8287" s="3"/>
      <c r="AE8287" s="3"/>
      <c r="AF8287" s="3"/>
      <c r="AG8287" s="3"/>
      <c r="AH8287" s="3"/>
    </row>
    <row r="8288" spans="1:34" ht="14.25" customHeight="1" x14ac:dyDescent="0.25">
      <c r="A8288" s="3"/>
      <c r="B8288" s="3"/>
      <c r="C8288" s="3"/>
      <c r="D8288" s="3"/>
      <c r="E8288" s="3"/>
      <c r="F8288" s="3"/>
      <c r="G8288" s="3"/>
      <c r="H8288" s="11"/>
      <c r="I8288" s="12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  <c r="AA8288" s="3"/>
      <c r="AB8288" s="3"/>
      <c r="AC8288" s="3"/>
      <c r="AD8288" s="3"/>
      <c r="AE8288" s="3"/>
      <c r="AF8288" s="3"/>
      <c r="AG8288" s="3"/>
      <c r="AH8288" s="3"/>
    </row>
    <row r="8289" spans="1:34" ht="14.25" customHeight="1" x14ac:dyDescent="0.25">
      <c r="A8289" s="3"/>
      <c r="B8289" s="3"/>
      <c r="C8289" s="3"/>
      <c r="D8289" s="3"/>
      <c r="E8289" s="3"/>
      <c r="F8289" s="3"/>
      <c r="G8289" s="3"/>
      <c r="H8289" s="11"/>
      <c r="I8289" s="12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  <c r="AA8289" s="3"/>
      <c r="AB8289" s="3"/>
      <c r="AC8289" s="3"/>
      <c r="AD8289" s="3"/>
      <c r="AE8289" s="3"/>
      <c r="AF8289" s="3"/>
      <c r="AG8289" s="3"/>
      <c r="AH8289" s="3"/>
    </row>
    <row r="8290" spans="1:34" ht="14.25" customHeight="1" x14ac:dyDescent="0.25">
      <c r="A8290" s="3"/>
      <c r="B8290" s="3"/>
      <c r="C8290" s="3"/>
      <c r="D8290" s="3"/>
      <c r="E8290" s="3"/>
      <c r="F8290" s="3"/>
      <c r="G8290" s="3"/>
      <c r="H8290" s="11"/>
      <c r="I8290" s="12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  <c r="AA8290" s="3"/>
      <c r="AB8290" s="3"/>
      <c r="AC8290" s="3"/>
      <c r="AD8290" s="3"/>
      <c r="AE8290" s="3"/>
      <c r="AF8290" s="3"/>
      <c r="AG8290" s="3"/>
      <c r="AH8290" s="3"/>
    </row>
    <row r="8291" spans="1:34" ht="14.25" customHeight="1" x14ac:dyDescent="0.25">
      <c r="A8291" s="3"/>
      <c r="B8291" s="3"/>
      <c r="C8291" s="3"/>
      <c r="D8291" s="3"/>
      <c r="E8291" s="3"/>
      <c r="F8291" s="3"/>
      <c r="G8291" s="3"/>
      <c r="H8291" s="11"/>
      <c r="I8291" s="12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  <c r="AA8291" s="3"/>
      <c r="AB8291" s="3"/>
      <c r="AC8291" s="3"/>
      <c r="AD8291" s="3"/>
      <c r="AE8291" s="3"/>
      <c r="AF8291" s="3"/>
      <c r="AG8291" s="3"/>
      <c r="AH8291" s="3"/>
    </row>
    <row r="8292" spans="1:34" ht="14.25" customHeight="1" x14ac:dyDescent="0.25">
      <c r="A8292" s="3"/>
      <c r="B8292" s="3"/>
      <c r="C8292" s="3"/>
      <c r="D8292" s="3"/>
      <c r="E8292" s="3"/>
      <c r="F8292" s="3"/>
      <c r="G8292" s="3"/>
      <c r="H8292" s="11"/>
      <c r="I8292" s="12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  <c r="AA8292" s="3"/>
      <c r="AB8292" s="3"/>
      <c r="AC8292" s="3"/>
      <c r="AD8292" s="3"/>
      <c r="AE8292" s="3"/>
      <c r="AF8292" s="3"/>
      <c r="AG8292" s="3"/>
      <c r="AH8292" s="3"/>
    </row>
    <row r="8293" spans="1:34" ht="14.25" customHeight="1" x14ac:dyDescent="0.25">
      <c r="A8293" s="3"/>
      <c r="B8293" s="3"/>
      <c r="C8293" s="3"/>
      <c r="D8293" s="3"/>
      <c r="E8293" s="3"/>
      <c r="F8293" s="3"/>
      <c r="G8293" s="3"/>
      <c r="H8293" s="11"/>
      <c r="I8293" s="12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  <c r="AA8293" s="3"/>
      <c r="AB8293" s="3"/>
      <c r="AC8293" s="3"/>
      <c r="AD8293" s="3"/>
      <c r="AE8293" s="3"/>
      <c r="AF8293" s="3"/>
      <c r="AG8293" s="3"/>
      <c r="AH8293" s="3"/>
    </row>
    <row r="8294" spans="1:34" ht="14.25" customHeight="1" x14ac:dyDescent="0.25">
      <c r="A8294" s="3"/>
      <c r="B8294" s="3"/>
      <c r="C8294" s="3"/>
      <c r="D8294" s="3"/>
      <c r="E8294" s="3"/>
      <c r="F8294" s="3"/>
      <c r="G8294" s="3"/>
      <c r="H8294" s="11"/>
      <c r="I8294" s="12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  <c r="AA8294" s="3"/>
      <c r="AB8294" s="3"/>
      <c r="AC8294" s="3"/>
      <c r="AD8294" s="3"/>
      <c r="AE8294" s="3"/>
      <c r="AF8294" s="3"/>
      <c r="AG8294" s="3"/>
      <c r="AH8294" s="3"/>
    </row>
    <row r="8295" spans="1:34" ht="14.25" customHeight="1" x14ac:dyDescent="0.25">
      <c r="A8295" s="3"/>
      <c r="B8295" s="3"/>
      <c r="C8295" s="3"/>
      <c r="D8295" s="3"/>
      <c r="E8295" s="3"/>
      <c r="F8295" s="3"/>
      <c r="G8295" s="3"/>
      <c r="H8295" s="11"/>
      <c r="I8295" s="12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  <c r="AA8295" s="3"/>
      <c r="AB8295" s="3"/>
      <c r="AC8295" s="3"/>
      <c r="AD8295" s="3"/>
      <c r="AE8295" s="3"/>
      <c r="AF8295" s="3"/>
      <c r="AG8295" s="3"/>
      <c r="AH8295" s="3"/>
    </row>
    <row r="8296" spans="1:34" ht="14.25" customHeight="1" x14ac:dyDescent="0.25">
      <c r="A8296" s="3"/>
      <c r="B8296" s="3"/>
      <c r="C8296" s="3"/>
      <c r="D8296" s="3"/>
      <c r="E8296" s="3"/>
      <c r="F8296" s="3"/>
      <c r="G8296" s="3"/>
      <c r="H8296" s="11"/>
      <c r="I8296" s="12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  <c r="AA8296" s="3"/>
      <c r="AB8296" s="3"/>
      <c r="AC8296" s="3"/>
      <c r="AD8296" s="3"/>
      <c r="AE8296" s="3"/>
      <c r="AF8296" s="3"/>
      <c r="AG8296" s="3"/>
      <c r="AH8296" s="3"/>
    </row>
    <row r="8297" spans="1:34" ht="14.25" customHeight="1" x14ac:dyDescent="0.25">
      <c r="A8297" s="3"/>
      <c r="B8297" s="3"/>
      <c r="C8297" s="3"/>
      <c r="D8297" s="3"/>
      <c r="E8297" s="3"/>
      <c r="F8297" s="3"/>
      <c r="G8297" s="3"/>
      <c r="H8297" s="11"/>
      <c r="I8297" s="12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  <c r="AA8297" s="3"/>
      <c r="AB8297" s="3"/>
      <c r="AC8297" s="3"/>
      <c r="AD8297" s="3"/>
      <c r="AE8297" s="3"/>
      <c r="AF8297" s="3"/>
      <c r="AG8297" s="3"/>
      <c r="AH8297" s="3"/>
    </row>
    <row r="8298" spans="1:34" ht="14.25" customHeight="1" x14ac:dyDescent="0.25">
      <c r="A8298" s="3"/>
      <c r="B8298" s="3"/>
      <c r="C8298" s="3"/>
      <c r="D8298" s="3"/>
      <c r="E8298" s="3"/>
      <c r="F8298" s="3"/>
      <c r="G8298" s="3"/>
      <c r="H8298" s="11"/>
      <c r="I8298" s="12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  <c r="AA8298" s="3"/>
      <c r="AB8298" s="3"/>
      <c r="AC8298" s="3"/>
      <c r="AD8298" s="3"/>
      <c r="AE8298" s="3"/>
      <c r="AF8298" s="3"/>
      <c r="AG8298" s="3"/>
      <c r="AH8298" s="3"/>
    </row>
    <row r="8299" spans="1:34" ht="14.25" customHeight="1" x14ac:dyDescent="0.25">
      <c r="A8299" s="3"/>
      <c r="B8299" s="3"/>
      <c r="C8299" s="3"/>
      <c r="D8299" s="3"/>
      <c r="E8299" s="3"/>
      <c r="F8299" s="3"/>
      <c r="G8299" s="3"/>
      <c r="H8299" s="11"/>
      <c r="I8299" s="12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  <c r="AA8299" s="3"/>
      <c r="AB8299" s="3"/>
      <c r="AC8299" s="3"/>
      <c r="AD8299" s="3"/>
      <c r="AE8299" s="3"/>
      <c r="AF8299" s="3"/>
      <c r="AG8299" s="3"/>
      <c r="AH8299" s="3"/>
    </row>
    <row r="8300" spans="1:34" ht="14.25" customHeight="1" x14ac:dyDescent="0.25">
      <c r="A8300" s="3"/>
      <c r="B8300" s="3"/>
      <c r="C8300" s="3"/>
      <c r="D8300" s="3"/>
      <c r="E8300" s="3"/>
      <c r="F8300" s="3"/>
      <c r="G8300" s="3"/>
      <c r="H8300" s="11"/>
      <c r="I8300" s="12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  <c r="AA8300" s="3"/>
      <c r="AB8300" s="3"/>
      <c r="AC8300" s="3"/>
      <c r="AD8300" s="3"/>
      <c r="AE8300" s="3"/>
      <c r="AF8300" s="3"/>
      <c r="AG8300" s="3"/>
      <c r="AH8300" s="3"/>
    </row>
    <row r="8301" spans="1:34" ht="14.25" customHeight="1" x14ac:dyDescent="0.25">
      <c r="A8301" s="3"/>
      <c r="B8301" s="3"/>
      <c r="C8301" s="3"/>
      <c r="D8301" s="3"/>
      <c r="E8301" s="3"/>
      <c r="F8301" s="3"/>
      <c r="G8301" s="3"/>
      <c r="H8301" s="11"/>
      <c r="I8301" s="12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  <c r="AA8301" s="3"/>
      <c r="AB8301" s="3"/>
      <c r="AC8301" s="3"/>
      <c r="AD8301" s="3"/>
      <c r="AE8301" s="3"/>
      <c r="AF8301" s="3"/>
      <c r="AG8301" s="3"/>
      <c r="AH8301" s="3"/>
    </row>
    <row r="8302" spans="1:34" ht="14.25" customHeight="1" x14ac:dyDescent="0.25">
      <c r="A8302" s="3"/>
      <c r="B8302" s="3"/>
      <c r="C8302" s="3"/>
      <c r="D8302" s="3"/>
      <c r="E8302" s="3"/>
      <c r="F8302" s="3"/>
      <c r="G8302" s="3"/>
      <c r="H8302" s="11"/>
      <c r="I8302" s="12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  <c r="AA8302" s="3"/>
      <c r="AB8302" s="3"/>
      <c r="AC8302" s="3"/>
      <c r="AD8302" s="3"/>
      <c r="AE8302" s="3"/>
      <c r="AF8302" s="3"/>
      <c r="AG8302" s="3"/>
      <c r="AH8302" s="3"/>
    </row>
    <row r="8303" spans="1:34" ht="14.25" customHeight="1" x14ac:dyDescent="0.25">
      <c r="A8303" s="3"/>
      <c r="B8303" s="3"/>
      <c r="C8303" s="3"/>
      <c r="D8303" s="3"/>
      <c r="E8303" s="3"/>
      <c r="F8303" s="3"/>
      <c r="G8303" s="3"/>
      <c r="H8303" s="11"/>
      <c r="I8303" s="12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  <c r="AA8303" s="3"/>
      <c r="AB8303" s="3"/>
      <c r="AC8303" s="3"/>
      <c r="AD8303" s="3"/>
      <c r="AE8303" s="3"/>
      <c r="AF8303" s="3"/>
      <c r="AG8303" s="3"/>
      <c r="AH8303" s="3"/>
    </row>
    <row r="8304" spans="1:34" ht="14.25" customHeight="1" x14ac:dyDescent="0.25">
      <c r="A8304" s="3"/>
      <c r="B8304" s="3"/>
      <c r="C8304" s="3"/>
      <c r="D8304" s="3"/>
      <c r="E8304" s="3"/>
      <c r="F8304" s="3"/>
      <c r="G8304" s="3"/>
      <c r="H8304" s="11"/>
      <c r="I8304" s="12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  <c r="AA8304" s="3"/>
      <c r="AB8304" s="3"/>
      <c r="AC8304" s="3"/>
      <c r="AD8304" s="3"/>
      <c r="AE8304" s="3"/>
      <c r="AF8304" s="3"/>
      <c r="AG8304" s="3"/>
      <c r="AH8304" s="3"/>
    </row>
    <row r="8305" spans="1:34" ht="14.25" customHeight="1" x14ac:dyDescent="0.25">
      <c r="A8305" s="3"/>
      <c r="B8305" s="3"/>
      <c r="C8305" s="3"/>
      <c r="D8305" s="3"/>
      <c r="E8305" s="3"/>
      <c r="F8305" s="3"/>
      <c r="G8305" s="3"/>
      <c r="H8305" s="11"/>
      <c r="I8305" s="12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  <c r="AA8305" s="3"/>
      <c r="AB8305" s="3"/>
      <c r="AC8305" s="3"/>
      <c r="AD8305" s="3"/>
      <c r="AE8305" s="3"/>
      <c r="AF8305" s="3"/>
      <c r="AG8305" s="3"/>
      <c r="AH8305" s="3"/>
    </row>
    <row r="8306" spans="1:34" ht="14.25" customHeight="1" x14ac:dyDescent="0.25">
      <c r="A8306" s="3"/>
      <c r="B8306" s="3"/>
      <c r="C8306" s="3"/>
      <c r="D8306" s="3"/>
      <c r="E8306" s="3"/>
      <c r="F8306" s="3"/>
      <c r="G8306" s="3"/>
      <c r="H8306" s="11"/>
      <c r="I8306" s="12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  <c r="AA8306" s="3"/>
      <c r="AB8306" s="3"/>
      <c r="AC8306" s="3"/>
      <c r="AD8306" s="3"/>
      <c r="AE8306" s="3"/>
      <c r="AF8306" s="3"/>
      <c r="AG8306" s="3"/>
      <c r="AH8306" s="3"/>
    </row>
    <row r="8307" spans="1:34" ht="14.25" customHeight="1" x14ac:dyDescent="0.25">
      <c r="A8307" s="3"/>
      <c r="B8307" s="3"/>
      <c r="C8307" s="3"/>
      <c r="D8307" s="3"/>
      <c r="E8307" s="3"/>
      <c r="F8307" s="3"/>
      <c r="G8307" s="3"/>
      <c r="H8307" s="11"/>
      <c r="I8307" s="12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  <c r="AA8307" s="3"/>
      <c r="AB8307" s="3"/>
      <c r="AC8307" s="3"/>
      <c r="AD8307" s="3"/>
      <c r="AE8307" s="3"/>
      <c r="AF8307" s="3"/>
      <c r="AG8307" s="3"/>
      <c r="AH8307" s="3"/>
    </row>
    <row r="8308" spans="1:34" ht="14.25" customHeight="1" x14ac:dyDescent="0.25">
      <c r="A8308" s="3"/>
      <c r="B8308" s="3"/>
      <c r="C8308" s="3"/>
      <c r="D8308" s="3"/>
      <c r="E8308" s="3"/>
      <c r="F8308" s="3"/>
      <c r="G8308" s="3"/>
      <c r="H8308" s="11"/>
      <c r="I8308" s="12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  <c r="AA8308" s="3"/>
      <c r="AB8308" s="3"/>
      <c r="AC8308" s="3"/>
      <c r="AD8308" s="3"/>
      <c r="AE8308" s="3"/>
      <c r="AF8308" s="3"/>
      <c r="AG8308" s="3"/>
      <c r="AH8308" s="3"/>
    </row>
    <row r="8309" spans="1:34" ht="14.25" customHeight="1" x14ac:dyDescent="0.25">
      <c r="A8309" s="3"/>
      <c r="B8309" s="3"/>
      <c r="C8309" s="3"/>
      <c r="D8309" s="3"/>
      <c r="E8309" s="3"/>
      <c r="F8309" s="3"/>
      <c r="G8309" s="3"/>
      <c r="H8309" s="11"/>
      <c r="I8309" s="12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  <c r="AA8309" s="3"/>
      <c r="AB8309" s="3"/>
      <c r="AC8309" s="3"/>
      <c r="AD8309" s="3"/>
      <c r="AE8309" s="3"/>
      <c r="AF8309" s="3"/>
      <c r="AG8309" s="3"/>
      <c r="AH8309" s="3"/>
    </row>
    <row r="8310" spans="1:34" ht="14.25" customHeight="1" x14ac:dyDescent="0.25">
      <c r="A8310" s="3"/>
      <c r="B8310" s="3"/>
      <c r="C8310" s="3"/>
      <c r="D8310" s="3"/>
      <c r="E8310" s="3"/>
      <c r="F8310" s="3"/>
      <c r="G8310" s="3"/>
      <c r="H8310" s="11"/>
      <c r="I8310" s="12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  <c r="AA8310" s="3"/>
      <c r="AB8310" s="3"/>
      <c r="AC8310" s="3"/>
      <c r="AD8310" s="3"/>
      <c r="AE8310" s="3"/>
      <c r="AF8310" s="3"/>
      <c r="AG8310" s="3"/>
      <c r="AH8310" s="3"/>
    </row>
    <row r="8311" spans="1:34" ht="14.25" customHeight="1" x14ac:dyDescent="0.25">
      <c r="A8311" s="3"/>
      <c r="B8311" s="3"/>
      <c r="C8311" s="3"/>
      <c r="D8311" s="3"/>
      <c r="E8311" s="3"/>
      <c r="F8311" s="3"/>
      <c r="G8311" s="3"/>
      <c r="H8311" s="11"/>
      <c r="I8311" s="12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  <c r="AA8311" s="3"/>
      <c r="AB8311" s="3"/>
      <c r="AC8311" s="3"/>
      <c r="AD8311" s="3"/>
      <c r="AE8311" s="3"/>
      <c r="AF8311" s="3"/>
      <c r="AG8311" s="3"/>
      <c r="AH8311" s="3"/>
    </row>
    <row r="8312" spans="1:34" ht="14.25" customHeight="1" x14ac:dyDescent="0.25">
      <c r="A8312" s="3"/>
      <c r="B8312" s="3"/>
      <c r="C8312" s="3"/>
      <c r="D8312" s="3"/>
      <c r="E8312" s="3"/>
      <c r="F8312" s="3"/>
      <c r="G8312" s="3"/>
      <c r="H8312" s="11"/>
      <c r="I8312" s="12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  <c r="AA8312" s="3"/>
      <c r="AB8312" s="3"/>
      <c r="AC8312" s="3"/>
      <c r="AD8312" s="3"/>
      <c r="AE8312" s="3"/>
      <c r="AF8312" s="3"/>
      <c r="AG8312" s="3"/>
      <c r="AH8312" s="3"/>
    </row>
    <row r="8313" spans="1:34" ht="14.25" customHeight="1" x14ac:dyDescent="0.25">
      <c r="A8313" s="3"/>
      <c r="B8313" s="3"/>
      <c r="C8313" s="3"/>
      <c r="D8313" s="3"/>
      <c r="E8313" s="3"/>
      <c r="F8313" s="3"/>
      <c r="G8313" s="3"/>
      <c r="H8313" s="11"/>
      <c r="I8313" s="12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  <c r="AA8313" s="3"/>
      <c r="AB8313" s="3"/>
      <c r="AC8313" s="3"/>
      <c r="AD8313" s="3"/>
      <c r="AE8313" s="3"/>
      <c r="AF8313" s="3"/>
      <c r="AG8313" s="3"/>
      <c r="AH8313" s="3"/>
    </row>
    <row r="8314" spans="1:34" ht="14.25" customHeight="1" x14ac:dyDescent="0.25">
      <c r="A8314" s="3"/>
      <c r="B8314" s="3"/>
      <c r="C8314" s="3"/>
      <c r="D8314" s="3"/>
      <c r="E8314" s="3"/>
      <c r="F8314" s="3"/>
      <c r="G8314" s="3"/>
      <c r="H8314" s="11"/>
      <c r="I8314" s="12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  <c r="AA8314" s="3"/>
      <c r="AB8314" s="3"/>
      <c r="AC8314" s="3"/>
      <c r="AD8314" s="3"/>
      <c r="AE8314" s="3"/>
      <c r="AF8314" s="3"/>
      <c r="AG8314" s="3"/>
      <c r="AH8314" s="3"/>
    </row>
    <row r="8315" spans="1:34" ht="14.25" customHeight="1" x14ac:dyDescent="0.25">
      <c r="A8315" s="3"/>
      <c r="B8315" s="3"/>
      <c r="C8315" s="3"/>
      <c r="D8315" s="3"/>
      <c r="E8315" s="3"/>
      <c r="F8315" s="3"/>
      <c r="G8315" s="3"/>
      <c r="H8315" s="11"/>
      <c r="I8315" s="12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  <c r="AA8315" s="3"/>
      <c r="AB8315" s="3"/>
      <c r="AC8315" s="3"/>
      <c r="AD8315" s="3"/>
      <c r="AE8315" s="3"/>
      <c r="AF8315" s="3"/>
      <c r="AG8315" s="3"/>
      <c r="AH8315" s="3"/>
    </row>
    <row r="8316" spans="1:34" ht="14.25" customHeight="1" x14ac:dyDescent="0.25">
      <c r="A8316" s="3"/>
      <c r="B8316" s="3"/>
      <c r="C8316" s="3"/>
      <c r="D8316" s="3"/>
      <c r="E8316" s="3"/>
      <c r="F8316" s="3"/>
      <c r="G8316" s="3"/>
      <c r="H8316" s="11"/>
      <c r="I8316" s="12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  <c r="AA8316" s="3"/>
      <c r="AB8316" s="3"/>
      <c r="AC8316" s="3"/>
      <c r="AD8316" s="3"/>
      <c r="AE8316" s="3"/>
      <c r="AF8316" s="3"/>
      <c r="AG8316" s="3"/>
      <c r="AH8316" s="3"/>
    </row>
    <row r="8317" spans="1:34" ht="14.25" customHeight="1" x14ac:dyDescent="0.25">
      <c r="A8317" s="3"/>
      <c r="B8317" s="3"/>
      <c r="C8317" s="3"/>
      <c r="D8317" s="3"/>
      <c r="E8317" s="3"/>
      <c r="F8317" s="3"/>
      <c r="G8317" s="3"/>
      <c r="H8317" s="11"/>
      <c r="I8317" s="12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  <c r="AA8317" s="3"/>
      <c r="AB8317" s="3"/>
      <c r="AC8317" s="3"/>
      <c r="AD8317" s="3"/>
      <c r="AE8317" s="3"/>
      <c r="AF8317" s="3"/>
      <c r="AG8317" s="3"/>
      <c r="AH8317" s="3"/>
    </row>
    <row r="8318" spans="1:34" ht="14.25" customHeight="1" x14ac:dyDescent="0.25">
      <c r="A8318" s="3"/>
      <c r="B8318" s="3"/>
      <c r="C8318" s="3"/>
      <c r="D8318" s="3"/>
      <c r="E8318" s="3"/>
      <c r="F8318" s="3"/>
      <c r="G8318" s="3"/>
      <c r="H8318" s="11"/>
      <c r="I8318" s="12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  <c r="AA8318" s="3"/>
      <c r="AB8318" s="3"/>
      <c r="AC8318" s="3"/>
      <c r="AD8318" s="3"/>
      <c r="AE8318" s="3"/>
      <c r="AF8318" s="3"/>
      <c r="AG8318" s="3"/>
      <c r="AH8318" s="3"/>
    </row>
    <row r="8319" spans="1:34" ht="14.25" customHeight="1" x14ac:dyDescent="0.25">
      <c r="A8319" s="3"/>
      <c r="B8319" s="3"/>
      <c r="C8319" s="3"/>
      <c r="D8319" s="3"/>
      <c r="E8319" s="3"/>
      <c r="F8319" s="3"/>
      <c r="G8319" s="3"/>
      <c r="H8319" s="11"/>
      <c r="I8319" s="12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  <c r="AA8319" s="3"/>
      <c r="AB8319" s="3"/>
      <c r="AC8319" s="3"/>
      <c r="AD8319" s="3"/>
      <c r="AE8319" s="3"/>
      <c r="AF8319" s="3"/>
      <c r="AG8319" s="3"/>
      <c r="AH8319" s="3"/>
    </row>
    <row r="8320" spans="1:34" ht="14.25" customHeight="1" x14ac:dyDescent="0.25">
      <c r="A8320" s="3"/>
      <c r="B8320" s="3"/>
      <c r="C8320" s="3"/>
      <c r="D8320" s="3"/>
      <c r="E8320" s="3"/>
      <c r="F8320" s="3"/>
      <c r="G8320" s="3"/>
      <c r="H8320" s="11"/>
      <c r="I8320" s="12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  <c r="AA8320" s="3"/>
      <c r="AB8320" s="3"/>
      <c r="AC8320" s="3"/>
      <c r="AD8320" s="3"/>
      <c r="AE8320" s="3"/>
      <c r="AF8320" s="3"/>
      <c r="AG8320" s="3"/>
      <c r="AH8320" s="3"/>
    </row>
    <row r="8321" spans="1:34" ht="14.25" customHeight="1" x14ac:dyDescent="0.25">
      <c r="A8321" s="3"/>
      <c r="B8321" s="3"/>
      <c r="C8321" s="3"/>
      <c r="D8321" s="3"/>
      <c r="E8321" s="3"/>
      <c r="F8321" s="3"/>
      <c r="G8321" s="3"/>
      <c r="H8321" s="11"/>
      <c r="I8321" s="12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  <c r="AA8321" s="3"/>
      <c r="AB8321" s="3"/>
      <c r="AC8321" s="3"/>
      <c r="AD8321" s="3"/>
      <c r="AE8321" s="3"/>
      <c r="AF8321" s="3"/>
      <c r="AG8321" s="3"/>
      <c r="AH8321" s="3"/>
    </row>
    <row r="8322" spans="1:34" ht="14.25" customHeight="1" x14ac:dyDescent="0.25">
      <c r="A8322" s="3"/>
      <c r="B8322" s="3"/>
      <c r="C8322" s="3"/>
      <c r="D8322" s="3"/>
      <c r="E8322" s="3"/>
      <c r="F8322" s="3"/>
      <c r="G8322" s="3"/>
      <c r="H8322" s="11"/>
      <c r="I8322" s="12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  <c r="AA8322" s="3"/>
      <c r="AB8322" s="3"/>
      <c r="AC8322" s="3"/>
      <c r="AD8322" s="3"/>
      <c r="AE8322" s="3"/>
      <c r="AF8322" s="3"/>
      <c r="AG8322" s="3"/>
      <c r="AH8322" s="3"/>
    </row>
    <row r="8323" spans="1:34" ht="14.25" customHeight="1" x14ac:dyDescent="0.25">
      <c r="A8323" s="3"/>
      <c r="B8323" s="3"/>
      <c r="C8323" s="3"/>
      <c r="D8323" s="3"/>
      <c r="E8323" s="3"/>
      <c r="F8323" s="3"/>
      <c r="G8323" s="3"/>
      <c r="H8323" s="11"/>
      <c r="I8323" s="12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  <c r="AA8323" s="3"/>
      <c r="AB8323" s="3"/>
      <c r="AC8323" s="3"/>
      <c r="AD8323" s="3"/>
      <c r="AE8323" s="3"/>
      <c r="AF8323" s="3"/>
      <c r="AG8323" s="3"/>
      <c r="AH8323" s="3"/>
    </row>
    <row r="8324" spans="1:34" ht="14.25" customHeight="1" x14ac:dyDescent="0.25">
      <c r="A8324" s="3"/>
      <c r="B8324" s="3"/>
      <c r="C8324" s="3"/>
      <c r="D8324" s="3"/>
      <c r="E8324" s="3"/>
      <c r="F8324" s="3"/>
      <c r="G8324" s="3"/>
      <c r="H8324" s="11"/>
      <c r="I8324" s="12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  <c r="AA8324" s="3"/>
      <c r="AB8324" s="3"/>
      <c r="AC8324" s="3"/>
      <c r="AD8324" s="3"/>
      <c r="AE8324" s="3"/>
      <c r="AF8324" s="3"/>
      <c r="AG8324" s="3"/>
      <c r="AH8324" s="3"/>
    </row>
    <row r="8325" spans="1:34" ht="14.25" customHeight="1" x14ac:dyDescent="0.25">
      <c r="A8325" s="3"/>
      <c r="B8325" s="3"/>
      <c r="C8325" s="3"/>
      <c r="D8325" s="3"/>
      <c r="E8325" s="3"/>
      <c r="F8325" s="3"/>
      <c r="G8325" s="3"/>
      <c r="H8325" s="11"/>
      <c r="I8325" s="12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  <c r="AA8325" s="3"/>
      <c r="AB8325" s="3"/>
      <c r="AC8325" s="3"/>
      <c r="AD8325" s="3"/>
      <c r="AE8325" s="3"/>
      <c r="AF8325" s="3"/>
      <c r="AG8325" s="3"/>
      <c r="AH8325" s="3"/>
    </row>
    <row r="8326" spans="1:34" ht="14.25" customHeight="1" x14ac:dyDescent="0.25">
      <c r="A8326" s="3"/>
      <c r="B8326" s="3"/>
      <c r="C8326" s="3"/>
      <c r="D8326" s="3"/>
      <c r="E8326" s="3"/>
      <c r="F8326" s="3"/>
      <c r="G8326" s="3"/>
      <c r="H8326" s="11"/>
      <c r="I8326" s="12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  <c r="AA8326" s="3"/>
      <c r="AB8326" s="3"/>
      <c r="AC8326" s="3"/>
      <c r="AD8326" s="3"/>
      <c r="AE8326" s="3"/>
      <c r="AF8326" s="3"/>
      <c r="AG8326" s="3"/>
      <c r="AH8326" s="3"/>
    </row>
    <row r="8327" spans="1:34" ht="14.25" customHeight="1" x14ac:dyDescent="0.25">
      <c r="A8327" s="3"/>
      <c r="B8327" s="3"/>
      <c r="C8327" s="3"/>
      <c r="D8327" s="3"/>
      <c r="E8327" s="3"/>
      <c r="F8327" s="3"/>
      <c r="G8327" s="3"/>
      <c r="H8327" s="11"/>
      <c r="I8327" s="12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  <c r="AA8327" s="3"/>
      <c r="AB8327" s="3"/>
      <c r="AC8327" s="3"/>
      <c r="AD8327" s="3"/>
      <c r="AE8327" s="3"/>
      <c r="AF8327" s="3"/>
      <c r="AG8327" s="3"/>
      <c r="AH8327" s="3"/>
    </row>
    <row r="8328" spans="1:34" ht="14.25" customHeight="1" x14ac:dyDescent="0.25">
      <c r="A8328" s="3"/>
      <c r="B8328" s="3"/>
      <c r="C8328" s="3"/>
      <c r="D8328" s="3"/>
      <c r="E8328" s="3"/>
      <c r="F8328" s="3"/>
      <c r="G8328" s="3"/>
      <c r="H8328" s="11"/>
      <c r="I8328" s="12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  <c r="AA8328" s="3"/>
      <c r="AB8328" s="3"/>
      <c r="AC8328" s="3"/>
      <c r="AD8328" s="3"/>
      <c r="AE8328" s="3"/>
      <c r="AF8328" s="3"/>
      <c r="AG8328" s="3"/>
      <c r="AH8328" s="3"/>
    </row>
    <row r="8329" spans="1:34" ht="14.25" customHeight="1" x14ac:dyDescent="0.25">
      <c r="A8329" s="3"/>
      <c r="B8329" s="3"/>
      <c r="C8329" s="3"/>
      <c r="D8329" s="3"/>
      <c r="E8329" s="3"/>
      <c r="F8329" s="3"/>
      <c r="G8329" s="3"/>
      <c r="H8329" s="11"/>
      <c r="I8329" s="12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  <c r="AA8329" s="3"/>
      <c r="AB8329" s="3"/>
      <c r="AC8329" s="3"/>
      <c r="AD8329" s="3"/>
      <c r="AE8329" s="3"/>
      <c r="AF8329" s="3"/>
      <c r="AG8329" s="3"/>
      <c r="AH8329" s="3"/>
    </row>
    <row r="8330" spans="1:34" ht="14.25" customHeight="1" x14ac:dyDescent="0.25">
      <c r="A8330" s="3"/>
      <c r="B8330" s="3"/>
      <c r="C8330" s="3"/>
      <c r="D8330" s="3"/>
      <c r="E8330" s="3"/>
      <c r="F8330" s="3"/>
      <c r="G8330" s="3"/>
      <c r="H8330" s="11"/>
      <c r="I8330" s="12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  <c r="AA8330" s="3"/>
      <c r="AB8330" s="3"/>
      <c r="AC8330" s="3"/>
      <c r="AD8330" s="3"/>
      <c r="AE8330" s="3"/>
      <c r="AF8330" s="3"/>
      <c r="AG8330" s="3"/>
      <c r="AH8330" s="3"/>
    </row>
    <row r="8331" spans="1:34" ht="14.25" customHeight="1" x14ac:dyDescent="0.25">
      <c r="A8331" s="3"/>
      <c r="B8331" s="3"/>
      <c r="C8331" s="3"/>
      <c r="D8331" s="3"/>
      <c r="E8331" s="3"/>
      <c r="F8331" s="3"/>
      <c r="G8331" s="3"/>
      <c r="H8331" s="11"/>
      <c r="I8331" s="12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  <c r="AA8331" s="3"/>
      <c r="AB8331" s="3"/>
      <c r="AC8331" s="3"/>
      <c r="AD8331" s="3"/>
      <c r="AE8331" s="3"/>
      <c r="AF8331" s="3"/>
      <c r="AG8331" s="3"/>
      <c r="AH8331" s="3"/>
    </row>
    <row r="8332" spans="1:34" ht="14.25" customHeight="1" x14ac:dyDescent="0.25">
      <c r="A8332" s="3"/>
      <c r="B8332" s="3"/>
      <c r="C8332" s="3"/>
      <c r="D8332" s="3"/>
      <c r="E8332" s="3"/>
      <c r="F8332" s="3"/>
      <c r="G8332" s="3"/>
      <c r="H8332" s="11"/>
      <c r="I8332" s="12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  <c r="AA8332" s="3"/>
      <c r="AB8332" s="3"/>
      <c r="AC8332" s="3"/>
      <c r="AD8332" s="3"/>
      <c r="AE8332" s="3"/>
      <c r="AF8332" s="3"/>
      <c r="AG8332" s="3"/>
      <c r="AH8332" s="3"/>
    </row>
    <row r="8333" spans="1:34" ht="14.25" customHeight="1" x14ac:dyDescent="0.25">
      <c r="A8333" s="3"/>
      <c r="B8333" s="3"/>
      <c r="C8333" s="3"/>
      <c r="D8333" s="3"/>
      <c r="E8333" s="3"/>
      <c r="F8333" s="3"/>
      <c r="G8333" s="3"/>
      <c r="H8333" s="11"/>
      <c r="I8333" s="12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  <c r="AA8333" s="3"/>
      <c r="AB8333" s="3"/>
      <c r="AC8333" s="3"/>
      <c r="AD8333" s="3"/>
      <c r="AE8333" s="3"/>
      <c r="AF8333" s="3"/>
      <c r="AG8333" s="3"/>
      <c r="AH8333" s="3"/>
    </row>
    <row r="8334" spans="1:34" ht="14.25" customHeight="1" x14ac:dyDescent="0.25">
      <c r="A8334" s="3"/>
      <c r="B8334" s="3"/>
      <c r="C8334" s="3"/>
      <c r="D8334" s="3"/>
      <c r="E8334" s="3"/>
      <c r="F8334" s="3"/>
      <c r="G8334" s="3"/>
      <c r="H8334" s="11"/>
      <c r="I8334" s="12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  <c r="AA8334" s="3"/>
      <c r="AB8334" s="3"/>
      <c r="AC8334" s="3"/>
      <c r="AD8334" s="3"/>
      <c r="AE8334" s="3"/>
      <c r="AF8334" s="3"/>
      <c r="AG8334" s="3"/>
      <c r="AH8334" s="3"/>
    </row>
    <row r="8335" spans="1:34" ht="14.25" customHeight="1" x14ac:dyDescent="0.25">
      <c r="A8335" s="3"/>
      <c r="B8335" s="3"/>
      <c r="C8335" s="3"/>
      <c r="D8335" s="3"/>
      <c r="E8335" s="3"/>
      <c r="F8335" s="3"/>
      <c r="G8335" s="3"/>
      <c r="H8335" s="11"/>
      <c r="I8335" s="12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  <c r="AA8335" s="3"/>
      <c r="AB8335" s="3"/>
      <c r="AC8335" s="3"/>
      <c r="AD8335" s="3"/>
      <c r="AE8335" s="3"/>
      <c r="AF8335" s="3"/>
      <c r="AG8335" s="3"/>
      <c r="AH8335" s="3"/>
    </row>
    <row r="8336" spans="1:34" ht="14.25" customHeight="1" x14ac:dyDescent="0.25">
      <c r="A8336" s="3"/>
      <c r="B8336" s="3"/>
      <c r="C8336" s="3"/>
      <c r="D8336" s="3"/>
      <c r="E8336" s="3"/>
      <c r="F8336" s="3"/>
      <c r="G8336" s="3"/>
      <c r="H8336" s="11"/>
      <c r="I8336" s="12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  <c r="AA8336" s="3"/>
      <c r="AB8336" s="3"/>
      <c r="AC8336" s="3"/>
      <c r="AD8336" s="3"/>
      <c r="AE8336" s="3"/>
      <c r="AF8336" s="3"/>
      <c r="AG8336" s="3"/>
      <c r="AH8336" s="3"/>
    </row>
    <row r="8337" spans="1:34" ht="14.25" customHeight="1" x14ac:dyDescent="0.25">
      <c r="A8337" s="3"/>
      <c r="B8337" s="3"/>
      <c r="C8337" s="3"/>
      <c r="D8337" s="3"/>
      <c r="E8337" s="3"/>
      <c r="F8337" s="3"/>
      <c r="G8337" s="3"/>
      <c r="H8337" s="11"/>
      <c r="I8337" s="12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  <c r="AA8337" s="3"/>
      <c r="AB8337" s="3"/>
      <c r="AC8337" s="3"/>
      <c r="AD8337" s="3"/>
      <c r="AE8337" s="3"/>
      <c r="AF8337" s="3"/>
      <c r="AG8337" s="3"/>
      <c r="AH8337" s="3"/>
    </row>
    <row r="8338" spans="1:34" ht="14.25" customHeight="1" x14ac:dyDescent="0.25">
      <c r="A8338" s="3"/>
      <c r="B8338" s="3"/>
      <c r="C8338" s="3"/>
      <c r="D8338" s="3"/>
      <c r="E8338" s="3"/>
      <c r="F8338" s="3"/>
      <c r="G8338" s="3"/>
      <c r="H8338" s="11"/>
      <c r="I8338" s="12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  <c r="AA8338" s="3"/>
      <c r="AB8338" s="3"/>
      <c r="AC8338" s="3"/>
      <c r="AD8338" s="3"/>
      <c r="AE8338" s="3"/>
      <c r="AF8338" s="3"/>
      <c r="AG8338" s="3"/>
      <c r="AH8338" s="3"/>
    </row>
    <row r="8339" spans="1:34" ht="14.25" customHeight="1" x14ac:dyDescent="0.25">
      <c r="A8339" s="3"/>
      <c r="B8339" s="3"/>
      <c r="C8339" s="3"/>
      <c r="D8339" s="3"/>
      <c r="E8339" s="3"/>
      <c r="F8339" s="3"/>
      <c r="G8339" s="3"/>
      <c r="H8339" s="11"/>
      <c r="I8339" s="12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  <c r="AA8339" s="3"/>
      <c r="AB8339" s="3"/>
      <c r="AC8339" s="3"/>
      <c r="AD8339" s="3"/>
      <c r="AE8339" s="3"/>
      <c r="AF8339" s="3"/>
      <c r="AG8339" s="3"/>
      <c r="AH8339" s="3"/>
    </row>
    <row r="8340" spans="1:34" ht="14.25" customHeight="1" x14ac:dyDescent="0.25">
      <c r="A8340" s="3"/>
      <c r="B8340" s="3"/>
      <c r="C8340" s="3"/>
      <c r="D8340" s="3"/>
      <c r="E8340" s="3"/>
      <c r="F8340" s="3"/>
      <c r="G8340" s="3"/>
      <c r="H8340" s="11"/>
      <c r="I8340" s="12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  <c r="AA8340" s="3"/>
      <c r="AB8340" s="3"/>
      <c r="AC8340" s="3"/>
      <c r="AD8340" s="3"/>
      <c r="AE8340" s="3"/>
      <c r="AF8340" s="3"/>
      <c r="AG8340" s="3"/>
      <c r="AH8340" s="3"/>
    </row>
    <row r="8341" spans="1:34" ht="14.25" customHeight="1" x14ac:dyDescent="0.25">
      <c r="A8341" s="3"/>
      <c r="B8341" s="3"/>
      <c r="C8341" s="3"/>
      <c r="D8341" s="3"/>
      <c r="E8341" s="3"/>
      <c r="F8341" s="3"/>
      <c r="G8341" s="3"/>
      <c r="H8341" s="11"/>
      <c r="I8341" s="12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  <c r="AA8341" s="3"/>
      <c r="AB8341" s="3"/>
      <c r="AC8341" s="3"/>
      <c r="AD8341" s="3"/>
      <c r="AE8341" s="3"/>
      <c r="AF8341" s="3"/>
      <c r="AG8341" s="3"/>
      <c r="AH8341" s="3"/>
    </row>
    <row r="8342" spans="1:34" ht="14.25" customHeight="1" x14ac:dyDescent="0.25">
      <c r="A8342" s="3"/>
      <c r="B8342" s="3"/>
      <c r="C8342" s="3"/>
      <c r="D8342" s="3"/>
      <c r="E8342" s="3"/>
      <c r="F8342" s="3"/>
      <c r="G8342" s="3"/>
      <c r="H8342" s="11"/>
      <c r="I8342" s="12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  <c r="AA8342" s="3"/>
      <c r="AB8342" s="3"/>
      <c r="AC8342" s="3"/>
      <c r="AD8342" s="3"/>
      <c r="AE8342" s="3"/>
      <c r="AF8342" s="3"/>
      <c r="AG8342" s="3"/>
      <c r="AH8342" s="3"/>
    </row>
    <row r="8343" spans="1:34" ht="14.25" customHeight="1" x14ac:dyDescent="0.25">
      <c r="A8343" s="3"/>
      <c r="B8343" s="3"/>
      <c r="C8343" s="3"/>
      <c r="D8343" s="3"/>
      <c r="E8343" s="3"/>
      <c r="F8343" s="3"/>
      <c r="G8343" s="3"/>
      <c r="H8343" s="11"/>
      <c r="I8343" s="12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  <c r="AA8343" s="3"/>
      <c r="AB8343" s="3"/>
      <c r="AC8343" s="3"/>
      <c r="AD8343" s="3"/>
      <c r="AE8343" s="3"/>
      <c r="AF8343" s="3"/>
      <c r="AG8343" s="3"/>
      <c r="AH8343" s="3"/>
    </row>
    <row r="8344" spans="1:34" ht="14.25" customHeight="1" x14ac:dyDescent="0.25">
      <c r="A8344" s="3"/>
      <c r="B8344" s="3"/>
      <c r="C8344" s="3"/>
      <c r="D8344" s="3"/>
      <c r="E8344" s="3"/>
      <c r="F8344" s="3"/>
      <c r="G8344" s="3"/>
      <c r="H8344" s="11"/>
      <c r="I8344" s="12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  <c r="AA8344" s="3"/>
      <c r="AB8344" s="3"/>
      <c r="AC8344" s="3"/>
      <c r="AD8344" s="3"/>
      <c r="AE8344" s="3"/>
      <c r="AF8344" s="3"/>
      <c r="AG8344" s="3"/>
      <c r="AH8344" s="3"/>
    </row>
    <row r="8345" spans="1:34" ht="14.25" customHeight="1" x14ac:dyDescent="0.25">
      <c r="A8345" s="3"/>
      <c r="B8345" s="3"/>
      <c r="C8345" s="3"/>
      <c r="D8345" s="3"/>
      <c r="E8345" s="3"/>
      <c r="F8345" s="3"/>
      <c r="G8345" s="3"/>
      <c r="H8345" s="11"/>
      <c r="I8345" s="12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  <c r="AA8345" s="3"/>
      <c r="AB8345" s="3"/>
      <c r="AC8345" s="3"/>
      <c r="AD8345" s="3"/>
      <c r="AE8345" s="3"/>
      <c r="AF8345" s="3"/>
      <c r="AG8345" s="3"/>
      <c r="AH8345" s="3"/>
    </row>
    <row r="8346" spans="1:34" ht="14.25" customHeight="1" x14ac:dyDescent="0.25">
      <c r="A8346" s="3"/>
      <c r="B8346" s="3"/>
      <c r="C8346" s="3"/>
      <c r="D8346" s="3"/>
      <c r="E8346" s="3"/>
      <c r="F8346" s="3"/>
      <c r="G8346" s="3"/>
      <c r="H8346" s="11"/>
      <c r="I8346" s="12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  <c r="AA8346" s="3"/>
      <c r="AB8346" s="3"/>
      <c r="AC8346" s="3"/>
      <c r="AD8346" s="3"/>
      <c r="AE8346" s="3"/>
      <c r="AF8346" s="3"/>
      <c r="AG8346" s="3"/>
      <c r="AH8346" s="3"/>
    </row>
    <row r="8347" spans="1:34" ht="14.25" customHeight="1" x14ac:dyDescent="0.25">
      <c r="A8347" s="3"/>
      <c r="B8347" s="3"/>
      <c r="C8347" s="3"/>
      <c r="D8347" s="3"/>
      <c r="E8347" s="3"/>
      <c r="F8347" s="3"/>
      <c r="G8347" s="3"/>
      <c r="H8347" s="11"/>
      <c r="I8347" s="12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  <c r="AA8347" s="3"/>
      <c r="AB8347" s="3"/>
      <c r="AC8347" s="3"/>
      <c r="AD8347" s="3"/>
      <c r="AE8347" s="3"/>
      <c r="AF8347" s="3"/>
      <c r="AG8347" s="3"/>
      <c r="AH8347" s="3"/>
    </row>
    <row r="8348" spans="1:34" ht="14.25" customHeight="1" x14ac:dyDescent="0.25">
      <c r="A8348" s="3"/>
      <c r="B8348" s="3"/>
      <c r="C8348" s="3"/>
      <c r="D8348" s="3"/>
      <c r="E8348" s="3"/>
      <c r="F8348" s="3"/>
      <c r="G8348" s="3"/>
      <c r="H8348" s="11"/>
      <c r="I8348" s="12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  <c r="AA8348" s="3"/>
      <c r="AB8348" s="3"/>
      <c r="AC8348" s="3"/>
      <c r="AD8348" s="3"/>
      <c r="AE8348" s="3"/>
      <c r="AF8348" s="3"/>
      <c r="AG8348" s="3"/>
      <c r="AH8348" s="3"/>
    </row>
    <row r="8349" spans="1:34" ht="14.25" customHeight="1" x14ac:dyDescent="0.25">
      <c r="A8349" s="3"/>
      <c r="B8349" s="3"/>
      <c r="C8349" s="3"/>
      <c r="D8349" s="3"/>
      <c r="E8349" s="3"/>
      <c r="F8349" s="3"/>
      <c r="G8349" s="3"/>
      <c r="H8349" s="11"/>
      <c r="I8349" s="12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  <c r="AA8349" s="3"/>
      <c r="AB8349" s="3"/>
      <c r="AC8349" s="3"/>
      <c r="AD8349" s="3"/>
      <c r="AE8349" s="3"/>
      <c r="AF8349" s="3"/>
      <c r="AG8349" s="3"/>
      <c r="AH8349" s="3"/>
    </row>
    <row r="8350" spans="1:34" ht="14.25" customHeight="1" x14ac:dyDescent="0.25">
      <c r="A8350" s="3"/>
      <c r="B8350" s="3"/>
      <c r="C8350" s="3"/>
      <c r="D8350" s="3"/>
      <c r="E8350" s="3"/>
      <c r="F8350" s="3"/>
      <c r="G8350" s="3"/>
      <c r="H8350" s="11"/>
      <c r="I8350" s="12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  <c r="AA8350" s="3"/>
      <c r="AB8350" s="3"/>
      <c r="AC8350" s="3"/>
      <c r="AD8350" s="3"/>
      <c r="AE8350" s="3"/>
      <c r="AF8350" s="3"/>
      <c r="AG8350" s="3"/>
      <c r="AH8350" s="3"/>
    </row>
    <row r="8351" spans="1:34" ht="14.25" customHeight="1" x14ac:dyDescent="0.25">
      <c r="A8351" s="3"/>
      <c r="B8351" s="3"/>
      <c r="C8351" s="3"/>
      <c r="D8351" s="3"/>
      <c r="E8351" s="3"/>
      <c r="F8351" s="3"/>
      <c r="G8351" s="3"/>
      <c r="H8351" s="11"/>
      <c r="I8351" s="12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  <c r="AA8351" s="3"/>
      <c r="AB8351" s="3"/>
      <c r="AC8351" s="3"/>
      <c r="AD8351" s="3"/>
      <c r="AE8351" s="3"/>
      <c r="AF8351" s="3"/>
      <c r="AG8351" s="3"/>
      <c r="AH8351" s="3"/>
    </row>
    <row r="8352" spans="1:34" ht="14.25" customHeight="1" x14ac:dyDescent="0.25">
      <c r="A8352" s="3"/>
      <c r="B8352" s="3"/>
      <c r="C8352" s="3"/>
      <c r="D8352" s="3"/>
      <c r="E8352" s="3"/>
      <c r="F8352" s="3"/>
      <c r="G8352" s="3"/>
      <c r="H8352" s="11"/>
      <c r="I8352" s="12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  <c r="AA8352" s="3"/>
      <c r="AB8352" s="3"/>
      <c r="AC8352" s="3"/>
      <c r="AD8352" s="3"/>
      <c r="AE8352" s="3"/>
      <c r="AF8352" s="3"/>
      <c r="AG8352" s="3"/>
      <c r="AH8352" s="3"/>
    </row>
    <row r="8353" spans="1:34" ht="14.25" customHeight="1" x14ac:dyDescent="0.25">
      <c r="A8353" s="3"/>
      <c r="B8353" s="3"/>
      <c r="C8353" s="3"/>
      <c r="D8353" s="3"/>
      <c r="E8353" s="3"/>
      <c r="F8353" s="3"/>
      <c r="G8353" s="3"/>
      <c r="H8353" s="11"/>
      <c r="I8353" s="12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  <c r="AA8353" s="3"/>
      <c r="AB8353" s="3"/>
      <c r="AC8353" s="3"/>
      <c r="AD8353" s="3"/>
      <c r="AE8353" s="3"/>
      <c r="AF8353" s="3"/>
      <c r="AG8353" s="3"/>
      <c r="AH8353" s="3"/>
    </row>
    <row r="8354" spans="1:34" ht="14.25" customHeight="1" x14ac:dyDescent="0.25">
      <c r="A8354" s="3"/>
      <c r="B8354" s="3"/>
      <c r="C8354" s="3"/>
      <c r="D8354" s="3"/>
      <c r="E8354" s="3"/>
      <c r="F8354" s="3"/>
      <c r="G8354" s="3"/>
      <c r="H8354" s="11"/>
      <c r="I8354" s="12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  <c r="AA8354" s="3"/>
      <c r="AB8354" s="3"/>
      <c r="AC8354" s="3"/>
      <c r="AD8354" s="3"/>
      <c r="AE8354" s="3"/>
      <c r="AF8354" s="3"/>
      <c r="AG8354" s="3"/>
      <c r="AH8354" s="3"/>
    </row>
    <row r="8355" spans="1:34" ht="14.25" customHeight="1" x14ac:dyDescent="0.25">
      <c r="A8355" s="3"/>
      <c r="B8355" s="3"/>
      <c r="C8355" s="3"/>
      <c r="D8355" s="3"/>
      <c r="E8355" s="3"/>
      <c r="F8355" s="3"/>
      <c r="G8355" s="3"/>
      <c r="H8355" s="11"/>
      <c r="I8355" s="12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  <c r="AA8355" s="3"/>
      <c r="AB8355" s="3"/>
      <c r="AC8355" s="3"/>
      <c r="AD8355" s="3"/>
      <c r="AE8355" s="3"/>
      <c r="AF8355" s="3"/>
      <c r="AG8355" s="3"/>
      <c r="AH8355" s="3"/>
    </row>
    <row r="8356" spans="1:34" ht="14.25" customHeight="1" x14ac:dyDescent="0.25">
      <c r="A8356" s="3"/>
      <c r="B8356" s="3"/>
      <c r="C8356" s="3"/>
      <c r="D8356" s="3"/>
      <c r="E8356" s="3"/>
      <c r="F8356" s="3"/>
      <c r="G8356" s="3"/>
      <c r="H8356" s="11"/>
      <c r="I8356" s="12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  <c r="AA8356" s="3"/>
      <c r="AB8356" s="3"/>
      <c r="AC8356" s="3"/>
      <c r="AD8356" s="3"/>
      <c r="AE8356" s="3"/>
      <c r="AF8356" s="3"/>
      <c r="AG8356" s="3"/>
      <c r="AH8356" s="3"/>
    </row>
    <row r="8357" spans="1:34" ht="14.25" customHeight="1" x14ac:dyDescent="0.25">
      <c r="A8357" s="3"/>
      <c r="B8357" s="3"/>
      <c r="C8357" s="3"/>
      <c r="D8357" s="3"/>
      <c r="E8357" s="3"/>
      <c r="F8357" s="3"/>
      <c r="G8357" s="3"/>
      <c r="H8357" s="11"/>
      <c r="I8357" s="12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  <c r="AA8357" s="3"/>
      <c r="AB8357" s="3"/>
      <c r="AC8357" s="3"/>
      <c r="AD8357" s="3"/>
      <c r="AE8357" s="3"/>
      <c r="AF8357" s="3"/>
      <c r="AG8357" s="3"/>
      <c r="AH8357" s="3"/>
    </row>
    <row r="8358" spans="1:34" ht="14.25" customHeight="1" x14ac:dyDescent="0.25">
      <c r="A8358" s="3"/>
      <c r="B8358" s="3"/>
      <c r="C8358" s="3"/>
      <c r="D8358" s="3"/>
      <c r="E8358" s="3"/>
      <c r="F8358" s="3"/>
      <c r="G8358" s="3"/>
      <c r="H8358" s="11"/>
      <c r="I8358" s="12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  <c r="AA8358" s="3"/>
      <c r="AB8358" s="3"/>
      <c r="AC8358" s="3"/>
      <c r="AD8358" s="3"/>
      <c r="AE8358" s="3"/>
      <c r="AF8358" s="3"/>
      <c r="AG8358" s="3"/>
      <c r="AH8358" s="3"/>
    </row>
    <row r="8359" spans="1:34" ht="14.25" customHeight="1" x14ac:dyDescent="0.25">
      <c r="A8359" s="3"/>
      <c r="B8359" s="3"/>
      <c r="C8359" s="3"/>
      <c r="D8359" s="3"/>
      <c r="E8359" s="3"/>
      <c r="F8359" s="3"/>
      <c r="G8359" s="3"/>
      <c r="H8359" s="11"/>
      <c r="I8359" s="12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  <c r="AA8359" s="3"/>
      <c r="AB8359" s="3"/>
      <c r="AC8359" s="3"/>
      <c r="AD8359" s="3"/>
      <c r="AE8359" s="3"/>
      <c r="AF8359" s="3"/>
      <c r="AG8359" s="3"/>
      <c r="AH8359" s="3"/>
    </row>
    <row r="8360" spans="1:34" ht="14.25" customHeight="1" x14ac:dyDescent="0.25">
      <c r="A8360" s="3"/>
      <c r="B8360" s="3"/>
      <c r="C8360" s="3"/>
      <c r="D8360" s="3"/>
      <c r="E8360" s="3"/>
      <c r="F8360" s="3"/>
      <c r="G8360" s="3"/>
      <c r="H8360" s="11"/>
      <c r="I8360" s="12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  <c r="AA8360" s="3"/>
      <c r="AB8360" s="3"/>
      <c r="AC8360" s="3"/>
      <c r="AD8360" s="3"/>
      <c r="AE8360" s="3"/>
      <c r="AF8360" s="3"/>
      <c r="AG8360" s="3"/>
      <c r="AH8360" s="3"/>
    </row>
    <row r="8361" spans="1:34" ht="14.25" customHeight="1" x14ac:dyDescent="0.25">
      <c r="A8361" s="3"/>
      <c r="B8361" s="3"/>
      <c r="C8361" s="3"/>
      <c r="D8361" s="3"/>
      <c r="E8361" s="3"/>
      <c r="F8361" s="3"/>
      <c r="G8361" s="3"/>
      <c r="H8361" s="11"/>
      <c r="I8361" s="12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  <c r="AA8361" s="3"/>
      <c r="AB8361" s="3"/>
      <c r="AC8361" s="3"/>
      <c r="AD8361" s="3"/>
      <c r="AE8361" s="3"/>
      <c r="AF8361" s="3"/>
      <c r="AG8361" s="3"/>
      <c r="AH8361" s="3"/>
    </row>
    <row r="8362" spans="1:34" ht="14.25" customHeight="1" x14ac:dyDescent="0.25">
      <c r="A8362" s="3"/>
      <c r="B8362" s="3"/>
      <c r="C8362" s="3"/>
      <c r="D8362" s="3"/>
      <c r="E8362" s="3"/>
      <c r="F8362" s="3"/>
      <c r="G8362" s="3"/>
      <c r="H8362" s="11"/>
      <c r="I8362" s="12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  <c r="AA8362" s="3"/>
      <c r="AB8362" s="3"/>
      <c r="AC8362" s="3"/>
      <c r="AD8362" s="3"/>
      <c r="AE8362" s="3"/>
      <c r="AF8362" s="3"/>
      <c r="AG8362" s="3"/>
      <c r="AH8362" s="3"/>
    </row>
    <row r="8363" spans="1:34" ht="14.25" customHeight="1" x14ac:dyDescent="0.25">
      <c r="A8363" s="3"/>
      <c r="B8363" s="3"/>
      <c r="C8363" s="3"/>
      <c r="D8363" s="3"/>
      <c r="E8363" s="3"/>
      <c r="F8363" s="3"/>
      <c r="G8363" s="3"/>
      <c r="H8363" s="11"/>
      <c r="I8363" s="12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  <c r="AA8363" s="3"/>
      <c r="AB8363" s="3"/>
      <c r="AC8363" s="3"/>
      <c r="AD8363" s="3"/>
      <c r="AE8363" s="3"/>
      <c r="AF8363" s="3"/>
      <c r="AG8363" s="3"/>
      <c r="AH8363" s="3"/>
    </row>
    <row r="8364" spans="1:34" ht="14.25" customHeight="1" x14ac:dyDescent="0.25">
      <c r="A8364" s="3"/>
      <c r="B8364" s="3"/>
      <c r="C8364" s="3"/>
      <c r="D8364" s="3"/>
      <c r="E8364" s="3"/>
      <c r="F8364" s="3"/>
      <c r="G8364" s="3"/>
      <c r="H8364" s="11"/>
      <c r="I8364" s="12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  <c r="AA8364" s="3"/>
      <c r="AB8364" s="3"/>
      <c r="AC8364" s="3"/>
      <c r="AD8364" s="3"/>
      <c r="AE8364" s="3"/>
      <c r="AF8364" s="3"/>
      <c r="AG8364" s="3"/>
      <c r="AH8364" s="3"/>
    </row>
    <row r="8365" spans="1:34" ht="14.25" customHeight="1" x14ac:dyDescent="0.25">
      <c r="A8365" s="3"/>
      <c r="B8365" s="3"/>
      <c r="C8365" s="3"/>
      <c r="D8365" s="3"/>
      <c r="E8365" s="3"/>
      <c r="F8365" s="3"/>
      <c r="G8365" s="3"/>
      <c r="H8365" s="11"/>
      <c r="I8365" s="12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  <c r="AA8365" s="3"/>
      <c r="AB8365" s="3"/>
      <c r="AC8365" s="3"/>
      <c r="AD8365" s="3"/>
      <c r="AE8365" s="3"/>
      <c r="AF8365" s="3"/>
      <c r="AG8365" s="3"/>
      <c r="AH8365" s="3"/>
    </row>
    <row r="8366" spans="1:34" ht="14.25" customHeight="1" x14ac:dyDescent="0.25">
      <c r="A8366" s="3"/>
      <c r="B8366" s="3"/>
      <c r="C8366" s="3"/>
      <c r="D8366" s="3"/>
      <c r="E8366" s="3"/>
      <c r="F8366" s="3"/>
      <c r="G8366" s="3"/>
      <c r="H8366" s="11"/>
      <c r="I8366" s="12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  <c r="AA8366" s="3"/>
      <c r="AB8366" s="3"/>
      <c r="AC8366" s="3"/>
      <c r="AD8366" s="3"/>
      <c r="AE8366" s="3"/>
      <c r="AF8366" s="3"/>
      <c r="AG8366" s="3"/>
      <c r="AH8366" s="3"/>
    </row>
    <row r="8367" spans="1:34" ht="14.25" customHeight="1" x14ac:dyDescent="0.25">
      <c r="A8367" s="3"/>
      <c r="B8367" s="3"/>
      <c r="C8367" s="3"/>
      <c r="D8367" s="3"/>
      <c r="E8367" s="3"/>
      <c r="F8367" s="3"/>
      <c r="G8367" s="3"/>
      <c r="H8367" s="11"/>
      <c r="I8367" s="12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  <c r="AA8367" s="3"/>
      <c r="AB8367" s="3"/>
      <c r="AC8367" s="3"/>
      <c r="AD8367" s="3"/>
      <c r="AE8367" s="3"/>
      <c r="AF8367" s="3"/>
      <c r="AG8367" s="3"/>
      <c r="AH8367" s="3"/>
    </row>
    <row r="8368" spans="1:34" ht="14.25" customHeight="1" x14ac:dyDescent="0.25">
      <c r="A8368" s="3"/>
      <c r="B8368" s="3"/>
      <c r="C8368" s="3"/>
      <c r="D8368" s="3"/>
      <c r="E8368" s="3"/>
      <c r="F8368" s="3"/>
      <c r="G8368" s="3"/>
      <c r="H8368" s="11"/>
      <c r="I8368" s="12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  <c r="AA8368" s="3"/>
      <c r="AB8368" s="3"/>
      <c r="AC8368" s="3"/>
      <c r="AD8368" s="3"/>
      <c r="AE8368" s="3"/>
      <c r="AF8368" s="3"/>
      <c r="AG8368" s="3"/>
      <c r="AH8368" s="3"/>
    </row>
    <row r="8369" spans="1:34" ht="14.25" customHeight="1" x14ac:dyDescent="0.25">
      <c r="A8369" s="3"/>
      <c r="B8369" s="3"/>
      <c r="C8369" s="3"/>
      <c r="D8369" s="3"/>
      <c r="E8369" s="3"/>
      <c r="F8369" s="3"/>
      <c r="G8369" s="3"/>
      <c r="H8369" s="11"/>
      <c r="I8369" s="12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  <c r="AA8369" s="3"/>
      <c r="AB8369" s="3"/>
      <c r="AC8369" s="3"/>
      <c r="AD8369" s="3"/>
      <c r="AE8369" s="3"/>
      <c r="AF8369" s="3"/>
      <c r="AG8369" s="3"/>
      <c r="AH8369" s="3"/>
    </row>
    <row r="8370" spans="1:34" ht="14.25" customHeight="1" x14ac:dyDescent="0.25">
      <c r="A8370" s="3"/>
      <c r="B8370" s="3"/>
      <c r="C8370" s="3"/>
      <c r="D8370" s="3"/>
      <c r="E8370" s="3"/>
      <c r="F8370" s="3"/>
      <c r="G8370" s="3"/>
      <c r="H8370" s="11"/>
      <c r="I8370" s="12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  <c r="AA8370" s="3"/>
      <c r="AB8370" s="3"/>
      <c r="AC8370" s="3"/>
      <c r="AD8370" s="3"/>
      <c r="AE8370" s="3"/>
      <c r="AF8370" s="3"/>
      <c r="AG8370" s="3"/>
      <c r="AH8370" s="3"/>
    </row>
    <row r="8371" spans="1:34" ht="14.25" customHeight="1" x14ac:dyDescent="0.25">
      <c r="A8371" s="3"/>
      <c r="B8371" s="3"/>
      <c r="C8371" s="3"/>
      <c r="D8371" s="3"/>
      <c r="E8371" s="3"/>
      <c r="F8371" s="3"/>
      <c r="G8371" s="3"/>
      <c r="H8371" s="11"/>
      <c r="I8371" s="12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  <c r="AA8371" s="3"/>
      <c r="AB8371" s="3"/>
      <c r="AC8371" s="3"/>
      <c r="AD8371" s="3"/>
      <c r="AE8371" s="3"/>
      <c r="AF8371" s="3"/>
      <c r="AG8371" s="3"/>
      <c r="AH8371" s="3"/>
    </row>
    <row r="8372" spans="1:34" ht="14.25" customHeight="1" x14ac:dyDescent="0.25">
      <c r="A8372" s="3"/>
      <c r="B8372" s="3"/>
      <c r="C8372" s="3"/>
      <c r="D8372" s="3"/>
      <c r="E8372" s="3"/>
      <c r="F8372" s="3"/>
      <c r="G8372" s="3"/>
      <c r="H8372" s="11"/>
      <c r="I8372" s="12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  <c r="AA8372" s="3"/>
      <c r="AB8372" s="3"/>
      <c r="AC8372" s="3"/>
      <c r="AD8372" s="3"/>
      <c r="AE8372" s="3"/>
      <c r="AF8372" s="3"/>
      <c r="AG8372" s="3"/>
      <c r="AH8372" s="3"/>
    </row>
    <row r="8373" spans="1:34" ht="14.25" customHeight="1" x14ac:dyDescent="0.25">
      <c r="A8373" s="3"/>
      <c r="B8373" s="3"/>
      <c r="C8373" s="3"/>
      <c r="D8373" s="3"/>
      <c r="E8373" s="3"/>
      <c r="F8373" s="3"/>
      <c r="G8373" s="3"/>
      <c r="H8373" s="11"/>
      <c r="I8373" s="12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  <c r="AA8373" s="3"/>
      <c r="AB8373" s="3"/>
      <c r="AC8373" s="3"/>
      <c r="AD8373" s="3"/>
      <c r="AE8373" s="3"/>
      <c r="AF8373" s="3"/>
      <c r="AG8373" s="3"/>
      <c r="AH8373" s="3"/>
    </row>
    <row r="8374" spans="1:34" ht="14.25" customHeight="1" x14ac:dyDescent="0.25">
      <c r="A8374" s="3"/>
      <c r="B8374" s="3"/>
      <c r="C8374" s="3"/>
      <c r="D8374" s="3"/>
      <c r="E8374" s="3"/>
      <c r="F8374" s="3"/>
      <c r="G8374" s="3"/>
      <c r="H8374" s="11"/>
      <c r="I8374" s="12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  <c r="AA8374" s="3"/>
      <c r="AB8374" s="3"/>
      <c r="AC8374" s="3"/>
      <c r="AD8374" s="3"/>
      <c r="AE8374" s="3"/>
      <c r="AF8374" s="3"/>
      <c r="AG8374" s="3"/>
      <c r="AH8374" s="3"/>
    </row>
    <row r="8375" spans="1:34" ht="14.25" customHeight="1" x14ac:dyDescent="0.25">
      <c r="A8375" s="3"/>
      <c r="B8375" s="3"/>
      <c r="C8375" s="3"/>
      <c r="D8375" s="3"/>
      <c r="E8375" s="3"/>
      <c r="F8375" s="3"/>
      <c r="G8375" s="3"/>
      <c r="H8375" s="11"/>
      <c r="I8375" s="12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  <c r="AA8375" s="3"/>
      <c r="AB8375" s="3"/>
      <c r="AC8375" s="3"/>
      <c r="AD8375" s="3"/>
      <c r="AE8375" s="3"/>
      <c r="AF8375" s="3"/>
      <c r="AG8375" s="3"/>
      <c r="AH8375" s="3"/>
    </row>
    <row r="8376" spans="1:34" ht="14.25" customHeight="1" x14ac:dyDescent="0.25">
      <c r="A8376" s="3"/>
      <c r="B8376" s="3"/>
      <c r="C8376" s="3"/>
      <c r="D8376" s="3"/>
      <c r="E8376" s="3"/>
      <c r="F8376" s="3"/>
      <c r="G8376" s="3"/>
      <c r="H8376" s="11"/>
      <c r="I8376" s="12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  <c r="AA8376" s="3"/>
      <c r="AB8376" s="3"/>
      <c r="AC8376" s="3"/>
      <c r="AD8376" s="3"/>
      <c r="AE8376" s="3"/>
      <c r="AF8376" s="3"/>
      <c r="AG8376" s="3"/>
      <c r="AH8376" s="3"/>
    </row>
    <row r="8377" spans="1:34" ht="14.25" customHeight="1" x14ac:dyDescent="0.25">
      <c r="A8377" s="3"/>
      <c r="B8377" s="3"/>
      <c r="C8377" s="3"/>
      <c r="D8377" s="3"/>
      <c r="E8377" s="3"/>
      <c r="F8377" s="3"/>
      <c r="G8377" s="3"/>
      <c r="H8377" s="11"/>
      <c r="I8377" s="12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  <c r="AA8377" s="3"/>
      <c r="AB8377" s="3"/>
      <c r="AC8377" s="3"/>
      <c r="AD8377" s="3"/>
      <c r="AE8377" s="3"/>
      <c r="AF8377" s="3"/>
      <c r="AG8377" s="3"/>
      <c r="AH8377" s="3"/>
    </row>
    <row r="8378" spans="1:34" ht="14.25" customHeight="1" x14ac:dyDescent="0.25">
      <c r="A8378" s="3"/>
      <c r="B8378" s="3"/>
      <c r="C8378" s="3"/>
      <c r="D8378" s="3"/>
      <c r="E8378" s="3"/>
      <c r="F8378" s="3"/>
      <c r="G8378" s="3"/>
      <c r="H8378" s="11"/>
      <c r="I8378" s="12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  <c r="AA8378" s="3"/>
      <c r="AB8378" s="3"/>
      <c r="AC8378" s="3"/>
      <c r="AD8378" s="3"/>
      <c r="AE8378" s="3"/>
      <c r="AF8378" s="3"/>
      <c r="AG8378" s="3"/>
      <c r="AH8378" s="3"/>
    </row>
    <row r="8379" spans="1:34" ht="14.25" customHeight="1" x14ac:dyDescent="0.25">
      <c r="A8379" s="3"/>
      <c r="B8379" s="3"/>
      <c r="C8379" s="3"/>
      <c r="D8379" s="3"/>
      <c r="E8379" s="3"/>
      <c r="F8379" s="3"/>
      <c r="G8379" s="3"/>
      <c r="H8379" s="11"/>
      <c r="I8379" s="12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  <c r="AA8379" s="3"/>
      <c r="AB8379" s="3"/>
      <c r="AC8379" s="3"/>
      <c r="AD8379" s="3"/>
      <c r="AE8379" s="3"/>
      <c r="AF8379" s="3"/>
      <c r="AG8379" s="3"/>
      <c r="AH8379" s="3"/>
    </row>
    <row r="8380" spans="1:34" ht="14.25" customHeight="1" x14ac:dyDescent="0.25">
      <c r="A8380" s="3"/>
      <c r="B8380" s="3"/>
      <c r="C8380" s="3"/>
      <c r="D8380" s="3"/>
      <c r="E8380" s="3"/>
      <c r="F8380" s="3"/>
      <c r="G8380" s="3"/>
      <c r="H8380" s="11"/>
      <c r="I8380" s="12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  <c r="AA8380" s="3"/>
      <c r="AB8380" s="3"/>
      <c r="AC8380" s="3"/>
      <c r="AD8380" s="3"/>
      <c r="AE8380" s="3"/>
      <c r="AF8380" s="3"/>
      <c r="AG8380" s="3"/>
      <c r="AH8380" s="3"/>
    </row>
    <row r="8381" spans="1:34" ht="14.25" customHeight="1" x14ac:dyDescent="0.25">
      <c r="A8381" s="3"/>
      <c r="B8381" s="3"/>
      <c r="C8381" s="3"/>
      <c r="D8381" s="3"/>
      <c r="E8381" s="3"/>
      <c r="F8381" s="3"/>
      <c r="G8381" s="3"/>
      <c r="H8381" s="11"/>
      <c r="I8381" s="12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  <c r="AA8381" s="3"/>
      <c r="AB8381" s="3"/>
      <c r="AC8381" s="3"/>
      <c r="AD8381" s="3"/>
      <c r="AE8381" s="3"/>
      <c r="AF8381" s="3"/>
      <c r="AG8381" s="3"/>
      <c r="AH8381" s="3"/>
    </row>
    <row r="8382" spans="1:34" ht="14.25" customHeight="1" x14ac:dyDescent="0.25">
      <c r="A8382" s="3"/>
      <c r="B8382" s="3"/>
      <c r="C8382" s="3"/>
      <c r="D8382" s="3"/>
      <c r="E8382" s="3"/>
      <c r="F8382" s="3"/>
      <c r="G8382" s="3"/>
      <c r="H8382" s="11"/>
      <c r="I8382" s="12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  <c r="AA8382" s="3"/>
      <c r="AB8382" s="3"/>
      <c r="AC8382" s="3"/>
      <c r="AD8382" s="3"/>
      <c r="AE8382" s="3"/>
      <c r="AF8382" s="3"/>
      <c r="AG8382" s="3"/>
      <c r="AH8382" s="3"/>
    </row>
    <row r="8383" spans="1:34" ht="14.25" customHeight="1" x14ac:dyDescent="0.25">
      <c r="A8383" s="3"/>
      <c r="B8383" s="3"/>
      <c r="C8383" s="3"/>
      <c r="D8383" s="3"/>
      <c r="E8383" s="3"/>
      <c r="F8383" s="3"/>
      <c r="G8383" s="3"/>
      <c r="H8383" s="11"/>
      <c r="I8383" s="12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  <c r="AA8383" s="3"/>
      <c r="AB8383" s="3"/>
      <c r="AC8383" s="3"/>
      <c r="AD8383" s="3"/>
      <c r="AE8383" s="3"/>
      <c r="AF8383" s="3"/>
      <c r="AG8383" s="3"/>
      <c r="AH8383" s="3"/>
    </row>
    <row r="8384" spans="1:34" ht="14.25" customHeight="1" x14ac:dyDescent="0.25">
      <c r="A8384" s="3"/>
      <c r="B8384" s="3"/>
      <c r="C8384" s="3"/>
      <c r="D8384" s="3"/>
      <c r="E8384" s="3"/>
      <c r="F8384" s="3"/>
      <c r="G8384" s="3"/>
      <c r="H8384" s="11"/>
      <c r="I8384" s="12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  <c r="AA8384" s="3"/>
      <c r="AB8384" s="3"/>
      <c r="AC8384" s="3"/>
      <c r="AD8384" s="3"/>
      <c r="AE8384" s="3"/>
      <c r="AF8384" s="3"/>
      <c r="AG8384" s="3"/>
      <c r="AH8384" s="3"/>
    </row>
    <row r="8385" spans="1:34" ht="14.25" customHeight="1" x14ac:dyDescent="0.25">
      <c r="A8385" s="3"/>
      <c r="B8385" s="3"/>
      <c r="C8385" s="3"/>
      <c r="D8385" s="3"/>
      <c r="E8385" s="3"/>
      <c r="F8385" s="3"/>
      <c r="G8385" s="3"/>
      <c r="H8385" s="11"/>
      <c r="I8385" s="12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  <c r="AA8385" s="3"/>
      <c r="AB8385" s="3"/>
      <c r="AC8385" s="3"/>
      <c r="AD8385" s="3"/>
      <c r="AE8385" s="3"/>
      <c r="AF8385" s="3"/>
      <c r="AG8385" s="3"/>
      <c r="AH8385" s="3"/>
    </row>
    <row r="8386" spans="1:34" ht="14.25" customHeight="1" x14ac:dyDescent="0.25">
      <c r="A8386" s="3"/>
      <c r="B8386" s="3"/>
      <c r="C8386" s="3"/>
      <c r="D8386" s="3"/>
      <c r="E8386" s="3"/>
      <c r="F8386" s="3"/>
      <c r="G8386" s="3"/>
      <c r="H8386" s="11"/>
      <c r="I8386" s="12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  <c r="AA8386" s="3"/>
      <c r="AB8386" s="3"/>
      <c r="AC8386" s="3"/>
      <c r="AD8386" s="3"/>
      <c r="AE8386" s="3"/>
      <c r="AF8386" s="3"/>
      <c r="AG8386" s="3"/>
      <c r="AH8386" s="3"/>
    </row>
    <row r="8387" spans="1:34" ht="14.25" customHeight="1" x14ac:dyDescent="0.25">
      <c r="A8387" s="3"/>
      <c r="B8387" s="3"/>
      <c r="C8387" s="3"/>
      <c r="D8387" s="3"/>
      <c r="E8387" s="3"/>
      <c r="F8387" s="3"/>
      <c r="G8387" s="3"/>
      <c r="H8387" s="11"/>
      <c r="I8387" s="12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  <c r="AA8387" s="3"/>
      <c r="AB8387" s="3"/>
      <c r="AC8387" s="3"/>
      <c r="AD8387" s="3"/>
      <c r="AE8387" s="3"/>
      <c r="AF8387" s="3"/>
      <c r="AG8387" s="3"/>
      <c r="AH8387" s="3"/>
    </row>
    <row r="8388" spans="1:34" ht="14.25" customHeight="1" x14ac:dyDescent="0.25">
      <c r="A8388" s="3"/>
      <c r="B8388" s="3"/>
      <c r="C8388" s="3"/>
      <c r="D8388" s="3"/>
      <c r="E8388" s="3"/>
      <c r="F8388" s="3"/>
      <c r="G8388" s="3"/>
      <c r="H8388" s="11"/>
      <c r="I8388" s="12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  <c r="AA8388" s="3"/>
      <c r="AB8388" s="3"/>
      <c r="AC8388" s="3"/>
      <c r="AD8388" s="3"/>
      <c r="AE8388" s="3"/>
      <c r="AF8388" s="3"/>
      <c r="AG8388" s="3"/>
      <c r="AH8388" s="3"/>
    </row>
    <row r="8389" spans="1:34" ht="14.25" customHeight="1" x14ac:dyDescent="0.25">
      <c r="A8389" s="3"/>
      <c r="B8389" s="3"/>
      <c r="C8389" s="3"/>
      <c r="D8389" s="3"/>
      <c r="E8389" s="3"/>
      <c r="F8389" s="3"/>
      <c r="G8389" s="3"/>
      <c r="H8389" s="11"/>
      <c r="I8389" s="12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  <c r="AA8389" s="3"/>
      <c r="AB8389" s="3"/>
      <c r="AC8389" s="3"/>
      <c r="AD8389" s="3"/>
      <c r="AE8389" s="3"/>
      <c r="AF8389" s="3"/>
      <c r="AG8389" s="3"/>
      <c r="AH8389" s="3"/>
    </row>
    <row r="8390" spans="1:34" ht="14.25" customHeight="1" x14ac:dyDescent="0.25">
      <c r="A8390" s="3"/>
      <c r="B8390" s="3"/>
      <c r="C8390" s="3"/>
      <c r="D8390" s="3"/>
      <c r="E8390" s="3"/>
      <c r="F8390" s="3"/>
      <c r="G8390" s="3"/>
      <c r="H8390" s="11"/>
      <c r="I8390" s="12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  <c r="AA8390" s="3"/>
      <c r="AB8390" s="3"/>
      <c r="AC8390" s="3"/>
      <c r="AD8390" s="3"/>
      <c r="AE8390" s="3"/>
      <c r="AF8390" s="3"/>
      <c r="AG8390" s="3"/>
      <c r="AH8390" s="3"/>
    </row>
    <row r="8391" spans="1:34" ht="14.25" customHeight="1" x14ac:dyDescent="0.25">
      <c r="A8391" s="3"/>
      <c r="B8391" s="3"/>
      <c r="C8391" s="3"/>
      <c r="D8391" s="3"/>
      <c r="E8391" s="3"/>
      <c r="F8391" s="3"/>
      <c r="G8391" s="3"/>
      <c r="H8391" s="11"/>
      <c r="I8391" s="12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  <c r="AA8391" s="3"/>
      <c r="AB8391" s="3"/>
      <c r="AC8391" s="3"/>
      <c r="AD8391" s="3"/>
      <c r="AE8391" s="3"/>
      <c r="AF8391" s="3"/>
      <c r="AG8391" s="3"/>
      <c r="AH8391" s="3"/>
    </row>
    <row r="8392" spans="1:34" ht="14.25" customHeight="1" x14ac:dyDescent="0.25">
      <c r="A8392" s="3"/>
      <c r="B8392" s="3"/>
      <c r="C8392" s="3"/>
      <c r="D8392" s="3"/>
      <c r="E8392" s="3"/>
      <c r="F8392" s="3"/>
      <c r="G8392" s="3"/>
      <c r="H8392" s="11"/>
      <c r="I8392" s="12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  <c r="AA8392" s="3"/>
      <c r="AB8392" s="3"/>
      <c r="AC8392" s="3"/>
      <c r="AD8392" s="3"/>
      <c r="AE8392" s="3"/>
      <c r="AF8392" s="3"/>
      <c r="AG8392" s="3"/>
      <c r="AH8392" s="3"/>
    </row>
    <row r="8393" spans="1:34" ht="14.25" customHeight="1" x14ac:dyDescent="0.25">
      <c r="A8393" s="3"/>
      <c r="B8393" s="3"/>
      <c r="C8393" s="3"/>
      <c r="D8393" s="3"/>
      <c r="E8393" s="3"/>
      <c r="F8393" s="3"/>
      <c r="G8393" s="3"/>
      <c r="H8393" s="11"/>
      <c r="I8393" s="12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  <c r="AA8393" s="3"/>
      <c r="AB8393" s="3"/>
      <c r="AC8393" s="3"/>
      <c r="AD8393" s="3"/>
      <c r="AE8393" s="3"/>
      <c r="AF8393" s="3"/>
      <c r="AG8393" s="3"/>
      <c r="AH8393" s="3"/>
    </row>
    <row r="8394" spans="1:34" ht="14.25" customHeight="1" x14ac:dyDescent="0.25">
      <c r="A8394" s="3"/>
      <c r="B8394" s="3"/>
      <c r="C8394" s="3"/>
      <c r="D8394" s="3"/>
      <c r="E8394" s="3"/>
      <c r="F8394" s="3"/>
      <c r="G8394" s="3"/>
      <c r="H8394" s="11"/>
      <c r="I8394" s="12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  <c r="AA8394" s="3"/>
      <c r="AB8394" s="3"/>
      <c r="AC8394" s="3"/>
      <c r="AD8394" s="3"/>
      <c r="AE8394" s="3"/>
      <c r="AF8394" s="3"/>
      <c r="AG8394" s="3"/>
      <c r="AH8394" s="3"/>
    </row>
    <row r="8395" spans="1:34" ht="14.25" customHeight="1" x14ac:dyDescent="0.25">
      <c r="A8395" s="3"/>
      <c r="B8395" s="3"/>
      <c r="C8395" s="3"/>
      <c r="D8395" s="3"/>
      <c r="E8395" s="3"/>
      <c r="F8395" s="3"/>
      <c r="G8395" s="3"/>
      <c r="H8395" s="11"/>
      <c r="I8395" s="12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  <c r="AA8395" s="3"/>
      <c r="AB8395" s="3"/>
      <c r="AC8395" s="3"/>
      <c r="AD8395" s="3"/>
      <c r="AE8395" s="3"/>
      <c r="AF8395" s="3"/>
      <c r="AG8395" s="3"/>
      <c r="AH8395" s="3"/>
    </row>
    <row r="8396" spans="1:34" ht="14.25" customHeight="1" x14ac:dyDescent="0.25">
      <c r="A8396" s="3"/>
      <c r="B8396" s="3"/>
      <c r="C8396" s="3"/>
      <c r="D8396" s="3"/>
      <c r="E8396" s="3"/>
      <c r="F8396" s="3"/>
      <c r="G8396" s="3"/>
      <c r="H8396" s="11"/>
      <c r="I8396" s="12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  <c r="AA8396" s="3"/>
      <c r="AB8396" s="3"/>
      <c r="AC8396" s="3"/>
      <c r="AD8396" s="3"/>
      <c r="AE8396" s="3"/>
      <c r="AF8396" s="3"/>
      <c r="AG8396" s="3"/>
      <c r="AH8396" s="3"/>
    </row>
    <row r="8397" spans="1:34" ht="14.25" customHeight="1" x14ac:dyDescent="0.25">
      <c r="A8397" s="3"/>
      <c r="B8397" s="3"/>
      <c r="C8397" s="3"/>
      <c r="D8397" s="3"/>
      <c r="E8397" s="3"/>
      <c r="F8397" s="3"/>
      <c r="G8397" s="3"/>
      <c r="H8397" s="11"/>
      <c r="I8397" s="12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  <c r="AA8397" s="3"/>
      <c r="AB8397" s="3"/>
      <c r="AC8397" s="3"/>
      <c r="AD8397" s="3"/>
      <c r="AE8397" s="3"/>
      <c r="AF8397" s="3"/>
      <c r="AG8397" s="3"/>
      <c r="AH8397" s="3"/>
    </row>
    <row r="8398" spans="1:34" ht="14.25" customHeight="1" x14ac:dyDescent="0.25">
      <c r="A8398" s="3"/>
      <c r="B8398" s="3"/>
      <c r="C8398" s="3"/>
      <c r="D8398" s="3"/>
      <c r="E8398" s="3"/>
      <c r="F8398" s="3"/>
      <c r="G8398" s="3"/>
      <c r="H8398" s="11"/>
      <c r="I8398" s="12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  <c r="AA8398" s="3"/>
      <c r="AB8398" s="3"/>
      <c r="AC8398" s="3"/>
      <c r="AD8398" s="3"/>
      <c r="AE8398" s="3"/>
      <c r="AF8398" s="3"/>
      <c r="AG8398" s="3"/>
      <c r="AH8398" s="3"/>
    </row>
    <row r="8399" spans="1:34" ht="14.25" customHeight="1" x14ac:dyDescent="0.25">
      <c r="A8399" s="3"/>
      <c r="B8399" s="3"/>
      <c r="C8399" s="3"/>
      <c r="D8399" s="3"/>
      <c r="E8399" s="3"/>
      <c r="F8399" s="3"/>
      <c r="G8399" s="3"/>
      <c r="H8399" s="11"/>
      <c r="I8399" s="12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  <c r="AA8399" s="3"/>
      <c r="AB8399" s="3"/>
      <c r="AC8399" s="3"/>
      <c r="AD8399" s="3"/>
      <c r="AE8399" s="3"/>
      <c r="AF8399" s="3"/>
      <c r="AG8399" s="3"/>
      <c r="AH8399" s="3"/>
    </row>
    <row r="8400" spans="1:34" ht="14.25" customHeight="1" x14ac:dyDescent="0.25">
      <c r="A8400" s="3"/>
      <c r="B8400" s="3"/>
      <c r="C8400" s="3"/>
      <c r="D8400" s="3"/>
      <c r="E8400" s="3"/>
      <c r="F8400" s="3"/>
      <c r="G8400" s="3"/>
      <c r="H8400" s="11"/>
      <c r="I8400" s="12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  <c r="AA8400" s="3"/>
      <c r="AB8400" s="3"/>
      <c r="AC8400" s="3"/>
      <c r="AD8400" s="3"/>
      <c r="AE8400" s="3"/>
      <c r="AF8400" s="3"/>
      <c r="AG8400" s="3"/>
      <c r="AH8400" s="3"/>
    </row>
    <row r="8401" spans="1:34" ht="14.25" customHeight="1" x14ac:dyDescent="0.25">
      <c r="A8401" s="3"/>
      <c r="B8401" s="3"/>
      <c r="C8401" s="3"/>
      <c r="D8401" s="3"/>
      <c r="E8401" s="3"/>
      <c r="F8401" s="3"/>
      <c r="G8401" s="3"/>
      <c r="H8401" s="11"/>
      <c r="I8401" s="12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  <c r="AA8401" s="3"/>
      <c r="AB8401" s="3"/>
      <c r="AC8401" s="3"/>
      <c r="AD8401" s="3"/>
      <c r="AE8401" s="3"/>
      <c r="AF8401" s="3"/>
      <c r="AG8401" s="3"/>
      <c r="AH8401" s="3"/>
    </row>
    <row r="8402" spans="1:34" ht="14.25" customHeight="1" x14ac:dyDescent="0.25">
      <c r="A8402" s="3"/>
      <c r="B8402" s="3"/>
      <c r="C8402" s="3"/>
      <c r="D8402" s="3"/>
      <c r="E8402" s="3"/>
      <c r="F8402" s="3"/>
      <c r="G8402" s="3"/>
      <c r="H8402" s="11"/>
      <c r="I8402" s="12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  <c r="AA8402" s="3"/>
      <c r="AB8402" s="3"/>
      <c r="AC8402" s="3"/>
      <c r="AD8402" s="3"/>
      <c r="AE8402" s="3"/>
      <c r="AF8402" s="3"/>
      <c r="AG8402" s="3"/>
      <c r="AH8402" s="3"/>
    </row>
    <row r="8403" spans="1:34" ht="14.25" customHeight="1" x14ac:dyDescent="0.25">
      <c r="A8403" s="3"/>
      <c r="B8403" s="3"/>
      <c r="C8403" s="3"/>
      <c r="D8403" s="3"/>
      <c r="E8403" s="3"/>
      <c r="F8403" s="3"/>
      <c r="G8403" s="3"/>
      <c r="H8403" s="11"/>
      <c r="I8403" s="12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  <c r="AA8403" s="3"/>
      <c r="AB8403" s="3"/>
      <c r="AC8403" s="3"/>
      <c r="AD8403" s="3"/>
      <c r="AE8403" s="3"/>
      <c r="AF8403" s="3"/>
      <c r="AG8403" s="3"/>
      <c r="AH8403" s="3"/>
    </row>
    <row r="8404" spans="1:34" ht="14.25" customHeight="1" x14ac:dyDescent="0.25">
      <c r="A8404" s="3"/>
      <c r="B8404" s="3"/>
      <c r="C8404" s="3"/>
      <c r="D8404" s="3"/>
      <c r="E8404" s="3"/>
      <c r="F8404" s="3"/>
      <c r="G8404" s="3"/>
      <c r="H8404" s="11"/>
      <c r="I8404" s="12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  <c r="AA8404" s="3"/>
      <c r="AB8404" s="3"/>
      <c r="AC8404" s="3"/>
      <c r="AD8404" s="3"/>
      <c r="AE8404" s="3"/>
      <c r="AF8404" s="3"/>
      <c r="AG8404" s="3"/>
      <c r="AH8404" s="3"/>
    </row>
    <row r="8405" spans="1:34" ht="14.25" customHeight="1" x14ac:dyDescent="0.25">
      <c r="A8405" s="3"/>
      <c r="B8405" s="3"/>
      <c r="C8405" s="3"/>
      <c r="D8405" s="3"/>
      <c r="E8405" s="3"/>
      <c r="F8405" s="3"/>
      <c r="G8405" s="3"/>
      <c r="H8405" s="11"/>
      <c r="I8405" s="12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  <c r="AA8405" s="3"/>
      <c r="AB8405" s="3"/>
      <c r="AC8405" s="3"/>
      <c r="AD8405" s="3"/>
      <c r="AE8405" s="3"/>
      <c r="AF8405" s="3"/>
      <c r="AG8405" s="3"/>
      <c r="AH8405" s="3"/>
    </row>
    <row r="8406" spans="1:34" ht="14.25" customHeight="1" x14ac:dyDescent="0.25">
      <c r="A8406" s="3"/>
      <c r="B8406" s="3"/>
      <c r="C8406" s="3"/>
      <c r="D8406" s="3"/>
      <c r="E8406" s="3"/>
      <c r="F8406" s="3"/>
      <c r="G8406" s="3"/>
      <c r="H8406" s="11"/>
      <c r="I8406" s="12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  <c r="AA8406" s="3"/>
      <c r="AB8406" s="3"/>
      <c r="AC8406" s="3"/>
      <c r="AD8406" s="3"/>
      <c r="AE8406" s="3"/>
      <c r="AF8406" s="3"/>
      <c r="AG8406" s="3"/>
      <c r="AH8406" s="3"/>
    </row>
    <row r="8407" spans="1:34" ht="14.25" customHeight="1" x14ac:dyDescent="0.25">
      <c r="A8407" s="3"/>
      <c r="B8407" s="3"/>
      <c r="C8407" s="3"/>
      <c r="D8407" s="3"/>
      <c r="E8407" s="3"/>
      <c r="F8407" s="3"/>
      <c r="G8407" s="3"/>
      <c r="H8407" s="11"/>
      <c r="I8407" s="12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  <c r="AA8407" s="3"/>
      <c r="AB8407" s="3"/>
      <c r="AC8407" s="3"/>
      <c r="AD8407" s="3"/>
      <c r="AE8407" s="3"/>
      <c r="AF8407" s="3"/>
      <c r="AG8407" s="3"/>
      <c r="AH8407" s="3"/>
    </row>
    <row r="8408" spans="1:34" ht="14.25" customHeight="1" x14ac:dyDescent="0.25">
      <c r="A8408" s="3"/>
      <c r="B8408" s="3"/>
      <c r="C8408" s="3"/>
      <c r="D8408" s="3"/>
      <c r="E8408" s="3"/>
      <c r="F8408" s="3"/>
      <c r="G8408" s="3"/>
      <c r="H8408" s="11"/>
      <c r="I8408" s="12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  <c r="AA8408" s="3"/>
      <c r="AB8408" s="3"/>
      <c r="AC8408" s="3"/>
      <c r="AD8408" s="3"/>
      <c r="AE8408" s="3"/>
      <c r="AF8408" s="3"/>
      <c r="AG8408" s="3"/>
      <c r="AH8408" s="3"/>
    </row>
    <row r="8409" spans="1:34" ht="14.25" customHeight="1" x14ac:dyDescent="0.25">
      <c r="A8409" s="3"/>
      <c r="B8409" s="3"/>
      <c r="C8409" s="3"/>
      <c r="D8409" s="3"/>
      <c r="E8409" s="3"/>
      <c r="F8409" s="3"/>
      <c r="G8409" s="3"/>
      <c r="H8409" s="11"/>
      <c r="I8409" s="12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  <c r="AA8409" s="3"/>
      <c r="AB8409" s="3"/>
      <c r="AC8409" s="3"/>
      <c r="AD8409" s="3"/>
      <c r="AE8409" s="3"/>
      <c r="AF8409" s="3"/>
      <c r="AG8409" s="3"/>
      <c r="AH8409" s="3"/>
    </row>
    <row r="8410" spans="1:34" ht="14.25" customHeight="1" x14ac:dyDescent="0.25">
      <c r="A8410" s="3"/>
      <c r="B8410" s="3"/>
      <c r="C8410" s="3"/>
      <c r="D8410" s="3"/>
      <c r="E8410" s="3"/>
      <c r="F8410" s="3"/>
      <c r="G8410" s="3"/>
      <c r="H8410" s="11"/>
      <c r="I8410" s="12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  <c r="AA8410" s="3"/>
      <c r="AB8410" s="3"/>
      <c r="AC8410" s="3"/>
      <c r="AD8410" s="3"/>
      <c r="AE8410" s="3"/>
      <c r="AF8410" s="3"/>
      <c r="AG8410" s="3"/>
      <c r="AH8410" s="3"/>
    </row>
    <row r="8411" spans="1:34" ht="14.25" customHeight="1" x14ac:dyDescent="0.25">
      <c r="A8411" s="3"/>
      <c r="B8411" s="3"/>
      <c r="C8411" s="3"/>
      <c r="D8411" s="3"/>
      <c r="E8411" s="3"/>
      <c r="F8411" s="3"/>
      <c r="G8411" s="3"/>
      <c r="H8411" s="11"/>
      <c r="I8411" s="12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  <c r="AA8411" s="3"/>
      <c r="AB8411" s="3"/>
      <c r="AC8411" s="3"/>
      <c r="AD8411" s="3"/>
      <c r="AE8411" s="3"/>
      <c r="AF8411" s="3"/>
      <c r="AG8411" s="3"/>
      <c r="AH8411" s="3"/>
    </row>
    <row r="8412" spans="1:34" ht="14.25" customHeight="1" x14ac:dyDescent="0.25">
      <c r="A8412" s="3"/>
      <c r="B8412" s="3"/>
      <c r="C8412" s="3"/>
      <c r="D8412" s="3"/>
      <c r="E8412" s="3"/>
      <c r="F8412" s="3"/>
      <c r="G8412" s="3"/>
      <c r="H8412" s="11"/>
      <c r="I8412" s="12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  <c r="AA8412" s="3"/>
      <c r="AB8412" s="3"/>
      <c r="AC8412" s="3"/>
      <c r="AD8412" s="3"/>
      <c r="AE8412" s="3"/>
      <c r="AF8412" s="3"/>
      <c r="AG8412" s="3"/>
      <c r="AH8412" s="3"/>
    </row>
    <row r="8413" spans="1:34" ht="14.25" customHeight="1" x14ac:dyDescent="0.25">
      <c r="A8413" s="3"/>
      <c r="B8413" s="3"/>
      <c r="C8413" s="3"/>
      <c r="D8413" s="3"/>
      <c r="E8413" s="3"/>
      <c r="F8413" s="3"/>
      <c r="G8413" s="3"/>
      <c r="H8413" s="11"/>
      <c r="I8413" s="12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  <c r="AA8413" s="3"/>
      <c r="AB8413" s="3"/>
      <c r="AC8413" s="3"/>
      <c r="AD8413" s="3"/>
      <c r="AE8413" s="3"/>
      <c r="AF8413" s="3"/>
      <c r="AG8413" s="3"/>
      <c r="AH8413" s="3"/>
    </row>
    <row r="8414" spans="1:34" ht="14.25" customHeight="1" x14ac:dyDescent="0.25">
      <c r="A8414" s="3"/>
      <c r="B8414" s="3"/>
      <c r="C8414" s="3"/>
      <c r="D8414" s="3"/>
      <c r="E8414" s="3"/>
      <c r="F8414" s="3"/>
      <c r="G8414" s="3"/>
      <c r="H8414" s="11"/>
      <c r="I8414" s="12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  <c r="AA8414" s="3"/>
      <c r="AB8414" s="3"/>
      <c r="AC8414" s="3"/>
      <c r="AD8414" s="3"/>
      <c r="AE8414" s="3"/>
      <c r="AF8414" s="3"/>
      <c r="AG8414" s="3"/>
      <c r="AH8414" s="3"/>
    </row>
    <row r="8415" spans="1:34" ht="14.25" customHeight="1" x14ac:dyDescent="0.25">
      <c r="A8415" s="3"/>
      <c r="B8415" s="3"/>
      <c r="C8415" s="3"/>
      <c r="D8415" s="3"/>
      <c r="E8415" s="3"/>
      <c r="F8415" s="3"/>
      <c r="G8415" s="3"/>
      <c r="H8415" s="11"/>
      <c r="I8415" s="12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  <c r="AA8415" s="3"/>
      <c r="AB8415" s="3"/>
      <c r="AC8415" s="3"/>
      <c r="AD8415" s="3"/>
      <c r="AE8415" s="3"/>
      <c r="AF8415" s="3"/>
      <c r="AG8415" s="3"/>
      <c r="AH8415" s="3"/>
    </row>
    <row r="8416" spans="1:34" ht="14.25" customHeight="1" x14ac:dyDescent="0.25">
      <c r="A8416" s="3"/>
      <c r="B8416" s="3"/>
      <c r="C8416" s="3"/>
      <c r="D8416" s="3"/>
      <c r="E8416" s="3"/>
      <c r="F8416" s="3"/>
      <c r="G8416" s="3"/>
      <c r="H8416" s="11"/>
      <c r="I8416" s="12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  <c r="AA8416" s="3"/>
      <c r="AB8416" s="3"/>
      <c r="AC8416" s="3"/>
      <c r="AD8416" s="3"/>
      <c r="AE8416" s="3"/>
      <c r="AF8416" s="3"/>
      <c r="AG8416" s="3"/>
      <c r="AH8416" s="3"/>
    </row>
    <row r="8417" spans="1:34" ht="14.25" customHeight="1" x14ac:dyDescent="0.25">
      <c r="A8417" s="3"/>
      <c r="B8417" s="3"/>
      <c r="C8417" s="3"/>
      <c r="D8417" s="3"/>
      <c r="E8417" s="3"/>
      <c r="F8417" s="3"/>
      <c r="G8417" s="3"/>
      <c r="H8417" s="11"/>
      <c r="I8417" s="12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  <c r="AA8417" s="3"/>
      <c r="AB8417" s="3"/>
      <c r="AC8417" s="3"/>
      <c r="AD8417" s="3"/>
      <c r="AE8417" s="3"/>
      <c r="AF8417" s="3"/>
      <c r="AG8417" s="3"/>
      <c r="AH8417" s="3"/>
    </row>
    <row r="8418" spans="1:34" ht="14.25" customHeight="1" x14ac:dyDescent="0.25">
      <c r="A8418" s="3"/>
      <c r="B8418" s="3"/>
      <c r="C8418" s="3"/>
      <c r="D8418" s="3"/>
      <c r="E8418" s="3"/>
      <c r="F8418" s="3"/>
      <c r="G8418" s="3"/>
      <c r="H8418" s="11"/>
      <c r="I8418" s="12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  <c r="AA8418" s="3"/>
      <c r="AB8418" s="3"/>
      <c r="AC8418" s="3"/>
      <c r="AD8418" s="3"/>
      <c r="AE8418" s="3"/>
      <c r="AF8418" s="3"/>
      <c r="AG8418" s="3"/>
      <c r="AH8418" s="3"/>
    </row>
    <row r="8419" spans="1:34" ht="14.25" customHeight="1" x14ac:dyDescent="0.25">
      <c r="A8419" s="3"/>
      <c r="B8419" s="3"/>
      <c r="C8419" s="3"/>
      <c r="D8419" s="3"/>
      <c r="E8419" s="3"/>
      <c r="F8419" s="3"/>
      <c r="G8419" s="3"/>
      <c r="H8419" s="11"/>
      <c r="I8419" s="12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  <c r="AA8419" s="3"/>
      <c r="AB8419" s="3"/>
      <c r="AC8419" s="3"/>
      <c r="AD8419" s="3"/>
      <c r="AE8419" s="3"/>
      <c r="AF8419" s="3"/>
      <c r="AG8419" s="3"/>
      <c r="AH8419" s="3"/>
    </row>
    <row r="8420" spans="1:34" ht="14.25" customHeight="1" x14ac:dyDescent="0.25">
      <c r="A8420" s="3"/>
      <c r="B8420" s="3"/>
      <c r="C8420" s="3"/>
      <c r="D8420" s="3"/>
      <c r="E8420" s="3"/>
      <c r="F8420" s="3"/>
      <c r="G8420" s="3"/>
      <c r="H8420" s="11"/>
      <c r="I8420" s="12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  <c r="AA8420" s="3"/>
      <c r="AB8420" s="3"/>
      <c r="AC8420" s="3"/>
      <c r="AD8420" s="3"/>
      <c r="AE8420" s="3"/>
      <c r="AF8420" s="3"/>
      <c r="AG8420" s="3"/>
      <c r="AH8420" s="3"/>
    </row>
    <row r="8421" spans="1:34" ht="14.25" customHeight="1" x14ac:dyDescent="0.25">
      <c r="A8421" s="3"/>
      <c r="B8421" s="3"/>
      <c r="C8421" s="3"/>
      <c r="D8421" s="3"/>
      <c r="E8421" s="3"/>
      <c r="F8421" s="3"/>
      <c r="G8421" s="3"/>
      <c r="H8421" s="11"/>
      <c r="I8421" s="12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  <c r="AA8421" s="3"/>
      <c r="AB8421" s="3"/>
      <c r="AC8421" s="3"/>
      <c r="AD8421" s="3"/>
      <c r="AE8421" s="3"/>
      <c r="AF8421" s="3"/>
      <c r="AG8421" s="3"/>
      <c r="AH8421" s="3"/>
    </row>
    <row r="8422" spans="1:34" ht="14.25" customHeight="1" x14ac:dyDescent="0.25">
      <c r="A8422" s="3"/>
      <c r="B8422" s="3"/>
      <c r="C8422" s="3"/>
      <c r="D8422" s="3"/>
      <c r="E8422" s="3"/>
      <c r="F8422" s="3"/>
      <c r="G8422" s="3"/>
      <c r="H8422" s="11"/>
      <c r="I8422" s="12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  <c r="AA8422" s="3"/>
      <c r="AB8422" s="3"/>
      <c r="AC8422" s="3"/>
      <c r="AD8422" s="3"/>
      <c r="AE8422" s="3"/>
      <c r="AF8422" s="3"/>
      <c r="AG8422" s="3"/>
      <c r="AH8422" s="3"/>
    </row>
    <row r="8423" spans="1:34" ht="14.25" customHeight="1" x14ac:dyDescent="0.25">
      <c r="A8423" s="3"/>
      <c r="B8423" s="3"/>
      <c r="C8423" s="3"/>
      <c r="D8423" s="3"/>
      <c r="E8423" s="3"/>
      <c r="F8423" s="3"/>
      <c r="G8423" s="3"/>
      <c r="H8423" s="11"/>
      <c r="I8423" s="12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  <c r="AA8423" s="3"/>
      <c r="AB8423" s="3"/>
      <c r="AC8423" s="3"/>
      <c r="AD8423" s="3"/>
      <c r="AE8423" s="3"/>
      <c r="AF8423" s="3"/>
      <c r="AG8423" s="3"/>
      <c r="AH8423" s="3"/>
    </row>
    <row r="8424" spans="1:34" ht="14.25" customHeight="1" x14ac:dyDescent="0.25">
      <c r="A8424" s="3"/>
      <c r="B8424" s="3"/>
      <c r="C8424" s="3"/>
      <c r="D8424" s="3"/>
      <c r="E8424" s="3"/>
      <c r="F8424" s="3"/>
      <c r="G8424" s="3"/>
      <c r="H8424" s="11"/>
      <c r="I8424" s="12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  <c r="AA8424" s="3"/>
      <c r="AB8424" s="3"/>
      <c r="AC8424" s="3"/>
      <c r="AD8424" s="3"/>
      <c r="AE8424" s="3"/>
      <c r="AF8424" s="3"/>
      <c r="AG8424" s="3"/>
      <c r="AH8424" s="3"/>
    </row>
    <row r="8425" spans="1:34" ht="14.25" customHeight="1" x14ac:dyDescent="0.25">
      <c r="A8425" s="3"/>
      <c r="B8425" s="3"/>
      <c r="C8425" s="3"/>
      <c r="D8425" s="3"/>
      <c r="E8425" s="3"/>
      <c r="F8425" s="3"/>
      <c r="G8425" s="3"/>
      <c r="H8425" s="11"/>
      <c r="I8425" s="12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  <c r="AA8425" s="3"/>
      <c r="AB8425" s="3"/>
      <c r="AC8425" s="3"/>
      <c r="AD8425" s="3"/>
      <c r="AE8425" s="3"/>
      <c r="AF8425" s="3"/>
      <c r="AG8425" s="3"/>
      <c r="AH8425" s="3"/>
    </row>
    <row r="8426" spans="1:34" ht="14.25" customHeight="1" x14ac:dyDescent="0.25">
      <c r="A8426" s="3"/>
      <c r="B8426" s="3"/>
      <c r="C8426" s="3"/>
      <c r="D8426" s="3"/>
      <c r="E8426" s="3"/>
      <c r="F8426" s="3"/>
      <c r="G8426" s="3"/>
      <c r="H8426" s="11"/>
      <c r="I8426" s="12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  <c r="AA8426" s="3"/>
      <c r="AB8426" s="3"/>
      <c r="AC8426" s="3"/>
      <c r="AD8426" s="3"/>
      <c r="AE8426" s="3"/>
      <c r="AF8426" s="3"/>
      <c r="AG8426" s="3"/>
      <c r="AH8426" s="3"/>
    </row>
    <row r="8427" spans="1:34" ht="14.25" customHeight="1" x14ac:dyDescent="0.25">
      <c r="A8427" s="3"/>
      <c r="B8427" s="3"/>
      <c r="C8427" s="3"/>
      <c r="D8427" s="3"/>
      <c r="E8427" s="3"/>
      <c r="F8427" s="3"/>
      <c r="G8427" s="3"/>
      <c r="H8427" s="11"/>
      <c r="I8427" s="12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  <c r="AA8427" s="3"/>
      <c r="AB8427" s="3"/>
      <c r="AC8427" s="3"/>
      <c r="AD8427" s="3"/>
      <c r="AE8427" s="3"/>
      <c r="AF8427" s="3"/>
      <c r="AG8427" s="3"/>
      <c r="AH8427" s="3"/>
    </row>
    <row r="8428" spans="1:34" ht="14.25" customHeight="1" x14ac:dyDescent="0.25">
      <c r="A8428" s="3"/>
      <c r="B8428" s="3"/>
      <c r="C8428" s="3"/>
      <c r="D8428" s="3"/>
      <c r="E8428" s="3"/>
      <c r="F8428" s="3"/>
      <c r="G8428" s="3"/>
      <c r="H8428" s="11"/>
      <c r="I8428" s="12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  <c r="AA8428" s="3"/>
      <c r="AB8428" s="3"/>
      <c r="AC8428" s="3"/>
      <c r="AD8428" s="3"/>
      <c r="AE8428" s="3"/>
      <c r="AF8428" s="3"/>
      <c r="AG8428" s="3"/>
      <c r="AH8428" s="3"/>
    </row>
    <row r="8429" spans="1:34" ht="14.25" customHeight="1" x14ac:dyDescent="0.25">
      <c r="A8429" s="3"/>
      <c r="B8429" s="3"/>
      <c r="C8429" s="3"/>
      <c r="D8429" s="3"/>
      <c r="E8429" s="3"/>
      <c r="F8429" s="3"/>
      <c r="G8429" s="3"/>
      <c r="H8429" s="11"/>
      <c r="I8429" s="12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  <c r="AA8429" s="3"/>
      <c r="AB8429" s="3"/>
      <c r="AC8429" s="3"/>
      <c r="AD8429" s="3"/>
      <c r="AE8429" s="3"/>
      <c r="AF8429" s="3"/>
      <c r="AG8429" s="3"/>
      <c r="AH8429" s="3"/>
    </row>
    <row r="8430" spans="1:34" ht="14.25" customHeight="1" x14ac:dyDescent="0.25">
      <c r="A8430" s="3"/>
      <c r="B8430" s="3"/>
      <c r="C8430" s="3"/>
      <c r="D8430" s="3"/>
      <c r="E8430" s="3"/>
      <c r="F8430" s="3"/>
      <c r="G8430" s="3"/>
      <c r="H8430" s="11"/>
      <c r="I8430" s="12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  <c r="AA8430" s="3"/>
      <c r="AB8430" s="3"/>
      <c r="AC8430" s="3"/>
      <c r="AD8430" s="3"/>
      <c r="AE8430" s="3"/>
      <c r="AF8430" s="3"/>
      <c r="AG8430" s="3"/>
      <c r="AH8430" s="3"/>
    </row>
    <row r="8431" spans="1:34" ht="14.25" customHeight="1" x14ac:dyDescent="0.25">
      <c r="A8431" s="3"/>
      <c r="B8431" s="3"/>
      <c r="C8431" s="3"/>
      <c r="D8431" s="3"/>
      <c r="E8431" s="3"/>
      <c r="F8431" s="3"/>
      <c r="G8431" s="3"/>
      <c r="H8431" s="11"/>
      <c r="I8431" s="12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  <c r="AA8431" s="3"/>
      <c r="AB8431" s="3"/>
      <c r="AC8431" s="3"/>
      <c r="AD8431" s="3"/>
      <c r="AE8431" s="3"/>
      <c r="AF8431" s="3"/>
      <c r="AG8431" s="3"/>
      <c r="AH8431" s="3"/>
    </row>
    <row r="8432" spans="1:34" ht="14.25" customHeight="1" x14ac:dyDescent="0.25">
      <c r="A8432" s="3"/>
      <c r="B8432" s="3"/>
      <c r="C8432" s="3"/>
      <c r="D8432" s="3"/>
      <c r="E8432" s="3"/>
      <c r="F8432" s="3"/>
      <c r="G8432" s="3"/>
      <c r="H8432" s="11"/>
      <c r="I8432" s="12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  <c r="AA8432" s="3"/>
      <c r="AB8432" s="3"/>
      <c r="AC8432" s="3"/>
      <c r="AD8432" s="3"/>
      <c r="AE8432" s="3"/>
      <c r="AF8432" s="3"/>
      <c r="AG8432" s="3"/>
      <c r="AH8432" s="3"/>
    </row>
    <row r="8433" spans="1:34" ht="14.25" customHeight="1" x14ac:dyDescent="0.25">
      <c r="A8433" s="3"/>
      <c r="B8433" s="3"/>
      <c r="C8433" s="3"/>
      <c r="D8433" s="3"/>
      <c r="E8433" s="3"/>
      <c r="F8433" s="3"/>
      <c r="G8433" s="3"/>
      <c r="H8433" s="11"/>
      <c r="I8433" s="12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  <c r="AA8433" s="3"/>
      <c r="AB8433" s="3"/>
      <c r="AC8433" s="3"/>
      <c r="AD8433" s="3"/>
      <c r="AE8433" s="3"/>
      <c r="AF8433" s="3"/>
      <c r="AG8433" s="3"/>
      <c r="AH8433" s="3"/>
    </row>
    <row r="8434" spans="1:34" ht="14.25" customHeight="1" x14ac:dyDescent="0.25">
      <c r="A8434" s="3"/>
      <c r="B8434" s="3"/>
      <c r="C8434" s="3"/>
      <c r="D8434" s="3"/>
      <c r="E8434" s="3"/>
      <c r="F8434" s="3"/>
      <c r="G8434" s="3"/>
      <c r="H8434" s="11"/>
      <c r="I8434" s="12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  <c r="AA8434" s="3"/>
      <c r="AB8434" s="3"/>
      <c r="AC8434" s="3"/>
      <c r="AD8434" s="3"/>
      <c r="AE8434" s="3"/>
      <c r="AF8434" s="3"/>
      <c r="AG8434" s="3"/>
      <c r="AH8434" s="3"/>
    </row>
    <row r="8435" spans="1:34" ht="14.25" customHeight="1" x14ac:dyDescent="0.25">
      <c r="A8435" s="3"/>
      <c r="B8435" s="3"/>
      <c r="C8435" s="3"/>
      <c r="D8435" s="3"/>
      <c r="E8435" s="3"/>
      <c r="F8435" s="3"/>
      <c r="G8435" s="3"/>
      <c r="H8435" s="11"/>
      <c r="I8435" s="12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  <c r="AA8435" s="3"/>
      <c r="AB8435" s="3"/>
      <c r="AC8435" s="3"/>
      <c r="AD8435" s="3"/>
      <c r="AE8435" s="3"/>
      <c r="AF8435" s="3"/>
      <c r="AG8435" s="3"/>
      <c r="AH8435" s="3"/>
    </row>
    <row r="8436" spans="1:34" ht="14.25" customHeight="1" x14ac:dyDescent="0.25">
      <c r="A8436" s="3"/>
      <c r="B8436" s="3"/>
      <c r="C8436" s="3"/>
      <c r="D8436" s="3"/>
      <c r="E8436" s="3"/>
      <c r="F8436" s="3"/>
      <c r="G8436" s="3"/>
      <c r="H8436" s="11"/>
      <c r="I8436" s="12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  <c r="AA8436" s="3"/>
      <c r="AB8436" s="3"/>
      <c r="AC8436" s="3"/>
      <c r="AD8436" s="3"/>
      <c r="AE8436" s="3"/>
      <c r="AF8436" s="3"/>
      <c r="AG8436" s="3"/>
      <c r="AH8436" s="3"/>
    </row>
    <row r="8437" spans="1:34" ht="14.25" customHeight="1" x14ac:dyDescent="0.25">
      <c r="A8437" s="3"/>
      <c r="B8437" s="3"/>
      <c r="C8437" s="3"/>
      <c r="D8437" s="3"/>
      <c r="E8437" s="3"/>
      <c r="F8437" s="3"/>
      <c r="G8437" s="3"/>
      <c r="H8437" s="11"/>
      <c r="I8437" s="12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  <c r="AA8437" s="3"/>
      <c r="AB8437" s="3"/>
      <c r="AC8437" s="3"/>
      <c r="AD8437" s="3"/>
      <c r="AE8437" s="3"/>
      <c r="AF8437" s="3"/>
      <c r="AG8437" s="3"/>
      <c r="AH8437" s="3"/>
    </row>
    <row r="8438" spans="1:34" ht="14.25" customHeight="1" x14ac:dyDescent="0.25">
      <c r="A8438" s="3"/>
      <c r="B8438" s="3"/>
      <c r="C8438" s="3"/>
      <c r="D8438" s="3"/>
      <c r="E8438" s="3"/>
      <c r="F8438" s="3"/>
      <c r="G8438" s="3"/>
      <c r="H8438" s="11"/>
      <c r="I8438" s="12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  <c r="AA8438" s="3"/>
      <c r="AB8438" s="3"/>
      <c r="AC8438" s="3"/>
      <c r="AD8438" s="3"/>
      <c r="AE8438" s="3"/>
      <c r="AF8438" s="3"/>
      <c r="AG8438" s="3"/>
      <c r="AH8438" s="3"/>
    </row>
    <row r="8439" spans="1:34" ht="14.25" customHeight="1" x14ac:dyDescent="0.25">
      <c r="A8439" s="3"/>
      <c r="B8439" s="3"/>
      <c r="C8439" s="3"/>
      <c r="D8439" s="3"/>
      <c r="E8439" s="3"/>
      <c r="F8439" s="3"/>
      <c r="G8439" s="3"/>
      <c r="H8439" s="11"/>
      <c r="I8439" s="12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  <c r="AA8439" s="3"/>
      <c r="AB8439" s="3"/>
      <c r="AC8439" s="3"/>
      <c r="AD8439" s="3"/>
      <c r="AE8439" s="3"/>
      <c r="AF8439" s="3"/>
      <c r="AG8439" s="3"/>
      <c r="AH8439" s="3"/>
    </row>
    <row r="8440" spans="1:34" ht="14.25" customHeight="1" x14ac:dyDescent="0.25">
      <c r="A8440" s="3"/>
      <c r="B8440" s="3"/>
      <c r="C8440" s="3"/>
      <c r="D8440" s="3"/>
      <c r="E8440" s="3"/>
      <c r="F8440" s="3"/>
      <c r="G8440" s="3"/>
      <c r="H8440" s="11"/>
      <c r="I8440" s="12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  <c r="AA8440" s="3"/>
      <c r="AB8440" s="3"/>
      <c r="AC8440" s="3"/>
      <c r="AD8440" s="3"/>
      <c r="AE8440" s="3"/>
      <c r="AF8440" s="3"/>
      <c r="AG8440" s="3"/>
      <c r="AH8440" s="3"/>
    </row>
    <row r="8441" spans="1:34" ht="14.25" customHeight="1" x14ac:dyDescent="0.25">
      <c r="A8441" s="3"/>
      <c r="B8441" s="3"/>
      <c r="C8441" s="3"/>
      <c r="D8441" s="3"/>
      <c r="E8441" s="3"/>
      <c r="F8441" s="3"/>
      <c r="G8441" s="3"/>
      <c r="H8441" s="11"/>
      <c r="I8441" s="12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  <c r="AA8441" s="3"/>
      <c r="AB8441" s="3"/>
      <c r="AC8441" s="3"/>
      <c r="AD8441" s="3"/>
      <c r="AE8441" s="3"/>
      <c r="AF8441" s="3"/>
      <c r="AG8441" s="3"/>
      <c r="AH8441" s="3"/>
    </row>
    <row r="8442" spans="1:34" ht="14.25" customHeight="1" x14ac:dyDescent="0.25">
      <c r="A8442" s="3"/>
      <c r="B8442" s="3"/>
      <c r="C8442" s="3"/>
      <c r="D8442" s="3"/>
      <c r="E8442" s="3"/>
      <c r="F8442" s="3"/>
      <c r="G8442" s="3"/>
      <c r="H8442" s="11"/>
      <c r="I8442" s="12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  <c r="AA8442" s="3"/>
      <c r="AB8442" s="3"/>
      <c r="AC8442" s="3"/>
      <c r="AD8442" s="3"/>
      <c r="AE8442" s="3"/>
      <c r="AF8442" s="3"/>
      <c r="AG8442" s="3"/>
      <c r="AH8442" s="3"/>
    </row>
    <row r="8443" spans="1:34" ht="14.25" customHeight="1" x14ac:dyDescent="0.25">
      <c r="A8443" s="3"/>
      <c r="B8443" s="3"/>
      <c r="C8443" s="3"/>
      <c r="D8443" s="3"/>
      <c r="E8443" s="3"/>
      <c r="F8443" s="3"/>
      <c r="G8443" s="3"/>
      <c r="H8443" s="11"/>
      <c r="I8443" s="12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  <c r="AA8443" s="3"/>
      <c r="AB8443" s="3"/>
      <c r="AC8443" s="3"/>
      <c r="AD8443" s="3"/>
      <c r="AE8443" s="3"/>
      <c r="AF8443" s="3"/>
      <c r="AG8443" s="3"/>
      <c r="AH8443" s="3"/>
    </row>
    <row r="8444" spans="1:34" ht="14.25" customHeight="1" x14ac:dyDescent="0.25">
      <c r="A8444" s="3"/>
      <c r="B8444" s="3"/>
      <c r="C8444" s="3"/>
      <c r="D8444" s="3"/>
      <c r="E8444" s="3"/>
      <c r="F8444" s="3"/>
      <c r="G8444" s="3"/>
      <c r="H8444" s="11"/>
      <c r="I8444" s="12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  <c r="AA8444" s="3"/>
      <c r="AB8444" s="3"/>
      <c r="AC8444" s="3"/>
      <c r="AD8444" s="3"/>
      <c r="AE8444" s="3"/>
      <c r="AF8444" s="3"/>
      <c r="AG8444" s="3"/>
      <c r="AH8444" s="3"/>
    </row>
    <row r="8445" spans="1:34" ht="14.25" customHeight="1" x14ac:dyDescent="0.25">
      <c r="A8445" s="3"/>
      <c r="B8445" s="3"/>
      <c r="C8445" s="3"/>
      <c r="D8445" s="3"/>
      <c r="E8445" s="3"/>
      <c r="F8445" s="3"/>
      <c r="G8445" s="3"/>
      <c r="H8445" s="11"/>
      <c r="I8445" s="12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  <c r="AA8445" s="3"/>
      <c r="AB8445" s="3"/>
      <c r="AC8445" s="3"/>
      <c r="AD8445" s="3"/>
      <c r="AE8445" s="3"/>
      <c r="AF8445" s="3"/>
      <c r="AG8445" s="3"/>
      <c r="AH8445" s="3"/>
    </row>
    <row r="8446" spans="1:34" ht="14.25" customHeight="1" x14ac:dyDescent="0.25">
      <c r="A8446" s="3"/>
      <c r="B8446" s="3"/>
      <c r="C8446" s="3"/>
      <c r="D8446" s="3"/>
      <c r="E8446" s="3"/>
      <c r="F8446" s="3"/>
      <c r="G8446" s="3"/>
      <c r="H8446" s="11"/>
      <c r="I8446" s="12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  <c r="AA8446" s="3"/>
      <c r="AB8446" s="3"/>
      <c r="AC8446" s="3"/>
      <c r="AD8446" s="3"/>
      <c r="AE8446" s="3"/>
      <c r="AF8446" s="3"/>
      <c r="AG8446" s="3"/>
      <c r="AH8446" s="3"/>
    </row>
    <row r="8447" spans="1:34" ht="14.25" customHeight="1" x14ac:dyDescent="0.25">
      <c r="A8447" s="3"/>
      <c r="B8447" s="3"/>
      <c r="C8447" s="3"/>
      <c r="D8447" s="3"/>
      <c r="E8447" s="3"/>
      <c r="F8447" s="3"/>
      <c r="G8447" s="3"/>
      <c r="H8447" s="11"/>
      <c r="I8447" s="12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  <c r="AA8447" s="3"/>
      <c r="AB8447" s="3"/>
      <c r="AC8447" s="3"/>
      <c r="AD8447" s="3"/>
      <c r="AE8447" s="3"/>
      <c r="AF8447" s="3"/>
      <c r="AG8447" s="3"/>
      <c r="AH8447" s="3"/>
    </row>
    <row r="8448" spans="1:34" ht="14.25" customHeight="1" x14ac:dyDescent="0.25">
      <c r="A8448" s="3"/>
      <c r="B8448" s="3"/>
      <c r="C8448" s="3"/>
      <c r="D8448" s="3"/>
      <c r="E8448" s="3"/>
      <c r="F8448" s="3"/>
      <c r="G8448" s="3"/>
      <c r="H8448" s="11"/>
      <c r="I8448" s="12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  <c r="AA8448" s="3"/>
      <c r="AB8448" s="3"/>
      <c r="AC8448" s="3"/>
      <c r="AD8448" s="3"/>
      <c r="AE8448" s="3"/>
      <c r="AF8448" s="3"/>
      <c r="AG8448" s="3"/>
      <c r="AH8448" s="3"/>
    </row>
    <row r="8449" spans="1:34" ht="14.25" customHeight="1" x14ac:dyDescent="0.25">
      <c r="A8449" s="3"/>
      <c r="B8449" s="3"/>
      <c r="C8449" s="3"/>
      <c r="D8449" s="3"/>
      <c r="E8449" s="3"/>
      <c r="F8449" s="3"/>
      <c r="G8449" s="3"/>
      <c r="H8449" s="11"/>
      <c r="I8449" s="12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  <c r="AA8449" s="3"/>
      <c r="AB8449" s="3"/>
      <c r="AC8449" s="3"/>
      <c r="AD8449" s="3"/>
      <c r="AE8449" s="3"/>
      <c r="AF8449" s="3"/>
      <c r="AG8449" s="3"/>
      <c r="AH8449" s="3"/>
    </row>
    <row r="8450" spans="1:34" ht="14.25" customHeight="1" x14ac:dyDescent="0.25">
      <c r="A8450" s="3"/>
      <c r="B8450" s="3"/>
      <c r="C8450" s="3"/>
      <c r="D8450" s="3"/>
      <c r="E8450" s="3"/>
      <c r="F8450" s="3"/>
      <c r="G8450" s="3"/>
      <c r="H8450" s="11"/>
      <c r="I8450" s="12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  <c r="AA8450" s="3"/>
      <c r="AB8450" s="3"/>
      <c r="AC8450" s="3"/>
      <c r="AD8450" s="3"/>
      <c r="AE8450" s="3"/>
      <c r="AF8450" s="3"/>
      <c r="AG8450" s="3"/>
      <c r="AH8450" s="3"/>
    </row>
    <row r="8451" spans="1:34" ht="14.25" customHeight="1" x14ac:dyDescent="0.25">
      <c r="A8451" s="3"/>
      <c r="B8451" s="3"/>
      <c r="C8451" s="3"/>
      <c r="D8451" s="3"/>
      <c r="E8451" s="3"/>
      <c r="F8451" s="3"/>
      <c r="G8451" s="3"/>
      <c r="H8451" s="11"/>
      <c r="I8451" s="12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  <c r="AA8451" s="3"/>
      <c r="AB8451" s="3"/>
      <c r="AC8451" s="3"/>
      <c r="AD8451" s="3"/>
      <c r="AE8451" s="3"/>
      <c r="AF8451" s="3"/>
      <c r="AG8451" s="3"/>
      <c r="AH8451" s="3"/>
    </row>
    <row r="8452" spans="1:34" ht="14.25" customHeight="1" x14ac:dyDescent="0.25">
      <c r="A8452" s="3"/>
      <c r="B8452" s="3"/>
      <c r="C8452" s="3"/>
      <c r="D8452" s="3"/>
      <c r="E8452" s="3"/>
      <c r="F8452" s="3"/>
      <c r="G8452" s="3"/>
      <c r="H8452" s="11"/>
      <c r="I8452" s="12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  <c r="AA8452" s="3"/>
      <c r="AB8452" s="3"/>
      <c r="AC8452" s="3"/>
      <c r="AD8452" s="3"/>
      <c r="AE8452" s="3"/>
      <c r="AF8452" s="3"/>
      <c r="AG8452" s="3"/>
      <c r="AH8452" s="3"/>
    </row>
    <row r="8453" spans="1:34" ht="14.25" customHeight="1" x14ac:dyDescent="0.25">
      <c r="A8453" s="3"/>
      <c r="B8453" s="3"/>
      <c r="C8453" s="3"/>
      <c r="D8453" s="3"/>
      <c r="E8453" s="3"/>
      <c r="F8453" s="3"/>
      <c r="G8453" s="3"/>
      <c r="H8453" s="11"/>
      <c r="I8453" s="12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  <c r="AA8453" s="3"/>
      <c r="AB8453" s="3"/>
      <c r="AC8453" s="3"/>
      <c r="AD8453" s="3"/>
      <c r="AE8453" s="3"/>
      <c r="AF8453" s="3"/>
      <c r="AG8453" s="3"/>
      <c r="AH8453" s="3"/>
    </row>
    <row r="8454" spans="1:34" ht="14.25" customHeight="1" x14ac:dyDescent="0.25">
      <c r="A8454" s="3"/>
      <c r="B8454" s="3"/>
      <c r="C8454" s="3"/>
      <c r="D8454" s="3"/>
      <c r="E8454" s="3"/>
      <c r="F8454" s="3"/>
      <c r="G8454" s="3"/>
      <c r="H8454" s="11"/>
      <c r="I8454" s="12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  <c r="AA8454" s="3"/>
      <c r="AB8454" s="3"/>
      <c r="AC8454" s="3"/>
      <c r="AD8454" s="3"/>
      <c r="AE8454" s="3"/>
      <c r="AF8454" s="3"/>
      <c r="AG8454" s="3"/>
      <c r="AH8454" s="3"/>
    </row>
    <row r="8455" spans="1:34" ht="14.25" customHeight="1" x14ac:dyDescent="0.25">
      <c r="A8455" s="3"/>
      <c r="B8455" s="3"/>
      <c r="C8455" s="3"/>
      <c r="D8455" s="3"/>
      <c r="E8455" s="3"/>
      <c r="F8455" s="3"/>
      <c r="G8455" s="3"/>
      <c r="H8455" s="11"/>
      <c r="I8455" s="12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  <c r="AA8455" s="3"/>
      <c r="AB8455" s="3"/>
      <c r="AC8455" s="3"/>
      <c r="AD8455" s="3"/>
      <c r="AE8455" s="3"/>
      <c r="AF8455" s="3"/>
      <c r="AG8455" s="3"/>
      <c r="AH8455" s="3"/>
    </row>
    <row r="8456" spans="1:34" ht="14.25" customHeight="1" x14ac:dyDescent="0.25">
      <c r="A8456" s="3"/>
      <c r="B8456" s="3"/>
      <c r="C8456" s="3"/>
      <c r="D8456" s="3"/>
      <c r="E8456" s="3"/>
      <c r="F8456" s="3"/>
      <c r="G8456" s="3"/>
      <c r="H8456" s="11"/>
      <c r="I8456" s="12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  <c r="AA8456" s="3"/>
      <c r="AB8456" s="3"/>
      <c r="AC8456" s="3"/>
      <c r="AD8456" s="3"/>
      <c r="AE8456" s="3"/>
      <c r="AF8456" s="3"/>
      <c r="AG8456" s="3"/>
      <c r="AH8456" s="3"/>
    </row>
    <row r="8457" spans="1:34" ht="14.25" customHeight="1" x14ac:dyDescent="0.25">
      <c r="A8457" s="3"/>
      <c r="B8457" s="3"/>
      <c r="C8457" s="3"/>
      <c r="D8457" s="3"/>
      <c r="E8457" s="3"/>
      <c r="F8457" s="3"/>
      <c r="G8457" s="3"/>
      <c r="H8457" s="11"/>
      <c r="I8457" s="12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  <c r="AA8457" s="3"/>
      <c r="AB8457" s="3"/>
      <c r="AC8457" s="3"/>
      <c r="AD8457" s="3"/>
      <c r="AE8457" s="3"/>
      <c r="AF8457" s="3"/>
      <c r="AG8457" s="3"/>
      <c r="AH8457" s="3"/>
    </row>
    <row r="8458" spans="1:34" ht="14.25" customHeight="1" x14ac:dyDescent="0.25">
      <c r="A8458" s="3"/>
      <c r="B8458" s="3"/>
      <c r="C8458" s="3"/>
      <c r="D8458" s="3"/>
      <c r="E8458" s="3"/>
      <c r="F8458" s="3"/>
      <c r="G8458" s="3"/>
      <c r="H8458" s="11"/>
      <c r="I8458" s="12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  <c r="AA8458" s="3"/>
      <c r="AB8458" s="3"/>
      <c r="AC8458" s="3"/>
      <c r="AD8458" s="3"/>
      <c r="AE8458" s="3"/>
      <c r="AF8458" s="3"/>
      <c r="AG8458" s="3"/>
      <c r="AH8458" s="3"/>
    </row>
    <row r="8459" spans="1:34" ht="14.25" customHeight="1" x14ac:dyDescent="0.25">
      <c r="A8459" s="3"/>
      <c r="B8459" s="3"/>
      <c r="C8459" s="3"/>
      <c r="D8459" s="3"/>
      <c r="E8459" s="3"/>
      <c r="F8459" s="3"/>
      <c r="G8459" s="3"/>
      <c r="H8459" s="11"/>
      <c r="I8459" s="12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  <c r="AA8459" s="3"/>
      <c r="AB8459" s="3"/>
      <c r="AC8459" s="3"/>
      <c r="AD8459" s="3"/>
      <c r="AE8459" s="3"/>
      <c r="AF8459" s="3"/>
      <c r="AG8459" s="3"/>
      <c r="AH8459" s="3"/>
    </row>
    <row r="8460" spans="1:34" ht="14.25" customHeight="1" x14ac:dyDescent="0.25">
      <c r="A8460" s="3"/>
      <c r="B8460" s="3"/>
      <c r="C8460" s="3"/>
      <c r="D8460" s="3"/>
      <c r="E8460" s="3"/>
      <c r="F8460" s="3"/>
      <c r="G8460" s="3"/>
      <c r="H8460" s="11"/>
      <c r="I8460" s="12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  <c r="AA8460" s="3"/>
      <c r="AB8460" s="3"/>
      <c r="AC8460" s="3"/>
      <c r="AD8460" s="3"/>
      <c r="AE8460" s="3"/>
      <c r="AF8460" s="3"/>
      <c r="AG8460" s="3"/>
      <c r="AH8460" s="3"/>
    </row>
    <row r="8461" spans="1:34" ht="14.25" customHeight="1" x14ac:dyDescent="0.25">
      <c r="A8461" s="3"/>
      <c r="B8461" s="3"/>
      <c r="C8461" s="3"/>
      <c r="D8461" s="3"/>
      <c r="E8461" s="3"/>
      <c r="F8461" s="3"/>
      <c r="G8461" s="3"/>
      <c r="H8461" s="11"/>
      <c r="I8461" s="12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  <c r="AA8461" s="3"/>
      <c r="AB8461" s="3"/>
      <c r="AC8461" s="3"/>
      <c r="AD8461" s="3"/>
      <c r="AE8461" s="3"/>
      <c r="AF8461" s="3"/>
      <c r="AG8461" s="3"/>
      <c r="AH8461" s="3"/>
    </row>
    <row r="8462" spans="1:34" ht="14.25" customHeight="1" x14ac:dyDescent="0.25">
      <c r="A8462" s="3"/>
      <c r="B8462" s="3"/>
      <c r="C8462" s="3"/>
      <c r="D8462" s="3"/>
      <c r="E8462" s="3"/>
      <c r="F8462" s="3"/>
      <c r="G8462" s="3"/>
      <c r="H8462" s="11"/>
      <c r="I8462" s="12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  <c r="AA8462" s="3"/>
      <c r="AB8462" s="3"/>
      <c r="AC8462" s="3"/>
      <c r="AD8462" s="3"/>
      <c r="AE8462" s="3"/>
      <c r="AF8462" s="3"/>
      <c r="AG8462" s="3"/>
      <c r="AH8462" s="3"/>
    </row>
    <row r="8463" spans="1:34" ht="14.25" customHeight="1" x14ac:dyDescent="0.25">
      <c r="A8463" s="3"/>
      <c r="B8463" s="3"/>
      <c r="C8463" s="3"/>
      <c r="D8463" s="3"/>
      <c r="E8463" s="3"/>
      <c r="F8463" s="3"/>
      <c r="G8463" s="3"/>
      <c r="H8463" s="11"/>
      <c r="I8463" s="12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  <c r="AA8463" s="3"/>
      <c r="AB8463" s="3"/>
      <c r="AC8463" s="3"/>
      <c r="AD8463" s="3"/>
      <c r="AE8463" s="3"/>
      <c r="AF8463" s="3"/>
      <c r="AG8463" s="3"/>
      <c r="AH8463" s="3"/>
    </row>
    <row r="8464" spans="1:34" ht="14.25" customHeight="1" x14ac:dyDescent="0.25">
      <c r="A8464" s="3"/>
      <c r="B8464" s="3"/>
      <c r="C8464" s="3"/>
      <c r="D8464" s="3"/>
      <c r="E8464" s="3"/>
      <c r="F8464" s="3"/>
      <c r="G8464" s="3"/>
      <c r="H8464" s="11"/>
      <c r="I8464" s="12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  <c r="AA8464" s="3"/>
      <c r="AB8464" s="3"/>
      <c r="AC8464" s="3"/>
      <c r="AD8464" s="3"/>
      <c r="AE8464" s="3"/>
      <c r="AF8464" s="3"/>
      <c r="AG8464" s="3"/>
      <c r="AH8464" s="3"/>
    </row>
    <row r="8465" spans="1:34" ht="14.25" customHeight="1" x14ac:dyDescent="0.25">
      <c r="A8465" s="3"/>
      <c r="B8465" s="3"/>
      <c r="C8465" s="3"/>
      <c r="D8465" s="3"/>
      <c r="E8465" s="3"/>
      <c r="F8465" s="3"/>
      <c r="G8465" s="3"/>
      <c r="H8465" s="11"/>
      <c r="I8465" s="12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  <c r="AA8465" s="3"/>
      <c r="AB8465" s="3"/>
      <c r="AC8465" s="3"/>
      <c r="AD8465" s="3"/>
      <c r="AE8465" s="3"/>
      <c r="AF8465" s="3"/>
      <c r="AG8465" s="3"/>
      <c r="AH8465" s="3"/>
    </row>
    <row r="8466" spans="1:34" ht="14.25" customHeight="1" x14ac:dyDescent="0.25">
      <c r="A8466" s="3"/>
      <c r="B8466" s="3"/>
      <c r="C8466" s="3"/>
      <c r="D8466" s="3"/>
      <c r="E8466" s="3"/>
      <c r="F8466" s="3"/>
      <c r="G8466" s="3"/>
      <c r="H8466" s="11"/>
      <c r="I8466" s="12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  <c r="AA8466" s="3"/>
      <c r="AB8466" s="3"/>
      <c r="AC8466" s="3"/>
      <c r="AD8466" s="3"/>
      <c r="AE8466" s="3"/>
      <c r="AF8466" s="3"/>
      <c r="AG8466" s="3"/>
      <c r="AH8466" s="3"/>
    </row>
    <row r="8467" spans="1:34" ht="14.25" customHeight="1" x14ac:dyDescent="0.25">
      <c r="A8467" s="3"/>
      <c r="B8467" s="3"/>
      <c r="C8467" s="3"/>
      <c r="D8467" s="3"/>
      <c r="E8467" s="3"/>
      <c r="F8467" s="3"/>
      <c r="G8467" s="3"/>
      <c r="H8467" s="11"/>
      <c r="I8467" s="12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  <c r="AA8467" s="3"/>
      <c r="AB8467" s="3"/>
      <c r="AC8467" s="3"/>
      <c r="AD8467" s="3"/>
      <c r="AE8467" s="3"/>
      <c r="AF8467" s="3"/>
      <c r="AG8467" s="3"/>
      <c r="AH8467" s="3"/>
    </row>
    <row r="8468" spans="1:34" ht="14.25" customHeight="1" x14ac:dyDescent="0.25">
      <c r="A8468" s="3"/>
      <c r="B8468" s="3"/>
      <c r="C8468" s="3"/>
      <c r="D8468" s="3"/>
      <c r="E8468" s="3"/>
      <c r="F8468" s="3"/>
      <c r="G8468" s="3"/>
      <c r="H8468" s="11"/>
      <c r="I8468" s="12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  <c r="AA8468" s="3"/>
      <c r="AB8468" s="3"/>
      <c r="AC8468" s="3"/>
      <c r="AD8468" s="3"/>
      <c r="AE8468" s="3"/>
      <c r="AF8468" s="3"/>
      <c r="AG8468" s="3"/>
      <c r="AH8468" s="3"/>
    </row>
    <row r="8469" spans="1:34" ht="14.25" customHeight="1" x14ac:dyDescent="0.25">
      <c r="A8469" s="3"/>
      <c r="B8469" s="3"/>
      <c r="C8469" s="3"/>
      <c r="D8469" s="3"/>
      <c r="E8469" s="3"/>
      <c r="F8469" s="3"/>
      <c r="G8469" s="3"/>
      <c r="H8469" s="11"/>
      <c r="I8469" s="12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  <c r="AA8469" s="3"/>
      <c r="AB8469" s="3"/>
      <c r="AC8469" s="3"/>
      <c r="AD8469" s="3"/>
      <c r="AE8469" s="3"/>
      <c r="AF8469" s="3"/>
      <c r="AG8469" s="3"/>
      <c r="AH8469" s="3"/>
    </row>
    <row r="8470" spans="1:34" ht="14.25" customHeight="1" x14ac:dyDescent="0.25">
      <c r="A8470" s="3"/>
      <c r="B8470" s="3"/>
      <c r="C8470" s="3"/>
      <c r="D8470" s="3"/>
      <c r="E8470" s="3"/>
      <c r="F8470" s="3"/>
      <c r="G8470" s="3"/>
      <c r="H8470" s="11"/>
      <c r="I8470" s="12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  <c r="AA8470" s="3"/>
      <c r="AB8470" s="3"/>
      <c r="AC8470" s="3"/>
      <c r="AD8470" s="3"/>
      <c r="AE8470" s="3"/>
      <c r="AF8470" s="3"/>
      <c r="AG8470" s="3"/>
      <c r="AH8470" s="3"/>
    </row>
    <row r="8471" spans="1:34" ht="14.25" customHeight="1" x14ac:dyDescent="0.25">
      <c r="A8471" s="3"/>
      <c r="B8471" s="3"/>
      <c r="C8471" s="3"/>
      <c r="D8471" s="3"/>
      <c r="E8471" s="3"/>
      <c r="F8471" s="3"/>
      <c r="G8471" s="3"/>
      <c r="H8471" s="11"/>
      <c r="I8471" s="12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  <c r="AA8471" s="3"/>
      <c r="AB8471" s="3"/>
      <c r="AC8471" s="3"/>
      <c r="AD8471" s="3"/>
      <c r="AE8471" s="3"/>
      <c r="AF8471" s="3"/>
      <c r="AG8471" s="3"/>
      <c r="AH8471" s="3"/>
    </row>
    <row r="8472" spans="1:34" ht="14.25" customHeight="1" x14ac:dyDescent="0.25">
      <c r="A8472" s="3"/>
      <c r="B8472" s="3"/>
      <c r="C8472" s="3"/>
      <c r="D8472" s="3"/>
      <c r="E8472" s="3"/>
      <c r="F8472" s="3"/>
      <c r="G8472" s="3"/>
      <c r="H8472" s="11"/>
      <c r="I8472" s="12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  <c r="AA8472" s="3"/>
      <c r="AB8472" s="3"/>
      <c r="AC8472" s="3"/>
      <c r="AD8472" s="3"/>
      <c r="AE8472" s="3"/>
      <c r="AF8472" s="3"/>
      <c r="AG8472" s="3"/>
      <c r="AH8472" s="3"/>
    </row>
    <row r="8473" spans="1:34" ht="14.25" customHeight="1" x14ac:dyDescent="0.25">
      <c r="A8473" s="3"/>
      <c r="B8473" s="3"/>
      <c r="C8473" s="3"/>
      <c r="D8473" s="3"/>
      <c r="E8473" s="3"/>
      <c r="F8473" s="3"/>
      <c r="G8473" s="3"/>
      <c r="H8473" s="11"/>
      <c r="I8473" s="12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  <c r="AA8473" s="3"/>
      <c r="AB8473" s="3"/>
      <c r="AC8473" s="3"/>
      <c r="AD8473" s="3"/>
      <c r="AE8473" s="3"/>
      <c r="AF8473" s="3"/>
      <c r="AG8473" s="3"/>
      <c r="AH8473" s="3"/>
    </row>
    <row r="8474" spans="1:34" ht="14.25" customHeight="1" x14ac:dyDescent="0.25">
      <c r="A8474" s="3"/>
      <c r="B8474" s="3"/>
      <c r="C8474" s="3"/>
      <c r="D8474" s="3"/>
      <c r="E8474" s="3"/>
      <c r="F8474" s="3"/>
      <c r="G8474" s="3"/>
      <c r="H8474" s="11"/>
      <c r="I8474" s="12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  <c r="AA8474" s="3"/>
      <c r="AB8474" s="3"/>
      <c r="AC8474" s="3"/>
      <c r="AD8474" s="3"/>
      <c r="AE8474" s="3"/>
      <c r="AF8474" s="3"/>
      <c r="AG8474" s="3"/>
      <c r="AH8474" s="3"/>
    </row>
    <row r="8475" spans="1:34" ht="14.25" customHeight="1" x14ac:dyDescent="0.25">
      <c r="A8475" s="3"/>
      <c r="B8475" s="3"/>
      <c r="C8475" s="3"/>
      <c r="D8475" s="3"/>
      <c r="E8475" s="3"/>
      <c r="F8475" s="3"/>
      <c r="G8475" s="3"/>
      <c r="H8475" s="11"/>
      <c r="I8475" s="12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  <c r="AA8475" s="3"/>
      <c r="AB8475" s="3"/>
      <c r="AC8475" s="3"/>
      <c r="AD8475" s="3"/>
      <c r="AE8475" s="3"/>
      <c r="AF8475" s="3"/>
      <c r="AG8475" s="3"/>
      <c r="AH8475" s="3"/>
    </row>
    <row r="8476" spans="1:34" ht="14.25" customHeight="1" x14ac:dyDescent="0.25">
      <c r="A8476" s="3"/>
      <c r="B8476" s="3"/>
      <c r="C8476" s="3"/>
      <c r="D8476" s="3"/>
      <c r="E8476" s="3"/>
      <c r="F8476" s="3"/>
      <c r="G8476" s="3"/>
      <c r="H8476" s="11"/>
      <c r="I8476" s="12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  <c r="AA8476" s="3"/>
      <c r="AB8476" s="3"/>
      <c r="AC8476" s="3"/>
      <c r="AD8476" s="3"/>
      <c r="AE8476" s="3"/>
      <c r="AF8476" s="3"/>
      <c r="AG8476" s="3"/>
      <c r="AH8476" s="3"/>
    </row>
    <row r="8477" spans="1:34" ht="14.25" customHeight="1" x14ac:dyDescent="0.25">
      <c r="A8477" s="3"/>
      <c r="B8477" s="3"/>
      <c r="C8477" s="3"/>
      <c r="D8477" s="3"/>
      <c r="E8477" s="3"/>
      <c r="F8477" s="3"/>
      <c r="G8477" s="3"/>
      <c r="H8477" s="11"/>
      <c r="I8477" s="12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  <c r="AA8477" s="3"/>
      <c r="AB8477" s="3"/>
      <c r="AC8477" s="3"/>
      <c r="AD8477" s="3"/>
      <c r="AE8477" s="3"/>
      <c r="AF8477" s="3"/>
      <c r="AG8477" s="3"/>
      <c r="AH8477" s="3"/>
    </row>
    <row r="8478" spans="1:34" ht="14.25" customHeight="1" x14ac:dyDescent="0.25">
      <c r="A8478" s="3"/>
      <c r="B8478" s="3"/>
      <c r="C8478" s="3"/>
      <c r="D8478" s="3"/>
      <c r="E8478" s="3"/>
      <c r="F8478" s="3"/>
      <c r="G8478" s="3"/>
      <c r="H8478" s="11"/>
      <c r="I8478" s="12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  <c r="AA8478" s="3"/>
      <c r="AB8478" s="3"/>
      <c r="AC8478" s="3"/>
      <c r="AD8478" s="3"/>
      <c r="AE8478" s="3"/>
      <c r="AF8478" s="3"/>
      <c r="AG8478" s="3"/>
      <c r="AH8478" s="3"/>
    </row>
    <row r="8479" spans="1:34" ht="14.25" customHeight="1" x14ac:dyDescent="0.25">
      <c r="A8479" s="3"/>
      <c r="B8479" s="3"/>
      <c r="C8479" s="3"/>
      <c r="D8479" s="3"/>
      <c r="E8479" s="3"/>
      <c r="F8479" s="3"/>
      <c r="G8479" s="3"/>
      <c r="H8479" s="11"/>
      <c r="I8479" s="12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  <c r="AA8479" s="3"/>
      <c r="AB8479" s="3"/>
      <c r="AC8479" s="3"/>
      <c r="AD8479" s="3"/>
      <c r="AE8479" s="3"/>
      <c r="AF8479" s="3"/>
      <c r="AG8479" s="3"/>
      <c r="AH8479" s="3"/>
    </row>
    <row r="8480" spans="1:34" ht="14.25" customHeight="1" x14ac:dyDescent="0.25">
      <c r="A8480" s="3"/>
      <c r="B8480" s="3"/>
      <c r="C8480" s="3"/>
      <c r="D8480" s="3"/>
      <c r="E8480" s="3"/>
      <c r="F8480" s="3"/>
      <c r="G8480" s="3"/>
      <c r="H8480" s="11"/>
      <c r="I8480" s="12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  <c r="AA8480" s="3"/>
      <c r="AB8480" s="3"/>
      <c r="AC8480" s="3"/>
      <c r="AD8480" s="3"/>
      <c r="AE8480" s="3"/>
      <c r="AF8480" s="3"/>
      <c r="AG8480" s="3"/>
      <c r="AH8480" s="3"/>
    </row>
    <row r="8481" spans="1:34" ht="14.25" customHeight="1" x14ac:dyDescent="0.25">
      <c r="A8481" s="3"/>
      <c r="B8481" s="3"/>
      <c r="C8481" s="3"/>
      <c r="D8481" s="3"/>
      <c r="E8481" s="3"/>
      <c r="F8481" s="3"/>
      <c r="G8481" s="3"/>
      <c r="H8481" s="11"/>
      <c r="I8481" s="12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  <c r="AA8481" s="3"/>
      <c r="AB8481" s="3"/>
      <c r="AC8481" s="3"/>
      <c r="AD8481" s="3"/>
      <c r="AE8481" s="3"/>
      <c r="AF8481" s="3"/>
      <c r="AG8481" s="3"/>
      <c r="AH8481" s="3"/>
    </row>
    <row r="8482" spans="1:34" ht="14.25" customHeight="1" x14ac:dyDescent="0.25">
      <c r="A8482" s="3"/>
      <c r="B8482" s="3"/>
      <c r="C8482" s="3"/>
      <c r="D8482" s="3"/>
      <c r="E8482" s="3"/>
      <c r="F8482" s="3"/>
      <c r="G8482" s="3"/>
      <c r="H8482" s="11"/>
      <c r="I8482" s="12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  <c r="AA8482" s="3"/>
      <c r="AB8482" s="3"/>
      <c r="AC8482" s="3"/>
      <c r="AD8482" s="3"/>
      <c r="AE8482" s="3"/>
      <c r="AF8482" s="3"/>
      <c r="AG8482" s="3"/>
      <c r="AH8482" s="3"/>
    </row>
    <row r="8483" spans="1:34" ht="14.25" customHeight="1" x14ac:dyDescent="0.25">
      <c r="A8483" s="3"/>
      <c r="B8483" s="3"/>
      <c r="C8483" s="3"/>
      <c r="D8483" s="3"/>
      <c r="E8483" s="3"/>
      <c r="F8483" s="3"/>
      <c r="G8483" s="3"/>
      <c r="H8483" s="11"/>
      <c r="I8483" s="12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  <c r="AA8483" s="3"/>
      <c r="AB8483" s="3"/>
      <c r="AC8483" s="3"/>
      <c r="AD8483" s="3"/>
      <c r="AE8483" s="3"/>
      <c r="AF8483" s="3"/>
      <c r="AG8483" s="3"/>
      <c r="AH8483" s="3"/>
    </row>
    <row r="8484" spans="1:34" ht="14.25" customHeight="1" x14ac:dyDescent="0.25">
      <c r="A8484" s="3"/>
      <c r="B8484" s="3"/>
      <c r="C8484" s="3"/>
      <c r="D8484" s="3"/>
      <c r="E8484" s="3"/>
      <c r="F8484" s="3"/>
      <c r="G8484" s="3"/>
      <c r="H8484" s="11"/>
      <c r="I8484" s="12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  <c r="AA8484" s="3"/>
      <c r="AB8484" s="3"/>
      <c r="AC8484" s="3"/>
      <c r="AD8484" s="3"/>
      <c r="AE8484" s="3"/>
      <c r="AF8484" s="3"/>
      <c r="AG8484" s="3"/>
      <c r="AH8484" s="3"/>
    </row>
    <row r="8485" spans="1:34" ht="14.25" customHeight="1" x14ac:dyDescent="0.25">
      <c r="A8485" s="3"/>
      <c r="B8485" s="3"/>
      <c r="C8485" s="3"/>
      <c r="D8485" s="3"/>
      <c r="E8485" s="3"/>
      <c r="F8485" s="3"/>
      <c r="G8485" s="3"/>
      <c r="H8485" s="11"/>
      <c r="I8485" s="12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  <c r="AA8485" s="3"/>
      <c r="AB8485" s="3"/>
      <c r="AC8485" s="3"/>
      <c r="AD8485" s="3"/>
      <c r="AE8485" s="3"/>
      <c r="AF8485" s="3"/>
      <c r="AG8485" s="3"/>
      <c r="AH8485" s="3"/>
    </row>
    <row r="8486" spans="1:34" ht="14.25" customHeight="1" x14ac:dyDescent="0.25">
      <c r="A8486" s="3"/>
      <c r="B8486" s="3"/>
      <c r="C8486" s="3"/>
      <c r="D8486" s="3"/>
      <c r="E8486" s="3"/>
      <c r="F8486" s="3"/>
      <c r="G8486" s="3"/>
      <c r="H8486" s="11"/>
      <c r="I8486" s="12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  <c r="AA8486" s="3"/>
      <c r="AB8486" s="3"/>
      <c r="AC8486" s="3"/>
      <c r="AD8486" s="3"/>
      <c r="AE8486" s="3"/>
      <c r="AF8486" s="3"/>
      <c r="AG8486" s="3"/>
      <c r="AH8486" s="3"/>
    </row>
    <row r="8487" spans="1:34" ht="14.25" customHeight="1" x14ac:dyDescent="0.25">
      <c r="A8487" s="3"/>
      <c r="B8487" s="3"/>
      <c r="C8487" s="3"/>
      <c r="D8487" s="3"/>
      <c r="E8487" s="3"/>
      <c r="F8487" s="3"/>
      <c r="G8487" s="3"/>
      <c r="H8487" s="11"/>
      <c r="I8487" s="12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  <c r="AA8487" s="3"/>
      <c r="AB8487" s="3"/>
      <c r="AC8487" s="3"/>
      <c r="AD8487" s="3"/>
      <c r="AE8487" s="3"/>
      <c r="AF8487" s="3"/>
      <c r="AG8487" s="3"/>
      <c r="AH8487" s="3"/>
    </row>
    <row r="8488" spans="1:34" ht="14.25" customHeight="1" x14ac:dyDescent="0.25">
      <c r="A8488" s="3"/>
      <c r="B8488" s="3"/>
      <c r="C8488" s="3"/>
      <c r="D8488" s="3"/>
      <c r="E8488" s="3"/>
      <c r="F8488" s="3"/>
      <c r="G8488" s="3"/>
      <c r="H8488" s="11"/>
      <c r="I8488" s="12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  <c r="AA8488" s="3"/>
      <c r="AB8488" s="3"/>
      <c r="AC8488" s="3"/>
      <c r="AD8488" s="3"/>
      <c r="AE8488" s="3"/>
      <c r="AF8488" s="3"/>
      <c r="AG8488" s="3"/>
      <c r="AH8488" s="3"/>
    </row>
    <row r="8489" spans="1:34" ht="14.25" customHeight="1" x14ac:dyDescent="0.25">
      <c r="A8489" s="3"/>
      <c r="B8489" s="3"/>
      <c r="C8489" s="3"/>
      <c r="D8489" s="3"/>
      <c r="E8489" s="3"/>
      <c r="F8489" s="3"/>
      <c r="G8489" s="3"/>
      <c r="H8489" s="11"/>
      <c r="I8489" s="12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  <c r="AA8489" s="3"/>
      <c r="AB8489" s="3"/>
      <c r="AC8489" s="3"/>
      <c r="AD8489" s="3"/>
      <c r="AE8489" s="3"/>
      <c r="AF8489" s="3"/>
      <c r="AG8489" s="3"/>
      <c r="AH8489" s="3"/>
    </row>
    <row r="8490" spans="1:34" ht="14.25" customHeight="1" x14ac:dyDescent="0.25">
      <c r="A8490" s="3"/>
      <c r="B8490" s="3"/>
      <c r="C8490" s="3"/>
      <c r="D8490" s="3"/>
      <c r="E8490" s="3"/>
      <c r="F8490" s="3"/>
      <c r="G8490" s="3"/>
      <c r="H8490" s="11"/>
      <c r="I8490" s="12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  <c r="AA8490" s="3"/>
      <c r="AB8490" s="3"/>
      <c r="AC8490" s="3"/>
      <c r="AD8490" s="3"/>
      <c r="AE8490" s="3"/>
      <c r="AF8490" s="3"/>
      <c r="AG8490" s="3"/>
      <c r="AH8490" s="3"/>
    </row>
    <row r="8491" spans="1:34" ht="14.25" customHeight="1" x14ac:dyDescent="0.25">
      <c r="A8491" s="3"/>
      <c r="B8491" s="3"/>
      <c r="C8491" s="3"/>
      <c r="D8491" s="3"/>
      <c r="E8491" s="3"/>
      <c r="F8491" s="3"/>
      <c r="G8491" s="3"/>
      <c r="H8491" s="11"/>
      <c r="I8491" s="12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  <c r="AA8491" s="3"/>
      <c r="AB8491" s="3"/>
      <c r="AC8491" s="3"/>
      <c r="AD8491" s="3"/>
      <c r="AE8491" s="3"/>
      <c r="AF8491" s="3"/>
      <c r="AG8491" s="3"/>
      <c r="AH8491" s="3"/>
    </row>
    <row r="8492" spans="1:34" ht="14.25" customHeight="1" x14ac:dyDescent="0.25">
      <c r="A8492" s="3"/>
      <c r="B8492" s="3"/>
      <c r="C8492" s="3"/>
      <c r="D8492" s="3"/>
      <c r="E8492" s="3"/>
      <c r="F8492" s="3"/>
      <c r="G8492" s="3"/>
      <c r="H8492" s="11"/>
      <c r="I8492" s="12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  <c r="AA8492" s="3"/>
      <c r="AB8492" s="3"/>
      <c r="AC8492" s="3"/>
      <c r="AD8492" s="3"/>
      <c r="AE8492" s="3"/>
      <c r="AF8492" s="3"/>
      <c r="AG8492" s="3"/>
      <c r="AH8492" s="3"/>
    </row>
    <row r="8493" spans="1:34" ht="14.25" customHeight="1" x14ac:dyDescent="0.25">
      <c r="A8493" s="3"/>
      <c r="B8493" s="3"/>
      <c r="C8493" s="3"/>
      <c r="D8493" s="3"/>
      <c r="E8493" s="3"/>
      <c r="F8493" s="3"/>
      <c r="G8493" s="3"/>
      <c r="H8493" s="11"/>
      <c r="I8493" s="12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  <c r="AA8493" s="3"/>
      <c r="AB8493" s="3"/>
      <c r="AC8493" s="3"/>
      <c r="AD8493" s="3"/>
      <c r="AE8493" s="3"/>
      <c r="AF8493" s="3"/>
      <c r="AG8493" s="3"/>
      <c r="AH8493" s="3"/>
    </row>
    <row r="8494" spans="1:34" ht="14.25" customHeight="1" x14ac:dyDescent="0.25">
      <c r="A8494" s="3"/>
      <c r="B8494" s="3"/>
      <c r="C8494" s="3"/>
      <c r="D8494" s="3"/>
      <c r="E8494" s="3"/>
      <c r="F8494" s="3"/>
      <c r="G8494" s="3"/>
      <c r="H8494" s="11"/>
      <c r="I8494" s="12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  <c r="AA8494" s="3"/>
      <c r="AB8494" s="3"/>
      <c r="AC8494" s="3"/>
      <c r="AD8494" s="3"/>
      <c r="AE8494" s="3"/>
      <c r="AF8494" s="3"/>
      <c r="AG8494" s="3"/>
      <c r="AH8494" s="3"/>
    </row>
    <row r="8495" spans="1:34" ht="14.25" customHeight="1" x14ac:dyDescent="0.25">
      <c r="A8495" s="3"/>
      <c r="B8495" s="3"/>
      <c r="C8495" s="3"/>
      <c r="D8495" s="3"/>
      <c r="E8495" s="3"/>
      <c r="F8495" s="3"/>
      <c r="G8495" s="3"/>
      <c r="H8495" s="11"/>
      <c r="I8495" s="12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  <c r="AA8495" s="3"/>
      <c r="AB8495" s="3"/>
      <c r="AC8495" s="3"/>
      <c r="AD8495" s="3"/>
      <c r="AE8495" s="3"/>
      <c r="AF8495" s="3"/>
      <c r="AG8495" s="3"/>
      <c r="AH8495" s="3"/>
    </row>
    <row r="8496" spans="1:34" ht="14.25" customHeight="1" x14ac:dyDescent="0.25">
      <c r="A8496" s="3"/>
      <c r="B8496" s="3"/>
      <c r="C8496" s="3"/>
      <c r="D8496" s="3"/>
      <c r="E8496" s="3"/>
      <c r="F8496" s="3"/>
      <c r="G8496" s="3"/>
      <c r="H8496" s="11"/>
      <c r="I8496" s="12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  <c r="AA8496" s="3"/>
      <c r="AB8496" s="3"/>
      <c r="AC8496" s="3"/>
      <c r="AD8496" s="3"/>
      <c r="AE8496" s="3"/>
      <c r="AF8496" s="3"/>
      <c r="AG8496" s="3"/>
      <c r="AH8496" s="3"/>
    </row>
    <row r="8497" spans="1:34" ht="14.25" customHeight="1" x14ac:dyDescent="0.25">
      <c r="A8497" s="3"/>
      <c r="B8497" s="3"/>
      <c r="C8497" s="3"/>
      <c r="D8497" s="3"/>
      <c r="E8497" s="3"/>
      <c r="F8497" s="3"/>
      <c r="G8497" s="3"/>
      <c r="H8497" s="11"/>
      <c r="I8497" s="12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  <c r="AA8497" s="3"/>
      <c r="AB8497" s="3"/>
      <c r="AC8497" s="3"/>
      <c r="AD8497" s="3"/>
      <c r="AE8497" s="3"/>
      <c r="AF8497" s="3"/>
      <c r="AG8497" s="3"/>
      <c r="AH8497" s="3"/>
    </row>
    <row r="8498" spans="1:34" ht="14.25" customHeight="1" x14ac:dyDescent="0.25">
      <c r="A8498" s="3"/>
      <c r="B8498" s="3"/>
      <c r="C8498" s="3"/>
      <c r="D8498" s="3"/>
      <c r="E8498" s="3"/>
      <c r="F8498" s="3"/>
      <c r="G8498" s="3"/>
      <c r="H8498" s="11"/>
      <c r="I8498" s="12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  <c r="AA8498" s="3"/>
      <c r="AB8498" s="3"/>
      <c r="AC8498" s="3"/>
      <c r="AD8498" s="3"/>
      <c r="AE8498" s="3"/>
      <c r="AF8498" s="3"/>
      <c r="AG8498" s="3"/>
      <c r="AH8498" s="3"/>
    </row>
    <row r="8499" spans="1:34" ht="14.25" customHeight="1" x14ac:dyDescent="0.25">
      <c r="A8499" s="3"/>
      <c r="B8499" s="3"/>
      <c r="C8499" s="3"/>
      <c r="D8499" s="3"/>
      <c r="E8499" s="3"/>
      <c r="F8499" s="3"/>
      <c r="G8499" s="3"/>
      <c r="H8499" s="11"/>
      <c r="I8499" s="12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  <c r="AA8499" s="3"/>
      <c r="AB8499" s="3"/>
      <c r="AC8499" s="3"/>
      <c r="AD8499" s="3"/>
      <c r="AE8499" s="3"/>
      <c r="AF8499" s="3"/>
      <c r="AG8499" s="3"/>
      <c r="AH8499" s="3"/>
    </row>
    <row r="8500" spans="1:34" ht="14.25" customHeight="1" x14ac:dyDescent="0.25">
      <c r="A8500" s="3"/>
      <c r="B8500" s="3"/>
      <c r="C8500" s="3"/>
      <c r="D8500" s="3"/>
      <c r="E8500" s="3"/>
      <c r="F8500" s="3"/>
      <c r="G8500" s="3"/>
      <c r="H8500" s="11"/>
      <c r="I8500" s="12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  <c r="AA8500" s="3"/>
      <c r="AB8500" s="3"/>
      <c r="AC8500" s="3"/>
      <c r="AD8500" s="3"/>
      <c r="AE8500" s="3"/>
      <c r="AF8500" s="3"/>
      <c r="AG8500" s="3"/>
      <c r="AH8500" s="3"/>
    </row>
    <row r="8501" spans="1:34" ht="14.25" customHeight="1" x14ac:dyDescent="0.25">
      <c r="A8501" s="3"/>
      <c r="B8501" s="3"/>
      <c r="C8501" s="3"/>
      <c r="D8501" s="3"/>
      <c r="E8501" s="3"/>
      <c r="F8501" s="3"/>
      <c r="G8501" s="3"/>
      <c r="H8501" s="11"/>
      <c r="I8501" s="12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  <c r="AA8501" s="3"/>
      <c r="AB8501" s="3"/>
      <c r="AC8501" s="3"/>
      <c r="AD8501" s="3"/>
      <c r="AE8501" s="3"/>
      <c r="AF8501" s="3"/>
      <c r="AG8501" s="3"/>
      <c r="AH8501" s="3"/>
    </row>
    <row r="8502" spans="1:34" ht="14.25" customHeight="1" x14ac:dyDescent="0.25">
      <c r="A8502" s="3"/>
      <c r="B8502" s="3"/>
      <c r="C8502" s="3"/>
      <c r="D8502" s="3"/>
      <c r="E8502" s="3"/>
      <c r="F8502" s="3"/>
      <c r="G8502" s="3"/>
      <c r="H8502" s="11"/>
      <c r="I8502" s="12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  <c r="AA8502" s="3"/>
      <c r="AB8502" s="3"/>
      <c r="AC8502" s="3"/>
      <c r="AD8502" s="3"/>
      <c r="AE8502" s="3"/>
      <c r="AF8502" s="3"/>
      <c r="AG8502" s="3"/>
      <c r="AH8502" s="3"/>
    </row>
    <row r="8503" spans="1:34" ht="14.25" customHeight="1" x14ac:dyDescent="0.25">
      <c r="A8503" s="3"/>
      <c r="B8503" s="3"/>
      <c r="C8503" s="3"/>
      <c r="D8503" s="3"/>
      <c r="E8503" s="3"/>
      <c r="F8503" s="3"/>
      <c r="G8503" s="3"/>
      <c r="H8503" s="11"/>
      <c r="I8503" s="12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  <c r="AA8503" s="3"/>
      <c r="AB8503" s="3"/>
      <c r="AC8503" s="3"/>
      <c r="AD8503" s="3"/>
      <c r="AE8503" s="3"/>
      <c r="AF8503" s="3"/>
      <c r="AG8503" s="3"/>
      <c r="AH8503" s="3"/>
    </row>
    <row r="8504" spans="1:34" ht="14.25" customHeight="1" x14ac:dyDescent="0.25">
      <c r="A8504" s="3"/>
      <c r="B8504" s="3"/>
      <c r="C8504" s="3"/>
      <c r="D8504" s="3"/>
      <c r="E8504" s="3"/>
      <c r="F8504" s="3"/>
      <c r="G8504" s="3"/>
      <c r="H8504" s="11"/>
      <c r="I8504" s="12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  <c r="AA8504" s="3"/>
      <c r="AB8504" s="3"/>
      <c r="AC8504" s="3"/>
      <c r="AD8504" s="3"/>
      <c r="AE8504" s="3"/>
      <c r="AF8504" s="3"/>
      <c r="AG8504" s="3"/>
      <c r="AH8504" s="3"/>
    </row>
    <row r="8505" spans="1:34" ht="14.25" customHeight="1" x14ac:dyDescent="0.25">
      <c r="A8505" s="3"/>
      <c r="B8505" s="3"/>
      <c r="C8505" s="3"/>
      <c r="D8505" s="3"/>
      <c r="E8505" s="3"/>
      <c r="F8505" s="3"/>
      <c r="G8505" s="3"/>
      <c r="H8505" s="11"/>
      <c r="I8505" s="12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  <c r="AA8505" s="3"/>
      <c r="AB8505" s="3"/>
      <c r="AC8505" s="3"/>
      <c r="AD8505" s="3"/>
      <c r="AE8505" s="3"/>
      <c r="AF8505" s="3"/>
      <c r="AG8505" s="3"/>
      <c r="AH8505" s="3"/>
    </row>
    <row r="8506" spans="1:34" ht="14.25" customHeight="1" x14ac:dyDescent="0.25">
      <c r="A8506" s="3"/>
      <c r="B8506" s="3"/>
      <c r="C8506" s="3"/>
      <c r="D8506" s="3"/>
      <c r="E8506" s="3"/>
      <c r="F8506" s="3"/>
      <c r="G8506" s="3"/>
      <c r="H8506" s="11"/>
      <c r="I8506" s="12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  <c r="AA8506" s="3"/>
      <c r="AB8506" s="3"/>
      <c r="AC8506" s="3"/>
      <c r="AD8506" s="3"/>
      <c r="AE8506" s="3"/>
      <c r="AF8506" s="3"/>
      <c r="AG8506" s="3"/>
      <c r="AH8506" s="3"/>
    </row>
    <row r="8507" spans="1:34" ht="14.25" customHeight="1" x14ac:dyDescent="0.25">
      <c r="A8507" s="3"/>
      <c r="B8507" s="3"/>
      <c r="C8507" s="3"/>
      <c r="D8507" s="3"/>
      <c r="E8507" s="3"/>
      <c r="F8507" s="3"/>
      <c r="G8507" s="3"/>
      <c r="H8507" s="11"/>
      <c r="I8507" s="12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  <c r="AA8507" s="3"/>
      <c r="AB8507" s="3"/>
      <c r="AC8507" s="3"/>
      <c r="AD8507" s="3"/>
      <c r="AE8507" s="3"/>
      <c r="AF8507" s="3"/>
      <c r="AG8507" s="3"/>
      <c r="AH8507" s="3"/>
    </row>
    <row r="8508" spans="1:34" ht="14.25" customHeight="1" x14ac:dyDescent="0.25">
      <c r="A8508" s="3"/>
      <c r="B8508" s="3"/>
      <c r="C8508" s="3"/>
      <c r="D8508" s="3"/>
      <c r="E8508" s="3"/>
      <c r="F8508" s="3"/>
      <c r="G8508" s="3"/>
      <c r="H8508" s="11"/>
      <c r="I8508" s="12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  <c r="AA8508" s="3"/>
      <c r="AB8508" s="3"/>
      <c r="AC8508" s="3"/>
      <c r="AD8508" s="3"/>
      <c r="AE8508" s="3"/>
      <c r="AF8508" s="3"/>
      <c r="AG8508" s="3"/>
      <c r="AH8508" s="3"/>
    </row>
    <row r="8509" spans="1:34" ht="14.25" customHeight="1" x14ac:dyDescent="0.25">
      <c r="A8509" s="3"/>
      <c r="B8509" s="3"/>
      <c r="C8509" s="3"/>
      <c r="D8509" s="3"/>
      <c r="E8509" s="3"/>
      <c r="F8509" s="3"/>
      <c r="G8509" s="3"/>
      <c r="H8509" s="11"/>
      <c r="I8509" s="12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  <c r="AA8509" s="3"/>
      <c r="AB8509" s="3"/>
      <c r="AC8509" s="3"/>
      <c r="AD8509" s="3"/>
      <c r="AE8509" s="3"/>
      <c r="AF8509" s="3"/>
      <c r="AG8509" s="3"/>
      <c r="AH8509" s="3"/>
    </row>
    <row r="8510" spans="1:34" ht="14.25" customHeight="1" x14ac:dyDescent="0.25">
      <c r="A8510" s="3"/>
      <c r="B8510" s="3"/>
      <c r="C8510" s="3"/>
      <c r="D8510" s="3"/>
      <c r="E8510" s="3"/>
      <c r="F8510" s="3"/>
      <c r="G8510" s="3"/>
      <c r="H8510" s="11"/>
      <c r="I8510" s="12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  <c r="AA8510" s="3"/>
      <c r="AB8510" s="3"/>
      <c r="AC8510" s="3"/>
      <c r="AD8510" s="3"/>
      <c r="AE8510" s="3"/>
      <c r="AF8510" s="3"/>
      <c r="AG8510" s="3"/>
      <c r="AH8510" s="3"/>
    </row>
    <row r="8511" spans="1:34" ht="14.25" customHeight="1" x14ac:dyDescent="0.25">
      <c r="A8511" s="3"/>
      <c r="B8511" s="3"/>
      <c r="C8511" s="3"/>
      <c r="D8511" s="3"/>
      <c r="E8511" s="3"/>
      <c r="F8511" s="3"/>
      <c r="G8511" s="3"/>
      <c r="H8511" s="11"/>
      <c r="I8511" s="12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  <c r="AA8511" s="3"/>
      <c r="AB8511" s="3"/>
      <c r="AC8511" s="3"/>
      <c r="AD8511" s="3"/>
      <c r="AE8511" s="3"/>
      <c r="AF8511" s="3"/>
      <c r="AG8511" s="3"/>
      <c r="AH8511" s="3"/>
    </row>
    <row r="8512" spans="1:34" ht="14.25" customHeight="1" x14ac:dyDescent="0.25">
      <c r="A8512" s="3"/>
      <c r="B8512" s="3"/>
      <c r="C8512" s="3"/>
      <c r="D8512" s="3"/>
      <c r="E8512" s="3"/>
      <c r="F8512" s="3"/>
      <c r="G8512" s="3"/>
      <c r="H8512" s="11"/>
      <c r="I8512" s="12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  <c r="AA8512" s="3"/>
      <c r="AB8512" s="3"/>
      <c r="AC8512" s="3"/>
      <c r="AD8512" s="3"/>
      <c r="AE8512" s="3"/>
      <c r="AF8512" s="3"/>
      <c r="AG8512" s="3"/>
      <c r="AH8512" s="3"/>
    </row>
    <row r="8513" spans="1:34" ht="14.25" customHeight="1" x14ac:dyDescent="0.25">
      <c r="A8513" s="3"/>
      <c r="B8513" s="3"/>
      <c r="C8513" s="3"/>
      <c r="D8513" s="3"/>
      <c r="E8513" s="3"/>
      <c r="F8513" s="3"/>
      <c r="G8513" s="3"/>
      <c r="H8513" s="11"/>
      <c r="I8513" s="12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  <c r="AA8513" s="3"/>
      <c r="AB8513" s="3"/>
      <c r="AC8513" s="3"/>
      <c r="AD8513" s="3"/>
      <c r="AE8513" s="3"/>
      <c r="AF8513" s="3"/>
      <c r="AG8513" s="3"/>
      <c r="AH8513" s="3"/>
    </row>
    <row r="8514" spans="1:34" ht="14.25" customHeight="1" x14ac:dyDescent="0.25">
      <c r="A8514" s="3"/>
      <c r="B8514" s="3"/>
      <c r="C8514" s="3"/>
      <c r="D8514" s="3"/>
      <c r="E8514" s="3"/>
      <c r="F8514" s="3"/>
      <c r="G8514" s="3"/>
      <c r="H8514" s="11"/>
      <c r="I8514" s="12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  <c r="AA8514" s="3"/>
      <c r="AB8514" s="3"/>
      <c r="AC8514" s="3"/>
      <c r="AD8514" s="3"/>
      <c r="AE8514" s="3"/>
      <c r="AF8514" s="3"/>
      <c r="AG8514" s="3"/>
      <c r="AH8514" s="3"/>
    </row>
    <row r="8515" spans="1:34" ht="14.25" customHeight="1" x14ac:dyDescent="0.25">
      <c r="A8515" s="3"/>
      <c r="B8515" s="3"/>
      <c r="C8515" s="3"/>
      <c r="D8515" s="3"/>
      <c r="E8515" s="3"/>
      <c r="F8515" s="3"/>
      <c r="G8515" s="3"/>
      <c r="H8515" s="11"/>
      <c r="I8515" s="12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  <c r="AA8515" s="3"/>
      <c r="AB8515" s="3"/>
      <c r="AC8515" s="3"/>
      <c r="AD8515" s="3"/>
      <c r="AE8515" s="3"/>
      <c r="AF8515" s="3"/>
      <c r="AG8515" s="3"/>
      <c r="AH8515" s="3"/>
    </row>
    <row r="8516" spans="1:34" ht="14.25" customHeight="1" x14ac:dyDescent="0.25">
      <c r="A8516" s="3"/>
      <c r="B8516" s="3"/>
      <c r="C8516" s="3"/>
      <c r="D8516" s="3"/>
      <c r="E8516" s="3"/>
      <c r="F8516" s="3"/>
      <c r="G8516" s="3"/>
      <c r="H8516" s="11"/>
      <c r="I8516" s="12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  <c r="AA8516" s="3"/>
      <c r="AB8516" s="3"/>
      <c r="AC8516" s="3"/>
      <c r="AD8516" s="3"/>
      <c r="AE8516" s="3"/>
      <c r="AF8516" s="3"/>
      <c r="AG8516" s="3"/>
      <c r="AH8516" s="3"/>
    </row>
    <row r="8517" spans="1:34" ht="14.25" customHeight="1" x14ac:dyDescent="0.25">
      <c r="A8517" s="3"/>
      <c r="B8517" s="3"/>
      <c r="C8517" s="3"/>
      <c r="D8517" s="3"/>
      <c r="E8517" s="3"/>
      <c r="F8517" s="3"/>
      <c r="G8517" s="3"/>
      <c r="H8517" s="11"/>
      <c r="I8517" s="12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  <c r="AA8517" s="3"/>
      <c r="AB8517" s="3"/>
      <c r="AC8517" s="3"/>
      <c r="AD8517" s="3"/>
      <c r="AE8517" s="3"/>
      <c r="AF8517" s="3"/>
      <c r="AG8517" s="3"/>
      <c r="AH8517" s="3"/>
    </row>
    <row r="8518" spans="1:34" ht="14.25" customHeight="1" x14ac:dyDescent="0.25">
      <c r="A8518" s="3"/>
      <c r="B8518" s="3"/>
      <c r="C8518" s="3"/>
      <c r="D8518" s="3"/>
      <c r="E8518" s="3"/>
      <c r="F8518" s="3"/>
      <c r="G8518" s="3"/>
      <c r="H8518" s="11"/>
      <c r="I8518" s="12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  <c r="AA8518" s="3"/>
      <c r="AB8518" s="3"/>
      <c r="AC8518" s="3"/>
      <c r="AD8518" s="3"/>
      <c r="AE8518" s="3"/>
      <c r="AF8518" s="3"/>
      <c r="AG8518" s="3"/>
      <c r="AH8518" s="3"/>
    </row>
    <row r="8519" spans="1:34" ht="14.25" customHeight="1" x14ac:dyDescent="0.25">
      <c r="A8519" s="3"/>
      <c r="B8519" s="3"/>
      <c r="C8519" s="3"/>
      <c r="D8519" s="3"/>
      <c r="E8519" s="3"/>
      <c r="F8519" s="3"/>
      <c r="G8519" s="3"/>
      <c r="H8519" s="11"/>
      <c r="I8519" s="12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  <c r="AA8519" s="3"/>
      <c r="AB8519" s="3"/>
      <c r="AC8519" s="3"/>
      <c r="AD8519" s="3"/>
      <c r="AE8519" s="3"/>
      <c r="AF8519" s="3"/>
      <c r="AG8519" s="3"/>
      <c r="AH8519" s="3"/>
    </row>
    <row r="8520" spans="1:34" ht="14.25" customHeight="1" x14ac:dyDescent="0.25">
      <c r="A8520" s="3"/>
      <c r="B8520" s="3"/>
      <c r="C8520" s="3"/>
      <c r="D8520" s="3"/>
      <c r="E8520" s="3"/>
      <c r="F8520" s="3"/>
      <c r="G8520" s="3"/>
      <c r="H8520" s="11"/>
      <c r="I8520" s="12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  <c r="AA8520" s="3"/>
      <c r="AB8520" s="3"/>
      <c r="AC8520" s="3"/>
      <c r="AD8520" s="3"/>
      <c r="AE8520" s="3"/>
      <c r="AF8520" s="3"/>
      <c r="AG8520" s="3"/>
      <c r="AH8520" s="3"/>
    </row>
    <row r="8521" spans="1:34" ht="14.25" customHeight="1" x14ac:dyDescent="0.25">
      <c r="A8521" s="3"/>
      <c r="B8521" s="3"/>
      <c r="C8521" s="3"/>
      <c r="D8521" s="3"/>
      <c r="E8521" s="3"/>
      <c r="F8521" s="3"/>
      <c r="G8521" s="3"/>
      <c r="H8521" s="11"/>
      <c r="I8521" s="12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  <c r="AA8521" s="3"/>
      <c r="AB8521" s="3"/>
      <c r="AC8521" s="3"/>
      <c r="AD8521" s="3"/>
      <c r="AE8521" s="3"/>
      <c r="AF8521" s="3"/>
      <c r="AG8521" s="3"/>
      <c r="AH8521" s="3"/>
    </row>
    <row r="8522" spans="1:34" ht="14.25" customHeight="1" x14ac:dyDescent="0.25">
      <c r="A8522" s="3"/>
      <c r="B8522" s="3"/>
      <c r="C8522" s="3"/>
      <c r="D8522" s="3"/>
      <c r="E8522" s="3"/>
      <c r="F8522" s="3"/>
      <c r="G8522" s="3"/>
      <c r="H8522" s="11"/>
      <c r="I8522" s="12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  <c r="AA8522" s="3"/>
      <c r="AB8522" s="3"/>
      <c r="AC8522" s="3"/>
      <c r="AD8522" s="3"/>
      <c r="AE8522" s="3"/>
      <c r="AF8522" s="3"/>
      <c r="AG8522" s="3"/>
      <c r="AH8522" s="3"/>
    </row>
    <row r="8523" spans="1:34" ht="14.25" customHeight="1" x14ac:dyDescent="0.25">
      <c r="A8523" s="3"/>
      <c r="B8523" s="3"/>
      <c r="C8523" s="3"/>
      <c r="D8523" s="3"/>
      <c r="E8523" s="3"/>
      <c r="F8523" s="3"/>
      <c r="G8523" s="3"/>
      <c r="H8523" s="11"/>
      <c r="I8523" s="12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  <c r="AA8523" s="3"/>
      <c r="AB8523" s="3"/>
      <c r="AC8523" s="3"/>
      <c r="AD8523" s="3"/>
      <c r="AE8523" s="3"/>
      <c r="AF8523" s="3"/>
      <c r="AG8523" s="3"/>
      <c r="AH8523" s="3"/>
    </row>
    <row r="8524" spans="1:34" ht="14.25" customHeight="1" x14ac:dyDescent="0.25">
      <c r="A8524" s="3"/>
      <c r="B8524" s="3"/>
      <c r="C8524" s="3"/>
      <c r="D8524" s="3"/>
      <c r="E8524" s="3"/>
      <c r="F8524" s="3"/>
      <c r="G8524" s="3"/>
      <c r="H8524" s="11"/>
      <c r="I8524" s="12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  <c r="AA8524" s="3"/>
      <c r="AB8524" s="3"/>
      <c r="AC8524" s="3"/>
      <c r="AD8524" s="3"/>
      <c r="AE8524" s="3"/>
      <c r="AF8524" s="3"/>
      <c r="AG8524" s="3"/>
      <c r="AH8524" s="3"/>
    </row>
    <row r="8525" spans="1:34" ht="14.25" customHeight="1" x14ac:dyDescent="0.25">
      <c r="A8525" s="3"/>
      <c r="B8525" s="3"/>
      <c r="C8525" s="3"/>
      <c r="D8525" s="3"/>
      <c r="E8525" s="3"/>
      <c r="F8525" s="3"/>
      <c r="G8525" s="3"/>
      <c r="H8525" s="11"/>
      <c r="I8525" s="12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  <c r="AA8525" s="3"/>
      <c r="AB8525" s="3"/>
      <c r="AC8525" s="3"/>
      <c r="AD8525" s="3"/>
      <c r="AE8525" s="3"/>
      <c r="AF8525" s="3"/>
      <c r="AG8525" s="3"/>
      <c r="AH8525" s="3"/>
    </row>
    <row r="8526" spans="1:34" ht="14.25" customHeight="1" x14ac:dyDescent="0.25">
      <c r="A8526" s="3"/>
      <c r="B8526" s="3"/>
      <c r="C8526" s="3"/>
      <c r="D8526" s="3"/>
      <c r="E8526" s="3"/>
      <c r="F8526" s="3"/>
      <c r="G8526" s="3"/>
      <c r="H8526" s="11"/>
      <c r="I8526" s="12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  <c r="AA8526" s="3"/>
      <c r="AB8526" s="3"/>
      <c r="AC8526" s="3"/>
      <c r="AD8526" s="3"/>
      <c r="AE8526" s="3"/>
      <c r="AF8526" s="3"/>
      <c r="AG8526" s="3"/>
      <c r="AH8526" s="3"/>
    </row>
    <row r="8527" spans="1:34" ht="14.25" customHeight="1" x14ac:dyDescent="0.25">
      <c r="A8527" s="3"/>
      <c r="B8527" s="3"/>
      <c r="C8527" s="3"/>
      <c r="D8527" s="3"/>
      <c r="E8527" s="3"/>
      <c r="F8527" s="3"/>
      <c r="G8527" s="3"/>
      <c r="H8527" s="11"/>
      <c r="I8527" s="12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  <c r="AA8527" s="3"/>
      <c r="AB8527" s="3"/>
      <c r="AC8527" s="3"/>
      <c r="AD8527" s="3"/>
      <c r="AE8527" s="3"/>
      <c r="AF8527" s="3"/>
      <c r="AG8527" s="3"/>
      <c r="AH8527" s="3"/>
    </row>
    <row r="8528" spans="1:34" ht="14.25" customHeight="1" x14ac:dyDescent="0.25">
      <c r="A8528" s="3"/>
      <c r="B8528" s="3"/>
      <c r="C8528" s="3"/>
      <c r="D8528" s="3"/>
      <c r="E8528" s="3"/>
      <c r="F8528" s="3"/>
      <c r="G8528" s="3"/>
      <c r="H8528" s="11"/>
      <c r="I8528" s="12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  <c r="AA8528" s="3"/>
      <c r="AB8528" s="3"/>
      <c r="AC8528" s="3"/>
      <c r="AD8528" s="3"/>
      <c r="AE8528" s="3"/>
      <c r="AF8528" s="3"/>
      <c r="AG8528" s="3"/>
      <c r="AH8528" s="3"/>
    </row>
    <row r="8529" spans="1:34" ht="14.25" customHeight="1" x14ac:dyDescent="0.25">
      <c r="A8529" s="3"/>
      <c r="B8529" s="3"/>
      <c r="C8529" s="3"/>
      <c r="D8529" s="3"/>
      <c r="E8529" s="3"/>
      <c r="F8529" s="3"/>
      <c r="G8529" s="3"/>
      <c r="H8529" s="11"/>
      <c r="I8529" s="12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  <c r="AA8529" s="3"/>
      <c r="AB8529" s="3"/>
      <c r="AC8529" s="3"/>
      <c r="AD8529" s="3"/>
      <c r="AE8529" s="3"/>
      <c r="AF8529" s="3"/>
      <c r="AG8529" s="3"/>
      <c r="AH8529" s="3"/>
    </row>
    <row r="8530" spans="1:34" ht="14.25" customHeight="1" x14ac:dyDescent="0.25">
      <c r="A8530" s="3"/>
      <c r="B8530" s="3"/>
      <c r="C8530" s="3"/>
      <c r="D8530" s="3"/>
      <c r="E8530" s="3"/>
      <c r="F8530" s="3"/>
      <c r="G8530" s="3"/>
      <c r="H8530" s="11"/>
      <c r="I8530" s="12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  <c r="AA8530" s="3"/>
      <c r="AB8530" s="3"/>
      <c r="AC8530" s="3"/>
      <c r="AD8530" s="3"/>
      <c r="AE8530" s="3"/>
      <c r="AF8530" s="3"/>
      <c r="AG8530" s="3"/>
      <c r="AH8530" s="3"/>
    </row>
    <row r="8531" spans="1:34" ht="14.25" customHeight="1" x14ac:dyDescent="0.25">
      <c r="A8531" s="3"/>
      <c r="B8531" s="3"/>
      <c r="C8531" s="3"/>
      <c r="D8531" s="3"/>
      <c r="E8531" s="3"/>
      <c r="F8531" s="3"/>
      <c r="G8531" s="3"/>
      <c r="H8531" s="11"/>
      <c r="I8531" s="12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  <c r="AA8531" s="3"/>
      <c r="AB8531" s="3"/>
      <c r="AC8531" s="3"/>
      <c r="AD8531" s="3"/>
      <c r="AE8531" s="3"/>
      <c r="AF8531" s="3"/>
      <c r="AG8531" s="3"/>
      <c r="AH8531" s="3"/>
    </row>
    <row r="8532" spans="1:34" ht="14.25" customHeight="1" x14ac:dyDescent="0.25">
      <c r="A8532" s="3"/>
      <c r="B8532" s="3"/>
      <c r="C8532" s="3"/>
      <c r="D8532" s="3"/>
      <c r="E8532" s="3"/>
      <c r="F8532" s="3"/>
      <c r="G8532" s="3"/>
      <c r="H8532" s="11"/>
      <c r="I8532" s="12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  <c r="AA8532" s="3"/>
      <c r="AB8532" s="3"/>
      <c r="AC8532" s="3"/>
      <c r="AD8532" s="3"/>
      <c r="AE8532" s="3"/>
      <c r="AF8532" s="3"/>
      <c r="AG8532" s="3"/>
      <c r="AH8532" s="3"/>
    </row>
    <row r="8533" spans="1:34" ht="14.25" customHeight="1" x14ac:dyDescent="0.25">
      <c r="A8533" s="3"/>
      <c r="B8533" s="3"/>
      <c r="C8533" s="3"/>
      <c r="D8533" s="3"/>
      <c r="E8533" s="3"/>
      <c r="F8533" s="3"/>
      <c r="G8533" s="3"/>
      <c r="H8533" s="11"/>
      <c r="I8533" s="12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  <c r="AA8533" s="3"/>
      <c r="AB8533" s="3"/>
      <c r="AC8533" s="3"/>
      <c r="AD8533" s="3"/>
      <c r="AE8533" s="3"/>
      <c r="AF8533" s="3"/>
      <c r="AG8533" s="3"/>
      <c r="AH8533" s="3"/>
    </row>
    <row r="8534" spans="1:34" ht="14.25" customHeight="1" x14ac:dyDescent="0.25">
      <c r="A8534" s="3"/>
      <c r="B8534" s="3"/>
      <c r="C8534" s="3"/>
      <c r="D8534" s="3"/>
      <c r="E8534" s="3"/>
      <c r="F8534" s="3"/>
      <c r="G8534" s="3"/>
      <c r="H8534" s="11"/>
      <c r="I8534" s="12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  <c r="AA8534" s="3"/>
      <c r="AB8534" s="3"/>
      <c r="AC8534" s="3"/>
      <c r="AD8534" s="3"/>
      <c r="AE8534" s="3"/>
      <c r="AF8534" s="3"/>
      <c r="AG8534" s="3"/>
      <c r="AH8534" s="3"/>
    </row>
    <row r="8535" spans="1:34" ht="14.25" customHeight="1" x14ac:dyDescent="0.25">
      <c r="A8535" s="3"/>
      <c r="B8535" s="3"/>
      <c r="C8535" s="3"/>
      <c r="D8535" s="3"/>
      <c r="E8535" s="3"/>
      <c r="F8535" s="3"/>
      <c r="G8535" s="3"/>
      <c r="H8535" s="11"/>
      <c r="I8535" s="12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  <c r="AA8535" s="3"/>
      <c r="AB8535" s="3"/>
      <c r="AC8535" s="3"/>
      <c r="AD8535" s="3"/>
      <c r="AE8535" s="3"/>
      <c r="AF8535" s="3"/>
      <c r="AG8535" s="3"/>
      <c r="AH8535" s="3"/>
    </row>
    <row r="8536" spans="1:34" ht="14.25" customHeight="1" x14ac:dyDescent="0.25">
      <c r="A8536" s="3"/>
      <c r="B8536" s="3"/>
      <c r="C8536" s="3"/>
      <c r="D8536" s="3"/>
      <c r="E8536" s="3"/>
      <c r="F8536" s="3"/>
      <c r="G8536" s="3"/>
      <c r="H8536" s="11"/>
      <c r="I8536" s="12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  <c r="AA8536" s="3"/>
      <c r="AB8536" s="3"/>
      <c r="AC8536" s="3"/>
      <c r="AD8536" s="3"/>
      <c r="AE8536" s="3"/>
      <c r="AF8536" s="3"/>
      <c r="AG8536" s="3"/>
      <c r="AH8536" s="3"/>
    </row>
    <row r="8537" spans="1:34" ht="14.25" customHeight="1" x14ac:dyDescent="0.25">
      <c r="A8537" s="3"/>
      <c r="B8537" s="3"/>
      <c r="C8537" s="3"/>
      <c r="D8537" s="3"/>
      <c r="E8537" s="3"/>
      <c r="F8537" s="3"/>
      <c r="G8537" s="3"/>
      <c r="H8537" s="11"/>
      <c r="I8537" s="12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  <c r="AA8537" s="3"/>
      <c r="AB8537" s="3"/>
      <c r="AC8537" s="3"/>
      <c r="AD8537" s="3"/>
      <c r="AE8537" s="3"/>
      <c r="AF8537" s="3"/>
      <c r="AG8537" s="3"/>
      <c r="AH8537" s="3"/>
    </row>
    <row r="8538" spans="1:34" ht="14.25" customHeight="1" x14ac:dyDescent="0.25">
      <c r="A8538" s="3"/>
      <c r="B8538" s="3"/>
      <c r="C8538" s="3"/>
      <c r="D8538" s="3"/>
      <c r="E8538" s="3"/>
      <c r="F8538" s="3"/>
      <c r="G8538" s="3"/>
      <c r="H8538" s="11"/>
      <c r="I8538" s="12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  <c r="AA8538" s="3"/>
      <c r="AB8538" s="3"/>
      <c r="AC8538" s="3"/>
      <c r="AD8538" s="3"/>
      <c r="AE8538" s="3"/>
      <c r="AF8538" s="3"/>
      <c r="AG8538" s="3"/>
      <c r="AH8538" s="3"/>
    </row>
    <row r="8539" spans="1:34" ht="14.25" customHeight="1" x14ac:dyDescent="0.25">
      <c r="A8539" s="3"/>
      <c r="B8539" s="3"/>
      <c r="C8539" s="3"/>
      <c r="D8539" s="3"/>
      <c r="E8539" s="3"/>
      <c r="F8539" s="3"/>
      <c r="G8539" s="3"/>
      <c r="H8539" s="11"/>
      <c r="I8539" s="12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  <c r="AA8539" s="3"/>
      <c r="AB8539" s="3"/>
      <c r="AC8539" s="3"/>
      <c r="AD8539" s="3"/>
      <c r="AE8539" s="3"/>
      <c r="AF8539" s="3"/>
      <c r="AG8539" s="3"/>
      <c r="AH8539" s="3"/>
    </row>
    <row r="8540" spans="1:34" ht="14.25" customHeight="1" x14ac:dyDescent="0.25">
      <c r="A8540" s="3"/>
      <c r="B8540" s="3"/>
      <c r="C8540" s="3"/>
      <c r="D8540" s="3"/>
      <c r="E8540" s="3"/>
      <c r="F8540" s="3"/>
      <c r="G8540" s="3"/>
      <c r="H8540" s="11"/>
      <c r="I8540" s="12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  <c r="AA8540" s="3"/>
      <c r="AB8540" s="3"/>
      <c r="AC8540" s="3"/>
      <c r="AD8540" s="3"/>
      <c r="AE8540" s="3"/>
      <c r="AF8540" s="3"/>
      <c r="AG8540" s="3"/>
      <c r="AH8540" s="3"/>
    </row>
    <row r="8541" spans="1:34" ht="14.25" customHeight="1" x14ac:dyDescent="0.25">
      <c r="A8541" s="3"/>
      <c r="B8541" s="3"/>
      <c r="C8541" s="3"/>
      <c r="D8541" s="3"/>
      <c r="E8541" s="3"/>
      <c r="F8541" s="3"/>
      <c r="G8541" s="3"/>
      <c r="H8541" s="11"/>
      <c r="I8541" s="12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  <c r="AA8541" s="3"/>
      <c r="AB8541" s="3"/>
      <c r="AC8541" s="3"/>
      <c r="AD8541" s="3"/>
      <c r="AE8541" s="3"/>
      <c r="AF8541" s="3"/>
      <c r="AG8541" s="3"/>
      <c r="AH8541" s="3"/>
    </row>
    <row r="8542" spans="1:34" ht="14.25" customHeight="1" x14ac:dyDescent="0.25">
      <c r="A8542" s="3"/>
      <c r="B8542" s="3"/>
      <c r="C8542" s="3"/>
      <c r="D8542" s="3"/>
      <c r="E8542" s="3"/>
      <c r="F8542" s="3"/>
      <c r="G8542" s="3"/>
      <c r="H8542" s="11"/>
      <c r="I8542" s="12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  <c r="AA8542" s="3"/>
      <c r="AB8542" s="3"/>
      <c r="AC8542" s="3"/>
      <c r="AD8542" s="3"/>
      <c r="AE8542" s="3"/>
      <c r="AF8542" s="3"/>
      <c r="AG8542" s="3"/>
      <c r="AH8542" s="3"/>
    </row>
    <row r="8543" spans="1:34" ht="14.25" customHeight="1" x14ac:dyDescent="0.25">
      <c r="A8543" s="3"/>
      <c r="B8543" s="3"/>
      <c r="C8543" s="3"/>
      <c r="D8543" s="3"/>
      <c r="E8543" s="3"/>
      <c r="F8543" s="3"/>
      <c r="G8543" s="3"/>
      <c r="H8543" s="11"/>
      <c r="I8543" s="12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  <c r="AA8543" s="3"/>
      <c r="AB8543" s="3"/>
      <c r="AC8543" s="3"/>
      <c r="AD8543" s="3"/>
      <c r="AE8543" s="3"/>
      <c r="AF8543" s="3"/>
      <c r="AG8543" s="3"/>
      <c r="AH8543" s="3"/>
    </row>
    <row r="8544" spans="1:34" ht="14.25" customHeight="1" x14ac:dyDescent="0.25">
      <c r="A8544" s="3"/>
      <c r="B8544" s="3"/>
      <c r="C8544" s="3"/>
      <c r="D8544" s="3"/>
      <c r="E8544" s="3"/>
      <c r="F8544" s="3"/>
      <c r="G8544" s="3"/>
      <c r="H8544" s="11"/>
      <c r="I8544" s="12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  <c r="AA8544" s="3"/>
      <c r="AB8544" s="3"/>
      <c r="AC8544" s="3"/>
      <c r="AD8544" s="3"/>
      <c r="AE8544" s="3"/>
      <c r="AF8544" s="3"/>
      <c r="AG8544" s="3"/>
      <c r="AH8544" s="3"/>
    </row>
    <row r="8545" spans="1:34" ht="14.25" customHeight="1" x14ac:dyDescent="0.25">
      <c r="A8545" s="3"/>
      <c r="B8545" s="3"/>
      <c r="C8545" s="3"/>
      <c r="D8545" s="3"/>
      <c r="E8545" s="3"/>
      <c r="F8545" s="3"/>
      <c r="G8545" s="3"/>
      <c r="H8545" s="11"/>
      <c r="I8545" s="12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  <c r="AA8545" s="3"/>
      <c r="AB8545" s="3"/>
      <c r="AC8545" s="3"/>
      <c r="AD8545" s="3"/>
      <c r="AE8545" s="3"/>
      <c r="AF8545" s="3"/>
      <c r="AG8545" s="3"/>
      <c r="AH8545" s="3"/>
    </row>
    <row r="8546" spans="1:34" ht="14.25" customHeight="1" x14ac:dyDescent="0.25">
      <c r="A8546" s="3"/>
      <c r="B8546" s="3"/>
      <c r="C8546" s="3"/>
      <c r="D8546" s="3"/>
      <c r="E8546" s="3"/>
      <c r="F8546" s="3"/>
      <c r="G8546" s="3"/>
      <c r="H8546" s="11"/>
      <c r="I8546" s="12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  <c r="AA8546" s="3"/>
      <c r="AB8546" s="3"/>
      <c r="AC8546" s="3"/>
      <c r="AD8546" s="3"/>
      <c r="AE8546" s="3"/>
      <c r="AF8546" s="3"/>
      <c r="AG8546" s="3"/>
      <c r="AH8546" s="3"/>
    </row>
    <row r="8547" spans="1:34" ht="14.25" customHeight="1" x14ac:dyDescent="0.25">
      <c r="A8547" s="3"/>
      <c r="B8547" s="3"/>
      <c r="C8547" s="3"/>
      <c r="D8547" s="3"/>
      <c r="E8547" s="3"/>
      <c r="F8547" s="3"/>
      <c r="G8547" s="3"/>
      <c r="H8547" s="11"/>
      <c r="I8547" s="12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  <c r="AA8547" s="3"/>
      <c r="AB8547" s="3"/>
      <c r="AC8547" s="3"/>
      <c r="AD8547" s="3"/>
      <c r="AE8547" s="3"/>
      <c r="AF8547" s="3"/>
      <c r="AG8547" s="3"/>
      <c r="AH8547" s="3"/>
    </row>
    <row r="8548" spans="1:34" ht="14.25" customHeight="1" x14ac:dyDescent="0.25">
      <c r="A8548" s="3"/>
      <c r="B8548" s="3"/>
      <c r="C8548" s="3"/>
      <c r="D8548" s="3"/>
      <c r="E8548" s="3"/>
      <c r="F8548" s="3"/>
      <c r="G8548" s="3"/>
      <c r="H8548" s="11"/>
      <c r="I8548" s="12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  <c r="AA8548" s="3"/>
      <c r="AB8548" s="3"/>
      <c r="AC8548" s="3"/>
      <c r="AD8548" s="3"/>
      <c r="AE8548" s="3"/>
      <c r="AF8548" s="3"/>
      <c r="AG8548" s="3"/>
      <c r="AH8548" s="3"/>
    </row>
    <row r="8549" spans="1:34" ht="14.25" customHeight="1" x14ac:dyDescent="0.25">
      <c r="A8549" s="3"/>
      <c r="B8549" s="3"/>
      <c r="C8549" s="3"/>
      <c r="D8549" s="3"/>
      <c r="E8549" s="3"/>
      <c r="F8549" s="3"/>
      <c r="G8549" s="3"/>
      <c r="H8549" s="11"/>
      <c r="I8549" s="12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  <c r="AA8549" s="3"/>
      <c r="AB8549" s="3"/>
      <c r="AC8549" s="3"/>
      <c r="AD8549" s="3"/>
      <c r="AE8549" s="3"/>
      <c r="AF8549" s="3"/>
      <c r="AG8549" s="3"/>
      <c r="AH8549" s="3"/>
    </row>
    <row r="8550" spans="1:34" ht="14.25" customHeight="1" x14ac:dyDescent="0.25">
      <c r="A8550" s="3"/>
      <c r="B8550" s="3"/>
      <c r="C8550" s="3"/>
      <c r="D8550" s="3"/>
      <c r="E8550" s="3"/>
      <c r="F8550" s="3"/>
      <c r="G8550" s="3"/>
      <c r="H8550" s="11"/>
      <c r="I8550" s="12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  <c r="AA8550" s="3"/>
      <c r="AB8550" s="3"/>
      <c r="AC8550" s="3"/>
      <c r="AD8550" s="3"/>
      <c r="AE8550" s="3"/>
      <c r="AF8550" s="3"/>
      <c r="AG8550" s="3"/>
      <c r="AH8550" s="3"/>
    </row>
    <row r="8551" spans="1:34" ht="14.25" customHeight="1" x14ac:dyDescent="0.25">
      <c r="A8551" s="3"/>
      <c r="B8551" s="3"/>
      <c r="C8551" s="3"/>
      <c r="D8551" s="3"/>
      <c r="E8551" s="3"/>
      <c r="F8551" s="3"/>
      <c r="G8551" s="3"/>
      <c r="H8551" s="11"/>
      <c r="I8551" s="12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  <c r="AA8551" s="3"/>
      <c r="AB8551" s="3"/>
      <c r="AC8551" s="3"/>
      <c r="AD8551" s="3"/>
      <c r="AE8551" s="3"/>
      <c r="AF8551" s="3"/>
      <c r="AG8551" s="3"/>
      <c r="AH8551" s="3"/>
    </row>
    <row r="8552" spans="1:34" ht="14.25" customHeight="1" x14ac:dyDescent="0.25">
      <c r="A8552" s="3"/>
      <c r="B8552" s="3"/>
      <c r="C8552" s="3"/>
      <c r="D8552" s="3"/>
      <c r="E8552" s="3"/>
      <c r="F8552" s="3"/>
      <c r="G8552" s="3"/>
      <c r="H8552" s="11"/>
      <c r="I8552" s="12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  <c r="AA8552" s="3"/>
      <c r="AB8552" s="3"/>
      <c r="AC8552" s="3"/>
      <c r="AD8552" s="3"/>
      <c r="AE8552" s="3"/>
      <c r="AF8552" s="3"/>
      <c r="AG8552" s="3"/>
      <c r="AH8552" s="3"/>
    </row>
    <row r="8553" spans="1:34" ht="14.25" customHeight="1" x14ac:dyDescent="0.25">
      <c r="A8553" s="3"/>
      <c r="B8553" s="3"/>
      <c r="C8553" s="3"/>
      <c r="D8553" s="3"/>
      <c r="E8553" s="3"/>
      <c r="F8553" s="3"/>
      <c r="G8553" s="3"/>
      <c r="H8553" s="11"/>
      <c r="I8553" s="12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  <c r="AA8553" s="3"/>
      <c r="AB8553" s="3"/>
      <c r="AC8553" s="3"/>
      <c r="AD8553" s="3"/>
      <c r="AE8553" s="3"/>
      <c r="AF8553" s="3"/>
      <c r="AG8553" s="3"/>
      <c r="AH8553" s="3"/>
    </row>
    <row r="8554" spans="1:34" ht="14.25" customHeight="1" x14ac:dyDescent="0.25">
      <c r="A8554" s="3"/>
      <c r="B8554" s="3"/>
      <c r="C8554" s="3"/>
      <c r="D8554" s="3"/>
      <c r="E8554" s="3"/>
      <c r="F8554" s="3"/>
      <c r="G8554" s="3"/>
      <c r="H8554" s="11"/>
      <c r="I8554" s="12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  <c r="AA8554" s="3"/>
      <c r="AB8554" s="3"/>
      <c r="AC8554" s="3"/>
      <c r="AD8554" s="3"/>
      <c r="AE8554" s="3"/>
      <c r="AF8554" s="3"/>
      <c r="AG8554" s="3"/>
      <c r="AH8554" s="3"/>
    </row>
    <row r="8555" spans="1:34" ht="14.25" customHeight="1" x14ac:dyDescent="0.25">
      <c r="A8555" s="3"/>
      <c r="B8555" s="3"/>
      <c r="C8555" s="3"/>
      <c r="D8555" s="3"/>
      <c r="E8555" s="3"/>
      <c r="F8555" s="3"/>
      <c r="G8555" s="3"/>
      <c r="H8555" s="11"/>
      <c r="I8555" s="12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  <c r="AA8555" s="3"/>
      <c r="AB8555" s="3"/>
      <c r="AC8555" s="3"/>
      <c r="AD8555" s="3"/>
      <c r="AE8555" s="3"/>
      <c r="AF8555" s="3"/>
      <c r="AG8555" s="3"/>
      <c r="AH8555" s="3"/>
    </row>
    <row r="8556" spans="1:34" ht="14.25" customHeight="1" x14ac:dyDescent="0.25">
      <c r="A8556" s="3"/>
      <c r="B8556" s="3"/>
      <c r="C8556" s="3"/>
      <c r="D8556" s="3"/>
      <c r="E8556" s="3"/>
      <c r="F8556" s="3"/>
      <c r="G8556" s="3"/>
      <c r="H8556" s="11"/>
      <c r="I8556" s="12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  <c r="AA8556" s="3"/>
      <c r="AB8556" s="3"/>
      <c r="AC8556" s="3"/>
      <c r="AD8556" s="3"/>
      <c r="AE8556" s="3"/>
      <c r="AF8556" s="3"/>
      <c r="AG8556" s="3"/>
      <c r="AH8556" s="3"/>
    </row>
    <row r="8557" spans="1:34" ht="14.25" customHeight="1" x14ac:dyDescent="0.25">
      <c r="A8557" s="3"/>
      <c r="B8557" s="3"/>
      <c r="C8557" s="3"/>
      <c r="D8557" s="3"/>
      <c r="E8557" s="3"/>
      <c r="F8557" s="3"/>
      <c r="G8557" s="3"/>
      <c r="H8557" s="11"/>
      <c r="I8557" s="12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  <c r="AA8557" s="3"/>
      <c r="AB8557" s="3"/>
      <c r="AC8557" s="3"/>
      <c r="AD8557" s="3"/>
      <c r="AE8557" s="3"/>
      <c r="AF8557" s="3"/>
      <c r="AG8557" s="3"/>
      <c r="AH8557" s="3"/>
    </row>
    <row r="8558" spans="1:34" ht="14.25" customHeight="1" x14ac:dyDescent="0.25">
      <c r="A8558" s="3"/>
      <c r="B8558" s="3"/>
      <c r="C8558" s="3"/>
      <c r="D8558" s="3"/>
      <c r="E8558" s="3"/>
      <c r="F8558" s="3"/>
      <c r="G8558" s="3"/>
      <c r="H8558" s="11"/>
      <c r="I8558" s="12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  <c r="AA8558" s="3"/>
      <c r="AB8558" s="3"/>
      <c r="AC8558" s="3"/>
      <c r="AD8558" s="3"/>
      <c r="AE8558" s="3"/>
      <c r="AF8558" s="3"/>
      <c r="AG8558" s="3"/>
      <c r="AH8558" s="3"/>
    </row>
    <row r="8559" spans="1:34" ht="14.25" customHeight="1" x14ac:dyDescent="0.25">
      <c r="A8559" s="3"/>
      <c r="B8559" s="3"/>
      <c r="C8559" s="3"/>
      <c r="D8559" s="3"/>
      <c r="E8559" s="3"/>
      <c r="F8559" s="3"/>
      <c r="G8559" s="3"/>
      <c r="H8559" s="11"/>
      <c r="I8559" s="12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  <c r="AA8559" s="3"/>
      <c r="AB8559" s="3"/>
      <c r="AC8559" s="3"/>
      <c r="AD8559" s="3"/>
      <c r="AE8559" s="3"/>
      <c r="AF8559" s="3"/>
      <c r="AG8559" s="3"/>
      <c r="AH8559" s="3"/>
    </row>
    <row r="8560" spans="1:34" ht="14.25" customHeight="1" x14ac:dyDescent="0.25">
      <c r="A8560" s="3"/>
      <c r="B8560" s="3"/>
      <c r="C8560" s="3"/>
      <c r="D8560" s="3"/>
      <c r="E8560" s="3"/>
      <c r="F8560" s="3"/>
      <c r="G8560" s="3"/>
      <c r="H8560" s="11"/>
      <c r="I8560" s="12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  <c r="AA8560" s="3"/>
      <c r="AB8560" s="3"/>
      <c r="AC8560" s="3"/>
      <c r="AD8560" s="3"/>
      <c r="AE8560" s="3"/>
      <c r="AF8560" s="3"/>
      <c r="AG8560" s="3"/>
      <c r="AH8560" s="3"/>
    </row>
    <row r="8561" spans="1:34" ht="14.25" customHeight="1" x14ac:dyDescent="0.25">
      <c r="A8561" s="3"/>
      <c r="B8561" s="3"/>
      <c r="C8561" s="3"/>
      <c r="D8561" s="3"/>
      <c r="E8561" s="3"/>
      <c r="F8561" s="3"/>
      <c r="G8561" s="3"/>
      <c r="H8561" s="11"/>
      <c r="I8561" s="12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  <c r="AA8561" s="3"/>
      <c r="AB8561" s="3"/>
      <c r="AC8561" s="3"/>
      <c r="AD8561" s="3"/>
      <c r="AE8561" s="3"/>
      <c r="AF8561" s="3"/>
      <c r="AG8561" s="3"/>
      <c r="AH8561" s="3"/>
    </row>
    <row r="8562" spans="1:34" ht="14.25" customHeight="1" x14ac:dyDescent="0.25">
      <c r="A8562" s="3"/>
      <c r="B8562" s="3"/>
      <c r="C8562" s="3"/>
      <c r="D8562" s="3"/>
      <c r="E8562" s="3"/>
      <c r="F8562" s="3"/>
      <c r="G8562" s="3"/>
      <c r="H8562" s="11"/>
      <c r="I8562" s="12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  <c r="AA8562" s="3"/>
      <c r="AB8562" s="3"/>
      <c r="AC8562" s="3"/>
      <c r="AD8562" s="3"/>
      <c r="AE8562" s="3"/>
      <c r="AF8562" s="3"/>
      <c r="AG8562" s="3"/>
      <c r="AH8562" s="3"/>
    </row>
    <row r="8563" spans="1:34" ht="14.25" customHeight="1" x14ac:dyDescent="0.25">
      <c r="A8563" s="3"/>
      <c r="B8563" s="3"/>
      <c r="C8563" s="3"/>
      <c r="D8563" s="3"/>
      <c r="E8563" s="3"/>
      <c r="F8563" s="3"/>
      <c r="G8563" s="3"/>
      <c r="H8563" s="11"/>
      <c r="I8563" s="12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  <c r="AA8563" s="3"/>
      <c r="AB8563" s="3"/>
      <c r="AC8563" s="3"/>
      <c r="AD8563" s="3"/>
      <c r="AE8563" s="3"/>
      <c r="AF8563" s="3"/>
      <c r="AG8563" s="3"/>
      <c r="AH8563" s="3"/>
    </row>
    <row r="8564" spans="1:34" ht="14.25" customHeight="1" x14ac:dyDescent="0.25">
      <c r="A8564" s="3"/>
      <c r="B8564" s="3"/>
      <c r="C8564" s="3"/>
      <c r="D8564" s="3"/>
      <c r="E8564" s="3"/>
      <c r="F8564" s="3"/>
      <c r="G8564" s="3"/>
      <c r="H8564" s="11"/>
      <c r="I8564" s="12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  <c r="AA8564" s="3"/>
      <c r="AB8564" s="3"/>
      <c r="AC8564" s="3"/>
      <c r="AD8564" s="3"/>
      <c r="AE8564" s="3"/>
      <c r="AF8564" s="3"/>
      <c r="AG8564" s="3"/>
      <c r="AH8564" s="3"/>
    </row>
    <row r="8565" spans="1:34" ht="14.25" customHeight="1" x14ac:dyDescent="0.25">
      <c r="A8565" s="3"/>
      <c r="B8565" s="3"/>
      <c r="C8565" s="3"/>
      <c r="D8565" s="3"/>
      <c r="E8565" s="3"/>
      <c r="F8565" s="3"/>
      <c r="G8565" s="3"/>
      <c r="H8565" s="11"/>
      <c r="I8565" s="12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  <c r="AA8565" s="3"/>
      <c r="AB8565" s="3"/>
      <c r="AC8565" s="3"/>
      <c r="AD8565" s="3"/>
      <c r="AE8565" s="3"/>
      <c r="AF8565" s="3"/>
      <c r="AG8565" s="3"/>
      <c r="AH8565" s="3"/>
    </row>
    <row r="8566" spans="1:34" ht="14.25" customHeight="1" x14ac:dyDescent="0.25">
      <c r="A8566" s="3"/>
      <c r="B8566" s="3"/>
      <c r="C8566" s="3"/>
      <c r="D8566" s="3"/>
      <c r="E8566" s="3"/>
      <c r="F8566" s="3"/>
      <c r="G8566" s="3"/>
      <c r="H8566" s="11"/>
      <c r="I8566" s="12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  <c r="AA8566" s="3"/>
      <c r="AB8566" s="3"/>
      <c r="AC8566" s="3"/>
      <c r="AD8566" s="3"/>
      <c r="AE8566" s="3"/>
      <c r="AF8566" s="3"/>
      <c r="AG8566" s="3"/>
      <c r="AH8566" s="3"/>
    </row>
    <row r="8567" spans="1:34" ht="14.25" customHeight="1" x14ac:dyDescent="0.25">
      <c r="A8567" s="3"/>
      <c r="B8567" s="3"/>
      <c r="C8567" s="3"/>
      <c r="D8567" s="3"/>
      <c r="E8567" s="3"/>
      <c r="F8567" s="3"/>
      <c r="G8567" s="3"/>
      <c r="H8567" s="11"/>
      <c r="I8567" s="12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  <c r="AA8567" s="3"/>
      <c r="AB8567" s="3"/>
      <c r="AC8567" s="3"/>
      <c r="AD8567" s="3"/>
      <c r="AE8567" s="3"/>
      <c r="AF8567" s="3"/>
      <c r="AG8567" s="3"/>
      <c r="AH8567" s="3"/>
    </row>
    <row r="8568" spans="1:34" ht="14.25" customHeight="1" x14ac:dyDescent="0.25">
      <c r="A8568" s="3"/>
      <c r="B8568" s="3"/>
      <c r="C8568" s="3"/>
      <c r="D8568" s="3"/>
      <c r="E8568" s="3"/>
      <c r="F8568" s="3"/>
      <c r="G8568" s="3"/>
      <c r="H8568" s="11"/>
      <c r="I8568" s="12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  <c r="AA8568" s="3"/>
      <c r="AB8568" s="3"/>
      <c r="AC8568" s="3"/>
      <c r="AD8568" s="3"/>
      <c r="AE8568" s="3"/>
      <c r="AF8568" s="3"/>
      <c r="AG8568" s="3"/>
      <c r="AH8568" s="3"/>
    </row>
    <row r="8569" spans="1:34" ht="14.25" customHeight="1" x14ac:dyDescent="0.25">
      <c r="A8569" s="3"/>
      <c r="B8569" s="3"/>
      <c r="C8569" s="3"/>
      <c r="D8569" s="3"/>
      <c r="E8569" s="3"/>
      <c r="F8569" s="3"/>
      <c r="G8569" s="3"/>
      <c r="H8569" s="11"/>
      <c r="I8569" s="12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  <c r="AA8569" s="3"/>
      <c r="AB8569" s="3"/>
      <c r="AC8569" s="3"/>
      <c r="AD8569" s="3"/>
      <c r="AE8569" s="3"/>
      <c r="AF8569" s="3"/>
      <c r="AG8569" s="3"/>
      <c r="AH8569" s="3"/>
    </row>
    <row r="8570" spans="1:34" ht="14.25" customHeight="1" x14ac:dyDescent="0.25">
      <c r="A8570" s="3"/>
      <c r="B8570" s="3"/>
      <c r="C8570" s="3"/>
      <c r="D8570" s="3"/>
      <c r="E8570" s="3"/>
      <c r="F8570" s="3"/>
      <c r="G8570" s="3"/>
      <c r="H8570" s="11"/>
      <c r="I8570" s="12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  <c r="AA8570" s="3"/>
      <c r="AB8570" s="3"/>
      <c r="AC8570" s="3"/>
      <c r="AD8570" s="3"/>
      <c r="AE8570" s="3"/>
      <c r="AF8570" s="3"/>
      <c r="AG8570" s="3"/>
      <c r="AH8570" s="3"/>
    </row>
    <row r="8571" spans="1:34" ht="14.25" customHeight="1" x14ac:dyDescent="0.25">
      <c r="A8571" s="3"/>
      <c r="B8571" s="3"/>
      <c r="C8571" s="3"/>
      <c r="D8571" s="3"/>
      <c r="E8571" s="3"/>
      <c r="F8571" s="3"/>
      <c r="G8571" s="3"/>
      <c r="H8571" s="11"/>
      <c r="I8571" s="12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  <c r="AA8571" s="3"/>
      <c r="AB8571" s="3"/>
      <c r="AC8571" s="3"/>
      <c r="AD8571" s="3"/>
      <c r="AE8571" s="3"/>
      <c r="AF8571" s="3"/>
      <c r="AG8571" s="3"/>
      <c r="AH8571" s="3"/>
    </row>
    <row r="8572" spans="1:34" ht="14.25" customHeight="1" x14ac:dyDescent="0.25">
      <c r="A8572" s="3"/>
      <c r="B8572" s="3"/>
      <c r="C8572" s="3"/>
      <c r="D8572" s="3"/>
      <c r="E8572" s="3"/>
      <c r="F8572" s="3"/>
      <c r="G8572" s="3"/>
      <c r="H8572" s="11"/>
      <c r="I8572" s="12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  <c r="AA8572" s="3"/>
      <c r="AB8572" s="3"/>
      <c r="AC8572" s="3"/>
      <c r="AD8572" s="3"/>
      <c r="AE8572" s="3"/>
      <c r="AF8572" s="3"/>
      <c r="AG8572" s="3"/>
      <c r="AH8572" s="3"/>
    </row>
    <row r="8573" spans="1:34" ht="14.25" customHeight="1" x14ac:dyDescent="0.25">
      <c r="A8573" s="3"/>
      <c r="B8573" s="3"/>
      <c r="C8573" s="3"/>
      <c r="D8573" s="3"/>
      <c r="E8573" s="3"/>
      <c r="F8573" s="3"/>
      <c r="G8573" s="3"/>
      <c r="H8573" s="11"/>
      <c r="I8573" s="12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  <c r="AA8573" s="3"/>
      <c r="AB8573" s="3"/>
      <c r="AC8573" s="3"/>
      <c r="AD8573" s="3"/>
      <c r="AE8573" s="3"/>
      <c r="AF8573" s="3"/>
      <c r="AG8573" s="3"/>
      <c r="AH8573" s="3"/>
    </row>
    <row r="8574" spans="1:34" ht="14.25" customHeight="1" x14ac:dyDescent="0.25">
      <c r="A8574" s="3"/>
      <c r="B8574" s="3"/>
      <c r="C8574" s="3"/>
      <c r="D8574" s="3"/>
      <c r="E8574" s="3"/>
      <c r="F8574" s="3"/>
      <c r="G8574" s="3"/>
      <c r="H8574" s="11"/>
      <c r="I8574" s="12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  <c r="AA8574" s="3"/>
      <c r="AB8574" s="3"/>
      <c r="AC8574" s="3"/>
      <c r="AD8574" s="3"/>
      <c r="AE8574" s="3"/>
      <c r="AF8574" s="3"/>
      <c r="AG8574" s="3"/>
      <c r="AH8574" s="3"/>
    </row>
    <row r="8575" spans="1:34" ht="14.25" customHeight="1" x14ac:dyDescent="0.25">
      <c r="A8575" s="3"/>
      <c r="B8575" s="3"/>
      <c r="C8575" s="3"/>
      <c r="D8575" s="3"/>
      <c r="E8575" s="3"/>
      <c r="F8575" s="3"/>
      <c r="G8575" s="3"/>
      <c r="H8575" s="11"/>
      <c r="I8575" s="12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  <c r="AA8575" s="3"/>
      <c r="AB8575" s="3"/>
      <c r="AC8575" s="3"/>
      <c r="AD8575" s="3"/>
      <c r="AE8575" s="3"/>
      <c r="AF8575" s="3"/>
      <c r="AG8575" s="3"/>
      <c r="AH8575" s="3"/>
    </row>
    <row r="8576" spans="1:34" ht="14.25" customHeight="1" x14ac:dyDescent="0.25">
      <c r="A8576" s="3"/>
      <c r="B8576" s="3"/>
      <c r="C8576" s="3"/>
      <c r="D8576" s="3"/>
      <c r="E8576" s="3"/>
      <c r="F8576" s="3"/>
      <c r="G8576" s="3"/>
      <c r="H8576" s="11"/>
      <c r="I8576" s="12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  <c r="AA8576" s="3"/>
      <c r="AB8576" s="3"/>
      <c r="AC8576" s="3"/>
      <c r="AD8576" s="3"/>
      <c r="AE8576" s="3"/>
      <c r="AF8576" s="3"/>
      <c r="AG8576" s="3"/>
      <c r="AH8576" s="3"/>
    </row>
    <row r="8577" spans="1:34" ht="14.25" customHeight="1" x14ac:dyDescent="0.25">
      <c r="A8577" s="3"/>
      <c r="B8577" s="3"/>
      <c r="C8577" s="3"/>
      <c r="D8577" s="3"/>
      <c r="E8577" s="3"/>
      <c r="F8577" s="3"/>
      <c r="G8577" s="3"/>
      <c r="H8577" s="11"/>
      <c r="I8577" s="12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  <c r="AA8577" s="3"/>
      <c r="AB8577" s="3"/>
      <c r="AC8577" s="3"/>
      <c r="AD8577" s="3"/>
      <c r="AE8577" s="3"/>
      <c r="AF8577" s="3"/>
      <c r="AG8577" s="3"/>
      <c r="AH8577" s="3"/>
    </row>
    <row r="8578" spans="1:34" ht="14.25" customHeight="1" x14ac:dyDescent="0.25">
      <c r="A8578" s="3"/>
      <c r="B8578" s="3"/>
      <c r="C8578" s="3"/>
      <c r="D8578" s="3"/>
      <c r="E8578" s="3"/>
      <c r="F8578" s="3"/>
      <c r="G8578" s="3"/>
      <c r="H8578" s="11"/>
      <c r="I8578" s="12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  <c r="AA8578" s="3"/>
      <c r="AB8578" s="3"/>
      <c r="AC8578" s="3"/>
      <c r="AD8578" s="3"/>
      <c r="AE8578" s="3"/>
      <c r="AF8578" s="3"/>
      <c r="AG8578" s="3"/>
      <c r="AH8578" s="3"/>
    </row>
    <row r="8579" spans="1:34" ht="14.25" customHeight="1" x14ac:dyDescent="0.25">
      <c r="A8579" s="3"/>
      <c r="B8579" s="3"/>
      <c r="C8579" s="3"/>
      <c r="D8579" s="3"/>
      <c r="E8579" s="3"/>
      <c r="F8579" s="3"/>
      <c r="G8579" s="3"/>
      <c r="H8579" s="11"/>
      <c r="I8579" s="12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  <c r="AA8579" s="3"/>
      <c r="AB8579" s="3"/>
      <c r="AC8579" s="3"/>
      <c r="AD8579" s="3"/>
      <c r="AE8579" s="3"/>
      <c r="AF8579" s="3"/>
      <c r="AG8579" s="3"/>
      <c r="AH8579" s="3"/>
    </row>
    <row r="8580" spans="1:34" ht="14.25" customHeight="1" x14ac:dyDescent="0.25">
      <c r="A8580" s="3"/>
      <c r="B8580" s="3"/>
      <c r="C8580" s="3"/>
      <c r="D8580" s="3"/>
      <c r="E8580" s="3"/>
      <c r="F8580" s="3"/>
      <c r="G8580" s="3"/>
      <c r="H8580" s="11"/>
      <c r="I8580" s="12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  <c r="AA8580" s="3"/>
      <c r="AB8580" s="3"/>
      <c r="AC8580" s="3"/>
      <c r="AD8580" s="3"/>
      <c r="AE8580" s="3"/>
      <c r="AF8580" s="3"/>
      <c r="AG8580" s="3"/>
      <c r="AH8580" s="3"/>
    </row>
    <row r="8581" spans="1:34" ht="14.25" customHeight="1" x14ac:dyDescent="0.25">
      <c r="A8581" s="3"/>
      <c r="B8581" s="3"/>
      <c r="C8581" s="3"/>
      <c r="D8581" s="3"/>
      <c r="E8581" s="3"/>
      <c r="F8581" s="3"/>
      <c r="G8581" s="3"/>
      <c r="H8581" s="11"/>
      <c r="I8581" s="12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  <c r="AA8581" s="3"/>
      <c r="AB8581" s="3"/>
      <c r="AC8581" s="3"/>
      <c r="AD8581" s="3"/>
      <c r="AE8581" s="3"/>
      <c r="AF8581" s="3"/>
      <c r="AG8581" s="3"/>
      <c r="AH8581" s="3"/>
    </row>
    <row r="8582" spans="1:34" ht="14.25" customHeight="1" x14ac:dyDescent="0.25">
      <c r="A8582" s="3"/>
      <c r="B8582" s="3"/>
      <c r="C8582" s="3"/>
      <c r="D8582" s="3"/>
      <c r="E8582" s="3"/>
      <c r="F8582" s="3"/>
      <c r="G8582" s="3"/>
      <c r="H8582" s="11"/>
      <c r="I8582" s="12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  <c r="AA8582" s="3"/>
      <c r="AB8582" s="3"/>
      <c r="AC8582" s="3"/>
      <c r="AD8582" s="3"/>
      <c r="AE8582" s="3"/>
      <c r="AF8582" s="3"/>
      <c r="AG8582" s="3"/>
      <c r="AH8582" s="3"/>
    </row>
    <row r="8583" spans="1:34" ht="14.25" customHeight="1" x14ac:dyDescent="0.25">
      <c r="A8583" s="3"/>
      <c r="B8583" s="3"/>
      <c r="C8583" s="3"/>
      <c r="D8583" s="3"/>
      <c r="E8583" s="3"/>
      <c r="F8583" s="3"/>
      <c r="G8583" s="3"/>
      <c r="H8583" s="11"/>
      <c r="I8583" s="12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  <c r="AA8583" s="3"/>
      <c r="AB8583" s="3"/>
      <c r="AC8583" s="3"/>
      <c r="AD8583" s="3"/>
      <c r="AE8583" s="3"/>
      <c r="AF8583" s="3"/>
      <c r="AG8583" s="3"/>
      <c r="AH8583" s="3"/>
    </row>
    <row r="8584" spans="1:34" ht="14.25" customHeight="1" x14ac:dyDescent="0.25">
      <c r="A8584" s="3"/>
      <c r="B8584" s="3"/>
      <c r="C8584" s="3"/>
      <c r="D8584" s="3"/>
      <c r="E8584" s="3"/>
      <c r="F8584" s="3"/>
      <c r="G8584" s="3"/>
      <c r="H8584" s="11"/>
      <c r="I8584" s="12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  <c r="AA8584" s="3"/>
      <c r="AB8584" s="3"/>
      <c r="AC8584" s="3"/>
      <c r="AD8584" s="3"/>
      <c r="AE8584" s="3"/>
      <c r="AF8584" s="3"/>
      <c r="AG8584" s="3"/>
      <c r="AH8584" s="3"/>
    </row>
    <row r="8585" spans="1:34" ht="14.25" customHeight="1" x14ac:dyDescent="0.25">
      <c r="A8585" s="3"/>
      <c r="B8585" s="3"/>
      <c r="C8585" s="3"/>
      <c r="D8585" s="3"/>
      <c r="E8585" s="3"/>
      <c r="F8585" s="3"/>
      <c r="G8585" s="3"/>
      <c r="H8585" s="11"/>
      <c r="I8585" s="12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  <c r="AA8585" s="3"/>
      <c r="AB8585" s="3"/>
      <c r="AC8585" s="3"/>
      <c r="AD8585" s="3"/>
      <c r="AE8585" s="3"/>
      <c r="AF8585" s="3"/>
      <c r="AG8585" s="3"/>
      <c r="AH8585" s="3"/>
    </row>
    <row r="8586" spans="1:34" ht="14.25" customHeight="1" x14ac:dyDescent="0.25">
      <c r="A8586" s="3"/>
      <c r="B8586" s="3"/>
      <c r="C8586" s="3"/>
      <c r="D8586" s="3"/>
      <c r="E8586" s="3"/>
      <c r="F8586" s="3"/>
      <c r="G8586" s="3"/>
      <c r="H8586" s="11"/>
      <c r="I8586" s="12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  <c r="AA8586" s="3"/>
      <c r="AB8586" s="3"/>
      <c r="AC8586" s="3"/>
      <c r="AD8586" s="3"/>
      <c r="AE8586" s="3"/>
      <c r="AF8586" s="3"/>
      <c r="AG8586" s="3"/>
      <c r="AH8586" s="3"/>
    </row>
    <row r="8587" spans="1:34" ht="14.25" customHeight="1" x14ac:dyDescent="0.25">
      <c r="A8587" s="3"/>
      <c r="B8587" s="3"/>
      <c r="C8587" s="3"/>
      <c r="D8587" s="3"/>
      <c r="E8587" s="3"/>
      <c r="F8587" s="3"/>
      <c r="G8587" s="3"/>
      <c r="H8587" s="11"/>
      <c r="I8587" s="12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  <c r="AA8587" s="3"/>
      <c r="AB8587" s="3"/>
      <c r="AC8587" s="3"/>
      <c r="AD8587" s="3"/>
      <c r="AE8587" s="3"/>
      <c r="AF8587" s="3"/>
      <c r="AG8587" s="3"/>
      <c r="AH8587" s="3"/>
    </row>
    <row r="8588" spans="1:34" ht="14.25" customHeight="1" x14ac:dyDescent="0.25">
      <c r="A8588" s="3"/>
      <c r="B8588" s="3"/>
      <c r="C8588" s="3"/>
      <c r="D8588" s="3"/>
      <c r="E8588" s="3"/>
      <c r="F8588" s="3"/>
      <c r="G8588" s="3"/>
      <c r="H8588" s="11"/>
      <c r="I8588" s="12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  <c r="AA8588" s="3"/>
      <c r="AB8588" s="3"/>
      <c r="AC8588" s="3"/>
      <c r="AD8588" s="3"/>
      <c r="AE8588" s="3"/>
      <c r="AF8588" s="3"/>
      <c r="AG8588" s="3"/>
      <c r="AH8588" s="3"/>
    </row>
    <row r="8589" spans="1:34" ht="14.25" customHeight="1" x14ac:dyDescent="0.25">
      <c r="A8589" s="3"/>
      <c r="B8589" s="3"/>
      <c r="C8589" s="3"/>
      <c r="D8589" s="3"/>
      <c r="E8589" s="3"/>
      <c r="F8589" s="3"/>
      <c r="G8589" s="3"/>
      <c r="H8589" s="11"/>
      <c r="I8589" s="12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  <c r="AA8589" s="3"/>
      <c r="AB8589" s="3"/>
      <c r="AC8589" s="3"/>
      <c r="AD8589" s="3"/>
      <c r="AE8589" s="3"/>
      <c r="AF8589" s="3"/>
      <c r="AG8589" s="3"/>
      <c r="AH8589" s="3"/>
    </row>
    <row r="8590" spans="1:34" ht="14.25" customHeight="1" x14ac:dyDescent="0.25">
      <c r="A8590" s="3"/>
      <c r="B8590" s="3"/>
      <c r="C8590" s="3"/>
      <c r="D8590" s="3"/>
      <c r="E8590" s="3"/>
      <c r="F8590" s="3"/>
      <c r="G8590" s="3"/>
      <c r="H8590" s="11"/>
      <c r="I8590" s="12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  <c r="AA8590" s="3"/>
      <c r="AB8590" s="3"/>
      <c r="AC8590" s="3"/>
      <c r="AD8590" s="3"/>
      <c r="AE8590" s="3"/>
      <c r="AF8590" s="3"/>
      <c r="AG8590" s="3"/>
      <c r="AH8590" s="3"/>
    </row>
    <row r="8591" spans="1:34" ht="14.25" customHeight="1" x14ac:dyDescent="0.25">
      <c r="A8591" s="3"/>
      <c r="B8591" s="3"/>
      <c r="C8591" s="3"/>
      <c r="D8591" s="3"/>
      <c r="E8591" s="3"/>
      <c r="F8591" s="3"/>
      <c r="G8591" s="3"/>
      <c r="H8591" s="11"/>
      <c r="I8591" s="12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  <c r="AA8591" s="3"/>
      <c r="AB8591" s="3"/>
      <c r="AC8591" s="3"/>
      <c r="AD8591" s="3"/>
      <c r="AE8591" s="3"/>
      <c r="AF8591" s="3"/>
      <c r="AG8591" s="3"/>
      <c r="AH8591" s="3"/>
    </row>
    <row r="8592" spans="1:34" ht="14.25" customHeight="1" x14ac:dyDescent="0.25">
      <c r="A8592" s="3"/>
      <c r="B8592" s="3"/>
      <c r="C8592" s="3"/>
      <c r="D8592" s="3"/>
      <c r="E8592" s="3"/>
      <c r="F8592" s="3"/>
      <c r="G8592" s="3"/>
      <c r="H8592" s="11"/>
      <c r="I8592" s="12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  <c r="AA8592" s="3"/>
      <c r="AB8592" s="3"/>
      <c r="AC8592" s="3"/>
      <c r="AD8592" s="3"/>
      <c r="AE8592" s="3"/>
      <c r="AF8592" s="3"/>
      <c r="AG8592" s="3"/>
      <c r="AH8592" s="3"/>
    </row>
    <row r="8593" spans="1:34" ht="14.25" customHeight="1" x14ac:dyDescent="0.25">
      <c r="A8593" s="3"/>
      <c r="B8593" s="3"/>
      <c r="C8593" s="3"/>
      <c r="D8593" s="3"/>
      <c r="E8593" s="3"/>
      <c r="F8593" s="3"/>
      <c r="G8593" s="3"/>
      <c r="H8593" s="11"/>
      <c r="I8593" s="12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  <c r="AA8593" s="3"/>
      <c r="AB8593" s="3"/>
      <c r="AC8593" s="3"/>
      <c r="AD8593" s="3"/>
      <c r="AE8593" s="3"/>
      <c r="AF8593" s="3"/>
      <c r="AG8593" s="3"/>
      <c r="AH8593" s="3"/>
    </row>
    <row r="8594" spans="1:34" ht="14.25" customHeight="1" x14ac:dyDescent="0.25">
      <c r="A8594" s="3"/>
      <c r="B8594" s="3"/>
      <c r="C8594" s="3"/>
      <c r="D8594" s="3"/>
      <c r="E8594" s="3"/>
      <c r="F8594" s="3"/>
      <c r="G8594" s="3"/>
      <c r="H8594" s="11"/>
      <c r="I8594" s="12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  <c r="AA8594" s="3"/>
      <c r="AB8594" s="3"/>
      <c r="AC8594" s="3"/>
      <c r="AD8594" s="3"/>
      <c r="AE8594" s="3"/>
      <c r="AF8594" s="3"/>
      <c r="AG8594" s="3"/>
      <c r="AH8594" s="3"/>
    </row>
    <row r="8595" spans="1:34" ht="14.25" customHeight="1" x14ac:dyDescent="0.25">
      <c r="A8595" s="3"/>
      <c r="B8595" s="3"/>
      <c r="C8595" s="3"/>
      <c r="D8595" s="3"/>
      <c r="E8595" s="3"/>
      <c r="F8595" s="3"/>
      <c r="G8595" s="3"/>
      <c r="H8595" s="11"/>
      <c r="I8595" s="12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  <c r="AA8595" s="3"/>
      <c r="AB8595" s="3"/>
      <c r="AC8595" s="3"/>
      <c r="AD8595" s="3"/>
      <c r="AE8595" s="3"/>
      <c r="AF8595" s="3"/>
      <c r="AG8595" s="3"/>
      <c r="AH8595" s="3"/>
    </row>
    <row r="8596" spans="1:34" ht="14.25" customHeight="1" x14ac:dyDescent="0.25">
      <c r="A8596" s="3"/>
      <c r="B8596" s="3"/>
      <c r="C8596" s="3"/>
      <c r="D8596" s="3"/>
      <c r="E8596" s="3"/>
      <c r="F8596" s="3"/>
      <c r="G8596" s="3"/>
      <c r="H8596" s="11"/>
      <c r="I8596" s="12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  <c r="AA8596" s="3"/>
      <c r="AB8596" s="3"/>
      <c r="AC8596" s="3"/>
      <c r="AD8596" s="3"/>
      <c r="AE8596" s="3"/>
      <c r="AF8596" s="3"/>
      <c r="AG8596" s="3"/>
      <c r="AH8596" s="3"/>
    </row>
    <row r="8597" spans="1:34" ht="14.25" customHeight="1" x14ac:dyDescent="0.25">
      <c r="A8597" s="3"/>
      <c r="B8597" s="3"/>
      <c r="C8597" s="3"/>
      <c r="D8597" s="3"/>
      <c r="E8597" s="3"/>
      <c r="F8597" s="3"/>
      <c r="G8597" s="3"/>
      <c r="H8597" s="11"/>
      <c r="I8597" s="12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  <c r="AA8597" s="3"/>
      <c r="AB8597" s="3"/>
      <c r="AC8597" s="3"/>
      <c r="AD8597" s="3"/>
      <c r="AE8597" s="3"/>
      <c r="AF8597" s="3"/>
      <c r="AG8597" s="3"/>
      <c r="AH8597" s="3"/>
    </row>
    <row r="8598" spans="1:34" ht="14.25" customHeight="1" x14ac:dyDescent="0.25">
      <c r="A8598" s="3"/>
      <c r="B8598" s="3"/>
      <c r="C8598" s="3"/>
      <c r="D8598" s="3"/>
      <c r="E8598" s="3"/>
      <c r="F8598" s="3"/>
      <c r="G8598" s="3"/>
      <c r="H8598" s="11"/>
      <c r="I8598" s="12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  <c r="AA8598" s="3"/>
      <c r="AB8598" s="3"/>
      <c r="AC8598" s="3"/>
      <c r="AD8598" s="3"/>
      <c r="AE8598" s="3"/>
      <c r="AF8598" s="3"/>
      <c r="AG8598" s="3"/>
      <c r="AH8598" s="3"/>
    </row>
    <row r="8599" spans="1:34" ht="14.25" customHeight="1" x14ac:dyDescent="0.25">
      <c r="A8599" s="3"/>
      <c r="B8599" s="3"/>
      <c r="C8599" s="3"/>
      <c r="D8599" s="3"/>
      <c r="E8599" s="3"/>
      <c r="F8599" s="3"/>
      <c r="G8599" s="3"/>
      <c r="H8599" s="11"/>
      <c r="I8599" s="12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  <c r="AA8599" s="3"/>
      <c r="AB8599" s="3"/>
      <c r="AC8599" s="3"/>
      <c r="AD8599" s="3"/>
      <c r="AE8599" s="3"/>
      <c r="AF8599" s="3"/>
      <c r="AG8599" s="3"/>
      <c r="AH8599" s="3"/>
    </row>
    <row r="8600" spans="1:34" ht="14.25" customHeight="1" x14ac:dyDescent="0.25">
      <c r="A8600" s="3"/>
      <c r="B8600" s="3"/>
      <c r="C8600" s="3"/>
      <c r="D8600" s="3"/>
      <c r="E8600" s="3"/>
      <c r="F8600" s="3"/>
      <c r="G8600" s="3"/>
      <c r="H8600" s="11"/>
      <c r="I8600" s="12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  <c r="AA8600" s="3"/>
      <c r="AB8600" s="3"/>
      <c r="AC8600" s="3"/>
      <c r="AD8600" s="3"/>
      <c r="AE8600" s="3"/>
      <c r="AF8600" s="3"/>
      <c r="AG8600" s="3"/>
      <c r="AH8600" s="3"/>
    </row>
    <row r="8601" spans="1:34" ht="14.25" customHeight="1" x14ac:dyDescent="0.25">
      <c r="A8601" s="3"/>
      <c r="B8601" s="3"/>
      <c r="C8601" s="3"/>
      <c r="D8601" s="3"/>
      <c r="E8601" s="3"/>
      <c r="F8601" s="3"/>
      <c r="G8601" s="3"/>
      <c r="H8601" s="11"/>
      <c r="I8601" s="12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  <c r="AA8601" s="3"/>
      <c r="AB8601" s="3"/>
      <c r="AC8601" s="3"/>
      <c r="AD8601" s="3"/>
      <c r="AE8601" s="3"/>
      <c r="AF8601" s="3"/>
      <c r="AG8601" s="3"/>
      <c r="AH8601" s="3"/>
    </row>
    <row r="8602" spans="1:34" ht="14.25" customHeight="1" x14ac:dyDescent="0.25">
      <c r="A8602" s="3"/>
      <c r="B8602" s="3"/>
      <c r="C8602" s="3"/>
      <c r="D8602" s="3"/>
      <c r="E8602" s="3"/>
      <c r="F8602" s="3"/>
      <c r="G8602" s="3"/>
      <c r="H8602" s="11"/>
      <c r="I8602" s="12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  <c r="AA8602" s="3"/>
      <c r="AB8602" s="3"/>
      <c r="AC8602" s="3"/>
      <c r="AD8602" s="3"/>
      <c r="AE8602" s="3"/>
      <c r="AF8602" s="3"/>
      <c r="AG8602" s="3"/>
      <c r="AH8602" s="3"/>
    </row>
    <row r="8603" spans="1:34" ht="14.25" customHeight="1" x14ac:dyDescent="0.25">
      <c r="A8603" s="3"/>
      <c r="B8603" s="3"/>
      <c r="C8603" s="3"/>
      <c r="D8603" s="3"/>
      <c r="E8603" s="3"/>
      <c r="F8603" s="3"/>
      <c r="G8603" s="3"/>
      <c r="H8603" s="11"/>
      <c r="I8603" s="12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  <c r="AA8603" s="3"/>
      <c r="AB8603" s="3"/>
      <c r="AC8603" s="3"/>
      <c r="AD8603" s="3"/>
      <c r="AE8603" s="3"/>
      <c r="AF8603" s="3"/>
      <c r="AG8603" s="3"/>
      <c r="AH8603" s="3"/>
    </row>
    <row r="8604" spans="1:34" ht="14.25" customHeight="1" x14ac:dyDescent="0.25">
      <c r="A8604" s="3"/>
      <c r="B8604" s="3"/>
      <c r="C8604" s="3"/>
      <c r="D8604" s="3"/>
      <c r="E8604" s="3"/>
      <c r="F8604" s="3"/>
      <c r="G8604" s="3"/>
      <c r="H8604" s="11"/>
      <c r="I8604" s="12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  <c r="AA8604" s="3"/>
      <c r="AB8604" s="3"/>
      <c r="AC8604" s="3"/>
      <c r="AD8604" s="3"/>
      <c r="AE8604" s="3"/>
      <c r="AF8604" s="3"/>
      <c r="AG8604" s="3"/>
      <c r="AH8604" s="3"/>
    </row>
    <row r="8605" spans="1:34" ht="14.25" customHeight="1" x14ac:dyDescent="0.25">
      <c r="A8605" s="3"/>
      <c r="B8605" s="3"/>
      <c r="C8605" s="3"/>
      <c r="D8605" s="3"/>
      <c r="E8605" s="3"/>
      <c r="F8605" s="3"/>
      <c r="G8605" s="3"/>
      <c r="H8605" s="11"/>
      <c r="I8605" s="12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  <c r="AA8605" s="3"/>
      <c r="AB8605" s="3"/>
      <c r="AC8605" s="3"/>
      <c r="AD8605" s="3"/>
      <c r="AE8605" s="3"/>
      <c r="AF8605" s="3"/>
      <c r="AG8605" s="3"/>
      <c r="AH8605" s="3"/>
    </row>
    <row r="8606" spans="1:34" ht="14.25" customHeight="1" x14ac:dyDescent="0.25">
      <c r="A8606" s="3"/>
      <c r="B8606" s="3"/>
      <c r="C8606" s="3"/>
      <c r="D8606" s="3"/>
      <c r="E8606" s="3"/>
      <c r="F8606" s="3"/>
      <c r="G8606" s="3"/>
      <c r="H8606" s="11"/>
      <c r="I8606" s="12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  <c r="AA8606" s="3"/>
      <c r="AB8606" s="3"/>
      <c r="AC8606" s="3"/>
      <c r="AD8606" s="3"/>
      <c r="AE8606" s="3"/>
      <c r="AF8606" s="3"/>
      <c r="AG8606" s="3"/>
      <c r="AH8606" s="3"/>
    </row>
    <row r="8607" spans="1:34" ht="14.25" customHeight="1" x14ac:dyDescent="0.25">
      <c r="A8607" s="3"/>
      <c r="B8607" s="3"/>
      <c r="C8607" s="3"/>
      <c r="D8607" s="3"/>
      <c r="E8607" s="3"/>
      <c r="F8607" s="3"/>
      <c r="G8607" s="3"/>
      <c r="H8607" s="11"/>
      <c r="I8607" s="12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  <c r="AA8607" s="3"/>
      <c r="AB8607" s="3"/>
      <c r="AC8607" s="3"/>
      <c r="AD8607" s="3"/>
      <c r="AE8607" s="3"/>
      <c r="AF8607" s="3"/>
      <c r="AG8607" s="3"/>
      <c r="AH8607" s="3"/>
    </row>
    <row r="8608" spans="1:34" ht="14.25" customHeight="1" x14ac:dyDescent="0.25">
      <c r="A8608" s="3"/>
      <c r="B8608" s="3"/>
      <c r="C8608" s="3"/>
      <c r="D8608" s="3"/>
      <c r="E8608" s="3"/>
      <c r="F8608" s="3"/>
      <c r="G8608" s="3"/>
      <c r="H8608" s="11"/>
      <c r="I8608" s="12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  <c r="AA8608" s="3"/>
      <c r="AB8608" s="3"/>
      <c r="AC8608" s="3"/>
      <c r="AD8608" s="3"/>
      <c r="AE8608" s="3"/>
      <c r="AF8608" s="3"/>
      <c r="AG8608" s="3"/>
      <c r="AH8608" s="3"/>
    </row>
    <row r="8609" spans="1:34" ht="14.25" customHeight="1" x14ac:dyDescent="0.25">
      <c r="A8609" s="3"/>
      <c r="B8609" s="3"/>
      <c r="C8609" s="3"/>
      <c r="D8609" s="3"/>
      <c r="E8609" s="3"/>
      <c r="F8609" s="3"/>
      <c r="G8609" s="3"/>
      <c r="H8609" s="11"/>
      <c r="I8609" s="12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  <c r="AA8609" s="3"/>
      <c r="AB8609" s="3"/>
      <c r="AC8609" s="3"/>
      <c r="AD8609" s="3"/>
      <c r="AE8609" s="3"/>
      <c r="AF8609" s="3"/>
      <c r="AG8609" s="3"/>
      <c r="AH8609" s="3"/>
    </row>
    <row r="8610" spans="1:34" ht="14.25" customHeight="1" x14ac:dyDescent="0.25">
      <c r="A8610" s="3"/>
      <c r="B8610" s="3"/>
      <c r="C8610" s="3"/>
      <c r="D8610" s="3"/>
      <c r="E8610" s="3"/>
      <c r="F8610" s="3"/>
      <c r="G8610" s="3"/>
      <c r="H8610" s="11"/>
      <c r="I8610" s="12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  <c r="AA8610" s="3"/>
      <c r="AB8610" s="3"/>
      <c r="AC8610" s="3"/>
      <c r="AD8610" s="3"/>
      <c r="AE8610" s="3"/>
      <c r="AF8610" s="3"/>
      <c r="AG8610" s="3"/>
      <c r="AH8610" s="3"/>
    </row>
    <row r="8611" spans="1:34" ht="14.25" customHeight="1" x14ac:dyDescent="0.25">
      <c r="A8611" s="3"/>
      <c r="B8611" s="3"/>
      <c r="C8611" s="3"/>
      <c r="D8611" s="3"/>
      <c r="E8611" s="3"/>
      <c r="F8611" s="3"/>
      <c r="G8611" s="3"/>
      <c r="H8611" s="11"/>
      <c r="I8611" s="12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  <c r="AA8611" s="3"/>
      <c r="AB8611" s="3"/>
      <c r="AC8611" s="3"/>
      <c r="AD8611" s="3"/>
      <c r="AE8611" s="3"/>
      <c r="AF8611" s="3"/>
      <c r="AG8611" s="3"/>
      <c r="AH8611" s="3"/>
    </row>
    <row r="8612" spans="1:34" ht="14.25" customHeight="1" x14ac:dyDescent="0.25">
      <c r="A8612" s="3"/>
      <c r="B8612" s="3"/>
      <c r="C8612" s="3"/>
      <c r="D8612" s="3"/>
      <c r="E8612" s="3"/>
      <c r="F8612" s="3"/>
      <c r="G8612" s="3"/>
      <c r="H8612" s="11"/>
      <c r="I8612" s="12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  <c r="AA8612" s="3"/>
      <c r="AB8612" s="3"/>
      <c r="AC8612" s="3"/>
      <c r="AD8612" s="3"/>
      <c r="AE8612" s="3"/>
      <c r="AF8612" s="3"/>
      <c r="AG8612" s="3"/>
      <c r="AH8612" s="3"/>
    </row>
    <row r="8613" spans="1:34" ht="14.25" customHeight="1" x14ac:dyDescent="0.25">
      <c r="A8613" s="3"/>
      <c r="B8613" s="3"/>
      <c r="C8613" s="3"/>
      <c r="D8613" s="3"/>
      <c r="E8613" s="3"/>
      <c r="F8613" s="3"/>
      <c r="G8613" s="3"/>
      <c r="H8613" s="11"/>
      <c r="I8613" s="12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  <c r="AA8613" s="3"/>
      <c r="AB8613" s="3"/>
      <c r="AC8613" s="3"/>
      <c r="AD8613" s="3"/>
      <c r="AE8613" s="3"/>
      <c r="AF8613" s="3"/>
      <c r="AG8613" s="3"/>
      <c r="AH8613" s="3"/>
    </row>
    <row r="8614" spans="1:34" ht="14.25" customHeight="1" x14ac:dyDescent="0.25">
      <c r="A8614" s="3"/>
      <c r="B8614" s="3"/>
      <c r="C8614" s="3"/>
      <c r="D8614" s="3"/>
      <c r="E8614" s="3"/>
      <c r="F8614" s="3"/>
      <c r="G8614" s="3"/>
      <c r="H8614" s="11"/>
      <c r="I8614" s="12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  <c r="AA8614" s="3"/>
      <c r="AB8614" s="3"/>
      <c r="AC8614" s="3"/>
      <c r="AD8614" s="3"/>
      <c r="AE8614" s="3"/>
      <c r="AF8614" s="3"/>
      <c r="AG8614" s="3"/>
      <c r="AH8614" s="3"/>
    </row>
    <row r="8615" spans="1:34" ht="14.25" customHeight="1" x14ac:dyDescent="0.25">
      <c r="A8615" s="3"/>
      <c r="B8615" s="3"/>
      <c r="C8615" s="3"/>
      <c r="D8615" s="3"/>
      <c r="E8615" s="3"/>
      <c r="F8615" s="3"/>
      <c r="G8615" s="3"/>
      <c r="H8615" s="11"/>
      <c r="I8615" s="12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  <c r="AA8615" s="3"/>
      <c r="AB8615" s="3"/>
      <c r="AC8615" s="3"/>
      <c r="AD8615" s="3"/>
      <c r="AE8615" s="3"/>
      <c r="AF8615" s="3"/>
      <c r="AG8615" s="3"/>
      <c r="AH8615" s="3"/>
    </row>
    <row r="8616" spans="1:34" ht="14.25" customHeight="1" x14ac:dyDescent="0.25">
      <c r="A8616" s="3"/>
      <c r="B8616" s="3"/>
      <c r="C8616" s="3"/>
      <c r="D8616" s="3"/>
      <c r="E8616" s="3"/>
      <c r="F8616" s="3"/>
      <c r="G8616" s="3"/>
      <c r="H8616" s="11"/>
      <c r="I8616" s="12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  <c r="AA8616" s="3"/>
      <c r="AB8616" s="3"/>
      <c r="AC8616" s="3"/>
      <c r="AD8616" s="3"/>
      <c r="AE8616" s="3"/>
      <c r="AF8616" s="3"/>
      <c r="AG8616" s="3"/>
      <c r="AH8616" s="3"/>
    </row>
    <row r="8617" spans="1:34" ht="14.25" customHeight="1" x14ac:dyDescent="0.25">
      <c r="A8617" s="3"/>
      <c r="B8617" s="3"/>
      <c r="C8617" s="3"/>
      <c r="D8617" s="3"/>
      <c r="E8617" s="3"/>
      <c r="F8617" s="3"/>
      <c r="G8617" s="3"/>
      <c r="H8617" s="11"/>
      <c r="I8617" s="12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  <c r="AA8617" s="3"/>
      <c r="AB8617" s="3"/>
      <c r="AC8617" s="3"/>
      <c r="AD8617" s="3"/>
      <c r="AE8617" s="3"/>
      <c r="AF8617" s="3"/>
      <c r="AG8617" s="3"/>
      <c r="AH8617" s="3"/>
    </row>
    <row r="8618" spans="1:34" ht="14.25" customHeight="1" x14ac:dyDescent="0.25">
      <c r="A8618" s="3"/>
      <c r="B8618" s="3"/>
      <c r="C8618" s="3"/>
      <c r="D8618" s="3"/>
      <c r="E8618" s="3"/>
      <c r="F8618" s="3"/>
      <c r="G8618" s="3"/>
      <c r="H8618" s="11"/>
      <c r="I8618" s="12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  <c r="AA8618" s="3"/>
      <c r="AB8618" s="3"/>
      <c r="AC8618" s="3"/>
      <c r="AD8618" s="3"/>
      <c r="AE8618" s="3"/>
      <c r="AF8618" s="3"/>
      <c r="AG8618" s="3"/>
      <c r="AH8618" s="3"/>
    </row>
    <row r="8619" spans="1:34" ht="14.25" customHeight="1" x14ac:dyDescent="0.25">
      <c r="A8619" s="3"/>
      <c r="B8619" s="3"/>
      <c r="C8619" s="3"/>
      <c r="D8619" s="3"/>
      <c r="E8619" s="3"/>
      <c r="F8619" s="3"/>
      <c r="G8619" s="3"/>
      <c r="H8619" s="11"/>
      <c r="I8619" s="12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  <c r="AA8619" s="3"/>
      <c r="AB8619" s="3"/>
      <c r="AC8619" s="3"/>
      <c r="AD8619" s="3"/>
      <c r="AE8619" s="3"/>
      <c r="AF8619" s="3"/>
      <c r="AG8619" s="3"/>
      <c r="AH8619" s="3"/>
    </row>
    <row r="8620" spans="1:34" ht="14.25" customHeight="1" x14ac:dyDescent="0.25">
      <c r="A8620" s="3"/>
      <c r="B8620" s="3"/>
      <c r="C8620" s="3"/>
      <c r="D8620" s="3"/>
      <c r="E8620" s="3"/>
      <c r="F8620" s="3"/>
      <c r="G8620" s="3"/>
      <c r="H8620" s="11"/>
      <c r="I8620" s="12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  <c r="AA8620" s="3"/>
      <c r="AB8620" s="3"/>
      <c r="AC8620" s="3"/>
      <c r="AD8620" s="3"/>
      <c r="AE8620" s="3"/>
      <c r="AF8620" s="3"/>
      <c r="AG8620" s="3"/>
      <c r="AH8620" s="3"/>
    </row>
    <row r="8621" spans="1:34" ht="14.25" customHeight="1" x14ac:dyDescent="0.25">
      <c r="A8621" s="3"/>
      <c r="B8621" s="3"/>
      <c r="C8621" s="3"/>
      <c r="D8621" s="3"/>
      <c r="E8621" s="3"/>
      <c r="F8621" s="3"/>
      <c r="G8621" s="3"/>
      <c r="H8621" s="11"/>
      <c r="I8621" s="12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  <c r="AA8621" s="3"/>
      <c r="AB8621" s="3"/>
      <c r="AC8621" s="3"/>
      <c r="AD8621" s="3"/>
      <c r="AE8621" s="3"/>
      <c r="AF8621" s="3"/>
      <c r="AG8621" s="3"/>
      <c r="AH8621" s="3"/>
    </row>
    <row r="8622" spans="1:34" ht="14.25" customHeight="1" x14ac:dyDescent="0.25">
      <c r="A8622" s="3"/>
      <c r="B8622" s="3"/>
      <c r="C8622" s="3"/>
      <c r="D8622" s="3"/>
      <c r="E8622" s="3"/>
      <c r="F8622" s="3"/>
      <c r="G8622" s="3"/>
      <c r="H8622" s="11"/>
      <c r="I8622" s="12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  <c r="AA8622" s="3"/>
      <c r="AB8622" s="3"/>
      <c r="AC8622" s="3"/>
      <c r="AD8622" s="3"/>
      <c r="AE8622" s="3"/>
      <c r="AF8622" s="3"/>
      <c r="AG8622" s="3"/>
      <c r="AH8622" s="3"/>
    </row>
    <row r="8623" spans="1:34" ht="14.25" customHeight="1" x14ac:dyDescent="0.25">
      <c r="A8623" s="3"/>
      <c r="B8623" s="3"/>
      <c r="C8623" s="3"/>
      <c r="D8623" s="3"/>
      <c r="E8623" s="3"/>
      <c r="F8623" s="3"/>
      <c r="G8623" s="3"/>
      <c r="H8623" s="11"/>
      <c r="I8623" s="12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  <c r="AA8623" s="3"/>
      <c r="AB8623" s="3"/>
      <c r="AC8623" s="3"/>
      <c r="AD8623" s="3"/>
      <c r="AE8623" s="3"/>
      <c r="AF8623" s="3"/>
      <c r="AG8623" s="3"/>
      <c r="AH8623" s="3"/>
    </row>
    <row r="8624" spans="1:34" ht="14.25" customHeight="1" x14ac:dyDescent="0.25">
      <c r="A8624" s="3"/>
      <c r="B8624" s="3"/>
      <c r="C8624" s="3"/>
      <c r="D8624" s="3"/>
      <c r="E8624" s="3"/>
      <c r="F8624" s="3"/>
      <c r="G8624" s="3"/>
      <c r="H8624" s="11"/>
      <c r="I8624" s="12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  <c r="AA8624" s="3"/>
      <c r="AB8624" s="3"/>
      <c r="AC8624" s="3"/>
      <c r="AD8624" s="3"/>
      <c r="AE8624" s="3"/>
      <c r="AF8624" s="3"/>
      <c r="AG8624" s="3"/>
      <c r="AH8624" s="3"/>
    </row>
    <row r="8625" spans="1:34" ht="14.25" customHeight="1" x14ac:dyDescent="0.25">
      <c r="A8625" s="3"/>
      <c r="B8625" s="3"/>
      <c r="C8625" s="3"/>
      <c r="D8625" s="3"/>
      <c r="E8625" s="3"/>
      <c r="F8625" s="3"/>
      <c r="G8625" s="3"/>
      <c r="H8625" s="11"/>
      <c r="I8625" s="12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  <c r="AA8625" s="3"/>
      <c r="AB8625" s="3"/>
      <c r="AC8625" s="3"/>
      <c r="AD8625" s="3"/>
      <c r="AE8625" s="3"/>
      <c r="AF8625" s="3"/>
      <c r="AG8625" s="3"/>
      <c r="AH8625" s="3"/>
    </row>
    <row r="8626" spans="1:34" ht="14.25" customHeight="1" x14ac:dyDescent="0.25">
      <c r="A8626" s="3"/>
      <c r="B8626" s="3"/>
      <c r="C8626" s="3"/>
      <c r="D8626" s="3"/>
      <c r="E8626" s="3"/>
      <c r="F8626" s="3"/>
      <c r="G8626" s="3"/>
      <c r="H8626" s="11"/>
      <c r="I8626" s="12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  <c r="AA8626" s="3"/>
      <c r="AB8626" s="3"/>
      <c r="AC8626" s="3"/>
      <c r="AD8626" s="3"/>
      <c r="AE8626" s="3"/>
      <c r="AF8626" s="3"/>
      <c r="AG8626" s="3"/>
      <c r="AH8626" s="3"/>
    </row>
    <row r="8627" spans="1:34" ht="14.25" customHeight="1" x14ac:dyDescent="0.25">
      <c r="A8627" s="3"/>
      <c r="B8627" s="3"/>
      <c r="C8627" s="3"/>
      <c r="D8627" s="3"/>
      <c r="E8627" s="3"/>
      <c r="F8627" s="3"/>
      <c r="G8627" s="3"/>
      <c r="H8627" s="11"/>
      <c r="I8627" s="12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  <c r="AA8627" s="3"/>
      <c r="AB8627" s="3"/>
      <c r="AC8627" s="3"/>
      <c r="AD8627" s="3"/>
      <c r="AE8627" s="3"/>
      <c r="AF8627" s="3"/>
      <c r="AG8627" s="3"/>
      <c r="AH8627" s="3"/>
    </row>
    <row r="8628" spans="1:34" ht="14.25" customHeight="1" x14ac:dyDescent="0.25">
      <c r="A8628" s="3"/>
      <c r="B8628" s="3"/>
      <c r="C8628" s="3"/>
      <c r="D8628" s="3"/>
      <c r="E8628" s="3"/>
      <c r="F8628" s="3"/>
      <c r="G8628" s="3"/>
      <c r="H8628" s="11"/>
      <c r="I8628" s="12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  <c r="AA8628" s="3"/>
      <c r="AB8628" s="3"/>
      <c r="AC8628" s="3"/>
      <c r="AD8628" s="3"/>
      <c r="AE8628" s="3"/>
      <c r="AF8628" s="3"/>
      <c r="AG8628" s="3"/>
      <c r="AH8628" s="3"/>
    </row>
    <row r="8629" spans="1:34" ht="14.25" customHeight="1" x14ac:dyDescent="0.25">
      <c r="A8629" s="3"/>
      <c r="B8629" s="3"/>
      <c r="C8629" s="3"/>
      <c r="D8629" s="3"/>
      <c r="E8629" s="3"/>
      <c r="F8629" s="3"/>
      <c r="G8629" s="3"/>
      <c r="H8629" s="11"/>
      <c r="I8629" s="12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  <c r="AA8629" s="3"/>
      <c r="AB8629" s="3"/>
      <c r="AC8629" s="3"/>
      <c r="AD8629" s="3"/>
      <c r="AE8629" s="3"/>
      <c r="AF8629" s="3"/>
      <c r="AG8629" s="3"/>
      <c r="AH8629" s="3"/>
    </row>
    <row r="8630" spans="1:34" ht="14.25" customHeight="1" x14ac:dyDescent="0.25">
      <c r="A8630" s="3"/>
      <c r="B8630" s="3"/>
      <c r="C8630" s="3"/>
      <c r="D8630" s="3"/>
      <c r="E8630" s="3"/>
      <c r="F8630" s="3"/>
      <c r="G8630" s="3"/>
      <c r="H8630" s="11"/>
      <c r="I8630" s="12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  <c r="AA8630" s="3"/>
      <c r="AB8630" s="3"/>
      <c r="AC8630" s="3"/>
      <c r="AD8630" s="3"/>
      <c r="AE8630" s="3"/>
      <c r="AF8630" s="3"/>
      <c r="AG8630" s="3"/>
      <c r="AH8630" s="3"/>
    </row>
    <row r="8631" spans="1:34" ht="14.25" customHeight="1" x14ac:dyDescent="0.25">
      <c r="A8631" s="3"/>
      <c r="B8631" s="3"/>
      <c r="C8631" s="3"/>
      <c r="D8631" s="3"/>
      <c r="E8631" s="3"/>
      <c r="F8631" s="3"/>
      <c r="G8631" s="3"/>
      <c r="H8631" s="11"/>
      <c r="I8631" s="12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  <c r="AA8631" s="3"/>
      <c r="AB8631" s="3"/>
      <c r="AC8631" s="3"/>
      <c r="AD8631" s="3"/>
      <c r="AE8631" s="3"/>
      <c r="AF8631" s="3"/>
      <c r="AG8631" s="3"/>
      <c r="AH8631" s="3"/>
    </row>
    <row r="8632" spans="1:34" ht="14.25" customHeight="1" x14ac:dyDescent="0.25">
      <c r="A8632" s="3"/>
      <c r="B8632" s="3"/>
      <c r="C8632" s="3"/>
      <c r="D8632" s="3"/>
      <c r="E8632" s="3"/>
      <c r="F8632" s="3"/>
      <c r="G8632" s="3"/>
      <c r="H8632" s="11"/>
      <c r="I8632" s="12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  <c r="AA8632" s="3"/>
      <c r="AB8632" s="3"/>
      <c r="AC8632" s="3"/>
      <c r="AD8632" s="3"/>
      <c r="AE8632" s="3"/>
      <c r="AF8632" s="3"/>
      <c r="AG8632" s="3"/>
      <c r="AH8632" s="3"/>
    </row>
    <row r="8633" spans="1:34" ht="14.25" customHeight="1" x14ac:dyDescent="0.25">
      <c r="A8633" s="3"/>
      <c r="B8633" s="3"/>
      <c r="C8633" s="3"/>
      <c r="D8633" s="3"/>
      <c r="E8633" s="3"/>
      <c r="F8633" s="3"/>
      <c r="G8633" s="3"/>
      <c r="H8633" s="11"/>
      <c r="I8633" s="12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  <c r="AA8633" s="3"/>
      <c r="AB8633" s="3"/>
      <c r="AC8633" s="3"/>
      <c r="AD8633" s="3"/>
      <c r="AE8633" s="3"/>
      <c r="AF8633" s="3"/>
      <c r="AG8633" s="3"/>
      <c r="AH8633" s="3"/>
    </row>
    <row r="8634" spans="1:34" ht="14.25" customHeight="1" x14ac:dyDescent="0.25">
      <c r="A8634" s="3"/>
      <c r="B8634" s="3"/>
      <c r="C8634" s="3"/>
      <c r="D8634" s="3"/>
      <c r="E8634" s="3"/>
      <c r="F8634" s="3"/>
      <c r="G8634" s="3"/>
      <c r="H8634" s="11"/>
      <c r="I8634" s="12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  <c r="AA8634" s="3"/>
      <c r="AB8634" s="3"/>
      <c r="AC8634" s="3"/>
      <c r="AD8634" s="3"/>
      <c r="AE8634" s="3"/>
      <c r="AF8634" s="3"/>
      <c r="AG8634" s="3"/>
      <c r="AH8634" s="3"/>
    </row>
    <row r="8635" spans="1:34" ht="14.25" customHeight="1" x14ac:dyDescent="0.25">
      <c r="A8635" s="3"/>
      <c r="B8635" s="3"/>
      <c r="C8635" s="3"/>
      <c r="D8635" s="3"/>
      <c r="E8635" s="3"/>
      <c r="F8635" s="3"/>
      <c r="G8635" s="3"/>
      <c r="H8635" s="11"/>
      <c r="I8635" s="12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  <c r="AA8635" s="3"/>
      <c r="AB8635" s="3"/>
      <c r="AC8635" s="3"/>
      <c r="AD8635" s="3"/>
      <c r="AE8635" s="3"/>
      <c r="AF8635" s="3"/>
      <c r="AG8635" s="3"/>
      <c r="AH8635" s="3"/>
    </row>
    <row r="8636" spans="1:34" ht="14.25" customHeight="1" x14ac:dyDescent="0.25">
      <c r="A8636" s="3"/>
      <c r="B8636" s="3"/>
      <c r="C8636" s="3"/>
      <c r="D8636" s="3"/>
      <c r="E8636" s="3"/>
      <c r="F8636" s="3"/>
      <c r="G8636" s="3"/>
      <c r="H8636" s="11"/>
      <c r="I8636" s="12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  <c r="AA8636" s="3"/>
      <c r="AB8636" s="3"/>
      <c r="AC8636" s="3"/>
      <c r="AD8636" s="3"/>
      <c r="AE8636" s="3"/>
      <c r="AF8636" s="3"/>
      <c r="AG8636" s="3"/>
      <c r="AH8636" s="3"/>
    </row>
    <row r="8637" spans="1:34" ht="14.25" customHeight="1" x14ac:dyDescent="0.25">
      <c r="A8637" s="3"/>
      <c r="B8637" s="3"/>
      <c r="C8637" s="3"/>
      <c r="D8637" s="3"/>
      <c r="E8637" s="3"/>
      <c r="F8637" s="3"/>
      <c r="G8637" s="3"/>
      <c r="H8637" s="11"/>
      <c r="I8637" s="12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  <c r="AA8637" s="3"/>
      <c r="AB8637" s="3"/>
      <c r="AC8637" s="3"/>
      <c r="AD8637" s="3"/>
      <c r="AE8637" s="3"/>
      <c r="AF8637" s="3"/>
      <c r="AG8637" s="3"/>
      <c r="AH8637" s="3"/>
    </row>
    <row r="8638" spans="1:34" ht="14.25" customHeight="1" x14ac:dyDescent="0.25">
      <c r="A8638" s="3"/>
      <c r="B8638" s="3"/>
      <c r="C8638" s="3"/>
      <c r="D8638" s="3"/>
      <c r="E8638" s="3"/>
      <c r="F8638" s="3"/>
      <c r="G8638" s="3"/>
      <c r="H8638" s="11"/>
      <c r="I8638" s="12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  <c r="AA8638" s="3"/>
      <c r="AB8638" s="3"/>
      <c r="AC8638" s="3"/>
      <c r="AD8638" s="3"/>
      <c r="AE8638" s="3"/>
      <c r="AF8638" s="3"/>
      <c r="AG8638" s="3"/>
      <c r="AH8638" s="3"/>
    </row>
    <row r="8639" spans="1:34" ht="14.25" customHeight="1" x14ac:dyDescent="0.25">
      <c r="A8639" s="3"/>
      <c r="B8639" s="3"/>
      <c r="C8639" s="3"/>
      <c r="D8639" s="3"/>
      <c r="E8639" s="3"/>
      <c r="F8639" s="3"/>
      <c r="G8639" s="3"/>
      <c r="H8639" s="11"/>
      <c r="I8639" s="12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  <c r="AA8639" s="3"/>
      <c r="AB8639" s="3"/>
      <c r="AC8639" s="3"/>
      <c r="AD8639" s="3"/>
      <c r="AE8639" s="3"/>
      <c r="AF8639" s="3"/>
      <c r="AG8639" s="3"/>
      <c r="AH8639" s="3"/>
    </row>
    <row r="8640" spans="1:34" ht="14.25" customHeight="1" x14ac:dyDescent="0.25">
      <c r="A8640" s="3"/>
      <c r="B8640" s="3"/>
      <c r="C8640" s="3"/>
      <c r="D8640" s="3"/>
      <c r="E8640" s="3"/>
      <c r="F8640" s="3"/>
      <c r="G8640" s="3"/>
      <c r="H8640" s="11"/>
      <c r="I8640" s="12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  <c r="AA8640" s="3"/>
      <c r="AB8640" s="3"/>
      <c r="AC8640" s="3"/>
      <c r="AD8640" s="3"/>
      <c r="AE8640" s="3"/>
      <c r="AF8640" s="3"/>
      <c r="AG8640" s="3"/>
      <c r="AH8640" s="3"/>
    </row>
    <row r="8641" spans="1:34" ht="14.25" customHeight="1" x14ac:dyDescent="0.25">
      <c r="A8641" s="3"/>
      <c r="B8641" s="3"/>
      <c r="C8641" s="3"/>
      <c r="D8641" s="3"/>
      <c r="E8641" s="3"/>
      <c r="F8641" s="3"/>
      <c r="G8641" s="3"/>
      <c r="H8641" s="11"/>
      <c r="I8641" s="12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  <c r="AA8641" s="3"/>
      <c r="AB8641" s="3"/>
      <c r="AC8641" s="3"/>
      <c r="AD8641" s="3"/>
      <c r="AE8641" s="3"/>
      <c r="AF8641" s="3"/>
      <c r="AG8641" s="3"/>
      <c r="AH8641" s="3"/>
    </row>
    <row r="8642" spans="1:34" ht="14.25" customHeight="1" x14ac:dyDescent="0.25">
      <c r="A8642" s="3"/>
      <c r="B8642" s="3"/>
      <c r="C8642" s="3"/>
      <c r="D8642" s="3"/>
      <c r="E8642" s="3"/>
      <c r="F8642" s="3"/>
      <c r="G8642" s="3"/>
      <c r="H8642" s="11"/>
      <c r="I8642" s="12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  <c r="AA8642" s="3"/>
      <c r="AB8642" s="3"/>
      <c r="AC8642" s="3"/>
      <c r="AD8642" s="3"/>
      <c r="AE8642" s="3"/>
      <c r="AF8642" s="3"/>
      <c r="AG8642" s="3"/>
      <c r="AH8642" s="3"/>
    </row>
    <row r="8643" spans="1:34" ht="14.25" customHeight="1" x14ac:dyDescent="0.25">
      <c r="A8643" s="3"/>
      <c r="B8643" s="3"/>
      <c r="C8643" s="3"/>
      <c r="D8643" s="3"/>
      <c r="E8643" s="3"/>
      <c r="F8643" s="3"/>
      <c r="G8643" s="14"/>
      <c r="H8643" s="11"/>
      <c r="I8643" s="12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  <c r="AA8643" s="3"/>
      <c r="AB8643" s="3"/>
      <c r="AC8643" s="3"/>
      <c r="AD8643" s="3"/>
      <c r="AE8643" s="3"/>
      <c r="AF8643" s="3"/>
      <c r="AG8643" s="3"/>
      <c r="AH8643" s="3"/>
    </row>
    <row r="8644" spans="1:34" ht="14.25" customHeight="1" x14ac:dyDescent="0.25">
      <c r="A8644" s="3"/>
      <c r="B8644" s="3"/>
      <c r="C8644" s="3"/>
      <c r="D8644" s="3"/>
      <c r="E8644" s="3"/>
      <c r="F8644" s="3"/>
      <c r="G8644" s="3"/>
      <c r="H8644" s="11"/>
      <c r="I8644" s="12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  <c r="AA8644" s="3"/>
      <c r="AB8644" s="3"/>
      <c r="AC8644" s="3"/>
      <c r="AD8644" s="3"/>
      <c r="AE8644" s="3"/>
      <c r="AF8644" s="3"/>
      <c r="AG8644" s="3"/>
      <c r="AH8644" s="3"/>
    </row>
    <row r="8645" spans="1:34" ht="14.25" customHeight="1" x14ac:dyDescent="0.25">
      <c r="A8645" s="3"/>
      <c r="B8645" s="3"/>
      <c r="C8645" s="3"/>
      <c r="D8645" s="3"/>
      <c r="E8645" s="3"/>
      <c r="F8645" s="3"/>
      <c r="G8645" s="3"/>
      <c r="H8645" s="11"/>
      <c r="I8645" s="12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  <c r="AA8645" s="3"/>
      <c r="AB8645" s="3"/>
      <c r="AC8645" s="3"/>
      <c r="AD8645" s="3"/>
      <c r="AE8645" s="3"/>
      <c r="AF8645" s="3"/>
      <c r="AG8645" s="3"/>
      <c r="AH8645" s="3"/>
    </row>
    <row r="8646" spans="1:34" ht="14.25" customHeight="1" x14ac:dyDescent="0.25">
      <c r="A8646" s="3"/>
      <c r="B8646" s="3"/>
      <c r="C8646" s="3"/>
      <c r="D8646" s="3"/>
      <c r="E8646" s="3"/>
      <c r="F8646" s="3"/>
      <c r="G8646" s="3"/>
      <c r="H8646" s="11"/>
      <c r="I8646" s="12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  <c r="AA8646" s="3"/>
      <c r="AB8646" s="3"/>
      <c r="AC8646" s="3"/>
      <c r="AD8646" s="3"/>
      <c r="AE8646" s="3"/>
      <c r="AF8646" s="3"/>
      <c r="AG8646" s="3"/>
      <c r="AH8646" s="3"/>
    </row>
    <row r="8647" spans="1:34" ht="14.25" customHeight="1" x14ac:dyDescent="0.25">
      <c r="A8647" s="3"/>
      <c r="B8647" s="3"/>
      <c r="C8647" s="3"/>
      <c r="D8647" s="3"/>
      <c r="E8647" s="3"/>
      <c r="F8647" s="3"/>
      <c r="G8647" s="3"/>
      <c r="H8647" s="11"/>
      <c r="I8647" s="12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  <c r="AA8647" s="3"/>
      <c r="AB8647" s="3"/>
      <c r="AC8647" s="3"/>
      <c r="AD8647" s="3"/>
      <c r="AE8647" s="3"/>
      <c r="AF8647" s="3"/>
      <c r="AG8647" s="3"/>
      <c r="AH8647" s="3"/>
    </row>
    <row r="8648" spans="1:34" ht="14.25" customHeight="1" x14ac:dyDescent="0.25">
      <c r="A8648" s="3"/>
      <c r="B8648" s="3"/>
      <c r="C8648" s="3"/>
      <c r="D8648" s="3"/>
      <c r="E8648" s="3"/>
      <c r="F8648" s="3"/>
      <c r="G8648" s="3"/>
      <c r="H8648" s="11"/>
      <c r="I8648" s="12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  <c r="AA8648" s="3"/>
      <c r="AB8648" s="3"/>
      <c r="AC8648" s="3"/>
      <c r="AD8648" s="3"/>
      <c r="AE8648" s="3"/>
      <c r="AF8648" s="3"/>
      <c r="AG8648" s="3"/>
      <c r="AH8648" s="3"/>
    </row>
    <row r="8649" spans="1:34" ht="14.25" customHeight="1" x14ac:dyDescent="0.25">
      <c r="A8649" s="3"/>
      <c r="B8649" s="3"/>
      <c r="C8649" s="3"/>
      <c r="D8649" s="3"/>
      <c r="E8649" s="3"/>
      <c r="F8649" s="3"/>
      <c r="G8649" s="3"/>
      <c r="H8649" s="11"/>
      <c r="I8649" s="12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  <c r="AA8649" s="3"/>
      <c r="AB8649" s="3"/>
      <c r="AC8649" s="3"/>
      <c r="AD8649" s="3"/>
      <c r="AE8649" s="3"/>
      <c r="AF8649" s="3"/>
      <c r="AG8649" s="3"/>
      <c r="AH8649" s="3"/>
    </row>
    <row r="8650" spans="1:34" ht="14.25" customHeight="1" x14ac:dyDescent="0.25">
      <c r="A8650" s="3"/>
      <c r="B8650" s="3"/>
      <c r="C8650" s="3"/>
      <c r="D8650" s="3"/>
      <c r="E8650" s="3"/>
      <c r="F8650" s="3"/>
      <c r="G8650" s="3"/>
      <c r="H8650" s="11"/>
      <c r="I8650" s="12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  <c r="AA8650" s="3"/>
      <c r="AB8650" s="3"/>
      <c r="AC8650" s="3"/>
      <c r="AD8650" s="3"/>
      <c r="AE8650" s="3"/>
      <c r="AF8650" s="3"/>
      <c r="AG8650" s="3"/>
      <c r="AH8650" s="3"/>
    </row>
    <row r="8651" spans="1:34" ht="14.25" customHeight="1" x14ac:dyDescent="0.25">
      <c r="A8651" s="3"/>
      <c r="B8651" s="3"/>
      <c r="C8651" s="3"/>
      <c r="D8651" s="3"/>
      <c r="E8651" s="3"/>
      <c r="F8651" s="3"/>
      <c r="G8651" s="3"/>
      <c r="H8651" s="11"/>
      <c r="I8651" s="12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  <c r="AA8651" s="3"/>
      <c r="AB8651" s="3"/>
      <c r="AC8651" s="3"/>
      <c r="AD8651" s="3"/>
      <c r="AE8651" s="3"/>
      <c r="AF8651" s="3"/>
      <c r="AG8651" s="3"/>
      <c r="AH8651" s="3"/>
    </row>
    <row r="8652" spans="1:34" ht="14.25" customHeight="1" x14ac:dyDescent="0.25">
      <c r="A8652" s="3"/>
      <c r="B8652" s="3"/>
      <c r="C8652" s="3"/>
      <c r="D8652" s="3"/>
      <c r="E8652" s="3"/>
      <c r="F8652" s="3"/>
      <c r="G8652" s="3"/>
      <c r="H8652" s="11"/>
      <c r="I8652" s="12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  <c r="AA8652" s="3"/>
      <c r="AB8652" s="3"/>
      <c r="AC8652" s="3"/>
      <c r="AD8652" s="3"/>
      <c r="AE8652" s="3"/>
      <c r="AF8652" s="3"/>
      <c r="AG8652" s="3"/>
      <c r="AH8652" s="3"/>
    </row>
    <row r="8653" spans="1:34" ht="14.25" customHeight="1" x14ac:dyDescent="0.25">
      <c r="A8653" s="3"/>
      <c r="B8653" s="3"/>
      <c r="C8653" s="3"/>
      <c r="D8653" s="3"/>
      <c r="E8653" s="3"/>
      <c r="F8653" s="3"/>
      <c r="G8653" s="3"/>
      <c r="H8653" s="11"/>
      <c r="I8653" s="12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  <c r="AA8653" s="3"/>
      <c r="AB8653" s="3"/>
      <c r="AC8653" s="3"/>
      <c r="AD8653" s="3"/>
      <c r="AE8653" s="3"/>
      <c r="AF8653" s="3"/>
      <c r="AG8653" s="3"/>
      <c r="AH8653" s="3"/>
    </row>
    <row r="8654" spans="1:34" ht="14.25" customHeight="1" x14ac:dyDescent="0.25">
      <c r="A8654" s="3"/>
      <c r="B8654" s="3"/>
      <c r="C8654" s="3"/>
      <c r="D8654" s="3"/>
      <c r="E8654" s="3"/>
      <c r="F8654" s="3"/>
      <c r="G8654" s="3"/>
      <c r="H8654" s="11"/>
      <c r="I8654" s="12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  <c r="AA8654" s="3"/>
      <c r="AB8654" s="3"/>
      <c r="AC8654" s="3"/>
      <c r="AD8654" s="3"/>
      <c r="AE8654" s="3"/>
      <c r="AF8654" s="3"/>
      <c r="AG8654" s="3"/>
      <c r="AH8654" s="3"/>
    </row>
    <row r="8655" spans="1:34" ht="14.25" customHeight="1" x14ac:dyDescent="0.25">
      <c r="A8655" s="3"/>
      <c r="B8655" s="3"/>
      <c r="C8655" s="3"/>
      <c r="D8655" s="3"/>
      <c r="E8655" s="3"/>
      <c r="F8655" s="3"/>
      <c r="G8655" s="3"/>
      <c r="H8655" s="11"/>
      <c r="I8655" s="12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  <c r="AA8655" s="3"/>
      <c r="AB8655" s="3"/>
      <c r="AC8655" s="3"/>
      <c r="AD8655" s="3"/>
      <c r="AE8655" s="3"/>
      <c r="AF8655" s="3"/>
      <c r="AG8655" s="3"/>
      <c r="AH8655" s="3"/>
    </row>
    <row r="8656" spans="1:34" ht="14.25" customHeight="1" x14ac:dyDescent="0.25">
      <c r="A8656" s="3"/>
      <c r="B8656" s="3"/>
      <c r="C8656" s="3"/>
      <c r="D8656" s="3"/>
      <c r="E8656" s="3"/>
      <c r="F8656" s="3"/>
      <c r="G8656" s="3"/>
      <c r="H8656" s="11"/>
      <c r="I8656" s="12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  <c r="AA8656" s="3"/>
      <c r="AB8656" s="3"/>
      <c r="AC8656" s="3"/>
      <c r="AD8656" s="3"/>
      <c r="AE8656" s="3"/>
      <c r="AF8656" s="3"/>
      <c r="AG8656" s="3"/>
      <c r="AH8656" s="3"/>
    </row>
    <row r="8657" spans="1:34" ht="14.25" customHeight="1" x14ac:dyDescent="0.25">
      <c r="A8657" s="3"/>
      <c r="B8657" s="3"/>
      <c r="C8657" s="3"/>
      <c r="D8657" s="3"/>
      <c r="E8657" s="3"/>
      <c r="F8657" s="3"/>
      <c r="G8657" s="3"/>
      <c r="H8657" s="11"/>
      <c r="I8657" s="12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  <c r="AA8657" s="3"/>
      <c r="AB8657" s="3"/>
      <c r="AC8657" s="3"/>
      <c r="AD8657" s="3"/>
      <c r="AE8657" s="3"/>
      <c r="AF8657" s="3"/>
      <c r="AG8657" s="3"/>
      <c r="AH8657" s="3"/>
    </row>
    <row r="8658" spans="1:34" ht="14.25" customHeight="1" x14ac:dyDescent="0.25">
      <c r="A8658" s="3"/>
      <c r="B8658" s="3"/>
      <c r="C8658" s="3"/>
      <c r="D8658" s="3"/>
      <c r="E8658" s="3"/>
      <c r="F8658" s="3"/>
      <c r="G8658" s="3"/>
      <c r="H8658" s="11"/>
      <c r="I8658" s="12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  <c r="AA8658" s="3"/>
      <c r="AB8658" s="3"/>
      <c r="AC8658" s="3"/>
      <c r="AD8658" s="3"/>
      <c r="AE8658" s="3"/>
      <c r="AF8658" s="3"/>
      <c r="AG8658" s="3"/>
      <c r="AH8658" s="3"/>
    </row>
    <row r="8659" spans="1:34" ht="14.25" customHeight="1" x14ac:dyDescent="0.25">
      <c r="A8659" s="3"/>
      <c r="B8659" s="3"/>
      <c r="C8659" s="3"/>
      <c r="D8659" s="3"/>
      <c r="E8659" s="3"/>
      <c r="F8659" s="3"/>
      <c r="G8659" s="3"/>
      <c r="H8659" s="11"/>
      <c r="I8659" s="12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  <c r="AA8659" s="3"/>
      <c r="AB8659" s="3"/>
      <c r="AC8659" s="3"/>
      <c r="AD8659" s="3"/>
      <c r="AE8659" s="3"/>
      <c r="AF8659" s="3"/>
      <c r="AG8659" s="3"/>
      <c r="AH8659" s="3"/>
    </row>
    <row r="8660" spans="1:34" ht="14.25" customHeight="1" x14ac:dyDescent="0.25">
      <c r="A8660" s="3"/>
      <c r="B8660" s="3"/>
      <c r="C8660" s="3"/>
      <c r="D8660" s="3"/>
      <c r="E8660" s="3"/>
      <c r="F8660" s="3"/>
      <c r="G8660" s="3"/>
      <c r="H8660" s="11"/>
      <c r="I8660" s="12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  <c r="AA8660" s="3"/>
      <c r="AB8660" s="3"/>
      <c r="AC8660" s="3"/>
      <c r="AD8660" s="3"/>
      <c r="AE8660" s="3"/>
      <c r="AF8660" s="3"/>
      <c r="AG8660" s="3"/>
      <c r="AH8660" s="3"/>
    </row>
    <row r="8661" spans="1:34" ht="14.25" customHeight="1" x14ac:dyDescent="0.25">
      <c r="A8661" s="3"/>
      <c r="B8661" s="3"/>
      <c r="C8661" s="3"/>
      <c r="D8661" s="3"/>
      <c r="E8661" s="3"/>
      <c r="F8661" s="3"/>
      <c r="G8661" s="3"/>
      <c r="H8661" s="11"/>
      <c r="I8661" s="12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  <c r="AA8661" s="3"/>
      <c r="AB8661" s="3"/>
      <c r="AC8661" s="3"/>
      <c r="AD8661" s="3"/>
      <c r="AE8661" s="3"/>
      <c r="AF8661" s="3"/>
      <c r="AG8661" s="3"/>
      <c r="AH8661" s="3"/>
    </row>
    <row r="8662" spans="1:34" ht="14.25" customHeight="1" x14ac:dyDescent="0.25">
      <c r="A8662" s="3"/>
      <c r="B8662" s="3"/>
      <c r="C8662" s="3"/>
      <c r="D8662" s="3"/>
      <c r="E8662" s="3"/>
      <c r="F8662" s="3"/>
      <c r="G8662" s="3"/>
      <c r="H8662" s="11"/>
      <c r="I8662" s="12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  <c r="AA8662" s="3"/>
      <c r="AB8662" s="3"/>
      <c r="AC8662" s="3"/>
      <c r="AD8662" s="3"/>
      <c r="AE8662" s="3"/>
      <c r="AF8662" s="3"/>
      <c r="AG8662" s="3"/>
      <c r="AH8662" s="3"/>
    </row>
    <row r="8663" spans="1:34" ht="14.25" customHeight="1" x14ac:dyDescent="0.25">
      <c r="A8663" s="3"/>
      <c r="B8663" s="3"/>
      <c r="C8663" s="3"/>
      <c r="D8663" s="3"/>
      <c r="E8663" s="3"/>
      <c r="F8663" s="3"/>
      <c r="G8663" s="3"/>
      <c r="H8663" s="11"/>
      <c r="I8663" s="12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  <c r="AA8663" s="3"/>
      <c r="AB8663" s="3"/>
      <c r="AC8663" s="3"/>
      <c r="AD8663" s="3"/>
      <c r="AE8663" s="3"/>
      <c r="AF8663" s="3"/>
      <c r="AG8663" s="3"/>
      <c r="AH8663" s="3"/>
    </row>
    <row r="8664" spans="1:34" ht="14.25" customHeight="1" x14ac:dyDescent="0.25">
      <c r="A8664" s="3"/>
      <c r="B8664" s="3"/>
      <c r="C8664" s="3"/>
      <c r="D8664" s="3"/>
      <c r="E8664" s="3"/>
      <c r="F8664" s="3"/>
      <c r="G8664" s="3"/>
      <c r="H8664" s="11"/>
      <c r="I8664" s="12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  <c r="AA8664" s="3"/>
      <c r="AB8664" s="3"/>
      <c r="AC8664" s="3"/>
      <c r="AD8664" s="3"/>
      <c r="AE8664" s="3"/>
      <c r="AF8664" s="3"/>
      <c r="AG8664" s="3"/>
      <c r="AH8664" s="3"/>
    </row>
    <row r="8665" spans="1:34" ht="14.25" customHeight="1" x14ac:dyDescent="0.25">
      <c r="A8665" s="3"/>
      <c r="B8665" s="3"/>
      <c r="C8665" s="3"/>
      <c r="D8665" s="3"/>
      <c r="E8665" s="3"/>
      <c r="F8665" s="3"/>
      <c r="G8665" s="3"/>
      <c r="H8665" s="11"/>
      <c r="I8665" s="12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  <c r="AA8665" s="3"/>
      <c r="AB8665" s="3"/>
      <c r="AC8665" s="3"/>
      <c r="AD8665" s="3"/>
      <c r="AE8665" s="3"/>
      <c r="AF8665" s="3"/>
      <c r="AG8665" s="3"/>
      <c r="AH8665" s="3"/>
    </row>
    <row r="8666" spans="1:34" ht="14.25" customHeight="1" x14ac:dyDescent="0.25">
      <c r="A8666" s="3"/>
      <c r="B8666" s="3"/>
      <c r="C8666" s="3"/>
      <c r="D8666" s="3"/>
      <c r="E8666" s="3"/>
      <c r="F8666" s="3"/>
      <c r="G8666" s="3"/>
      <c r="H8666" s="11"/>
      <c r="I8666" s="12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  <c r="AA8666" s="3"/>
      <c r="AB8666" s="3"/>
      <c r="AC8666" s="3"/>
      <c r="AD8666" s="3"/>
      <c r="AE8666" s="3"/>
      <c r="AF8666" s="3"/>
      <c r="AG8666" s="3"/>
      <c r="AH8666" s="3"/>
    </row>
    <row r="8667" spans="1:34" ht="14.25" customHeight="1" x14ac:dyDescent="0.25">
      <c r="A8667" s="3"/>
      <c r="B8667" s="3"/>
      <c r="C8667" s="3"/>
      <c r="D8667" s="3"/>
      <c r="E8667" s="3"/>
      <c r="F8667" s="3"/>
      <c r="G8667" s="3"/>
      <c r="H8667" s="11"/>
      <c r="I8667" s="12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  <c r="AA8667" s="3"/>
      <c r="AB8667" s="3"/>
      <c r="AC8667" s="3"/>
      <c r="AD8667" s="3"/>
      <c r="AE8667" s="3"/>
      <c r="AF8667" s="3"/>
      <c r="AG8667" s="3"/>
      <c r="AH8667" s="3"/>
    </row>
    <row r="8668" spans="1:34" ht="14.25" customHeight="1" x14ac:dyDescent="0.25">
      <c r="A8668" s="3"/>
      <c r="B8668" s="3"/>
      <c r="C8668" s="3"/>
      <c r="D8668" s="3"/>
      <c r="E8668" s="3"/>
      <c r="F8668" s="3"/>
      <c r="G8668" s="3"/>
      <c r="H8668" s="11"/>
      <c r="I8668" s="12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  <c r="AA8668" s="3"/>
      <c r="AB8668" s="3"/>
      <c r="AC8668" s="3"/>
      <c r="AD8668" s="3"/>
      <c r="AE8668" s="3"/>
      <c r="AF8668" s="3"/>
      <c r="AG8668" s="3"/>
      <c r="AH8668" s="3"/>
    </row>
    <row r="8669" spans="1:34" ht="14.25" customHeight="1" x14ac:dyDescent="0.25">
      <c r="A8669" s="3"/>
      <c r="B8669" s="3"/>
      <c r="C8669" s="3"/>
      <c r="D8669" s="3"/>
      <c r="E8669" s="3"/>
      <c r="F8669" s="3"/>
      <c r="G8669" s="3"/>
      <c r="H8669" s="11"/>
      <c r="I8669" s="12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  <c r="AA8669" s="3"/>
      <c r="AB8669" s="3"/>
      <c r="AC8669" s="3"/>
      <c r="AD8669" s="3"/>
      <c r="AE8669" s="3"/>
      <c r="AF8669" s="3"/>
      <c r="AG8669" s="3"/>
      <c r="AH8669" s="3"/>
    </row>
    <row r="8670" spans="1:34" ht="14.25" customHeight="1" x14ac:dyDescent="0.25">
      <c r="A8670" s="3"/>
      <c r="B8670" s="3"/>
      <c r="C8670" s="3"/>
      <c r="D8670" s="3"/>
      <c r="E8670" s="3"/>
      <c r="F8670" s="3"/>
      <c r="G8670" s="3"/>
      <c r="H8670" s="11"/>
      <c r="I8670" s="12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  <c r="AA8670" s="3"/>
      <c r="AB8670" s="3"/>
      <c r="AC8670" s="3"/>
      <c r="AD8670" s="3"/>
      <c r="AE8670" s="3"/>
      <c r="AF8670" s="3"/>
      <c r="AG8670" s="3"/>
      <c r="AH8670" s="3"/>
    </row>
    <row r="8671" spans="1:34" ht="14.25" customHeight="1" x14ac:dyDescent="0.25">
      <c r="A8671" s="3"/>
      <c r="B8671" s="3"/>
      <c r="C8671" s="3"/>
      <c r="D8671" s="3"/>
      <c r="E8671" s="3"/>
      <c r="F8671" s="3"/>
      <c r="G8671" s="3"/>
      <c r="H8671" s="11"/>
      <c r="I8671" s="12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  <c r="AA8671" s="3"/>
      <c r="AB8671" s="3"/>
      <c r="AC8671" s="3"/>
      <c r="AD8671" s="3"/>
      <c r="AE8671" s="3"/>
      <c r="AF8671" s="3"/>
      <c r="AG8671" s="3"/>
      <c r="AH8671" s="3"/>
    </row>
    <row r="8672" spans="1:34" ht="14.25" customHeight="1" x14ac:dyDescent="0.25">
      <c r="A8672" s="3"/>
      <c r="B8672" s="3"/>
      <c r="C8672" s="3"/>
      <c r="D8672" s="3"/>
      <c r="E8672" s="3"/>
      <c r="F8672" s="3"/>
      <c r="G8672" s="3"/>
      <c r="H8672" s="11"/>
      <c r="I8672" s="12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  <c r="AA8672" s="3"/>
      <c r="AB8672" s="3"/>
      <c r="AC8672" s="3"/>
      <c r="AD8672" s="3"/>
      <c r="AE8672" s="3"/>
      <c r="AF8672" s="3"/>
      <c r="AG8672" s="3"/>
      <c r="AH8672" s="3"/>
    </row>
    <row r="8673" spans="1:34" ht="14.25" customHeight="1" x14ac:dyDescent="0.25">
      <c r="A8673" s="3"/>
      <c r="B8673" s="3"/>
      <c r="C8673" s="3"/>
      <c r="D8673" s="3"/>
      <c r="E8673" s="3"/>
      <c r="F8673" s="3"/>
      <c r="G8673" s="3"/>
      <c r="H8673" s="11"/>
      <c r="I8673" s="12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  <c r="AA8673" s="3"/>
      <c r="AB8673" s="3"/>
      <c r="AC8673" s="3"/>
      <c r="AD8673" s="3"/>
      <c r="AE8673" s="3"/>
      <c r="AF8673" s="3"/>
      <c r="AG8673" s="3"/>
      <c r="AH8673" s="3"/>
    </row>
    <row r="8674" spans="1:34" ht="14.25" customHeight="1" x14ac:dyDescent="0.25">
      <c r="A8674" s="3"/>
      <c r="B8674" s="3"/>
      <c r="C8674" s="3"/>
      <c r="D8674" s="3"/>
      <c r="E8674" s="3"/>
      <c r="F8674" s="3"/>
      <c r="G8674" s="3"/>
      <c r="H8674" s="11"/>
      <c r="I8674" s="12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  <c r="AA8674" s="3"/>
      <c r="AB8674" s="3"/>
      <c r="AC8674" s="3"/>
      <c r="AD8674" s="3"/>
      <c r="AE8674" s="3"/>
      <c r="AF8674" s="3"/>
      <c r="AG8674" s="3"/>
      <c r="AH8674" s="3"/>
    </row>
    <row r="8675" spans="1:34" ht="14.25" customHeight="1" x14ac:dyDescent="0.25">
      <c r="A8675" s="3"/>
      <c r="B8675" s="3"/>
      <c r="C8675" s="3"/>
      <c r="D8675" s="3"/>
      <c r="E8675" s="3"/>
      <c r="F8675" s="3"/>
      <c r="G8675" s="3"/>
      <c r="H8675" s="11"/>
      <c r="I8675" s="12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  <c r="AA8675" s="3"/>
      <c r="AB8675" s="3"/>
      <c r="AC8675" s="3"/>
      <c r="AD8675" s="3"/>
      <c r="AE8675" s="3"/>
      <c r="AF8675" s="3"/>
      <c r="AG8675" s="3"/>
      <c r="AH8675" s="3"/>
    </row>
    <row r="8676" spans="1:34" ht="14.25" customHeight="1" x14ac:dyDescent="0.25">
      <c r="A8676" s="3"/>
      <c r="B8676" s="3"/>
      <c r="C8676" s="3"/>
      <c r="D8676" s="3"/>
      <c r="E8676" s="3"/>
      <c r="F8676" s="3"/>
      <c r="G8676" s="3"/>
      <c r="H8676" s="11"/>
      <c r="I8676" s="12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  <c r="AA8676" s="3"/>
      <c r="AB8676" s="3"/>
      <c r="AC8676" s="3"/>
      <c r="AD8676" s="3"/>
      <c r="AE8676" s="3"/>
      <c r="AF8676" s="3"/>
      <c r="AG8676" s="3"/>
      <c r="AH8676" s="3"/>
    </row>
    <row r="8677" spans="1:34" ht="14.25" customHeight="1" x14ac:dyDescent="0.25">
      <c r="A8677" s="3"/>
      <c r="B8677" s="3"/>
      <c r="C8677" s="3"/>
      <c r="D8677" s="3"/>
      <c r="E8677" s="3"/>
      <c r="F8677" s="3"/>
      <c r="G8677" s="3"/>
      <c r="H8677" s="11"/>
      <c r="I8677" s="12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  <c r="AA8677" s="3"/>
      <c r="AB8677" s="3"/>
      <c r="AC8677" s="3"/>
      <c r="AD8677" s="3"/>
      <c r="AE8677" s="3"/>
      <c r="AF8677" s="3"/>
      <c r="AG8677" s="3"/>
      <c r="AH8677" s="3"/>
    </row>
    <row r="8678" spans="1:34" ht="14.25" customHeight="1" x14ac:dyDescent="0.25">
      <c r="A8678" s="3"/>
      <c r="B8678" s="3"/>
      <c r="C8678" s="3"/>
      <c r="D8678" s="3"/>
      <c r="E8678" s="3"/>
      <c r="F8678" s="3"/>
      <c r="G8678" s="3"/>
      <c r="H8678" s="11"/>
      <c r="I8678" s="12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  <c r="AA8678" s="3"/>
      <c r="AB8678" s="3"/>
      <c r="AC8678" s="3"/>
      <c r="AD8678" s="3"/>
      <c r="AE8678" s="3"/>
      <c r="AF8678" s="3"/>
      <c r="AG8678" s="3"/>
      <c r="AH8678" s="3"/>
    </row>
    <row r="8679" spans="1:34" ht="14.25" customHeight="1" x14ac:dyDescent="0.25">
      <c r="A8679" s="3"/>
      <c r="B8679" s="3"/>
      <c r="C8679" s="3"/>
      <c r="D8679" s="3"/>
      <c r="E8679" s="3"/>
      <c r="F8679" s="3"/>
      <c r="G8679" s="3"/>
      <c r="H8679" s="11"/>
      <c r="I8679" s="12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  <c r="AA8679" s="3"/>
      <c r="AB8679" s="3"/>
      <c r="AC8679" s="3"/>
      <c r="AD8679" s="3"/>
      <c r="AE8679" s="3"/>
      <c r="AF8679" s="3"/>
      <c r="AG8679" s="3"/>
      <c r="AH8679" s="3"/>
    </row>
    <row r="8680" spans="1:34" ht="14.25" customHeight="1" x14ac:dyDescent="0.25">
      <c r="A8680" s="3"/>
      <c r="B8680" s="3"/>
      <c r="C8680" s="3"/>
      <c r="D8680" s="3"/>
      <c r="E8680" s="3"/>
      <c r="F8680" s="3"/>
      <c r="G8680" s="3"/>
      <c r="H8680" s="11"/>
      <c r="I8680" s="12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  <c r="AA8680" s="3"/>
      <c r="AB8680" s="3"/>
      <c r="AC8680" s="3"/>
      <c r="AD8680" s="3"/>
      <c r="AE8680" s="3"/>
      <c r="AF8680" s="3"/>
      <c r="AG8680" s="3"/>
      <c r="AH8680" s="3"/>
    </row>
    <row r="8681" spans="1:34" ht="14.25" customHeight="1" x14ac:dyDescent="0.25">
      <c r="A8681" s="3"/>
      <c r="B8681" s="3"/>
      <c r="C8681" s="3"/>
      <c r="D8681" s="3"/>
      <c r="E8681" s="3"/>
      <c r="F8681" s="3"/>
      <c r="G8681" s="3"/>
      <c r="H8681" s="11"/>
      <c r="I8681" s="12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  <c r="AA8681" s="3"/>
      <c r="AB8681" s="3"/>
      <c r="AC8681" s="3"/>
      <c r="AD8681" s="3"/>
      <c r="AE8681" s="3"/>
      <c r="AF8681" s="3"/>
      <c r="AG8681" s="3"/>
      <c r="AH8681" s="3"/>
    </row>
    <row r="8682" spans="1:34" ht="14.25" customHeight="1" x14ac:dyDescent="0.25">
      <c r="A8682" s="3"/>
      <c r="B8682" s="3"/>
      <c r="C8682" s="3"/>
      <c r="D8682" s="3"/>
      <c r="E8682" s="3"/>
      <c r="F8682" s="3"/>
      <c r="G8682" s="3"/>
      <c r="H8682" s="11"/>
      <c r="I8682" s="12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  <c r="AA8682" s="3"/>
      <c r="AB8682" s="3"/>
      <c r="AC8682" s="3"/>
      <c r="AD8682" s="3"/>
      <c r="AE8682" s="3"/>
      <c r="AF8682" s="3"/>
      <c r="AG8682" s="3"/>
      <c r="AH8682" s="3"/>
    </row>
    <row r="8683" spans="1:34" ht="14.25" customHeight="1" x14ac:dyDescent="0.25">
      <c r="A8683" s="3"/>
      <c r="B8683" s="3"/>
      <c r="C8683" s="3"/>
      <c r="D8683" s="3"/>
      <c r="E8683" s="3"/>
      <c r="F8683" s="3"/>
      <c r="G8683" s="3"/>
      <c r="H8683" s="11"/>
      <c r="I8683" s="12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  <c r="AA8683" s="3"/>
      <c r="AB8683" s="3"/>
      <c r="AC8683" s="3"/>
      <c r="AD8683" s="3"/>
      <c r="AE8683" s="3"/>
      <c r="AF8683" s="3"/>
      <c r="AG8683" s="3"/>
      <c r="AH8683" s="3"/>
    </row>
    <row r="8684" spans="1:34" ht="14.25" customHeight="1" x14ac:dyDescent="0.25">
      <c r="A8684" s="3"/>
      <c r="B8684" s="3"/>
      <c r="C8684" s="3"/>
      <c r="D8684" s="3"/>
      <c r="E8684" s="3"/>
      <c r="F8684" s="3"/>
      <c r="G8684" s="3"/>
      <c r="H8684" s="11"/>
      <c r="I8684" s="12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  <c r="AA8684" s="3"/>
      <c r="AB8684" s="3"/>
      <c r="AC8684" s="3"/>
      <c r="AD8684" s="3"/>
      <c r="AE8684" s="3"/>
      <c r="AF8684" s="3"/>
      <c r="AG8684" s="3"/>
      <c r="AH8684" s="3"/>
    </row>
    <row r="8685" spans="1:34" ht="14.25" customHeight="1" x14ac:dyDescent="0.25">
      <c r="A8685" s="3"/>
      <c r="B8685" s="3"/>
      <c r="C8685" s="3"/>
      <c r="D8685" s="3"/>
      <c r="E8685" s="3"/>
      <c r="F8685" s="3"/>
      <c r="G8685" s="3"/>
      <c r="H8685" s="11"/>
      <c r="I8685" s="12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  <c r="AA8685" s="3"/>
      <c r="AB8685" s="3"/>
      <c r="AC8685" s="3"/>
      <c r="AD8685" s="3"/>
      <c r="AE8685" s="3"/>
      <c r="AF8685" s="3"/>
      <c r="AG8685" s="3"/>
      <c r="AH8685" s="3"/>
    </row>
    <row r="8686" spans="1:34" ht="14.25" customHeight="1" x14ac:dyDescent="0.25">
      <c r="A8686" s="3"/>
      <c r="B8686" s="3"/>
      <c r="C8686" s="3"/>
      <c r="D8686" s="3"/>
      <c r="E8686" s="3"/>
      <c r="F8686" s="3"/>
      <c r="G8686" s="3"/>
      <c r="H8686" s="11"/>
      <c r="I8686" s="12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  <c r="AA8686" s="3"/>
      <c r="AB8686" s="3"/>
      <c r="AC8686" s="3"/>
      <c r="AD8686" s="3"/>
      <c r="AE8686" s="3"/>
      <c r="AF8686" s="3"/>
      <c r="AG8686" s="3"/>
      <c r="AH8686" s="3"/>
    </row>
    <row r="8687" spans="1:34" ht="14.25" customHeight="1" x14ac:dyDescent="0.25">
      <c r="A8687" s="3"/>
      <c r="B8687" s="3"/>
      <c r="C8687" s="3"/>
      <c r="D8687" s="3"/>
      <c r="E8687" s="3"/>
      <c r="F8687" s="3"/>
      <c r="G8687" s="3"/>
      <c r="H8687" s="11"/>
      <c r="I8687" s="12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  <c r="AA8687" s="3"/>
      <c r="AB8687" s="3"/>
      <c r="AC8687" s="3"/>
      <c r="AD8687" s="3"/>
      <c r="AE8687" s="3"/>
      <c r="AF8687" s="3"/>
      <c r="AG8687" s="3"/>
      <c r="AH8687" s="3"/>
    </row>
    <row r="8688" spans="1:34" ht="14.25" customHeight="1" x14ac:dyDescent="0.25">
      <c r="A8688" s="3"/>
      <c r="B8688" s="3"/>
      <c r="C8688" s="3"/>
      <c r="D8688" s="3"/>
      <c r="E8688" s="3"/>
      <c r="F8688" s="3"/>
      <c r="G8688" s="3"/>
      <c r="H8688" s="11"/>
      <c r="I8688" s="12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  <c r="AA8688" s="3"/>
      <c r="AB8688" s="3"/>
      <c r="AC8688" s="3"/>
      <c r="AD8688" s="3"/>
      <c r="AE8688" s="3"/>
      <c r="AF8688" s="3"/>
      <c r="AG8688" s="3"/>
      <c r="AH8688" s="3"/>
    </row>
    <row r="8689" spans="1:34" ht="14.25" customHeight="1" x14ac:dyDescent="0.25">
      <c r="A8689" s="3"/>
      <c r="B8689" s="3"/>
      <c r="C8689" s="3"/>
      <c r="D8689" s="3"/>
      <c r="E8689" s="3"/>
      <c r="F8689" s="3"/>
      <c r="G8689" s="3"/>
      <c r="H8689" s="11"/>
      <c r="I8689" s="12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  <c r="AA8689" s="3"/>
      <c r="AB8689" s="3"/>
      <c r="AC8689" s="3"/>
      <c r="AD8689" s="3"/>
      <c r="AE8689" s="3"/>
      <c r="AF8689" s="3"/>
      <c r="AG8689" s="3"/>
      <c r="AH8689" s="3"/>
    </row>
    <row r="8690" spans="1:34" ht="14.25" customHeight="1" x14ac:dyDescent="0.25">
      <c r="A8690" s="3"/>
      <c r="B8690" s="3"/>
      <c r="C8690" s="3"/>
      <c r="D8690" s="3"/>
      <c r="E8690" s="3"/>
      <c r="F8690" s="3"/>
      <c r="G8690" s="3"/>
      <c r="H8690" s="11"/>
      <c r="I8690" s="12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  <c r="AA8690" s="3"/>
      <c r="AB8690" s="3"/>
      <c r="AC8690" s="3"/>
      <c r="AD8690" s="3"/>
      <c r="AE8690" s="3"/>
      <c r="AF8690" s="3"/>
      <c r="AG8690" s="3"/>
      <c r="AH8690" s="3"/>
    </row>
    <row r="8691" spans="1:34" ht="14.25" customHeight="1" x14ac:dyDescent="0.25">
      <c r="A8691" s="3"/>
      <c r="B8691" s="3"/>
      <c r="C8691" s="3"/>
      <c r="D8691" s="3"/>
      <c r="E8691" s="3"/>
      <c r="F8691" s="3"/>
      <c r="G8691" s="3"/>
      <c r="H8691" s="11"/>
      <c r="I8691" s="12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  <c r="AA8691" s="3"/>
      <c r="AB8691" s="3"/>
      <c r="AC8691" s="3"/>
      <c r="AD8691" s="3"/>
      <c r="AE8691" s="3"/>
      <c r="AF8691" s="3"/>
      <c r="AG8691" s="3"/>
      <c r="AH8691" s="3"/>
    </row>
    <row r="8692" spans="1:34" ht="14.25" customHeight="1" x14ac:dyDescent="0.25">
      <c r="A8692" s="3"/>
      <c r="B8692" s="3"/>
      <c r="C8692" s="3"/>
      <c r="D8692" s="3"/>
      <c r="E8692" s="3"/>
      <c r="F8692" s="3"/>
      <c r="G8692" s="3"/>
      <c r="H8692" s="11"/>
      <c r="I8692" s="12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  <c r="AA8692" s="3"/>
      <c r="AB8692" s="3"/>
      <c r="AC8692" s="3"/>
      <c r="AD8692" s="3"/>
      <c r="AE8692" s="3"/>
      <c r="AF8692" s="3"/>
      <c r="AG8692" s="3"/>
      <c r="AH8692" s="3"/>
    </row>
    <row r="8693" spans="1:34" ht="14.25" customHeight="1" x14ac:dyDescent="0.25">
      <c r="A8693" s="3"/>
      <c r="B8693" s="3"/>
      <c r="C8693" s="3"/>
      <c r="D8693" s="3"/>
      <c r="E8693" s="3"/>
      <c r="F8693" s="3"/>
      <c r="G8693" s="3"/>
      <c r="H8693" s="11"/>
      <c r="I8693" s="12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  <c r="AA8693" s="3"/>
      <c r="AB8693" s="3"/>
      <c r="AC8693" s="3"/>
      <c r="AD8693" s="3"/>
      <c r="AE8693" s="3"/>
      <c r="AF8693" s="3"/>
      <c r="AG8693" s="3"/>
      <c r="AH8693" s="3"/>
    </row>
    <row r="8694" spans="1:34" ht="14.25" customHeight="1" x14ac:dyDescent="0.25">
      <c r="A8694" s="3"/>
      <c r="B8694" s="3"/>
      <c r="C8694" s="3"/>
      <c r="D8694" s="3"/>
      <c r="E8694" s="3"/>
      <c r="F8694" s="3"/>
      <c r="G8694" s="3"/>
      <c r="H8694" s="11"/>
      <c r="I8694" s="12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  <c r="AA8694" s="3"/>
      <c r="AB8694" s="3"/>
      <c r="AC8694" s="3"/>
      <c r="AD8694" s="3"/>
      <c r="AE8694" s="3"/>
      <c r="AF8694" s="3"/>
      <c r="AG8694" s="3"/>
      <c r="AH8694" s="3"/>
    </row>
    <row r="8695" spans="1:34" ht="14.25" customHeight="1" x14ac:dyDescent="0.25">
      <c r="A8695" s="3"/>
      <c r="B8695" s="3"/>
      <c r="C8695" s="3"/>
      <c r="D8695" s="3"/>
      <c r="E8695" s="3"/>
      <c r="F8695" s="3"/>
      <c r="G8695" s="3"/>
      <c r="H8695" s="11"/>
      <c r="I8695" s="12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  <c r="AA8695" s="3"/>
      <c r="AB8695" s="3"/>
      <c r="AC8695" s="3"/>
      <c r="AD8695" s="3"/>
      <c r="AE8695" s="3"/>
      <c r="AF8695" s="3"/>
      <c r="AG8695" s="3"/>
      <c r="AH8695" s="3"/>
    </row>
    <row r="8696" spans="1:34" ht="14.25" customHeight="1" x14ac:dyDescent="0.25">
      <c r="A8696" s="3"/>
      <c r="B8696" s="3"/>
      <c r="C8696" s="3"/>
      <c r="D8696" s="3"/>
      <c r="E8696" s="3"/>
      <c r="F8696" s="3"/>
      <c r="G8696" s="3"/>
      <c r="H8696" s="11"/>
      <c r="I8696" s="12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  <c r="AA8696" s="3"/>
      <c r="AB8696" s="3"/>
      <c r="AC8696" s="3"/>
      <c r="AD8696" s="3"/>
      <c r="AE8696" s="3"/>
      <c r="AF8696" s="3"/>
      <c r="AG8696" s="3"/>
      <c r="AH8696" s="3"/>
    </row>
    <row r="8697" spans="1:34" ht="14.25" customHeight="1" x14ac:dyDescent="0.25">
      <c r="A8697" s="3"/>
      <c r="B8697" s="3"/>
      <c r="C8697" s="3"/>
      <c r="D8697" s="3"/>
      <c r="E8697" s="3"/>
      <c r="F8697" s="3"/>
      <c r="G8697" s="3"/>
      <c r="H8697" s="11"/>
      <c r="I8697" s="12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  <c r="AA8697" s="3"/>
      <c r="AB8697" s="3"/>
      <c r="AC8697" s="3"/>
      <c r="AD8697" s="3"/>
      <c r="AE8697" s="3"/>
      <c r="AF8697" s="3"/>
      <c r="AG8697" s="3"/>
      <c r="AH8697" s="3"/>
    </row>
    <row r="8698" spans="1:34" ht="14.25" customHeight="1" x14ac:dyDescent="0.25">
      <c r="A8698" s="3"/>
      <c r="B8698" s="3"/>
      <c r="C8698" s="3"/>
      <c r="D8698" s="3"/>
      <c r="E8698" s="3"/>
      <c r="F8698" s="3"/>
      <c r="G8698" s="3"/>
      <c r="H8698" s="11"/>
      <c r="I8698" s="12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  <c r="AA8698" s="3"/>
      <c r="AB8698" s="3"/>
      <c r="AC8698" s="3"/>
      <c r="AD8698" s="3"/>
      <c r="AE8698" s="3"/>
      <c r="AF8698" s="3"/>
      <c r="AG8698" s="3"/>
      <c r="AH8698" s="3"/>
    </row>
    <row r="8699" spans="1:34" ht="14.25" customHeight="1" x14ac:dyDescent="0.25">
      <c r="A8699" s="3"/>
      <c r="B8699" s="3"/>
      <c r="C8699" s="3"/>
      <c r="D8699" s="3"/>
      <c r="E8699" s="3"/>
      <c r="F8699" s="3"/>
      <c r="G8699" s="3"/>
      <c r="H8699" s="11"/>
      <c r="I8699" s="12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  <c r="AA8699" s="3"/>
      <c r="AB8699" s="3"/>
      <c r="AC8699" s="3"/>
      <c r="AD8699" s="3"/>
      <c r="AE8699" s="3"/>
      <c r="AF8699" s="3"/>
      <c r="AG8699" s="3"/>
      <c r="AH8699" s="3"/>
    </row>
    <row r="8700" spans="1:34" ht="14.25" customHeight="1" x14ac:dyDescent="0.25">
      <c r="A8700" s="3"/>
      <c r="B8700" s="3"/>
      <c r="C8700" s="3"/>
      <c r="D8700" s="3"/>
      <c r="E8700" s="3"/>
      <c r="F8700" s="3"/>
      <c r="G8700" s="3"/>
      <c r="H8700" s="11"/>
      <c r="I8700" s="12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  <c r="AA8700" s="3"/>
      <c r="AB8700" s="3"/>
      <c r="AC8700" s="3"/>
      <c r="AD8700" s="3"/>
      <c r="AE8700" s="3"/>
      <c r="AF8700" s="3"/>
      <c r="AG8700" s="3"/>
      <c r="AH8700" s="3"/>
    </row>
    <row r="8701" spans="1:34" ht="14.25" customHeight="1" x14ac:dyDescent="0.25">
      <c r="A8701" s="3"/>
      <c r="B8701" s="3"/>
      <c r="C8701" s="3"/>
      <c r="D8701" s="3"/>
      <c r="E8701" s="3"/>
      <c r="F8701" s="3"/>
      <c r="G8701" s="3"/>
      <c r="H8701" s="11"/>
      <c r="I8701" s="12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  <c r="AA8701" s="3"/>
      <c r="AB8701" s="3"/>
      <c r="AC8701" s="3"/>
      <c r="AD8701" s="3"/>
      <c r="AE8701" s="3"/>
      <c r="AF8701" s="3"/>
      <c r="AG8701" s="3"/>
      <c r="AH8701" s="3"/>
    </row>
    <row r="8702" spans="1:34" ht="14.25" customHeight="1" x14ac:dyDescent="0.25">
      <c r="A8702" s="3"/>
      <c r="B8702" s="3"/>
      <c r="C8702" s="3"/>
      <c r="D8702" s="3"/>
      <c r="E8702" s="3"/>
      <c r="F8702" s="3"/>
      <c r="G8702" s="3"/>
      <c r="H8702" s="11"/>
      <c r="I8702" s="12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  <c r="AA8702" s="3"/>
      <c r="AB8702" s="3"/>
      <c r="AC8702" s="3"/>
      <c r="AD8702" s="3"/>
      <c r="AE8702" s="3"/>
      <c r="AF8702" s="3"/>
      <c r="AG8702" s="3"/>
      <c r="AH8702" s="3"/>
    </row>
    <row r="8703" spans="1:34" ht="14.25" customHeight="1" x14ac:dyDescent="0.25">
      <c r="A8703" s="3"/>
      <c r="B8703" s="3"/>
      <c r="C8703" s="3"/>
      <c r="D8703" s="3"/>
      <c r="E8703" s="3"/>
      <c r="F8703" s="3"/>
      <c r="G8703" s="3"/>
      <c r="H8703" s="11"/>
      <c r="I8703" s="12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  <c r="AA8703" s="3"/>
      <c r="AB8703" s="3"/>
      <c r="AC8703" s="3"/>
      <c r="AD8703" s="3"/>
      <c r="AE8703" s="3"/>
      <c r="AF8703" s="3"/>
      <c r="AG8703" s="3"/>
      <c r="AH8703" s="3"/>
    </row>
    <row r="8704" spans="1:34" ht="14.25" customHeight="1" x14ac:dyDescent="0.25">
      <c r="A8704" s="3"/>
      <c r="B8704" s="3"/>
      <c r="C8704" s="3"/>
      <c r="D8704" s="3"/>
      <c r="E8704" s="3"/>
      <c r="F8704" s="3"/>
      <c r="G8704" s="3"/>
      <c r="H8704" s="11"/>
      <c r="I8704" s="12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  <c r="AA8704" s="3"/>
      <c r="AB8704" s="3"/>
      <c r="AC8704" s="3"/>
      <c r="AD8704" s="3"/>
      <c r="AE8704" s="3"/>
      <c r="AF8704" s="3"/>
      <c r="AG8704" s="3"/>
      <c r="AH8704" s="3"/>
    </row>
    <row r="8705" spans="1:34" ht="14.25" customHeight="1" x14ac:dyDescent="0.25">
      <c r="A8705" s="3"/>
      <c r="B8705" s="3"/>
      <c r="C8705" s="3"/>
      <c r="D8705" s="3"/>
      <c r="E8705" s="3"/>
      <c r="F8705" s="3"/>
      <c r="G8705" s="3"/>
      <c r="H8705" s="11"/>
      <c r="I8705" s="12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  <c r="AA8705" s="3"/>
      <c r="AB8705" s="3"/>
      <c r="AC8705" s="3"/>
      <c r="AD8705" s="3"/>
      <c r="AE8705" s="3"/>
      <c r="AF8705" s="3"/>
      <c r="AG8705" s="3"/>
      <c r="AH8705" s="3"/>
    </row>
    <row r="8706" spans="1:34" ht="14.25" customHeight="1" x14ac:dyDescent="0.25">
      <c r="A8706" s="3"/>
      <c r="B8706" s="3"/>
      <c r="C8706" s="3"/>
      <c r="D8706" s="3"/>
      <c r="E8706" s="3"/>
      <c r="F8706" s="3"/>
      <c r="G8706" s="3"/>
      <c r="H8706" s="11"/>
      <c r="I8706" s="12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  <c r="AA8706" s="3"/>
      <c r="AB8706" s="3"/>
      <c r="AC8706" s="3"/>
      <c r="AD8706" s="3"/>
      <c r="AE8706" s="3"/>
      <c r="AF8706" s="3"/>
      <c r="AG8706" s="3"/>
      <c r="AH8706" s="3"/>
    </row>
    <row r="8707" spans="1:34" ht="14.25" customHeight="1" x14ac:dyDescent="0.25">
      <c r="A8707" s="3"/>
      <c r="B8707" s="3"/>
      <c r="C8707" s="3"/>
      <c r="D8707" s="3"/>
      <c r="E8707" s="3"/>
      <c r="F8707" s="3"/>
      <c r="G8707" s="3"/>
      <c r="H8707" s="11"/>
      <c r="I8707" s="12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  <c r="AA8707" s="3"/>
      <c r="AB8707" s="3"/>
      <c r="AC8707" s="3"/>
      <c r="AD8707" s="3"/>
      <c r="AE8707" s="3"/>
      <c r="AF8707" s="3"/>
      <c r="AG8707" s="3"/>
      <c r="AH8707" s="3"/>
    </row>
    <row r="8708" spans="1:34" ht="14.25" customHeight="1" x14ac:dyDescent="0.25">
      <c r="A8708" s="3"/>
      <c r="B8708" s="3"/>
      <c r="C8708" s="3"/>
      <c r="D8708" s="3"/>
      <c r="E8708" s="3"/>
      <c r="F8708" s="3"/>
      <c r="G8708" s="3"/>
      <c r="H8708" s="11"/>
      <c r="I8708" s="12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  <c r="AA8708" s="3"/>
      <c r="AB8708" s="3"/>
      <c r="AC8708" s="3"/>
      <c r="AD8708" s="3"/>
      <c r="AE8708" s="3"/>
      <c r="AF8708" s="3"/>
      <c r="AG8708" s="3"/>
      <c r="AH8708" s="3"/>
    </row>
    <row r="8709" spans="1:34" ht="14.25" customHeight="1" x14ac:dyDescent="0.25">
      <c r="A8709" s="3"/>
      <c r="B8709" s="3"/>
      <c r="C8709" s="3"/>
      <c r="D8709" s="3"/>
      <c r="E8709" s="3"/>
      <c r="F8709" s="3"/>
      <c r="G8709" s="3"/>
      <c r="H8709" s="11"/>
      <c r="I8709" s="12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  <c r="AA8709" s="3"/>
      <c r="AB8709" s="3"/>
      <c r="AC8709" s="3"/>
      <c r="AD8709" s="3"/>
      <c r="AE8709" s="3"/>
      <c r="AF8709" s="3"/>
      <c r="AG8709" s="3"/>
      <c r="AH8709" s="3"/>
    </row>
    <row r="8710" spans="1:34" ht="14.25" customHeight="1" x14ac:dyDescent="0.25">
      <c r="A8710" s="3"/>
      <c r="B8710" s="3"/>
      <c r="C8710" s="3"/>
      <c r="D8710" s="3"/>
      <c r="E8710" s="3"/>
      <c r="F8710" s="3"/>
      <c r="G8710" s="3"/>
      <c r="H8710" s="11"/>
      <c r="I8710" s="12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  <c r="AA8710" s="3"/>
      <c r="AB8710" s="3"/>
      <c r="AC8710" s="3"/>
      <c r="AD8710" s="3"/>
      <c r="AE8710" s="3"/>
      <c r="AF8710" s="3"/>
      <c r="AG8710" s="3"/>
      <c r="AH8710" s="3"/>
    </row>
    <row r="8711" spans="1:34" ht="14.25" customHeight="1" x14ac:dyDescent="0.25">
      <c r="A8711" s="3"/>
      <c r="B8711" s="3"/>
      <c r="C8711" s="3"/>
      <c r="D8711" s="3"/>
      <c r="E8711" s="3"/>
      <c r="F8711" s="3"/>
      <c r="G8711" s="3"/>
      <c r="H8711" s="11"/>
      <c r="I8711" s="12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  <c r="AA8711" s="3"/>
      <c r="AB8711" s="3"/>
      <c r="AC8711" s="3"/>
      <c r="AD8711" s="3"/>
      <c r="AE8711" s="3"/>
      <c r="AF8711" s="3"/>
      <c r="AG8711" s="3"/>
      <c r="AH8711" s="3"/>
    </row>
    <row r="8712" spans="1:34" ht="14.25" customHeight="1" x14ac:dyDescent="0.25">
      <c r="A8712" s="3"/>
      <c r="B8712" s="3"/>
      <c r="C8712" s="3"/>
      <c r="D8712" s="3"/>
      <c r="E8712" s="3"/>
      <c r="F8712" s="3"/>
      <c r="G8712" s="3"/>
      <c r="H8712" s="11"/>
      <c r="I8712" s="12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  <c r="AA8712" s="3"/>
      <c r="AB8712" s="3"/>
      <c r="AC8712" s="3"/>
      <c r="AD8712" s="3"/>
      <c r="AE8712" s="3"/>
      <c r="AF8712" s="3"/>
      <c r="AG8712" s="3"/>
      <c r="AH8712" s="3"/>
    </row>
    <row r="8713" spans="1:34" ht="14.25" customHeight="1" x14ac:dyDescent="0.25">
      <c r="A8713" s="3"/>
      <c r="B8713" s="3"/>
      <c r="C8713" s="3"/>
      <c r="D8713" s="3"/>
      <c r="E8713" s="3"/>
      <c r="F8713" s="3"/>
      <c r="G8713" s="3"/>
      <c r="H8713" s="11"/>
      <c r="I8713" s="12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  <c r="AA8713" s="3"/>
      <c r="AB8713" s="3"/>
      <c r="AC8713" s="3"/>
      <c r="AD8713" s="3"/>
      <c r="AE8713" s="3"/>
      <c r="AF8713" s="3"/>
      <c r="AG8713" s="3"/>
      <c r="AH8713" s="3"/>
    </row>
    <row r="8714" spans="1:34" ht="14.25" customHeight="1" x14ac:dyDescent="0.25">
      <c r="A8714" s="3"/>
      <c r="B8714" s="3"/>
      <c r="C8714" s="3"/>
      <c r="D8714" s="3"/>
      <c r="E8714" s="3"/>
      <c r="F8714" s="3"/>
      <c r="G8714" s="3"/>
      <c r="H8714" s="11"/>
      <c r="I8714" s="12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  <c r="AA8714" s="3"/>
      <c r="AB8714" s="3"/>
      <c r="AC8714" s="3"/>
      <c r="AD8714" s="3"/>
      <c r="AE8714" s="3"/>
      <c r="AF8714" s="3"/>
      <c r="AG8714" s="3"/>
      <c r="AH8714" s="3"/>
    </row>
    <row r="8715" spans="1:34" ht="14.25" customHeight="1" x14ac:dyDescent="0.25">
      <c r="A8715" s="3"/>
      <c r="B8715" s="3"/>
      <c r="C8715" s="3"/>
      <c r="D8715" s="3"/>
      <c r="E8715" s="3"/>
      <c r="F8715" s="3"/>
      <c r="G8715" s="3"/>
      <c r="H8715" s="11"/>
      <c r="I8715" s="12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  <c r="AA8715" s="3"/>
      <c r="AB8715" s="3"/>
      <c r="AC8715" s="3"/>
      <c r="AD8715" s="3"/>
      <c r="AE8715" s="3"/>
      <c r="AF8715" s="3"/>
      <c r="AG8715" s="3"/>
      <c r="AH8715" s="3"/>
    </row>
    <row r="8716" spans="1:34" ht="14.25" customHeight="1" x14ac:dyDescent="0.25">
      <c r="A8716" s="3"/>
      <c r="B8716" s="3"/>
      <c r="C8716" s="3"/>
      <c r="D8716" s="3"/>
      <c r="E8716" s="3"/>
      <c r="F8716" s="3"/>
      <c r="G8716" s="3"/>
      <c r="H8716" s="11"/>
      <c r="I8716" s="12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  <c r="AA8716" s="3"/>
      <c r="AB8716" s="3"/>
      <c r="AC8716" s="3"/>
      <c r="AD8716" s="3"/>
      <c r="AE8716" s="3"/>
      <c r="AF8716" s="3"/>
      <c r="AG8716" s="3"/>
      <c r="AH8716" s="3"/>
    </row>
    <row r="8717" spans="1:34" ht="14.25" customHeight="1" x14ac:dyDescent="0.25">
      <c r="A8717" s="3"/>
      <c r="B8717" s="3"/>
      <c r="C8717" s="3"/>
      <c r="D8717" s="3"/>
      <c r="E8717" s="3"/>
      <c r="F8717" s="3"/>
      <c r="G8717" s="3"/>
      <c r="H8717" s="11"/>
      <c r="I8717" s="12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  <c r="AA8717" s="3"/>
      <c r="AB8717" s="3"/>
      <c r="AC8717" s="3"/>
      <c r="AD8717" s="3"/>
      <c r="AE8717" s="3"/>
      <c r="AF8717" s="3"/>
      <c r="AG8717" s="3"/>
      <c r="AH8717" s="3"/>
    </row>
    <row r="8718" spans="1:34" ht="14.25" customHeight="1" x14ac:dyDescent="0.25">
      <c r="A8718" s="3"/>
      <c r="B8718" s="3"/>
      <c r="C8718" s="3"/>
      <c r="D8718" s="3"/>
      <c r="E8718" s="3"/>
      <c r="F8718" s="3"/>
      <c r="G8718" s="3"/>
      <c r="H8718" s="11"/>
      <c r="I8718" s="12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  <c r="AA8718" s="3"/>
      <c r="AB8718" s="3"/>
      <c r="AC8718" s="3"/>
      <c r="AD8718" s="3"/>
      <c r="AE8718" s="3"/>
      <c r="AF8718" s="3"/>
      <c r="AG8718" s="3"/>
      <c r="AH8718" s="3"/>
    </row>
    <row r="8719" spans="1:34" ht="14.25" customHeight="1" x14ac:dyDescent="0.25">
      <c r="A8719" s="3"/>
      <c r="B8719" s="3"/>
      <c r="C8719" s="3"/>
      <c r="D8719" s="3"/>
      <c r="E8719" s="3"/>
      <c r="F8719" s="3"/>
      <c r="G8719" s="3"/>
      <c r="H8719" s="11"/>
      <c r="I8719" s="12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  <c r="AA8719" s="3"/>
      <c r="AB8719" s="3"/>
      <c r="AC8719" s="3"/>
      <c r="AD8719" s="3"/>
      <c r="AE8719" s="3"/>
      <c r="AF8719" s="3"/>
      <c r="AG8719" s="3"/>
      <c r="AH8719" s="3"/>
    </row>
    <row r="8720" spans="1:34" ht="14.25" customHeight="1" x14ac:dyDescent="0.25">
      <c r="A8720" s="3"/>
      <c r="B8720" s="3"/>
      <c r="C8720" s="3"/>
      <c r="D8720" s="3"/>
      <c r="E8720" s="3"/>
      <c r="F8720" s="3"/>
      <c r="G8720" s="3"/>
      <c r="H8720" s="11"/>
      <c r="I8720" s="12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  <c r="AA8720" s="3"/>
      <c r="AB8720" s="3"/>
      <c r="AC8720" s="3"/>
      <c r="AD8720" s="3"/>
      <c r="AE8720" s="3"/>
      <c r="AF8720" s="3"/>
      <c r="AG8720" s="3"/>
      <c r="AH8720" s="3"/>
    </row>
    <row r="8721" spans="1:34" ht="14.25" customHeight="1" x14ac:dyDescent="0.25">
      <c r="A8721" s="3"/>
      <c r="B8721" s="3"/>
      <c r="C8721" s="3"/>
      <c r="D8721" s="3"/>
      <c r="E8721" s="3"/>
      <c r="F8721" s="3"/>
      <c r="G8721" s="3"/>
      <c r="H8721" s="11"/>
      <c r="I8721" s="12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  <c r="AA8721" s="3"/>
      <c r="AB8721" s="3"/>
      <c r="AC8721" s="3"/>
      <c r="AD8721" s="3"/>
      <c r="AE8721" s="3"/>
      <c r="AF8721" s="3"/>
      <c r="AG8721" s="3"/>
      <c r="AH8721" s="3"/>
    </row>
    <row r="8722" spans="1:34" ht="14.25" customHeight="1" x14ac:dyDescent="0.25">
      <c r="A8722" s="3"/>
      <c r="B8722" s="3"/>
      <c r="C8722" s="3"/>
      <c r="D8722" s="3"/>
      <c r="E8722" s="3"/>
      <c r="F8722" s="3"/>
      <c r="G8722" s="3"/>
      <c r="H8722" s="11"/>
      <c r="I8722" s="12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  <c r="AA8722" s="3"/>
      <c r="AB8722" s="3"/>
      <c r="AC8722" s="3"/>
      <c r="AD8722" s="3"/>
      <c r="AE8722" s="3"/>
      <c r="AF8722" s="3"/>
      <c r="AG8722" s="3"/>
      <c r="AH8722" s="3"/>
    </row>
    <row r="8723" spans="1:34" ht="14.25" customHeight="1" x14ac:dyDescent="0.25">
      <c r="A8723" s="3"/>
      <c r="B8723" s="3"/>
      <c r="C8723" s="3"/>
      <c r="D8723" s="3"/>
      <c r="E8723" s="3"/>
      <c r="F8723" s="3"/>
      <c r="G8723" s="3"/>
      <c r="H8723" s="11"/>
      <c r="I8723" s="12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  <c r="AA8723" s="3"/>
      <c r="AB8723" s="3"/>
      <c r="AC8723" s="3"/>
      <c r="AD8723" s="3"/>
      <c r="AE8723" s="3"/>
      <c r="AF8723" s="3"/>
      <c r="AG8723" s="3"/>
      <c r="AH8723" s="3"/>
    </row>
    <row r="8724" spans="1:34" ht="14.25" customHeight="1" x14ac:dyDescent="0.25">
      <c r="A8724" s="3"/>
      <c r="B8724" s="3"/>
      <c r="C8724" s="3"/>
      <c r="D8724" s="3"/>
      <c r="E8724" s="3"/>
      <c r="F8724" s="3"/>
      <c r="G8724" s="3"/>
      <c r="H8724" s="11"/>
      <c r="I8724" s="12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  <c r="AA8724" s="3"/>
      <c r="AB8724" s="3"/>
      <c r="AC8724" s="3"/>
      <c r="AD8724" s="3"/>
      <c r="AE8724" s="3"/>
      <c r="AF8724" s="3"/>
      <c r="AG8724" s="3"/>
      <c r="AH8724" s="3"/>
    </row>
    <row r="8725" spans="1:34" ht="14.25" customHeight="1" x14ac:dyDescent="0.25">
      <c r="A8725" s="3"/>
      <c r="B8725" s="3"/>
      <c r="C8725" s="3"/>
      <c r="D8725" s="3"/>
      <c r="E8725" s="3"/>
      <c r="F8725" s="3"/>
      <c r="G8725" s="3"/>
      <c r="H8725" s="11"/>
      <c r="I8725" s="12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  <c r="AA8725" s="3"/>
      <c r="AB8725" s="3"/>
      <c r="AC8725" s="3"/>
      <c r="AD8725" s="3"/>
      <c r="AE8725" s="3"/>
      <c r="AF8725" s="3"/>
      <c r="AG8725" s="3"/>
      <c r="AH8725" s="3"/>
    </row>
    <row r="8726" spans="1:34" ht="14.25" customHeight="1" x14ac:dyDescent="0.25">
      <c r="A8726" s="3"/>
      <c r="B8726" s="3"/>
      <c r="C8726" s="3"/>
      <c r="D8726" s="3"/>
      <c r="E8726" s="3"/>
      <c r="F8726" s="3"/>
      <c r="G8726" s="3"/>
      <c r="H8726" s="11"/>
      <c r="I8726" s="12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  <c r="AA8726" s="3"/>
      <c r="AB8726" s="3"/>
      <c r="AC8726" s="3"/>
      <c r="AD8726" s="3"/>
      <c r="AE8726" s="3"/>
      <c r="AF8726" s="3"/>
      <c r="AG8726" s="3"/>
      <c r="AH8726" s="3"/>
    </row>
    <row r="8727" spans="1:34" ht="14.25" customHeight="1" x14ac:dyDescent="0.25">
      <c r="A8727" s="3"/>
      <c r="B8727" s="3"/>
      <c r="C8727" s="3"/>
      <c r="D8727" s="3"/>
      <c r="E8727" s="3"/>
      <c r="F8727" s="3"/>
      <c r="G8727" s="3"/>
      <c r="H8727" s="11"/>
      <c r="I8727" s="12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  <c r="AA8727" s="3"/>
      <c r="AB8727" s="3"/>
      <c r="AC8727" s="3"/>
      <c r="AD8727" s="3"/>
      <c r="AE8727" s="3"/>
      <c r="AF8727" s="3"/>
      <c r="AG8727" s="3"/>
      <c r="AH8727" s="3"/>
    </row>
    <row r="8728" spans="1:34" ht="14.25" customHeight="1" x14ac:dyDescent="0.25">
      <c r="A8728" s="3"/>
      <c r="B8728" s="3"/>
      <c r="C8728" s="3"/>
      <c r="D8728" s="3"/>
      <c r="E8728" s="3"/>
      <c r="F8728" s="3"/>
      <c r="G8728" s="3"/>
      <c r="H8728" s="11"/>
      <c r="I8728" s="12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  <c r="AA8728" s="3"/>
      <c r="AB8728" s="3"/>
      <c r="AC8728" s="3"/>
      <c r="AD8728" s="3"/>
      <c r="AE8728" s="3"/>
      <c r="AF8728" s="3"/>
      <c r="AG8728" s="3"/>
      <c r="AH8728" s="3"/>
    </row>
    <row r="8729" spans="1:34" ht="14.25" customHeight="1" x14ac:dyDescent="0.25">
      <c r="A8729" s="3"/>
      <c r="B8729" s="3"/>
      <c r="C8729" s="3"/>
      <c r="D8729" s="3"/>
      <c r="E8729" s="3"/>
      <c r="F8729" s="3"/>
      <c r="G8729" s="3"/>
      <c r="H8729" s="11"/>
      <c r="I8729" s="12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  <c r="AA8729" s="3"/>
      <c r="AB8729" s="3"/>
      <c r="AC8729" s="3"/>
      <c r="AD8729" s="3"/>
      <c r="AE8729" s="3"/>
      <c r="AF8729" s="3"/>
      <c r="AG8729" s="3"/>
      <c r="AH8729" s="3"/>
    </row>
    <row r="8730" spans="1:34" ht="14.25" customHeight="1" x14ac:dyDescent="0.25">
      <c r="A8730" s="3"/>
      <c r="B8730" s="3"/>
      <c r="C8730" s="3"/>
      <c r="D8730" s="3"/>
      <c r="E8730" s="3"/>
      <c r="F8730" s="3"/>
      <c r="G8730" s="3"/>
      <c r="H8730" s="11"/>
      <c r="I8730" s="12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  <c r="AA8730" s="3"/>
      <c r="AB8730" s="3"/>
      <c r="AC8730" s="3"/>
      <c r="AD8730" s="3"/>
      <c r="AE8730" s="3"/>
      <c r="AF8730" s="3"/>
      <c r="AG8730" s="3"/>
      <c r="AH8730" s="3"/>
    </row>
    <row r="8731" spans="1:34" ht="14.25" customHeight="1" x14ac:dyDescent="0.25">
      <c r="A8731" s="3"/>
      <c r="B8731" s="3"/>
      <c r="C8731" s="3"/>
      <c r="D8731" s="3"/>
      <c r="E8731" s="3"/>
      <c r="F8731" s="3"/>
      <c r="G8731" s="3"/>
      <c r="H8731" s="11"/>
      <c r="I8731" s="12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  <c r="AA8731" s="3"/>
      <c r="AB8731" s="3"/>
      <c r="AC8731" s="3"/>
      <c r="AD8731" s="3"/>
      <c r="AE8731" s="3"/>
      <c r="AF8731" s="3"/>
      <c r="AG8731" s="3"/>
      <c r="AH8731" s="3"/>
    </row>
    <row r="8732" spans="1:34" ht="14.25" customHeight="1" x14ac:dyDescent="0.25">
      <c r="A8732" s="3"/>
      <c r="B8732" s="3"/>
      <c r="C8732" s="3"/>
      <c r="D8732" s="3"/>
      <c r="E8732" s="3"/>
      <c r="F8732" s="3"/>
      <c r="G8732" s="3"/>
      <c r="H8732" s="11"/>
      <c r="I8732" s="12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  <c r="AA8732" s="3"/>
      <c r="AB8732" s="3"/>
      <c r="AC8732" s="3"/>
      <c r="AD8732" s="3"/>
      <c r="AE8732" s="3"/>
      <c r="AF8732" s="3"/>
      <c r="AG8732" s="3"/>
      <c r="AH8732" s="3"/>
    </row>
    <row r="8733" spans="1:34" ht="14.25" customHeight="1" x14ac:dyDescent="0.25">
      <c r="A8733" s="3"/>
      <c r="B8733" s="3"/>
      <c r="C8733" s="3"/>
      <c r="D8733" s="3"/>
      <c r="E8733" s="3"/>
      <c r="F8733" s="3"/>
      <c r="G8733" s="3"/>
      <c r="H8733" s="11"/>
      <c r="I8733" s="12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  <c r="AA8733" s="3"/>
      <c r="AB8733" s="3"/>
      <c r="AC8733" s="3"/>
      <c r="AD8733" s="3"/>
      <c r="AE8733" s="3"/>
      <c r="AF8733" s="3"/>
      <c r="AG8733" s="3"/>
      <c r="AH8733" s="3"/>
    </row>
    <row r="8734" spans="1:34" ht="14.25" customHeight="1" x14ac:dyDescent="0.25">
      <c r="A8734" s="3"/>
      <c r="B8734" s="3"/>
      <c r="C8734" s="3"/>
      <c r="D8734" s="3"/>
      <c r="E8734" s="3"/>
      <c r="F8734" s="3"/>
      <c r="G8734" s="3"/>
      <c r="H8734" s="11"/>
      <c r="I8734" s="12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  <c r="AA8734" s="3"/>
      <c r="AB8734" s="3"/>
      <c r="AC8734" s="3"/>
      <c r="AD8734" s="3"/>
      <c r="AE8734" s="3"/>
      <c r="AF8734" s="3"/>
      <c r="AG8734" s="3"/>
      <c r="AH8734" s="3"/>
    </row>
    <row r="8735" spans="1:34" ht="14.25" customHeight="1" x14ac:dyDescent="0.25">
      <c r="A8735" s="3"/>
      <c r="B8735" s="3"/>
      <c r="C8735" s="3"/>
      <c r="D8735" s="3"/>
      <c r="E8735" s="3"/>
      <c r="F8735" s="3"/>
      <c r="G8735" s="3"/>
      <c r="H8735" s="11"/>
      <c r="I8735" s="12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  <c r="AA8735" s="3"/>
      <c r="AB8735" s="3"/>
      <c r="AC8735" s="3"/>
      <c r="AD8735" s="3"/>
      <c r="AE8735" s="3"/>
      <c r="AF8735" s="3"/>
      <c r="AG8735" s="3"/>
      <c r="AH8735" s="3"/>
    </row>
    <row r="8736" spans="1:34" ht="14.25" customHeight="1" x14ac:dyDescent="0.25">
      <c r="A8736" s="3"/>
      <c r="B8736" s="3"/>
      <c r="C8736" s="3"/>
      <c r="D8736" s="3"/>
      <c r="E8736" s="3"/>
      <c r="F8736" s="3"/>
      <c r="G8736" s="3"/>
      <c r="H8736" s="11"/>
      <c r="I8736" s="12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  <c r="AA8736" s="3"/>
      <c r="AB8736" s="3"/>
      <c r="AC8736" s="3"/>
      <c r="AD8736" s="3"/>
      <c r="AE8736" s="3"/>
      <c r="AF8736" s="3"/>
      <c r="AG8736" s="3"/>
      <c r="AH8736" s="3"/>
    </row>
    <row r="8737" spans="1:34" ht="14.25" customHeight="1" x14ac:dyDescent="0.25">
      <c r="A8737" s="3"/>
      <c r="B8737" s="3"/>
      <c r="C8737" s="3"/>
      <c r="D8737" s="3"/>
      <c r="E8737" s="3"/>
      <c r="F8737" s="3"/>
      <c r="G8737" s="3"/>
      <c r="H8737" s="11"/>
      <c r="I8737" s="12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  <c r="AA8737" s="3"/>
      <c r="AB8737" s="3"/>
      <c r="AC8737" s="3"/>
      <c r="AD8737" s="3"/>
      <c r="AE8737" s="3"/>
      <c r="AF8737" s="3"/>
      <c r="AG8737" s="3"/>
      <c r="AH8737" s="3"/>
    </row>
    <row r="8738" spans="1:34" ht="14.25" customHeight="1" x14ac:dyDescent="0.25">
      <c r="A8738" s="3"/>
      <c r="B8738" s="3"/>
      <c r="C8738" s="3"/>
      <c r="D8738" s="3"/>
      <c r="E8738" s="3"/>
      <c r="F8738" s="3"/>
      <c r="G8738" s="3"/>
      <c r="H8738" s="11"/>
      <c r="I8738" s="12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  <c r="AA8738" s="3"/>
      <c r="AB8738" s="3"/>
      <c r="AC8738" s="3"/>
      <c r="AD8738" s="3"/>
      <c r="AE8738" s="3"/>
      <c r="AF8738" s="3"/>
      <c r="AG8738" s="3"/>
      <c r="AH8738" s="3"/>
    </row>
    <row r="8739" spans="1:34" ht="14.25" customHeight="1" x14ac:dyDescent="0.25">
      <c r="A8739" s="3"/>
      <c r="B8739" s="3"/>
      <c r="C8739" s="3"/>
      <c r="D8739" s="3"/>
      <c r="E8739" s="3"/>
      <c r="F8739" s="3"/>
      <c r="G8739" s="3"/>
      <c r="H8739" s="11"/>
      <c r="I8739" s="12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  <c r="AA8739" s="3"/>
      <c r="AB8739" s="3"/>
      <c r="AC8739" s="3"/>
      <c r="AD8739" s="3"/>
      <c r="AE8739" s="3"/>
      <c r="AF8739" s="3"/>
      <c r="AG8739" s="3"/>
      <c r="AH8739" s="3"/>
    </row>
    <row r="8740" spans="1:34" ht="14.25" customHeight="1" x14ac:dyDescent="0.25">
      <c r="A8740" s="3"/>
      <c r="B8740" s="3"/>
      <c r="C8740" s="3"/>
      <c r="D8740" s="3"/>
      <c r="E8740" s="3"/>
      <c r="F8740" s="3"/>
      <c r="G8740" s="3"/>
      <c r="H8740" s="11"/>
      <c r="I8740" s="12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  <c r="AA8740" s="3"/>
      <c r="AB8740" s="3"/>
      <c r="AC8740" s="3"/>
      <c r="AD8740" s="3"/>
      <c r="AE8740" s="3"/>
      <c r="AF8740" s="3"/>
      <c r="AG8740" s="3"/>
      <c r="AH8740" s="3"/>
    </row>
    <row r="8741" spans="1:34" ht="14.25" customHeight="1" x14ac:dyDescent="0.25">
      <c r="A8741" s="3"/>
      <c r="B8741" s="3"/>
      <c r="C8741" s="3"/>
      <c r="D8741" s="3"/>
      <c r="E8741" s="3"/>
      <c r="F8741" s="3"/>
      <c r="G8741" s="3"/>
      <c r="H8741" s="11"/>
      <c r="I8741" s="12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  <c r="AA8741" s="3"/>
      <c r="AB8741" s="3"/>
      <c r="AC8741" s="3"/>
      <c r="AD8741" s="3"/>
      <c r="AE8741" s="3"/>
      <c r="AF8741" s="3"/>
      <c r="AG8741" s="3"/>
      <c r="AH8741" s="3"/>
    </row>
    <row r="8742" spans="1:34" ht="14.25" customHeight="1" x14ac:dyDescent="0.25">
      <c r="A8742" s="3"/>
      <c r="B8742" s="3"/>
      <c r="C8742" s="3"/>
      <c r="D8742" s="3"/>
      <c r="E8742" s="3"/>
      <c r="F8742" s="3"/>
      <c r="G8742" s="3"/>
      <c r="H8742" s="11"/>
      <c r="I8742" s="12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  <c r="AA8742" s="3"/>
      <c r="AB8742" s="3"/>
      <c r="AC8742" s="3"/>
      <c r="AD8742" s="3"/>
      <c r="AE8742" s="3"/>
      <c r="AF8742" s="3"/>
      <c r="AG8742" s="3"/>
      <c r="AH8742" s="3"/>
    </row>
    <row r="8743" spans="1:34" ht="14.25" customHeight="1" x14ac:dyDescent="0.25">
      <c r="A8743" s="3"/>
      <c r="B8743" s="3"/>
      <c r="C8743" s="3"/>
      <c r="D8743" s="3"/>
      <c r="E8743" s="3"/>
      <c r="F8743" s="3"/>
      <c r="G8743" s="3"/>
      <c r="H8743" s="11"/>
      <c r="I8743" s="12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  <c r="AA8743" s="3"/>
      <c r="AB8743" s="3"/>
      <c r="AC8743" s="3"/>
      <c r="AD8743" s="3"/>
      <c r="AE8743" s="3"/>
      <c r="AF8743" s="3"/>
      <c r="AG8743" s="3"/>
      <c r="AH8743" s="3"/>
    </row>
    <row r="8744" spans="1:34" ht="14.25" customHeight="1" x14ac:dyDescent="0.25">
      <c r="A8744" s="3"/>
      <c r="B8744" s="3"/>
      <c r="C8744" s="3"/>
      <c r="D8744" s="3"/>
      <c r="E8744" s="3"/>
      <c r="F8744" s="3"/>
      <c r="G8744" s="3"/>
      <c r="H8744" s="11"/>
      <c r="I8744" s="12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  <c r="AA8744" s="3"/>
      <c r="AB8744" s="3"/>
      <c r="AC8744" s="3"/>
      <c r="AD8744" s="3"/>
      <c r="AE8744" s="3"/>
      <c r="AF8744" s="3"/>
      <c r="AG8744" s="3"/>
      <c r="AH8744" s="3"/>
    </row>
    <row r="8745" spans="1:34" ht="14.25" customHeight="1" x14ac:dyDescent="0.25">
      <c r="A8745" s="3"/>
      <c r="B8745" s="3"/>
      <c r="C8745" s="3"/>
      <c r="D8745" s="3"/>
      <c r="E8745" s="3"/>
      <c r="F8745" s="3"/>
      <c r="G8745" s="3"/>
      <c r="H8745" s="11"/>
      <c r="I8745" s="12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  <c r="AA8745" s="3"/>
      <c r="AB8745" s="3"/>
      <c r="AC8745" s="3"/>
      <c r="AD8745" s="3"/>
      <c r="AE8745" s="3"/>
      <c r="AF8745" s="3"/>
      <c r="AG8745" s="3"/>
      <c r="AH8745" s="3"/>
    </row>
    <row r="8746" spans="1:34" ht="14.25" customHeight="1" x14ac:dyDescent="0.25">
      <c r="A8746" s="3"/>
      <c r="B8746" s="3"/>
      <c r="C8746" s="3"/>
      <c r="D8746" s="3"/>
      <c r="E8746" s="3"/>
      <c r="F8746" s="3"/>
      <c r="G8746" s="3"/>
      <c r="H8746" s="11"/>
      <c r="I8746" s="12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  <c r="AA8746" s="3"/>
      <c r="AB8746" s="3"/>
      <c r="AC8746" s="3"/>
      <c r="AD8746" s="3"/>
      <c r="AE8746" s="3"/>
      <c r="AF8746" s="3"/>
      <c r="AG8746" s="3"/>
      <c r="AH8746" s="3"/>
    </row>
    <row r="8747" spans="1:34" ht="14.25" customHeight="1" x14ac:dyDescent="0.25">
      <c r="A8747" s="3"/>
      <c r="B8747" s="3"/>
      <c r="C8747" s="3"/>
      <c r="D8747" s="3"/>
      <c r="E8747" s="3"/>
      <c r="F8747" s="3"/>
      <c r="G8747" s="3"/>
      <c r="H8747" s="11"/>
      <c r="I8747" s="12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  <c r="AA8747" s="3"/>
      <c r="AB8747" s="3"/>
      <c r="AC8747" s="3"/>
      <c r="AD8747" s="3"/>
      <c r="AE8747" s="3"/>
      <c r="AF8747" s="3"/>
      <c r="AG8747" s="3"/>
      <c r="AH8747" s="3"/>
    </row>
    <row r="8748" spans="1:34" ht="14.25" customHeight="1" x14ac:dyDescent="0.25">
      <c r="A8748" s="3"/>
      <c r="B8748" s="3"/>
      <c r="C8748" s="3"/>
      <c r="D8748" s="3"/>
      <c r="E8748" s="3"/>
      <c r="F8748" s="3"/>
      <c r="G8748" s="3"/>
      <c r="H8748" s="11"/>
      <c r="I8748" s="12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  <c r="AA8748" s="3"/>
      <c r="AB8748" s="3"/>
      <c r="AC8748" s="3"/>
      <c r="AD8748" s="3"/>
      <c r="AE8748" s="3"/>
      <c r="AF8748" s="3"/>
      <c r="AG8748" s="3"/>
      <c r="AH8748" s="3"/>
    </row>
    <row r="8749" spans="1:34" ht="14.25" customHeight="1" x14ac:dyDescent="0.25">
      <c r="A8749" s="3"/>
      <c r="B8749" s="3"/>
      <c r="C8749" s="3"/>
      <c r="D8749" s="3"/>
      <c r="E8749" s="3"/>
      <c r="F8749" s="3"/>
      <c r="G8749" s="3"/>
      <c r="H8749" s="11"/>
      <c r="I8749" s="12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  <c r="AA8749" s="3"/>
      <c r="AB8749" s="3"/>
      <c r="AC8749" s="3"/>
      <c r="AD8749" s="3"/>
      <c r="AE8749" s="3"/>
      <c r="AF8749" s="3"/>
      <c r="AG8749" s="3"/>
      <c r="AH8749" s="3"/>
    </row>
    <row r="8750" spans="1:34" ht="14.25" customHeight="1" x14ac:dyDescent="0.25">
      <c r="A8750" s="3"/>
      <c r="B8750" s="3"/>
      <c r="C8750" s="3"/>
      <c r="D8750" s="3"/>
      <c r="E8750" s="3"/>
      <c r="F8750" s="3"/>
      <c r="G8750" s="3"/>
      <c r="H8750" s="11"/>
      <c r="I8750" s="12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  <c r="AA8750" s="3"/>
      <c r="AB8750" s="3"/>
      <c r="AC8750" s="3"/>
      <c r="AD8750" s="3"/>
      <c r="AE8750" s="3"/>
      <c r="AF8750" s="3"/>
      <c r="AG8750" s="3"/>
      <c r="AH8750" s="3"/>
    </row>
    <row r="8751" spans="1:34" ht="14.25" customHeight="1" x14ac:dyDescent="0.25">
      <c r="A8751" s="3"/>
      <c r="B8751" s="3"/>
      <c r="C8751" s="3"/>
      <c r="D8751" s="3"/>
      <c r="E8751" s="3"/>
      <c r="F8751" s="3"/>
      <c r="G8751" s="3"/>
      <c r="H8751" s="11"/>
      <c r="I8751" s="12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  <c r="AA8751" s="3"/>
      <c r="AB8751" s="3"/>
      <c r="AC8751" s="3"/>
      <c r="AD8751" s="3"/>
      <c r="AE8751" s="3"/>
      <c r="AF8751" s="3"/>
      <c r="AG8751" s="3"/>
      <c r="AH8751" s="3"/>
    </row>
    <row r="8752" spans="1:34" ht="14.25" customHeight="1" x14ac:dyDescent="0.25">
      <c r="A8752" s="3"/>
      <c r="B8752" s="3"/>
      <c r="C8752" s="3"/>
      <c r="D8752" s="3"/>
      <c r="E8752" s="3"/>
      <c r="F8752" s="3"/>
      <c r="G8752" s="3"/>
      <c r="H8752" s="11"/>
      <c r="I8752" s="12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  <c r="AA8752" s="3"/>
      <c r="AB8752" s="3"/>
      <c r="AC8752" s="3"/>
      <c r="AD8752" s="3"/>
      <c r="AE8752" s="3"/>
      <c r="AF8752" s="3"/>
      <c r="AG8752" s="3"/>
      <c r="AH8752" s="3"/>
    </row>
    <row r="8753" spans="1:34" ht="14.25" customHeight="1" x14ac:dyDescent="0.25">
      <c r="A8753" s="3"/>
      <c r="B8753" s="3"/>
      <c r="C8753" s="3"/>
      <c r="D8753" s="3"/>
      <c r="E8753" s="3"/>
      <c r="F8753" s="3"/>
      <c r="G8753" s="3"/>
      <c r="H8753" s="11"/>
      <c r="I8753" s="12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  <c r="AA8753" s="3"/>
      <c r="AB8753" s="3"/>
      <c r="AC8753" s="3"/>
      <c r="AD8753" s="3"/>
      <c r="AE8753" s="3"/>
      <c r="AF8753" s="3"/>
      <c r="AG8753" s="3"/>
      <c r="AH8753" s="3"/>
    </row>
    <row r="8754" spans="1:34" ht="14.25" customHeight="1" x14ac:dyDescent="0.25">
      <c r="A8754" s="3"/>
      <c r="B8754" s="3"/>
      <c r="C8754" s="3"/>
      <c r="D8754" s="3"/>
      <c r="E8754" s="3"/>
      <c r="F8754" s="3"/>
      <c r="G8754" s="3"/>
      <c r="H8754" s="11"/>
      <c r="I8754" s="12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  <c r="AA8754" s="3"/>
      <c r="AB8754" s="3"/>
      <c r="AC8754" s="3"/>
      <c r="AD8754" s="3"/>
      <c r="AE8754" s="3"/>
      <c r="AF8754" s="3"/>
      <c r="AG8754" s="3"/>
      <c r="AH8754" s="3"/>
    </row>
    <row r="8755" spans="1:34" ht="14.25" customHeight="1" x14ac:dyDescent="0.25">
      <c r="A8755" s="3"/>
      <c r="B8755" s="3"/>
      <c r="C8755" s="3"/>
      <c r="D8755" s="3"/>
      <c r="E8755" s="3"/>
      <c r="F8755" s="3"/>
      <c r="G8755" s="3"/>
      <c r="H8755" s="11"/>
      <c r="I8755" s="12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  <c r="AA8755" s="3"/>
      <c r="AB8755" s="3"/>
      <c r="AC8755" s="3"/>
      <c r="AD8755" s="3"/>
      <c r="AE8755" s="3"/>
      <c r="AF8755" s="3"/>
      <c r="AG8755" s="3"/>
      <c r="AH8755" s="3"/>
    </row>
    <row r="8756" spans="1:34" ht="14.25" customHeight="1" x14ac:dyDescent="0.25">
      <c r="A8756" s="3"/>
      <c r="B8756" s="3"/>
      <c r="C8756" s="3"/>
      <c r="D8756" s="3"/>
      <c r="E8756" s="3"/>
      <c r="F8756" s="3"/>
      <c r="G8756" s="3"/>
      <c r="H8756" s="11"/>
      <c r="I8756" s="12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  <c r="AA8756" s="3"/>
      <c r="AB8756" s="3"/>
      <c r="AC8756" s="3"/>
      <c r="AD8756" s="3"/>
      <c r="AE8756" s="3"/>
      <c r="AF8756" s="3"/>
      <c r="AG8756" s="3"/>
      <c r="AH8756" s="3"/>
    </row>
    <row r="8757" spans="1:34" ht="14.25" customHeight="1" x14ac:dyDescent="0.25">
      <c r="A8757" s="3"/>
      <c r="B8757" s="3"/>
      <c r="C8757" s="3"/>
      <c r="D8757" s="3"/>
      <c r="E8757" s="3"/>
      <c r="F8757" s="3"/>
      <c r="G8757" s="3"/>
      <c r="H8757" s="11"/>
      <c r="I8757" s="12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  <c r="AA8757" s="3"/>
      <c r="AB8757" s="3"/>
      <c r="AC8757" s="3"/>
      <c r="AD8757" s="3"/>
      <c r="AE8757" s="3"/>
      <c r="AF8757" s="3"/>
      <c r="AG8757" s="3"/>
      <c r="AH8757" s="3"/>
    </row>
    <row r="8758" spans="1:34" ht="14.25" customHeight="1" x14ac:dyDescent="0.25">
      <c r="A8758" s="3"/>
      <c r="B8758" s="3"/>
      <c r="C8758" s="3"/>
      <c r="D8758" s="3"/>
      <c r="E8758" s="3"/>
      <c r="F8758" s="3"/>
      <c r="G8758" s="3"/>
      <c r="H8758" s="11"/>
      <c r="I8758" s="12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  <c r="AA8758" s="3"/>
      <c r="AB8758" s="3"/>
      <c r="AC8758" s="3"/>
      <c r="AD8758" s="3"/>
      <c r="AE8758" s="3"/>
      <c r="AF8758" s="3"/>
      <c r="AG8758" s="3"/>
      <c r="AH8758" s="3"/>
    </row>
    <row r="8759" spans="1:34" ht="14.25" customHeight="1" x14ac:dyDescent="0.25">
      <c r="A8759" s="3"/>
      <c r="B8759" s="3"/>
      <c r="C8759" s="3"/>
      <c r="D8759" s="3"/>
      <c r="E8759" s="3"/>
      <c r="F8759" s="3"/>
      <c r="G8759" s="3"/>
      <c r="H8759" s="11"/>
      <c r="I8759" s="12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  <c r="AA8759" s="3"/>
      <c r="AB8759" s="3"/>
      <c r="AC8759" s="3"/>
      <c r="AD8759" s="3"/>
      <c r="AE8759" s="3"/>
      <c r="AF8759" s="3"/>
      <c r="AG8759" s="3"/>
      <c r="AH8759" s="3"/>
    </row>
    <row r="8760" spans="1:34" ht="14.25" customHeight="1" x14ac:dyDescent="0.25">
      <c r="A8760" s="3"/>
      <c r="B8760" s="3"/>
      <c r="C8760" s="3"/>
      <c r="D8760" s="3"/>
      <c r="E8760" s="3"/>
      <c r="F8760" s="3"/>
      <c r="G8760" s="3"/>
      <c r="H8760" s="11"/>
      <c r="I8760" s="12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  <c r="AA8760" s="3"/>
      <c r="AB8760" s="3"/>
      <c r="AC8760" s="3"/>
      <c r="AD8760" s="3"/>
      <c r="AE8760" s="3"/>
      <c r="AF8760" s="3"/>
      <c r="AG8760" s="3"/>
      <c r="AH8760" s="3"/>
    </row>
    <row r="8761" spans="1:34" ht="14.25" customHeight="1" x14ac:dyDescent="0.25">
      <c r="A8761" s="3"/>
      <c r="B8761" s="3"/>
      <c r="C8761" s="3"/>
      <c r="D8761" s="3"/>
      <c r="E8761" s="3"/>
      <c r="F8761" s="3"/>
      <c r="G8761" s="3"/>
      <c r="H8761" s="11"/>
      <c r="I8761" s="12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  <c r="AA8761" s="3"/>
      <c r="AB8761" s="3"/>
      <c r="AC8761" s="3"/>
      <c r="AD8761" s="3"/>
      <c r="AE8761" s="3"/>
      <c r="AF8761" s="3"/>
      <c r="AG8761" s="3"/>
      <c r="AH8761" s="3"/>
    </row>
    <row r="8762" spans="1:34" ht="14.25" customHeight="1" x14ac:dyDescent="0.25">
      <c r="A8762" s="3"/>
      <c r="B8762" s="3"/>
      <c r="C8762" s="3"/>
      <c r="D8762" s="3"/>
      <c r="E8762" s="3"/>
      <c r="F8762" s="3"/>
      <c r="G8762" s="3"/>
      <c r="H8762" s="11"/>
      <c r="I8762" s="12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  <c r="AA8762" s="3"/>
      <c r="AB8762" s="3"/>
      <c r="AC8762" s="3"/>
      <c r="AD8762" s="3"/>
      <c r="AE8762" s="3"/>
      <c r="AF8762" s="3"/>
      <c r="AG8762" s="3"/>
      <c r="AH8762" s="3"/>
    </row>
    <row r="8763" spans="1:34" ht="14.25" customHeight="1" x14ac:dyDescent="0.25">
      <c r="A8763" s="3"/>
      <c r="B8763" s="3"/>
      <c r="C8763" s="3"/>
      <c r="D8763" s="3"/>
      <c r="E8763" s="3"/>
      <c r="F8763" s="3"/>
      <c r="G8763" s="3"/>
      <c r="H8763" s="11"/>
      <c r="I8763" s="12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  <c r="AA8763" s="3"/>
      <c r="AB8763" s="3"/>
      <c r="AC8763" s="3"/>
      <c r="AD8763" s="3"/>
      <c r="AE8763" s="3"/>
      <c r="AF8763" s="3"/>
      <c r="AG8763" s="3"/>
      <c r="AH8763" s="3"/>
    </row>
    <row r="8764" spans="1:34" ht="14.25" customHeight="1" x14ac:dyDescent="0.25">
      <c r="A8764" s="3"/>
      <c r="B8764" s="3"/>
      <c r="C8764" s="3"/>
      <c r="D8764" s="3"/>
      <c r="E8764" s="3"/>
      <c r="F8764" s="3"/>
      <c r="G8764" s="3"/>
      <c r="H8764" s="11"/>
      <c r="I8764" s="12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  <c r="AA8764" s="3"/>
      <c r="AB8764" s="3"/>
      <c r="AC8764" s="3"/>
      <c r="AD8764" s="3"/>
      <c r="AE8764" s="3"/>
      <c r="AF8764" s="3"/>
      <c r="AG8764" s="3"/>
      <c r="AH8764" s="3"/>
    </row>
    <row r="8765" spans="1:34" ht="14.25" customHeight="1" x14ac:dyDescent="0.25">
      <c r="A8765" s="3"/>
      <c r="B8765" s="3"/>
      <c r="C8765" s="3"/>
      <c r="D8765" s="3"/>
      <c r="E8765" s="3"/>
      <c r="F8765" s="3"/>
      <c r="G8765" s="3"/>
      <c r="H8765" s="11"/>
      <c r="I8765" s="12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  <c r="AA8765" s="3"/>
      <c r="AB8765" s="3"/>
      <c r="AC8765" s="3"/>
      <c r="AD8765" s="3"/>
      <c r="AE8765" s="3"/>
      <c r="AF8765" s="3"/>
      <c r="AG8765" s="3"/>
      <c r="AH8765" s="3"/>
    </row>
    <row r="8766" spans="1:34" ht="14.25" customHeight="1" x14ac:dyDescent="0.25">
      <c r="A8766" s="3"/>
      <c r="B8766" s="3"/>
      <c r="C8766" s="3"/>
      <c r="D8766" s="3"/>
      <c r="E8766" s="3"/>
      <c r="F8766" s="3"/>
      <c r="G8766" s="3"/>
      <c r="H8766" s="11"/>
      <c r="I8766" s="12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  <c r="AA8766" s="3"/>
      <c r="AB8766" s="3"/>
      <c r="AC8766" s="3"/>
      <c r="AD8766" s="3"/>
      <c r="AE8766" s="3"/>
      <c r="AF8766" s="3"/>
      <c r="AG8766" s="3"/>
      <c r="AH8766" s="3"/>
    </row>
    <row r="8767" spans="1:34" ht="14.25" customHeight="1" x14ac:dyDescent="0.25">
      <c r="A8767" s="3"/>
      <c r="B8767" s="3"/>
      <c r="C8767" s="3"/>
      <c r="D8767" s="3"/>
      <c r="E8767" s="3"/>
      <c r="F8767" s="3"/>
      <c r="G8767" s="3"/>
      <c r="H8767" s="11"/>
      <c r="I8767" s="12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  <c r="AA8767" s="3"/>
      <c r="AB8767" s="3"/>
      <c r="AC8767" s="3"/>
      <c r="AD8767" s="3"/>
      <c r="AE8767" s="3"/>
      <c r="AF8767" s="3"/>
      <c r="AG8767" s="3"/>
      <c r="AH8767" s="3"/>
    </row>
    <row r="8768" spans="1:34" ht="14.25" customHeight="1" x14ac:dyDescent="0.25">
      <c r="A8768" s="3"/>
      <c r="B8768" s="3"/>
      <c r="C8768" s="3"/>
      <c r="D8768" s="3"/>
      <c r="E8768" s="3"/>
      <c r="F8768" s="3"/>
      <c r="G8768" s="3"/>
      <c r="H8768" s="11"/>
      <c r="I8768" s="12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  <c r="AA8768" s="3"/>
      <c r="AB8768" s="3"/>
      <c r="AC8768" s="3"/>
      <c r="AD8768" s="3"/>
      <c r="AE8768" s="3"/>
      <c r="AF8768" s="3"/>
      <c r="AG8768" s="3"/>
      <c r="AH8768" s="3"/>
    </row>
    <row r="8769" spans="1:34" ht="14.25" customHeight="1" x14ac:dyDescent="0.25">
      <c r="A8769" s="3"/>
      <c r="B8769" s="3"/>
      <c r="C8769" s="3"/>
      <c r="D8769" s="3"/>
      <c r="E8769" s="3"/>
      <c r="F8769" s="3"/>
      <c r="G8769" s="3"/>
      <c r="H8769" s="11"/>
      <c r="I8769" s="12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  <c r="AA8769" s="3"/>
      <c r="AB8769" s="3"/>
      <c r="AC8769" s="3"/>
      <c r="AD8769" s="3"/>
      <c r="AE8769" s="3"/>
      <c r="AF8769" s="3"/>
      <c r="AG8769" s="3"/>
      <c r="AH8769" s="3"/>
    </row>
    <row r="8770" spans="1:34" ht="14.25" customHeight="1" x14ac:dyDescent="0.25">
      <c r="A8770" s="3"/>
      <c r="B8770" s="3"/>
      <c r="C8770" s="3"/>
      <c r="D8770" s="3"/>
      <c r="E8770" s="3"/>
      <c r="F8770" s="3"/>
      <c r="G8770" s="3"/>
      <c r="H8770" s="11"/>
      <c r="I8770" s="12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  <c r="AA8770" s="3"/>
      <c r="AB8770" s="3"/>
      <c r="AC8770" s="3"/>
      <c r="AD8770" s="3"/>
      <c r="AE8770" s="3"/>
      <c r="AF8770" s="3"/>
      <c r="AG8770" s="3"/>
      <c r="AH8770" s="3"/>
    </row>
    <row r="8771" spans="1:34" ht="14.25" customHeight="1" x14ac:dyDescent="0.25">
      <c r="A8771" s="3"/>
      <c r="B8771" s="3"/>
      <c r="C8771" s="3"/>
      <c r="D8771" s="3"/>
      <c r="E8771" s="3"/>
      <c r="F8771" s="3"/>
      <c r="G8771" s="3"/>
      <c r="H8771" s="11"/>
      <c r="I8771" s="12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  <c r="AA8771" s="3"/>
      <c r="AB8771" s="3"/>
      <c r="AC8771" s="3"/>
      <c r="AD8771" s="3"/>
      <c r="AE8771" s="3"/>
      <c r="AF8771" s="3"/>
      <c r="AG8771" s="3"/>
      <c r="AH8771" s="3"/>
    </row>
    <row r="8772" spans="1:34" ht="14.25" customHeight="1" x14ac:dyDescent="0.25">
      <c r="A8772" s="3"/>
      <c r="B8772" s="3"/>
      <c r="C8772" s="3"/>
      <c r="D8772" s="3"/>
      <c r="E8772" s="3"/>
      <c r="F8772" s="3"/>
      <c r="G8772" s="3"/>
      <c r="H8772" s="11"/>
      <c r="I8772" s="12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  <c r="AA8772" s="3"/>
      <c r="AB8772" s="3"/>
      <c r="AC8772" s="3"/>
      <c r="AD8772" s="3"/>
      <c r="AE8772" s="3"/>
      <c r="AF8772" s="3"/>
      <c r="AG8772" s="3"/>
      <c r="AH8772" s="3"/>
    </row>
    <row r="8773" spans="1:34" ht="14.25" customHeight="1" x14ac:dyDescent="0.25">
      <c r="A8773" s="3"/>
      <c r="B8773" s="3"/>
      <c r="C8773" s="3"/>
      <c r="D8773" s="3"/>
      <c r="E8773" s="3"/>
      <c r="F8773" s="3"/>
      <c r="G8773" s="3"/>
      <c r="H8773" s="11"/>
      <c r="I8773" s="12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  <c r="AA8773" s="3"/>
      <c r="AB8773" s="3"/>
      <c r="AC8773" s="3"/>
      <c r="AD8773" s="3"/>
      <c r="AE8773" s="3"/>
      <c r="AF8773" s="3"/>
      <c r="AG8773" s="3"/>
      <c r="AH8773" s="3"/>
    </row>
    <row r="8774" spans="1:34" ht="14.25" customHeight="1" x14ac:dyDescent="0.25">
      <c r="A8774" s="3"/>
      <c r="B8774" s="3"/>
      <c r="C8774" s="3"/>
      <c r="D8774" s="3"/>
      <c r="E8774" s="3"/>
      <c r="F8774" s="3"/>
      <c r="G8774" s="3"/>
      <c r="H8774" s="11"/>
      <c r="I8774" s="12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  <c r="AA8774" s="3"/>
      <c r="AB8774" s="3"/>
      <c r="AC8774" s="3"/>
      <c r="AD8774" s="3"/>
      <c r="AE8774" s="3"/>
      <c r="AF8774" s="3"/>
      <c r="AG8774" s="3"/>
      <c r="AH8774" s="3"/>
    </row>
    <row r="8775" spans="1:34" ht="14.25" customHeight="1" x14ac:dyDescent="0.25">
      <c r="A8775" s="3"/>
      <c r="B8775" s="3"/>
      <c r="C8775" s="3"/>
      <c r="D8775" s="3"/>
      <c r="E8775" s="3"/>
      <c r="F8775" s="3"/>
      <c r="G8775" s="3"/>
      <c r="H8775" s="11"/>
      <c r="I8775" s="12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  <c r="AA8775" s="3"/>
      <c r="AB8775" s="3"/>
      <c r="AC8775" s="3"/>
      <c r="AD8775" s="3"/>
      <c r="AE8775" s="3"/>
      <c r="AF8775" s="3"/>
      <c r="AG8775" s="3"/>
      <c r="AH8775" s="3"/>
    </row>
    <row r="8776" spans="1:34" ht="14.25" customHeight="1" x14ac:dyDescent="0.25">
      <c r="A8776" s="3"/>
      <c r="B8776" s="3"/>
      <c r="C8776" s="3"/>
      <c r="D8776" s="3"/>
      <c r="E8776" s="3"/>
      <c r="F8776" s="3"/>
      <c r="G8776" s="3"/>
      <c r="H8776" s="11"/>
      <c r="I8776" s="12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  <c r="AA8776" s="3"/>
      <c r="AB8776" s="3"/>
      <c r="AC8776" s="3"/>
      <c r="AD8776" s="3"/>
      <c r="AE8776" s="3"/>
      <c r="AF8776" s="3"/>
      <c r="AG8776" s="3"/>
      <c r="AH8776" s="3"/>
    </row>
    <row r="8777" spans="1:34" ht="14.25" customHeight="1" x14ac:dyDescent="0.25">
      <c r="A8777" s="3"/>
      <c r="B8777" s="3"/>
      <c r="C8777" s="3"/>
      <c r="D8777" s="3"/>
      <c r="E8777" s="3"/>
      <c r="F8777" s="3"/>
      <c r="G8777" s="3"/>
      <c r="H8777" s="11"/>
      <c r="I8777" s="12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  <c r="AA8777" s="3"/>
      <c r="AB8777" s="3"/>
      <c r="AC8777" s="3"/>
      <c r="AD8777" s="3"/>
      <c r="AE8777" s="3"/>
      <c r="AF8777" s="3"/>
      <c r="AG8777" s="3"/>
      <c r="AH8777" s="3"/>
    </row>
    <row r="8778" spans="1:34" ht="14.25" customHeight="1" x14ac:dyDescent="0.25">
      <c r="A8778" s="3"/>
      <c r="B8778" s="3"/>
      <c r="C8778" s="3"/>
      <c r="D8778" s="3"/>
      <c r="E8778" s="3"/>
      <c r="F8778" s="3"/>
      <c r="G8778" s="3"/>
      <c r="H8778" s="11"/>
      <c r="I8778" s="12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  <c r="AA8778" s="3"/>
      <c r="AB8778" s="3"/>
      <c r="AC8778" s="3"/>
      <c r="AD8778" s="3"/>
      <c r="AE8778" s="3"/>
      <c r="AF8778" s="3"/>
      <c r="AG8778" s="3"/>
      <c r="AH8778" s="3"/>
    </row>
    <row r="8779" spans="1:34" ht="14.25" customHeight="1" x14ac:dyDescent="0.25">
      <c r="A8779" s="3"/>
      <c r="B8779" s="3"/>
      <c r="C8779" s="3"/>
      <c r="D8779" s="3"/>
      <c r="E8779" s="3"/>
      <c r="F8779" s="3"/>
      <c r="G8779" s="3"/>
      <c r="H8779" s="11"/>
      <c r="I8779" s="12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  <c r="AA8779" s="3"/>
      <c r="AB8779" s="3"/>
      <c r="AC8779" s="3"/>
      <c r="AD8779" s="3"/>
      <c r="AE8779" s="3"/>
      <c r="AF8779" s="3"/>
      <c r="AG8779" s="3"/>
      <c r="AH8779" s="3"/>
    </row>
    <row r="8780" spans="1:34" ht="14.25" customHeight="1" x14ac:dyDescent="0.25">
      <c r="A8780" s="3"/>
      <c r="B8780" s="3"/>
      <c r="C8780" s="3"/>
      <c r="D8780" s="3"/>
      <c r="E8780" s="3"/>
      <c r="F8780" s="3"/>
      <c r="G8780" s="3"/>
      <c r="H8780" s="11"/>
      <c r="I8780" s="12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  <c r="AA8780" s="3"/>
      <c r="AB8780" s="3"/>
      <c r="AC8780" s="3"/>
      <c r="AD8780" s="3"/>
      <c r="AE8780" s="3"/>
      <c r="AF8780" s="3"/>
      <c r="AG8780" s="3"/>
      <c r="AH8780" s="3"/>
    </row>
    <row r="8781" spans="1:34" ht="14.25" customHeight="1" x14ac:dyDescent="0.25">
      <c r="A8781" s="3"/>
      <c r="B8781" s="3"/>
      <c r="C8781" s="3"/>
      <c r="D8781" s="3"/>
      <c r="E8781" s="3"/>
      <c r="F8781" s="3"/>
      <c r="G8781" s="3"/>
      <c r="H8781" s="11"/>
      <c r="I8781" s="12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  <c r="AA8781" s="3"/>
      <c r="AB8781" s="3"/>
      <c r="AC8781" s="3"/>
      <c r="AD8781" s="3"/>
      <c r="AE8781" s="3"/>
      <c r="AF8781" s="3"/>
      <c r="AG8781" s="3"/>
      <c r="AH8781" s="3"/>
    </row>
    <row r="8782" spans="1:34" ht="14.25" customHeight="1" x14ac:dyDescent="0.25">
      <c r="A8782" s="3"/>
      <c r="B8782" s="3"/>
      <c r="C8782" s="3"/>
      <c r="D8782" s="3"/>
      <c r="E8782" s="3"/>
      <c r="F8782" s="3"/>
      <c r="G8782" s="3"/>
      <c r="H8782" s="11"/>
      <c r="I8782" s="12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  <c r="AA8782" s="3"/>
      <c r="AB8782" s="3"/>
      <c r="AC8782" s="3"/>
      <c r="AD8782" s="3"/>
      <c r="AE8782" s="3"/>
      <c r="AF8782" s="3"/>
      <c r="AG8782" s="3"/>
      <c r="AH8782" s="3"/>
    </row>
    <row r="8783" spans="1:34" ht="14.25" customHeight="1" x14ac:dyDescent="0.25">
      <c r="A8783" s="3"/>
      <c r="B8783" s="3"/>
      <c r="C8783" s="3"/>
      <c r="D8783" s="3"/>
      <c r="E8783" s="3"/>
      <c r="F8783" s="3"/>
      <c r="G8783" s="3"/>
      <c r="H8783" s="11"/>
      <c r="I8783" s="12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  <c r="AA8783" s="3"/>
      <c r="AB8783" s="3"/>
      <c r="AC8783" s="3"/>
      <c r="AD8783" s="3"/>
      <c r="AE8783" s="3"/>
      <c r="AF8783" s="3"/>
      <c r="AG8783" s="3"/>
      <c r="AH8783" s="3"/>
    </row>
    <row r="8784" spans="1:34" ht="14.25" customHeight="1" x14ac:dyDescent="0.25">
      <c r="A8784" s="3"/>
      <c r="B8784" s="3"/>
      <c r="C8784" s="3"/>
      <c r="D8784" s="3"/>
      <c r="E8784" s="3"/>
      <c r="F8784" s="3"/>
      <c r="G8784" s="3"/>
      <c r="H8784" s="11"/>
      <c r="I8784" s="12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  <c r="AA8784" s="3"/>
      <c r="AB8784" s="3"/>
      <c r="AC8784" s="3"/>
      <c r="AD8784" s="3"/>
      <c r="AE8784" s="3"/>
      <c r="AF8784" s="3"/>
      <c r="AG8784" s="3"/>
      <c r="AH8784" s="3"/>
    </row>
    <row r="8785" spans="1:34" ht="14.25" customHeight="1" x14ac:dyDescent="0.25">
      <c r="A8785" s="3"/>
      <c r="B8785" s="3"/>
      <c r="C8785" s="3"/>
      <c r="D8785" s="3"/>
      <c r="E8785" s="3"/>
      <c r="F8785" s="3"/>
      <c r="G8785" s="3"/>
      <c r="H8785" s="11"/>
      <c r="I8785" s="12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  <c r="AA8785" s="3"/>
      <c r="AB8785" s="3"/>
      <c r="AC8785" s="3"/>
      <c r="AD8785" s="3"/>
      <c r="AE8785" s="3"/>
      <c r="AF8785" s="3"/>
      <c r="AG8785" s="3"/>
      <c r="AH8785" s="3"/>
    </row>
    <row r="8786" spans="1:34" ht="14.25" customHeight="1" x14ac:dyDescent="0.25">
      <c r="A8786" s="3"/>
      <c r="B8786" s="3"/>
      <c r="C8786" s="3"/>
      <c r="D8786" s="3"/>
      <c r="E8786" s="3"/>
      <c r="F8786" s="3"/>
      <c r="G8786" s="3"/>
      <c r="H8786" s="11"/>
      <c r="I8786" s="12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  <c r="AA8786" s="3"/>
      <c r="AB8786" s="3"/>
      <c r="AC8786" s="3"/>
      <c r="AD8786" s="3"/>
      <c r="AE8786" s="3"/>
      <c r="AF8786" s="3"/>
      <c r="AG8786" s="3"/>
      <c r="AH8786" s="3"/>
    </row>
    <row r="8787" spans="1:34" ht="14.25" customHeight="1" x14ac:dyDescent="0.25">
      <c r="A8787" s="3"/>
      <c r="B8787" s="3"/>
      <c r="C8787" s="3"/>
      <c r="D8787" s="3"/>
      <c r="E8787" s="3"/>
      <c r="F8787" s="3"/>
      <c r="G8787" s="3"/>
      <c r="H8787" s="11"/>
      <c r="I8787" s="12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  <c r="AA8787" s="3"/>
      <c r="AB8787" s="3"/>
      <c r="AC8787" s="3"/>
      <c r="AD8787" s="3"/>
      <c r="AE8787" s="3"/>
      <c r="AF8787" s="3"/>
      <c r="AG8787" s="3"/>
      <c r="AH8787" s="3"/>
    </row>
    <row r="8788" spans="1:34" ht="14.25" customHeight="1" x14ac:dyDescent="0.25">
      <c r="A8788" s="3"/>
      <c r="B8788" s="3"/>
      <c r="C8788" s="3"/>
      <c r="D8788" s="3"/>
      <c r="E8788" s="3"/>
      <c r="F8788" s="3"/>
      <c r="G8788" s="3"/>
      <c r="H8788" s="11"/>
      <c r="I8788" s="12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  <c r="AA8788" s="3"/>
      <c r="AB8788" s="3"/>
      <c r="AC8788" s="3"/>
      <c r="AD8788" s="3"/>
      <c r="AE8788" s="3"/>
      <c r="AF8788" s="3"/>
      <c r="AG8788" s="3"/>
      <c r="AH8788" s="3"/>
    </row>
    <row r="8789" spans="1:34" ht="14.25" customHeight="1" x14ac:dyDescent="0.25">
      <c r="A8789" s="3"/>
      <c r="B8789" s="3"/>
      <c r="C8789" s="3"/>
      <c r="D8789" s="3"/>
      <c r="E8789" s="3"/>
      <c r="F8789" s="3"/>
      <c r="G8789" s="3"/>
      <c r="H8789" s="11"/>
      <c r="I8789" s="12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  <c r="AA8789" s="3"/>
      <c r="AB8789" s="3"/>
      <c r="AC8789" s="3"/>
      <c r="AD8789" s="3"/>
      <c r="AE8789" s="3"/>
      <c r="AF8789" s="3"/>
      <c r="AG8789" s="3"/>
      <c r="AH8789" s="3"/>
    </row>
    <row r="8790" spans="1:34" ht="14.25" customHeight="1" x14ac:dyDescent="0.25">
      <c r="A8790" s="3"/>
      <c r="B8790" s="3"/>
      <c r="C8790" s="3"/>
      <c r="D8790" s="3"/>
      <c r="E8790" s="3"/>
      <c r="F8790" s="3"/>
      <c r="G8790" s="3"/>
      <c r="H8790" s="11"/>
      <c r="I8790" s="12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  <c r="AA8790" s="3"/>
      <c r="AB8790" s="3"/>
      <c r="AC8790" s="3"/>
      <c r="AD8790" s="3"/>
      <c r="AE8790" s="3"/>
      <c r="AF8790" s="3"/>
      <c r="AG8790" s="3"/>
      <c r="AH8790" s="3"/>
    </row>
    <row r="8791" spans="1:34" ht="14.25" customHeight="1" x14ac:dyDescent="0.25">
      <c r="A8791" s="3"/>
      <c r="B8791" s="3"/>
      <c r="C8791" s="3"/>
      <c r="D8791" s="3"/>
      <c r="E8791" s="3"/>
      <c r="F8791" s="3"/>
      <c r="G8791" s="3"/>
      <c r="H8791" s="11"/>
      <c r="I8791" s="12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  <c r="AA8791" s="3"/>
      <c r="AB8791" s="3"/>
      <c r="AC8791" s="3"/>
      <c r="AD8791" s="3"/>
      <c r="AE8791" s="3"/>
      <c r="AF8791" s="3"/>
      <c r="AG8791" s="3"/>
      <c r="AH8791" s="3"/>
    </row>
    <row r="8792" spans="1:34" ht="14.25" customHeight="1" x14ac:dyDescent="0.25">
      <c r="A8792" s="3"/>
      <c r="B8792" s="3"/>
      <c r="C8792" s="3"/>
      <c r="D8792" s="3"/>
      <c r="E8792" s="3"/>
      <c r="F8792" s="3"/>
      <c r="G8792" s="3"/>
      <c r="H8792" s="11"/>
      <c r="I8792" s="12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  <c r="AA8792" s="3"/>
      <c r="AB8792" s="3"/>
      <c r="AC8792" s="3"/>
      <c r="AD8792" s="3"/>
      <c r="AE8792" s="3"/>
      <c r="AF8792" s="3"/>
      <c r="AG8792" s="3"/>
      <c r="AH8792" s="3"/>
    </row>
    <row r="8793" spans="1:34" ht="14.25" customHeight="1" x14ac:dyDescent="0.25">
      <c r="A8793" s="3"/>
      <c r="B8793" s="3"/>
      <c r="C8793" s="3"/>
      <c r="D8793" s="3"/>
      <c r="E8793" s="3"/>
      <c r="F8793" s="3"/>
      <c r="G8793" s="3"/>
      <c r="H8793" s="11"/>
      <c r="I8793" s="12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  <c r="AA8793" s="3"/>
      <c r="AB8793" s="3"/>
      <c r="AC8793" s="3"/>
      <c r="AD8793" s="3"/>
      <c r="AE8793" s="3"/>
      <c r="AF8793" s="3"/>
      <c r="AG8793" s="3"/>
      <c r="AH8793" s="3"/>
    </row>
    <row r="8794" spans="1:34" ht="14.25" customHeight="1" x14ac:dyDescent="0.25">
      <c r="A8794" s="3"/>
      <c r="B8794" s="3"/>
      <c r="C8794" s="3"/>
      <c r="D8794" s="3"/>
      <c r="E8794" s="3"/>
      <c r="F8794" s="3"/>
      <c r="G8794" s="3"/>
      <c r="H8794" s="11"/>
      <c r="I8794" s="12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  <c r="AA8794" s="3"/>
      <c r="AB8794" s="3"/>
      <c r="AC8794" s="3"/>
      <c r="AD8794" s="3"/>
      <c r="AE8794" s="3"/>
      <c r="AF8794" s="3"/>
      <c r="AG8794" s="3"/>
      <c r="AH8794" s="3"/>
    </row>
    <row r="8795" spans="1:34" ht="14.25" customHeight="1" x14ac:dyDescent="0.25">
      <c r="A8795" s="3"/>
      <c r="B8795" s="3"/>
      <c r="C8795" s="3"/>
      <c r="D8795" s="3"/>
      <c r="E8795" s="3"/>
      <c r="F8795" s="3"/>
      <c r="G8795" s="3"/>
      <c r="H8795" s="11"/>
      <c r="I8795" s="12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  <c r="AA8795" s="3"/>
      <c r="AB8795" s="3"/>
      <c r="AC8795" s="3"/>
      <c r="AD8795" s="3"/>
      <c r="AE8795" s="3"/>
      <c r="AF8795" s="3"/>
      <c r="AG8795" s="3"/>
      <c r="AH8795" s="3"/>
    </row>
    <row r="8796" spans="1:34" ht="14.25" customHeight="1" x14ac:dyDescent="0.25">
      <c r="A8796" s="3"/>
      <c r="B8796" s="3"/>
      <c r="C8796" s="3"/>
      <c r="D8796" s="3"/>
      <c r="E8796" s="3"/>
      <c r="F8796" s="3"/>
      <c r="G8796" s="3"/>
      <c r="H8796" s="11"/>
      <c r="I8796" s="12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  <c r="AA8796" s="3"/>
      <c r="AB8796" s="3"/>
      <c r="AC8796" s="3"/>
      <c r="AD8796" s="3"/>
      <c r="AE8796" s="3"/>
      <c r="AF8796" s="3"/>
      <c r="AG8796" s="3"/>
      <c r="AH8796" s="3"/>
    </row>
    <row r="8797" spans="1:34" ht="14.25" customHeight="1" x14ac:dyDescent="0.25">
      <c r="A8797" s="3"/>
      <c r="B8797" s="3"/>
      <c r="C8797" s="3"/>
      <c r="D8797" s="3"/>
      <c r="E8797" s="3"/>
      <c r="F8797" s="3"/>
      <c r="G8797" s="3"/>
      <c r="H8797" s="11"/>
      <c r="I8797" s="12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  <c r="AA8797" s="3"/>
      <c r="AB8797" s="3"/>
      <c r="AC8797" s="3"/>
      <c r="AD8797" s="3"/>
      <c r="AE8797" s="3"/>
      <c r="AF8797" s="3"/>
      <c r="AG8797" s="3"/>
      <c r="AH8797" s="3"/>
    </row>
    <row r="8798" spans="1:34" ht="14.25" customHeight="1" x14ac:dyDescent="0.25">
      <c r="A8798" s="3"/>
      <c r="B8798" s="3"/>
      <c r="C8798" s="3"/>
      <c r="D8798" s="3"/>
      <c r="E8798" s="3"/>
      <c r="F8798" s="3"/>
      <c r="G8798" s="3"/>
      <c r="H8798" s="11"/>
      <c r="I8798" s="12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  <c r="AA8798" s="3"/>
      <c r="AB8798" s="3"/>
      <c r="AC8798" s="3"/>
      <c r="AD8798" s="3"/>
      <c r="AE8798" s="3"/>
      <c r="AF8798" s="3"/>
      <c r="AG8798" s="3"/>
      <c r="AH8798" s="3"/>
    </row>
    <row r="8799" spans="1:34" ht="14.25" customHeight="1" x14ac:dyDescent="0.25">
      <c r="A8799" s="3"/>
      <c r="B8799" s="3"/>
      <c r="C8799" s="3"/>
      <c r="D8799" s="3"/>
      <c r="E8799" s="3"/>
      <c r="F8799" s="3"/>
      <c r="G8799" s="3"/>
      <c r="H8799" s="11"/>
      <c r="I8799" s="12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  <c r="AA8799" s="3"/>
      <c r="AB8799" s="3"/>
      <c r="AC8799" s="3"/>
      <c r="AD8799" s="3"/>
      <c r="AE8799" s="3"/>
      <c r="AF8799" s="3"/>
      <c r="AG8799" s="3"/>
      <c r="AH8799" s="3"/>
    </row>
    <row r="8800" spans="1:34" ht="14.25" customHeight="1" x14ac:dyDescent="0.25">
      <c r="A8800" s="3"/>
      <c r="B8800" s="3"/>
      <c r="C8800" s="3"/>
      <c r="D8800" s="3"/>
      <c r="E8800" s="3"/>
      <c r="F8800" s="3"/>
      <c r="G8800" s="3"/>
      <c r="H8800" s="11"/>
      <c r="I8800" s="12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  <c r="AA8800" s="3"/>
      <c r="AB8800" s="3"/>
      <c r="AC8800" s="3"/>
      <c r="AD8800" s="3"/>
      <c r="AE8800" s="3"/>
      <c r="AF8800" s="3"/>
      <c r="AG8800" s="3"/>
      <c r="AH8800" s="3"/>
    </row>
    <row r="8801" spans="1:34" ht="14.25" customHeight="1" x14ac:dyDescent="0.25">
      <c r="A8801" s="3"/>
      <c r="B8801" s="3"/>
      <c r="C8801" s="3"/>
      <c r="D8801" s="3"/>
      <c r="E8801" s="3"/>
      <c r="F8801" s="3"/>
      <c r="G8801" s="3"/>
      <c r="H8801" s="11"/>
      <c r="I8801" s="12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  <c r="AA8801" s="3"/>
      <c r="AB8801" s="3"/>
      <c r="AC8801" s="3"/>
      <c r="AD8801" s="3"/>
      <c r="AE8801" s="3"/>
      <c r="AF8801" s="3"/>
      <c r="AG8801" s="3"/>
      <c r="AH8801" s="3"/>
    </row>
    <row r="8802" spans="1:34" ht="14.25" customHeight="1" x14ac:dyDescent="0.25">
      <c r="A8802" s="3"/>
      <c r="B8802" s="3"/>
      <c r="C8802" s="3"/>
      <c r="D8802" s="3"/>
      <c r="E8802" s="3"/>
      <c r="F8802" s="3"/>
      <c r="G8802" s="3"/>
      <c r="H8802" s="11"/>
      <c r="I8802" s="12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  <c r="AA8802" s="3"/>
      <c r="AB8802" s="3"/>
      <c r="AC8802" s="3"/>
      <c r="AD8802" s="3"/>
      <c r="AE8802" s="3"/>
      <c r="AF8802" s="3"/>
      <c r="AG8802" s="3"/>
      <c r="AH8802" s="3"/>
    </row>
    <row r="8803" spans="1:34" ht="14.25" customHeight="1" x14ac:dyDescent="0.25">
      <c r="A8803" s="3"/>
      <c r="B8803" s="3"/>
      <c r="C8803" s="3"/>
      <c r="D8803" s="3"/>
      <c r="E8803" s="3"/>
      <c r="F8803" s="3"/>
      <c r="G8803" s="3"/>
      <c r="H8803" s="11"/>
      <c r="I8803" s="12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  <c r="AA8803" s="3"/>
      <c r="AB8803" s="3"/>
      <c r="AC8803" s="3"/>
      <c r="AD8803" s="3"/>
      <c r="AE8803" s="3"/>
      <c r="AF8803" s="3"/>
      <c r="AG8803" s="3"/>
      <c r="AH8803" s="3"/>
    </row>
    <row r="8804" spans="1:34" ht="14.25" customHeight="1" x14ac:dyDescent="0.25">
      <c r="A8804" s="3"/>
      <c r="B8804" s="3"/>
      <c r="C8804" s="3"/>
      <c r="D8804" s="3"/>
      <c r="E8804" s="3"/>
      <c r="F8804" s="3"/>
      <c r="G8804" s="3"/>
      <c r="H8804" s="11"/>
      <c r="I8804" s="12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  <c r="AA8804" s="3"/>
      <c r="AB8804" s="3"/>
      <c r="AC8804" s="3"/>
      <c r="AD8804" s="3"/>
      <c r="AE8804" s="3"/>
      <c r="AF8804" s="3"/>
      <c r="AG8804" s="3"/>
      <c r="AH8804" s="3"/>
    </row>
    <row r="8805" spans="1:34" ht="14.25" customHeight="1" x14ac:dyDescent="0.25">
      <c r="A8805" s="3"/>
      <c r="B8805" s="3"/>
      <c r="C8805" s="3"/>
      <c r="D8805" s="3"/>
      <c r="E8805" s="3"/>
      <c r="F8805" s="3"/>
      <c r="G8805" s="3"/>
      <c r="H8805" s="11"/>
      <c r="I8805" s="12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  <c r="AA8805" s="3"/>
      <c r="AB8805" s="3"/>
      <c r="AC8805" s="3"/>
      <c r="AD8805" s="3"/>
      <c r="AE8805" s="3"/>
      <c r="AF8805" s="3"/>
      <c r="AG8805" s="3"/>
      <c r="AH8805" s="3"/>
    </row>
    <row r="8806" spans="1:34" ht="14.25" customHeight="1" x14ac:dyDescent="0.25">
      <c r="A8806" s="3"/>
      <c r="B8806" s="3"/>
      <c r="C8806" s="3"/>
      <c r="D8806" s="3"/>
      <c r="E8806" s="3"/>
      <c r="F8806" s="3"/>
      <c r="G8806" s="3"/>
      <c r="H8806" s="11"/>
      <c r="I8806" s="12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  <c r="AA8806" s="3"/>
      <c r="AB8806" s="3"/>
      <c r="AC8806" s="3"/>
      <c r="AD8806" s="3"/>
      <c r="AE8806" s="3"/>
      <c r="AF8806" s="3"/>
      <c r="AG8806" s="3"/>
      <c r="AH8806" s="3"/>
    </row>
    <row r="8807" spans="1:34" ht="14.25" customHeight="1" x14ac:dyDescent="0.25">
      <c r="A8807" s="3"/>
      <c r="B8807" s="3"/>
      <c r="C8807" s="3"/>
      <c r="D8807" s="3"/>
      <c r="E8807" s="3"/>
      <c r="F8807" s="3"/>
      <c r="G8807" s="3"/>
      <c r="H8807" s="11"/>
      <c r="I8807" s="12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  <c r="AA8807" s="3"/>
      <c r="AB8807" s="3"/>
      <c r="AC8807" s="3"/>
      <c r="AD8807" s="3"/>
      <c r="AE8807" s="3"/>
      <c r="AF8807" s="3"/>
      <c r="AG8807" s="3"/>
      <c r="AH8807" s="3"/>
    </row>
    <row r="8808" spans="1:34" ht="14.25" customHeight="1" x14ac:dyDescent="0.25">
      <c r="A8808" s="3"/>
      <c r="B8808" s="3"/>
      <c r="C8808" s="3"/>
      <c r="D8808" s="3"/>
      <c r="E8808" s="3"/>
      <c r="F8808" s="3"/>
      <c r="G8808" s="3"/>
      <c r="H8808" s="11"/>
      <c r="I8808" s="12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  <c r="AA8808" s="3"/>
      <c r="AB8808" s="3"/>
      <c r="AC8808" s="3"/>
      <c r="AD8808" s="3"/>
      <c r="AE8808" s="3"/>
      <c r="AF8808" s="3"/>
      <c r="AG8808" s="3"/>
      <c r="AH8808" s="3"/>
    </row>
    <row r="8809" spans="1:34" ht="14.25" customHeight="1" x14ac:dyDescent="0.25">
      <c r="A8809" s="3"/>
      <c r="B8809" s="3"/>
      <c r="C8809" s="3"/>
      <c r="D8809" s="3"/>
      <c r="E8809" s="3"/>
      <c r="F8809" s="3"/>
      <c r="G8809" s="3"/>
      <c r="H8809" s="11"/>
      <c r="I8809" s="12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  <c r="AA8809" s="3"/>
      <c r="AB8809" s="3"/>
      <c r="AC8809" s="3"/>
      <c r="AD8809" s="3"/>
      <c r="AE8809" s="3"/>
      <c r="AF8809" s="3"/>
      <c r="AG8809" s="3"/>
      <c r="AH8809" s="3"/>
    </row>
    <row r="8810" spans="1:34" ht="14.25" customHeight="1" x14ac:dyDescent="0.25">
      <c r="A8810" s="3"/>
      <c r="B8810" s="3"/>
      <c r="C8810" s="3"/>
      <c r="D8810" s="3"/>
      <c r="E8810" s="3"/>
      <c r="F8810" s="3"/>
      <c r="G8810" s="3"/>
      <c r="H8810" s="11"/>
      <c r="I8810" s="12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  <c r="AA8810" s="3"/>
      <c r="AB8810" s="3"/>
      <c r="AC8810" s="3"/>
      <c r="AD8810" s="3"/>
      <c r="AE8810" s="3"/>
      <c r="AF8810" s="3"/>
      <c r="AG8810" s="3"/>
      <c r="AH8810" s="3"/>
    </row>
    <row r="8811" spans="1:34" ht="14.25" customHeight="1" x14ac:dyDescent="0.25">
      <c r="A8811" s="3"/>
      <c r="B8811" s="3"/>
      <c r="C8811" s="3"/>
      <c r="D8811" s="3"/>
      <c r="E8811" s="3"/>
      <c r="F8811" s="3"/>
      <c r="G8811" s="3"/>
      <c r="H8811" s="11"/>
      <c r="I8811" s="12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  <c r="AA8811" s="3"/>
      <c r="AB8811" s="3"/>
      <c r="AC8811" s="3"/>
      <c r="AD8811" s="3"/>
      <c r="AE8811" s="3"/>
      <c r="AF8811" s="3"/>
      <c r="AG8811" s="3"/>
      <c r="AH8811" s="3"/>
    </row>
    <row r="8812" spans="1:34" ht="14.25" customHeight="1" x14ac:dyDescent="0.25">
      <c r="A8812" s="3"/>
      <c r="B8812" s="3"/>
      <c r="C8812" s="3"/>
      <c r="D8812" s="3"/>
      <c r="E8812" s="3"/>
      <c r="F8812" s="3"/>
      <c r="G8812" s="3"/>
      <c r="H8812" s="11"/>
      <c r="I8812" s="12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  <c r="AA8812" s="3"/>
      <c r="AB8812" s="3"/>
      <c r="AC8812" s="3"/>
      <c r="AD8812" s="3"/>
      <c r="AE8812" s="3"/>
      <c r="AF8812" s="3"/>
      <c r="AG8812" s="3"/>
      <c r="AH8812" s="3"/>
    </row>
    <row r="8813" spans="1:34" ht="14.25" customHeight="1" x14ac:dyDescent="0.25">
      <c r="A8813" s="3"/>
      <c r="B8813" s="3"/>
      <c r="C8813" s="3"/>
      <c r="D8813" s="3"/>
      <c r="E8813" s="3"/>
      <c r="F8813" s="3"/>
      <c r="G8813" s="3"/>
      <c r="H8813" s="11"/>
      <c r="I8813" s="12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  <c r="AA8813" s="3"/>
      <c r="AB8813" s="3"/>
      <c r="AC8813" s="3"/>
      <c r="AD8813" s="3"/>
      <c r="AE8813" s="3"/>
      <c r="AF8813" s="3"/>
      <c r="AG8813" s="3"/>
      <c r="AH8813" s="3"/>
    </row>
    <row r="8814" spans="1:34" ht="14.25" customHeight="1" x14ac:dyDescent="0.25">
      <c r="A8814" s="3"/>
      <c r="B8814" s="3"/>
      <c r="C8814" s="3"/>
      <c r="D8814" s="3"/>
      <c r="E8814" s="3"/>
      <c r="F8814" s="3"/>
      <c r="G8814" s="3"/>
      <c r="H8814" s="11"/>
      <c r="I8814" s="12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  <c r="AA8814" s="3"/>
      <c r="AB8814" s="3"/>
      <c r="AC8814" s="3"/>
      <c r="AD8814" s="3"/>
      <c r="AE8814" s="3"/>
      <c r="AF8814" s="3"/>
      <c r="AG8814" s="3"/>
      <c r="AH8814" s="3"/>
    </row>
    <row r="8815" spans="1:34" ht="14.25" customHeight="1" x14ac:dyDescent="0.25">
      <c r="A8815" s="3"/>
      <c r="B8815" s="3"/>
      <c r="C8815" s="3"/>
      <c r="D8815" s="3"/>
      <c r="E8815" s="3"/>
      <c r="F8815" s="3"/>
      <c r="G8815" s="3"/>
      <c r="H8815" s="11"/>
      <c r="I8815" s="12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  <c r="AA8815" s="3"/>
      <c r="AB8815" s="3"/>
      <c r="AC8815" s="3"/>
      <c r="AD8815" s="3"/>
      <c r="AE8815" s="3"/>
      <c r="AF8815" s="3"/>
      <c r="AG8815" s="3"/>
      <c r="AH8815" s="3"/>
    </row>
    <row r="8816" spans="1:34" ht="14.25" customHeight="1" x14ac:dyDescent="0.25">
      <c r="A8816" s="3"/>
      <c r="B8816" s="3"/>
      <c r="C8816" s="3"/>
      <c r="D8816" s="3"/>
      <c r="E8816" s="3"/>
      <c r="F8816" s="3"/>
      <c r="G8816" s="3"/>
      <c r="H8816" s="11"/>
      <c r="I8816" s="12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  <c r="AA8816" s="3"/>
      <c r="AB8816" s="3"/>
      <c r="AC8816" s="3"/>
      <c r="AD8816" s="3"/>
      <c r="AE8816" s="3"/>
      <c r="AF8816" s="3"/>
      <c r="AG8816" s="3"/>
      <c r="AH8816" s="3"/>
    </row>
    <row r="8817" spans="1:34" ht="14.25" customHeight="1" x14ac:dyDescent="0.25">
      <c r="A8817" s="3"/>
      <c r="B8817" s="3"/>
      <c r="C8817" s="3"/>
      <c r="D8817" s="3"/>
      <c r="E8817" s="3"/>
      <c r="F8817" s="3"/>
      <c r="G8817" s="3"/>
      <c r="H8817" s="11"/>
      <c r="I8817" s="12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  <c r="AA8817" s="3"/>
      <c r="AB8817" s="3"/>
      <c r="AC8817" s="3"/>
      <c r="AD8817" s="3"/>
      <c r="AE8817" s="3"/>
      <c r="AF8817" s="3"/>
      <c r="AG8817" s="3"/>
      <c r="AH8817" s="3"/>
    </row>
    <row r="8818" spans="1:34" ht="14.25" customHeight="1" x14ac:dyDescent="0.25">
      <c r="A8818" s="3"/>
      <c r="B8818" s="3"/>
      <c r="C8818" s="3"/>
      <c r="D8818" s="3"/>
      <c r="E8818" s="3"/>
      <c r="F8818" s="3"/>
      <c r="G8818" s="3"/>
      <c r="H8818" s="11"/>
      <c r="I8818" s="12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  <c r="AA8818" s="3"/>
      <c r="AB8818" s="3"/>
      <c r="AC8818" s="3"/>
      <c r="AD8818" s="3"/>
      <c r="AE8818" s="3"/>
      <c r="AF8818" s="3"/>
      <c r="AG8818" s="3"/>
      <c r="AH8818" s="3"/>
    </row>
    <row r="8819" spans="1:34" ht="14.25" customHeight="1" x14ac:dyDescent="0.25">
      <c r="A8819" s="3"/>
      <c r="B8819" s="3"/>
      <c r="C8819" s="3"/>
      <c r="D8819" s="3"/>
      <c r="E8819" s="3"/>
      <c r="F8819" s="3"/>
      <c r="G8819" s="3"/>
      <c r="H8819" s="11"/>
      <c r="I8819" s="12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  <c r="AA8819" s="3"/>
      <c r="AB8819" s="3"/>
      <c r="AC8819" s="3"/>
      <c r="AD8819" s="3"/>
      <c r="AE8819" s="3"/>
      <c r="AF8819" s="3"/>
      <c r="AG8819" s="3"/>
      <c r="AH8819" s="3"/>
    </row>
    <row r="8820" spans="1:34" ht="14.25" customHeight="1" x14ac:dyDescent="0.25">
      <c r="A8820" s="3"/>
      <c r="B8820" s="3"/>
      <c r="C8820" s="3"/>
      <c r="D8820" s="3"/>
      <c r="E8820" s="3"/>
      <c r="F8820" s="3"/>
      <c r="G8820" s="3"/>
      <c r="H8820" s="11"/>
      <c r="I8820" s="12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  <c r="AA8820" s="3"/>
      <c r="AB8820" s="3"/>
      <c r="AC8820" s="3"/>
      <c r="AD8820" s="3"/>
      <c r="AE8820" s="3"/>
      <c r="AF8820" s="3"/>
      <c r="AG8820" s="3"/>
      <c r="AH8820" s="3"/>
    </row>
    <row r="8821" spans="1:34" ht="14.25" customHeight="1" x14ac:dyDescent="0.25">
      <c r="A8821" s="3"/>
      <c r="B8821" s="3"/>
      <c r="C8821" s="3"/>
      <c r="D8821" s="3"/>
      <c r="E8821" s="3"/>
      <c r="F8821" s="3"/>
      <c r="G8821" s="3"/>
      <c r="H8821" s="11"/>
      <c r="I8821" s="12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  <c r="AA8821" s="3"/>
      <c r="AB8821" s="3"/>
      <c r="AC8821" s="3"/>
      <c r="AD8821" s="3"/>
      <c r="AE8821" s="3"/>
      <c r="AF8821" s="3"/>
      <c r="AG8821" s="3"/>
      <c r="AH8821" s="3"/>
    </row>
    <row r="8822" spans="1:34" ht="14.25" customHeight="1" x14ac:dyDescent="0.25">
      <c r="A8822" s="3"/>
      <c r="B8822" s="3"/>
      <c r="C8822" s="3"/>
      <c r="D8822" s="3"/>
      <c r="E8822" s="3"/>
      <c r="F8822" s="3"/>
      <c r="G8822" s="3"/>
      <c r="H8822" s="11"/>
      <c r="I8822" s="12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  <c r="AA8822" s="3"/>
      <c r="AB8822" s="3"/>
      <c r="AC8822" s="3"/>
      <c r="AD8822" s="3"/>
      <c r="AE8822" s="3"/>
      <c r="AF8822" s="3"/>
      <c r="AG8822" s="3"/>
      <c r="AH8822" s="3"/>
    </row>
    <row r="8823" spans="1:34" ht="14.25" customHeight="1" x14ac:dyDescent="0.25">
      <c r="A8823" s="3"/>
      <c r="B8823" s="3"/>
      <c r="C8823" s="3"/>
      <c r="D8823" s="3"/>
      <c r="E8823" s="3"/>
      <c r="F8823" s="3"/>
      <c r="G8823" s="3"/>
      <c r="H8823" s="11"/>
      <c r="I8823" s="12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  <c r="AA8823" s="3"/>
      <c r="AB8823" s="3"/>
      <c r="AC8823" s="3"/>
      <c r="AD8823" s="3"/>
      <c r="AE8823" s="3"/>
      <c r="AF8823" s="3"/>
      <c r="AG8823" s="3"/>
      <c r="AH8823" s="3"/>
    </row>
    <row r="8824" spans="1:34" ht="14.25" customHeight="1" x14ac:dyDescent="0.25">
      <c r="A8824" s="3"/>
      <c r="B8824" s="3"/>
      <c r="C8824" s="3"/>
      <c r="D8824" s="3"/>
      <c r="E8824" s="3"/>
      <c r="F8824" s="3"/>
      <c r="G8824" s="3"/>
      <c r="H8824" s="11"/>
      <c r="I8824" s="12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  <c r="AA8824" s="3"/>
      <c r="AB8824" s="3"/>
      <c r="AC8824" s="3"/>
      <c r="AD8824" s="3"/>
      <c r="AE8824" s="3"/>
      <c r="AF8824" s="3"/>
      <c r="AG8824" s="3"/>
      <c r="AH8824" s="3"/>
    </row>
    <row r="8825" spans="1:34" ht="14.25" customHeight="1" x14ac:dyDescent="0.25">
      <c r="A8825" s="3"/>
      <c r="B8825" s="3"/>
      <c r="C8825" s="3"/>
      <c r="D8825" s="3"/>
      <c r="E8825" s="3"/>
      <c r="F8825" s="3"/>
      <c r="G8825" s="3"/>
      <c r="H8825" s="11"/>
      <c r="I8825" s="12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  <c r="AA8825" s="3"/>
      <c r="AB8825" s="3"/>
      <c r="AC8825" s="3"/>
      <c r="AD8825" s="3"/>
      <c r="AE8825" s="3"/>
      <c r="AF8825" s="3"/>
      <c r="AG8825" s="3"/>
      <c r="AH8825" s="3"/>
    </row>
    <row r="8826" spans="1:34" ht="14.25" customHeight="1" x14ac:dyDescent="0.25">
      <c r="A8826" s="3"/>
      <c r="B8826" s="3"/>
      <c r="C8826" s="3"/>
      <c r="D8826" s="3"/>
      <c r="E8826" s="3"/>
      <c r="F8826" s="3"/>
      <c r="G8826" s="3"/>
      <c r="H8826" s="11"/>
      <c r="I8826" s="12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  <c r="AA8826" s="3"/>
      <c r="AB8826" s="3"/>
      <c r="AC8826" s="3"/>
      <c r="AD8826" s="3"/>
      <c r="AE8826" s="3"/>
      <c r="AF8826" s="3"/>
      <c r="AG8826" s="3"/>
      <c r="AH8826" s="3"/>
    </row>
    <row r="8827" spans="1:34" ht="14.25" customHeight="1" x14ac:dyDescent="0.25">
      <c r="A8827" s="3"/>
      <c r="B8827" s="3"/>
      <c r="C8827" s="3"/>
      <c r="D8827" s="3"/>
      <c r="E8827" s="3"/>
      <c r="F8827" s="3"/>
      <c r="G8827" s="3"/>
      <c r="H8827" s="11"/>
      <c r="I8827" s="12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  <c r="AA8827" s="3"/>
      <c r="AB8827" s="3"/>
      <c r="AC8827" s="3"/>
      <c r="AD8827" s="3"/>
      <c r="AE8827" s="3"/>
      <c r="AF8827" s="3"/>
      <c r="AG8827" s="3"/>
      <c r="AH8827" s="3"/>
    </row>
    <row r="8828" spans="1:34" ht="14.25" customHeight="1" x14ac:dyDescent="0.25">
      <c r="A8828" s="3"/>
      <c r="B8828" s="3"/>
      <c r="C8828" s="3"/>
      <c r="D8828" s="3"/>
      <c r="E8828" s="3"/>
      <c r="F8828" s="3"/>
      <c r="G8828" s="3"/>
      <c r="H8828" s="11"/>
      <c r="I8828" s="12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  <c r="AA8828" s="3"/>
      <c r="AB8828" s="3"/>
      <c r="AC8828" s="3"/>
      <c r="AD8828" s="3"/>
      <c r="AE8828" s="3"/>
      <c r="AF8828" s="3"/>
      <c r="AG8828" s="3"/>
      <c r="AH8828" s="3"/>
    </row>
    <row r="8829" spans="1:34" ht="14.25" customHeight="1" x14ac:dyDescent="0.25">
      <c r="A8829" s="3"/>
      <c r="B8829" s="3"/>
      <c r="C8829" s="3"/>
      <c r="D8829" s="3"/>
      <c r="E8829" s="3"/>
      <c r="F8829" s="3"/>
      <c r="G8829" s="3"/>
      <c r="H8829" s="11"/>
      <c r="I8829" s="12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  <c r="AA8829" s="3"/>
      <c r="AB8829" s="3"/>
      <c r="AC8829" s="3"/>
      <c r="AD8829" s="3"/>
      <c r="AE8829" s="3"/>
      <c r="AF8829" s="3"/>
      <c r="AG8829" s="3"/>
      <c r="AH8829" s="3"/>
    </row>
    <row r="8830" spans="1:34" ht="14.25" customHeight="1" x14ac:dyDescent="0.25">
      <c r="A8830" s="3"/>
      <c r="B8830" s="3"/>
      <c r="C8830" s="3"/>
      <c r="D8830" s="3"/>
      <c r="E8830" s="3"/>
      <c r="F8830" s="3"/>
      <c r="G8830" s="3"/>
      <c r="H8830" s="11"/>
      <c r="I8830" s="12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  <c r="AA8830" s="3"/>
      <c r="AB8830" s="3"/>
      <c r="AC8830" s="3"/>
      <c r="AD8830" s="3"/>
      <c r="AE8830" s="3"/>
      <c r="AF8830" s="3"/>
      <c r="AG8830" s="3"/>
      <c r="AH8830" s="3"/>
    </row>
    <row r="8831" spans="1:34" ht="14.25" customHeight="1" x14ac:dyDescent="0.25">
      <c r="A8831" s="3"/>
      <c r="B8831" s="3"/>
      <c r="C8831" s="3"/>
      <c r="D8831" s="3"/>
      <c r="E8831" s="3"/>
      <c r="F8831" s="3"/>
      <c r="G8831" s="3"/>
      <c r="H8831" s="11"/>
      <c r="I8831" s="12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  <c r="AA8831" s="3"/>
      <c r="AB8831" s="3"/>
      <c r="AC8831" s="3"/>
      <c r="AD8831" s="3"/>
      <c r="AE8831" s="3"/>
      <c r="AF8831" s="3"/>
      <c r="AG8831" s="3"/>
      <c r="AH8831" s="3"/>
    </row>
    <row r="8832" spans="1:34" ht="14.25" customHeight="1" x14ac:dyDescent="0.25">
      <c r="A8832" s="3"/>
      <c r="B8832" s="3"/>
      <c r="C8832" s="3"/>
      <c r="D8832" s="3"/>
      <c r="E8832" s="3"/>
      <c r="F8832" s="3"/>
      <c r="G8832" s="3"/>
      <c r="H8832" s="11"/>
      <c r="I8832" s="12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  <c r="AA8832" s="3"/>
      <c r="AB8832" s="3"/>
      <c r="AC8832" s="3"/>
      <c r="AD8832" s="3"/>
      <c r="AE8832" s="3"/>
      <c r="AF8832" s="3"/>
      <c r="AG8832" s="3"/>
      <c r="AH8832" s="3"/>
    </row>
    <row r="8833" spans="1:34" ht="14.25" customHeight="1" x14ac:dyDescent="0.25">
      <c r="A8833" s="3"/>
      <c r="B8833" s="3"/>
      <c r="C8833" s="3"/>
      <c r="D8833" s="3"/>
      <c r="E8833" s="3"/>
      <c r="F8833" s="3"/>
      <c r="G8833" s="3"/>
      <c r="H8833" s="11"/>
      <c r="I8833" s="12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  <c r="AA8833" s="3"/>
      <c r="AB8833" s="3"/>
      <c r="AC8833" s="3"/>
      <c r="AD8833" s="3"/>
      <c r="AE8833" s="3"/>
      <c r="AF8833" s="3"/>
      <c r="AG8833" s="3"/>
      <c r="AH8833" s="3"/>
    </row>
    <row r="8834" spans="1:34" ht="14.25" customHeight="1" x14ac:dyDescent="0.25">
      <c r="A8834" s="3"/>
      <c r="B8834" s="3"/>
      <c r="C8834" s="3"/>
      <c r="D8834" s="3"/>
      <c r="E8834" s="3"/>
      <c r="F8834" s="3"/>
      <c r="G8834" s="3"/>
      <c r="H8834" s="11"/>
      <c r="I8834" s="12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  <c r="AA8834" s="3"/>
      <c r="AB8834" s="3"/>
      <c r="AC8834" s="3"/>
      <c r="AD8834" s="3"/>
      <c r="AE8834" s="3"/>
      <c r="AF8834" s="3"/>
      <c r="AG8834" s="3"/>
      <c r="AH8834" s="3"/>
    </row>
    <row r="8835" spans="1:34" ht="14.25" customHeight="1" x14ac:dyDescent="0.25">
      <c r="A8835" s="3"/>
      <c r="B8835" s="3"/>
      <c r="C8835" s="3"/>
      <c r="D8835" s="3"/>
      <c r="E8835" s="3"/>
      <c r="F8835" s="3"/>
      <c r="G8835" s="3"/>
      <c r="H8835" s="11"/>
      <c r="I8835" s="12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  <c r="AA8835" s="3"/>
      <c r="AB8835" s="3"/>
      <c r="AC8835" s="3"/>
      <c r="AD8835" s="3"/>
      <c r="AE8835" s="3"/>
      <c r="AF8835" s="3"/>
      <c r="AG8835" s="3"/>
      <c r="AH8835" s="3"/>
    </row>
    <row r="8836" spans="1:34" ht="14.25" customHeight="1" x14ac:dyDescent="0.25">
      <c r="A8836" s="3"/>
      <c r="B8836" s="3"/>
      <c r="C8836" s="3"/>
      <c r="D8836" s="3"/>
      <c r="E8836" s="3"/>
      <c r="F8836" s="3"/>
      <c r="G8836" s="3"/>
      <c r="H8836" s="11"/>
      <c r="I8836" s="12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  <c r="AA8836" s="3"/>
      <c r="AB8836" s="3"/>
      <c r="AC8836" s="3"/>
      <c r="AD8836" s="3"/>
      <c r="AE8836" s="3"/>
      <c r="AF8836" s="3"/>
      <c r="AG8836" s="3"/>
      <c r="AH8836" s="3"/>
    </row>
    <row r="8837" spans="1:34" ht="14.25" customHeight="1" x14ac:dyDescent="0.25">
      <c r="A8837" s="3"/>
      <c r="B8837" s="3"/>
      <c r="C8837" s="3"/>
      <c r="D8837" s="3"/>
      <c r="E8837" s="3"/>
      <c r="F8837" s="3"/>
      <c r="G8837" s="3"/>
      <c r="H8837" s="11"/>
      <c r="I8837" s="12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  <c r="AA8837" s="3"/>
      <c r="AB8837" s="3"/>
      <c r="AC8837" s="3"/>
      <c r="AD8837" s="3"/>
      <c r="AE8837" s="3"/>
      <c r="AF8837" s="3"/>
      <c r="AG8837" s="3"/>
      <c r="AH8837" s="3"/>
    </row>
    <row r="8838" spans="1:34" ht="14.25" customHeight="1" x14ac:dyDescent="0.25">
      <c r="A8838" s="3"/>
      <c r="B8838" s="3"/>
      <c r="C8838" s="3"/>
      <c r="D8838" s="3"/>
      <c r="E8838" s="3"/>
      <c r="F8838" s="3"/>
      <c r="G8838" s="3"/>
      <c r="H8838" s="11"/>
      <c r="I8838" s="12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  <c r="AA8838" s="3"/>
      <c r="AB8838" s="3"/>
      <c r="AC8838" s="3"/>
      <c r="AD8838" s="3"/>
      <c r="AE8838" s="3"/>
      <c r="AF8838" s="3"/>
      <c r="AG8838" s="3"/>
      <c r="AH8838" s="3"/>
    </row>
    <row r="8839" spans="1:34" ht="14.25" customHeight="1" x14ac:dyDescent="0.25">
      <c r="A8839" s="3"/>
      <c r="B8839" s="3"/>
      <c r="C8839" s="3"/>
      <c r="D8839" s="3"/>
      <c r="E8839" s="3"/>
      <c r="F8839" s="3"/>
      <c r="G8839" s="3"/>
      <c r="H8839" s="11"/>
      <c r="I8839" s="12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  <c r="AA8839" s="3"/>
      <c r="AB8839" s="3"/>
      <c r="AC8839" s="3"/>
      <c r="AD8839" s="3"/>
      <c r="AE8839" s="3"/>
      <c r="AF8839" s="3"/>
      <c r="AG8839" s="3"/>
      <c r="AH8839" s="3"/>
    </row>
    <row r="8840" spans="1:34" ht="14.25" customHeight="1" x14ac:dyDescent="0.25">
      <c r="A8840" s="3"/>
      <c r="B8840" s="3"/>
      <c r="C8840" s="3"/>
      <c r="D8840" s="3"/>
      <c r="E8840" s="3"/>
      <c r="F8840" s="3"/>
      <c r="G8840" s="3"/>
      <c r="H8840" s="11"/>
      <c r="I8840" s="12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  <c r="AA8840" s="3"/>
      <c r="AB8840" s="3"/>
      <c r="AC8840" s="3"/>
      <c r="AD8840" s="3"/>
      <c r="AE8840" s="3"/>
      <c r="AF8840" s="3"/>
      <c r="AG8840" s="3"/>
      <c r="AH8840" s="3"/>
    </row>
    <row r="8841" spans="1:34" ht="14.25" customHeight="1" x14ac:dyDescent="0.25">
      <c r="A8841" s="3"/>
      <c r="B8841" s="3"/>
      <c r="C8841" s="3"/>
      <c r="D8841" s="3"/>
      <c r="E8841" s="3"/>
      <c r="F8841" s="3"/>
      <c r="G8841" s="3"/>
      <c r="H8841" s="11"/>
      <c r="I8841" s="12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  <c r="AA8841" s="3"/>
      <c r="AB8841" s="3"/>
      <c r="AC8841" s="3"/>
      <c r="AD8841" s="3"/>
      <c r="AE8841" s="3"/>
      <c r="AF8841" s="3"/>
      <c r="AG8841" s="3"/>
      <c r="AH8841" s="3"/>
    </row>
    <row r="8842" spans="1:34" ht="14.25" customHeight="1" x14ac:dyDescent="0.25">
      <c r="A8842" s="3"/>
      <c r="B8842" s="3"/>
      <c r="C8842" s="3"/>
      <c r="D8842" s="3"/>
      <c r="E8842" s="3"/>
      <c r="F8842" s="3"/>
      <c r="G8842" s="3"/>
      <c r="H8842" s="11"/>
      <c r="I8842" s="12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  <c r="AA8842" s="3"/>
      <c r="AB8842" s="3"/>
      <c r="AC8842" s="3"/>
      <c r="AD8842" s="3"/>
      <c r="AE8842" s="3"/>
      <c r="AF8842" s="3"/>
      <c r="AG8842" s="3"/>
      <c r="AH8842" s="3"/>
    </row>
    <row r="8843" spans="1:34" ht="14.25" customHeight="1" x14ac:dyDescent="0.25">
      <c r="A8843" s="3"/>
      <c r="B8843" s="3"/>
      <c r="C8843" s="3"/>
      <c r="D8843" s="3"/>
      <c r="E8843" s="3"/>
      <c r="F8843" s="3"/>
      <c r="G8843" s="3"/>
      <c r="H8843" s="11"/>
      <c r="I8843" s="12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  <c r="AA8843" s="3"/>
      <c r="AB8843" s="3"/>
      <c r="AC8843" s="3"/>
      <c r="AD8843" s="3"/>
      <c r="AE8843" s="3"/>
      <c r="AF8843" s="3"/>
      <c r="AG8843" s="3"/>
      <c r="AH8843" s="3"/>
    </row>
    <row r="8844" spans="1:34" ht="14.25" customHeight="1" x14ac:dyDescent="0.25">
      <c r="A8844" s="3"/>
      <c r="B8844" s="3"/>
      <c r="C8844" s="3"/>
      <c r="D8844" s="3"/>
      <c r="E8844" s="3"/>
      <c r="F8844" s="3"/>
      <c r="G8844" s="3"/>
      <c r="H8844" s="11"/>
      <c r="I8844" s="12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  <c r="AA8844" s="3"/>
      <c r="AB8844" s="3"/>
      <c r="AC8844" s="3"/>
      <c r="AD8844" s="3"/>
      <c r="AE8844" s="3"/>
      <c r="AF8844" s="3"/>
      <c r="AG8844" s="3"/>
      <c r="AH8844" s="3"/>
    </row>
    <row r="8845" spans="1:34" ht="14.25" customHeight="1" x14ac:dyDescent="0.25">
      <c r="A8845" s="3"/>
      <c r="B8845" s="3"/>
      <c r="C8845" s="3"/>
      <c r="D8845" s="3"/>
      <c r="E8845" s="3"/>
      <c r="F8845" s="3"/>
      <c r="G8845" s="3"/>
      <c r="H8845" s="11"/>
      <c r="I8845" s="12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  <c r="AA8845" s="3"/>
      <c r="AB8845" s="3"/>
      <c r="AC8845" s="3"/>
      <c r="AD8845" s="3"/>
      <c r="AE8845" s="3"/>
      <c r="AF8845" s="3"/>
      <c r="AG8845" s="3"/>
      <c r="AH8845" s="3"/>
    </row>
    <row r="8846" spans="1:34" ht="14.25" customHeight="1" x14ac:dyDescent="0.25">
      <c r="A8846" s="3"/>
      <c r="B8846" s="3"/>
      <c r="C8846" s="3"/>
      <c r="D8846" s="3"/>
      <c r="E8846" s="3"/>
      <c r="F8846" s="3"/>
      <c r="G8846" s="3"/>
      <c r="H8846" s="11"/>
      <c r="I8846" s="12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  <c r="AA8846" s="3"/>
      <c r="AB8846" s="3"/>
      <c r="AC8846" s="3"/>
      <c r="AD8846" s="3"/>
      <c r="AE8846" s="3"/>
      <c r="AF8846" s="3"/>
      <c r="AG8846" s="3"/>
      <c r="AH8846" s="3"/>
    </row>
    <row r="8847" spans="1:34" ht="14.25" customHeight="1" x14ac:dyDescent="0.25">
      <c r="A8847" s="3"/>
      <c r="B8847" s="3"/>
      <c r="C8847" s="3"/>
      <c r="D8847" s="3"/>
      <c r="E8847" s="3"/>
      <c r="F8847" s="3"/>
      <c r="G8847" s="3"/>
      <c r="H8847" s="11"/>
      <c r="I8847" s="12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  <c r="AA8847" s="3"/>
      <c r="AB8847" s="3"/>
      <c r="AC8847" s="3"/>
      <c r="AD8847" s="3"/>
      <c r="AE8847" s="3"/>
      <c r="AF8847" s="3"/>
      <c r="AG8847" s="3"/>
      <c r="AH8847" s="3"/>
    </row>
    <row r="8848" spans="1:34" ht="14.25" customHeight="1" x14ac:dyDescent="0.25">
      <c r="A8848" s="3"/>
      <c r="B8848" s="3"/>
      <c r="C8848" s="3"/>
      <c r="D8848" s="3"/>
      <c r="E8848" s="3"/>
      <c r="F8848" s="3"/>
      <c r="G8848" s="3"/>
      <c r="H8848" s="11"/>
      <c r="I8848" s="12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  <c r="AA8848" s="3"/>
      <c r="AB8848" s="3"/>
      <c r="AC8848" s="3"/>
      <c r="AD8848" s="3"/>
      <c r="AE8848" s="3"/>
      <c r="AF8848" s="3"/>
      <c r="AG8848" s="3"/>
      <c r="AH8848" s="3"/>
    </row>
    <row r="8849" spans="1:34" ht="14.25" customHeight="1" x14ac:dyDescent="0.25">
      <c r="A8849" s="3"/>
      <c r="B8849" s="3"/>
      <c r="C8849" s="3"/>
      <c r="D8849" s="3"/>
      <c r="E8849" s="3"/>
      <c r="F8849" s="3"/>
      <c r="G8849" s="3"/>
      <c r="H8849" s="11"/>
      <c r="I8849" s="12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  <c r="AA8849" s="3"/>
      <c r="AB8849" s="3"/>
      <c r="AC8849" s="3"/>
      <c r="AD8849" s="3"/>
      <c r="AE8849" s="3"/>
      <c r="AF8849" s="3"/>
      <c r="AG8849" s="3"/>
      <c r="AH8849" s="3"/>
    </row>
    <row r="8850" spans="1:34" ht="14.25" customHeight="1" x14ac:dyDescent="0.25">
      <c r="A8850" s="3"/>
      <c r="B8850" s="3"/>
      <c r="C8850" s="3"/>
      <c r="D8850" s="3"/>
      <c r="E8850" s="3"/>
      <c r="F8850" s="3"/>
      <c r="G8850" s="3"/>
      <c r="H8850" s="11"/>
      <c r="I8850" s="12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  <c r="AA8850" s="3"/>
      <c r="AB8850" s="3"/>
      <c r="AC8850" s="3"/>
      <c r="AD8850" s="3"/>
      <c r="AE8850" s="3"/>
      <c r="AF8850" s="3"/>
      <c r="AG8850" s="3"/>
      <c r="AH8850" s="3"/>
    </row>
    <row r="8851" spans="1:34" ht="14.25" customHeight="1" x14ac:dyDescent="0.25">
      <c r="A8851" s="3"/>
      <c r="B8851" s="3"/>
      <c r="C8851" s="3"/>
      <c r="D8851" s="3"/>
      <c r="E8851" s="3"/>
      <c r="F8851" s="3"/>
      <c r="G8851" s="3"/>
      <c r="H8851" s="11"/>
      <c r="I8851" s="12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  <c r="AA8851" s="3"/>
      <c r="AB8851" s="3"/>
      <c r="AC8851" s="3"/>
      <c r="AD8851" s="3"/>
      <c r="AE8851" s="3"/>
      <c r="AF8851" s="3"/>
      <c r="AG8851" s="3"/>
      <c r="AH8851" s="3"/>
    </row>
    <row r="8852" spans="1:34" ht="14.25" customHeight="1" x14ac:dyDescent="0.25">
      <c r="A8852" s="3"/>
      <c r="B8852" s="3"/>
      <c r="C8852" s="3"/>
      <c r="D8852" s="3"/>
      <c r="E8852" s="3"/>
      <c r="F8852" s="3"/>
      <c r="G8852" s="3"/>
      <c r="H8852" s="11"/>
      <c r="I8852" s="12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  <c r="AA8852" s="3"/>
      <c r="AB8852" s="3"/>
      <c r="AC8852" s="3"/>
      <c r="AD8852" s="3"/>
      <c r="AE8852" s="3"/>
      <c r="AF8852" s="3"/>
      <c r="AG8852" s="3"/>
      <c r="AH8852" s="3"/>
    </row>
    <row r="8853" spans="1:34" ht="14.25" customHeight="1" x14ac:dyDescent="0.25">
      <c r="A8853" s="3"/>
      <c r="B8853" s="3"/>
      <c r="C8853" s="3"/>
      <c r="D8853" s="3"/>
      <c r="E8853" s="3"/>
      <c r="F8853" s="3"/>
      <c r="G8853" s="3"/>
      <c r="H8853" s="11"/>
      <c r="I8853" s="12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  <c r="AA8853" s="3"/>
      <c r="AB8853" s="3"/>
      <c r="AC8853" s="3"/>
      <c r="AD8853" s="3"/>
      <c r="AE8853" s="3"/>
      <c r="AF8853" s="3"/>
      <c r="AG8853" s="3"/>
      <c r="AH8853" s="3"/>
    </row>
    <row r="8854" spans="1:34" ht="14.25" customHeight="1" x14ac:dyDescent="0.25">
      <c r="A8854" s="3"/>
      <c r="B8854" s="3"/>
      <c r="C8854" s="3"/>
      <c r="D8854" s="3"/>
      <c r="E8854" s="3"/>
      <c r="F8854" s="3"/>
      <c r="G8854" s="3"/>
      <c r="H8854" s="11"/>
      <c r="I8854" s="12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  <c r="AA8854" s="3"/>
      <c r="AB8854" s="3"/>
      <c r="AC8854" s="3"/>
      <c r="AD8854" s="3"/>
      <c r="AE8854" s="3"/>
      <c r="AF8854" s="3"/>
      <c r="AG8854" s="3"/>
      <c r="AH8854" s="3"/>
    </row>
    <row r="8855" spans="1:34" ht="14.25" customHeight="1" x14ac:dyDescent="0.25">
      <c r="A8855" s="3"/>
      <c r="B8855" s="3"/>
      <c r="C8855" s="3"/>
      <c r="D8855" s="3"/>
      <c r="E8855" s="3"/>
      <c r="F8855" s="3"/>
      <c r="G8855" s="3"/>
      <c r="H8855" s="11"/>
      <c r="I8855" s="12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  <c r="AA8855" s="3"/>
      <c r="AB8855" s="3"/>
      <c r="AC8855" s="3"/>
      <c r="AD8855" s="3"/>
      <c r="AE8855" s="3"/>
      <c r="AF8855" s="3"/>
      <c r="AG8855" s="3"/>
      <c r="AH8855" s="3"/>
    </row>
    <row r="8856" spans="1:34" ht="14.25" customHeight="1" x14ac:dyDescent="0.25">
      <c r="A8856" s="3"/>
      <c r="B8856" s="3"/>
      <c r="C8856" s="3"/>
      <c r="D8856" s="3"/>
      <c r="E8856" s="3"/>
      <c r="F8856" s="3"/>
      <c r="G8856" s="3"/>
      <c r="H8856" s="11"/>
      <c r="I8856" s="12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  <c r="AA8856" s="3"/>
      <c r="AB8856" s="3"/>
      <c r="AC8856" s="3"/>
      <c r="AD8856" s="3"/>
      <c r="AE8856" s="3"/>
      <c r="AF8856" s="3"/>
      <c r="AG8856" s="3"/>
      <c r="AH8856" s="3"/>
    </row>
    <row r="8857" spans="1:34" ht="14.25" customHeight="1" x14ac:dyDescent="0.25">
      <c r="A8857" s="3"/>
      <c r="B8857" s="3"/>
      <c r="C8857" s="3"/>
      <c r="D8857" s="3"/>
      <c r="E8857" s="3"/>
      <c r="F8857" s="3"/>
      <c r="G8857" s="3"/>
      <c r="H8857" s="11"/>
      <c r="I8857" s="12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  <c r="AA8857" s="3"/>
      <c r="AB8857" s="3"/>
      <c r="AC8857" s="3"/>
      <c r="AD8857" s="3"/>
      <c r="AE8857" s="3"/>
      <c r="AF8857" s="3"/>
      <c r="AG8857" s="3"/>
      <c r="AH8857" s="3"/>
    </row>
    <row r="8858" spans="1:34" ht="14.25" customHeight="1" x14ac:dyDescent="0.25">
      <c r="A8858" s="3"/>
      <c r="B8858" s="3"/>
      <c r="C8858" s="3"/>
      <c r="D8858" s="3"/>
      <c r="E8858" s="3"/>
      <c r="F8858" s="3"/>
      <c r="G8858" s="3"/>
      <c r="H8858" s="11"/>
      <c r="I8858" s="12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  <c r="AA8858" s="3"/>
      <c r="AB8858" s="3"/>
      <c r="AC8858" s="3"/>
      <c r="AD8858" s="3"/>
      <c r="AE8858" s="3"/>
      <c r="AF8858" s="3"/>
      <c r="AG8858" s="3"/>
      <c r="AH8858" s="3"/>
    </row>
    <row r="8859" spans="1:34" ht="14.25" customHeight="1" x14ac:dyDescent="0.25">
      <c r="A8859" s="3"/>
      <c r="B8859" s="3"/>
      <c r="C8859" s="3"/>
      <c r="D8859" s="3"/>
      <c r="E8859" s="3"/>
      <c r="F8859" s="3"/>
      <c r="G8859" s="3"/>
      <c r="H8859" s="11"/>
      <c r="I8859" s="12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  <c r="AA8859" s="3"/>
      <c r="AB8859" s="3"/>
      <c r="AC8859" s="3"/>
      <c r="AD8859" s="3"/>
      <c r="AE8859" s="3"/>
      <c r="AF8859" s="3"/>
      <c r="AG8859" s="3"/>
      <c r="AH8859" s="3"/>
    </row>
    <row r="8860" spans="1:34" ht="14.25" customHeight="1" x14ac:dyDescent="0.25">
      <c r="A8860" s="3"/>
      <c r="B8860" s="3"/>
      <c r="C8860" s="3"/>
      <c r="D8860" s="3"/>
      <c r="E8860" s="3"/>
      <c r="F8860" s="3"/>
      <c r="G8860" s="3"/>
      <c r="H8860" s="11"/>
      <c r="I8860" s="12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  <c r="AA8860" s="3"/>
      <c r="AB8860" s="3"/>
      <c r="AC8860" s="3"/>
      <c r="AD8860" s="3"/>
      <c r="AE8860" s="3"/>
      <c r="AF8860" s="3"/>
      <c r="AG8860" s="3"/>
      <c r="AH8860" s="3"/>
    </row>
    <row r="8861" spans="1:34" ht="14.25" customHeight="1" x14ac:dyDescent="0.25">
      <c r="A8861" s="3"/>
      <c r="B8861" s="3"/>
      <c r="C8861" s="3"/>
      <c r="D8861" s="3"/>
      <c r="E8861" s="3"/>
      <c r="F8861" s="3"/>
      <c r="G8861" s="3"/>
      <c r="H8861" s="11"/>
      <c r="I8861" s="12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  <c r="AA8861" s="3"/>
      <c r="AB8861" s="3"/>
      <c r="AC8861" s="3"/>
      <c r="AD8861" s="3"/>
      <c r="AE8861" s="3"/>
      <c r="AF8861" s="3"/>
      <c r="AG8861" s="3"/>
      <c r="AH8861" s="3"/>
    </row>
    <row r="8862" spans="1:34" ht="14.25" customHeight="1" x14ac:dyDescent="0.25">
      <c r="A8862" s="3"/>
      <c r="B8862" s="3"/>
      <c r="C8862" s="3"/>
      <c r="D8862" s="3"/>
      <c r="E8862" s="3"/>
      <c r="F8862" s="3"/>
      <c r="G8862" s="3"/>
      <c r="H8862" s="11"/>
      <c r="I8862" s="12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  <c r="AA8862" s="3"/>
      <c r="AB8862" s="3"/>
      <c r="AC8862" s="3"/>
      <c r="AD8862" s="3"/>
      <c r="AE8862" s="3"/>
      <c r="AF8862" s="3"/>
      <c r="AG8862" s="3"/>
      <c r="AH8862" s="3"/>
    </row>
    <row r="8863" spans="1:34" ht="14.25" customHeight="1" x14ac:dyDescent="0.25">
      <c r="A8863" s="3"/>
      <c r="B8863" s="3"/>
      <c r="C8863" s="3"/>
      <c r="D8863" s="3"/>
      <c r="E8863" s="3"/>
      <c r="F8863" s="3"/>
      <c r="G8863" s="3"/>
      <c r="H8863" s="11"/>
      <c r="I8863" s="12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  <c r="AA8863" s="3"/>
      <c r="AB8863" s="3"/>
      <c r="AC8863" s="3"/>
      <c r="AD8863" s="3"/>
      <c r="AE8863" s="3"/>
      <c r="AF8863" s="3"/>
      <c r="AG8863" s="3"/>
      <c r="AH8863" s="3"/>
    </row>
    <row r="8864" spans="1:34" ht="14.25" customHeight="1" x14ac:dyDescent="0.25">
      <c r="A8864" s="3"/>
      <c r="B8864" s="3"/>
      <c r="C8864" s="3"/>
      <c r="D8864" s="3"/>
      <c r="E8864" s="3"/>
      <c r="F8864" s="3"/>
      <c r="G8864" s="3"/>
      <c r="H8864" s="11"/>
      <c r="I8864" s="12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  <c r="AA8864" s="3"/>
      <c r="AB8864" s="3"/>
      <c r="AC8864" s="3"/>
      <c r="AD8864" s="3"/>
      <c r="AE8864" s="3"/>
      <c r="AF8864" s="3"/>
      <c r="AG8864" s="3"/>
      <c r="AH8864" s="3"/>
    </row>
    <row r="8865" spans="1:34" ht="14.25" customHeight="1" x14ac:dyDescent="0.25">
      <c r="A8865" s="3"/>
      <c r="B8865" s="3"/>
      <c r="C8865" s="3"/>
      <c r="D8865" s="3"/>
      <c r="E8865" s="3"/>
      <c r="F8865" s="3"/>
      <c r="G8865" s="3"/>
      <c r="H8865" s="11"/>
      <c r="I8865" s="12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  <c r="AA8865" s="3"/>
      <c r="AB8865" s="3"/>
      <c r="AC8865" s="3"/>
      <c r="AD8865" s="3"/>
      <c r="AE8865" s="3"/>
      <c r="AF8865" s="3"/>
      <c r="AG8865" s="3"/>
      <c r="AH8865" s="3"/>
    </row>
    <row r="8866" spans="1:34" ht="14.25" customHeight="1" x14ac:dyDescent="0.25">
      <c r="A8866" s="3"/>
      <c r="B8866" s="3"/>
      <c r="C8866" s="3"/>
      <c r="D8866" s="3"/>
      <c r="E8866" s="3"/>
      <c r="F8866" s="3"/>
      <c r="G8866" s="3"/>
      <c r="H8866" s="11"/>
      <c r="I8866" s="12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  <c r="AA8866" s="3"/>
      <c r="AB8866" s="3"/>
      <c r="AC8866" s="3"/>
      <c r="AD8866" s="3"/>
      <c r="AE8866" s="3"/>
      <c r="AF8866" s="3"/>
      <c r="AG8866" s="3"/>
      <c r="AH8866" s="3"/>
    </row>
    <row r="8867" spans="1:34" ht="14.25" customHeight="1" x14ac:dyDescent="0.25">
      <c r="A8867" s="3"/>
      <c r="B8867" s="3"/>
      <c r="C8867" s="3"/>
      <c r="D8867" s="3"/>
      <c r="E8867" s="3"/>
      <c r="F8867" s="3"/>
      <c r="G8867" s="3"/>
      <c r="H8867" s="11"/>
      <c r="I8867" s="12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  <c r="AA8867" s="3"/>
      <c r="AB8867" s="3"/>
      <c r="AC8867" s="3"/>
      <c r="AD8867" s="3"/>
      <c r="AE8867" s="3"/>
      <c r="AF8867" s="3"/>
      <c r="AG8867" s="3"/>
      <c r="AH8867" s="3"/>
    </row>
    <row r="8868" spans="1:34" ht="14.25" customHeight="1" x14ac:dyDescent="0.25">
      <c r="A8868" s="3"/>
      <c r="B8868" s="3"/>
      <c r="C8868" s="3"/>
      <c r="D8868" s="3"/>
      <c r="E8868" s="3"/>
      <c r="F8868" s="3"/>
      <c r="G8868" s="3"/>
      <c r="H8868" s="11"/>
      <c r="I8868" s="12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  <c r="AA8868" s="3"/>
      <c r="AB8868" s="3"/>
      <c r="AC8868" s="3"/>
      <c r="AD8868" s="3"/>
      <c r="AE8868" s="3"/>
      <c r="AF8868" s="3"/>
      <c r="AG8868" s="3"/>
      <c r="AH8868" s="3"/>
    </row>
    <row r="8869" spans="1:34" ht="14.25" customHeight="1" x14ac:dyDescent="0.25">
      <c r="A8869" s="3"/>
      <c r="B8869" s="3"/>
      <c r="C8869" s="3"/>
      <c r="D8869" s="3"/>
      <c r="E8869" s="3"/>
      <c r="F8869" s="3"/>
      <c r="G8869" s="3"/>
      <c r="H8869" s="11"/>
      <c r="I8869" s="12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  <c r="AA8869" s="3"/>
      <c r="AB8869" s="3"/>
      <c r="AC8869" s="3"/>
      <c r="AD8869" s="3"/>
      <c r="AE8869" s="3"/>
      <c r="AF8869" s="3"/>
      <c r="AG8869" s="3"/>
      <c r="AH8869" s="3"/>
    </row>
    <row r="8870" spans="1:34" ht="14.25" customHeight="1" x14ac:dyDescent="0.25">
      <c r="A8870" s="3"/>
      <c r="B8870" s="3"/>
      <c r="C8870" s="3"/>
      <c r="D8870" s="3"/>
      <c r="E8870" s="3"/>
      <c r="F8870" s="3"/>
      <c r="G8870" s="3"/>
      <c r="H8870" s="11"/>
      <c r="I8870" s="12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  <c r="AA8870" s="3"/>
      <c r="AB8870" s="3"/>
      <c r="AC8870" s="3"/>
      <c r="AD8870" s="3"/>
      <c r="AE8870" s="3"/>
      <c r="AF8870" s="3"/>
      <c r="AG8870" s="3"/>
      <c r="AH8870" s="3"/>
    </row>
    <row r="8871" spans="1:34" ht="14.25" customHeight="1" x14ac:dyDescent="0.25">
      <c r="A8871" s="3"/>
      <c r="B8871" s="3"/>
      <c r="C8871" s="3"/>
      <c r="D8871" s="3"/>
      <c r="E8871" s="3"/>
      <c r="F8871" s="3"/>
      <c r="G8871" s="3"/>
      <c r="H8871" s="11"/>
      <c r="I8871" s="12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  <c r="AA8871" s="3"/>
      <c r="AB8871" s="3"/>
      <c r="AC8871" s="3"/>
      <c r="AD8871" s="3"/>
      <c r="AE8871" s="3"/>
      <c r="AF8871" s="3"/>
      <c r="AG8871" s="3"/>
      <c r="AH8871" s="3"/>
    </row>
    <row r="8872" spans="1:34" ht="14.25" customHeight="1" x14ac:dyDescent="0.25">
      <c r="A8872" s="3"/>
      <c r="B8872" s="3"/>
      <c r="C8872" s="3"/>
      <c r="D8872" s="3"/>
      <c r="E8872" s="3"/>
      <c r="F8872" s="3"/>
      <c r="G8872" s="3"/>
      <c r="H8872" s="11"/>
      <c r="I8872" s="12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  <c r="AA8872" s="3"/>
      <c r="AB8872" s="3"/>
      <c r="AC8872" s="3"/>
      <c r="AD8872" s="3"/>
      <c r="AE8872" s="3"/>
      <c r="AF8872" s="3"/>
      <c r="AG8872" s="3"/>
      <c r="AH8872" s="3"/>
    </row>
    <row r="8873" spans="1:34" ht="14.25" customHeight="1" x14ac:dyDescent="0.25">
      <c r="A8873" s="3"/>
      <c r="B8873" s="3"/>
      <c r="C8873" s="3"/>
      <c r="D8873" s="3"/>
      <c r="E8873" s="3"/>
      <c r="F8873" s="3"/>
      <c r="G8873" s="3"/>
      <c r="H8873" s="11"/>
      <c r="I8873" s="12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  <c r="AA8873" s="3"/>
      <c r="AB8873" s="3"/>
      <c r="AC8873" s="3"/>
      <c r="AD8873" s="3"/>
      <c r="AE8873" s="3"/>
      <c r="AF8873" s="3"/>
      <c r="AG8873" s="3"/>
      <c r="AH8873" s="3"/>
    </row>
    <row r="8874" spans="1:34" ht="14.25" customHeight="1" x14ac:dyDescent="0.25">
      <c r="A8874" s="3"/>
      <c r="B8874" s="3"/>
      <c r="C8874" s="3"/>
      <c r="D8874" s="3"/>
      <c r="E8874" s="3"/>
      <c r="F8874" s="3"/>
      <c r="G8874" s="3"/>
      <c r="H8874" s="11"/>
      <c r="I8874" s="12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  <c r="AA8874" s="3"/>
      <c r="AB8874" s="3"/>
      <c r="AC8874" s="3"/>
      <c r="AD8874" s="3"/>
      <c r="AE8874" s="3"/>
      <c r="AF8874" s="3"/>
      <c r="AG8874" s="3"/>
      <c r="AH8874" s="3"/>
    </row>
    <row r="8875" spans="1:34" ht="14.25" customHeight="1" x14ac:dyDescent="0.25">
      <c r="A8875" s="3"/>
      <c r="B8875" s="3"/>
      <c r="C8875" s="3"/>
      <c r="D8875" s="3"/>
      <c r="E8875" s="3"/>
      <c r="F8875" s="3"/>
      <c r="G8875" s="3"/>
      <c r="H8875" s="11"/>
      <c r="I8875" s="12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  <c r="AA8875" s="3"/>
      <c r="AB8875" s="3"/>
      <c r="AC8875" s="3"/>
      <c r="AD8875" s="3"/>
      <c r="AE8875" s="3"/>
      <c r="AF8875" s="3"/>
      <c r="AG8875" s="3"/>
      <c r="AH8875" s="3"/>
    </row>
    <row r="8876" spans="1:34" ht="14.25" customHeight="1" x14ac:dyDescent="0.25">
      <c r="A8876" s="3"/>
      <c r="B8876" s="3"/>
      <c r="C8876" s="3"/>
      <c r="D8876" s="3"/>
      <c r="E8876" s="3"/>
      <c r="F8876" s="3"/>
      <c r="G8876" s="3"/>
      <c r="H8876" s="11"/>
      <c r="I8876" s="12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  <c r="AA8876" s="3"/>
      <c r="AB8876" s="3"/>
      <c r="AC8876" s="3"/>
      <c r="AD8876" s="3"/>
      <c r="AE8876" s="3"/>
      <c r="AF8876" s="3"/>
      <c r="AG8876" s="3"/>
      <c r="AH8876" s="3"/>
    </row>
    <row r="8877" spans="1:34" ht="14.25" customHeight="1" x14ac:dyDescent="0.25">
      <c r="A8877" s="3"/>
      <c r="B8877" s="3"/>
      <c r="C8877" s="3"/>
      <c r="D8877" s="3"/>
      <c r="E8877" s="3"/>
      <c r="F8877" s="3"/>
      <c r="G8877" s="3"/>
      <c r="H8877" s="11"/>
      <c r="I8877" s="12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  <c r="AA8877" s="3"/>
      <c r="AB8877" s="3"/>
      <c r="AC8877" s="3"/>
      <c r="AD8877" s="3"/>
      <c r="AE8877" s="3"/>
      <c r="AF8877" s="3"/>
      <c r="AG8877" s="3"/>
      <c r="AH8877" s="3"/>
    </row>
    <row r="8878" spans="1:34" ht="14.25" customHeight="1" x14ac:dyDescent="0.25">
      <c r="A8878" s="3"/>
      <c r="B8878" s="3"/>
      <c r="C8878" s="3"/>
      <c r="D8878" s="3"/>
      <c r="E8878" s="3"/>
      <c r="F8878" s="3"/>
      <c r="G8878" s="3"/>
      <c r="H8878" s="11"/>
      <c r="I8878" s="12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  <c r="AA8878" s="3"/>
      <c r="AB8878" s="3"/>
      <c r="AC8878" s="3"/>
      <c r="AD8878" s="3"/>
      <c r="AE8878" s="3"/>
      <c r="AF8878" s="3"/>
      <c r="AG8878" s="3"/>
      <c r="AH8878" s="3"/>
    </row>
    <row r="8879" spans="1:34" ht="14.25" customHeight="1" x14ac:dyDescent="0.25">
      <c r="A8879" s="3"/>
      <c r="B8879" s="3"/>
      <c r="C8879" s="3"/>
      <c r="D8879" s="3"/>
      <c r="E8879" s="3"/>
      <c r="F8879" s="3"/>
      <c r="G8879" s="3"/>
      <c r="H8879" s="11"/>
      <c r="I8879" s="12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  <c r="AA8879" s="3"/>
      <c r="AB8879" s="3"/>
      <c r="AC8879" s="3"/>
      <c r="AD8879" s="3"/>
      <c r="AE8879" s="3"/>
      <c r="AF8879" s="3"/>
      <c r="AG8879" s="3"/>
      <c r="AH8879" s="3"/>
    </row>
    <row r="8880" spans="1:34" ht="14.25" customHeight="1" x14ac:dyDescent="0.25">
      <c r="A8880" s="3"/>
      <c r="B8880" s="3"/>
      <c r="C8880" s="3"/>
      <c r="D8880" s="3"/>
      <c r="E8880" s="3"/>
      <c r="F8880" s="3"/>
      <c r="G8880" s="3"/>
      <c r="H8880" s="11"/>
      <c r="I8880" s="12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  <c r="AA8880" s="3"/>
      <c r="AB8880" s="3"/>
      <c r="AC8880" s="3"/>
      <c r="AD8880" s="3"/>
      <c r="AE8880" s="3"/>
      <c r="AF8880" s="3"/>
      <c r="AG8880" s="3"/>
      <c r="AH8880" s="3"/>
    </row>
    <row r="8881" spans="1:34" ht="14.25" customHeight="1" x14ac:dyDescent="0.25">
      <c r="A8881" s="3"/>
      <c r="B8881" s="3"/>
      <c r="C8881" s="3"/>
      <c r="D8881" s="3"/>
      <c r="E8881" s="3"/>
      <c r="F8881" s="3"/>
      <c r="G8881" s="3"/>
      <c r="H8881" s="11"/>
      <c r="I8881" s="12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  <c r="AA8881" s="3"/>
      <c r="AB8881" s="3"/>
      <c r="AC8881" s="3"/>
      <c r="AD8881" s="3"/>
      <c r="AE8881" s="3"/>
      <c r="AF8881" s="3"/>
      <c r="AG8881" s="3"/>
      <c r="AH8881" s="3"/>
    </row>
    <row r="8882" spans="1:34" ht="14.25" customHeight="1" x14ac:dyDescent="0.25">
      <c r="A8882" s="3"/>
      <c r="B8882" s="3"/>
      <c r="C8882" s="3"/>
      <c r="D8882" s="3"/>
      <c r="E8882" s="3"/>
      <c r="F8882" s="3"/>
      <c r="G8882" s="3"/>
      <c r="H8882" s="11"/>
      <c r="I8882" s="12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  <c r="AA8882" s="3"/>
      <c r="AB8882" s="3"/>
      <c r="AC8882" s="3"/>
      <c r="AD8882" s="3"/>
      <c r="AE8882" s="3"/>
      <c r="AF8882" s="3"/>
      <c r="AG8882" s="3"/>
      <c r="AH8882" s="3"/>
    </row>
    <row r="8883" spans="1:34" ht="14.25" customHeight="1" x14ac:dyDescent="0.25">
      <c r="A8883" s="3"/>
      <c r="B8883" s="3"/>
      <c r="C8883" s="3"/>
      <c r="D8883" s="3"/>
      <c r="E8883" s="3"/>
      <c r="F8883" s="3"/>
      <c r="G8883" s="3"/>
      <c r="H8883" s="11"/>
      <c r="I8883" s="12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  <c r="AA8883" s="3"/>
      <c r="AB8883" s="3"/>
      <c r="AC8883" s="3"/>
      <c r="AD8883" s="3"/>
      <c r="AE8883" s="3"/>
      <c r="AF8883" s="3"/>
      <c r="AG8883" s="3"/>
      <c r="AH8883" s="3"/>
    </row>
    <row r="8884" spans="1:34" ht="14.25" customHeight="1" x14ac:dyDescent="0.25">
      <c r="A8884" s="3"/>
      <c r="B8884" s="3"/>
      <c r="C8884" s="3"/>
      <c r="D8884" s="3"/>
      <c r="E8884" s="3"/>
      <c r="F8884" s="3"/>
      <c r="G8884" s="3"/>
      <c r="H8884" s="11"/>
      <c r="I8884" s="12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  <c r="AA8884" s="3"/>
      <c r="AB8884" s="3"/>
      <c r="AC8884" s="3"/>
      <c r="AD8884" s="3"/>
      <c r="AE8884" s="3"/>
      <c r="AF8884" s="3"/>
      <c r="AG8884" s="3"/>
      <c r="AH8884" s="3"/>
    </row>
    <row r="8885" spans="1:34" ht="14.25" customHeight="1" x14ac:dyDescent="0.25">
      <c r="A8885" s="3"/>
      <c r="B8885" s="3"/>
      <c r="C8885" s="3"/>
      <c r="D8885" s="3"/>
      <c r="E8885" s="3"/>
      <c r="F8885" s="3"/>
      <c r="G8885" s="3"/>
      <c r="H8885" s="11"/>
      <c r="I8885" s="12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  <c r="AA8885" s="3"/>
      <c r="AB8885" s="3"/>
      <c r="AC8885" s="3"/>
      <c r="AD8885" s="3"/>
      <c r="AE8885" s="3"/>
      <c r="AF8885" s="3"/>
      <c r="AG8885" s="3"/>
      <c r="AH8885" s="3"/>
    </row>
    <row r="8886" spans="1:34" ht="14.25" customHeight="1" x14ac:dyDescent="0.25">
      <c r="A8886" s="3"/>
      <c r="B8886" s="3"/>
      <c r="C8886" s="3"/>
      <c r="D8886" s="3"/>
      <c r="E8886" s="3"/>
      <c r="F8886" s="3"/>
      <c r="G8886" s="3"/>
      <c r="H8886" s="11"/>
      <c r="I8886" s="12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  <c r="AA8886" s="3"/>
      <c r="AB8886" s="3"/>
      <c r="AC8886" s="3"/>
      <c r="AD8886" s="3"/>
      <c r="AE8886" s="3"/>
      <c r="AF8886" s="3"/>
      <c r="AG8886" s="3"/>
      <c r="AH8886" s="3"/>
    </row>
    <row r="8887" spans="1:34" ht="14.25" customHeight="1" x14ac:dyDescent="0.25">
      <c r="A8887" s="3"/>
      <c r="B8887" s="3"/>
      <c r="C8887" s="3"/>
      <c r="D8887" s="3"/>
      <c r="E8887" s="3"/>
      <c r="F8887" s="3"/>
      <c r="G8887" s="3"/>
      <c r="H8887" s="11"/>
      <c r="I8887" s="12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  <c r="AA8887" s="3"/>
      <c r="AB8887" s="3"/>
      <c r="AC8887" s="3"/>
      <c r="AD8887" s="3"/>
      <c r="AE8887" s="3"/>
      <c r="AF8887" s="3"/>
      <c r="AG8887" s="3"/>
      <c r="AH8887" s="3"/>
    </row>
    <row r="8888" spans="1:34" ht="14.25" customHeight="1" x14ac:dyDescent="0.25">
      <c r="A8888" s="3"/>
      <c r="B8888" s="3"/>
      <c r="C8888" s="3"/>
      <c r="D8888" s="3"/>
      <c r="E8888" s="3"/>
      <c r="F8888" s="3"/>
      <c r="G8888" s="3"/>
      <c r="H8888" s="11"/>
      <c r="I8888" s="12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  <c r="AA8888" s="3"/>
      <c r="AB8888" s="3"/>
      <c r="AC8888" s="3"/>
      <c r="AD8888" s="3"/>
      <c r="AE8888" s="3"/>
      <c r="AF8888" s="3"/>
      <c r="AG8888" s="3"/>
      <c r="AH8888" s="3"/>
    </row>
    <row r="8889" spans="1:34" ht="14.25" customHeight="1" x14ac:dyDescent="0.25">
      <c r="A8889" s="3"/>
      <c r="B8889" s="3"/>
      <c r="C8889" s="3"/>
      <c r="D8889" s="3"/>
      <c r="E8889" s="3"/>
      <c r="F8889" s="3"/>
      <c r="G8889" s="3"/>
      <c r="H8889" s="11"/>
      <c r="I8889" s="12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  <c r="AA8889" s="3"/>
      <c r="AB8889" s="3"/>
      <c r="AC8889" s="3"/>
      <c r="AD8889" s="3"/>
      <c r="AE8889" s="3"/>
      <c r="AF8889" s="3"/>
      <c r="AG8889" s="3"/>
      <c r="AH8889" s="3"/>
    </row>
    <row r="8890" spans="1:34" ht="14.25" customHeight="1" x14ac:dyDescent="0.25">
      <c r="A8890" s="3"/>
      <c r="B8890" s="3"/>
      <c r="C8890" s="3"/>
      <c r="D8890" s="3"/>
      <c r="E8890" s="3"/>
      <c r="F8890" s="3"/>
      <c r="G8890" s="3"/>
      <c r="H8890" s="11"/>
      <c r="I8890" s="12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  <c r="AA8890" s="3"/>
      <c r="AB8890" s="3"/>
      <c r="AC8890" s="3"/>
      <c r="AD8890" s="3"/>
      <c r="AE8890" s="3"/>
      <c r="AF8890" s="3"/>
      <c r="AG8890" s="3"/>
      <c r="AH8890" s="3"/>
    </row>
    <row r="8891" spans="1:34" ht="14.25" customHeight="1" x14ac:dyDescent="0.25">
      <c r="A8891" s="3"/>
      <c r="B8891" s="3"/>
      <c r="C8891" s="3"/>
      <c r="D8891" s="3"/>
      <c r="E8891" s="3"/>
      <c r="F8891" s="3"/>
      <c r="G8891" s="3"/>
      <c r="H8891" s="11"/>
      <c r="I8891" s="12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  <c r="AA8891" s="3"/>
      <c r="AB8891" s="3"/>
      <c r="AC8891" s="3"/>
      <c r="AD8891" s="3"/>
      <c r="AE8891" s="3"/>
      <c r="AF8891" s="3"/>
      <c r="AG8891" s="3"/>
      <c r="AH8891" s="3"/>
    </row>
    <row r="8892" spans="1:34" ht="14.25" customHeight="1" x14ac:dyDescent="0.25">
      <c r="A8892" s="3"/>
      <c r="B8892" s="3"/>
      <c r="C8892" s="3"/>
      <c r="D8892" s="3"/>
      <c r="E8892" s="3"/>
      <c r="F8892" s="3"/>
      <c r="G8892" s="3"/>
      <c r="H8892" s="11"/>
      <c r="I8892" s="12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  <c r="AA8892" s="3"/>
      <c r="AB8892" s="3"/>
      <c r="AC8892" s="3"/>
      <c r="AD8892" s="3"/>
      <c r="AE8892" s="3"/>
      <c r="AF8892" s="3"/>
      <c r="AG8892" s="3"/>
      <c r="AH8892" s="3"/>
    </row>
    <row r="8893" spans="1:34" ht="14.25" customHeight="1" x14ac:dyDescent="0.25">
      <c r="A8893" s="3"/>
      <c r="B8893" s="3"/>
      <c r="C8893" s="3"/>
      <c r="D8893" s="3"/>
      <c r="E8893" s="3"/>
      <c r="F8893" s="3"/>
      <c r="G8893" s="3"/>
      <c r="H8893" s="11"/>
      <c r="I8893" s="12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  <c r="AA8893" s="3"/>
      <c r="AB8893" s="3"/>
      <c r="AC8893" s="3"/>
      <c r="AD8893" s="3"/>
      <c r="AE8893" s="3"/>
      <c r="AF8893" s="3"/>
      <c r="AG8893" s="3"/>
      <c r="AH8893" s="3"/>
    </row>
    <row r="8894" spans="1:34" ht="14.25" customHeight="1" x14ac:dyDescent="0.25">
      <c r="A8894" s="3"/>
      <c r="B8894" s="3"/>
      <c r="C8894" s="3"/>
      <c r="D8894" s="3"/>
      <c r="E8894" s="3"/>
      <c r="F8894" s="3"/>
      <c r="G8894" s="3"/>
      <c r="H8894" s="11"/>
      <c r="I8894" s="12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  <c r="AA8894" s="3"/>
      <c r="AB8894" s="3"/>
      <c r="AC8894" s="3"/>
      <c r="AD8894" s="3"/>
      <c r="AE8894" s="3"/>
      <c r="AF8894" s="3"/>
      <c r="AG8894" s="3"/>
      <c r="AH8894" s="3"/>
    </row>
    <row r="8895" spans="1:34" ht="14.25" customHeight="1" x14ac:dyDescent="0.25">
      <c r="A8895" s="3"/>
      <c r="B8895" s="3"/>
      <c r="C8895" s="3"/>
      <c r="D8895" s="3"/>
      <c r="E8895" s="3"/>
      <c r="F8895" s="3"/>
      <c r="G8895" s="3"/>
      <c r="H8895" s="11"/>
      <c r="I8895" s="12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  <c r="AA8895" s="3"/>
      <c r="AB8895" s="3"/>
      <c r="AC8895" s="3"/>
      <c r="AD8895" s="3"/>
      <c r="AE8895" s="3"/>
      <c r="AF8895" s="3"/>
      <c r="AG8895" s="3"/>
      <c r="AH8895" s="3"/>
    </row>
    <row r="8896" spans="1:34" ht="14.25" customHeight="1" x14ac:dyDescent="0.25">
      <c r="A8896" s="3"/>
      <c r="B8896" s="3"/>
      <c r="C8896" s="3"/>
      <c r="D8896" s="3"/>
      <c r="E8896" s="3"/>
      <c r="F8896" s="3"/>
      <c r="G8896" s="3"/>
      <c r="H8896" s="11"/>
      <c r="I8896" s="12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  <c r="AA8896" s="3"/>
      <c r="AB8896" s="3"/>
      <c r="AC8896" s="3"/>
      <c r="AD8896" s="3"/>
      <c r="AE8896" s="3"/>
      <c r="AF8896" s="3"/>
      <c r="AG8896" s="3"/>
      <c r="AH8896" s="3"/>
    </row>
    <row r="8897" spans="1:34" ht="14.25" customHeight="1" x14ac:dyDescent="0.25">
      <c r="A8897" s="3"/>
      <c r="B8897" s="3"/>
      <c r="C8897" s="3"/>
      <c r="D8897" s="3"/>
      <c r="E8897" s="3"/>
      <c r="F8897" s="3"/>
      <c r="G8897" s="3"/>
      <c r="H8897" s="11"/>
      <c r="I8897" s="12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  <c r="AA8897" s="3"/>
      <c r="AB8897" s="3"/>
      <c r="AC8897" s="3"/>
      <c r="AD8897" s="3"/>
      <c r="AE8897" s="3"/>
      <c r="AF8897" s="3"/>
      <c r="AG8897" s="3"/>
      <c r="AH8897" s="3"/>
    </row>
    <row r="8898" spans="1:34" ht="14.25" customHeight="1" x14ac:dyDescent="0.25">
      <c r="A8898" s="3"/>
      <c r="B8898" s="3"/>
      <c r="C8898" s="3"/>
      <c r="D8898" s="3"/>
      <c r="E8898" s="3"/>
      <c r="F8898" s="3"/>
      <c r="G8898" s="3"/>
      <c r="H8898" s="11"/>
      <c r="I8898" s="12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  <c r="AA8898" s="3"/>
      <c r="AB8898" s="3"/>
      <c r="AC8898" s="3"/>
      <c r="AD8898" s="3"/>
      <c r="AE8898" s="3"/>
      <c r="AF8898" s="3"/>
      <c r="AG8898" s="3"/>
      <c r="AH8898" s="3"/>
    </row>
    <row r="8899" spans="1:34" ht="14.25" customHeight="1" x14ac:dyDescent="0.25">
      <c r="A8899" s="3"/>
      <c r="B8899" s="3"/>
      <c r="C8899" s="3"/>
      <c r="D8899" s="3"/>
      <c r="E8899" s="3"/>
      <c r="F8899" s="3"/>
      <c r="G8899" s="3"/>
      <c r="H8899" s="11"/>
      <c r="I8899" s="12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  <c r="AA8899" s="3"/>
      <c r="AB8899" s="3"/>
      <c r="AC8899" s="3"/>
      <c r="AD8899" s="3"/>
      <c r="AE8899" s="3"/>
      <c r="AF8899" s="3"/>
      <c r="AG8899" s="3"/>
      <c r="AH8899" s="3"/>
    </row>
    <row r="8900" spans="1:34" ht="14.25" customHeight="1" x14ac:dyDescent="0.25">
      <c r="A8900" s="3"/>
      <c r="B8900" s="3"/>
      <c r="C8900" s="3"/>
      <c r="D8900" s="3"/>
      <c r="E8900" s="3"/>
      <c r="F8900" s="3"/>
      <c r="G8900" s="3"/>
      <c r="H8900" s="11"/>
      <c r="I8900" s="12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  <c r="AA8900" s="3"/>
      <c r="AB8900" s="3"/>
      <c r="AC8900" s="3"/>
      <c r="AD8900" s="3"/>
      <c r="AE8900" s="3"/>
      <c r="AF8900" s="3"/>
      <c r="AG8900" s="3"/>
      <c r="AH8900" s="3"/>
    </row>
    <row r="8901" spans="1:34" ht="14.25" customHeight="1" x14ac:dyDescent="0.25">
      <c r="A8901" s="3"/>
      <c r="B8901" s="3"/>
      <c r="C8901" s="3"/>
      <c r="D8901" s="3"/>
      <c r="E8901" s="3"/>
      <c r="F8901" s="3"/>
      <c r="G8901" s="3"/>
      <c r="H8901" s="11"/>
      <c r="I8901" s="12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  <c r="AA8901" s="3"/>
      <c r="AB8901" s="3"/>
      <c r="AC8901" s="3"/>
      <c r="AD8901" s="3"/>
      <c r="AE8901" s="3"/>
      <c r="AF8901" s="3"/>
      <c r="AG8901" s="3"/>
      <c r="AH8901" s="3"/>
    </row>
    <row r="8902" spans="1:34" ht="14.25" customHeight="1" x14ac:dyDescent="0.25">
      <c r="A8902" s="3"/>
      <c r="B8902" s="3"/>
      <c r="C8902" s="3"/>
      <c r="D8902" s="3"/>
      <c r="E8902" s="3"/>
      <c r="F8902" s="3"/>
      <c r="G8902" s="3"/>
      <c r="H8902" s="11"/>
      <c r="I8902" s="12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  <c r="AA8902" s="3"/>
      <c r="AB8902" s="3"/>
      <c r="AC8902" s="3"/>
      <c r="AD8902" s="3"/>
      <c r="AE8902" s="3"/>
      <c r="AF8902" s="3"/>
      <c r="AG8902" s="3"/>
      <c r="AH8902" s="3"/>
    </row>
    <row r="8903" spans="1:34" ht="14.25" customHeight="1" x14ac:dyDescent="0.25">
      <c r="A8903" s="3"/>
      <c r="B8903" s="3"/>
      <c r="C8903" s="3"/>
      <c r="D8903" s="3"/>
      <c r="E8903" s="3"/>
      <c r="F8903" s="3"/>
      <c r="G8903" s="3"/>
      <c r="H8903" s="11"/>
      <c r="I8903" s="12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  <c r="AA8903" s="3"/>
      <c r="AB8903" s="3"/>
      <c r="AC8903" s="3"/>
      <c r="AD8903" s="3"/>
      <c r="AE8903" s="3"/>
      <c r="AF8903" s="3"/>
      <c r="AG8903" s="3"/>
      <c r="AH8903" s="3"/>
    </row>
    <row r="8904" spans="1:34" ht="14.25" customHeight="1" x14ac:dyDescent="0.25">
      <c r="A8904" s="3"/>
      <c r="B8904" s="3"/>
      <c r="C8904" s="3"/>
      <c r="D8904" s="3"/>
      <c r="E8904" s="3"/>
      <c r="F8904" s="3"/>
      <c r="G8904" s="3"/>
      <c r="H8904" s="11"/>
      <c r="I8904" s="12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  <c r="AA8904" s="3"/>
      <c r="AB8904" s="3"/>
      <c r="AC8904" s="3"/>
      <c r="AD8904" s="3"/>
      <c r="AE8904" s="3"/>
      <c r="AF8904" s="3"/>
      <c r="AG8904" s="3"/>
      <c r="AH8904" s="3"/>
    </row>
    <row r="8905" spans="1:34" ht="14.25" customHeight="1" x14ac:dyDescent="0.25">
      <c r="A8905" s="3"/>
      <c r="B8905" s="3"/>
      <c r="C8905" s="3"/>
      <c r="D8905" s="3"/>
      <c r="E8905" s="3"/>
      <c r="F8905" s="3"/>
      <c r="G8905" s="3"/>
      <c r="H8905" s="11"/>
      <c r="I8905" s="12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  <c r="AA8905" s="3"/>
      <c r="AB8905" s="3"/>
      <c r="AC8905" s="3"/>
      <c r="AD8905" s="3"/>
      <c r="AE8905" s="3"/>
      <c r="AF8905" s="3"/>
      <c r="AG8905" s="3"/>
      <c r="AH8905" s="3"/>
    </row>
    <row r="8906" spans="1:34" ht="14.25" customHeight="1" x14ac:dyDescent="0.25">
      <c r="A8906" s="3"/>
      <c r="B8906" s="3"/>
      <c r="C8906" s="3"/>
      <c r="D8906" s="3"/>
      <c r="E8906" s="3"/>
      <c r="F8906" s="3"/>
      <c r="G8906" s="3"/>
      <c r="H8906" s="11"/>
      <c r="I8906" s="12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  <c r="AA8906" s="3"/>
      <c r="AB8906" s="3"/>
      <c r="AC8906" s="3"/>
      <c r="AD8906" s="3"/>
      <c r="AE8906" s="3"/>
      <c r="AF8906" s="3"/>
      <c r="AG8906" s="3"/>
      <c r="AH8906" s="3"/>
    </row>
    <row r="8907" spans="1:34" ht="14.25" customHeight="1" x14ac:dyDescent="0.25">
      <c r="A8907" s="3"/>
      <c r="B8907" s="3"/>
      <c r="C8907" s="3"/>
      <c r="D8907" s="3"/>
      <c r="E8907" s="3"/>
      <c r="F8907" s="3"/>
      <c r="G8907" s="3"/>
      <c r="H8907" s="11"/>
      <c r="I8907" s="12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  <c r="AA8907" s="3"/>
      <c r="AB8907" s="3"/>
      <c r="AC8907" s="3"/>
      <c r="AD8907" s="3"/>
      <c r="AE8907" s="3"/>
      <c r="AF8907" s="3"/>
      <c r="AG8907" s="3"/>
      <c r="AH8907" s="3"/>
    </row>
    <row r="8908" spans="1:34" ht="14.25" customHeight="1" x14ac:dyDescent="0.25">
      <c r="A8908" s="3"/>
      <c r="B8908" s="3"/>
      <c r="C8908" s="3"/>
      <c r="D8908" s="3"/>
      <c r="E8908" s="3"/>
      <c r="F8908" s="3"/>
      <c r="G8908" s="3"/>
      <c r="H8908" s="11"/>
      <c r="I8908" s="12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  <c r="AA8908" s="3"/>
      <c r="AB8908" s="3"/>
      <c r="AC8908" s="3"/>
      <c r="AD8908" s="3"/>
      <c r="AE8908" s="3"/>
      <c r="AF8908" s="3"/>
      <c r="AG8908" s="3"/>
      <c r="AH8908" s="3"/>
    </row>
    <row r="8909" spans="1:34" ht="14.25" customHeight="1" x14ac:dyDescent="0.25">
      <c r="A8909" s="3"/>
      <c r="B8909" s="3"/>
      <c r="C8909" s="3"/>
      <c r="D8909" s="3"/>
      <c r="E8909" s="3"/>
      <c r="F8909" s="3"/>
      <c r="G8909" s="3"/>
      <c r="H8909" s="11"/>
      <c r="I8909" s="12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  <c r="AA8909" s="3"/>
      <c r="AB8909" s="3"/>
      <c r="AC8909" s="3"/>
      <c r="AD8909" s="3"/>
      <c r="AE8909" s="3"/>
      <c r="AF8909" s="3"/>
      <c r="AG8909" s="3"/>
      <c r="AH8909" s="3"/>
    </row>
    <row r="8910" spans="1:34" ht="14.25" customHeight="1" x14ac:dyDescent="0.25">
      <c r="A8910" s="3"/>
      <c r="B8910" s="3"/>
      <c r="C8910" s="3"/>
      <c r="D8910" s="3"/>
      <c r="E8910" s="3"/>
      <c r="F8910" s="3"/>
      <c r="G8910" s="3"/>
      <c r="H8910" s="11"/>
      <c r="I8910" s="12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  <c r="AA8910" s="3"/>
      <c r="AB8910" s="3"/>
      <c r="AC8910" s="3"/>
      <c r="AD8910" s="3"/>
      <c r="AE8910" s="3"/>
      <c r="AF8910" s="3"/>
      <c r="AG8910" s="3"/>
      <c r="AH8910" s="3"/>
    </row>
    <row r="8911" spans="1:34" ht="14.25" customHeight="1" x14ac:dyDescent="0.25">
      <c r="A8911" s="3"/>
      <c r="B8911" s="3"/>
      <c r="C8911" s="3"/>
      <c r="D8911" s="3"/>
      <c r="E8911" s="3"/>
      <c r="F8911" s="3"/>
      <c r="G8911" s="3"/>
      <c r="H8911" s="11"/>
      <c r="I8911" s="12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  <c r="AA8911" s="3"/>
      <c r="AB8911" s="3"/>
      <c r="AC8911" s="3"/>
      <c r="AD8911" s="3"/>
      <c r="AE8911" s="3"/>
      <c r="AF8911" s="3"/>
      <c r="AG8911" s="3"/>
      <c r="AH8911" s="3"/>
    </row>
    <row r="8912" spans="1:34" ht="14.25" customHeight="1" x14ac:dyDescent="0.25">
      <c r="A8912" s="3"/>
      <c r="B8912" s="3"/>
      <c r="C8912" s="3"/>
      <c r="D8912" s="3"/>
      <c r="E8912" s="3"/>
      <c r="F8912" s="3"/>
      <c r="G8912" s="3"/>
      <c r="H8912" s="11"/>
      <c r="I8912" s="12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  <c r="AA8912" s="3"/>
      <c r="AB8912" s="3"/>
      <c r="AC8912" s="3"/>
      <c r="AD8912" s="3"/>
      <c r="AE8912" s="3"/>
      <c r="AF8912" s="3"/>
      <c r="AG8912" s="3"/>
      <c r="AH8912" s="3"/>
    </row>
    <row r="8913" spans="1:34" ht="14.25" customHeight="1" x14ac:dyDescent="0.25">
      <c r="A8913" s="3"/>
      <c r="B8913" s="3"/>
      <c r="C8913" s="3"/>
      <c r="D8913" s="3"/>
      <c r="E8913" s="3"/>
      <c r="F8913" s="3"/>
      <c r="G8913" s="3"/>
      <c r="H8913" s="11"/>
      <c r="I8913" s="12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  <c r="AA8913" s="3"/>
      <c r="AB8913" s="3"/>
      <c r="AC8913" s="3"/>
      <c r="AD8913" s="3"/>
      <c r="AE8913" s="3"/>
      <c r="AF8913" s="3"/>
      <c r="AG8913" s="3"/>
      <c r="AH8913" s="3"/>
    </row>
    <row r="8914" spans="1:34" ht="14.25" customHeight="1" x14ac:dyDescent="0.25">
      <c r="A8914" s="3"/>
      <c r="B8914" s="3"/>
      <c r="C8914" s="3"/>
      <c r="D8914" s="3"/>
      <c r="E8914" s="3"/>
      <c r="F8914" s="3"/>
      <c r="G8914" s="3"/>
      <c r="H8914" s="11"/>
      <c r="I8914" s="12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  <c r="AA8914" s="3"/>
      <c r="AB8914" s="3"/>
      <c r="AC8914" s="3"/>
      <c r="AD8914" s="3"/>
      <c r="AE8914" s="3"/>
      <c r="AF8914" s="3"/>
      <c r="AG8914" s="3"/>
      <c r="AH8914" s="3"/>
    </row>
    <row r="8915" spans="1:34" ht="14.25" customHeight="1" x14ac:dyDescent="0.25">
      <c r="A8915" s="3"/>
      <c r="B8915" s="3"/>
      <c r="C8915" s="3"/>
      <c r="D8915" s="3"/>
      <c r="E8915" s="3"/>
      <c r="F8915" s="3"/>
      <c r="G8915" s="3"/>
      <c r="H8915" s="11"/>
      <c r="I8915" s="12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  <c r="AA8915" s="3"/>
      <c r="AB8915" s="3"/>
      <c r="AC8915" s="3"/>
      <c r="AD8915" s="3"/>
      <c r="AE8915" s="3"/>
      <c r="AF8915" s="3"/>
      <c r="AG8915" s="3"/>
      <c r="AH8915" s="3"/>
    </row>
    <row r="8916" spans="1:34" ht="14.25" customHeight="1" x14ac:dyDescent="0.25">
      <c r="A8916" s="3"/>
      <c r="B8916" s="3"/>
      <c r="C8916" s="3"/>
      <c r="D8916" s="3"/>
      <c r="E8916" s="3"/>
      <c r="F8916" s="3"/>
      <c r="G8916" s="3"/>
      <c r="H8916" s="11"/>
      <c r="I8916" s="12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  <c r="AA8916" s="3"/>
      <c r="AB8916" s="3"/>
      <c r="AC8916" s="3"/>
      <c r="AD8916" s="3"/>
      <c r="AE8916" s="3"/>
      <c r="AF8916" s="3"/>
      <c r="AG8916" s="3"/>
      <c r="AH8916" s="3"/>
    </row>
    <row r="8917" spans="1:34" ht="14.25" customHeight="1" x14ac:dyDescent="0.25">
      <c r="A8917" s="3"/>
      <c r="B8917" s="3"/>
      <c r="C8917" s="3"/>
      <c r="D8917" s="3"/>
      <c r="E8917" s="3"/>
      <c r="F8917" s="3"/>
      <c r="G8917" s="3"/>
      <c r="H8917" s="11"/>
      <c r="I8917" s="12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  <c r="AA8917" s="3"/>
      <c r="AB8917" s="3"/>
      <c r="AC8917" s="3"/>
      <c r="AD8917" s="3"/>
      <c r="AE8917" s="3"/>
      <c r="AF8917" s="3"/>
      <c r="AG8917" s="3"/>
      <c r="AH8917" s="3"/>
    </row>
    <row r="8918" spans="1:34" ht="14.25" customHeight="1" x14ac:dyDescent="0.25">
      <c r="A8918" s="3"/>
      <c r="B8918" s="3"/>
      <c r="C8918" s="3"/>
      <c r="D8918" s="3"/>
      <c r="E8918" s="3"/>
      <c r="F8918" s="3"/>
      <c r="G8918" s="3"/>
      <c r="H8918" s="11"/>
      <c r="I8918" s="12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  <c r="AA8918" s="3"/>
      <c r="AB8918" s="3"/>
      <c r="AC8918" s="3"/>
      <c r="AD8918" s="3"/>
      <c r="AE8918" s="3"/>
      <c r="AF8918" s="3"/>
      <c r="AG8918" s="3"/>
      <c r="AH8918" s="3"/>
    </row>
    <row r="8919" spans="1:34" ht="14.25" customHeight="1" x14ac:dyDescent="0.25">
      <c r="A8919" s="3"/>
      <c r="B8919" s="3"/>
      <c r="C8919" s="3"/>
      <c r="D8919" s="3"/>
      <c r="E8919" s="3"/>
      <c r="F8919" s="3"/>
      <c r="G8919" s="3"/>
      <c r="H8919" s="11"/>
      <c r="I8919" s="12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  <c r="AA8919" s="3"/>
      <c r="AB8919" s="3"/>
      <c r="AC8919" s="3"/>
      <c r="AD8919" s="3"/>
      <c r="AE8919" s="3"/>
      <c r="AF8919" s="3"/>
      <c r="AG8919" s="3"/>
      <c r="AH8919" s="3"/>
    </row>
    <row r="8920" spans="1:34" ht="14.25" customHeight="1" x14ac:dyDescent="0.25">
      <c r="A8920" s="3"/>
      <c r="B8920" s="3"/>
      <c r="C8920" s="3"/>
      <c r="D8920" s="3"/>
      <c r="E8920" s="3"/>
      <c r="F8920" s="3"/>
      <c r="G8920" s="3"/>
      <c r="H8920" s="11"/>
      <c r="I8920" s="12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  <c r="AA8920" s="3"/>
      <c r="AB8920" s="3"/>
      <c r="AC8920" s="3"/>
      <c r="AD8920" s="3"/>
      <c r="AE8920" s="3"/>
      <c r="AF8920" s="3"/>
      <c r="AG8920" s="3"/>
      <c r="AH8920" s="3"/>
    </row>
    <row r="8921" spans="1:34" ht="14.25" customHeight="1" x14ac:dyDescent="0.25">
      <c r="A8921" s="3"/>
      <c r="B8921" s="3"/>
      <c r="C8921" s="3"/>
      <c r="D8921" s="3"/>
      <c r="E8921" s="3"/>
      <c r="F8921" s="3"/>
      <c r="G8921" s="3"/>
      <c r="H8921" s="11"/>
      <c r="I8921" s="12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  <c r="AA8921" s="3"/>
      <c r="AB8921" s="3"/>
      <c r="AC8921" s="3"/>
      <c r="AD8921" s="3"/>
      <c r="AE8921" s="3"/>
      <c r="AF8921" s="3"/>
      <c r="AG8921" s="3"/>
      <c r="AH8921" s="3"/>
    </row>
    <row r="8922" spans="1:34" ht="14.25" customHeight="1" x14ac:dyDescent="0.25">
      <c r="A8922" s="3"/>
      <c r="B8922" s="3"/>
      <c r="C8922" s="3"/>
      <c r="D8922" s="3"/>
      <c r="E8922" s="3"/>
      <c r="F8922" s="3"/>
      <c r="G8922" s="3"/>
      <c r="H8922" s="11"/>
      <c r="I8922" s="12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  <c r="AA8922" s="3"/>
      <c r="AB8922" s="3"/>
      <c r="AC8922" s="3"/>
      <c r="AD8922" s="3"/>
      <c r="AE8922" s="3"/>
      <c r="AF8922" s="3"/>
      <c r="AG8922" s="3"/>
      <c r="AH8922" s="3"/>
    </row>
    <row r="8923" spans="1:34" ht="14.25" customHeight="1" x14ac:dyDescent="0.25">
      <c r="A8923" s="3"/>
      <c r="B8923" s="3"/>
      <c r="C8923" s="3"/>
      <c r="D8923" s="3"/>
      <c r="E8923" s="3"/>
      <c r="F8923" s="3"/>
      <c r="G8923" s="3"/>
      <c r="H8923" s="11"/>
      <c r="I8923" s="12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  <c r="AA8923" s="3"/>
      <c r="AB8923" s="3"/>
      <c r="AC8923" s="3"/>
      <c r="AD8923" s="3"/>
      <c r="AE8923" s="3"/>
      <c r="AF8923" s="3"/>
      <c r="AG8923" s="3"/>
      <c r="AH8923" s="3"/>
    </row>
    <row r="8924" spans="1:34" ht="14.25" customHeight="1" x14ac:dyDescent="0.25">
      <c r="A8924" s="3"/>
      <c r="B8924" s="3"/>
      <c r="C8924" s="3"/>
      <c r="D8924" s="3"/>
      <c r="E8924" s="3"/>
      <c r="F8924" s="3"/>
      <c r="G8924" s="3"/>
      <c r="H8924" s="11"/>
      <c r="I8924" s="12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  <c r="AA8924" s="3"/>
      <c r="AB8924" s="3"/>
      <c r="AC8924" s="3"/>
      <c r="AD8924" s="3"/>
      <c r="AE8924" s="3"/>
      <c r="AF8924" s="3"/>
      <c r="AG8924" s="3"/>
      <c r="AH8924" s="3"/>
    </row>
    <row r="8925" spans="1:34" ht="14.25" customHeight="1" x14ac:dyDescent="0.25">
      <c r="A8925" s="3"/>
      <c r="B8925" s="3"/>
      <c r="C8925" s="3"/>
      <c r="D8925" s="3"/>
      <c r="E8925" s="3"/>
      <c r="F8925" s="3"/>
      <c r="G8925" s="3"/>
      <c r="H8925" s="11"/>
      <c r="I8925" s="12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  <c r="AA8925" s="3"/>
      <c r="AB8925" s="3"/>
      <c r="AC8925" s="3"/>
      <c r="AD8925" s="3"/>
      <c r="AE8925" s="3"/>
      <c r="AF8925" s="3"/>
      <c r="AG8925" s="3"/>
      <c r="AH8925" s="3"/>
    </row>
    <row r="8926" spans="1:34" ht="14.25" customHeight="1" x14ac:dyDescent="0.25">
      <c r="A8926" s="3"/>
      <c r="B8926" s="3"/>
      <c r="C8926" s="3"/>
      <c r="D8926" s="3"/>
      <c r="E8926" s="3"/>
      <c r="F8926" s="3"/>
      <c r="G8926" s="3"/>
      <c r="H8926" s="11"/>
      <c r="I8926" s="12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  <c r="AA8926" s="3"/>
      <c r="AB8926" s="3"/>
      <c r="AC8926" s="3"/>
      <c r="AD8926" s="3"/>
      <c r="AE8926" s="3"/>
      <c r="AF8926" s="3"/>
      <c r="AG8926" s="3"/>
      <c r="AH8926" s="3"/>
    </row>
    <row r="8927" spans="1:34" ht="14.25" customHeight="1" x14ac:dyDescent="0.25">
      <c r="A8927" s="3"/>
      <c r="B8927" s="3"/>
      <c r="C8927" s="3"/>
      <c r="D8927" s="3"/>
      <c r="E8927" s="3"/>
      <c r="F8927" s="3"/>
      <c r="G8927" s="3"/>
      <c r="H8927" s="11"/>
      <c r="I8927" s="12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  <c r="AA8927" s="3"/>
      <c r="AB8927" s="3"/>
      <c r="AC8927" s="3"/>
      <c r="AD8927" s="3"/>
      <c r="AE8927" s="3"/>
      <c r="AF8927" s="3"/>
      <c r="AG8927" s="3"/>
      <c r="AH8927" s="3"/>
    </row>
    <row r="8928" spans="1:34" ht="14.25" customHeight="1" x14ac:dyDescent="0.25">
      <c r="A8928" s="3"/>
      <c r="B8928" s="3"/>
      <c r="C8928" s="3"/>
      <c r="D8928" s="3"/>
      <c r="E8928" s="3"/>
      <c r="F8928" s="3"/>
      <c r="G8928" s="3"/>
      <c r="H8928" s="11"/>
      <c r="I8928" s="12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  <c r="AA8928" s="3"/>
      <c r="AB8928" s="3"/>
      <c r="AC8928" s="3"/>
      <c r="AD8928" s="3"/>
      <c r="AE8928" s="3"/>
      <c r="AF8928" s="3"/>
      <c r="AG8928" s="3"/>
      <c r="AH8928" s="3"/>
    </row>
    <row r="8929" spans="1:34" ht="14.25" customHeight="1" x14ac:dyDescent="0.25">
      <c r="A8929" s="3"/>
      <c r="B8929" s="3"/>
      <c r="C8929" s="3"/>
      <c r="D8929" s="3"/>
      <c r="E8929" s="3"/>
      <c r="F8929" s="3"/>
      <c r="G8929" s="3"/>
      <c r="H8929" s="11"/>
      <c r="I8929" s="12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  <c r="AA8929" s="3"/>
      <c r="AB8929" s="3"/>
      <c r="AC8929" s="3"/>
      <c r="AD8929" s="3"/>
      <c r="AE8929" s="3"/>
      <c r="AF8929" s="3"/>
      <c r="AG8929" s="3"/>
      <c r="AH8929" s="3"/>
    </row>
    <row r="8930" spans="1:34" ht="14.25" customHeight="1" x14ac:dyDescent="0.25">
      <c r="A8930" s="3"/>
      <c r="B8930" s="3"/>
      <c r="C8930" s="3"/>
      <c r="D8930" s="3"/>
      <c r="E8930" s="3"/>
      <c r="F8930" s="3"/>
      <c r="G8930" s="3"/>
      <c r="H8930" s="11"/>
      <c r="I8930" s="12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  <c r="AA8930" s="3"/>
      <c r="AB8930" s="3"/>
      <c r="AC8930" s="3"/>
      <c r="AD8930" s="3"/>
      <c r="AE8930" s="3"/>
      <c r="AF8930" s="3"/>
      <c r="AG8930" s="3"/>
      <c r="AH8930" s="3"/>
    </row>
    <row r="8931" spans="1:34" ht="14.25" customHeight="1" x14ac:dyDescent="0.25">
      <c r="A8931" s="3"/>
      <c r="B8931" s="3"/>
      <c r="C8931" s="3"/>
      <c r="D8931" s="3"/>
      <c r="E8931" s="3"/>
      <c r="F8931" s="3"/>
      <c r="G8931" s="3"/>
      <c r="H8931" s="11"/>
      <c r="I8931" s="12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  <c r="AA8931" s="3"/>
      <c r="AB8931" s="3"/>
      <c r="AC8931" s="3"/>
      <c r="AD8931" s="3"/>
      <c r="AE8931" s="3"/>
      <c r="AF8931" s="3"/>
      <c r="AG8931" s="3"/>
      <c r="AH8931" s="3"/>
    </row>
    <row r="8932" spans="1:34" ht="14.25" customHeight="1" x14ac:dyDescent="0.25">
      <c r="A8932" s="3"/>
      <c r="B8932" s="3"/>
      <c r="C8932" s="3"/>
      <c r="D8932" s="3"/>
      <c r="E8932" s="3"/>
      <c r="F8932" s="3"/>
      <c r="G8932" s="3"/>
      <c r="H8932" s="11"/>
      <c r="I8932" s="12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  <c r="AA8932" s="3"/>
      <c r="AB8932" s="3"/>
      <c r="AC8932" s="3"/>
      <c r="AD8932" s="3"/>
      <c r="AE8932" s="3"/>
      <c r="AF8932" s="3"/>
      <c r="AG8932" s="3"/>
      <c r="AH8932" s="3"/>
    </row>
    <row r="8933" spans="1:34" ht="14.25" customHeight="1" x14ac:dyDescent="0.25">
      <c r="A8933" s="3"/>
      <c r="B8933" s="3"/>
      <c r="C8933" s="3"/>
      <c r="D8933" s="3"/>
      <c r="E8933" s="3"/>
      <c r="F8933" s="3"/>
      <c r="G8933" s="3"/>
      <c r="H8933" s="11"/>
      <c r="I8933" s="12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  <c r="AA8933" s="3"/>
      <c r="AB8933" s="3"/>
      <c r="AC8933" s="3"/>
      <c r="AD8933" s="3"/>
      <c r="AE8933" s="3"/>
      <c r="AF8933" s="3"/>
      <c r="AG8933" s="3"/>
      <c r="AH8933" s="3"/>
    </row>
    <row r="8934" spans="1:34" ht="14.25" customHeight="1" x14ac:dyDescent="0.25">
      <c r="A8934" s="3"/>
      <c r="B8934" s="3"/>
      <c r="C8934" s="3"/>
      <c r="D8934" s="3"/>
      <c r="E8934" s="3"/>
      <c r="F8934" s="3"/>
      <c r="G8934" s="3"/>
      <c r="H8934" s="11"/>
      <c r="I8934" s="12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  <c r="AA8934" s="3"/>
      <c r="AB8934" s="3"/>
      <c r="AC8934" s="3"/>
      <c r="AD8934" s="3"/>
      <c r="AE8934" s="3"/>
      <c r="AF8934" s="3"/>
      <c r="AG8934" s="3"/>
      <c r="AH8934" s="3"/>
    </row>
    <row r="8935" spans="1:34" ht="14.25" customHeight="1" x14ac:dyDescent="0.25">
      <c r="A8935" s="3"/>
      <c r="B8935" s="3"/>
      <c r="C8935" s="3"/>
      <c r="D8935" s="3"/>
      <c r="E8935" s="3"/>
      <c r="F8935" s="3"/>
      <c r="G8935" s="3"/>
      <c r="H8935" s="11"/>
      <c r="I8935" s="12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  <c r="AA8935" s="3"/>
      <c r="AB8935" s="3"/>
      <c r="AC8935" s="3"/>
      <c r="AD8935" s="3"/>
      <c r="AE8935" s="3"/>
      <c r="AF8935" s="3"/>
      <c r="AG8935" s="3"/>
      <c r="AH8935" s="3"/>
    </row>
    <row r="8936" spans="1:34" ht="14.25" customHeight="1" x14ac:dyDescent="0.25">
      <c r="A8936" s="3"/>
      <c r="B8936" s="3"/>
      <c r="C8936" s="3"/>
      <c r="D8936" s="3"/>
      <c r="E8936" s="3"/>
      <c r="F8936" s="3"/>
      <c r="G8936" s="3"/>
      <c r="H8936" s="11"/>
      <c r="I8936" s="12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  <c r="AA8936" s="3"/>
      <c r="AB8936" s="3"/>
      <c r="AC8936" s="3"/>
      <c r="AD8936" s="3"/>
      <c r="AE8936" s="3"/>
      <c r="AF8936" s="3"/>
      <c r="AG8936" s="3"/>
      <c r="AH8936" s="3"/>
    </row>
    <row r="8937" spans="1:34" ht="14.25" customHeight="1" x14ac:dyDescent="0.25">
      <c r="A8937" s="3"/>
      <c r="B8937" s="3"/>
      <c r="C8937" s="3"/>
      <c r="D8937" s="3"/>
      <c r="E8937" s="3"/>
      <c r="F8937" s="3"/>
      <c r="G8937" s="3"/>
      <c r="H8937" s="11"/>
      <c r="I8937" s="12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  <c r="AA8937" s="3"/>
      <c r="AB8937" s="3"/>
      <c r="AC8937" s="3"/>
      <c r="AD8937" s="3"/>
      <c r="AE8937" s="3"/>
      <c r="AF8937" s="3"/>
      <c r="AG8937" s="3"/>
      <c r="AH8937" s="3"/>
    </row>
    <row r="8938" spans="1:34" ht="14.25" customHeight="1" x14ac:dyDescent="0.25">
      <c r="A8938" s="3"/>
      <c r="B8938" s="3"/>
      <c r="C8938" s="3"/>
      <c r="D8938" s="3"/>
      <c r="E8938" s="3"/>
      <c r="F8938" s="3"/>
      <c r="G8938" s="3"/>
      <c r="H8938" s="11"/>
      <c r="I8938" s="12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  <c r="AA8938" s="3"/>
      <c r="AB8938" s="3"/>
      <c r="AC8938" s="3"/>
      <c r="AD8938" s="3"/>
      <c r="AE8938" s="3"/>
      <c r="AF8938" s="3"/>
      <c r="AG8938" s="3"/>
      <c r="AH8938" s="3"/>
    </row>
    <row r="8939" spans="1:34" ht="14.25" customHeight="1" x14ac:dyDescent="0.25">
      <c r="A8939" s="3"/>
      <c r="B8939" s="3"/>
      <c r="C8939" s="3"/>
      <c r="D8939" s="3"/>
      <c r="E8939" s="3"/>
      <c r="F8939" s="3"/>
      <c r="G8939" s="3"/>
      <c r="H8939" s="11"/>
      <c r="I8939" s="12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  <c r="AA8939" s="3"/>
      <c r="AB8939" s="3"/>
      <c r="AC8939" s="3"/>
      <c r="AD8939" s="3"/>
      <c r="AE8939" s="3"/>
      <c r="AF8939" s="3"/>
      <c r="AG8939" s="3"/>
      <c r="AH8939" s="3"/>
    </row>
    <row r="8940" spans="1:34" ht="14.25" customHeight="1" x14ac:dyDescent="0.25">
      <c r="A8940" s="3"/>
      <c r="B8940" s="3"/>
      <c r="C8940" s="3"/>
      <c r="D8940" s="3"/>
      <c r="E8940" s="3"/>
      <c r="F8940" s="3"/>
      <c r="G8940" s="3"/>
      <c r="H8940" s="11"/>
      <c r="I8940" s="12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  <c r="AA8940" s="3"/>
      <c r="AB8940" s="3"/>
      <c r="AC8940" s="3"/>
      <c r="AD8940" s="3"/>
      <c r="AE8940" s="3"/>
      <c r="AF8940" s="3"/>
      <c r="AG8940" s="3"/>
      <c r="AH8940" s="3"/>
    </row>
    <row r="8941" spans="1:34" ht="14.25" customHeight="1" x14ac:dyDescent="0.25">
      <c r="A8941" s="3"/>
      <c r="B8941" s="3"/>
      <c r="C8941" s="3"/>
      <c r="D8941" s="3"/>
      <c r="E8941" s="3"/>
      <c r="F8941" s="3"/>
      <c r="G8941" s="3"/>
      <c r="H8941" s="11"/>
      <c r="I8941" s="12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  <c r="AA8941" s="3"/>
      <c r="AB8941" s="3"/>
      <c r="AC8941" s="3"/>
      <c r="AD8941" s="3"/>
      <c r="AE8941" s="3"/>
      <c r="AF8941" s="3"/>
      <c r="AG8941" s="3"/>
      <c r="AH8941" s="3"/>
    </row>
    <row r="8942" spans="1:34" ht="14.25" customHeight="1" x14ac:dyDescent="0.25">
      <c r="A8942" s="3"/>
      <c r="B8942" s="3"/>
      <c r="C8942" s="3"/>
      <c r="D8942" s="3"/>
      <c r="E8942" s="3"/>
      <c r="F8942" s="3"/>
      <c r="G8942" s="3"/>
      <c r="H8942" s="11"/>
      <c r="I8942" s="12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  <c r="AA8942" s="3"/>
      <c r="AB8942" s="3"/>
      <c r="AC8942" s="3"/>
      <c r="AD8942" s="3"/>
      <c r="AE8942" s="3"/>
      <c r="AF8942" s="3"/>
      <c r="AG8942" s="3"/>
      <c r="AH8942" s="3"/>
    </row>
    <row r="8943" spans="1:34" ht="14.25" customHeight="1" x14ac:dyDescent="0.25">
      <c r="A8943" s="3"/>
      <c r="B8943" s="3"/>
      <c r="C8943" s="3"/>
      <c r="D8943" s="3"/>
      <c r="E8943" s="3"/>
      <c r="F8943" s="3"/>
      <c r="G8943" s="3"/>
      <c r="H8943" s="11"/>
      <c r="I8943" s="12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  <c r="AA8943" s="3"/>
      <c r="AB8943" s="3"/>
      <c r="AC8943" s="3"/>
      <c r="AD8943" s="3"/>
      <c r="AE8943" s="3"/>
      <c r="AF8943" s="3"/>
      <c r="AG8943" s="3"/>
      <c r="AH8943" s="3"/>
    </row>
    <row r="8944" spans="1:34" ht="14.25" customHeight="1" x14ac:dyDescent="0.25">
      <c r="A8944" s="3"/>
      <c r="B8944" s="3"/>
      <c r="C8944" s="3"/>
      <c r="D8944" s="3"/>
      <c r="E8944" s="3"/>
      <c r="F8944" s="3"/>
      <c r="G8944" s="3"/>
      <c r="H8944" s="11"/>
      <c r="I8944" s="12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  <c r="AA8944" s="3"/>
      <c r="AB8944" s="3"/>
      <c r="AC8944" s="3"/>
      <c r="AD8944" s="3"/>
      <c r="AE8944" s="3"/>
      <c r="AF8944" s="3"/>
      <c r="AG8944" s="3"/>
      <c r="AH8944" s="3"/>
    </row>
    <row r="8945" spans="1:34" ht="14.25" customHeight="1" x14ac:dyDescent="0.25">
      <c r="A8945" s="3"/>
      <c r="B8945" s="3"/>
      <c r="C8945" s="3"/>
      <c r="D8945" s="3"/>
      <c r="E8945" s="3"/>
      <c r="F8945" s="3"/>
      <c r="G8945" s="3"/>
      <c r="H8945" s="11"/>
      <c r="I8945" s="12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  <c r="AA8945" s="3"/>
      <c r="AB8945" s="3"/>
      <c r="AC8945" s="3"/>
      <c r="AD8945" s="3"/>
      <c r="AE8945" s="3"/>
      <c r="AF8945" s="3"/>
      <c r="AG8945" s="3"/>
      <c r="AH8945" s="3"/>
    </row>
    <row r="8946" spans="1:34" ht="14.25" customHeight="1" x14ac:dyDescent="0.25">
      <c r="A8946" s="3"/>
      <c r="B8946" s="3"/>
      <c r="C8946" s="3"/>
      <c r="D8946" s="3"/>
      <c r="E8946" s="3"/>
      <c r="F8946" s="3"/>
      <c r="G8946" s="3"/>
      <c r="H8946" s="11"/>
      <c r="I8946" s="12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  <c r="AA8946" s="3"/>
      <c r="AB8946" s="3"/>
      <c r="AC8946" s="3"/>
      <c r="AD8946" s="3"/>
      <c r="AE8946" s="3"/>
      <c r="AF8946" s="3"/>
      <c r="AG8946" s="3"/>
      <c r="AH8946" s="3"/>
    </row>
    <row r="8947" spans="1:34" ht="14.25" customHeight="1" x14ac:dyDescent="0.25">
      <c r="A8947" s="3"/>
      <c r="B8947" s="3"/>
      <c r="C8947" s="3"/>
      <c r="D8947" s="3"/>
      <c r="E8947" s="3"/>
      <c r="F8947" s="3"/>
      <c r="G8947" s="3"/>
      <c r="H8947" s="11"/>
      <c r="I8947" s="12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  <c r="AA8947" s="3"/>
      <c r="AB8947" s="3"/>
      <c r="AC8947" s="3"/>
      <c r="AD8947" s="3"/>
      <c r="AE8947" s="3"/>
      <c r="AF8947" s="3"/>
      <c r="AG8947" s="3"/>
      <c r="AH8947" s="3"/>
    </row>
    <row r="8948" spans="1:34" ht="14.25" customHeight="1" x14ac:dyDescent="0.25">
      <c r="A8948" s="3"/>
      <c r="B8948" s="3"/>
      <c r="C8948" s="3"/>
      <c r="D8948" s="3"/>
      <c r="E8948" s="3"/>
      <c r="F8948" s="3"/>
      <c r="G8948" s="3"/>
      <c r="H8948" s="11"/>
      <c r="I8948" s="12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  <c r="AA8948" s="3"/>
      <c r="AB8948" s="3"/>
      <c r="AC8948" s="3"/>
      <c r="AD8948" s="3"/>
      <c r="AE8948" s="3"/>
      <c r="AF8948" s="3"/>
      <c r="AG8948" s="3"/>
      <c r="AH8948" s="3"/>
    </row>
    <row r="8949" spans="1:34" ht="14.25" customHeight="1" x14ac:dyDescent="0.25">
      <c r="A8949" s="3"/>
      <c r="B8949" s="3"/>
      <c r="C8949" s="3"/>
      <c r="D8949" s="3"/>
      <c r="E8949" s="3"/>
      <c r="F8949" s="3"/>
      <c r="G8949" s="3"/>
      <c r="H8949" s="11"/>
      <c r="I8949" s="12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  <c r="AA8949" s="3"/>
      <c r="AB8949" s="3"/>
      <c r="AC8949" s="3"/>
      <c r="AD8949" s="3"/>
      <c r="AE8949" s="3"/>
      <c r="AF8949" s="3"/>
      <c r="AG8949" s="3"/>
      <c r="AH8949" s="3"/>
    </row>
    <row r="8950" spans="1:34" ht="14.25" customHeight="1" x14ac:dyDescent="0.25">
      <c r="A8950" s="3"/>
      <c r="B8950" s="3"/>
      <c r="C8950" s="3"/>
      <c r="D8950" s="3"/>
      <c r="E8950" s="3"/>
      <c r="F8950" s="3"/>
      <c r="G8950" s="3"/>
      <c r="H8950" s="11"/>
      <c r="I8950" s="12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  <c r="AA8950" s="3"/>
      <c r="AB8950" s="3"/>
      <c r="AC8950" s="3"/>
      <c r="AD8950" s="3"/>
      <c r="AE8950" s="3"/>
      <c r="AF8950" s="3"/>
      <c r="AG8950" s="3"/>
      <c r="AH8950" s="3"/>
    </row>
    <row r="8951" spans="1:34" ht="14.25" customHeight="1" x14ac:dyDescent="0.25">
      <c r="A8951" s="3"/>
      <c r="B8951" s="3"/>
      <c r="C8951" s="3"/>
      <c r="D8951" s="3"/>
      <c r="E8951" s="3"/>
      <c r="F8951" s="3"/>
      <c r="G8951" s="3"/>
      <c r="H8951" s="11"/>
      <c r="I8951" s="12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  <c r="AA8951" s="3"/>
      <c r="AB8951" s="3"/>
      <c r="AC8951" s="3"/>
      <c r="AD8951" s="3"/>
      <c r="AE8951" s="3"/>
      <c r="AF8951" s="3"/>
      <c r="AG8951" s="3"/>
      <c r="AH8951" s="3"/>
    </row>
    <row r="8952" spans="1:34" ht="14.25" customHeight="1" x14ac:dyDescent="0.25">
      <c r="A8952" s="3"/>
      <c r="B8952" s="3"/>
      <c r="C8952" s="3"/>
      <c r="D8952" s="3"/>
      <c r="E8952" s="3"/>
      <c r="F8952" s="3"/>
      <c r="G8952" s="3"/>
      <c r="H8952" s="11"/>
      <c r="I8952" s="12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  <c r="AA8952" s="3"/>
      <c r="AB8952" s="3"/>
      <c r="AC8952" s="3"/>
      <c r="AD8952" s="3"/>
      <c r="AE8952" s="3"/>
      <c r="AF8952" s="3"/>
      <c r="AG8952" s="3"/>
      <c r="AH8952" s="3"/>
    </row>
    <row r="8953" spans="1:34" ht="14.25" customHeight="1" x14ac:dyDescent="0.25">
      <c r="A8953" s="3"/>
      <c r="B8953" s="3"/>
      <c r="C8953" s="3"/>
      <c r="D8953" s="3"/>
      <c r="E8953" s="3"/>
      <c r="F8953" s="3"/>
      <c r="G8953" s="3"/>
      <c r="H8953" s="11"/>
      <c r="I8953" s="12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  <c r="AA8953" s="3"/>
      <c r="AB8953" s="3"/>
      <c r="AC8953" s="3"/>
      <c r="AD8953" s="3"/>
      <c r="AE8953" s="3"/>
      <c r="AF8953" s="3"/>
      <c r="AG8953" s="3"/>
      <c r="AH8953" s="3"/>
    </row>
    <row r="8954" spans="1:34" ht="14.25" customHeight="1" x14ac:dyDescent="0.25">
      <c r="A8954" s="3"/>
      <c r="B8954" s="3"/>
      <c r="C8954" s="3"/>
      <c r="D8954" s="3"/>
      <c r="E8954" s="3"/>
      <c r="F8954" s="3"/>
      <c r="G8954" s="3"/>
      <c r="H8954" s="11"/>
      <c r="I8954" s="12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  <c r="AA8954" s="3"/>
      <c r="AB8954" s="3"/>
      <c r="AC8954" s="3"/>
      <c r="AD8954" s="3"/>
      <c r="AE8954" s="3"/>
      <c r="AF8954" s="3"/>
      <c r="AG8954" s="3"/>
      <c r="AH8954" s="3"/>
    </row>
    <row r="8955" spans="1:34" ht="14.25" customHeight="1" x14ac:dyDescent="0.25">
      <c r="A8955" s="3"/>
      <c r="B8955" s="3"/>
      <c r="C8955" s="3"/>
      <c r="D8955" s="3"/>
      <c r="E8955" s="3"/>
      <c r="F8955" s="3"/>
      <c r="G8955" s="3"/>
      <c r="H8955" s="11"/>
      <c r="I8955" s="12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  <c r="AA8955" s="3"/>
      <c r="AB8955" s="3"/>
      <c r="AC8955" s="3"/>
      <c r="AD8955" s="3"/>
      <c r="AE8955" s="3"/>
      <c r="AF8955" s="3"/>
      <c r="AG8955" s="3"/>
      <c r="AH8955" s="3"/>
    </row>
    <row r="8956" spans="1:34" ht="14.25" customHeight="1" x14ac:dyDescent="0.25">
      <c r="A8956" s="3"/>
      <c r="B8956" s="3"/>
      <c r="C8956" s="3"/>
      <c r="D8956" s="3"/>
      <c r="E8956" s="3"/>
      <c r="F8956" s="3"/>
      <c r="G8956" s="3"/>
      <c r="H8956" s="11"/>
      <c r="I8956" s="12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  <c r="AA8956" s="3"/>
      <c r="AB8956" s="3"/>
      <c r="AC8956" s="3"/>
      <c r="AD8956" s="3"/>
      <c r="AE8956" s="3"/>
      <c r="AF8956" s="3"/>
      <c r="AG8956" s="3"/>
      <c r="AH8956" s="3"/>
    </row>
    <row r="8957" spans="1:34" ht="14.25" customHeight="1" x14ac:dyDescent="0.25">
      <c r="A8957" s="3"/>
      <c r="B8957" s="3"/>
      <c r="C8957" s="3"/>
      <c r="D8957" s="3"/>
      <c r="E8957" s="3"/>
      <c r="F8957" s="3"/>
      <c r="G8957" s="3"/>
      <c r="H8957" s="11"/>
      <c r="I8957" s="12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  <c r="AA8957" s="3"/>
      <c r="AB8957" s="3"/>
      <c r="AC8957" s="3"/>
      <c r="AD8957" s="3"/>
      <c r="AE8957" s="3"/>
      <c r="AF8957" s="3"/>
      <c r="AG8957" s="3"/>
      <c r="AH8957" s="3"/>
    </row>
    <row r="8958" spans="1:34" ht="14.25" customHeight="1" x14ac:dyDescent="0.25">
      <c r="A8958" s="3"/>
      <c r="B8958" s="3"/>
      <c r="C8958" s="3"/>
      <c r="D8958" s="3"/>
      <c r="E8958" s="3"/>
      <c r="F8958" s="3"/>
      <c r="G8958" s="3"/>
      <c r="H8958" s="11"/>
      <c r="I8958" s="12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  <c r="AA8958" s="3"/>
      <c r="AB8958" s="3"/>
      <c r="AC8958" s="3"/>
      <c r="AD8958" s="3"/>
      <c r="AE8958" s="3"/>
      <c r="AF8958" s="3"/>
      <c r="AG8958" s="3"/>
      <c r="AH8958" s="3"/>
    </row>
    <row r="8959" spans="1:34" ht="14.25" customHeight="1" x14ac:dyDescent="0.25">
      <c r="A8959" s="3"/>
      <c r="B8959" s="3"/>
      <c r="C8959" s="3"/>
      <c r="D8959" s="3"/>
      <c r="E8959" s="3"/>
      <c r="F8959" s="3"/>
      <c r="G8959" s="3"/>
      <c r="H8959" s="11"/>
      <c r="I8959" s="12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  <c r="AA8959" s="3"/>
      <c r="AB8959" s="3"/>
      <c r="AC8959" s="3"/>
      <c r="AD8959" s="3"/>
      <c r="AE8959" s="3"/>
      <c r="AF8959" s="3"/>
      <c r="AG8959" s="3"/>
      <c r="AH8959" s="3"/>
    </row>
    <row r="8960" spans="1:34" ht="14.25" customHeight="1" x14ac:dyDescent="0.25">
      <c r="A8960" s="3"/>
      <c r="B8960" s="3"/>
      <c r="C8960" s="3"/>
      <c r="D8960" s="3"/>
      <c r="E8960" s="3"/>
      <c r="F8960" s="3"/>
      <c r="G8960" s="3"/>
      <c r="H8960" s="11"/>
      <c r="I8960" s="12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  <c r="AA8960" s="3"/>
      <c r="AB8960" s="3"/>
      <c r="AC8960" s="3"/>
      <c r="AD8960" s="3"/>
      <c r="AE8960" s="3"/>
      <c r="AF8960" s="3"/>
      <c r="AG8960" s="3"/>
      <c r="AH8960" s="3"/>
    </row>
    <row r="8961" spans="1:34" ht="14.25" customHeight="1" x14ac:dyDescent="0.25">
      <c r="A8961" s="3"/>
      <c r="B8961" s="3"/>
      <c r="C8961" s="3"/>
      <c r="D8961" s="3"/>
      <c r="E8961" s="3"/>
      <c r="F8961" s="3"/>
      <c r="G8961" s="3"/>
      <c r="H8961" s="11"/>
      <c r="I8961" s="12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  <c r="AA8961" s="3"/>
      <c r="AB8961" s="3"/>
      <c r="AC8961" s="3"/>
      <c r="AD8961" s="3"/>
      <c r="AE8961" s="3"/>
      <c r="AF8961" s="3"/>
      <c r="AG8961" s="3"/>
      <c r="AH8961" s="3"/>
    </row>
    <row r="8962" spans="1:34" ht="14.25" customHeight="1" x14ac:dyDescent="0.25">
      <c r="A8962" s="3"/>
      <c r="B8962" s="3"/>
      <c r="C8962" s="3"/>
      <c r="D8962" s="3"/>
      <c r="E8962" s="3"/>
      <c r="F8962" s="3"/>
      <c r="G8962" s="3"/>
      <c r="H8962" s="11"/>
      <c r="I8962" s="12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  <c r="AA8962" s="3"/>
      <c r="AB8962" s="3"/>
      <c r="AC8962" s="3"/>
      <c r="AD8962" s="3"/>
      <c r="AE8962" s="3"/>
      <c r="AF8962" s="3"/>
      <c r="AG8962" s="3"/>
      <c r="AH8962" s="3"/>
    </row>
    <row r="8963" spans="1:34" ht="14.25" customHeight="1" x14ac:dyDescent="0.25">
      <c r="A8963" s="3"/>
      <c r="B8963" s="3"/>
      <c r="C8963" s="3"/>
      <c r="D8963" s="3"/>
      <c r="E8963" s="3"/>
      <c r="F8963" s="3"/>
      <c r="G8963" s="3"/>
      <c r="H8963" s="11"/>
      <c r="I8963" s="12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  <c r="AA8963" s="3"/>
      <c r="AB8963" s="3"/>
      <c r="AC8963" s="3"/>
      <c r="AD8963" s="3"/>
      <c r="AE8963" s="3"/>
      <c r="AF8963" s="3"/>
      <c r="AG8963" s="3"/>
      <c r="AH8963" s="3"/>
    </row>
    <row r="8964" spans="1:34" ht="14.25" customHeight="1" x14ac:dyDescent="0.25">
      <c r="A8964" s="3"/>
      <c r="B8964" s="3"/>
      <c r="C8964" s="3"/>
      <c r="D8964" s="3"/>
      <c r="E8964" s="3"/>
      <c r="F8964" s="3"/>
      <c r="G8964" s="3"/>
      <c r="H8964" s="11"/>
      <c r="I8964" s="12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  <c r="AA8964" s="3"/>
      <c r="AB8964" s="3"/>
      <c r="AC8964" s="3"/>
      <c r="AD8964" s="3"/>
      <c r="AE8964" s="3"/>
      <c r="AF8964" s="3"/>
      <c r="AG8964" s="3"/>
      <c r="AH8964" s="3"/>
    </row>
    <row r="8965" spans="1:34" ht="14.25" customHeight="1" x14ac:dyDescent="0.25">
      <c r="A8965" s="3"/>
      <c r="B8965" s="3"/>
      <c r="C8965" s="3"/>
      <c r="D8965" s="3"/>
      <c r="E8965" s="3"/>
      <c r="F8965" s="3"/>
      <c r="G8965" s="3"/>
      <c r="H8965" s="11"/>
      <c r="I8965" s="12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  <c r="AA8965" s="3"/>
      <c r="AB8965" s="3"/>
      <c r="AC8965" s="3"/>
      <c r="AD8965" s="3"/>
      <c r="AE8965" s="3"/>
      <c r="AF8965" s="3"/>
      <c r="AG8965" s="3"/>
      <c r="AH8965" s="3"/>
    </row>
    <row r="8966" spans="1:34" ht="14.25" customHeight="1" x14ac:dyDescent="0.25">
      <c r="A8966" s="3"/>
      <c r="B8966" s="3"/>
      <c r="C8966" s="3"/>
      <c r="D8966" s="3"/>
      <c r="E8966" s="3"/>
      <c r="F8966" s="3"/>
      <c r="G8966" s="3"/>
      <c r="H8966" s="11"/>
      <c r="I8966" s="12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  <c r="AA8966" s="3"/>
      <c r="AB8966" s="3"/>
      <c r="AC8966" s="3"/>
      <c r="AD8966" s="3"/>
      <c r="AE8966" s="3"/>
      <c r="AF8966" s="3"/>
      <c r="AG8966" s="3"/>
      <c r="AH8966" s="3"/>
    </row>
    <row r="8967" spans="1:34" ht="14.25" customHeight="1" x14ac:dyDescent="0.25">
      <c r="A8967" s="3"/>
      <c r="B8967" s="3"/>
      <c r="C8967" s="3"/>
      <c r="D8967" s="3"/>
      <c r="E8967" s="3"/>
      <c r="F8967" s="3"/>
      <c r="G8967" s="3"/>
      <c r="H8967" s="11"/>
      <c r="I8967" s="12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  <c r="AA8967" s="3"/>
      <c r="AB8967" s="3"/>
      <c r="AC8967" s="3"/>
      <c r="AD8967" s="3"/>
      <c r="AE8967" s="3"/>
      <c r="AF8967" s="3"/>
      <c r="AG8967" s="3"/>
      <c r="AH8967" s="3"/>
    </row>
    <row r="8968" spans="1:34" ht="14.25" customHeight="1" x14ac:dyDescent="0.25">
      <c r="A8968" s="3"/>
      <c r="B8968" s="3"/>
      <c r="C8968" s="3"/>
      <c r="D8968" s="3"/>
      <c r="E8968" s="3"/>
      <c r="F8968" s="3"/>
      <c r="G8968" s="3"/>
      <c r="H8968" s="11"/>
      <c r="I8968" s="12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  <c r="AA8968" s="3"/>
      <c r="AB8968" s="3"/>
      <c r="AC8968" s="3"/>
      <c r="AD8968" s="3"/>
      <c r="AE8968" s="3"/>
      <c r="AF8968" s="3"/>
      <c r="AG8968" s="3"/>
      <c r="AH8968" s="3"/>
    </row>
    <row r="8969" spans="1:34" ht="14.25" customHeight="1" x14ac:dyDescent="0.25">
      <c r="A8969" s="3"/>
      <c r="B8969" s="3"/>
      <c r="C8969" s="3"/>
      <c r="D8969" s="3"/>
      <c r="E8969" s="3"/>
      <c r="F8969" s="3"/>
      <c r="G8969" s="3"/>
      <c r="H8969" s="11"/>
      <c r="I8969" s="12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  <c r="AA8969" s="3"/>
      <c r="AB8969" s="3"/>
      <c r="AC8969" s="3"/>
      <c r="AD8969" s="3"/>
      <c r="AE8969" s="3"/>
      <c r="AF8969" s="3"/>
      <c r="AG8969" s="3"/>
      <c r="AH8969" s="3"/>
    </row>
    <row r="8970" spans="1:34" ht="14.25" customHeight="1" x14ac:dyDescent="0.25">
      <c r="A8970" s="3"/>
      <c r="B8970" s="3"/>
      <c r="C8970" s="3"/>
      <c r="D8970" s="3"/>
      <c r="E8970" s="3"/>
      <c r="F8970" s="3"/>
      <c r="G8970" s="3"/>
      <c r="H8970" s="11"/>
      <c r="I8970" s="12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  <c r="AA8970" s="3"/>
      <c r="AB8970" s="3"/>
      <c r="AC8970" s="3"/>
      <c r="AD8970" s="3"/>
      <c r="AE8970" s="3"/>
      <c r="AF8970" s="3"/>
      <c r="AG8970" s="3"/>
      <c r="AH8970" s="3"/>
    </row>
    <row r="8971" spans="1:34" ht="14.25" customHeight="1" x14ac:dyDescent="0.25">
      <c r="A8971" s="3"/>
      <c r="B8971" s="3"/>
      <c r="C8971" s="3"/>
      <c r="D8971" s="3"/>
      <c r="E8971" s="3"/>
      <c r="F8971" s="3"/>
      <c r="G8971" s="3"/>
      <c r="H8971" s="11"/>
      <c r="I8971" s="12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  <c r="AA8971" s="3"/>
      <c r="AB8971" s="3"/>
      <c r="AC8971" s="3"/>
      <c r="AD8971" s="3"/>
      <c r="AE8971" s="3"/>
      <c r="AF8971" s="3"/>
      <c r="AG8971" s="3"/>
      <c r="AH8971" s="3"/>
    </row>
    <row r="8972" spans="1:34" ht="14.25" customHeight="1" x14ac:dyDescent="0.25">
      <c r="A8972" s="3"/>
      <c r="B8972" s="3"/>
      <c r="C8972" s="3"/>
      <c r="D8972" s="3"/>
      <c r="E8972" s="3"/>
      <c r="F8972" s="3"/>
      <c r="G8972" s="3"/>
      <c r="H8972" s="11"/>
      <c r="I8972" s="12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  <c r="AA8972" s="3"/>
      <c r="AB8972" s="3"/>
      <c r="AC8972" s="3"/>
      <c r="AD8972" s="3"/>
      <c r="AE8972" s="3"/>
      <c r="AF8972" s="3"/>
      <c r="AG8972" s="3"/>
      <c r="AH8972" s="3"/>
    </row>
    <row r="8973" spans="1:34" ht="14.25" customHeight="1" x14ac:dyDescent="0.25">
      <c r="A8973" s="3"/>
      <c r="B8973" s="3"/>
      <c r="C8973" s="3"/>
      <c r="D8973" s="3"/>
      <c r="E8973" s="3"/>
      <c r="F8973" s="3"/>
      <c r="G8973" s="3"/>
      <c r="H8973" s="11"/>
      <c r="I8973" s="12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  <c r="AA8973" s="3"/>
      <c r="AB8973" s="3"/>
      <c r="AC8973" s="3"/>
      <c r="AD8973" s="3"/>
      <c r="AE8973" s="3"/>
      <c r="AF8973" s="3"/>
      <c r="AG8973" s="3"/>
      <c r="AH8973" s="3"/>
    </row>
    <row r="8974" spans="1:34" ht="14.25" customHeight="1" x14ac:dyDescent="0.25">
      <c r="A8974" s="3"/>
      <c r="B8974" s="3"/>
      <c r="C8974" s="3"/>
      <c r="D8974" s="3"/>
      <c r="E8974" s="3"/>
      <c r="F8974" s="3"/>
      <c r="G8974" s="3"/>
      <c r="H8974" s="11"/>
      <c r="I8974" s="12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  <c r="AA8974" s="3"/>
      <c r="AB8974" s="3"/>
      <c r="AC8974" s="3"/>
      <c r="AD8974" s="3"/>
      <c r="AE8974" s="3"/>
      <c r="AF8974" s="3"/>
      <c r="AG8974" s="3"/>
      <c r="AH8974" s="3"/>
    </row>
    <row r="8975" spans="1:34" ht="14.25" customHeight="1" x14ac:dyDescent="0.25">
      <c r="A8975" s="3"/>
      <c r="B8975" s="3"/>
      <c r="C8975" s="3"/>
      <c r="D8975" s="3"/>
      <c r="E8975" s="3"/>
      <c r="F8975" s="3"/>
      <c r="G8975" s="3"/>
      <c r="H8975" s="11"/>
      <c r="I8975" s="12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  <c r="AA8975" s="3"/>
      <c r="AB8975" s="3"/>
      <c r="AC8975" s="3"/>
      <c r="AD8975" s="3"/>
      <c r="AE8975" s="3"/>
      <c r="AF8975" s="3"/>
      <c r="AG8975" s="3"/>
      <c r="AH8975" s="3"/>
    </row>
    <row r="8976" spans="1:34" ht="14.25" customHeight="1" x14ac:dyDescent="0.25">
      <c r="A8976" s="3"/>
      <c r="B8976" s="3"/>
      <c r="C8976" s="3"/>
      <c r="D8976" s="3"/>
      <c r="E8976" s="3"/>
      <c r="F8976" s="3"/>
      <c r="G8976" s="3"/>
      <c r="H8976" s="11"/>
      <c r="I8976" s="12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  <c r="AA8976" s="3"/>
      <c r="AB8976" s="3"/>
      <c r="AC8976" s="3"/>
      <c r="AD8976" s="3"/>
      <c r="AE8976" s="3"/>
      <c r="AF8976" s="3"/>
      <c r="AG8976" s="3"/>
      <c r="AH8976" s="3"/>
    </row>
    <row r="8977" spans="1:34" ht="14.25" customHeight="1" x14ac:dyDescent="0.25">
      <c r="A8977" s="3"/>
      <c r="B8977" s="3"/>
      <c r="C8977" s="3"/>
      <c r="D8977" s="3"/>
      <c r="E8977" s="3"/>
      <c r="F8977" s="3"/>
      <c r="G8977" s="3"/>
      <c r="H8977" s="11"/>
      <c r="I8977" s="12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  <c r="AA8977" s="3"/>
      <c r="AB8977" s="3"/>
      <c r="AC8977" s="3"/>
      <c r="AD8977" s="3"/>
      <c r="AE8977" s="3"/>
      <c r="AF8977" s="3"/>
      <c r="AG8977" s="3"/>
      <c r="AH8977" s="3"/>
    </row>
    <row r="8978" spans="1:34" ht="14.25" customHeight="1" x14ac:dyDescent="0.25">
      <c r="A8978" s="3"/>
      <c r="B8978" s="3"/>
      <c r="C8978" s="3"/>
      <c r="D8978" s="3"/>
      <c r="E8978" s="3"/>
      <c r="F8978" s="3"/>
      <c r="G8978" s="3"/>
      <c r="H8978" s="11"/>
      <c r="I8978" s="12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  <c r="AA8978" s="3"/>
      <c r="AB8978" s="3"/>
      <c r="AC8978" s="3"/>
      <c r="AD8978" s="3"/>
      <c r="AE8978" s="3"/>
      <c r="AF8978" s="3"/>
      <c r="AG8978" s="3"/>
      <c r="AH8978" s="3"/>
    </row>
    <row r="8979" spans="1:34" ht="14.25" customHeight="1" x14ac:dyDescent="0.25">
      <c r="A8979" s="3"/>
      <c r="B8979" s="3"/>
      <c r="C8979" s="3"/>
      <c r="D8979" s="3"/>
      <c r="E8979" s="3"/>
      <c r="F8979" s="3"/>
      <c r="G8979" s="3"/>
      <c r="H8979" s="11"/>
      <c r="I8979" s="12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  <c r="AA8979" s="3"/>
      <c r="AB8979" s="3"/>
      <c r="AC8979" s="3"/>
      <c r="AD8979" s="3"/>
      <c r="AE8979" s="3"/>
      <c r="AF8979" s="3"/>
      <c r="AG8979" s="3"/>
      <c r="AH8979" s="3"/>
    </row>
    <row r="8980" spans="1:34" ht="14.25" customHeight="1" x14ac:dyDescent="0.25">
      <c r="A8980" s="3"/>
      <c r="B8980" s="3"/>
      <c r="C8980" s="3"/>
      <c r="D8980" s="3"/>
      <c r="E8980" s="3"/>
      <c r="F8980" s="3"/>
      <c r="G8980" s="3"/>
      <c r="H8980" s="11"/>
      <c r="I8980" s="12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  <c r="AA8980" s="3"/>
      <c r="AB8980" s="3"/>
      <c r="AC8980" s="3"/>
      <c r="AD8980" s="3"/>
      <c r="AE8980" s="3"/>
      <c r="AF8980" s="3"/>
      <c r="AG8980" s="3"/>
      <c r="AH8980" s="3"/>
    </row>
    <row r="8981" spans="1:34" ht="14.25" customHeight="1" x14ac:dyDescent="0.25">
      <c r="A8981" s="3"/>
      <c r="B8981" s="3"/>
      <c r="C8981" s="3"/>
      <c r="D8981" s="3"/>
      <c r="E8981" s="3"/>
      <c r="F8981" s="3"/>
      <c r="G8981" s="3"/>
      <c r="H8981" s="11"/>
      <c r="I8981" s="12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  <c r="AA8981" s="3"/>
      <c r="AB8981" s="3"/>
      <c r="AC8981" s="3"/>
      <c r="AD8981" s="3"/>
      <c r="AE8981" s="3"/>
      <c r="AF8981" s="3"/>
      <c r="AG8981" s="3"/>
      <c r="AH8981" s="3"/>
    </row>
    <row r="8982" spans="1:34" ht="14.25" customHeight="1" x14ac:dyDescent="0.25">
      <c r="A8982" s="3"/>
      <c r="B8982" s="3"/>
      <c r="C8982" s="3"/>
      <c r="D8982" s="3"/>
      <c r="E8982" s="3"/>
      <c r="F8982" s="3"/>
      <c r="G8982" s="3"/>
      <c r="H8982" s="11"/>
      <c r="I8982" s="12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  <c r="AA8982" s="3"/>
      <c r="AB8982" s="3"/>
      <c r="AC8982" s="3"/>
      <c r="AD8982" s="3"/>
      <c r="AE8982" s="3"/>
      <c r="AF8982" s="3"/>
      <c r="AG8982" s="3"/>
      <c r="AH8982" s="3"/>
    </row>
    <row r="8983" spans="1:34" ht="14.25" customHeight="1" x14ac:dyDescent="0.25">
      <c r="A8983" s="3"/>
      <c r="B8983" s="3"/>
      <c r="C8983" s="3"/>
      <c r="D8983" s="3"/>
      <c r="E8983" s="3"/>
      <c r="F8983" s="3"/>
      <c r="G8983" s="3"/>
      <c r="H8983" s="11"/>
      <c r="I8983" s="12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  <c r="AA8983" s="3"/>
      <c r="AB8983" s="3"/>
      <c r="AC8983" s="3"/>
      <c r="AD8983" s="3"/>
      <c r="AE8983" s="3"/>
      <c r="AF8983" s="3"/>
      <c r="AG8983" s="3"/>
      <c r="AH8983" s="3"/>
    </row>
    <row r="8984" spans="1:34" ht="14.25" customHeight="1" x14ac:dyDescent="0.25">
      <c r="A8984" s="3"/>
      <c r="B8984" s="3"/>
      <c r="C8984" s="3"/>
      <c r="D8984" s="3"/>
      <c r="E8984" s="3"/>
      <c r="F8984" s="3"/>
      <c r="G8984" s="3"/>
      <c r="H8984" s="11"/>
      <c r="I8984" s="12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  <c r="AA8984" s="3"/>
      <c r="AB8984" s="3"/>
      <c r="AC8984" s="3"/>
      <c r="AD8984" s="3"/>
      <c r="AE8984" s="3"/>
      <c r="AF8984" s="3"/>
      <c r="AG8984" s="3"/>
      <c r="AH8984" s="3"/>
    </row>
    <row r="8985" spans="1:34" ht="14.25" customHeight="1" x14ac:dyDescent="0.25">
      <c r="A8985" s="3"/>
      <c r="B8985" s="3"/>
      <c r="C8985" s="3"/>
      <c r="D8985" s="3"/>
      <c r="E8985" s="3"/>
      <c r="F8985" s="3"/>
      <c r="G8985" s="3"/>
      <c r="H8985" s="11"/>
      <c r="I8985" s="12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  <c r="AA8985" s="3"/>
      <c r="AB8985" s="3"/>
      <c r="AC8985" s="3"/>
      <c r="AD8985" s="3"/>
      <c r="AE8985" s="3"/>
      <c r="AF8985" s="3"/>
      <c r="AG8985" s="3"/>
      <c r="AH8985" s="3"/>
    </row>
    <row r="8986" spans="1:34" ht="14.25" customHeight="1" x14ac:dyDescent="0.25">
      <c r="A8986" s="3"/>
      <c r="B8986" s="3"/>
      <c r="C8986" s="3"/>
      <c r="D8986" s="3"/>
      <c r="E8986" s="3"/>
      <c r="F8986" s="3"/>
      <c r="G8986" s="3"/>
      <c r="H8986" s="11"/>
      <c r="I8986" s="12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  <c r="AA8986" s="3"/>
      <c r="AB8986" s="3"/>
      <c r="AC8986" s="3"/>
      <c r="AD8986" s="3"/>
      <c r="AE8986" s="3"/>
      <c r="AF8986" s="3"/>
      <c r="AG8986" s="3"/>
      <c r="AH8986" s="3"/>
    </row>
    <row r="8987" spans="1:34" ht="14.25" customHeight="1" x14ac:dyDescent="0.25">
      <c r="A8987" s="3"/>
      <c r="B8987" s="3"/>
      <c r="C8987" s="3"/>
      <c r="D8987" s="3"/>
      <c r="E8987" s="3"/>
      <c r="F8987" s="3"/>
      <c r="G8987" s="3"/>
      <c r="H8987" s="11"/>
      <c r="I8987" s="12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  <c r="AA8987" s="3"/>
      <c r="AB8987" s="3"/>
      <c r="AC8987" s="3"/>
      <c r="AD8987" s="3"/>
      <c r="AE8987" s="3"/>
      <c r="AF8987" s="3"/>
      <c r="AG8987" s="3"/>
      <c r="AH8987" s="3"/>
    </row>
    <row r="8988" spans="1:34" ht="14.25" customHeight="1" x14ac:dyDescent="0.25">
      <c r="A8988" s="3"/>
      <c r="B8988" s="3"/>
      <c r="C8988" s="3"/>
      <c r="D8988" s="3"/>
      <c r="E8988" s="3"/>
      <c r="F8988" s="3"/>
      <c r="G8988" s="3"/>
      <c r="H8988" s="11"/>
      <c r="I8988" s="12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  <c r="AA8988" s="3"/>
      <c r="AB8988" s="3"/>
      <c r="AC8988" s="3"/>
      <c r="AD8988" s="3"/>
      <c r="AE8988" s="3"/>
      <c r="AF8988" s="3"/>
      <c r="AG8988" s="3"/>
      <c r="AH8988" s="3"/>
    </row>
    <row r="8989" spans="1:34" ht="14.25" customHeight="1" x14ac:dyDescent="0.25">
      <c r="A8989" s="3"/>
      <c r="B8989" s="3"/>
      <c r="C8989" s="3"/>
      <c r="D8989" s="3"/>
      <c r="E8989" s="3"/>
      <c r="F8989" s="3"/>
      <c r="G8989" s="3"/>
      <c r="H8989" s="11"/>
      <c r="I8989" s="12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  <c r="AA8989" s="3"/>
      <c r="AB8989" s="3"/>
      <c r="AC8989" s="3"/>
      <c r="AD8989" s="3"/>
      <c r="AE8989" s="3"/>
      <c r="AF8989" s="3"/>
      <c r="AG8989" s="3"/>
      <c r="AH8989" s="3"/>
    </row>
    <row r="8990" spans="1:34" ht="14.25" customHeight="1" x14ac:dyDescent="0.25">
      <c r="A8990" s="3"/>
      <c r="B8990" s="3"/>
      <c r="C8990" s="3"/>
      <c r="D8990" s="3"/>
      <c r="E8990" s="3"/>
      <c r="F8990" s="3"/>
      <c r="G8990" s="3"/>
      <c r="H8990" s="11"/>
      <c r="I8990" s="12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  <c r="AA8990" s="3"/>
      <c r="AB8990" s="3"/>
      <c r="AC8990" s="3"/>
      <c r="AD8990" s="3"/>
      <c r="AE8990" s="3"/>
      <c r="AF8990" s="3"/>
      <c r="AG8990" s="3"/>
      <c r="AH8990" s="3"/>
    </row>
    <row r="8991" spans="1:34" ht="14.25" customHeight="1" x14ac:dyDescent="0.25">
      <c r="A8991" s="3"/>
      <c r="B8991" s="3"/>
      <c r="C8991" s="3"/>
      <c r="D8991" s="3"/>
      <c r="E8991" s="3"/>
      <c r="F8991" s="3"/>
      <c r="G8991" s="3"/>
      <c r="H8991" s="11"/>
      <c r="I8991" s="12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  <c r="AA8991" s="3"/>
      <c r="AB8991" s="3"/>
      <c r="AC8991" s="3"/>
      <c r="AD8991" s="3"/>
      <c r="AE8991" s="3"/>
      <c r="AF8991" s="3"/>
      <c r="AG8991" s="3"/>
      <c r="AH8991" s="3"/>
    </row>
    <row r="8992" spans="1:34" ht="14.25" customHeight="1" x14ac:dyDescent="0.25">
      <c r="A8992" s="3"/>
      <c r="B8992" s="3"/>
      <c r="C8992" s="3"/>
      <c r="D8992" s="3"/>
      <c r="E8992" s="3"/>
      <c r="F8992" s="3"/>
      <c r="G8992" s="3"/>
      <c r="H8992" s="11"/>
      <c r="I8992" s="12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  <c r="AA8992" s="3"/>
      <c r="AB8992" s="3"/>
      <c r="AC8992" s="3"/>
      <c r="AD8992" s="3"/>
      <c r="AE8992" s="3"/>
      <c r="AF8992" s="3"/>
      <c r="AG8992" s="3"/>
      <c r="AH8992" s="3"/>
    </row>
    <row r="8993" spans="1:34" ht="14.25" customHeight="1" x14ac:dyDescent="0.25">
      <c r="A8993" s="3"/>
      <c r="B8993" s="3"/>
      <c r="C8993" s="3"/>
      <c r="D8993" s="3"/>
      <c r="E8993" s="3"/>
      <c r="F8993" s="3"/>
      <c r="G8993" s="3"/>
      <c r="H8993" s="11"/>
      <c r="I8993" s="12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  <c r="AA8993" s="3"/>
      <c r="AB8993" s="3"/>
      <c r="AC8993" s="3"/>
      <c r="AD8993" s="3"/>
      <c r="AE8993" s="3"/>
      <c r="AF8993" s="3"/>
      <c r="AG8993" s="3"/>
      <c r="AH8993" s="3"/>
    </row>
    <row r="8994" spans="1:34" ht="14.25" customHeight="1" x14ac:dyDescent="0.25">
      <c r="A8994" s="3"/>
      <c r="B8994" s="3"/>
      <c r="C8994" s="3"/>
      <c r="D8994" s="3"/>
      <c r="E8994" s="3"/>
      <c r="F8994" s="3"/>
      <c r="G8994" s="3"/>
      <c r="H8994" s="11"/>
      <c r="I8994" s="12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  <c r="AA8994" s="3"/>
      <c r="AB8994" s="3"/>
      <c r="AC8994" s="3"/>
      <c r="AD8994" s="3"/>
      <c r="AE8994" s="3"/>
      <c r="AF8994" s="3"/>
      <c r="AG8994" s="3"/>
      <c r="AH8994" s="3"/>
    </row>
    <row r="8995" spans="1:34" ht="14.25" customHeight="1" x14ac:dyDescent="0.25">
      <c r="A8995" s="3"/>
      <c r="B8995" s="3"/>
      <c r="C8995" s="3"/>
      <c r="D8995" s="3"/>
      <c r="E8995" s="3"/>
      <c r="F8995" s="3"/>
      <c r="G8995" s="3"/>
      <c r="H8995" s="11"/>
      <c r="I8995" s="12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  <c r="AA8995" s="3"/>
      <c r="AB8995" s="3"/>
      <c r="AC8995" s="3"/>
      <c r="AD8995" s="3"/>
      <c r="AE8995" s="3"/>
      <c r="AF8995" s="3"/>
      <c r="AG8995" s="3"/>
      <c r="AH8995" s="3"/>
    </row>
    <row r="8996" spans="1:34" ht="14.25" customHeight="1" x14ac:dyDescent="0.25">
      <c r="A8996" s="3"/>
      <c r="B8996" s="3"/>
      <c r="C8996" s="3"/>
      <c r="D8996" s="3"/>
      <c r="E8996" s="3"/>
      <c r="F8996" s="3"/>
      <c r="G8996" s="3"/>
      <c r="H8996" s="11"/>
      <c r="I8996" s="12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  <c r="AA8996" s="3"/>
      <c r="AB8996" s="3"/>
      <c r="AC8996" s="3"/>
      <c r="AD8996" s="3"/>
      <c r="AE8996" s="3"/>
      <c r="AF8996" s="3"/>
      <c r="AG8996" s="3"/>
      <c r="AH8996" s="3"/>
    </row>
    <row r="8997" spans="1:34" ht="14.25" customHeight="1" x14ac:dyDescent="0.25">
      <c r="A8997" s="3"/>
      <c r="B8997" s="3"/>
      <c r="C8997" s="3"/>
      <c r="D8997" s="3"/>
      <c r="E8997" s="3"/>
      <c r="F8997" s="3"/>
      <c r="G8997" s="3"/>
      <c r="H8997" s="11"/>
      <c r="I8997" s="12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  <c r="AA8997" s="3"/>
      <c r="AB8997" s="3"/>
      <c r="AC8997" s="3"/>
      <c r="AD8997" s="3"/>
      <c r="AE8997" s="3"/>
      <c r="AF8997" s="3"/>
      <c r="AG8997" s="3"/>
      <c r="AH8997" s="3"/>
    </row>
    <row r="8998" spans="1:34" ht="14.25" customHeight="1" x14ac:dyDescent="0.25">
      <c r="A8998" s="3"/>
      <c r="B8998" s="3"/>
      <c r="C8998" s="3"/>
      <c r="D8998" s="3"/>
      <c r="E8998" s="3"/>
      <c r="F8998" s="3"/>
      <c r="G8998" s="3"/>
      <c r="H8998" s="11"/>
      <c r="I8998" s="12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  <c r="AA8998" s="3"/>
      <c r="AB8998" s="3"/>
      <c r="AC8998" s="3"/>
      <c r="AD8998" s="3"/>
      <c r="AE8998" s="3"/>
      <c r="AF8998" s="3"/>
      <c r="AG8998" s="3"/>
      <c r="AH8998" s="3"/>
    </row>
    <row r="8999" spans="1:34" ht="14.25" customHeight="1" x14ac:dyDescent="0.25">
      <c r="A8999" s="3"/>
      <c r="B8999" s="3"/>
      <c r="C8999" s="3"/>
      <c r="D8999" s="3"/>
      <c r="E8999" s="3"/>
      <c r="F8999" s="3"/>
      <c r="G8999" s="3"/>
      <c r="H8999" s="11"/>
      <c r="I8999" s="12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  <c r="AA8999" s="3"/>
      <c r="AB8999" s="3"/>
      <c r="AC8999" s="3"/>
      <c r="AD8999" s="3"/>
      <c r="AE8999" s="3"/>
      <c r="AF8999" s="3"/>
      <c r="AG8999" s="3"/>
      <c r="AH8999" s="3"/>
    </row>
    <row r="9000" spans="1:34" ht="14.25" customHeight="1" x14ac:dyDescent="0.25">
      <c r="A9000" s="3"/>
      <c r="B9000" s="3"/>
      <c r="C9000" s="3"/>
      <c r="D9000" s="3"/>
      <c r="E9000" s="3"/>
      <c r="F9000" s="3"/>
      <c r="G9000" s="3"/>
      <c r="H9000" s="11"/>
      <c r="I9000" s="12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  <c r="AA9000" s="3"/>
      <c r="AB9000" s="3"/>
      <c r="AC9000" s="3"/>
      <c r="AD9000" s="3"/>
      <c r="AE9000" s="3"/>
      <c r="AF9000" s="3"/>
      <c r="AG9000" s="3"/>
      <c r="AH9000" s="3"/>
    </row>
    <row r="9001" spans="1:34" ht="14.25" customHeight="1" x14ac:dyDescent="0.25">
      <c r="A9001" s="3"/>
      <c r="B9001" s="3"/>
      <c r="C9001" s="3"/>
      <c r="D9001" s="3"/>
      <c r="E9001" s="3"/>
      <c r="F9001" s="3"/>
      <c r="G9001" s="3"/>
      <c r="H9001" s="11"/>
      <c r="I9001" s="12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  <c r="AA9001" s="3"/>
      <c r="AB9001" s="3"/>
      <c r="AC9001" s="3"/>
      <c r="AD9001" s="3"/>
      <c r="AE9001" s="3"/>
      <c r="AF9001" s="3"/>
      <c r="AG9001" s="3"/>
      <c r="AH9001" s="3"/>
    </row>
    <row r="9002" spans="1:34" ht="14.25" customHeight="1" x14ac:dyDescent="0.25">
      <c r="A9002" s="3"/>
      <c r="B9002" s="3"/>
      <c r="C9002" s="3"/>
      <c r="D9002" s="3"/>
      <c r="E9002" s="3"/>
      <c r="F9002" s="3"/>
      <c r="G9002" s="3"/>
      <c r="H9002" s="11"/>
      <c r="I9002" s="12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  <c r="AA9002" s="3"/>
      <c r="AB9002" s="3"/>
      <c r="AC9002" s="3"/>
      <c r="AD9002" s="3"/>
      <c r="AE9002" s="3"/>
      <c r="AF9002" s="3"/>
      <c r="AG9002" s="3"/>
      <c r="AH9002" s="3"/>
    </row>
    <row r="9003" spans="1:34" ht="14.25" customHeight="1" x14ac:dyDescent="0.25">
      <c r="A9003" s="3"/>
      <c r="B9003" s="3"/>
      <c r="C9003" s="3"/>
      <c r="D9003" s="3"/>
      <c r="E9003" s="3"/>
      <c r="F9003" s="3"/>
      <c r="G9003" s="3"/>
      <c r="H9003" s="11"/>
      <c r="I9003" s="12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  <c r="AA9003" s="3"/>
      <c r="AB9003" s="3"/>
      <c r="AC9003" s="3"/>
      <c r="AD9003" s="3"/>
      <c r="AE9003" s="3"/>
      <c r="AF9003" s="3"/>
      <c r="AG9003" s="3"/>
      <c r="AH9003" s="3"/>
    </row>
    <row r="9004" spans="1:34" ht="14.25" customHeight="1" x14ac:dyDescent="0.25">
      <c r="A9004" s="3"/>
      <c r="B9004" s="3"/>
      <c r="C9004" s="3"/>
      <c r="D9004" s="3"/>
      <c r="E9004" s="3"/>
      <c r="F9004" s="3"/>
      <c r="G9004" s="3"/>
      <c r="H9004" s="11"/>
      <c r="I9004" s="12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  <c r="AA9004" s="3"/>
      <c r="AB9004" s="3"/>
      <c r="AC9004" s="3"/>
      <c r="AD9004" s="3"/>
      <c r="AE9004" s="3"/>
      <c r="AF9004" s="3"/>
      <c r="AG9004" s="3"/>
      <c r="AH9004" s="3"/>
    </row>
    <row r="9005" spans="1:34" ht="14.25" customHeight="1" x14ac:dyDescent="0.25">
      <c r="A9005" s="3"/>
      <c r="B9005" s="3"/>
      <c r="C9005" s="3"/>
      <c r="D9005" s="3"/>
      <c r="E9005" s="3"/>
      <c r="F9005" s="3"/>
      <c r="G9005" s="3"/>
      <c r="H9005" s="11"/>
      <c r="I9005" s="12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  <c r="AA9005" s="3"/>
      <c r="AB9005" s="3"/>
      <c r="AC9005" s="3"/>
      <c r="AD9005" s="3"/>
      <c r="AE9005" s="3"/>
      <c r="AF9005" s="3"/>
      <c r="AG9005" s="3"/>
      <c r="AH9005" s="3"/>
    </row>
    <row r="9006" spans="1:34" ht="14.25" customHeight="1" x14ac:dyDescent="0.25">
      <c r="A9006" s="3"/>
      <c r="B9006" s="3"/>
      <c r="C9006" s="3"/>
      <c r="D9006" s="3"/>
      <c r="E9006" s="3"/>
      <c r="F9006" s="3"/>
      <c r="G9006" s="3"/>
      <c r="H9006" s="11"/>
      <c r="I9006" s="12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  <c r="AA9006" s="3"/>
      <c r="AB9006" s="3"/>
      <c r="AC9006" s="3"/>
      <c r="AD9006" s="3"/>
      <c r="AE9006" s="3"/>
      <c r="AF9006" s="3"/>
      <c r="AG9006" s="3"/>
      <c r="AH9006" s="3"/>
    </row>
    <row r="9007" spans="1:34" ht="14.25" customHeight="1" x14ac:dyDescent="0.25">
      <c r="A9007" s="3"/>
      <c r="B9007" s="3"/>
      <c r="C9007" s="3"/>
      <c r="D9007" s="3"/>
      <c r="E9007" s="3"/>
      <c r="F9007" s="3"/>
      <c r="G9007" s="3"/>
      <c r="H9007" s="11"/>
      <c r="I9007" s="12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  <c r="AA9007" s="3"/>
      <c r="AB9007" s="3"/>
      <c r="AC9007" s="3"/>
      <c r="AD9007" s="3"/>
      <c r="AE9007" s="3"/>
      <c r="AF9007" s="3"/>
      <c r="AG9007" s="3"/>
      <c r="AH9007" s="3"/>
    </row>
    <row r="9008" spans="1:34" ht="14.25" customHeight="1" x14ac:dyDescent="0.25">
      <c r="A9008" s="3"/>
      <c r="B9008" s="3"/>
      <c r="C9008" s="3"/>
      <c r="D9008" s="3"/>
      <c r="E9008" s="3"/>
      <c r="F9008" s="3"/>
      <c r="G9008" s="3"/>
      <c r="H9008" s="11"/>
      <c r="I9008" s="12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  <c r="AA9008" s="3"/>
      <c r="AB9008" s="3"/>
      <c r="AC9008" s="3"/>
      <c r="AD9008" s="3"/>
      <c r="AE9008" s="3"/>
      <c r="AF9008" s="3"/>
      <c r="AG9008" s="3"/>
      <c r="AH9008" s="3"/>
    </row>
    <row r="9009" spans="1:34" ht="14.25" customHeight="1" x14ac:dyDescent="0.25">
      <c r="A9009" s="3"/>
      <c r="B9009" s="3"/>
      <c r="C9009" s="3"/>
      <c r="D9009" s="3"/>
      <c r="E9009" s="3"/>
      <c r="F9009" s="3"/>
      <c r="G9009" s="3"/>
      <c r="H9009" s="11"/>
      <c r="I9009" s="12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  <c r="AA9009" s="3"/>
      <c r="AB9009" s="3"/>
      <c r="AC9009" s="3"/>
      <c r="AD9009" s="3"/>
      <c r="AE9009" s="3"/>
      <c r="AF9009" s="3"/>
      <c r="AG9009" s="3"/>
      <c r="AH9009" s="3"/>
    </row>
    <row r="9010" spans="1:34" ht="14.25" customHeight="1" x14ac:dyDescent="0.25">
      <c r="A9010" s="3"/>
      <c r="B9010" s="3"/>
      <c r="C9010" s="3"/>
      <c r="D9010" s="3"/>
      <c r="E9010" s="3"/>
      <c r="F9010" s="3"/>
      <c r="G9010" s="3"/>
      <c r="H9010" s="11"/>
      <c r="I9010" s="12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  <c r="AA9010" s="3"/>
      <c r="AB9010" s="3"/>
      <c r="AC9010" s="3"/>
      <c r="AD9010" s="3"/>
      <c r="AE9010" s="3"/>
      <c r="AF9010" s="3"/>
      <c r="AG9010" s="3"/>
      <c r="AH9010" s="3"/>
    </row>
    <row r="9011" spans="1:34" ht="14.25" customHeight="1" x14ac:dyDescent="0.25">
      <c r="A9011" s="3"/>
      <c r="B9011" s="3"/>
      <c r="C9011" s="3"/>
      <c r="D9011" s="3"/>
      <c r="E9011" s="3"/>
      <c r="F9011" s="3"/>
      <c r="G9011" s="3"/>
      <c r="H9011" s="11"/>
      <c r="I9011" s="12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  <c r="AA9011" s="3"/>
      <c r="AB9011" s="3"/>
      <c r="AC9011" s="3"/>
      <c r="AD9011" s="3"/>
      <c r="AE9011" s="3"/>
      <c r="AF9011" s="3"/>
      <c r="AG9011" s="3"/>
      <c r="AH9011" s="3"/>
    </row>
    <row r="9012" spans="1:34" ht="14.25" customHeight="1" x14ac:dyDescent="0.25">
      <c r="A9012" s="3"/>
      <c r="B9012" s="3"/>
      <c r="C9012" s="3"/>
      <c r="D9012" s="3"/>
      <c r="E9012" s="3"/>
      <c r="F9012" s="3"/>
      <c r="G9012" s="3"/>
      <c r="H9012" s="11"/>
      <c r="I9012" s="12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  <c r="AA9012" s="3"/>
      <c r="AB9012" s="3"/>
      <c r="AC9012" s="3"/>
      <c r="AD9012" s="3"/>
      <c r="AE9012" s="3"/>
      <c r="AF9012" s="3"/>
      <c r="AG9012" s="3"/>
      <c r="AH9012" s="3"/>
    </row>
    <row r="9013" spans="1:34" ht="14.25" customHeight="1" x14ac:dyDescent="0.25">
      <c r="A9013" s="3"/>
      <c r="B9013" s="3"/>
      <c r="C9013" s="3"/>
      <c r="D9013" s="3"/>
      <c r="E9013" s="3"/>
      <c r="F9013" s="3"/>
      <c r="G9013" s="3"/>
      <c r="H9013" s="11"/>
      <c r="I9013" s="12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  <c r="AA9013" s="3"/>
      <c r="AB9013" s="3"/>
      <c r="AC9013" s="3"/>
      <c r="AD9013" s="3"/>
      <c r="AE9013" s="3"/>
      <c r="AF9013" s="3"/>
      <c r="AG9013" s="3"/>
      <c r="AH9013" s="3"/>
    </row>
    <row r="9014" spans="1:34" ht="14.25" customHeight="1" x14ac:dyDescent="0.25">
      <c r="A9014" s="3"/>
      <c r="B9014" s="3"/>
      <c r="C9014" s="3"/>
      <c r="D9014" s="3"/>
      <c r="E9014" s="3"/>
      <c r="F9014" s="3"/>
      <c r="G9014" s="3"/>
      <c r="H9014" s="11"/>
      <c r="I9014" s="12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  <c r="AA9014" s="3"/>
      <c r="AB9014" s="3"/>
      <c r="AC9014" s="3"/>
      <c r="AD9014" s="3"/>
      <c r="AE9014" s="3"/>
      <c r="AF9014" s="3"/>
      <c r="AG9014" s="3"/>
      <c r="AH9014" s="3"/>
    </row>
    <row r="9015" spans="1:34" ht="14.25" customHeight="1" x14ac:dyDescent="0.25">
      <c r="A9015" s="3"/>
      <c r="B9015" s="3"/>
      <c r="C9015" s="3"/>
      <c r="D9015" s="3"/>
      <c r="E9015" s="3"/>
      <c r="F9015" s="3"/>
      <c r="G9015" s="3"/>
      <c r="H9015" s="11"/>
      <c r="I9015" s="12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  <c r="AA9015" s="3"/>
      <c r="AB9015" s="3"/>
      <c r="AC9015" s="3"/>
      <c r="AD9015" s="3"/>
      <c r="AE9015" s="3"/>
      <c r="AF9015" s="3"/>
      <c r="AG9015" s="3"/>
      <c r="AH9015" s="3"/>
    </row>
    <row r="9016" spans="1:34" ht="14.25" customHeight="1" x14ac:dyDescent="0.25">
      <c r="A9016" s="3"/>
      <c r="B9016" s="3"/>
      <c r="C9016" s="3"/>
      <c r="D9016" s="3"/>
      <c r="E9016" s="3"/>
      <c r="F9016" s="3"/>
      <c r="G9016" s="3"/>
      <c r="H9016" s="11"/>
      <c r="I9016" s="12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  <c r="AA9016" s="3"/>
      <c r="AB9016" s="3"/>
      <c r="AC9016" s="3"/>
      <c r="AD9016" s="3"/>
      <c r="AE9016" s="3"/>
      <c r="AF9016" s="3"/>
      <c r="AG9016" s="3"/>
      <c r="AH9016" s="3"/>
    </row>
    <row r="9017" spans="1:34" ht="14.25" customHeight="1" x14ac:dyDescent="0.25">
      <c r="A9017" s="3"/>
      <c r="B9017" s="3"/>
      <c r="C9017" s="3"/>
      <c r="D9017" s="3"/>
      <c r="E9017" s="3"/>
      <c r="F9017" s="3"/>
      <c r="G9017" s="3"/>
      <c r="H9017" s="11"/>
      <c r="I9017" s="12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  <c r="AA9017" s="3"/>
      <c r="AB9017" s="3"/>
      <c r="AC9017" s="3"/>
      <c r="AD9017" s="3"/>
      <c r="AE9017" s="3"/>
      <c r="AF9017" s="3"/>
      <c r="AG9017" s="3"/>
      <c r="AH9017" s="3"/>
    </row>
    <row r="9018" spans="1:34" ht="14.25" customHeight="1" x14ac:dyDescent="0.25">
      <c r="A9018" s="3"/>
      <c r="B9018" s="3"/>
      <c r="C9018" s="3"/>
      <c r="D9018" s="3"/>
      <c r="E9018" s="3"/>
      <c r="F9018" s="3"/>
      <c r="G9018" s="3"/>
      <c r="H9018" s="11"/>
      <c r="I9018" s="12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  <c r="AA9018" s="3"/>
      <c r="AB9018" s="3"/>
      <c r="AC9018" s="3"/>
      <c r="AD9018" s="3"/>
      <c r="AE9018" s="3"/>
      <c r="AF9018" s="3"/>
      <c r="AG9018" s="3"/>
      <c r="AH9018" s="3"/>
    </row>
    <row r="9019" spans="1:34" ht="14.25" customHeight="1" x14ac:dyDescent="0.25">
      <c r="A9019" s="3"/>
      <c r="B9019" s="3"/>
      <c r="C9019" s="3"/>
      <c r="D9019" s="3"/>
      <c r="E9019" s="3"/>
      <c r="F9019" s="3"/>
      <c r="G9019" s="3"/>
      <c r="H9019" s="11"/>
      <c r="I9019" s="12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  <c r="AA9019" s="3"/>
      <c r="AB9019" s="3"/>
      <c r="AC9019" s="3"/>
      <c r="AD9019" s="3"/>
      <c r="AE9019" s="3"/>
      <c r="AF9019" s="3"/>
      <c r="AG9019" s="3"/>
      <c r="AH9019" s="3"/>
    </row>
    <row r="9020" spans="1:34" ht="14.25" customHeight="1" x14ac:dyDescent="0.25">
      <c r="A9020" s="3"/>
      <c r="B9020" s="3"/>
      <c r="C9020" s="3"/>
      <c r="D9020" s="3"/>
      <c r="E9020" s="3"/>
      <c r="F9020" s="3"/>
      <c r="G9020" s="3"/>
      <c r="H9020" s="11"/>
      <c r="I9020" s="12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  <c r="AA9020" s="3"/>
      <c r="AB9020" s="3"/>
      <c r="AC9020" s="3"/>
      <c r="AD9020" s="3"/>
      <c r="AE9020" s="3"/>
      <c r="AF9020" s="3"/>
      <c r="AG9020" s="3"/>
      <c r="AH9020" s="3"/>
    </row>
    <row r="9021" spans="1:34" ht="14.25" customHeight="1" x14ac:dyDescent="0.25">
      <c r="A9021" s="3"/>
      <c r="B9021" s="3"/>
      <c r="C9021" s="3"/>
      <c r="D9021" s="3"/>
      <c r="E9021" s="3"/>
      <c r="F9021" s="3"/>
      <c r="G9021" s="3"/>
      <c r="H9021" s="11"/>
      <c r="I9021" s="12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  <c r="AA9021" s="3"/>
      <c r="AB9021" s="3"/>
      <c r="AC9021" s="3"/>
      <c r="AD9021" s="3"/>
      <c r="AE9021" s="3"/>
      <c r="AF9021" s="3"/>
      <c r="AG9021" s="3"/>
      <c r="AH9021" s="3"/>
    </row>
    <row r="9022" spans="1:34" ht="14.25" customHeight="1" x14ac:dyDescent="0.25">
      <c r="A9022" s="3"/>
      <c r="B9022" s="3"/>
      <c r="C9022" s="3"/>
      <c r="D9022" s="3"/>
      <c r="E9022" s="3"/>
      <c r="F9022" s="3"/>
      <c r="G9022" s="3"/>
      <c r="H9022" s="11"/>
      <c r="I9022" s="12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  <c r="AA9022" s="3"/>
      <c r="AB9022" s="3"/>
      <c r="AC9022" s="3"/>
      <c r="AD9022" s="3"/>
      <c r="AE9022" s="3"/>
      <c r="AF9022" s="3"/>
      <c r="AG9022" s="3"/>
      <c r="AH9022" s="3"/>
    </row>
    <row r="9023" spans="1:34" ht="14.25" customHeight="1" x14ac:dyDescent="0.25">
      <c r="A9023" s="3"/>
      <c r="B9023" s="3"/>
      <c r="C9023" s="3"/>
      <c r="D9023" s="3"/>
      <c r="E9023" s="3"/>
      <c r="F9023" s="3"/>
      <c r="G9023" s="3"/>
      <c r="H9023" s="11"/>
      <c r="I9023" s="12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  <c r="AA9023" s="3"/>
      <c r="AB9023" s="3"/>
      <c r="AC9023" s="3"/>
      <c r="AD9023" s="3"/>
      <c r="AE9023" s="3"/>
      <c r="AF9023" s="3"/>
      <c r="AG9023" s="3"/>
      <c r="AH9023" s="3"/>
    </row>
    <row r="9024" spans="1:34" ht="14.25" customHeight="1" x14ac:dyDescent="0.25">
      <c r="A9024" s="3"/>
      <c r="B9024" s="3"/>
      <c r="C9024" s="3"/>
      <c r="D9024" s="3"/>
      <c r="E9024" s="3"/>
      <c r="F9024" s="3"/>
      <c r="G9024" s="3"/>
      <c r="H9024" s="11"/>
      <c r="I9024" s="12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  <c r="AA9024" s="3"/>
      <c r="AB9024" s="3"/>
      <c r="AC9024" s="3"/>
      <c r="AD9024" s="3"/>
      <c r="AE9024" s="3"/>
      <c r="AF9024" s="3"/>
      <c r="AG9024" s="3"/>
      <c r="AH9024" s="3"/>
    </row>
    <row r="9025" spans="1:34" ht="14.25" customHeight="1" x14ac:dyDescent="0.25">
      <c r="A9025" s="3"/>
      <c r="B9025" s="3"/>
      <c r="C9025" s="3"/>
      <c r="D9025" s="3"/>
      <c r="E9025" s="3"/>
      <c r="F9025" s="3"/>
      <c r="G9025" s="3"/>
      <c r="H9025" s="11"/>
      <c r="I9025" s="12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  <c r="AA9025" s="3"/>
      <c r="AB9025" s="3"/>
      <c r="AC9025" s="3"/>
      <c r="AD9025" s="3"/>
      <c r="AE9025" s="3"/>
      <c r="AF9025" s="3"/>
      <c r="AG9025" s="3"/>
      <c r="AH9025" s="3"/>
    </row>
    <row r="9026" spans="1:34" ht="14.25" customHeight="1" x14ac:dyDescent="0.25">
      <c r="A9026" s="3"/>
      <c r="B9026" s="3"/>
      <c r="C9026" s="3"/>
      <c r="D9026" s="3"/>
      <c r="E9026" s="3"/>
      <c r="F9026" s="3"/>
      <c r="G9026" s="3"/>
      <c r="H9026" s="11"/>
      <c r="I9026" s="12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  <c r="AA9026" s="3"/>
      <c r="AB9026" s="3"/>
      <c r="AC9026" s="3"/>
      <c r="AD9026" s="3"/>
      <c r="AE9026" s="3"/>
      <c r="AF9026" s="3"/>
      <c r="AG9026" s="3"/>
      <c r="AH9026" s="3"/>
    </row>
    <row r="9027" spans="1:34" ht="14.25" customHeight="1" x14ac:dyDescent="0.25">
      <c r="A9027" s="3"/>
      <c r="B9027" s="3"/>
      <c r="C9027" s="3"/>
      <c r="D9027" s="3"/>
      <c r="E9027" s="3"/>
      <c r="F9027" s="3"/>
      <c r="G9027" s="3"/>
      <c r="H9027" s="11"/>
      <c r="I9027" s="12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  <c r="AA9027" s="3"/>
      <c r="AB9027" s="3"/>
      <c r="AC9027" s="3"/>
      <c r="AD9027" s="3"/>
      <c r="AE9027" s="3"/>
      <c r="AF9027" s="3"/>
      <c r="AG9027" s="3"/>
      <c r="AH9027" s="3"/>
    </row>
    <row r="9028" spans="1:34" ht="14.25" customHeight="1" x14ac:dyDescent="0.25">
      <c r="A9028" s="3"/>
      <c r="B9028" s="3"/>
      <c r="C9028" s="3"/>
      <c r="D9028" s="3"/>
      <c r="E9028" s="3"/>
      <c r="F9028" s="3"/>
      <c r="G9028" s="3"/>
      <c r="H9028" s="11"/>
      <c r="I9028" s="12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  <c r="AA9028" s="3"/>
      <c r="AB9028" s="3"/>
      <c r="AC9028" s="3"/>
      <c r="AD9028" s="3"/>
      <c r="AE9028" s="3"/>
      <c r="AF9028" s="3"/>
      <c r="AG9028" s="3"/>
      <c r="AH9028" s="3"/>
    </row>
    <row r="9029" spans="1:34" ht="14.25" customHeight="1" x14ac:dyDescent="0.25">
      <c r="A9029" s="3"/>
      <c r="B9029" s="3"/>
      <c r="C9029" s="3"/>
      <c r="D9029" s="3"/>
      <c r="E9029" s="3"/>
      <c r="F9029" s="3"/>
      <c r="G9029" s="3"/>
      <c r="H9029" s="11"/>
      <c r="I9029" s="12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  <c r="AA9029" s="3"/>
      <c r="AB9029" s="3"/>
      <c r="AC9029" s="3"/>
      <c r="AD9029" s="3"/>
      <c r="AE9029" s="3"/>
      <c r="AF9029" s="3"/>
      <c r="AG9029" s="3"/>
      <c r="AH9029" s="3"/>
    </row>
    <row r="9030" spans="1:34" ht="14.25" customHeight="1" x14ac:dyDescent="0.25">
      <c r="A9030" s="3"/>
      <c r="B9030" s="3"/>
      <c r="C9030" s="3"/>
      <c r="D9030" s="3"/>
      <c r="E9030" s="3"/>
      <c r="F9030" s="3"/>
      <c r="G9030" s="3"/>
      <c r="H9030" s="11"/>
      <c r="I9030" s="12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  <c r="AA9030" s="3"/>
      <c r="AB9030" s="3"/>
      <c r="AC9030" s="3"/>
      <c r="AD9030" s="3"/>
      <c r="AE9030" s="3"/>
      <c r="AF9030" s="3"/>
      <c r="AG9030" s="3"/>
      <c r="AH9030" s="3"/>
    </row>
    <row r="9031" spans="1:34" ht="14.25" customHeight="1" x14ac:dyDescent="0.25">
      <c r="A9031" s="3"/>
      <c r="B9031" s="3"/>
      <c r="C9031" s="3"/>
      <c r="D9031" s="3"/>
      <c r="E9031" s="3"/>
      <c r="F9031" s="3"/>
      <c r="G9031" s="3"/>
      <c r="H9031" s="11"/>
      <c r="I9031" s="12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  <c r="AA9031" s="3"/>
      <c r="AB9031" s="3"/>
      <c r="AC9031" s="3"/>
      <c r="AD9031" s="3"/>
      <c r="AE9031" s="3"/>
      <c r="AF9031" s="3"/>
      <c r="AG9031" s="3"/>
      <c r="AH9031" s="3"/>
    </row>
    <row r="9032" spans="1:34" ht="14.25" customHeight="1" x14ac:dyDescent="0.25">
      <c r="A9032" s="3"/>
      <c r="B9032" s="3"/>
      <c r="C9032" s="3"/>
      <c r="D9032" s="3"/>
      <c r="E9032" s="3"/>
      <c r="F9032" s="3"/>
      <c r="G9032" s="3"/>
      <c r="H9032" s="11"/>
      <c r="I9032" s="12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  <c r="AA9032" s="3"/>
      <c r="AB9032" s="3"/>
      <c r="AC9032" s="3"/>
      <c r="AD9032" s="3"/>
      <c r="AE9032" s="3"/>
      <c r="AF9032" s="3"/>
      <c r="AG9032" s="3"/>
      <c r="AH9032" s="3"/>
    </row>
    <row r="9033" spans="1:34" ht="14.25" customHeight="1" x14ac:dyDescent="0.25">
      <c r="A9033" s="3"/>
      <c r="B9033" s="3"/>
      <c r="C9033" s="3"/>
      <c r="D9033" s="3"/>
      <c r="E9033" s="3"/>
      <c r="F9033" s="3"/>
      <c r="G9033" s="3"/>
      <c r="H9033" s="11"/>
      <c r="I9033" s="12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  <c r="AA9033" s="3"/>
      <c r="AB9033" s="3"/>
      <c r="AC9033" s="3"/>
      <c r="AD9033" s="3"/>
      <c r="AE9033" s="3"/>
      <c r="AF9033" s="3"/>
      <c r="AG9033" s="3"/>
      <c r="AH9033" s="3"/>
    </row>
    <row r="9034" spans="1:34" ht="14.25" customHeight="1" x14ac:dyDescent="0.25">
      <c r="A9034" s="3"/>
      <c r="B9034" s="3"/>
      <c r="C9034" s="3"/>
      <c r="D9034" s="3"/>
      <c r="E9034" s="3"/>
      <c r="F9034" s="3"/>
      <c r="G9034" s="3"/>
      <c r="H9034" s="11"/>
      <c r="I9034" s="12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  <c r="AA9034" s="3"/>
      <c r="AB9034" s="3"/>
      <c r="AC9034" s="3"/>
      <c r="AD9034" s="3"/>
      <c r="AE9034" s="3"/>
      <c r="AF9034" s="3"/>
      <c r="AG9034" s="3"/>
      <c r="AH9034" s="3"/>
    </row>
    <row r="9035" spans="1:34" ht="14.25" customHeight="1" x14ac:dyDescent="0.25">
      <c r="A9035" s="3"/>
      <c r="B9035" s="3"/>
      <c r="C9035" s="3"/>
      <c r="D9035" s="3"/>
      <c r="E9035" s="3"/>
      <c r="F9035" s="3"/>
      <c r="G9035" s="3"/>
      <c r="H9035" s="11"/>
      <c r="I9035" s="12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  <c r="AA9035" s="3"/>
      <c r="AB9035" s="3"/>
      <c r="AC9035" s="3"/>
      <c r="AD9035" s="3"/>
      <c r="AE9035" s="3"/>
      <c r="AF9035" s="3"/>
      <c r="AG9035" s="3"/>
      <c r="AH9035" s="3"/>
    </row>
    <row r="9036" spans="1:34" ht="14.25" customHeight="1" x14ac:dyDescent="0.25">
      <c r="A9036" s="3"/>
      <c r="B9036" s="3"/>
      <c r="C9036" s="3"/>
      <c r="D9036" s="3"/>
      <c r="E9036" s="3"/>
      <c r="F9036" s="3"/>
      <c r="G9036" s="3"/>
      <c r="H9036" s="11"/>
      <c r="I9036" s="12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  <c r="AA9036" s="3"/>
      <c r="AB9036" s="3"/>
      <c r="AC9036" s="3"/>
      <c r="AD9036" s="3"/>
      <c r="AE9036" s="3"/>
      <c r="AF9036" s="3"/>
      <c r="AG9036" s="3"/>
      <c r="AH9036" s="3"/>
    </row>
    <row r="9037" spans="1:34" ht="14.25" customHeight="1" x14ac:dyDescent="0.25">
      <c r="A9037" s="3"/>
      <c r="B9037" s="3"/>
      <c r="C9037" s="3"/>
      <c r="D9037" s="3"/>
      <c r="E9037" s="3"/>
      <c r="F9037" s="3"/>
      <c r="G9037" s="3"/>
      <c r="H9037" s="11"/>
      <c r="I9037" s="12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  <c r="AA9037" s="3"/>
      <c r="AB9037" s="3"/>
      <c r="AC9037" s="3"/>
      <c r="AD9037" s="3"/>
      <c r="AE9037" s="3"/>
      <c r="AF9037" s="3"/>
      <c r="AG9037" s="3"/>
      <c r="AH9037" s="3"/>
    </row>
    <row r="9038" spans="1:34" ht="14.25" customHeight="1" x14ac:dyDescent="0.25">
      <c r="A9038" s="3"/>
      <c r="B9038" s="3"/>
      <c r="C9038" s="3"/>
      <c r="D9038" s="3"/>
      <c r="E9038" s="3"/>
      <c r="F9038" s="3"/>
      <c r="G9038" s="3"/>
      <c r="H9038" s="11"/>
      <c r="I9038" s="12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  <c r="AA9038" s="3"/>
      <c r="AB9038" s="3"/>
      <c r="AC9038" s="3"/>
      <c r="AD9038" s="3"/>
      <c r="AE9038" s="3"/>
      <c r="AF9038" s="3"/>
      <c r="AG9038" s="3"/>
      <c r="AH9038" s="3"/>
    </row>
    <row r="9039" spans="1:34" ht="14.25" customHeight="1" x14ac:dyDescent="0.25">
      <c r="A9039" s="3"/>
      <c r="B9039" s="3"/>
      <c r="C9039" s="3"/>
      <c r="D9039" s="3"/>
      <c r="E9039" s="3"/>
      <c r="F9039" s="3"/>
      <c r="G9039" s="3"/>
      <c r="H9039" s="11"/>
      <c r="I9039" s="12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  <c r="AA9039" s="3"/>
      <c r="AB9039" s="3"/>
      <c r="AC9039" s="3"/>
      <c r="AD9039" s="3"/>
      <c r="AE9039" s="3"/>
      <c r="AF9039" s="3"/>
      <c r="AG9039" s="3"/>
      <c r="AH9039" s="3"/>
    </row>
    <row r="9040" spans="1:34" ht="14.25" customHeight="1" x14ac:dyDescent="0.25">
      <c r="A9040" s="3"/>
      <c r="B9040" s="3"/>
      <c r="C9040" s="3"/>
      <c r="D9040" s="3"/>
      <c r="E9040" s="3"/>
      <c r="F9040" s="3"/>
      <c r="G9040" s="3"/>
      <c r="H9040" s="11"/>
      <c r="I9040" s="12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  <c r="AA9040" s="3"/>
      <c r="AB9040" s="3"/>
      <c r="AC9040" s="3"/>
      <c r="AD9040" s="3"/>
      <c r="AE9040" s="3"/>
      <c r="AF9040" s="3"/>
      <c r="AG9040" s="3"/>
      <c r="AH9040" s="3"/>
    </row>
    <row r="9041" spans="1:34" ht="14.25" customHeight="1" x14ac:dyDescent="0.25">
      <c r="A9041" s="3"/>
      <c r="B9041" s="3"/>
      <c r="C9041" s="3"/>
      <c r="D9041" s="3"/>
      <c r="E9041" s="3"/>
      <c r="F9041" s="3"/>
      <c r="G9041" s="3"/>
      <c r="H9041" s="11"/>
      <c r="I9041" s="12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  <c r="AA9041" s="3"/>
      <c r="AB9041" s="3"/>
      <c r="AC9041" s="3"/>
      <c r="AD9041" s="3"/>
      <c r="AE9041" s="3"/>
      <c r="AF9041" s="3"/>
      <c r="AG9041" s="3"/>
      <c r="AH9041" s="3"/>
    </row>
    <row r="9042" spans="1:34" ht="14.25" customHeight="1" x14ac:dyDescent="0.25">
      <c r="A9042" s="3"/>
      <c r="B9042" s="3"/>
      <c r="C9042" s="3"/>
      <c r="D9042" s="3"/>
      <c r="E9042" s="3"/>
      <c r="F9042" s="3"/>
      <c r="G9042" s="3"/>
      <c r="H9042" s="11"/>
      <c r="I9042" s="12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  <c r="AA9042" s="3"/>
      <c r="AB9042" s="3"/>
      <c r="AC9042" s="3"/>
      <c r="AD9042" s="3"/>
      <c r="AE9042" s="3"/>
      <c r="AF9042" s="3"/>
      <c r="AG9042" s="3"/>
      <c r="AH9042" s="3"/>
    </row>
    <row r="9043" spans="1:34" ht="14.25" customHeight="1" x14ac:dyDescent="0.25">
      <c r="A9043" s="3"/>
      <c r="B9043" s="3"/>
      <c r="C9043" s="3"/>
      <c r="D9043" s="3"/>
      <c r="E9043" s="3"/>
      <c r="F9043" s="3"/>
      <c r="G9043" s="3"/>
      <c r="H9043" s="11"/>
      <c r="I9043" s="12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  <c r="AA9043" s="3"/>
      <c r="AB9043" s="3"/>
      <c r="AC9043" s="3"/>
      <c r="AD9043" s="3"/>
      <c r="AE9043" s="3"/>
      <c r="AF9043" s="3"/>
      <c r="AG9043" s="3"/>
      <c r="AH9043" s="3"/>
    </row>
    <row r="9044" spans="1:34" ht="14.25" customHeight="1" x14ac:dyDescent="0.25">
      <c r="A9044" s="3"/>
      <c r="B9044" s="3"/>
      <c r="C9044" s="3"/>
      <c r="D9044" s="3"/>
      <c r="E9044" s="3"/>
      <c r="F9044" s="3"/>
      <c r="G9044" s="3"/>
      <c r="H9044" s="11"/>
      <c r="I9044" s="12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  <c r="AA9044" s="3"/>
      <c r="AB9044" s="3"/>
      <c r="AC9044" s="3"/>
      <c r="AD9044" s="3"/>
      <c r="AE9044" s="3"/>
      <c r="AF9044" s="3"/>
      <c r="AG9044" s="3"/>
      <c r="AH9044" s="3"/>
    </row>
    <row r="9045" spans="1:34" ht="14.25" customHeight="1" x14ac:dyDescent="0.25">
      <c r="A9045" s="3"/>
      <c r="B9045" s="3"/>
      <c r="C9045" s="3"/>
      <c r="D9045" s="3"/>
      <c r="E9045" s="3"/>
      <c r="F9045" s="3"/>
      <c r="G9045" s="3"/>
      <c r="H9045" s="11"/>
      <c r="I9045" s="12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  <c r="AA9045" s="3"/>
      <c r="AB9045" s="3"/>
      <c r="AC9045" s="3"/>
      <c r="AD9045" s="3"/>
      <c r="AE9045" s="3"/>
      <c r="AF9045" s="3"/>
      <c r="AG9045" s="3"/>
      <c r="AH9045" s="3"/>
    </row>
    <row r="9046" spans="1:34" ht="14.25" customHeight="1" x14ac:dyDescent="0.25">
      <c r="A9046" s="3"/>
      <c r="B9046" s="3"/>
      <c r="C9046" s="3"/>
      <c r="D9046" s="3"/>
      <c r="E9046" s="3"/>
      <c r="F9046" s="3"/>
      <c r="G9046" s="3"/>
      <c r="H9046" s="11"/>
      <c r="I9046" s="12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  <c r="AA9046" s="3"/>
      <c r="AB9046" s="3"/>
      <c r="AC9046" s="3"/>
      <c r="AD9046" s="3"/>
      <c r="AE9046" s="3"/>
      <c r="AF9046" s="3"/>
      <c r="AG9046" s="3"/>
      <c r="AH9046" s="3"/>
    </row>
    <row r="9047" spans="1:34" ht="14.25" customHeight="1" x14ac:dyDescent="0.25">
      <c r="A9047" s="3"/>
      <c r="B9047" s="3"/>
      <c r="C9047" s="3"/>
      <c r="D9047" s="3"/>
      <c r="E9047" s="3"/>
      <c r="F9047" s="3"/>
      <c r="G9047" s="3"/>
      <c r="H9047" s="11"/>
      <c r="I9047" s="12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  <c r="AA9047" s="3"/>
      <c r="AB9047" s="3"/>
      <c r="AC9047" s="3"/>
      <c r="AD9047" s="3"/>
      <c r="AE9047" s="3"/>
      <c r="AF9047" s="3"/>
      <c r="AG9047" s="3"/>
      <c r="AH9047" s="3"/>
    </row>
    <row r="9048" spans="1:34" ht="14.25" customHeight="1" x14ac:dyDescent="0.25">
      <c r="A9048" s="3"/>
      <c r="B9048" s="3"/>
      <c r="C9048" s="3"/>
      <c r="D9048" s="3"/>
      <c r="E9048" s="3"/>
      <c r="F9048" s="3"/>
      <c r="G9048" s="3"/>
      <c r="H9048" s="11"/>
      <c r="I9048" s="12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  <c r="AA9048" s="3"/>
      <c r="AB9048" s="3"/>
      <c r="AC9048" s="3"/>
      <c r="AD9048" s="3"/>
      <c r="AE9048" s="3"/>
      <c r="AF9048" s="3"/>
      <c r="AG9048" s="3"/>
      <c r="AH9048" s="3"/>
    </row>
    <row r="9049" spans="1:34" ht="14.25" customHeight="1" x14ac:dyDescent="0.25">
      <c r="A9049" s="3"/>
      <c r="B9049" s="3"/>
      <c r="C9049" s="3"/>
      <c r="D9049" s="3"/>
      <c r="E9049" s="3"/>
      <c r="F9049" s="3"/>
      <c r="G9049" s="3"/>
      <c r="H9049" s="11"/>
      <c r="I9049" s="12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  <c r="AA9049" s="3"/>
      <c r="AB9049" s="3"/>
      <c r="AC9049" s="3"/>
      <c r="AD9049" s="3"/>
      <c r="AE9049" s="3"/>
      <c r="AF9049" s="3"/>
      <c r="AG9049" s="3"/>
      <c r="AH9049" s="3"/>
    </row>
    <row r="9050" spans="1:34" ht="14.25" customHeight="1" x14ac:dyDescent="0.25">
      <c r="A9050" s="3"/>
      <c r="B9050" s="3"/>
      <c r="C9050" s="3"/>
      <c r="D9050" s="3"/>
      <c r="E9050" s="3"/>
      <c r="F9050" s="3"/>
      <c r="G9050" s="3"/>
      <c r="H9050" s="11"/>
      <c r="I9050" s="12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  <c r="AA9050" s="3"/>
      <c r="AB9050" s="3"/>
      <c r="AC9050" s="3"/>
      <c r="AD9050" s="3"/>
      <c r="AE9050" s="3"/>
      <c r="AF9050" s="3"/>
      <c r="AG9050" s="3"/>
      <c r="AH9050" s="3"/>
    </row>
    <row r="9051" spans="1:34" ht="14.25" customHeight="1" x14ac:dyDescent="0.25">
      <c r="A9051" s="3"/>
      <c r="B9051" s="3"/>
      <c r="C9051" s="3"/>
      <c r="D9051" s="3"/>
      <c r="E9051" s="3"/>
      <c r="F9051" s="3"/>
      <c r="G9051" s="3"/>
      <c r="H9051" s="11"/>
      <c r="I9051" s="12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  <c r="AA9051" s="3"/>
      <c r="AB9051" s="3"/>
      <c r="AC9051" s="3"/>
      <c r="AD9051" s="3"/>
      <c r="AE9051" s="3"/>
      <c r="AF9051" s="3"/>
      <c r="AG9051" s="3"/>
      <c r="AH9051" s="3"/>
    </row>
    <row r="9052" spans="1:34" ht="14.25" customHeight="1" x14ac:dyDescent="0.25">
      <c r="A9052" s="3"/>
      <c r="B9052" s="3"/>
      <c r="C9052" s="3"/>
      <c r="D9052" s="3"/>
      <c r="E9052" s="3"/>
      <c r="F9052" s="3"/>
      <c r="G9052" s="3"/>
      <c r="H9052" s="11"/>
      <c r="I9052" s="12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  <c r="AA9052" s="3"/>
      <c r="AB9052" s="3"/>
      <c r="AC9052" s="3"/>
      <c r="AD9052" s="3"/>
      <c r="AE9052" s="3"/>
      <c r="AF9052" s="3"/>
      <c r="AG9052" s="3"/>
      <c r="AH9052" s="3"/>
    </row>
    <row r="9053" spans="1:34" ht="14.25" customHeight="1" x14ac:dyDescent="0.25">
      <c r="A9053" s="3"/>
      <c r="B9053" s="3"/>
      <c r="C9053" s="3"/>
      <c r="D9053" s="3"/>
      <c r="E9053" s="3"/>
      <c r="F9053" s="3"/>
      <c r="G9053" s="3"/>
      <c r="H9053" s="11"/>
      <c r="I9053" s="12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  <c r="AA9053" s="3"/>
      <c r="AB9053" s="3"/>
      <c r="AC9053" s="3"/>
      <c r="AD9053" s="3"/>
      <c r="AE9053" s="3"/>
      <c r="AF9053" s="3"/>
      <c r="AG9053" s="3"/>
      <c r="AH9053" s="3"/>
    </row>
    <row r="9054" spans="1:34" ht="14.25" customHeight="1" x14ac:dyDescent="0.25">
      <c r="A9054" s="3"/>
      <c r="B9054" s="3"/>
      <c r="C9054" s="3"/>
      <c r="D9054" s="3"/>
      <c r="E9054" s="3"/>
      <c r="F9054" s="3"/>
      <c r="G9054" s="3"/>
      <c r="H9054" s="11"/>
      <c r="I9054" s="12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  <c r="AA9054" s="3"/>
      <c r="AB9054" s="3"/>
      <c r="AC9054" s="3"/>
      <c r="AD9054" s="3"/>
      <c r="AE9054" s="3"/>
      <c r="AF9054" s="3"/>
      <c r="AG9054" s="3"/>
      <c r="AH9054" s="3"/>
    </row>
    <row r="9055" spans="1:34" ht="14.25" customHeight="1" x14ac:dyDescent="0.25">
      <c r="A9055" s="3"/>
      <c r="B9055" s="3"/>
      <c r="C9055" s="3"/>
      <c r="D9055" s="3"/>
      <c r="E9055" s="3"/>
      <c r="F9055" s="3"/>
      <c r="G9055" s="3"/>
      <c r="H9055" s="11"/>
      <c r="I9055" s="12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  <c r="AA9055" s="3"/>
      <c r="AB9055" s="3"/>
      <c r="AC9055" s="3"/>
      <c r="AD9055" s="3"/>
      <c r="AE9055" s="3"/>
      <c r="AF9055" s="3"/>
      <c r="AG9055" s="3"/>
      <c r="AH9055" s="3"/>
    </row>
    <row r="9056" spans="1:34" ht="14.25" customHeight="1" x14ac:dyDescent="0.25">
      <c r="A9056" s="3"/>
      <c r="B9056" s="3"/>
      <c r="C9056" s="3"/>
      <c r="D9056" s="3"/>
      <c r="E9056" s="3"/>
      <c r="F9056" s="3"/>
      <c r="G9056" s="3"/>
      <c r="H9056" s="11"/>
      <c r="I9056" s="12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  <c r="AA9056" s="3"/>
      <c r="AB9056" s="3"/>
      <c r="AC9056" s="3"/>
      <c r="AD9056" s="3"/>
      <c r="AE9056" s="3"/>
      <c r="AF9056" s="3"/>
      <c r="AG9056" s="3"/>
      <c r="AH9056" s="3"/>
    </row>
    <row r="9057" spans="1:34" ht="14.25" customHeight="1" x14ac:dyDescent="0.25">
      <c r="A9057" s="3"/>
      <c r="B9057" s="3"/>
      <c r="C9057" s="3"/>
      <c r="D9057" s="3"/>
      <c r="E9057" s="3"/>
      <c r="F9057" s="3"/>
      <c r="G9057" s="3"/>
      <c r="H9057" s="11"/>
      <c r="I9057" s="12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  <c r="AA9057" s="3"/>
      <c r="AB9057" s="3"/>
      <c r="AC9057" s="3"/>
      <c r="AD9057" s="3"/>
      <c r="AE9057" s="3"/>
      <c r="AF9057" s="3"/>
      <c r="AG9057" s="3"/>
      <c r="AH9057" s="3"/>
    </row>
    <row r="9058" spans="1:34" ht="14.25" customHeight="1" x14ac:dyDescent="0.25">
      <c r="A9058" s="3"/>
      <c r="B9058" s="3"/>
      <c r="C9058" s="3"/>
      <c r="D9058" s="3"/>
      <c r="E9058" s="3"/>
      <c r="F9058" s="3"/>
      <c r="G9058" s="3"/>
      <c r="H9058" s="11"/>
      <c r="I9058" s="12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  <c r="AA9058" s="3"/>
      <c r="AB9058" s="3"/>
      <c r="AC9058" s="3"/>
      <c r="AD9058" s="3"/>
      <c r="AE9058" s="3"/>
      <c r="AF9058" s="3"/>
      <c r="AG9058" s="3"/>
      <c r="AH9058" s="3"/>
    </row>
    <row r="9059" spans="1:34" ht="14.25" customHeight="1" x14ac:dyDescent="0.25">
      <c r="A9059" s="3"/>
      <c r="B9059" s="3"/>
      <c r="C9059" s="3"/>
      <c r="D9059" s="3"/>
      <c r="E9059" s="3"/>
      <c r="F9059" s="3"/>
      <c r="G9059" s="3"/>
      <c r="H9059" s="11"/>
      <c r="I9059" s="12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  <c r="AA9059" s="3"/>
      <c r="AB9059" s="3"/>
      <c r="AC9059" s="3"/>
      <c r="AD9059" s="3"/>
      <c r="AE9059" s="3"/>
      <c r="AF9059" s="3"/>
      <c r="AG9059" s="3"/>
      <c r="AH9059" s="3"/>
    </row>
    <row r="9060" spans="1:34" ht="14.25" customHeight="1" x14ac:dyDescent="0.25">
      <c r="A9060" s="3"/>
      <c r="B9060" s="3"/>
      <c r="C9060" s="3"/>
      <c r="D9060" s="3"/>
      <c r="E9060" s="3"/>
      <c r="F9060" s="3"/>
      <c r="G9060" s="3"/>
      <c r="H9060" s="11"/>
      <c r="I9060" s="12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  <c r="AA9060" s="3"/>
      <c r="AB9060" s="3"/>
      <c r="AC9060" s="3"/>
      <c r="AD9060" s="3"/>
      <c r="AE9060" s="3"/>
      <c r="AF9060" s="3"/>
      <c r="AG9060" s="3"/>
      <c r="AH9060" s="3"/>
    </row>
    <row r="9061" spans="1:34" ht="14.25" customHeight="1" x14ac:dyDescent="0.25">
      <c r="A9061" s="3"/>
      <c r="B9061" s="3"/>
      <c r="C9061" s="3"/>
      <c r="D9061" s="3"/>
      <c r="E9061" s="3"/>
      <c r="F9061" s="3"/>
      <c r="G9061" s="3"/>
      <c r="H9061" s="11"/>
      <c r="I9061" s="12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  <c r="AA9061" s="3"/>
      <c r="AB9061" s="3"/>
      <c r="AC9061" s="3"/>
      <c r="AD9061" s="3"/>
      <c r="AE9061" s="3"/>
      <c r="AF9061" s="3"/>
      <c r="AG9061" s="3"/>
      <c r="AH9061" s="3"/>
    </row>
    <row r="9062" spans="1:34" ht="14.25" customHeight="1" x14ac:dyDescent="0.25">
      <c r="A9062" s="3"/>
      <c r="B9062" s="3"/>
      <c r="C9062" s="3"/>
      <c r="D9062" s="3"/>
      <c r="E9062" s="3"/>
      <c r="F9062" s="3"/>
      <c r="G9062" s="3"/>
      <c r="H9062" s="11"/>
      <c r="I9062" s="12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  <c r="AA9062" s="3"/>
      <c r="AB9062" s="3"/>
      <c r="AC9062" s="3"/>
      <c r="AD9062" s="3"/>
      <c r="AE9062" s="3"/>
      <c r="AF9062" s="3"/>
      <c r="AG9062" s="3"/>
      <c r="AH9062" s="3"/>
    </row>
    <row r="9063" spans="1:34" ht="14.25" customHeight="1" x14ac:dyDescent="0.25">
      <c r="A9063" s="3"/>
      <c r="B9063" s="3"/>
      <c r="C9063" s="3"/>
      <c r="D9063" s="3"/>
      <c r="E9063" s="3"/>
      <c r="F9063" s="3"/>
      <c r="G9063" s="3"/>
      <c r="H9063" s="11"/>
      <c r="I9063" s="12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  <c r="AA9063" s="3"/>
      <c r="AB9063" s="3"/>
      <c r="AC9063" s="3"/>
      <c r="AD9063" s="3"/>
      <c r="AE9063" s="3"/>
      <c r="AF9063" s="3"/>
      <c r="AG9063" s="3"/>
      <c r="AH9063" s="3"/>
    </row>
    <row r="9064" spans="1:34" ht="14.25" customHeight="1" x14ac:dyDescent="0.25">
      <c r="A9064" s="3"/>
      <c r="B9064" s="3"/>
      <c r="C9064" s="3"/>
      <c r="D9064" s="3"/>
      <c r="E9064" s="3"/>
      <c r="F9064" s="3"/>
      <c r="G9064" s="3"/>
      <c r="H9064" s="11"/>
      <c r="I9064" s="12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  <c r="AA9064" s="3"/>
      <c r="AB9064" s="3"/>
      <c r="AC9064" s="3"/>
      <c r="AD9064" s="3"/>
      <c r="AE9064" s="3"/>
      <c r="AF9064" s="3"/>
      <c r="AG9064" s="3"/>
      <c r="AH9064" s="3"/>
    </row>
    <row r="9065" spans="1:34" ht="14.25" customHeight="1" x14ac:dyDescent="0.25">
      <c r="A9065" s="3"/>
      <c r="B9065" s="3"/>
      <c r="C9065" s="3"/>
      <c r="D9065" s="3"/>
      <c r="E9065" s="3"/>
      <c r="F9065" s="3"/>
      <c r="G9065" s="3"/>
      <c r="H9065" s="11"/>
      <c r="I9065" s="12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  <c r="AA9065" s="3"/>
      <c r="AB9065" s="3"/>
      <c r="AC9065" s="3"/>
      <c r="AD9065" s="3"/>
      <c r="AE9065" s="3"/>
      <c r="AF9065" s="3"/>
      <c r="AG9065" s="3"/>
      <c r="AH9065" s="3"/>
    </row>
    <row r="9066" spans="1:34" ht="14.25" customHeight="1" x14ac:dyDescent="0.25">
      <c r="A9066" s="3"/>
      <c r="B9066" s="3"/>
      <c r="C9066" s="3"/>
      <c r="D9066" s="3"/>
      <c r="E9066" s="3"/>
      <c r="F9066" s="3"/>
      <c r="G9066" s="3"/>
      <c r="H9066" s="11"/>
      <c r="I9066" s="12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  <c r="AA9066" s="3"/>
      <c r="AB9066" s="3"/>
      <c r="AC9066" s="3"/>
      <c r="AD9066" s="3"/>
      <c r="AE9066" s="3"/>
      <c r="AF9066" s="3"/>
      <c r="AG9066" s="3"/>
      <c r="AH9066" s="3"/>
    </row>
    <row r="9067" spans="1:34" ht="14.25" customHeight="1" x14ac:dyDescent="0.25">
      <c r="A9067" s="3"/>
      <c r="B9067" s="3"/>
      <c r="C9067" s="3"/>
      <c r="D9067" s="3"/>
      <c r="E9067" s="3"/>
      <c r="F9067" s="3"/>
      <c r="G9067" s="3"/>
      <c r="H9067" s="11"/>
      <c r="I9067" s="12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  <c r="AA9067" s="3"/>
      <c r="AB9067" s="3"/>
      <c r="AC9067" s="3"/>
      <c r="AD9067" s="3"/>
      <c r="AE9067" s="3"/>
      <c r="AF9067" s="3"/>
      <c r="AG9067" s="3"/>
      <c r="AH9067" s="3"/>
    </row>
    <row r="9068" spans="1:34" ht="14.25" customHeight="1" x14ac:dyDescent="0.25">
      <c r="A9068" s="3"/>
      <c r="B9068" s="3"/>
      <c r="C9068" s="3"/>
      <c r="D9068" s="3"/>
      <c r="E9068" s="3"/>
      <c r="F9068" s="3"/>
      <c r="G9068" s="3"/>
      <c r="H9068" s="11"/>
      <c r="I9068" s="12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  <c r="AA9068" s="3"/>
      <c r="AB9068" s="3"/>
      <c r="AC9068" s="3"/>
      <c r="AD9068" s="3"/>
      <c r="AE9068" s="3"/>
      <c r="AF9068" s="3"/>
      <c r="AG9068" s="3"/>
      <c r="AH9068" s="3"/>
    </row>
    <row r="9069" spans="1:34" ht="14.25" customHeight="1" x14ac:dyDescent="0.25">
      <c r="A9069" s="3"/>
      <c r="B9069" s="3"/>
      <c r="C9069" s="3"/>
      <c r="D9069" s="3"/>
      <c r="E9069" s="3"/>
      <c r="F9069" s="3"/>
      <c r="G9069" s="3"/>
      <c r="H9069" s="11"/>
      <c r="I9069" s="12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  <c r="AA9069" s="3"/>
      <c r="AB9069" s="3"/>
      <c r="AC9069" s="3"/>
      <c r="AD9069" s="3"/>
      <c r="AE9069" s="3"/>
      <c r="AF9069" s="3"/>
      <c r="AG9069" s="3"/>
      <c r="AH9069" s="3"/>
    </row>
    <row r="9070" spans="1:34" ht="14.25" customHeight="1" x14ac:dyDescent="0.25">
      <c r="A9070" s="3"/>
      <c r="B9070" s="3"/>
      <c r="C9070" s="3"/>
      <c r="D9070" s="3"/>
      <c r="E9070" s="3"/>
      <c r="F9070" s="3"/>
      <c r="G9070" s="3"/>
      <c r="H9070" s="11"/>
      <c r="I9070" s="12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  <c r="AA9070" s="3"/>
      <c r="AB9070" s="3"/>
      <c r="AC9070" s="3"/>
      <c r="AD9070" s="3"/>
      <c r="AE9070" s="3"/>
      <c r="AF9070" s="3"/>
      <c r="AG9070" s="3"/>
      <c r="AH9070" s="3"/>
    </row>
    <row r="9071" spans="1:34" ht="14.25" customHeight="1" x14ac:dyDescent="0.25">
      <c r="A9071" s="3"/>
      <c r="B9071" s="3"/>
      <c r="C9071" s="3"/>
      <c r="D9071" s="3"/>
      <c r="E9071" s="3"/>
      <c r="F9071" s="3"/>
      <c r="G9071" s="3"/>
      <c r="H9071" s="11"/>
      <c r="I9071" s="12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  <c r="AA9071" s="3"/>
      <c r="AB9071" s="3"/>
      <c r="AC9071" s="3"/>
      <c r="AD9071" s="3"/>
      <c r="AE9071" s="3"/>
      <c r="AF9071" s="3"/>
      <c r="AG9071" s="3"/>
      <c r="AH9071" s="3"/>
    </row>
    <row r="9072" spans="1:34" ht="14.25" customHeight="1" x14ac:dyDescent="0.25">
      <c r="A9072" s="3"/>
      <c r="B9072" s="3"/>
      <c r="C9072" s="3"/>
      <c r="D9072" s="3"/>
      <c r="E9072" s="3"/>
      <c r="F9072" s="3"/>
      <c r="G9072" s="3"/>
      <c r="H9072" s="11"/>
      <c r="I9072" s="12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  <c r="AA9072" s="3"/>
      <c r="AB9072" s="3"/>
      <c r="AC9072" s="3"/>
      <c r="AD9072" s="3"/>
      <c r="AE9072" s="3"/>
      <c r="AF9072" s="3"/>
      <c r="AG9072" s="3"/>
      <c r="AH9072" s="3"/>
    </row>
    <row r="9073" spans="1:34" ht="14.25" customHeight="1" x14ac:dyDescent="0.25">
      <c r="A9073" s="3"/>
      <c r="B9073" s="3"/>
      <c r="C9073" s="3"/>
      <c r="D9073" s="3"/>
      <c r="E9073" s="3"/>
      <c r="F9073" s="3"/>
      <c r="G9073" s="3"/>
      <c r="H9073" s="11"/>
      <c r="I9073" s="12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  <c r="AA9073" s="3"/>
      <c r="AB9073" s="3"/>
      <c r="AC9073" s="3"/>
      <c r="AD9073" s="3"/>
      <c r="AE9073" s="3"/>
      <c r="AF9073" s="3"/>
      <c r="AG9073" s="3"/>
      <c r="AH9073" s="3"/>
    </row>
    <row r="9074" spans="1:34" ht="14.25" customHeight="1" x14ac:dyDescent="0.25">
      <c r="A9074" s="3"/>
      <c r="B9074" s="3"/>
      <c r="C9074" s="3"/>
      <c r="D9074" s="3"/>
      <c r="E9074" s="3"/>
      <c r="F9074" s="3"/>
      <c r="G9074" s="3"/>
      <c r="H9074" s="11"/>
      <c r="I9074" s="12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  <c r="AA9074" s="3"/>
      <c r="AB9074" s="3"/>
      <c r="AC9074" s="3"/>
      <c r="AD9074" s="3"/>
      <c r="AE9074" s="3"/>
      <c r="AF9074" s="3"/>
      <c r="AG9074" s="3"/>
      <c r="AH9074" s="3"/>
    </row>
    <row r="9075" spans="1:34" ht="14.25" customHeight="1" x14ac:dyDescent="0.25">
      <c r="A9075" s="3"/>
      <c r="B9075" s="3"/>
      <c r="C9075" s="3"/>
      <c r="D9075" s="3"/>
      <c r="E9075" s="3"/>
      <c r="F9075" s="3"/>
      <c r="G9075" s="3"/>
      <c r="H9075" s="11"/>
      <c r="I9075" s="12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  <c r="AA9075" s="3"/>
      <c r="AB9075" s="3"/>
      <c r="AC9075" s="3"/>
      <c r="AD9075" s="3"/>
      <c r="AE9075" s="3"/>
      <c r="AF9075" s="3"/>
      <c r="AG9075" s="3"/>
      <c r="AH9075" s="3"/>
    </row>
    <row r="9076" spans="1:34" ht="14.25" customHeight="1" x14ac:dyDescent="0.25">
      <c r="A9076" s="3"/>
      <c r="B9076" s="3"/>
      <c r="C9076" s="3"/>
      <c r="D9076" s="3"/>
      <c r="E9076" s="3"/>
      <c r="F9076" s="3"/>
      <c r="G9076" s="3"/>
      <c r="H9076" s="11"/>
      <c r="I9076" s="12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  <c r="AA9076" s="3"/>
      <c r="AB9076" s="3"/>
      <c r="AC9076" s="3"/>
      <c r="AD9076" s="3"/>
      <c r="AE9076" s="3"/>
      <c r="AF9076" s="3"/>
      <c r="AG9076" s="3"/>
      <c r="AH9076" s="3"/>
    </row>
    <row r="9077" spans="1:34" ht="14.25" customHeight="1" x14ac:dyDescent="0.25">
      <c r="A9077" s="3"/>
      <c r="B9077" s="3"/>
      <c r="C9077" s="3"/>
      <c r="D9077" s="3"/>
      <c r="E9077" s="3"/>
      <c r="F9077" s="3"/>
      <c r="G9077" s="3"/>
      <c r="H9077" s="11"/>
      <c r="I9077" s="12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  <c r="AA9077" s="3"/>
      <c r="AB9077" s="3"/>
      <c r="AC9077" s="3"/>
      <c r="AD9077" s="3"/>
      <c r="AE9077" s="3"/>
      <c r="AF9077" s="3"/>
      <c r="AG9077" s="3"/>
      <c r="AH9077" s="3"/>
    </row>
    <row r="9078" spans="1:34" ht="14.25" customHeight="1" x14ac:dyDescent="0.25">
      <c r="A9078" s="3"/>
      <c r="B9078" s="3"/>
      <c r="C9078" s="3"/>
      <c r="D9078" s="3"/>
      <c r="E9078" s="3"/>
      <c r="F9078" s="3"/>
      <c r="G9078" s="3"/>
      <c r="H9078" s="11"/>
      <c r="I9078" s="12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  <c r="AA9078" s="3"/>
      <c r="AB9078" s="3"/>
      <c r="AC9078" s="3"/>
      <c r="AD9078" s="3"/>
      <c r="AE9078" s="3"/>
      <c r="AF9078" s="3"/>
      <c r="AG9078" s="3"/>
      <c r="AH9078" s="3"/>
    </row>
    <row r="9079" spans="1:34" ht="14.25" customHeight="1" x14ac:dyDescent="0.25">
      <c r="A9079" s="3"/>
      <c r="B9079" s="3"/>
      <c r="C9079" s="3"/>
      <c r="D9079" s="3"/>
      <c r="E9079" s="3"/>
      <c r="F9079" s="3"/>
      <c r="G9079" s="3"/>
      <c r="H9079" s="11"/>
      <c r="I9079" s="12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  <c r="AA9079" s="3"/>
      <c r="AB9079" s="3"/>
      <c r="AC9079" s="3"/>
      <c r="AD9079" s="3"/>
      <c r="AE9079" s="3"/>
      <c r="AF9079" s="3"/>
      <c r="AG9079" s="3"/>
      <c r="AH9079" s="3"/>
    </row>
    <row r="9080" spans="1:34" ht="14.25" customHeight="1" x14ac:dyDescent="0.25">
      <c r="A9080" s="3"/>
      <c r="B9080" s="3"/>
      <c r="C9080" s="3"/>
      <c r="D9080" s="3"/>
      <c r="E9080" s="3"/>
      <c r="F9080" s="3"/>
      <c r="G9080" s="3"/>
      <c r="H9080" s="11"/>
      <c r="I9080" s="12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  <c r="AA9080" s="3"/>
      <c r="AB9080" s="3"/>
      <c r="AC9080" s="3"/>
      <c r="AD9080" s="3"/>
      <c r="AE9080" s="3"/>
      <c r="AF9080" s="3"/>
      <c r="AG9080" s="3"/>
      <c r="AH9080" s="3"/>
    </row>
    <row r="9081" spans="1:34" ht="14.25" customHeight="1" x14ac:dyDescent="0.25">
      <c r="A9081" s="3"/>
      <c r="B9081" s="3"/>
      <c r="C9081" s="3"/>
      <c r="D9081" s="3"/>
      <c r="E9081" s="3"/>
      <c r="F9081" s="3"/>
      <c r="G9081" s="3"/>
      <c r="H9081" s="11"/>
      <c r="I9081" s="12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  <c r="AA9081" s="3"/>
      <c r="AB9081" s="3"/>
      <c r="AC9081" s="3"/>
      <c r="AD9081" s="3"/>
      <c r="AE9081" s="3"/>
      <c r="AF9081" s="3"/>
      <c r="AG9081" s="3"/>
      <c r="AH9081" s="3"/>
    </row>
    <row r="9082" spans="1:34" ht="14.25" customHeight="1" x14ac:dyDescent="0.25">
      <c r="A9082" s="3"/>
      <c r="B9082" s="3"/>
      <c r="C9082" s="3"/>
      <c r="D9082" s="3"/>
      <c r="E9082" s="3"/>
      <c r="F9082" s="3"/>
      <c r="G9082" s="3"/>
      <c r="H9082" s="11"/>
      <c r="I9082" s="12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  <c r="AA9082" s="3"/>
      <c r="AB9082" s="3"/>
      <c r="AC9082" s="3"/>
      <c r="AD9082" s="3"/>
      <c r="AE9082" s="3"/>
      <c r="AF9082" s="3"/>
      <c r="AG9082" s="3"/>
      <c r="AH9082" s="3"/>
    </row>
    <row r="9083" spans="1:34" ht="14.25" customHeight="1" x14ac:dyDescent="0.25">
      <c r="A9083" s="3"/>
      <c r="B9083" s="3"/>
      <c r="C9083" s="3"/>
      <c r="D9083" s="3"/>
      <c r="E9083" s="3"/>
      <c r="F9083" s="3"/>
      <c r="G9083" s="3"/>
      <c r="H9083" s="11"/>
      <c r="I9083" s="12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  <c r="AA9083" s="3"/>
      <c r="AB9083" s="3"/>
      <c r="AC9083" s="3"/>
      <c r="AD9083" s="3"/>
      <c r="AE9083" s="3"/>
      <c r="AF9083" s="3"/>
      <c r="AG9083" s="3"/>
      <c r="AH9083" s="3"/>
    </row>
    <row r="9084" spans="1:34" ht="14.25" customHeight="1" x14ac:dyDescent="0.25">
      <c r="A9084" s="3"/>
      <c r="B9084" s="3"/>
      <c r="C9084" s="3"/>
      <c r="D9084" s="3"/>
      <c r="E9084" s="3"/>
      <c r="F9084" s="3"/>
      <c r="G9084" s="3"/>
      <c r="H9084" s="11"/>
      <c r="I9084" s="12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  <c r="AA9084" s="3"/>
      <c r="AB9084" s="3"/>
      <c r="AC9084" s="3"/>
      <c r="AD9084" s="3"/>
      <c r="AE9084" s="3"/>
      <c r="AF9084" s="3"/>
      <c r="AG9084" s="3"/>
      <c r="AH9084" s="3"/>
    </row>
    <row r="9085" spans="1:34" ht="14.25" customHeight="1" x14ac:dyDescent="0.25">
      <c r="A9085" s="3"/>
      <c r="B9085" s="3"/>
      <c r="C9085" s="3"/>
      <c r="D9085" s="3"/>
      <c r="E9085" s="3"/>
      <c r="F9085" s="3"/>
      <c r="G9085" s="3"/>
      <c r="H9085" s="11"/>
      <c r="I9085" s="12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  <c r="AA9085" s="3"/>
      <c r="AB9085" s="3"/>
      <c r="AC9085" s="3"/>
      <c r="AD9085" s="3"/>
      <c r="AE9085" s="3"/>
      <c r="AF9085" s="3"/>
      <c r="AG9085" s="3"/>
      <c r="AH9085" s="3"/>
    </row>
    <row r="9086" spans="1:34" ht="14.25" customHeight="1" x14ac:dyDescent="0.25">
      <c r="A9086" s="3"/>
      <c r="B9086" s="3"/>
      <c r="C9086" s="3"/>
      <c r="D9086" s="3"/>
      <c r="E9086" s="3"/>
      <c r="F9086" s="3"/>
      <c r="G9086" s="3"/>
      <c r="H9086" s="11"/>
      <c r="I9086" s="12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  <c r="AA9086" s="3"/>
      <c r="AB9086" s="3"/>
      <c r="AC9086" s="3"/>
      <c r="AD9086" s="3"/>
      <c r="AE9086" s="3"/>
      <c r="AF9086" s="3"/>
      <c r="AG9086" s="3"/>
      <c r="AH9086" s="3"/>
    </row>
    <row r="9087" spans="1:34" ht="14.25" customHeight="1" x14ac:dyDescent="0.25">
      <c r="A9087" s="3"/>
      <c r="B9087" s="3"/>
      <c r="C9087" s="3"/>
      <c r="D9087" s="3"/>
      <c r="E9087" s="3"/>
      <c r="F9087" s="3"/>
      <c r="G9087" s="3"/>
      <c r="H9087" s="11"/>
      <c r="I9087" s="12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  <c r="AA9087" s="3"/>
      <c r="AB9087" s="3"/>
      <c r="AC9087" s="3"/>
      <c r="AD9087" s="3"/>
      <c r="AE9087" s="3"/>
      <c r="AF9087" s="3"/>
      <c r="AG9087" s="3"/>
      <c r="AH9087" s="3"/>
    </row>
    <row r="9088" spans="1:34" ht="14.25" customHeight="1" x14ac:dyDescent="0.25">
      <c r="A9088" s="3"/>
      <c r="B9088" s="3"/>
      <c r="C9088" s="3"/>
      <c r="D9088" s="3"/>
      <c r="E9088" s="3"/>
      <c r="F9088" s="3"/>
      <c r="G9088" s="3"/>
      <c r="H9088" s="11"/>
      <c r="I9088" s="12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  <c r="AA9088" s="3"/>
      <c r="AB9088" s="3"/>
      <c r="AC9088" s="3"/>
      <c r="AD9088" s="3"/>
      <c r="AE9088" s="3"/>
      <c r="AF9088" s="3"/>
      <c r="AG9088" s="3"/>
      <c r="AH9088" s="3"/>
    </row>
    <row r="9089" spans="1:34" ht="14.25" customHeight="1" x14ac:dyDescent="0.25">
      <c r="A9089" s="3"/>
      <c r="B9089" s="3"/>
      <c r="C9089" s="3"/>
      <c r="D9089" s="3"/>
      <c r="E9089" s="3"/>
      <c r="F9089" s="3"/>
      <c r="G9089" s="3"/>
      <c r="H9089" s="11"/>
      <c r="I9089" s="12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  <c r="AA9089" s="3"/>
      <c r="AB9089" s="3"/>
      <c r="AC9089" s="3"/>
      <c r="AD9089" s="3"/>
      <c r="AE9089" s="3"/>
      <c r="AF9089" s="3"/>
      <c r="AG9089" s="3"/>
      <c r="AH9089" s="3"/>
    </row>
    <row r="9090" spans="1:34" ht="14.25" customHeight="1" x14ac:dyDescent="0.25">
      <c r="A9090" s="3"/>
      <c r="B9090" s="3"/>
      <c r="C9090" s="3"/>
      <c r="D9090" s="3"/>
      <c r="E9090" s="3"/>
      <c r="F9090" s="3"/>
      <c r="G9090" s="3"/>
      <c r="H9090" s="11"/>
      <c r="I9090" s="12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  <c r="AA9090" s="3"/>
      <c r="AB9090" s="3"/>
      <c r="AC9090" s="3"/>
      <c r="AD9090" s="3"/>
      <c r="AE9090" s="3"/>
      <c r="AF9090" s="3"/>
      <c r="AG9090" s="3"/>
      <c r="AH9090" s="3"/>
    </row>
    <row r="9091" spans="1:34" ht="14.25" customHeight="1" x14ac:dyDescent="0.25">
      <c r="A9091" s="3"/>
      <c r="B9091" s="3"/>
      <c r="C9091" s="3"/>
      <c r="D9091" s="3"/>
      <c r="E9091" s="3"/>
      <c r="F9091" s="3"/>
      <c r="G9091" s="3"/>
      <c r="H9091" s="11"/>
      <c r="I9091" s="12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  <c r="AA9091" s="3"/>
      <c r="AB9091" s="3"/>
      <c r="AC9091" s="3"/>
      <c r="AD9091" s="3"/>
      <c r="AE9091" s="3"/>
      <c r="AF9091" s="3"/>
      <c r="AG9091" s="3"/>
      <c r="AH9091" s="3"/>
    </row>
    <row r="9092" spans="1:34" ht="14.25" customHeight="1" x14ac:dyDescent="0.25">
      <c r="A9092" s="3"/>
      <c r="B9092" s="3"/>
      <c r="C9092" s="3"/>
      <c r="D9092" s="3"/>
      <c r="E9092" s="3"/>
      <c r="F9092" s="3"/>
      <c r="G9092" s="3"/>
      <c r="H9092" s="11"/>
      <c r="I9092" s="12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  <c r="AA9092" s="3"/>
      <c r="AB9092" s="3"/>
      <c r="AC9092" s="3"/>
      <c r="AD9092" s="3"/>
      <c r="AE9092" s="3"/>
      <c r="AF9092" s="3"/>
      <c r="AG9092" s="3"/>
      <c r="AH9092" s="3"/>
    </row>
    <row r="9093" spans="1:34" ht="14.25" customHeight="1" x14ac:dyDescent="0.25">
      <c r="A9093" s="3"/>
      <c r="B9093" s="3"/>
      <c r="C9093" s="3"/>
      <c r="D9093" s="3"/>
      <c r="E9093" s="3"/>
      <c r="F9093" s="3"/>
      <c r="G9093" s="3"/>
      <c r="H9093" s="11"/>
      <c r="I9093" s="12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  <c r="AA9093" s="3"/>
      <c r="AB9093" s="3"/>
      <c r="AC9093" s="3"/>
      <c r="AD9093" s="3"/>
      <c r="AE9093" s="3"/>
      <c r="AF9093" s="3"/>
      <c r="AG9093" s="3"/>
      <c r="AH9093" s="3"/>
    </row>
    <row r="9094" spans="1:34" ht="14.25" customHeight="1" x14ac:dyDescent="0.25">
      <c r="A9094" s="3"/>
      <c r="B9094" s="3"/>
      <c r="C9094" s="3"/>
      <c r="D9094" s="3"/>
      <c r="E9094" s="3"/>
      <c r="F9094" s="3"/>
      <c r="G9094" s="3"/>
      <c r="H9094" s="11"/>
      <c r="I9094" s="12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  <c r="AA9094" s="3"/>
      <c r="AB9094" s="3"/>
      <c r="AC9094" s="3"/>
      <c r="AD9094" s="3"/>
      <c r="AE9094" s="3"/>
      <c r="AF9094" s="3"/>
      <c r="AG9094" s="3"/>
      <c r="AH9094" s="3"/>
    </row>
    <row r="9095" spans="1:34" ht="14.25" customHeight="1" x14ac:dyDescent="0.25">
      <c r="A9095" s="3"/>
      <c r="B9095" s="3"/>
      <c r="C9095" s="3"/>
      <c r="D9095" s="3"/>
      <c r="E9095" s="3"/>
      <c r="F9095" s="3"/>
      <c r="G9095" s="3"/>
      <c r="H9095" s="11"/>
      <c r="I9095" s="12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  <c r="AA9095" s="3"/>
      <c r="AB9095" s="3"/>
      <c r="AC9095" s="3"/>
      <c r="AD9095" s="3"/>
      <c r="AE9095" s="3"/>
      <c r="AF9095" s="3"/>
      <c r="AG9095" s="3"/>
      <c r="AH9095" s="3"/>
    </row>
    <row r="9096" spans="1:34" ht="14.25" customHeight="1" x14ac:dyDescent="0.25">
      <c r="A9096" s="3"/>
      <c r="B9096" s="3"/>
      <c r="C9096" s="3"/>
      <c r="D9096" s="3"/>
      <c r="E9096" s="3"/>
      <c r="F9096" s="3"/>
      <c r="G9096" s="3"/>
      <c r="H9096" s="11"/>
      <c r="I9096" s="12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  <c r="AA9096" s="3"/>
      <c r="AB9096" s="3"/>
      <c r="AC9096" s="3"/>
      <c r="AD9096" s="3"/>
      <c r="AE9096" s="3"/>
      <c r="AF9096" s="3"/>
      <c r="AG9096" s="3"/>
      <c r="AH9096" s="3"/>
    </row>
    <row r="9097" spans="1:34" ht="14.25" customHeight="1" x14ac:dyDescent="0.25">
      <c r="A9097" s="3"/>
      <c r="B9097" s="3"/>
      <c r="C9097" s="3"/>
      <c r="D9097" s="3"/>
      <c r="E9097" s="3"/>
      <c r="F9097" s="3"/>
      <c r="G9097" s="3"/>
      <c r="H9097" s="11"/>
      <c r="I9097" s="12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  <c r="AA9097" s="3"/>
      <c r="AB9097" s="3"/>
      <c r="AC9097" s="3"/>
      <c r="AD9097" s="3"/>
      <c r="AE9097" s="3"/>
      <c r="AF9097" s="3"/>
      <c r="AG9097" s="3"/>
      <c r="AH9097" s="3"/>
    </row>
    <row r="9098" spans="1:34" ht="14.25" customHeight="1" x14ac:dyDescent="0.25">
      <c r="A9098" s="3"/>
      <c r="B9098" s="3"/>
      <c r="C9098" s="3"/>
      <c r="D9098" s="3"/>
      <c r="E9098" s="3"/>
      <c r="F9098" s="3"/>
      <c r="G9098" s="3"/>
      <c r="H9098" s="11"/>
      <c r="I9098" s="12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  <c r="AA9098" s="3"/>
      <c r="AB9098" s="3"/>
      <c r="AC9098" s="3"/>
      <c r="AD9098" s="3"/>
      <c r="AE9098" s="3"/>
      <c r="AF9098" s="3"/>
      <c r="AG9098" s="3"/>
      <c r="AH9098" s="3"/>
    </row>
    <row r="9099" spans="1:34" ht="14.25" customHeight="1" x14ac:dyDescent="0.25">
      <c r="A9099" s="3"/>
      <c r="B9099" s="3"/>
      <c r="C9099" s="3"/>
      <c r="D9099" s="3"/>
      <c r="E9099" s="3"/>
      <c r="F9099" s="3"/>
      <c r="G9099" s="3"/>
      <c r="H9099" s="11"/>
      <c r="I9099" s="12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  <c r="AA9099" s="3"/>
      <c r="AB9099" s="3"/>
      <c r="AC9099" s="3"/>
      <c r="AD9099" s="3"/>
      <c r="AE9099" s="3"/>
      <c r="AF9099" s="3"/>
      <c r="AG9099" s="3"/>
      <c r="AH9099" s="3"/>
    </row>
    <row r="9100" spans="1:34" ht="14.25" customHeight="1" x14ac:dyDescent="0.25">
      <c r="A9100" s="3"/>
      <c r="B9100" s="3"/>
      <c r="C9100" s="3"/>
      <c r="D9100" s="3"/>
      <c r="E9100" s="3"/>
      <c r="F9100" s="3"/>
      <c r="G9100" s="3"/>
      <c r="H9100" s="11"/>
      <c r="I9100" s="12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  <c r="AA9100" s="3"/>
      <c r="AB9100" s="3"/>
      <c r="AC9100" s="3"/>
      <c r="AD9100" s="3"/>
      <c r="AE9100" s="3"/>
      <c r="AF9100" s="3"/>
      <c r="AG9100" s="3"/>
      <c r="AH9100" s="3"/>
    </row>
    <row r="9101" spans="1:34" ht="14.25" customHeight="1" x14ac:dyDescent="0.25">
      <c r="A9101" s="3"/>
      <c r="B9101" s="3"/>
      <c r="C9101" s="3"/>
      <c r="D9101" s="3"/>
      <c r="E9101" s="3"/>
      <c r="F9101" s="3"/>
      <c r="G9101" s="3"/>
      <c r="H9101" s="11"/>
      <c r="I9101" s="12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  <c r="AA9101" s="3"/>
      <c r="AB9101" s="3"/>
      <c r="AC9101" s="3"/>
      <c r="AD9101" s="3"/>
      <c r="AE9101" s="3"/>
      <c r="AF9101" s="3"/>
      <c r="AG9101" s="3"/>
      <c r="AH9101" s="3"/>
    </row>
    <row r="9102" spans="1:34" ht="14.25" customHeight="1" x14ac:dyDescent="0.25">
      <c r="A9102" s="3"/>
      <c r="B9102" s="3"/>
      <c r="C9102" s="3"/>
      <c r="D9102" s="3"/>
      <c r="E9102" s="3"/>
      <c r="F9102" s="3"/>
      <c r="G9102" s="3"/>
      <c r="H9102" s="11"/>
      <c r="I9102" s="12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  <c r="AA9102" s="3"/>
      <c r="AB9102" s="3"/>
      <c r="AC9102" s="3"/>
      <c r="AD9102" s="3"/>
      <c r="AE9102" s="3"/>
      <c r="AF9102" s="3"/>
      <c r="AG9102" s="3"/>
      <c r="AH9102" s="3"/>
    </row>
    <row r="9103" spans="1:34" ht="14.25" customHeight="1" x14ac:dyDescent="0.25">
      <c r="A9103" s="3"/>
      <c r="B9103" s="3"/>
      <c r="C9103" s="3"/>
      <c r="D9103" s="3"/>
      <c r="E9103" s="3"/>
      <c r="F9103" s="3"/>
      <c r="G9103" s="3"/>
      <c r="H9103" s="11"/>
      <c r="I9103" s="12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  <c r="AA9103" s="3"/>
      <c r="AB9103" s="3"/>
      <c r="AC9103" s="3"/>
      <c r="AD9103" s="3"/>
      <c r="AE9103" s="3"/>
      <c r="AF9103" s="3"/>
      <c r="AG9103" s="3"/>
      <c r="AH9103" s="3"/>
    </row>
    <row r="9104" spans="1:34" ht="14.25" customHeight="1" x14ac:dyDescent="0.25">
      <c r="A9104" s="3"/>
      <c r="B9104" s="3"/>
      <c r="C9104" s="3"/>
      <c r="D9104" s="3"/>
      <c r="E9104" s="3"/>
      <c r="F9104" s="3"/>
      <c r="G9104" s="3"/>
      <c r="H9104" s="11"/>
      <c r="I9104" s="12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  <c r="AA9104" s="3"/>
      <c r="AB9104" s="3"/>
      <c r="AC9104" s="3"/>
      <c r="AD9104" s="3"/>
      <c r="AE9104" s="3"/>
      <c r="AF9104" s="3"/>
      <c r="AG9104" s="3"/>
      <c r="AH9104" s="3"/>
    </row>
    <row r="9105" spans="1:34" ht="14.25" customHeight="1" x14ac:dyDescent="0.25">
      <c r="A9105" s="3"/>
      <c r="B9105" s="3"/>
      <c r="C9105" s="3"/>
      <c r="D9105" s="3"/>
      <c r="E9105" s="3"/>
      <c r="F9105" s="3"/>
      <c r="G9105" s="3"/>
      <c r="H9105" s="11"/>
      <c r="I9105" s="12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  <c r="AA9105" s="3"/>
      <c r="AB9105" s="3"/>
      <c r="AC9105" s="3"/>
      <c r="AD9105" s="3"/>
      <c r="AE9105" s="3"/>
      <c r="AF9105" s="3"/>
      <c r="AG9105" s="3"/>
      <c r="AH9105" s="3"/>
    </row>
    <row r="9106" spans="1:34" ht="14.25" customHeight="1" x14ac:dyDescent="0.25">
      <c r="A9106" s="3"/>
      <c r="B9106" s="3"/>
      <c r="C9106" s="3"/>
      <c r="D9106" s="3"/>
      <c r="E9106" s="3"/>
      <c r="F9106" s="3"/>
      <c r="G9106" s="3"/>
      <c r="H9106" s="11"/>
      <c r="I9106" s="12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  <c r="AA9106" s="3"/>
      <c r="AB9106" s="3"/>
      <c r="AC9106" s="3"/>
      <c r="AD9106" s="3"/>
      <c r="AE9106" s="3"/>
      <c r="AF9106" s="3"/>
      <c r="AG9106" s="3"/>
      <c r="AH9106" s="3"/>
    </row>
    <row r="9107" spans="1:34" ht="14.25" customHeight="1" x14ac:dyDescent="0.25">
      <c r="A9107" s="3"/>
      <c r="B9107" s="3"/>
      <c r="C9107" s="3"/>
      <c r="D9107" s="3"/>
      <c r="E9107" s="3"/>
      <c r="F9107" s="3"/>
      <c r="G9107" s="3"/>
      <c r="H9107" s="11"/>
      <c r="I9107" s="12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  <c r="AA9107" s="3"/>
      <c r="AB9107" s="3"/>
      <c r="AC9107" s="3"/>
      <c r="AD9107" s="3"/>
      <c r="AE9107" s="3"/>
      <c r="AF9107" s="3"/>
      <c r="AG9107" s="3"/>
      <c r="AH9107" s="3"/>
    </row>
    <row r="9108" spans="1:34" ht="14.25" customHeight="1" x14ac:dyDescent="0.25">
      <c r="A9108" s="3"/>
      <c r="B9108" s="3"/>
      <c r="C9108" s="3"/>
      <c r="D9108" s="3"/>
      <c r="E9108" s="3"/>
      <c r="F9108" s="3"/>
      <c r="G9108" s="3"/>
      <c r="H9108" s="11"/>
      <c r="I9108" s="12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  <c r="AA9108" s="3"/>
      <c r="AB9108" s="3"/>
      <c r="AC9108" s="3"/>
      <c r="AD9108" s="3"/>
      <c r="AE9108" s="3"/>
      <c r="AF9108" s="3"/>
      <c r="AG9108" s="3"/>
      <c r="AH9108" s="3"/>
    </row>
    <row r="9109" spans="1:34" ht="14.25" customHeight="1" x14ac:dyDescent="0.25">
      <c r="A9109" s="3"/>
      <c r="B9109" s="3"/>
      <c r="C9109" s="3"/>
      <c r="D9109" s="3"/>
      <c r="E9109" s="3"/>
      <c r="F9109" s="3"/>
      <c r="G9109" s="3"/>
      <c r="H9109" s="11"/>
      <c r="I9109" s="12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  <c r="AA9109" s="3"/>
      <c r="AB9109" s="3"/>
      <c r="AC9109" s="3"/>
      <c r="AD9109" s="3"/>
      <c r="AE9109" s="3"/>
      <c r="AF9109" s="3"/>
      <c r="AG9109" s="3"/>
      <c r="AH9109" s="3"/>
    </row>
    <row r="9110" spans="1:34" ht="14.25" customHeight="1" x14ac:dyDescent="0.25">
      <c r="A9110" s="3"/>
      <c r="B9110" s="3"/>
      <c r="C9110" s="3"/>
      <c r="D9110" s="3"/>
      <c r="E9110" s="3"/>
      <c r="F9110" s="3"/>
      <c r="G9110" s="3"/>
      <c r="H9110" s="11"/>
      <c r="I9110" s="12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  <c r="AA9110" s="3"/>
      <c r="AB9110" s="3"/>
      <c r="AC9110" s="3"/>
      <c r="AD9110" s="3"/>
      <c r="AE9110" s="3"/>
      <c r="AF9110" s="3"/>
      <c r="AG9110" s="3"/>
      <c r="AH9110" s="3"/>
    </row>
    <row r="9111" spans="1:34" ht="14.25" customHeight="1" x14ac:dyDescent="0.25">
      <c r="A9111" s="3"/>
      <c r="B9111" s="3"/>
      <c r="C9111" s="3"/>
      <c r="D9111" s="3"/>
      <c r="E9111" s="3"/>
      <c r="F9111" s="3"/>
      <c r="G9111" s="3"/>
      <c r="H9111" s="11"/>
      <c r="I9111" s="12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  <c r="AA9111" s="3"/>
      <c r="AB9111" s="3"/>
      <c r="AC9111" s="3"/>
      <c r="AD9111" s="3"/>
      <c r="AE9111" s="3"/>
      <c r="AF9111" s="3"/>
      <c r="AG9111" s="3"/>
      <c r="AH9111" s="3"/>
    </row>
    <row r="9112" spans="1:34" ht="14.25" customHeight="1" x14ac:dyDescent="0.25">
      <c r="A9112" s="3"/>
      <c r="B9112" s="3"/>
      <c r="C9112" s="3"/>
      <c r="D9112" s="3"/>
      <c r="E9112" s="3"/>
      <c r="F9112" s="3"/>
      <c r="G9112" s="3"/>
      <c r="H9112" s="11"/>
      <c r="I9112" s="12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  <c r="AA9112" s="3"/>
      <c r="AB9112" s="3"/>
      <c r="AC9112" s="3"/>
      <c r="AD9112" s="3"/>
      <c r="AE9112" s="3"/>
      <c r="AF9112" s="3"/>
      <c r="AG9112" s="3"/>
      <c r="AH9112" s="3"/>
    </row>
    <row r="9113" spans="1:34" ht="14.25" customHeight="1" x14ac:dyDescent="0.25">
      <c r="A9113" s="3"/>
      <c r="B9113" s="3"/>
      <c r="C9113" s="3"/>
      <c r="D9113" s="3"/>
      <c r="E9113" s="3"/>
      <c r="F9113" s="3"/>
      <c r="G9113" s="3"/>
      <c r="H9113" s="11"/>
      <c r="I9113" s="12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  <c r="AA9113" s="3"/>
      <c r="AB9113" s="3"/>
      <c r="AC9113" s="3"/>
      <c r="AD9113" s="3"/>
      <c r="AE9113" s="3"/>
      <c r="AF9113" s="3"/>
      <c r="AG9113" s="3"/>
      <c r="AH9113" s="3"/>
    </row>
    <row r="9114" spans="1:34" ht="14.25" customHeight="1" x14ac:dyDescent="0.25">
      <c r="A9114" s="3"/>
      <c r="B9114" s="3"/>
      <c r="C9114" s="3"/>
      <c r="D9114" s="3"/>
      <c r="E9114" s="3"/>
      <c r="F9114" s="3"/>
      <c r="G9114" s="3"/>
      <c r="H9114" s="11"/>
      <c r="I9114" s="12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  <c r="AA9114" s="3"/>
      <c r="AB9114" s="3"/>
      <c r="AC9114" s="3"/>
      <c r="AD9114" s="3"/>
      <c r="AE9114" s="3"/>
      <c r="AF9114" s="3"/>
      <c r="AG9114" s="3"/>
      <c r="AH9114" s="3"/>
    </row>
    <row r="9115" spans="1:34" ht="14.25" customHeight="1" x14ac:dyDescent="0.25">
      <c r="A9115" s="3"/>
      <c r="B9115" s="3"/>
      <c r="C9115" s="3"/>
      <c r="D9115" s="3"/>
      <c r="E9115" s="3"/>
      <c r="F9115" s="3"/>
      <c r="G9115" s="3"/>
      <c r="H9115" s="11"/>
      <c r="I9115" s="12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  <c r="AA9115" s="3"/>
      <c r="AB9115" s="3"/>
      <c r="AC9115" s="3"/>
      <c r="AD9115" s="3"/>
      <c r="AE9115" s="3"/>
      <c r="AF9115" s="3"/>
      <c r="AG9115" s="3"/>
      <c r="AH9115" s="3"/>
    </row>
    <row r="9116" spans="1:34" ht="14.25" customHeight="1" x14ac:dyDescent="0.25">
      <c r="A9116" s="3"/>
      <c r="B9116" s="3"/>
      <c r="C9116" s="3"/>
      <c r="D9116" s="3"/>
      <c r="E9116" s="3"/>
      <c r="F9116" s="3"/>
      <c r="G9116" s="3"/>
      <c r="H9116" s="11"/>
      <c r="I9116" s="12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  <c r="AA9116" s="3"/>
      <c r="AB9116" s="3"/>
      <c r="AC9116" s="3"/>
      <c r="AD9116" s="3"/>
      <c r="AE9116" s="3"/>
      <c r="AF9116" s="3"/>
      <c r="AG9116" s="3"/>
      <c r="AH9116" s="3"/>
    </row>
    <row r="9117" spans="1:34" ht="14.25" customHeight="1" x14ac:dyDescent="0.25">
      <c r="A9117" s="3"/>
      <c r="B9117" s="3"/>
      <c r="C9117" s="3"/>
      <c r="D9117" s="3"/>
      <c r="E9117" s="3"/>
      <c r="F9117" s="3"/>
      <c r="G9117" s="3"/>
      <c r="H9117" s="11"/>
      <c r="I9117" s="12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  <c r="AA9117" s="3"/>
      <c r="AB9117" s="3"/>
      <c r="AC9117" s="3"/>
      <c r="AD9117" s="3"/>
      <c r="AE9117" s="3"/>
      <c r="AF9117" s="3"/>
      <c r="AG9117" s="3"/>
      <c r="AH9117" s="3"/>
    </row>
    <row r="9118" spans="1:34" ht="14.25" customHeight="1" x14ac:dyDescent="0.25">
      <c r="A9118" s="3"/>
      <c r="B9118" s="3"/>
      <c r="C9118" s="3"/>
      <c r="D9118" s="3"/>
      <c r="E9118" s="3"/>
      <c r="F9118" s="3"/>
      <c r="G9118" s="3"/>
      <c r="H9118" s="11"/>
      <c r="I9118" s="12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  <c r="AA9118" s="3"/>
      <c r="AB9118" s="3"/>
      <c r="AC9118" s="3"/>
      <c r="AD9118" s="3"/>
      <c r="AE9118" s="3"/>
      <c r="AF9118" s="3"/>
      <c r="AG9118" s="3"/>
      <c r="AH9118" s="3"/>
    </row>
    <row r="9119" spans="1:34" ht="14.25" customHeight="1" x14ac:dyDescent="0.25">
      <c r="A9119" s="3"/>
      <c r="B9119" s="3"/>
      <c r="C9119" s="3"/>
      <c r="D9119" s="3"/>
      <c r="E9119" s="3"/>
      <c r="F9119" s="3"/>
      <c r="G9119" s="3"/>
      <c r="H9119" s="11"/>
      <c r="I9119" s="12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  <c r="AA9119" s="3"/>
      <c r="AB9119" s="3"/>
      <c r="AC9119" s="3"/>
      <c r="AD9119" s="3"/>
      <c r="AE9119" s="3"/>
      <c r="AF9119" s="3"/>
      <c r="AG9119" s="3"/>
      <c r="AH9119" s="3"/>
    </row>
    <row r="9120" spans="1:34" ht="14.25" customHeight="1" x14ac:dyDescent="0.25">
      <c r="A9120" s="3"/>
      <c r="B9120" s="3"/>
      <c r="C9120" s="3"/>
      <c r="D9120" s="3"/>
      <c r="E9120" s="3"/>
      <c r="F9120" s="3"/>
      <c r="G9120" s="3"/>
      <c r="H9120" s="11"/>
      <c r="I9120" s="12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  <c r="AA9120" s="3"/>
      <c r="AB9120" s="3"/>
      <c r="AC9120" s="3"/>
      <c r="AD9120" s="3"/>
      <c r="AE9120" s="3"/>
      <c r="AF9120" s="3"/>
      <c r="AG9120" s="3"/>
      <c r="AH9120" s="3"/>
    </row>
    <row r="9121" spans="1:34" ht="14.25" customHeight="1" x14ac:dyDescent="0.25">
      <c r="A9121" s="3"/>
      <c r="B9121" s="3"/>
      <c r="C9121" s="3"/>
      <c r="D9121" s="3"/>
      <c r="E9121" s="3"/>
      <c r="F9121" s="3"/>
      <c r="G9121" s="3"/>
      <c r="H9121" s="11"/>
      <c r="I9121" s="12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  <c r="AA9121" s="3"/>
      <c r="AB9121" s="3"/>
      <c r="AC9121" s="3"/>
      <c r="AD9121" s="3"/>
      <c r="AE9121" s="3"/>
      <c r="AF9121" s="3"/>
      <c r="AG9121" s="3"/>
      <c r="AH9121" s="3"/>
    </row>
    <row r="9122" spans="1:34" ht="14.25" customHeight="1" x14ac:dyDescent="0.25">
      <c r="A9122" s="3"/>
      <c r="B9122" s="3"/>
      <c r="C9122" s="3"/>
      <c r="D9122" s="3"/>
      <c r="E9122" s="3"/>
      <c r="F9122" s="3"/>
      <c r="G9122" s="3"/>
      <c r="H9122" s="11"/>
      <c r="I9122" s="12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  <c r="AA9122" s="3"/>
      <c r="AB9122" s="3"/>
      <c r="AC9122" s="3"/>
      <c r="AD9122" s="3"/>
      <c r="AE9122" s="3"/>
      <c r="AF9122" s="3"/>
      <c r="AG9122" s="3"/>
      <c r="AH9122" s="3"/>
    </row>
    <row r="9123" spans="1:34" ht="14.25" customHeight="1" x14ac:dyDescent="0.25">
      <c r="A9123" s="3"/>
      <c r="B9123" s="3"/>
      <c r="C9123" s="3"/>
      <c r="D9123" s="3"/>
      <c r="E9123" s="3"/>
      <c r="F9123" s="3"/>
      <c r="G9123" s="3"/>
      <c r="H9123" s="11"/>
      <c r="I9123" s="12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  <c r="AA9123" s="3"/>
      <c r="AB9123" s="3"/>
      <c r="AC9123" s="3"/>
      <c r="AD9123" s="3"/>
      <c r="AE9123" s="3"/>
      <c r="AF9123" s="3"/>
      <c r="AG9123" s="3"/>
      <c r="AH9123" s="3"/>
    </row>
    <row r="9124" spans="1:34" ht="14.25" customHeight="1" x14ac:dyDescent="0.25">
      <c r="A9124" s="3"/>
      <c r="B9124" s="3"/>
      <c r="C9124" s="3"/>
      <c r="D9124" s="3"/>
      <c r="E9124" s="3"/>
      <c r="F9124" s="3"/>
      <c r="G9124" s="3"/>
      <c r="H9124" s="11"/>
      <c r="I9124" s="12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  <c r="AA9124" s="3"/>
      <c r="AB9124" s="3"/>
      <c r="AC9124" s="3"/>
      <c r="AD9124" s="3"/>
      <c r="AE9124" s="3"/>
      <c r="AF9124" s="3"/>
      <c r="AG9124" s="3"/>
      <c r="AH9124" s="3"/>
    </row>
    <row r="9125" spans="1:34" ht="14.25" customHeight="1" x14ac:dyDescent="0.25">
      <c r="A9125" s="3"/>
      <c r="B9125" s="3"/>
      <c r="C9125" s="3"/>
      <c r="D9125" s="3"/>
      <c r="E9125" s="3"/>
      <c r="F9125" s="3"/>
      <c r="G9125" s="3"/>
      <c r="H9125" s="11"/>
      <c r="I9125" s="12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  <c r="AA9125" s="3"/>
      <c r="AB9125" s="3"/>
      <c r="AC9125" s="3"/>
      <c r="AD9125" s="3"/>
      <c r="AE9125" s="3"/>
      <c r="AF9125" s="3"/>
      <c r="AG9125" s="3"/>
      <c r="AH9125" s="3"/>
    </row>
    <row r="9126" spans="1:34" ht="14.25" customHeight="1" x14ac:dyDescent="0.25">
      <c r="A9126" s="3"/>
      <c r="B9126" s="3"/>
      <c r="C9126" s="3"/>
      <c r="D9126" s="3"/>
      <c r="E9126" s="3"/>
      <c r="F9126" s="3"/>
      <c r="G9126" s="3"/>
      <c r="H9126" s="11"/>
      <c r="I9126" s="12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  <c r="AA9126" s="3"/>
      <c r="AB9126" s="3"/>
      <c r="AC9126" s="3"/>
      <c r="AD9126" s="3"/>
      <c r="AE9126" s="3"/>
      <c r="AF9126" s="3"/>
      <c r="AG9126" s="3"/>
      <c r="AH9126" s="3"/>
    </row>
    <row r="9127" spans="1:34" ht="14.25" customHeight="1" x14ac:dyDescent="0.25">
      <c r="A9127" s="3"/>
      <c r="B9127" s="3"/>
      <c r="C9127" s="3"/>
      <c r="D9127" s="3"/>
      <c r="E9127" s="3"/>
      <c r="F9127" s="3"/>
      <c r="G9127" s="3"/>
      <c r="H9127" s="11"/>
      <c r="I9127" s="12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  <c r="AA9127" s="3"/>
      <c r="AB9127" s="3"/>
      <c r="AC9127" s="3"/>
      <c r="AD9127" s="3"/>
      <c r="AE9127" s="3"/>
      <c r="AF9127" s="3"/>
      <c r="AG9127" s="3"/>
      <c r="AH9127" s="3"/>
    </row>
    <row r="9128" spans="1:34" ht="14.25" customHeight="1" x14ac:dyDescent="0.25">
      <c r="A9128" s="3"/>
      <c r="B9128" s="3"/>
      <c r="C9128" s="3"/>
      <c r="D9128" s="3"/>
      <c r="E9128" s="3"/>
      <c r="F9128" s="3"/>
      <c r="G9128" s="3"/>
      <c r="H9128" s="11"/>
      <c r="I9128" s="12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  <c r="AA9128" s="3"/>
      <c r="AB9128" s="3"/>
      <c r="AC9128" s="3"/>
      <c r="AD9128" s="3"/>
      <c r="AE9128" s="3"/>
      <c r="AF9128" s="3"/>
      <c r="AG9128" s="3"/>
      <c r="AH9128" s="3"/>
    </row>
    <row r="9129" spans="1:34" ht="14.25" customHeight="1" x14ac:dyDescent="0.25">
      <c r="A9129" s="3"/>
      <c r="B9129" s="3"/>
      <c r="C9129" s="3"/>
      <c r="D9129" s="3"/>
      <c r="E9129" s="3"/>
      <c r="F9129" s="3"/>
      <c r="G9129" s="3"/>
      <c r="H9129" s="11"/>
      <c r="I9129" s="12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  <c r="AA9129" s="3"/>
      <c r="AB9129" s="3"/>
      <c r="AC9129" s="3"/>
      <c r="AD9129" s="3"/>
      <c r="AE9129" s="3"/>
      <c r="AF9129" s="3"/>
      <c r="AG9129" s="3"/>
      <c r="AH9129" s="3"/>
    </row>
    <row r="9130" spans="1:34" ht="14.25" customHeight="1" x14ac:dyDescent="0.25">
      <c r="A9130" s="3"/>
      <c r="B9130" s="3"/>
      <c r="C9130" s="3"/>
      <c r="D9130" s="3"/>
      <c r="E9130" s="3"/>
      <c r="F9130" s="3"/>
      <c r="G9130" s="3"/>
      <c r="H9130" s="11"/>
      <c r="I9130" s="12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  <c r="AA9130" s="3"/>
      <c r="AB9130" s="3"/>
      <c r="AC9130" s="3"/>
      <c r="AD9130" s="3"/>
      <c r="AE9130" s="3"/>
      <c r="AF9130" s="3"/>
      <c r="AG9130" s="3"/>
      <c r="AH9130" s="3"/>
    </row>
    <row r="9131" spans="1:34" ht="14.25" customHeight="1" x14ac:dyDescent="0.25">
      <c r="A9131" s="3"/>
      <c r="B9131" s="3"/>
      <c r="C9131" s="3"/>
      <c r="D9131" s="3"/>
      <c r="E9131" s="3"/>
      <c r="F9131" s="3"/>
      <c r="G9131" s="3"/>
      <c r="H9131" s="11"/>
      <c r="I9131" s="12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  <c r="AA9131" s="3"/>
      <c r="AB9131" s="3"/>
      <c r="AC9131" s="3"/>
      <c r="AD9131" s="3"/>
      <c r="AE9131" s="3"/>
      <c r="AF9131" s="3"/>
      <c r="AG9131" s="3"/>
      <c r="AH9131" s="3"/>
    </row>
    <row r="9132" spans="1:34" ht="14.25" customHeight="1" x14ac:dyDescent="0.25">
      <c r="A9132" s="3"/>
      <c r="B9132" s="3"/>
      <c r="C9132" s="3"/>
      <c r="D9132" s="3"/>
      <c r="E9132" s="3"/>
      <c r="F9132" s="3"/>
      <c r="G9132" s="3"/>
      <c r="H9132" s="11"/>
      <c r="I9132" s="12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  <c r="AA9132" s="3"/>
      <c r="AB9132" s="3"/>
      <c r="AC9132" s="3"/>
      <c r="AD9132" s="3"/>
      <c r="AE9132" s="3"/>
      <c r="AF9132" s="3"/>
      <c r="AG9132" s="3"/>
      <c r="AH9132" s="3"/>
    </row>
    <row r="9133" spans="1:34" ht="14.25" customHeight="1" x14ac:dyDescent="0.25">
      <c r="A9133" s="3"/>
      <c r="B9133" s="3"/>
      <c r="C9133" s="3"/>
      <c r="D9133" s="3"/>
      <c r="E9133" s="3"/>
      <c r="F9133" s="3"/>
      <c r="G9133" s="3"/>
      <c r="H9133" s="11"/>
      <c r="I9133" s="12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  <c r="AA9133" s="3"/>
      <c r="AB9133" s="3"/>
      <c r="AC9133" s="3"/>
      <c r="AD9133" s="3"/>
      <c r="AE9133" s="3"/>
      <c r="AF9133" s="3"/>
      <c r="AG9133" s="3"/>
      <c r="AH9133" s="3"/>
    </row>
    <row r="9134" spans="1:34" ht="14.25" customHeight="1" x14ac:dyDescent="0.25">
      <c r="A9134" s="3"/>
      <c r="B9134" s="3"/>
      <c r="C9134" s="3"/>
      <c r="D9134" s="3"/>
      <c r="E9134" s="3"/>
      <c r="F9134" s="3"/>
      <c r="G9134" s="3"/>
      <c r="H9134" s="11"/>
      <c r="I9134" s="12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  <c r="AA9134" s="3"/>
      <c r="AB9134" s="3"/>
      <c r="AC9134" s="3"/>
      <c r="AD9134" s="3"/>
      <c r="AE9134" s="3"/>
      <c r="AF9134" s="3"/>
      <c r="AG9134" s="3"/>
      <c r="AH9134" s="3"/>
    </row>
    <row r="9135" spans="1:34" ht="14.25" customHeight="1" x14ac:dyDescent="0.25">
      <c r="A9135" s="3"/>
      <c r="B9135" s="3"/>
      <c r="C9135" s="3"/>
      <c r="D9135" s="3"/>
      <c r="E9135" s="3"/>
      <c r="F9135" s="3"/>
      <c r="G9135" s="3"/>
      <c r="H9135" s="11"/>
      <c r="I9135" s="12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  <c r="AA9135" s="3"/>
      <c r="AB9135" s="3"/>
      <c r="AC9135" s="3"/>
      <c r="AD9135" s="3"/>
      <c r="AE9135" s="3"/>
      <c r="AF9135" s="3"/>
      <c r="AG9135" s="3"/>
      <c r="AH9135" s="3"/>
    </row>
    <row r="9136" spans="1:34" ht="14.25" customHeight="1" x14ac:dyDescent="0.25">
      <c r="A9136" s="3"/>
      <c r="B9136" s="3"/>
      <c r="C9136" s="3"/>
      <c r="D9136" s="3"/>
      <c r="E9136" s="3"/>
      <c r="F9136" s="3"/>
      <c r="G9136" s="3"/>
      <c r="H9136" s="11"/>
      <c r="I9136" s="12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  <c r="AA9136" s="3"/>
      <c r="AB9136" s="3"/>
      <c r="AC9136" s="3"/>
      <c r="AD9136" s="3"/>
      <c r="AE9136" s="3"/>
      <c r="AF9136" s="3"/>
      <c r="AG9136" s="3"/>
      <c r="AH9136" s="3"/>
    </row>
    <row r="9137" spans="1:34" ht="14.25" customHeight="1" x14ac:dyDescent="0.25">
      <c r="A9137" s="3"/>
      <c r="B9137" s="3"/>
      <c r="C9137" s="3"/>
      <c r="D9137" s="3"/>
      <c r="E9137" s="3"/>
      <c r="F9137" s="3"/>
      <c r="G9137" s="3"/>
      <c r="H9137" s="11"/>
      <c r="I9137" s="12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  <c r="AA9137" s="3"/>
      <c r="AB9137" s="3"/>
      <c r="AC9137" s="3"/>
      <c r="AD9137" s="3"/>
      <c r="AE9137" s="3"/>
      <c r="AF9137" s="3"/>
      <c r="AG9137" s="3"/>
      <c r="AH9137" s="3"/>
    </row>
    <row r="9138" spans="1:34" ht="14.25" customHeight="1" x14ac:dyDescent="0.25">
      <c r="A9138" s="3"/>
      <c r="B9138" s="3"/>
      <c r="C9138" s="3"/>
      <c r="D9138" s="3"/>
      <c r="E9138" s="3"/>
      <c r="F9138" s="3"/>
      <c r="G9138" s="3"/>
      <c r="H9138" s="11"/>
      <c r="I9138" s="12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  <c r="AA9138" s="3"/>
      <c r="AB9138" s="3"/>
      <c r="AC9138" s="3"/>
      <c r="AD9138" s="3"/>
      <c r="AE9138" s="3"/>
      <c r="AF9138" s="3"/>
      <c r="AG9138" s="3"/>
      <c r="AH9138" s="3"/>
    </row>
    <row r="9139" spans="1:34" ht="14.25" customHeight="1" x14ac:dyDescent="0.25">
      <c r="A9139" s="3"/>
      <c r="B9139" s="3"/>
      <c r="C9139" s="3"/>
      <c r="D9139" s="3"/>
      <c r="E9139" s="3"/>
      <c r="F9139" s="3"/>
      <c r="G9139" s="3"/>
      <c r="H9139" s="11"/>
      <c r="I9139" s="12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  <c r="AA9139" s="3"/>
      <c r="AB9139" s="3"/>
      <c r="AC9139" s="3"/>
      <c r="AD9139" s="3"/>
      <c r="AE9139" s="3"/>
      <c r="AF9139" s="3"/>
      <c r="AG9139" s="3"/>
      <c r="AH9139" s="3"/>
    </row>
    <row r="9140" spans="1:34" ht="14.25" customHeight="1" x14ac:dyDescent="0.25">
      <c r="A9140" s="3"/>
      <c r="B9140" s="3"/>
      <c r="C9140" s="3"/>
      <c r="D9140" s="3"/>
      <c r="E9140" s="3"/>
      <c r="F9140" s="3"/>
      <c r="G9140" s="3"/>
      <c r="H9140" s="11"/>
      <c r="I9140" s="12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  <c r="AA9140" s="3"/>
      <c r="AB9140" s="3"/>
      <c r="AC9140" s="3"/>
      <c r="AD9140" s="3"/>
      <c r="AE9140" s="3"/>
      <c r="AF9140" s="3"/>
      <c r="AG9140" s="3"/>
      <c r="AH9140" s="3"/>
    </row>
    <row r="9141" spans="1:34" ht="14.25" customHeight="1" x14ac:dyDescent="0.25">
      <c r="A9141" s="3"/>
      <c r="B9141" s="3"/>
      <c r="C9141" s="3"/>
      <c r="D9141" s="3"/>
      <c r="E9141" s="3"/>
      <c r="F9141" s="3"/>
      <c r="G9141" s="3"/>
      <c r="H9141" s="11"/>
      <c r="I9141" s="12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  <c r="AA9141" s="3"/>
      <c r="AB9141" s="3"/>
      <c r="AC9141" s="3"/>
      <c r="AD9141" s="3"/>
      <c r="AE9141" s="3"/>
      <c r="AF9141" s="3"/>
      <c r="AG9141" s="3"/>
      <c r="AH9141" s="3"/>
    </row>
    <row r="9142" spans="1:34" ht="14.25" customHeight="1" x14ac:dyDescent="0.25">
      <c r="A9142" s="3"/>
      <c r="B9142" s="3"/>
      <c r="C9142" s="3"/>
      <c r="D9142" s="3"/>
      <c r="E9142" s="3"/>
      <c r="F9142" s="3"/>
      <c r="G9142" s="3"/>
      <c r="H9142" s="11"/>
      <c r="I9142" s="12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  <c r="AA9142" s="3"/>
      <c r="AB9142" s="3"/>
      <c r="AC9142" s="3"/>
      <c r="AD9142" s="3"/>
      <c r="AE9142" s="3"/>
      <c r="AF9142" s="3"/>
      <c r="AG9142" s="3"/>
      <c r="AH9142" s="3"/>
    </row>
    <row r="9143" spans="1:34" ht="14.25" customHeight="1" x14ac:dyDescent="0.25">
      <c r="A9143" s="3"/>
      <c r="B9143" s="3"/>
      <c r="C9143" s="3"/>
      <c r="D9143" s="3"/>
      <c r="E9143" s="3"/>
      <c r="F9143" s="3"/>
      <c r="G9143" s="3"/>
      <c r="H9143" s="11"/>
      <c r="I9143" s="12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  <c r="AA9143" s="3"/>
      <c r="AB9143" s="3"/>
      <c r="AC9143" s="3"/>
      <c r="AD9143" s="3"/>
      <c r="AE9143" s="3"/>
      <c r="AF9143" s="3"/>
      <c r="AG9143" s="3"/>
      <c r="AH9143" s="3"/>
    </row>
    <row r="9144" spans="1:34" ht="14.25" customHeight="1" x14ac:dyDescent="0.25">
      <c r="A9144" s="3"/>
      <c r="B9144" s="3"/>
      <c r="C9144" s="3"/>
      <c r="D9144" s="3"/>
      <c r="E9144" s="3"/>
      <c r="F9144" s="3"/>
      <c r="G9144" s="3"/>
      <c r="H9144" s="11"/>
      <c r="I9144" s="12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  <c r="AA9144" s="3"/>
      <c r="AB9144" s="3"/>
      <c r="AC9144" s="3"/>
      <c r="AD9144" s="3"/>
      <c r="AE9144" s="3"/>
      <c r="AF9144" s="3"/>
      <c r="AG9144" s="3"/>
      <c r="AH9144" s="3"/>
    </row>
    <row r="9145" spans="1:34" ht="14.25" customHeight="1" x14ac:dyDescent="0.25">
      <c r="A9145" s="3"/>
      <c r="B9145" s="3"/>
      <c r="C9145" s="3"/>
      <c r="D9145" s="3"/>
      <c r="E9145" s="3"/>
      <c r="F9145" s="3"/>
      <c r="G9145" s="3"/>
      <c r="H9145" s="11"/>
      <c r="I9145" s="12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  <c r="AA9145" s="3"/>
      <c r="AB9145" s="3"/>
      <c r="AC9145" s="3"/>
      <c r="AD9145" s="3"/>
      <c r="AE9145" s="3"/>
      <c r="AF9145" s="3"/>
      <c r="AG9145" s="3"/>
      <c r="AH9145" s="3"/>
    </row>
    <row r="9146" spans="1:34" ht="14.25" customHeight="1" x14ac:dyDescent="0.25">
      <c r="A9146" s="3"/>
      <c r="B9146" s="3"/>
      <c r="C9146" s="3"/>
      <c r="D9146" s="3"/>
      <c r="E9146" s="3"/>
      <c r="F9146" s="3"/>
      <c r="G9146" s="3"/>
      <c r="H9146" s="11"/>
      <c r="I9146" s="12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  <c r="AA9146" s="3"/>
      <c r="AB9146" s="3"/>
      <c r="AC9146" s="3"/>
      <c r="AD9146" s="3"/>
      <c r="AE9146" s="3"/>
      <c r="AF9146" s="3"/>
      <c r="AG9146" s="3"/>
      <c r="AH9146" s="3"/>
    </row>
    <row r="9147" spans="1:34" ht="14.25" customHeight="1" x14ac:dyDescent="0.25">
      <c r="A9147" s="3"/>
      <c r="B9147" s="3"/>
      <c r="C9147" s="3"/>
      <c r="D9147" s="3"/>
      <c r="E9147" s="3"/>
      <c r="F9147" s="3"/>
      <c r="G9147" s="3"/>
      <c r="H9147" s="11"/>
      <c r="I9147" s="12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  <c r="AA9147" s="3"/>
      <c r="AB9147" s="3"/>
      <c r="AC9147" s="3"/>
      <c r="AD9147" s="3"/>
      <c r="AE9147" s="3"/>
      <c r="AF9147" s="3"/>
      <c r="AG9147" s="3"/>
      <c r="AH9147" s="3"/>
    </row>
    <row r="9148" spans="1:34" ht="14.25" customHeight="1" x14ac:dyDescent="0.25">
      <c r="A9148" s="3"/>
      <c r="B9148" s="3"/>
      <c r="C9148" s="3"/>
      <c r="D9148" s="3"/>
      <c r="E9148" s="3"/>
      <c r="F9148" s="3"/>
      <c r="G9148" s="3"/>
      <c r="H9148" s="11"/>
      <c r="I9148" s="12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  <c r="AA9148" s="3"/>
      <c r="AB9148" s="3"/>
      <c r="AC9148" s="3"/>
      <c r="AD9148" s="3"/>
      <c r="AE9148" s="3"/>
      <c r="AF9148" s="3"/>
      <c r="AG9148" s="3"/>
      <c r="AH9148" s="3"/>
    </row>
    <row r="9149" spans="1:34" ht="14.25" customHeight="1" x14ac:dyDescent="0.25">
      <c r="A9149" s="3"/>
      <c r="B9149" s="3"/>
      <c r="C9149" s="3"/>
      <c r="D9149" s="3"/>
      <c r="E9149" s="3"/>
      <c r="F9149" s="3"/>
      <c r="G9149" s="3"/>
      <c r="H9149" s="11"/>
      <c r="I9149" s="12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  <c r="AA9149" s="3"/>
      <c r="AB9149" s="3"/>
      <c r="AC9149" s="3"/>
      <c r="AD9149" s="3"/>
      <c r="AE9149" s="3"/>
      <c r="AF9149" s="3"/>
      <c r="AG9149" s="3"/>
      <c r="AH9149" s="3"/>
    </row>
    <row r="9150" spans="1:34" ht="14.25" customHeight="1" x14ac:dyDescent="0.25">
      <c r="A9150" s="3"/>
      <c r="B9150" s="3"/>
      <c r="C9150" s="3"/>
      <c r="D9150" s="3"/>
      <c r="E9150" s="3"/>
      <c r="F9150" s="3"/>
      <c r="G9150" s="3"/>
      <c r="H9150" s="11"/>
      <c r="I9150" s="12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  <c r="AA9150" s="3"/>
      <c r="AB9150" s="3"/>
      <c r="AC9150" s="3"/>
      <c r="AD9150" s="3"/>
      <c r="AE9150" s="3"/>
      <c r="AF9150" s="3"/>
      <c r="AG9150" s="3"/>
      <c r="AH9150" s="3"/>
    </row>
    <row r="9151" spans="1:34" ht="14.25" customHeight="1" x14ac:dyDescent="0.25">
      <c r="A9151" s="3"/>
      <c r="B9151" s="3"/>
      <c r="C9151" s="3"/>
      <c r="D9151" s="3"/>
      <c r="E9151" s="3"/>
      <c r="F9151" s="3"/>
      <c r="G9151" s="3"/>
      <c r="H9151" s="11"/>
      <c r="I9151" s="12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  <c r="AA9151" s="3"/>
      <c r="AB9151" s="3"/>
      <c r="AC9151" s="3"/>
      <c r="AD9151" s="3"/>
      <c r="AE9151" s="3"/>
      <c r="AF9151" s="3"/>
      <c r="AG9151" s="3"/>
      <c r="AH9151" s="3"/>
    </row>
    <row r="9152" spans="1:34" ht="14.25" customHeight="1" x14ac:dyDescent="0.25">
      <c r="A9152" s="3"/>
      <c r="B9152" s="3"/>
      <c r="C9152" s="3"/>
      <c r="D9152" s="3"/>
      <c r="E9152" s="3"/>
      <c r="F9152" s="3"/>
      <c r="G9152" s="3"/>
      <c r="H9152" s="11"/>
      <c r="I9152" s="12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  <c r="AA9152" s="3"/>
      <c r="AB9152" s="3"/>
      <c r="AC9152" s="3"/>
      <c r="AD9152" s="3"/>
      <c r="AE9152" s="3"/>
      <c r="AF9152" s="3"/>
      <c r="AG9152" s="3"/>
      <c r="AH9152" s="3"/>
    </row>
    <row r="9153" spans="1:34" ht="14.25" customHeight="1" x14ac:dyDescent="0.25">
      <c r="A9153" s="3"/>
      <c r="B9153" s="3"/>
      <c r="C9153" s="3"/>
      <c r="D9153" s="3"/>
      <c r="E9153" s="3"/>
      <c r="F9153" s="3"/>
      <c r="G9153" s="3"/>
      <c r="H9153" s="11"/>
      <c r="I9153" s="12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  <c r="AA9153" s="3"/>
      <c r="AB9153" s="3"/>
      <c r="AC9153" s="3"/>
      <c r="AD9153" s="3"/>
      <c r="AE9153" s="3"/>
      <c r="AF9153" s="3"/>
      <c r="AG9153" s="3"/>
      <c r="AH9153" s="3"/>
    </row>
    <row r="9154" spans="1:34" ht="14.25" customHeight="1" x14ac:dyDescent="0.25">
      <c r="A9154" s="3"/>
      <c r="B9154" s="3"/>
      <c r="C9154" s="3"/>
      <c r="D9154" s="3"/>
      <c r="E9154" s="3"/>
      <c r="F9154" s="3"/>
      <c r="G9154" s="3"/>
      <c r="H9154" s="11"/>
      <c r="I9154" s="12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  <c r="AA9154" s="3"/>
      <c r="AB9154" s="3"/>
      <c r="AC9154" s="3"/>
      <c r="AD9154" s="3"/>
      <c r="AE9154" s="3"/>
      <c r="AF9154" s="3"/>
      <c r="AG9154" s="3"/>
      <c r="AH9154" s="3"/>
    </row>
    <row r="9155" spans="1:34" ht="14.25" customHeight="1" x14ac:dyDescent="0.25">
      <c r="A9155" s="3"/>
      <c r="B9155" s="3"/>
      <c r="C9155" s="3"/>
      <c r="D9155" s="3"/>
      <c r="E9155" s="3"/>
      <c r="F9155" s="3"/>
      <c r="G9155" s="3"/>
      <c r="H9155" s="11"/>
      <c r="I9155" s="12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  <c r="AA9155" s="3"/>
      <c r="AB9155" s="3"/>
      <c r="AC9155" s="3"/>
      <c r="AD9155" s="3"/>
      <c r="AE9155" s="3"/>
      <c r="AF9155" s="3"/>
      <c r="AG9155" s="3"/>
      <c r="AH9155" s="3"/>
    </row>
    <row r="9156" spans="1:34" ht="14.25" customHeight="1" x14ac:dyDescent="0.25">
      <c r="A9156" s="3"/>
      <c r="B9156" s="3"/>
      <c r="C9156" s="3"/>
      <c r="D9156" s="3"/>
      <c r="E9156" s="3"/>
      <c r="F9156" s="3"/>
      <c r="G9156" s="3"/>
      <c r="H9156" s="11"/>
      <c r="I9156" s="12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  <c r="AA9156" s="3"/>
      <c r="AB9156" s="3"/>
      <c r="AC9156" s="3"/>
      <c r="AD9156" s="3"/>
      <c r="AE9156" s="3"/>
      <c r="AF9156" s="3"/>
      <c r="AG9156" s="3"/>
      <c r="AH9156" s="3"/>
    </row>
    <row r="9157" spans="1:34" ht="14.25" customHeight="1" x14ac:dyDescent="0.25">
      <c r="A9157" s="3"/>
      <c r="B9157" s="3"/>
      <c r="C9157" s="3"/>
      <c r="D9157" s="3"/>
      <c r="E9157" s="3"/>
      <c r="F9157" s="3"/>
      <c r="G9157" s="3"/>
      <c r="H9157" s="11"/>
      <c r="I9157" s="12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  <c r="AA9157" s="3"/>
      <c r="AB9157" s="3"/>
      <c r="AC9157" s="3"/>
      <c r="AD9157" s="3"/>
      <c r="AE9157" s="3"/>
      <c r="AF9157" s="3"/>
      <c r="AG9157" s="3"/>
      <c r="AH9157" s="3"/>
    </row>
    <row r="9158" spans="1:34" ht="14.25" customHeight="1" x14ac:dyDescent="0.25">
      <c r="A9158" s="3"/>
      <c r="B9158" s="3"/>
      <c r="C9158" s="3"/>
      <c r="D9158" s="3"/>
      <c r="E9158" s="3"/>
      <c r="F9158" s="3"/>
      <c r="G9158" s="3"/>
      <c r="H9158" s="11"/>
      <c r="I9158" s="12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  <c r="AA9158" s="3"/>
      <c r="AB9158" s="3"/>
      <c r="AC9158" s="3"/>
      <c r="AD9158" s="3"/>
      <c r="AE9158" s="3"/>
      <c r="AF9158" s="3"/>
      <c r="AG9158" s="3"/>
      <c r="AH9158" s="3"/>
    </row>
    <row r="9159" spans="1:34" ht="14.25" customHeight="1" x14ac:dyDescent="0.25">
      <c r="A9159" s="3"/>
      <c r="B9159" s="3"/>
      <c r="C9159" s="3"/>
      <c r="D9159" s="3"/>
      <c r="E9159" s="3"/>
      <c r="F9159" s="3"/>
      <c r="G9159" s="3"/>
      <c r="H9159" s="11"/>
      <c r="I9159" s="12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  <c r="AA9159" s="3"/>
      <c r="AB9159" s="3"/>
      <c r="AC9159" s="3"/>
      <c r="AD9159" s="3"/>
      <c r="AE9159" s="3"/>
      <c r="AF9159" s="3"/>
      <c r="AG9159" s="3"/>
      <c r="AH9159" s="3"/>
    </row>
    <row r="9160" spans="1:34" ht="14.25" customHeight="1" x14ac:dyDescent="0.25">
      <c r="A9160" s="3"/>
      <c r="B9160" s="3"/>
      <c r="C9160" s="3"/>
      <c r="D9160" s="3"/>
      <c r="E9160" s="3"/>
      <c r="F9160" s="3"/>
      <c r="G9160" s="3"/>
      <c r="H9160" s="11"/>
      <c r="I9160" s="12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  <c r="AA9160" s="3"/>
      <c r="AB9160" s="3"/>
      <c r="AC9160" s="3"/>
      <c r="AD9160" s="3"/>
      <c r="AE9160" s="3"/>
      <c r="AF9160" s="3"/>
      <c r="AG9160" s="3"/>
      <c r="AH9160" s="3"/>
    </row>
    <row r="9161" spans="1:34" ht="14.25" customHeight="1" x14ac:dyDescent="0.25">
      <c r="A9161" s="3"/>
      <c r="B9161" s="3"/>
      <c r="C9161" s="3"/>
      <c r="D9161" s="3"/>
      <c r="E9161" s="3"/>
      <c r="F9161" s="3"/>
      <c r="G9161" s="3"/>
      <c r="H9161" s="11"/>
      <c r="I9161" s="12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  <c r="AA9161" s="3"/>
      <c r="AB9161" s="3"/>
      <c r="AC9161" s="3"/>
      <c r="AD9161" s="3"/>
      <c r="AE9161" s="3"/>
      <c r="AF9161" s="3"/>
      <c r="AG9161" s="3"/>
      <c r="AH9161" s="3"/>
    </row>
    <row r="9162" spans="1:34" ht="14.25" customHeight="1" x14ac:dyDescent="0.25">
      <c r="A9162" s="3"/>
      <c r="B9162" s="3"/>
      <c r="C9162" s="3"/>
      <c r="D9162" s="3"/>
      <c r="E9162" s="3"/>
      <c r="F9162" s="3"/>
      <c r="G9162" s="3"/>
      <c r="H9162" s="11"/>
      <c r="I9162" s="12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  <c r="AA9162" s="3"/>
      <c r="AB9162" s="3"/>
      <c r="AC9162" s="3"/>
      <c r="AD9162" s="3"/>
      <c r="AE9162" s="3"/>
      <c r="AF9162" s="3"/>
      <c r="AG9162" s="3"/>
      <c r="AH9162" s="3"/>
    </row>
    <row r="9163" spans="1:34" ht="14.25" customHeight="1" x14ac:dyDescent="0.25">
      <c r="A9163" s="3"/>
      <c r="B9163" s="3"/>
      <c r="C9163" s="3"/>
      <c r="D9163" s="3"/>
      <c r="E9163" s="3"/>
      <c r="F9163" s="3"/>
      <c r="G9163" s="3"/>
      <c r="H9163" s="11"/>
      <c r="I9163" s="12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  <c r="AA9163" s="3"/>
      <c r="AB9163" s="3"/>
      <c r="AC9163" s="3"/>
      <c r="AD9163" s="3"/>
      <c r="AE9163" s="3"/>
      <c r="AF9163" s="3"/>
      <c r="AG9163" s="3"/>
      <c r="AH9163" s="3"/>
    </row>
    <row r="9164" spans="1:34" ht="14.25" customHeight="1" x14ac:dyDescent="0.25">
      <c r="A9164" s="3"/>
      <c r="B9164" s="3"/>
      <c r="C9164" s="3"/>
      <c r="D9164" s="3"/>
      <c r="E9164" s="3"/>
      <c r="F9164" s="3"/>
      <c r="G9164" s="3"/>
      <c r="H9164" s="11"/>
      <c r="I9164" s="12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  <c r="AA9164" s="3"/>
      <c r="AB9164" s="3"/>
      <c r="AC9164" s="3"/>
      <c r="AD9164" s="3"/>
      <c r="AE9164" s="3"/>
      <c r="AF9164" s="3"/>
      <c r="AG9164" s="3"/>
      <c r="AH9164" s="3"/>
    </row>
    <row r="9165" spans="1:34" ht="14.25" customHeight="1" x14ac:dyDescent="0.25">
      <c r="A9165" s="3"/>
      <c r="B9165" s="3"/>
      <c r="C9165" s="3"/>
      <c r="D9165" s="3"/>
      <c r="E9165" s="3"/>
      <c r="F9165" s="3"/>
      <c r="G9165" s="3"/>
      <c r="H9165" s="11"/>
      <c r="I9165" s="12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  <c r="AA9165" s="3"/>
      <c r="AB9165" s="3"/>
      <c r="AC9165" s="3"/>
      <c r="AD9165" s="3"/>
      <c r="AE9165" s="3"/>
      <c r="AF9165" s="3"/>
      <c r="AG9165" s="3"/>
      <c r="AH9165" s="3"/>
    </row>
    <row r="9166" spans="1:34" ht="14.25" customHeight="1" x14ac:dyDescent="0.25">
      <c r="A9166" s="3"/>
      <c r="B9166" s="3"/>
      <c r="C9166" s="3"/>
      <c r="D9166" s="3"/>
      <c r="E9166" s="3"/>
      <c r="F9166" s="3"/>
      <c r="G9166" s="3"/>
      <c r="H9166" s="11"/>
      <c r="I9166" s="12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  <c r="AA9166" s="3"/>
      <c r="AB9166" s="3"/>
      <c r="AC9166" s="3"/>
      <c r="AD9166" s="3"/>
      <c r="AE9166" s="3"/>
      <c r="AF9166" s="3"/>
      <c r="AG9166" s="3"/>
      <c r="AH9166" s="3"/>
    </row>
    <row r="9167" spans="1:34" ht="14.25" customHeight="1" x14ac:dyDescent="0.25">
      <c r="A9167" s="3"/>
      <c r="B9167" s="3"/>
      <c r="C9167" s="3"/>
      <c r="D9167" s="3"/>
      <c r="E9167" s="3"/>
      <c r="F9167" s="3"/>
      <c r="G9167" s="3"/>
      <c r="H9167" s="11"/>
      <c r="I9167" s="12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  <c r="AA9167" s="3"/>
      <c r="AB9167" s="3"/>
      <c r="AC9167" s="3"/>
      <c r="AD9167" s="3"/>
      <c r="AE9167" s="3"/>
      <c r="AF9167" s="3"/>
      <c r="AG9167" s="3"/>
      <c r="AH9167" s="3"/>
    </row>
    <row r="9168" spans="1:34" ht="14.25" customHeight="1" x14ac:dyDescent="0.25">
      <c r="A9168" s="3"/>
      <c r="B9168" s="3"/>
      <c r="C9168" s="3"/>
      <c r="D9168" s="3"/>
      <c r="E9168" s="3"/>
      <c r="F9168" s="3"/>
      <c r="G9168" s="3"/>
      <c r="H9168" s="11"/>
      <c r="I9168" s="12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  <c r="AA9168" s="3"/>
      <c r="AB9168" s="3"/>
      <c r="AC9168" s="3"/>
      <c r="AD9168" s="3"/>
      <c r="AE9168" s="3"/>
      <c r="AF9168" s="3"/>
      <c r="AG9168" s="3"/>
      <c r="AH9168" s="3"/>
    </row>
    <row r="9169" spans="1:34" ht="14.25" customHeight="1" x14ac:dyDescent="0.25">
      <c r="A9169" s="3"/>
      <c r="B9169" s="3"/>
      <c r="C9169" s="3"/>
      <c r="D9169" s="3"/>
      <c r="E9169" s="3"/>
      <c r="F9169" s="3"/>
      <c r="G9169" s="3"/>
      <c r="H9169" s="11"/>
      <c r="I9169" s="12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  <c r="AA9169" s="3"/>
      <c r="AB9169" s="3"/>
      <c r="AC9169" s="3"/>
      <c r="AD9169" s="3"/>
      <c r="AE9169" s="3"/>
      <c r="AF9169" s="3"/>
      <c r="AG9169" s="3"/>
      <c r="AH9169" s="3"/>
    </row>
    <row r="9170" spans="1:34" ht="14.25" customHeight="1" x14ac:dyDescent="0.25">
      <c r="A9170" s="3"/>
      <c r="B9170" s="3"/>
      <c r="C9170" s="3"/>
      <c r="D9170" s="3"/>
      <c r="E9170" s="3"/>
      <c r="F9170" s="3"/>
      <c r="G9170" s="3"/>
      <c r="H9170" s="11"/>
      <c r="I9170" s="12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  <c r="AA9170" s="3"/>
      <c r="AB9170" s="3"/>
      <c r="AC9170" s="3"/>
      <c r="AD9170" s="3"/>
      <c r="AE9170" s="3"/>
      <c r="AF9170" s="3"/>
      <c r="AG9170" s="3"/>
      <c r="AH9170" s="3"/>
    </row>
    <row r="9171" spans="1:34" ht="14.25" customHeight="1" x14ac:dyDescent="0.25">
      <c r="A9171" s="3"/>
      <c r="B9171" s="3"/>
      <c r="C9171" s="3"/>
      <c r="D9171" s="3"/>
      <c r="E9171" s="3"/>
      <c r="F9171" s="3"/>
      <c r="G9171" s="3"/>
      <c r="H9171" s="11"/>
      <c r="I9171" s="12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  <c r="AA9171" s="3"/>
      <c r="AB9171" s="3"/>
      <c r="AC9171" s="3"/>
      <c r="AD9171" s="3"/>
      <c r="AE9171" s="3"/>
      <c r="AF9171" s="3"/>
      <c r="AG9171" s="3"/>
      <c r="AH9171" s="3"/>
    </row>
    <row r="9172" spans="1:34" ht="14.25" customHeight="1" x14ac:dyDescent="0.25">
      <c r="A9172" s="3"/>
      <c r="B9172" s="3"/>
      <c r="C9172" s="3"/>
      <c r="D9172" s="3"/>
      <c r="E9172" s="3"/>
      <c r="F9172" s="3"/>
      <c r="G9172" s="3"/>
      <c r="H9172" s="11"/>
      <c r="I9172" s="12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  <c r="AA9172" s="3"/>
      <c r="AB9172" s="3"/>
      <c r="AC9172" s="3"/>
      <c r="AD9172" s="3"/>
      <c r="AE9172" s="3"/>
      <c r="AF9172" s="3"/>
      <c r="AG9172" s="3"/>
      <c r="AH9172" s="3"/>
    </row>
    <row r="9173" spans="1:34" ht="14.25" customHeight="1" x14ac:dyDescent="0.25">
      <c r="A9173" s="3"/>
      <c r="B9173" s="3"/>
      <c r="C9173" s="3"/>
      <c r="D9173" s="3"/>
      <c r="E9173" s="3"/>
      <c r="F9173" s="3"/>
      <c r="G9173" s="3"/>
      <c r="H9173" s="11"/>
      <c r="I9173" s="12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  <c r="AA9173" s="3"/>
      <c r="AB9173" s="3"/>
      <c r="AC9173" s="3"/>
      <c r="AD9173" s="3"/>
      <c r="AE9173" s="3"/>
      <c r="AF9173" s="3"/>
      <c r="AG9173" s="3"/>
      <c r="AH9173" s="3"/>
    </row>
    <row r="9174" spans="1:34" ht="14.25" customHeight="1" x14ac:dyDescent="0.25">
      <c r="A9174" s="3"/>
      <c r="B9174" s="3"/>
      <c r="C9174" s="3"/>
      <c r="D9174" s="3"/>
      <c r="E9174" s="3"/>
      <c r="F9174" s="3"/>
      <c r="G9174" s="3"/>
      <c r="H9174" s="11"/>
      <c r="I9174" s="12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  <c r="AA9174" s="3"/>
      <c r="AB9174" s="3"/>
      <c r="AC9174" s="3"/>
      <c r="AD9174" s="3"/>
      <c r="AE9174" s="3"/>
      <c r="AF9174" s="3"/>
      <c r="AG9174" s="3"/>
      <c r="AH9174" s="3"/>
    </row>
    <row r="9175" spans="1:34" ht="14.25" customHeight="1" x14ac:dyDescent="0.25">
      <c r="A9175" s="3"/>
      <c r="B9175" s="3"/>
      <c r="C9175" s="3"/>
      <c r="D9175" s="3"/>
      <c r="E9175" s="3"/>
      <c r="F9175" s="3"/>
      <c r="G9175" s="3"/>
      <c r="H9175" s="11"/>
      <c r="I9175" s="12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  <c r="AA9175" s="3"/>
      <c r="AB9175" s="3"/>
      <c r="AC9175" s="3"/>
      <c r="AD9175" s="3"/>
      <c r="AE9175" s="3"/>
      <c r="AF9175" s="3"/>
      <c r="AG9175" s="3"/>
      <c r="AH9175" s="3"/>
    </row>
    <row r="9176" spans="1:34" ht="14.25" customHeight="1" x14ac:dyDescent="0.25">
      <c r="A9176" s="3"/>
      <c r="B9176" s="3"/>
      <c r="C9176" s="3"/>
      <c r="D9176" s="3"/>
      <c r="E9176" s="3"/>
      <c r="F9176" s="3"/>
      <c r="G9176" s="3"/>
      <c r="H9176" s="11"/>
      <c r="I9176" s="12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  <c r="AA9176" s="3"/>
      <c r="AB9176" s="3"/>
      <c r="AC9176" s="3"/>
      <c r="AD9176" s="3"/>
      <c r="AE9176" s="3"/>
      <c r="AF9176" s="3"/>
      <c r="AG9176" s="3"/>
      <c r="AH9176" s="3"/>
    </row>
    <row r="9177" spans="1:34" ht="14.25" customHeight="1" x14ac:dyDescent="0.25">
      <c r="A9177" s="3"/>
      <c r="B9177" s="3"/>
      <c r="C9177" s="3"/>
      <c r="D9177" s="3"/>
      <c r="E9177" s="3"/>
      <c r="F9177" s="3"/>
      <c r="G9177" s="3"/>
      <c r="H9177" s="11"/>
      <c r="I9177" s="12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  <c r="AA9177" s="3"/>
      <c r="AB9177" s="3"/>
      <c r="AC9177" s="3"/>
      <c r="AD9177" s="3"/>
      <c r="AE9177" s="3"/>
      <c r="AF9177" s="3"/>
      <c r="AG9177" s="3"/>
      <c r="AH9177" s="3"/>
    </row>
    <row r="9178" spans="1:34" ht="14.25" customHeight="1" x14ac:dyDescent="0.25">
      <c r="A9178" s="3"/>
      <c r="B9178" s="3"/>
      <c r="C9178" s="3"/>
      <c r="D9178" s="3"/>
      <c r="E9178" s="3"/>
      <c r="F9178" s="3"/>
      <c r="G9178" s="3"/>
      <c r="H9178" s="11"/>
      <c r="I9178" s="12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  <c r="AA9178" s="3"/>
      <c r="AB9178" s="3"/>
      <c r="AC9178" s="3"/>
      <c r="AD9178" s="3"/>
      <c r="AE9178" s="3"/>
      <c r="AF9178" s="3"/>
      <c r="AG9178" s="3"/>
      <c r="AH9178" s="3"/>
    </row>
    <row r="9179" spans="1:34" ht="14.25" customHeight="1" x14ac:dyDescent="0.25">
      <c r="A9179" s="3"/>
      <c r="B9179" s="3"/>
      <c r="C9179" s="3"/>
      <c r="D9179" s="3"/>
      <c r="E9179" s="3"/>
      <c r="F9179" s="3"/>
      <c r="G9179" s="3"/>
      <c r="H9179" s="11"/>
      <c r="I9179" s="12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  <c r="AA9179" s="3"/>
      <c r="AB9179" s="3"/>
      <c r="AC9179" s="3"/>
      <c r="AD9179" s="3"/>
      <c r="AE9179" s="3"/>
      <c r="AF9179" s="3"/>
      <c r="AG9179" s="3"/>
      <c r="AH9179" s="3"/>
    </row>
    <row r="9180" spans="1:34" ht="14.25" customHeight="1" x14ac:dyDescent="0.25">
      <c r="A9180" s="3"/>
      <c r="B9180" s="3"/>
      <c r="C9180" s="3"/>
      <c r="D9180" s="3"/>
      <c r="E9180" s="3"/>
      <c r="F9180" s="3"/>
      <c r="G9180" s="3"/>
      <c r="H9180" s="11"/>
      <c r="I9180" s="12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  <c r="AA9180" s="3"/>
      <c r="AB9180" s="3"/>
      <c r="AC9180" s="3"/>
      <c r="AD9180" s="3"/>
      <c r="AE9180" s="3"/>
      <c r="AF9180" s="3"/>
      <c r="AG9180" s="3"/>
      <c r="AH9180" s="3"/>
    </row>
    <row r="9181" spans="1:34" ht="14.25" customHeight="1" x14ac:dyDescent="0.25">
      <c r="A9181" s="3"/>
      <c r="B9181" s="3"/>
      <c r="C9181" s="3"/>
      <c r="D9181" s="3"/>
      <c r="E9181" s="3"/>
      <c r="F9181" s="3"/>
      <c r="G9181" s="3"/>
      <c r="H9181" s="11"/>
      <c r="I9181" s="12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  <c r="AA9181" s="3"/>
      <c r="AB9181" s="3"/>
      <c r="AC9181" s="3"/>
      <c r="AD9181" s="3"/>
      <c r="AE9181" s="3"/>
      <c r="AF9181" s="3"/>
      <c r="AG9181" s="3"/>
      <c r="AH9181" s="3"/>
    </row>
    <row r="9182" spans="1:34" ht="14.25" customHeight="1" x14ac:dyDescent="0.25">
      <c r="A9182" s="3"/>
      <c r="B9182" s="3"/>
      <c r="C9182" s="3"/>
      <c r="D9182" s="3"/>
      <c r="E9182" s="3"/>
      <c r="F9182" s="3"/>
      <c r="G9182" s="3"/>
      <c r="H9182" s="11"/>
      <c r="I9182" s="12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  <c r="AA9182" s="3"/>
      <c r="AB9182" s="3"/>
      <c r="AC9182" s="3"/>
      <c r="AD9182" s="3"/>
      <c r="AE9182" s="3"/>
      <c r="AF9182" s="3"/>
      <c r="AG9182" s="3"/>
      <c r="AH9182" s="3"/>
    </row>
    <row r="9183" spans="1:34" ht="14.25" customHeight="1" x14ac:dyDescent="0.25">
      <c r="A9183" s="3"/>
      <c r="B9183" s="3"/>
      <c r="C9183" s="3"/>
      <c r="D9183" s="3"/>
      <c r="E9183" s="3"/>
      <c r="F9183" s="3"/>
      <c r="G9183" s="3"/>
      <c r="H9183" s="11"/>
      <c r="I9183" s="12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  <c r="AA9183" s="3"/>
      <c r="AB9183" s="3"/>
      <c r="AC9183" s="3"/>
      <c r="AD9183" s="3"/>
      <c r="AE9183" s="3"/>
      <c r="AF9183" s="3"/>
      <c r="AG9183" s="3"/>
      <c r="AH9183" s="3"/>
    </row>
    <row r="9184" spans="1:34" ht="14.25" customHeight="1" x14ac:dyDescent="0.25">
      <c r="A9184" s="3"/>
      <c r="B9184" s="3"/>
      <c r="C9184" s="3"/>
      <c r="D9184" s="3"/>
      <c r="E9184" s="3"/>
      <c r="F9184" s="3"/>
      <c r="G9184" s="3"/>
      <c r="H9184" s="11"/>
      <c r="I9184" s="12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  <c r="AA9184" s="3"/>
      <c r="AB9184" s="3"/>
      <c r="AC9184" s="3"/>
      <c r="AD9184" s="3"/>
      <c r="AE9184" s="3"/>
      <c r="AF9184" s="3"/>
      <c r="AG9184" s="3"/>
      <c r="AH9184" s="3"/>
    </row>
    <row r="9185" spans="1:34" ht="14.25" customHeight="1" x14ac:dyDescent="0.25">
      <c r="A9185" s="3"/>
      <c r="B9185" s="3"/>
      <c r="C9185" s="3"/>
      <c r="D9185" s="3"/>
      <c r="E9185" s="3"/>
      <c r="F9185" s="3"/>
      <c r="G9185" s="3"/>
      <c r="H9185" s="11"/>
      <c r="I9185" s="12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  <c r="AA9185" s="3"/>
      <c r="AB9185" s="3"/>
      <c r="AC9185" s="3"/>
      <c r="AD9185" s="3"/>
      <c r="AE9185" s="3"/>
      <c r="AF9185" s="3"/>
      <c r="AG9185" s="3"/>
      <c r="AH9185" s="3"/>
    </row>
    <row r="9186" spans="1:34" ht="14.25" customHeight="1" x14ac:dyDescent="0.25">
      <c r="A9186" s="3"/>
      <c r="B9186" s="3"/>
      <c r="C9186" s="3"/>
      <c r="D9186" s="3"/>
      <c r="E9186" s="3"/>
      <c r="F9186" s="3"/>
      <c r="G9186" s="3"/>
      <c r="H9186" s="11"/>
      <c r="I9186" s="12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  <c r="AA9186" s="3"/>
      <c r="AB9186" s="3"/>
      <c r="AC9186" s="3"/>
      <c r="AD9186" s="3"/>
      <c r="AE9186" s="3"/>
      <c r="AF9186" s="3"/>
      <c r="AG9186" s="3"/>
      <c r="AH9186" s="3"/>
    </row>
    <row r="9187" spans="1:34" ht="14.25" customHeight="1" x14ac:dyDescent="0.25">
      <c r="A9187" s="3"/>
      <c r="B9187" s="3"/>
      <c r="C9187" s="3"/>
      <c r="D9187" s="3"/>
      <c r="E9187" s="3"/>
      <c r="F9187" s="3"/>
      <c r="G9187" s="3"/>
      <c r="H9187" s="11"/>
      <c r="I9187" s="12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  <c r="AA9187" s="3"/>
      <c r="AB9187" s="3"/>
      <c r="AC9187" s="3"/>
      <c r="AD9187" s="3"/>
      <c r="AE9187" s="3"/>
      <c r="AF9187" s="3"/>
      <c r="AG9187" s="3"/>
      <c r="AH9187" s="3"/>
    </row>
    <row r="9188" spans="1:34" ht="14.25" customHeight="1" x14ac:dyDescent="0.25">
      <c r="A9188" s="3"/>
      <c r="B9188" s="3"/>
      <c r="C9188" s="3"/>
      <c r="D9188" s="3"/>
      <c r="E9188" s="3"/>
      <c r="F9188" s="3"/>
      <c r="G9188" s="3"/>
      <c r="H9188" s="11"/>
      <c r="I9188" s="12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  <c r="AA9188" s="3"/>
      <c r="AB9188" s="3"/>
      <c r="AC9188" s="3"/>
      <c r="AD9188" s="3"/>
      <c r="AE9188" s="3"/>
      <c r="AF9188" s="3"/>
      <c r="AG9188" s="3"/>
      <c r="AH9188" s="3"/>
    </row>
    <row r="9189" spans="1:34" ht="14.25" customHeight="1" x14ac:dyDescent="0.25">
      <c r="A9189" s="3"/>
      <c r="B9189" s="3"/>
      <c r="C9189" s="3"/>
      <c r="D9189" s="3"/>
      <c r="E9189" s="3"/>
      <c r="F9189" s="3"/>
      <c r="G9189" s="3"/>
      <c r="H9189" s="11"/>
      <c r="I9189" s="12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  <c r="AA9189" s="3"/>
      <c r="AB9189" s="3"/>
      <c r="AC9189" s="3"/>
      <c r="AD9189" s="3"/>
      <c r="AE9189" s="3"/>
      <c r="AF9189" s="3"/>
      <c r="AG9189" s="3"/>
      <c r="AH9189" s="3"/>
    </row>
    <row r="9190" spans="1:34" ht="14.25" customHeight="1" x14ac:dyDescent="0.25">
      <c r="A9190" s="3"/>
      <c r="B9190" s="3"/>
      <c r="C9190" s="3"/>
      <c r="D9190" s="3"/>
      <c r="E9190" s="3"/>
      <c r="F9190" s="3"/>
      <c r="G9190" s="3"/>
      <c r="H9190" s="11"/>
      <c r="I9190" s="12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  <c r="AA9190" s="3"/>
      <c r="AB9190" s="3"/>
      <c r="AC9190" s="3"/>
      <c r="AD9190" s="3"/>
      <c r="AE9190" s="3"/>
      <c r="AF9190" s="3"/>
      <c r="AG9190" s="3"/>
      <c r="AH9190" s="3"/>
    </row>
    <row r="9191" spans="1:34" ht="14.25" customHeight="1" x14ac:dyDescent="0.25">
      <c r="A9191" s="3"/>
      <c r="B9191" s="3"/>
      <c r="C9191" s="3"/>
      <c r="D9191" s="3"/>
      <c r="E9191" s="3"/>
      <c r="F9191" s="3"/>
      <c r="G9191" s="3"/>
      <c r="H9191" s="11"/>
      <c r="I9191" s="12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  <c r="AA9191" s="3"/>
      <c r="AB9191" s="3"/>
      <c r="AC9191" s="3"/>
      <c r="AD9191" s="3"/>
      <c r="AE9191" s="3"/>
      <c r="AF9191" s="3"/>
      <c r="AG9191" s="3"/>
      <c r="AH9191" s="3"/>
    </row>
    <row r="9192" spans="1:34" ht="14.25" customHeight="1" x14ac:dyDescent="0.25">
      <c r="A9192" s="3"/>
      <c r="B9192" s="3"/>
      <c r="C9192" s="3"/>
      <c r="D9192" s="3"/>
      <c r="E9192" s="3"/>
      <c r="F9192" s="3"/>
      <c r="G9192" s="3"/>
      <c r="H9192" s="11"/>
      <c r="I9192" s="12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  <c r="AA9192" s="3"/>
      <c r="AB9192" s="3"/>
      <c r="AC9192" s="3"/>
      <c r="AD9192" s="3"/>
      <c r="AE9192" s="3"/>
      <c r="AF9192" s="3"/>
      <c r="AG9192" s="3"/>
      <c r="AH9192" s="3"/>
    </row>
    <row r="9193" spans="1:34" ht="14.25" customHeight="1" x14ac:dyDescent="0.25">
      <c r="A9193" s="3"/>
      <c r="B9193" s="3"/>
      <c r="C9193" s="3"/>
      <c r="D9193" s="3"/>
      <c r="E9193" s="3"/>
      <c r="F9193" s="3"/>
      <c r="G9193" s="3"/>
      <c r="H9193" s="11"/>
      <c r="I9193" s="12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  <c r="AA9193" s="3"/>
      <c r="AB9193" s="3"/>
      <c r="AC9193" s="3"/>
      <c r="AD9193" s="3"/>
      <c r="AE9193" s="3"/>
      <c r="AF9193" s="3"/>
      <c r="AG9193" s="3"/>
      <c r="AH9193" s="3"/>
    </row>
    <row r="9194" spans="1:34" ht="14.25" customHeight="1" x14ac:dyDescent="0.25">
      <c r="A9194" s="3"/>
      <c r="B9194" s="3"/>
      <c r="C9194" s="3"/>
      <c r="D9194" s="3"/>
      <c r="E9194" s="3"/>
      <c r="F9194" s="3"/>
      <c r="G9194" s="3"/>
      <c r="H9194" s="11"/>
      <c r="I9194" s="12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  <c r="AA9194" s="3"/>
      <c r="AB9194" s="3"/>
      <c r="AC9194" s="3"/>
      <c r="AD9194" s="3"/>
      <c r="AE9194" s="3"/>
      <c r="AF9194" s="3"/>
      <c r="AG9194" s="3"/>
      <c r="AH9194" s="3"/>
    </row>
    <row r="9195" spans="1:34" ht="14.25" customHeight="1" x14ac:dyDescent="0.25">
      <c r="A9195" s="3"/>
      <c r="B9195" s="3"/>
      <c r="C9195" s="3"/>
      <c r="D9195" s="3"/>
      <c r="E9195" s="3"/>
      <c r="F9195" s="3"/>
      <c r="G9195" s="3"/>
      <c r="H9195" s="11"/>
      <c r="I9195" s="12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  <c r="AA9195" s="3"/>
      <c r="AB9195" s="3"/>
      <c r="AC9195" s="3"/>
      <c r="AD9195" s="3"/>
      <c r="AE9195" s="3"/>
      <c r="AF9195" s="3"/>
      <c r="AG9195" s="3"/>
      <c r="AH9195" s="3"/>
    </row>
    <row r="9196" spans="1:34" ht="14.25" customHeight="1" x14ac:dyDescent="0.25">
      <c r="A9196" s="3"/>
      <c r="B9196" s="3"/>
      <c r="C9196" s="3"/>
      <c r="D9196" s="3"/>
      <c r="E9196" s="3"/>
      <c r="F9196" s="3"/>
      <c r="G9196" s="3"/>
      <c r="H9196" s="11"/>
      <c r="I9196" s="12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  <c r="AA9196" s="3"/>
      <c r="AB9196" s="3"/>
      <c r="AC9196" s="3"/>
      <c r="AD9196" s="3"/>
      <c r="AE9196" s="3"/>
      <c r="AF9196" s="3"/>
      <c r="AG9196" s="3"/>
      <c r="AH9196" s="3"/>
    </row>
    <row r="9197" spans="1:34" ht="14.25" customHeight="1" x14ac:dyDescent="0.25">
      <c r="A9197" s="3"/>
      <c r="B9197" s="3"/>
      <c r="C9197" s="3"/>
      <c r="D9197" s="3"/>
      <c r="E9197" s="3"/>
      <c r="F9197" s="3"/>
      <c r="G9197" s="3"/>
      <c r="H9197" s="11"/>
      <c r="I9197" s="12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  <c r="AA9197" s="3"/>
      <c r="AB9197" s="3"/>
      <c r="AC9197" s="3"/>
      <c r="AD9197" s="3"/>
      <c r="AE9197" s="3"/>
      <c r="AF9197" s="3"/>
      <c r="AG9197" s="3"/>
      <c r="AH9197" s="3"/>
    </row>
    <row r="9198" spans="1:34" ht="14.25" customHeight="1" x14ac:dyDescent="0.25">
      <c r="A9198" s="3"/>
      <c r="B9198" s="3"/>
      <c r="C9198" s="3"/>
      <c r="D9198" s="3"/>
      <c r="E9198" s="3"/>
      <c r="F9198" s="3"/>
      <c r="G9198" s="3"/>
      <c r="H9198" s="11"/>
      <c r="I9198" s="12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  <c r="AA9198" s="3"/>
      <c r="AB9198" s="3"/>
      <c r="AC9198" s="3"/>
      <c r="AD9198" s="3"/>
      <c r="AE9198" s="3"/>
      <c r="AF9198" s="3"/>
      <c r="AG9198" s="3"/>
      <c r="AH9198" s="3"/>
    </row>
    <row r="9199" spans="1:34" ht="14.25" customHeight="1" x14ac:dyDescent="0.25">
      <c r="A9199" s="3"/>
      <c r="B9199" s="3"/>
      <c r="C9199" s="3"/>
      <c r="D9199" s="3"/>
      <c r="E9199" s="3"/>
      <c r="F9199" s="3"/>
      <c r="G9199" s="3"/>
      <c r="H9199" s="11"/>
      <c r="I9199" s="12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  <c r="AA9199" s="3"/>
      <c r="AB9199" s="3"/>
      <c r="AC9199" s="3"/>
      <c r="AD9199" s="3"/>
      <c r="AE9199" s="3"/>
      <c r="AF9199" s="3"/>
      <c r="AG9199" s="3"/>
      <c r="AH9199" s="3"/>
    </row>
    <row r="9200" spans="1:34" ht="14.25" customHeight="1" x14ac:dyDescent="0.25">
      <c r="A9200" s="3"/>
      <c r="B9200" s="3"/>
      <c r="C9200" s="3"/>
      <c r="D9200" s="3"/>
      <c r="E9200" s="3"/>
      <c r="F9200" s="3"/>
      <c r="G9200" s="3"/>
      <c r="H9200" s="11"/>
      <c r="I9200" s="12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  <c r="AA9200" s="3"/>
      <c r="AB9200" s="3"/>
      <c r="AC9200" s="3"/>
      <c r="AD9200" s="3"/>
      <c r="AE9200" s="3"/>
      <c r="AF9200" s="3"/>
      <c r="AG9200" s="3"/>
      <c r="AH9200" s="3"/>
    </row>
    <row r="9201" spans="1:34" ht="14.25" customHeight="1" x14ac:dyDescent="0.25">
      <c r="A9201" s="3"/>
      <c r="B9201" s="3"/>
      <c r="C9201" s="3"/>
      <c r="D9201" s="3"/>
      <c r="E9201" s="3"/>
      <c r="F9201" s="3"/>
      <c r="G9201" s="3"/>
      <c r="H9201" s="11"/>
      <c r="I9201" s="12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  <c r="AA9201" s="3"/>
      <c r="AB9201" s="3"/>
      <c r="AC9201" s="3"/>
      <c r="AD9201" s="3"/>
      <c r="AE9201" s="3"/>
      <c r="AF9201" s="3"/>
      <c r="AG9201" s="3"/>
      <c r="AH9201" s="3"/>
    </row>
    <row r="9202" spans="1:34" ht="14.25" customHeight="1" x14ac:dyDescent="0.25">
      <c r="A9202" s="3"/>
      <c r="B9202" s="3"/>
      <c r="C9202" s="3"/>
      <c r="D9202" s="3"/>
      <c r="E9202" s="3"/>
      <c r="F9202" s="3"/>
      <c r="G9202" s="3"/>
      <c r="H9202" s="11"/>
      <c r="I9202" s="12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  <c r="AA9202" s="3"/>
      <c r="AB9202" s="3"/>
      <c r="AC9202" s="3"/>
      <c r="AD9202" s="3"/>
      <c r="AE9202" s="3"/>
      <c r="AF9202" s="3"/>
      <c r="AG9202" s="3"/>
      <c r="AH9202" s="3"/>
    </row>
    <row r="9203" spans="1:34" ht="14.25" customHeight="1" x14ac:dyDescent="0.25">
      <c r="A9203" s="3"/>
      <c r="B9203" s="3"/>
      <c r="C9203" s="3"/>
      <c r="D9203" s="3"/>
      <c r="E9203" s="3"/>
      <c r="F9203" s="3"/>
      <c r="G9203" s="3"/>
      <c r="H9203" s="11"/>
      <c r="I9203" s="12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  <c r="AA9203" s="3"/>
      <c r="AB9203" s="3"/>
      <c r="AC9203" s="3"/>
      <c r="AD9203" s="3"/>
      <c r="AE9203" s="3"/>
      <c r="AF9203" s="3"/>
      <c r="AG9203" s="3"/>
      <c r="AH9203" s="3"/>
    </row>
    <row r="9204" spans="1:34" ht="14.25" customHeight="1" x14ac:dyDescent="0.25">
      <c r="A9204" s="3"/>
      <c r="B9204" s="3"/>
      <c r="C9204" s="3"/>
      <c r="D9204" s="3"/>
      <c r="E9204" s="3"/>
      <c r="F9204" s="3"/>
      <c r="G9204" s="3"/>
      <c r="H9204" s="11"/>
      <c r="I9204" s="12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  <c r="AA9204" s="3"/>
      <c r="AB9204" s="3"/>
      <c r="AC9204" s="3"/>
      <c r="AD9204" s="3"/>
      <c r="AE9204" s="3"/>
      <c r="AF9204" s="3"/>
      <c r="AG9204" s="3"/>
      <c r="AH9204" s="3"/>
    </row>
    <row r="9205" spans="1:34" ht="14.25" customHeight="1" x14ac:dyDescent="0.25">
      <c r="A9205" s="3"/>
      <c r="B9205" s="3"/>
      <c r="C9205" s="3"/>
      <c r="D9205" s="3"/>
      <c r="E9205" s="3"/>
      <c r="F9205" s="3"/>
      <c r="G9205" s="3"/>
      <c r="H9205" s="11"/>
      <c r="I9205" s="12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  <c r="AA9205" s="3"/>
      <c r="AB9205" s="3"/>
      <c r="AC9205" s="3"/>
      <c r="AD9205" s="3"/>
      <c r="AE9205" s="3"/>
      <c r="AF9205" s="3"/>
      <c r="AG9205" s="3"/>
      <c r="AH9205" s="3"/>
    </row>
    <row r="9206" spans="1:34" ht="14.25" customHeight="1" x14ac:dyDescent="0.25">
      <c r="A9206" s="3"/>
      <c r="B9206" s="3"/>
      <c r="C9206" s="3"/>
      <c r="D9206" s="3"/>
      <c r="E9206" s="3"/>
      <c r="F9206" s="3"/>
      <c r="G9206" s="3"/>
      <c r="H9206" s="11"/>
      <c r="I9206" s="12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  <c r="AA9206" s="3"/>
      <c r="AB9206" s="3"/>
      <c r="AC9206" s="3"/>
      <c r="AD9206" s="3"/>
      <c r="AE9206" s="3"/>
      <c r="AF9206" s="3"/>
      <c r="AG9206" s="3"/>
      <c r="AH9206" s="3"/>
    </row>
    <row r="9207" spans="1:34" ht="14.25" customHeight="1" x14ac:dyDescent="0.25">
      <c r="A9207" s="3"/>
      <c r="B9207" s="3"/>
      <c r="C9207" s="3"/>
      <c r="D9207" s="3"/>
      <c r="E9207" s="3"/>
      <c r="F9207" s="3"/>
      <c r="G9207" s="3"/>
      <c r="H9207" s="11"/>
      <c r="I9207" s="12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  <c r="AA9207" s="3"/>
      <c r="AB9207" s="3"/>
      <c r="AC9207" s="3"/>
      <c r="AD9207" s="3"/>
      <c r="AE9207" s="3"/>
      <c r="AF9207" s="3"/>
      <c r="AG9207" s="3"/>
      <c r="AH9207" s="3"/>
    </row>
    <row r="9208" spans="1:34" ht="14.25" customHeight="1" x14ac:dyDescent="0.25">
      <c r="A9208" s="3"/>
      <c r="B9208" s="3"/>
      <c r="C9208" s="3"/>
      <c r="D9208" s="3"/>
      <c r="E9208" s="3"/>
      <c r="F9208" s="3"/>
      <c r="G9208" s="3"/>
      <c r="H9208" s="11"/>
      <c r="I9208" s="12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  <c r="AA9208" s="3"/>
      <c r="AB9208" s="3"/>
      <c r="AC9208" s="3"/>
      <c r="AD9208" s="3"/>
      <c r="AE9208" s="3"/>
      <c r="AF9208" s="3"/>
      <c r="AG9208" s="3"/>
      <c r="AH9208" s="3"/>
    </row>
    <row r="9209" spans="1:34" ht="14.25" customHeight="1" x14ac:dyDescent="0.25">
      <c r="A9209" s="3"/>
      <c r="B9209" s="3"/>
      <c r="C9209" s="3"/>
      <c r="D9209" s="3"/>
      <c r="E9209" s="3"/>
      <c r="F9209" s="3"/>
      <c r="G9209" s="3"/>
      <c r="H9209" s="11"/>
      <c r="I9209" s="12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  <c r="AA9209" s="3"/>
      <c r="AB9209" s="3"/>
      <c r="AC9209" s="3"/>
      <c r="AD9209" s="3"/>
      <c r="AE9209" s="3"/>
      <c r="AF9209" s="3"/>
      <c r="AG9209" s="3"/>
      <c r="AH9209" s="3"/>
    </row>
    <row r="9210" spans="1:34" ht="14.25" customHeight="1" x14ac:dyDescent="0.25">
      <c r="A9210" s="3"/>
      <c r="B9210" s="3"/>
      <c r="C9210" s="3"/>
      <c r="D9210" s="3"/>
      <c r="E9210" s="3"/>
      <c r="F9210" s="3"/>
      <c r="G9210" s="3"/>
      <c r="H9210" s="11"/>
      <c r="I9210" s="12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  <c r="AA9210" s="3"/>
      <c r="AB9210" s="3"/>
      <c r="AC9210" s="3"/>
      <c r="AD9210" s="3"/>
      <c r="AE9210" s="3"/>
      <c r="AF9210" s="3"/>
      <c r="AG9210" s="3"/>
      <c r="AH9210" s="3"/>
    </row>
    <row r="9211" spans="1:34" ht="14.25" customHeight="1" x14ac:dyDescent="0.25">
      <c r="A9211" s="3"/>
      <c r="B9211" s="3"/>
      <c r="C9211" s="3"/>
      <c r="D9211" s="3"/>
      <c r="E9211" s="3"/>
      <c r="F9211" s="3"/>
      <c r="G9211" s="3"/>
      <c r="H9211" s="11"/>
      <c r="I9211" s="12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  <c r="AA9211" s="3"/>
      <c r="AB9211" s="3"/>
      <c r="AC9211" s="3"/>
      <c r="AD9211" s="3"/>
      <c r="AE9211" s="3"/>
      <c r="AF9211" s="3"/>
      <c r="AG9211" s="3"/>
      <c r="AH9211" s="3"/>
    </row>
    <row r="9212" spans="1:34" ht="14.25" customHeight="1" x14ac:dyDescent="0.25">
      <c r="A9212" s="3"/>
      <c r="B9212" s="3"/>
      <c r="C9212" s="3"/>
      <c r="D9212" s="3"/>
      <c r="E9212" s="3"/>
      <c r="F9212" s="3"/>
      <c r="G9212" s="3"/>
      <c r="H9212" s="11"/>
      <c r="I9212" s="12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  <c r="AA9212" s="3"/>
      <c r="AB9212" s="3"/>
      <c r="AC9212" s="3"/>
      <c r="AD9212" s="3"/>
      <c r="AE9212" s="3"/>
      <c r="AF9212" s="3"/>
      <c r="AG9212" s="3"/>
      <c r="AH9212" s="3"/>
    </row>
    <row r="9213" spans="1:34" ht="14.25" customHeight="1" x14ac:dyDescent="0.25">
      <c r="A9213" s="3"/>
      <c r="B9213" s="3"/>
      <c r="C9213" s="3"/>
      <c r="D9213" s="3"/>
      <c r="E9213" s="3"/>
      <c r="F9213" s="3"/>
      <c r="G9213" s="3"/>
      <c r="H9213" s="11"/>
      <c r="I9213" s="12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  <c r="AA9213" s="3"/>
      <c r="AB9213" s="3"/>
      <c r="AC9213" s="3"/>
      <c r="AD9213" s="3"/>
      <c r="AE9213" s="3"/>
      <c r="AF9213" s="3"/>
      <c r="AG9213" s="3"/>
      <c r="AH9213" s="3"/>
    </row>
    <row r="9214" spans="1:34" ht="14.25" customHeight="1" x14ac:dyDescent="0.25">
      <c r="A9214" s="3"/>
      <c r="B9214" s="3"/>
      <c r="C9214" s="3"/>
      <c r="D9214" s="3"/>
      <c r="E9214" s="3"/>
      <c r="F9214" s="3"/>
      <c r="G9214" s="3"/>
      <c r="H9214" s="11"/>
      <c r="I9214" s="12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  <c r="AA9214" s="3"/>
      <c r="AB9214" s="3"/>
      <c r="AC9214" s="3"/>
      <c r="AD9214" s="3"/>
      <c r="AE9214" s="3"/>
      <c r="AF9214" s="3"/>
      <c r="AG9214" s="3"/>
      <c r="AH9214" s="3"/>
    </row>
    <row r="9215" spans="1:34" ht="14.25" customHeight="1" x14ac:dyDescent="0.25">
      <c r="A9215" s="3"/>
      <c r="B9215" s="3"/>
      <c r="C9215" s="3"/>
      <c r="D9215" s="3"/>
      <c r="E9215" s="3"/>
      <c r="F9215" s="3"/>
      <c r="G9215" s="3"/>
      <c r="H9215" s="11"/>
      <c r="I9215" s="12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  <c r="AA9215" s="3"/>
      <c r="AB9215" s="3"/>
      <c r="AC9215" s="3"/>
      <c r="AD9215" s="3"/>
      <c r="AE9215" s="3"/>
      <c r="AF9215" s="3"/>
      <c r="AG9215" s="3"/>
      <c r="AH9215" s="3"/>
    </row>
    <row r="9216" spans="1:34" ht="14.25" customHeight="1" x14ac:dyDescent="0.25">
      <c r="A9216" s="3"/>
      <c r="B9216" s="3"/>
      <c r="C9216" s="3"/>
      <c r="D9216" s="3"/>
      <c r="E9216" s="3"/>
      <c r="F9216" s="3"/>
      <c r="G9216" s="3"/>
      <c r="H9216" s="11"/>
      <c r="I9216" s="12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  <c r="AA9216" s="3"/>
      <c r="AB9216" s="3"/>
      <c r="AC9216" s="3"/>
      <c r="AD9216" s="3"/>
      <c r="AE9216" s="3"/>
      <c r="AF9216" s="3"/>
      <c r="AG9216" s="3"/>
      <c r="AH9216" s="3"/>
    </row>
    <row r="9217" spans="1:34" ht="14.25" customHeight="1" x14ac:dyDescent="0.25">
      <c r="A9217" s="3"/>
      <c r="B9217" s="3"/>
      <c r="C9217" s="3"/>
      <c r="D9217" s="3"/>
      <c r="E9217" s="3"/>
      <c r="F9217" s="3"/>
      <c r="G9217" s="3"/>
      <c r="H9217" s="11"/>
      <c r="I9217" s="12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  <c r="AA9217" s="3"/>
      <c r="AB9217" s="3"/>
      <c r="AC9217" s="3"/>
      <c r="AD9217" s="3"/>
      <c r="AE9217" s="3"/>
      <c r="AF9217" s="3"/>
      <c r="AG9217" s="3"/>
      <c r="AH9217" s="3"/>
    </row>
    <row r="9218" spans="1:34" ht="14.25" customHeight="1" x14ac:dyDescent="0.25">
      <c r="A9218" s="3"/>
      <c r="B9218" s="3"/>
      <c r="C9218" s="3"/>
      <c r="D9218" s="3"/>
      <c r="E9218" s="3"/>
      <c r="F9218" s="3"/>
      <c r="G9218" s="3"/>
      <c r="H9218" s="11"/>
      <c r="I9218" s="12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  <c r="AA9218" s="3"/>
      <c r="AB9218" s="3"/>
      <c r="AC9218" s="3"/>
      <c r="AD9218" s="3"/>
      <c r="AE9218" s="3"/>
      <c r="AF9218" s="3"/>
      <c r="AG9218" s="3"/>
      <c r="AH9218" s="3"/>
    </row>
    <row r="9219" spans="1:34" ht="14.25" customHeight="1" x14ac:dyDescent="0.25">
      <c r="A9219" s="3"/>
      <c r="B9219" s="3"/>
      <c r="C9219" s="3"/>
      <c r="D9219" s="3"/>
      <c r="E9219" s="3"/>
      <c r="F9219" s="3"/>
      <c r="G9219" s="3"/>
      <c r="H9219" s="11"/>
      <c r="I9219" s="12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  <c r="AA9219" s="3"/>
      <c r="AB9219" s="3"/>
      <c r="AC9219" s="3"/>
      <c r="AD9219" s="3"/>
      <c r="AE9219" s="3"/>
      <c r="AF9219" s="3"/>
      <c r="AG9219" s="3"/>
      <c r="AH9219" s="3"/>
    </row>
    <row r="9220" spans="1:34" ht="14.25" customHeight="1" x14ac:dyDescent="0.25">
      <c r="A9220" s="3"/>
      <c r="B9220" s="3"/>
      <c r="C9220" s="3"/>
      <c r="D9220" s="3"/>
      <c r="E9220" s="3"/>
      <c r="F9220" s="3"/>
      <c r="G9220" s="3"/>
      <c r="H9220" s="11"/>
      <c r="I9220" s="12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  <c r="AA9220" s="3"/>
      <c r="AB9220" s="3"/>
      <c r="AC9220" s="3"/>
      <c r="AD9220" s="3"/>
      <c r="AE9220" s="3"/>
      <c r="AF9220" s="3"/>
      <c r="AG9220" s="3"/>
      <c r="AH9220" s="3"/>
    </row>
    <row r="9221" spans="1:34" ht="14.25" customHeight="1" x14ac:dyDescent="0.25">
      <c r="A9221" s="3"/>
      <c r="B9221" s="3"/>
      <c r="C9221" s="3"/>
      <c r="D9221" s="3"/>
      <c r="E9221" s="3"/>
      <c r="F9221" s="3"/>
      <c r="G9221" s="3"/>
      <c r="H9221" s="11"/>
      <c r="I9221" s="12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  <c r="AA9221" s="3"/>
      <c r="AB9221" s="3"/>
      <c r="AC9221" s="3"/>
      <c r="AD9221" s="3"/>
      <c r="AE9221" s="3"/>
      <c r="AF9221" s="3"/>
      <c r="AG9221" s="3"/>
      <c r="AH9221" s="3"/>
    </row>
    <row r="9222" spans="1:34" ht="14.25" customHeight="1" x14ac:dyDescent="0.25">
      <c r="A9222" s="3"/>
      <c r="B9222" s="3"/>
      <c r="C9222" s="3"/>
      <c r="D9222" s="3"/>
      <c r="E9222" s="3"/>
      <c r="F9222" s="3"/>
      <c r="G9222" s="3"/>
      <c r="H9222" s="11"/>
      <c r="I9222" s="12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  <c r="AA9222" s="3"/>
      <c r="AB9222" s="3"/>
      <c r="AC9222" s="3"/>
      <c r="AD9222" s="3"/>
      <c r="AE9222" s="3"/>
      <c r="AF9222" s="3"/>
      <c r="AG9222" s="3"/>
      <c r="AH9222" s="3"/>
    </row>
    <row r="9223" spans="1:34" ht="14.25" customHeight="1" x14ac:dyDescent="0.25">
      <c r="A9223" s="3"/>
      <c r="B9223" s="3"/>
      <c r="C9223" s="3"/>
      <c r="D9223" s="3"/>
      <c r="E9223" s="3"/>
      <c r="F9223" s="3"/>
      <c r="G9223" s="3"/>
      <c r="H9223" s="11"/>
      <c r="I9223" s="12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  <c r="AA9223" s="3"/>
      <c r="AB9223" s="3"/>
      <c r="AC9223" s="3"/>
      <c r="AD9223" s="3"/>
      <c r="AE9223" s="3"/>
      <c r="AF9223" s="3"/>
      <c r="AG9223" s="3"/>
      <c r="AH9223" s="3"/>
    </row>
    <row r="9224" spans="1:34" ht="14.25" customHeight="1" x14ac:dyDescent="0.25">
      <c r="A9224" s="3"/>
      <c r="B9224" s="3"/>
      <c r="C9224" s="3"/>
      <c r="D9224" s="3"/>
      <c r="E9224" s="3"/>
      <c r="F9224" s="3"/>
      <c r="G9224" s="3"/>
      <c r="H9224" s="11"/>
      <c r="I9224" s="12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  <c r="AA9224" s="3"/>
      <c r="AB9224" s="3"/>
      <c r="AC9224" s="3"/>
      <c r="AD9224" s="3"/>
      <c r="AE9224" s="3"/>
      <c r="AF9224" s="3"/>
      <c r="AG9224" s="3"/>
      <c r="AH9224" s="3"/>
    </row>
    <row r="9225" spans="1:34" ht="14.25" customHeight="1" x14ac:dyDescent="0.25">
      <c r="A9225" s="3"/>
      <c r="B9225" s="3"/>
      <c r="C9225" s="3"/>
      <c r="D9225" s="3"/>
      <c r="E9225" s="3"/>
      <c r="F9225" s="3"/>
      <c r="G9225" s="3"/>
      <c r="H9225" s="11"/>
      <c r="I9225" s="12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  <c r="AA9225" s="3"/>
      <c r="AB9225" s="3"/>
      <c r="AC9225" s="3"/>
      <c r="AD9225" s="3"/>
      <c r="AE9225" s="3"/>
      <c r="AF9225" s="3"/>
      <c r="AG9225" s="3"/>
      <c r="AH9225" s="3"/>
    </row>
    <row r="9226" spans="1:34" ht="14.25" customHeight="1" x14ac:dyDescent="0.25">
      <c r="A9226" s="3"/>
      <c r="B9226" s="3"/>
      <c r="C9226" s="3"/>
      <c r="D9226" s="3"/>
      <c r="E9226" s="3"/>
      <c r="F9226" s="3"/>
      <c r="G9226" s="3"/>
      <c r="H9226" s="11"/>
      <c r="I9226" s="12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  <c r="AA9226" s="3"/>
      <c r="AB9226" s="3"/>
      <c r="AC9226" s="3"/>
      <c r="AD9226" s="3"/>
      <c r="AE9226" s="3"/>
      <c r="AF9226" s="3"/>
      <c r="AG9226" s="3"/>
      <c r="AH9226" s="3"/>
    </row>
    <row r="9227" spans="1:34" ht="14.25" customHeight="1" x14ac:dyDescent="0.25">
      <c r="A9227" s="3"/>
      <c r="B9227" s="3"/>
      <c r="C9227" s="3"/>
      <c r="D9227" s="3"/>
      <c r="E9227" s="3"/>
      <c r="F9227" s="3"/>
      <c r="G9227" s="3"/>
      <c r="H9227" s="11"/>
      <c r="I9227" s="12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  <c r="AA9227" s="3"/>
      <c r="AB9227" s="3"/>
      <c r="AC9227" s="3"/>
      <c r="AD9227" s="3"/>
      <c r="AE9227" s="3"/>
      <c r="AF9227" s="3"/>
      <c r="AG9227" s="3"/>
      <c r="AH9227" s="3"/>
    </row>
    <row r="9228" spans="1:34" ht="14.25" customHeight="1" x14ac:dyDescent="0.25">
      <c r="A9228" s="3"/>
      <c r="B9228" s="3"/>
      <c r="C9228" s="3"/>
      <c r="D9228" s="3"/>
      <c r="E9228" s="3"/>
      <c r="F9228" s="3"/>
      <c r="G9228" s="3"/>
      <c r="H9228" s="11"/>
      <c r="I9228" s="12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  <c r="AA9228" s="3"/>
      <c r="AB9228" s="3"/>
      <c r="AC9228" s="3"/>
      <c r="AD9228" s="3"/>
      <c r="AE9228" s="3"/>
      <c r="AF9228" s="3"/>
      <c r="AG9228" s="3"/>
      <c r="AH9228" s="3"/>
    </row>
    <row r="9229" spans="1:34" ht="14.25" customHeight="1" x14ac:dyDescent="0.25">
      <c r="A9229" s="3"/>
      <c r="B9229" s="3"/>
      <c r="C9229" s="3"/>
      <c r="D9229" s="3"/>
      <c r="E9229" s="3"/>
      <c r="F9229" s="3"/>
      <c r="G9229" s="3"/>
      <c r="H9229" s="11"/>
      <c r="I9229" s="12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  <c r="AA9229" s="3"/>
      <c r="AB9229" s="3"/>
      <c r="AC9229" s="3"/>
      <c r="AD9229" s="3"/>
      <c r="AE9229" s="3"/>
      <c r="AF9229" s="3"/>
      <c r="AG9229" s="3"/>
      <c r="AH9229" s="3"/>
    </row>
    <row r="9230" spans="1:34" ht="14.25" customHeight="1" x14ac:dyDescent="0.25">
      <c r="A9230" s="3"/>
      <c r="B9230" s="3"/>
      <c r="C9230" s="3"/>
      <c r="D9230" s="3"/>
      <c r="E9230" s="3"/>
      <c r="F9230" s="3"/>
      <c r="G9230" s="3"/>
      <c r="H9230" s="11"/>
      <c r="I9230" s="12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  <c r="AA9230" s="3"/>
      <c r="AB9230" s="3"/>
      <c r="AC9230" s="3"/>
      <c r="AD9230" s="3"/>
      <c r="AE9230" s="3"/>
      <c r="AF9230" s="3"/>
      <c r="AG9230" s="3"/>
      <c r="AH9230" s="3"/>
    </row>
    <row r="9231" spans="1:34" ht="14.25" customHeight="1" x14ac:dyDescent="0.25">
      <c r="A9231" s="3"/>
      <c r="B9231" s="3"/>
      <c r="C9231" s="3"/>
      <c r="D9231" s="3"/>
      <c r="E9231" s="3"/>
      <c r="F9231" s="3"/>
      <c r="G9231" s="3"/>
      <c r="H9231" s="11"/>
      <c r="I9231" s="12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  <c r="AA9231" s="3"/>
      <c r="AB9231" s="3"/>
      <c r="AC9231" s="3"/>
      <c r="AD9231" s="3"/>
      <c r="AE9231" s="3"/>
      <c r="AF9231" s="3"/>
      <c r="AG9231" s="3"/>
      <c r="AH9231" s="3"/>
    </row>
    <row r="9232" spans="1:34" ht="14.25" customHeight="1" x14ac:dyDescent="0.25">
      <c r="A9232" s="3"/>
      <c r="B9232" s="3"/>
      <c r="C9232" s="3"/>
      <c r="D9232" s="3"/>
      <c r="E9232" s="3"/>
      <c r="F9232" s="3"/>
      <c r="G9232" s="3"/>
      <c r="H9232" s="11"/>
      <c r="I9232" s="12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  <c r="AA9232" s="3"/>
      <c r="AB9232" s="3"/>
      <c r="AC9232" s="3"/>
      <c r="AD9232" s="3"/>
      <c r="AE9232" s="3"/>
      <c r="AF9232" s="3"/>
      <c r="AG9232" s="3"/>
      <c r="AH9232" s="3"/>
    </row>
    <row r="9233" spans="1:34" ht="14.25" customHeight="1" x14ac:dyDescent="0.25">
      <c r="A9233" s="3"/>
      <c r="B9233" s="3"/>
      <c r="C9233" s="3"/>
      <c r="D9233" s="3"/>
      <c r="E9233" s="3"/>
      <c r="F9233" s="3"/>
      <c r="G9233" s="3"/>
      <c r="H9233" s="11"/>
      <c r="I9233" s="12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  <c r="AA9233" s="3"/>
      <c r="AB9233" s="3"/>
      <c r="AC9233" s="3"/>
      <c r="AD9233" s="3"/>
      <c r="AE9233" s="3"/>
      <c r="AF9233" s="3"/>
      <c r="AG9233" s="3"/>
      <c r="AH9233" s="3"/>
    </row>
    <row r="9234" spans="1:34" ht="14.25" customHeight="1" x14ac:dyDescent="0.25">
      <c r="A9234" s="3"/>
      <c r="B9234" s="3"/>
      <c r="C9234" s="3"/>
      <c r="D9234" s="3"/>
      <c r="E9234" s="3"/>
      <c r="F9234" s="3"/>
      <c r="G9234" s="3"/>
      <c r="H9234" s="11"/>
      <c r="I9234" s="12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  <c r="AA9234" s="3"/>
      <c r="AB9234" s="3"/>
      <c r="AC9234" s="3"/>
      <c r="AD9234" s="3"/>
      <c r="AE9234" s="3"/>
      <c r="AF9234" s="3"/>
      <c r="AG9234" s="3"/>
      <c r="AH9234" s="3"/>
    </row>
    <row r="9235" spans="1:34" ht="14.25" customHeight="1" x14ac:dyDescent="0.25">
      <c r="A9235" s="3"/>
      <c r="B9235" s="3"/>
      <c r="C9235" s="3"/>
      <c r="D9235" s="3"/>
      <c r="E9235" s="3"/>
      <c r="F9235" s="3"/>
      <c r="G9235" s="3"/>
      <c r="H9235" s="11"/>
      <c r="I9235" s="12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  <c r="AA9235" s="3"/>
      <c r="AB9235" s="3"/>
      <c r="AC9235" s="3"/>
      <c r="AD9235" s="3"/>
      <c r="AE9235" s="3"/>
      <c r="AF9235" s="3"/>
      <c r="AG9235" s="3"/>
      <c r="AH9235" s="3"/>
    </row>
    <row r="9236" spans="1:34" ht="14.25" customHeight="1" x14ac:dyDescent="0.25">
      <c r="A9236" s="3"/>
      <c r="B9236" s="3"/>
      <c r="C9236" s="3"/>
      <c r="D9236" s="3"/>
      <c r="E9236" s="3"/>
      <c r="F9236" s="3"/>
      <c r="G9236" s="3"/>
      <c r="H9236" s="11"/>
      <c r="I9236" s="12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  <c r="AA9236" s="3"/>
      <c r="AB9236" s="3"/>
      <c r="AC9236" s="3"/>
      <c r="AD9236" s="3"/>
      <c r="AE9236" s="3"/>
      <c r="AF9236" s="3"/>
      <c r="AG9236" s="3"/>
      <c r="AH9236" s="3"/>
    </row>
    <row r="9237" spans="1:34" ht="14.25" customHeight="1" x14ac:dyDescent="0.25">
      <c r="A9237" s="3"/>
      <c r="B9237" s="3"/>
      <c r="C9237" s="3"/>
      <c r="D9237" s="3"/>
      <c r="E9237" s="3"/>
      <c r="F9237" s="3"/>
      <c r="G9237" s="3"/>
      <c r="H9237" s="11"/>
      <c r="I9237" s="12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  <c r="AA9237" s="3"/>
      <c r="AB9237" s="3"/>
      <c r="AC9237" s="3"/>
      <c r="AD9237" s="3"/>
      <c r="AE9237" s="3"/>
      <c r="AF9237" s="3"/>
      <c r="AG9237" s="3"/>
      <c r="AH9237" s="3"/>
    </row>
    <row r="9238" spans="1:34" ht="14.25" customHeight="1" x14ac:dyDescent="0.25">
      <c r="A9238" s="3"/>
      <c r="B9238" s="3"/>
      <c r="C9238" s="3"/>
      <c r="D9238" s="3"/>
      <c r="E9238" s="3"/>
      <c r="F9238" s="3"/>
      <c r="G9238" s="3"/>
      <c r="H9238" s="11"/>
      <c r="I9238" s="12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  <c r="AA9238" s="3"/>
      <c r="AB9238" s="3"/>
      <c r="AC9238" s="3"/>
      <c r="AD9238" s="3"/>
      <c r="AE9238" s="3"/>
      <c r="AF9238" s="3"/>
      <c r="AG9238" s="3"/>
      <c r="AH9238" s="3"/>
    </row>
    <row r="9239" spans="1:34" ht="14.25" customHeight="1" x14ac:dyDescent="0.25">
      <c r="A9239" s="3"/>
      <c r="B9239" s="3"/>
      <c r="C9239" s="3"/>
      <c r="D9239" s="3"/>
      <c r="E9239" s="3"/>
      <c r="F9239" s="3"/>
      <c r="G9239" s="3"/>
      <c r="H9239" s="11"/>
      <c r="I9239" s="12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  <c r="AA9239" s="3"/>
      <c r="AB9239" s="3"/>
      <c r="AC9239" s="3"/>
      <c r="AD9239" s="3"/>
      <c r="AE9239" s="3"/>
      <c r="AF9239" s="3"/>
      <c r="AG9239" s="3"/>
      <c r="AH9239" s="3"/>
    </row>
    <row r="9240" spans="1:34" ht="14.25" customHeight="1" x14ac:dyDescent="0.25">
      <c r="A9240" s="3"/>
      <c r="B9240" s="3"/>
      <c r="C9240" s="3"/>
      <c r="D9240" s="3"/>
      <c r="E9240" s="3"/>
      <c r="F9240" s="3"/>
      <c r="G9240" s="3"/>
      <c r="H9240" s="11"/>
      <c r="I9240" s="12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  <c r="AA9240" s="3"/>
      <c r="AB9240" s="3"/>
      <c r="AC9240" s="3"/>
      <c r="AD9240" s="3"/>
      <c r="AE9240" s="3"/>
      <c r="AF9240" s="3"/>
      <c r="AG9240" s="3"/>
      <c r="AH9240" s="3"/>
    </row>
    <row r="9241" spans="1:34" ht="14.25" customHeight="1" x14ac:dyDescent="0.25">
      <c r="A9241" s="3"/>
      <c r="B9241" s="3"/>
      <c r="C9241" s="3"/>
      <c r="D9241" s="3"/>
      <c r="E9241" s="3"/>
      <c r="F9241" s="3"/>
      <c r="G9241" s="3"/>
      <c r="H9241" s="11"/>
      <c r="I9241" s="12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  <c r="AA9241" s="3"/>
      <c r="AB9241" s="3"/>
      <c r="AC9241" s="3"/>
      <c r="AD9241" s="3"/>
      <c r="AE9241" s="3"/>
      <c r="AF9241" s="3"/>
      <c r="AG9241" s="3"/>
      <c r="AH9241" s="3"/>
    </row>
    <row r="9242" spans="1:34" ht="14.25" customHeight="1" x14ac:dyDescent="0.25">
      <c r="A9242" s="3"/>
      <c r="B9242" s="3"/>
      <c r="C9242" s="3"/>
      <c r="D9242" s="3"/>
      <c r="E9242" s="3"/>
      <c r="F9242" s="3"/>
      <c r="G9242" s="3"/>
      <c r="H9242" s="11"/>
      <c r="I9242" s="12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  <c r="AA9242" s="3"/>
      <c r="AB9242" s="3"/>
      <c r="AC9242" s="3"/>
      <c r="AD9242" s="3"/>
      <c r="AE9242" s="3"/>
      <c r="AF9242" s="3"/>
      <c r="AG9242" s="3"/>
      <c r="AH9242" s="3"/>
    </row>
    <row r="9243" spans="1:34" ht="14.25" customHeight="1" x14ac:dyDescent="0.25">
      <c r="A9243" s="3"/>
      <c r="B9243" s="3"/>
      <c r="C9243" s="3"/>
      <c r="D9243" s="3"/>
      <c r="E9243" s="3"/>
      <c r="F9243" s="3"/>
      <c r="G9243" s="3"/>
      <c r="H9243" s="11"/>
      <c r="I9243" s="12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  <c r="AA9243" s="3"/>
      <c r="AB9243" s="3"/>
      <c r="AC9243" s="3"/>
      <c r="AD9243" s="3"/>
      <c r="AE9243" s="3"/>
      <c r="AF9243" s="3"/>
      <c r="AG9243" s="3"/>
      <c r="AH9243" s="3"/>
    </row>
    <row r="9244" spans="1:34" ht="14.25" customHeight="1" x14ac:dyDescent="0.25">
      <c r="A9244" s="3"/>
      <c r="B9244" s="3"/>
      <c r="C9244" s="3"/>
      <c r="D9244" s="3"/>
      <c r="E9244" s="3"/>
      <c r="F9244" s="3"/>
      <c r="G9244" s="3"/>
      <c r="H9244" s="11"/>
      <c r="I9244" s="12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  <c r="AA9244" s="3"/>
      <c r="AB9244" s="3"/>
      <c r="AC9244" s="3"/>
      <c r="AD9244" s="3"/>
      <c r="AE9244" s="3"/>
      <c r="AF9244" s="3"/>
      <c r="AG9244" s="3"/>
      <c r="AH9244" s="3"/>
    </row>
    <row r="9245" spans="1:34" ht="14.25" customHeight="1" x14ac:dyDescent="0.25">
      <c r="A9245" s="3"/>
      <c r="B9245" s="3"/>
      <c r="C9245" s="3"/>
      <c r="D9245" s="3"/>
      <c r="E9245" s="3"/>
      <c r="F9245" s="3"/>
      <c r="G9245" s="3"/>
      <c r="H9245" s="11"/>
      <c r="I9245" s="12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  <c r="AA9245" s="3"/>
      <c r="AB9245" s="3"/>
      <c r="AC9245" s="3"/>
      <c r="AD9245" s="3"/>
      <c r="AE9245" s="3"/>
      <c r="AF9245" s="3"/>
      <c r="AG9245" s="3"/>
      <c r="AH9245" s="3"/>
    </row>
    <row r="9246" spans="1:34" ht="14.25" customHeight="1" x14ac:dyDescent="0.25">
      <c r="A9246" s="3"/>
      <c r="B9246" s="3"/>
      <c r="C9246" s="3"/>
      <c r="D9246" s="3"/>
      <c r="E9246" s="3"/>
      <c r="F9246" s="3"/>
      <c r="G9246" s="3"/>
      <c r="H9246" s="11"/>
      <c r="I9246" s="12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  <c r="AA9246" s="3"/>
      <c r="AB9246" s="3"/>
      <c r="AC9246" s="3"/>
      <c r="AD9246" s="3"/>
      <c r="AE9246" s="3"/>
      <c r="AF9246" s="3"/>
      <c r="AG9246" s="3"/>
      <c r="AH9246" s="3"/>
    </row>
    <row r="9247" spans="1:34" ht="14.25" customHeight="1" x14ac:dyDescent="0.25">
      <c r="A9247" s="3"/>
      <c r="B9247" s="3"/>
      <c r="C9247" s="3"/>
      <c r="D9247" s="3"/>
      <c r="E9247" s="3"/>
      <c r="F9247" s="3"/>
      <c r="G9247" s="3"/>
      <c r="H9247" s="11"/>
      <c r="I9247" s="12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  <c r="AA9247" s="3"/>
      <c r="AB9247" s="3"/>
      <c r="AC9247" s="3"/>
      <c r="AD9247" s="3"/>
      <c r="AE9247" s="3"/>
      <c r="AF9247" s="3"/>
      <c r="AG9247" s="3"/>
      <c r="AH9247" s="3"/>
    </row>
    <row r="9248" spans="1:34" ht="14.25" customHeight="1" x14ac:dyDescent="0.25">
      <c r="A9248" s="3"/>
      <c r="B9248" s="3"/>
      <c r="C9248" s="3"/>
      <c r="D9248" s="3"/>
      <c r="E9248" s="3"/>
      <c r="F9248" s="3"/>
      <c r="G9248" s="3"/>
      <c r="H9248" s="11"/>
      <c r="I9248" s="12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  <c r="AA9248" s="3"/>
      <c r="AB9248" s="3"/>
      <c r="AC9248" s="3"/>
      <c r="AD9248" s="3"/>
      <c r="AE9248" s="3"/>
      <c r="AF9248" s="3"/>
      <c r="AG9248" s="3"/>
      <c r="AH9248" s="3"/>
    </row>
    <row r="9249" spans="1:34" ht="14.25" customHeight="1" x14ac:dyDescent="0.25">
      <c r="A9249" s="3"/>
      <c r="B9249" s="3"/>
      <c r="C9249" s="3"/>
      <c r="D9249" s="3"/>
      <c r="E9249" s="3"/>
      <c r="F9249" s="3"/>
      <c r="G9249" s="3"/>
      <c r="H9249" s="11"/>
      <c r="I9249" s="12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  <c r="AA9249" s="3"/>
      <c r="AB9249" s="3"/>
      <c r="AC9249" s="3"/>
      <c r="AD9249" s="3"/>
      <c r="AE9249" s="3"/>
      <c r="AF9249" s="3"/>
      <c r="AG9249" s="3"/>
      <c r="AH9249" s="3"/>
    </row>
    <row r="9250" spans="1:34" ht="14.25" customHeight="1" x14ac:dyDescent="0.25">
      <c r="A9250" s="3"/>
      <c r="B9250" s="3"/>
      <c r="C9250" s="3"/>
      <c r="D9250" s="3"/>
      <c r="E9250" s="3"/>
      <c r="F9250" s="3"/>
      <c r="G9250" s="3"/>
      <c r="H9250" s="11"/>
      <c r="I9250" s="12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  <c r="AA9250" s="3"/>
      <c r="AB9250" s="3"/>
      <c r="AC9250" s="3"/>
      <c r="AD9250" s="3"/>
      <c r="AE9250" s="3"/>
      <c r="AF9250" s="3"/>
      <c r="AG9250" s="3"/>
      <c r="AH9250" s="3"/>
    </row>
    <row r="9251" spans="1:34" ht="14.25" customHeight="1" x14ac:dyDescent="0.25">
      <c r="A9251" s="3"/>
      <c r="B9251" s="3"/>
      <c r="C9251" s="3"/>
      <c r="D9251" s="3"/>
      <c r="E9251" s="3"/>
      <c r="F9251" s="3"/>
      <c r="G9251" s="3"/>
      <c r="H9251" s="11"/>
      <c r="I9251" s="12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  <c r="AA9251" s="3"/>
      <c r="AB9251" s="3"/>
      <c r="AC9251" s="3"/>
      <c r="AD9251" s="3"/>
      <c r="AE9251" s="3"/>
      <c r="AF9251" s="3"/>
      <c r="AG9251" s="3"/>
      <c r="AH9251" s="3"/>
    </row>
    <row r="9252" spans="1:34" ht="14.25" customHeight="1" x14ac:dyDescent="0.25">
      <c r="A9252" s="3"/>
      <c r="B9252" s="3"/>
      <c r="C9252" s="3"/>
      <c r="D9252" s="3"/>
      <c r="E9252" s="3"/>
      <c r="F9252" s="3"/>
      <c r="G9252" s="3"/>
      <c r="H9252" s="11"/>
      <c r="I9252" s="12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  <c r="AA9252" s="3"/>
      <c r="AB9252" s="3"/>
      <c r="AC9252" s="3"/>
      <c r="AD9252" s="3"/>
      <c r="AE9252" s="3"/>
      <c r="AF9252" s="3"/>
      <c r="AG9252" s="3"/>
      <c r="AH9252" s="3"/>
    </row>
    <row r="9253" spans="1:34" ht="14.25" customHeight="1" x14ac:dyDescent="0.25">
      <c r="A9253" s="3"/>
      <c r="B9253" s="3"/>
      <c r="C9253" s="3"/>
      <c r="D9253" s="3"/>
      <c r="E9253" s="3"/>
      <c r="F9253" s="3"/>
      <c r="G9253" s="3"/>
      <c r="H9253" s="11"/>
      <c r="I9253" s="12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  <c r="AA9253" s="3"/>
      <c r="AB9253" s="3"/>
      <c r="AC9253" s="3"/>
      <c r="AD9253" s="3"/>
      <c r="AE9253" s="3"/>
      <c r="AF9253" s="3"/>
      <c r="AG9253" s="3"/>
      <c r="AH9253" s="3"/>
    </row>
    <row r="9254" spans="1:34" ht="14.25" customHeight="1" x14ac:dyDescent="0.25">
      <c r="A9254" s="3"/>
      <c r="B9254" s="3"/>
      <c r="C9254" s="3"/>
      <c r="D9254" s="3"/>
      <c r="E9254" s="3"/>
      <c r="F9254" s="3"/>
      <c r="G9254" s="3"/>
      <c r="H9254" s="11"/>
      <c r="I9254" s="12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  <c r="AA9254" s="3"/>
      <c r="AB9254" s="3"/>
      <c r="AC9254" s="3"/>
      <c r="AD9254" s="3"/>
      <c r="AE9254" s="3"/>
      <c r="AF9254" s="3"/>
      <c r="AG9254" s="3"/>
      <c r="AH9254" s="3"/>
    </row>
    <row r="9255" spans="1:34" ht="14.25" customHeight="1" x14ac:dyDescent="0.25">
      <c r="A9255" s="3"/>
      <c r="B9255" s="3"/>
      <c r="C9255" s="3"/>
      <c r="D9255" s="3"/>
      <c r="E9255" s="3"/>
      <c r="F9255" s="3"/>
      <c r="G9255" s="3"/>
      <c r="H9255" s="11"/>
      <c r="I9255" s="12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  <c r="AA9255" s="3"/>
      <c r="AB9255" s="3"/>
      <c r="AC9255" s="3"/>
      <c r="AD9255" s="3"/>
      <c r="AE9255" s="3"/>
      <c r="AF9255" s="3"/>
      <c r="AG9255" s="3"/>
      <c r="AH9255" s="3"/>
    </row>
    <row r="9256" spans="1:34" ht="14.25" customHeight="1" x14ac:dyDescent="0.25">
      <c r="A9256" s="3"/>
      <c r="B9256" s="3"/>
      <c r="C9256" s="3"/>
      <c r="D9256" s="3"/>
      <c r="E9256" s="3"/>
      <c r="F9256" s="3"/>
      <c r="G9256" s="3"/>
      <c r="H9256" s="11"/>
      <c r="I9256" s="12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  <c r="AA9256" s="3"/>
      <c r="AB9256" s="3"/>
      <c r="AC9256" s="3"/>
      <c r="AD9256" s="3"/>
      <c r="AE9256" s="3"/>
      <c r="AF9256" s="3"/>
      <c r="AG9256" s="3"/>
      <c r="AH9256" s="3"/>
    </row>
    <row r="9257" spans="1:34" ht="14.25" customHeight="1" x14ac:dyDescent="0.25">
      <c r="A9257" s="3"/>
      <c r="B9257" s="3"/>
      <c r="C9257" s="3"/>
      <c r="D9257" s="3"/>
      <c r="E9257" s="3"/>
      <c r="F9257" s="3"/>
      <c r="G9257" s="3"/>
      <c r="H9257" s="11"/>
      <c r="I9257" s="12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  <c r="AA9257" s="3"/>
      <c r="AB9257" s="3"/>
      <c r="AC9257" s="3"/>
      <c r="AD9257" s="3"/>
      <c r="AE9257" s="3"/>
      <c r="AF9257" s="3"/>
      <c r="AG9257" s="3"/>
      <c r="AH9257" s="3"/>
    </row>
    <row r="9258" spans="1:34" ht="14.25" customHeight="1" x14ac:dyDescent="0.25">
      <c r="A9258" s="3"/>
      <c r="B9258" s="3"/>
      <c r="C9258" s="3"/>
      <c r="D9258" s="3"/>
      <c r="E9258" s="3"/>
      <c r="F9258" s="3"/>
      <c r="G9258" s="3"/>
      <c r="H9258" s="11"/>
      <c r="I9258" s="12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  <c r="AA9258" s="3"/>
      <c r="AB9258" s="3"/>
      <c r="AC9258" s="3"/>
      <c r="AD9258" s="3"/>
      <c r="AE9258" s="3"/>
      <c r="AF9258" s="3"/>
      <c r="AG9258" s="3"/>
      <c r="AH9258" s="3"/>
    </row>
    <row r="9259" spans="1:34" ht="14.25" customHeight="1" x14ac:dyDescent="0.25">
      <c r="A9259" s="3"/>
      <c r="B9259" s="3"/>
      <c r="C9259" s="3"/>
      <c r="D9259" s="3"/>
      <c r="E9259" s="3"/>
      <c r="F9259" s="3"/>
      <c r="G9259" s="3"/>
      <c r="H9259" s="11"/>
      <c r="I9259" s="12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  <c r="AA9259" s="3"/>
      <c r="AB9259" s="3"/>
      <c r="AC9259" s="3"/>
      <c r="AD9259" s="3"/>
      <c r="AE9259" s="3"/>
      <c r="AF9259" s="3"/>
      <c r="AG9259" s="3"/>
      <c r="AH9259" s="3"/>
    </row>
    <row r="9260" spans="1:34" ht="14.25" customHeight="1" x14ac:dyDescent="0.25">
      <c r="A9260" s="3"/>
      <c r="B9260" s="3"/>
      <c r="C9260" s="3"/>
      <c r="D9260" s="3"/>
      <c r="E9260" s="3"/>
      <c r="F9260" s="3"/>
      <c r="G9260" s="3"/>
      <c r="H9260" s="11"/>
      <c r="I9260" s="12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  <c r="AA9260" s="3"/>
      <c r="AB9260" s="3"/>
      <c r="AC9260" s="3"/>
      <c r="AD9260" s="3"/>
      <c r="AE9260" s="3"/>
      <c r="AF9260" s="3"/>
      <c r="AG9260" s="3"/>
      <c r="AH9260" s="3"/>
    </row>
    <row r="9261" spans="1:34" ht="14.25" customHeight="1" x14ac:dyDescent="0.25">
      <c r="A9261" s="3"/>
      <c r="B9261" s="3"/>
      <c r="C9261" s="3"/>
      <c r="D9261" s="3"/>
      <c r="E9261" s="3"/>
      <c r="F9261" s="3"/>
      <c r="G9261" s="3"/>
      <c r="H9261" s="11"/>
      <c r="I9261" s="12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  <c r="AA9261" s="3"/>
      <c r="AB9261" s="3"/>
      <c r="AC9261" s="3"/>
      <c r="AD9261" s="3"/>
      <c r="AE9261" s="3"/>
      <c r="AF9261" s="3"/>
      <c r="AG9261" s="3"/>
      <c r="AH9261" s="3"/>
    </row>
    <row r="9262" spans="1:34" ht="14.25" customHeight="1" x14ac:dyDescent="0.25">
      <c r="A9262" s="3"/>
      <c r="B9262" s="3"/>
      <c r="C9262" s="3"/>
      <c r="D9262" s="3"/>
      <c r="E9262" s="3"/>
      <c r="F9262" s="3"/>
      <c r="G9262" s="3"/>
      <c r="H9262" s="11"/>
      <c r="I9262" s="12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  <c r="AA9262" s="3"/>
      <c r="AB9262" s="3"/>
      <c r="AC9262" s="3"/>
      <c r="AD9262" s="3"/>
      <c r="AE9262" s="3"/>
      <c r="AF9262" s="3"/>
      <c r="AG9262" s="3"/>
      <c r="AH9262" s="3"/>
    </row>
    <row r="9263" spans="1:34" ht="14.25" customHeight="1" x14ac:dyDescent="0.25">
      <c r="A9263" s="3"/>
      <c r="B9263" s="3"/>
      <c r="C9263" s="3"/>
      <c r="D9263" s="3"/>
      <c r="E9263" s="3"/>
      <c r="F9263" s="3"/>
      <c r="G9263" s="3"/>
      <c r="H9263" s="11"/>
      <c r="I9263" s="12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  <c r="AA9263" s="3"/>
      <c r="AB9263" s="3"/>
      <c r="AC9263" s="3"/>
      <c r="AD9263" s="3"/>
      <c r="AE9263" s="3"/>
      <c r="AF9263" s="3"/>
      <c r="AG9263" s="3"/>
      <c r="AH9263" s="3"/>
    </row>
    <row r="9264" spans="1:34" ht="14.25" customHeight="1" x14ac:dyDescent="0.25">
      <c r="A9264" s="3"/>
      <c r="B9264" s="3"/>
      <c r="C9264" s="3"/>
      <c r="D9264" s="3"/>
      <c r="E9264" s="3"/>
      <c r="F9264" s="3"/>
      <c r="G9264" s="3"/>
      <c r="H9264" s="11"/>
      <c r="I9264" s="12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  <c r="AA9264" s="3"/>
      <c r="AB9264" s="3"/>
      <c r="AC9264" s="3"/>
      <c r="AD9264" s="3"/>
      <c r="AE9264" s="3"/>
      <c r="AF9264" s="3"/>
      <c r="AG9264" s="3"/>
      <c r="AH9264" s="3"/>
    </row>
    <row r="9265" spans="1:34" ht="14.25" customHeight="1" x14ac:dyDescent="0.25">
      <c r="A9265" s="3"/>
      <c r="B9265" s="3"/>
      <c r="C9265" s="3"/>
      <c r="D9265" s="3"/>
      <c r="E9265" s="3"/>
      <c r="F9265" s="3"/>
      <c r="G9265" s="3"/>
      <c r="H9265" s="11"/>
      <c r="I9265" s="12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  <c r="AA9265" s="3"/>
      <c r="AB9265" s="3"/>
      <c r="AC9265" s="3"/>
      <c r="AD9265" s="3"/>
      <c r="AE9265" s="3"/>
      <c r="AF9265" s="3"/>
      <c r="AG9265" s="3"/>
      <c r="AH9265" s="3"/>
    </row>
    <row r="9266" spans="1:34" ht="14.25" customHeight="1" x14ac:dyDescent="0.25">
      <c r="A9266" s="3"/>
      <c r="B9266" s="3"/>
      <c r="C9266" s="3"/>
      <c r="D9266" s="3"/>
      <c r="E9266" s="3"/>
      <c r="F9266" s="3"/>
      <c r="G9266" s="3"/>
      <c r="H9266" s="11"/>
      <c r="I9266" s="12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  <c r="AA9266" s="3"/>
      <c r="AB9266" s="3"/>
      <c r="AC9266" s="3"/>
      <c r="AD9266" s="3"/>
      <c r="AE9266" s="3"/>
      <c r="AF9266" s="3"/>
      <c r="AG9266" s="3"/>
      <c r="AH9266" s="3"/>
    </row>
    <row r="9267" spans="1:34" ht="14.25" customHeight="1" x14ac:dyDescent="0.25">
      <c r="A9267" s="3"/>
      <c r="B9267" s="3"/>
      <c r="C9267" s="3"/>
      <c r="D9267" s="3"/>
      <c r="E9267" s="3"/>
      <c r="F9267" s="3"/>
      <c r="G9267" s="3"/>
      <c r="H9267" s="11"/>
      <c r="I9267" s="12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  <c r="AA9267" s="3"/>
      <c r="AB9267" s="3"/>
      <c r="AC9267" s="3"/>
      <c r="AD9267" s="3"/>
      <c r="AE9267" s="3"/>
      <c r="AF9267" s="3"/>
      <c r="AG9267" s="3"/>
      <c r="AH9267" s="3"/>
    </row>
    <row r="9268" spans="1:34" ht="14.25" customHeight="1" x14ac:dyDescent="0.25">
      <c r="A9268" s="3"/>
      <c r="B9268" s="3"/>
      <c r="C9268" s="3"/>
      <c r="D9268" s="3"/>
      <c r="E9268" s="3"/>
      <c r="F9268" s="3"/>
      <c r="G9268" s="3"/>
      <c r="H9268" s="11"/>
      <c r="I9268" s="12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  <c r="AA9268" s="3"/>
      <c r="AB9268" s="3"/>
      <c r="AC9268" s="3"/>
      <c r="AD9268" s="3"/>
      <c r="AE9268" s="3"/>
      <c r="AF9268" s="3"/>
      <c r="AG9268" s="3"/>
      <c r="AH9268" s="3"/>
    </row>
    <row r="9269" spans="1:34" ht="14.25" customHeight="1" x14ac:dyDescent="0.25">
      <c r="A9269" s="3"/>
      <c r="B9269" s="3"/>
      <c r="C9269" s="3"/>
      <c r="D9269" s="3"/>
      <c r="E9269" s="3"/>
      <c r="F9269" s="3"/>
      <c r="G9269" s="3"/>
      <c r="H9269" s="11"/>
      <c r="I9269" s="12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  <c r="AA9269" s="3"/>
      <c r="AB9269" s="3"/>
      <c r="AC9269" s="3"/>
      <c r="AD9269" s="3"/>
      <c r="AE9269" s="3"/>
      <c r="AF9269" s="3"/>
      <c r="AG9269" s="3"/>
      <c r="AH9269" s="3"/>
    </row>
    <row r="9270" spans="1:34" ht="14.25" customHeight="1" x14ac:dyDescent="0.25">
      <c r="A9270" s="3"/>
      <c r="B9270" s="3"/>
      <c r="C9270" s="3"/>
      <c r="D9270" s="3"/>
      <c r="E9270" s="3"/>
      <c r="F9270" s="3"/>
      <c r="G9270" s="3"/>
      <c r="H9270" s="11"/>
      <c r="I9270" s="12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  <c r="AA9270" s="3"/>
      <c r="AB9270" s="3"/>
      <c r="AC9270" s="3"/>
      <c r="AD9270" s="3"/>
      <c r="AE9270" s="3"/>
      <c r="AF9270" s="3"/>
      <c r="AG9270" s="3"/>
      <c r="AH9270" s="3"/>
    </row>
    <row r="9271" spans="1:34" ht="14.25" customHeight="1" x14ac:dyDescent="0.25">
      <c r="A9271" s="3"/>
      <c r="B9271" s="3"/>
      <c r="C9271" s="3"/>
      <c r="D9271" s="3"/>
      <c r="E9271" s="3"/>
      <c r="F9271" s="3"/>
      <c r="G9271" s="3"/>
      <c r="H9271" s="11"/>
      <c r="I9271" s="12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  <c r="AA9271" s="3"/>
      <c r="AB9271" s="3"/>
      <c r="AC9271" s="3"/>
      <c r="AD9271" s="3"/>
      <c r="AE9271" s="3"/>
      <c r="AF9271" s="3"/>
      <c r="AG9271" s="3"/>
      <c r="AH9271" s="3"/>
    </row>
    <row r="9272" spans="1:34" ht="14.25" customHeight="1" x14ac:dyDescent="0.25">
      <c r="A9272" s="3"/>
      <c r="B9272" s="3"/>
      <c r="C9272" s="3"/>
      <c r="D9272" s="3"/>
      <c r="E9272" s="3"/>
      <c r="F9272" s="3"/>
      <c r="G9272" s="3"/>
      <c r="H9272" s="11"/>
      <c r="I9272" s="12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  <c r="AA9272" s="3"/>
      <c r="AB9272" s="3"/>
      <c r="AC9272" s="3"/>
      <c r="AD9272" s="3"/>
      <c r="AE9272" s="3"/>
      <c r="AF9272" s="3"/>
      <c r="AG9272" s="3"/>
      <c r="AH9272" s="3"/>
    </row>
    <row r="9273" spans="1:34" ht="14.25" customHeight="1" x14ac:dyDescent="0.25">
      <c r="A9273" s="3"/>
      <c r="B9273" s="3"/>
      <c r="C9273" s="3"/>
      <c r="D9273" s="3"/>
      <c r="E9273" s="3"/>
      <c r="F9273" s="3"/>
      <c r="G9273" s="3"/>
      <c r="H9273" s="11"/>
      <c r="I9273" s="12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  <c r="AA9273" s="3"/>
      <c r="AB9273" s="3"/>
      <c r="AC9273" s="3"/>
      <c r="AD9273" s="3"/>
      <c r="AE9273" s="3"/>
      <c r="AF9273" s="3"/>
      <c r="AG9273" s="3"/>
      <c r="AH9273" s="3"/>
    </row>
    <row r="9274" spans="1:34" ht="14.25" customHeight="1" x14ac:dyDescent="0.25">
      <c r="A9274" s="3"/>
      <c r="B9274" s="3"/>
      <c r="C9274" s="3"/>
      <c r="D9274" s="3"/>
      <c r="E9274" s="3"/>
      <c r="F9274" s="3"/>
      <c r="G9274" s="3"/>
      <c r="H9274" s="11"/>
      <c r="I9274" s="12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  <c r="AA9274" s="3"/>
      <c r="AB9274" s="3"/>
      <c r="AC9274" s="3"/>
      <c r="AD9274" s="3"/>
      <c r="AE9274" s="3"/>
      <c r="AF9274" s="3"/>
      <c r="AG9274" s="3"/>
      <c r="AH9274" s="3"/>
    </row>
    <row r="9275" spans="1:34" ht="14.25" customHeight="1" x14ac:dyDescent="0.25">
      <c r="A9275" s="3"/>
      <c r="B9275" s="3"/>
      <c r="C9275" s="3"/>
      <c r="D9275" s="3"/>
      <c r="E9275" s="3"/>
      <c r="F9275" s="3"/>
      <c r="G9275" s="3"/>
      <c r="H9275" s="11"/>
      <c r="I9275" s="12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  <c r="AA9275" s="3"/>
      <c r="AB9275" s="3"/>
      <c r="AC9275" s="3"/>
      <c r="AD9275" s="3"/>
      <c r="AE9275" s="3"/>
      <c r="AF9275" s="3"/>
      <c r="AG9275" s="3"/>
      <c r="AH9275" s="3"/>
    </row>
    <row r="9276" spans="1:34" ht="14.25" customHeight="1" x14ac:dyDescent="0.25">
      <c r="A9276" s="3"/>
      <c r="B9276" s="3"/>
      <c r="C9276" s="3"/>
      <c r="D9276" s="3"/>
      <c r="E9276" s="3"/>
      <c r="F9276" s="3"/>
      <c r="G9276" s="3"/>
      <c r="H9276" s="11"/>
      <c r="I9276" s="12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  <c r="AA9276" s="3"/>
      <c r="AB9276" s="3"/>
      <c r="AC9276" s="3"/>
      <c r="AD9276" s="3"/>
      <c r="AE9276" s="3"/>
      <c r="AF9276" s="3"/>
      <c r="AG9276" s="3"/>
      <c r="AH9276" s="3"/>
    </row>
    <row r="9277" spans="1:34" ht="14.25" customHeight="1" x14ac:dyDescent="0.25">
      <c r="A9277" s="3"/>
      <c r="B9277" s="3"/>
      <c r="C9277" s="3"/>
      <c r="D9277" s="3"/>
      <c r="E9277" s="3"/>
      <c r="F9277" s="3"/>
      <c r="G9277" s="3"/>
      <c r="H9277" s="11"/>
      <c r="I9277" s="12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  <c r="AA9277" s="3"/>
      <c r="AB9277" s="3"/>
      <c r="AC9277" s="3"/>
      <c r="AD9277" s="3"/>
      <c r="AE9277" s="3"/>
      <c r="AF9277" s="3"/>
      <c r="AG9277" s="3"/>
      <c r="AH9277" s="3"/>
    </row>
    <row r="9278" spans="1:34" ht="14.25" customHeight="1" x14ac:dyDescent="0.25">
      <c r="A9278" s="3"/>
      <c r="B9278" s="3"/>
      <c r="C9278" s="3"/>
      <c r="D9278" s="3"/>
      <c r="E9278" s="3"/>
      <c r="F9278" s="3"/>
      <c r="G9278" s="3"/>
      <c r="H9278" s="11"/>
      <c r="I9278" s="12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  <c r="AA9278" s="3"/>
      <c r="AB9278" s="3"/>
      <c r="AC9278" s="3"/>
      <c r="AD9278" s="3"/>
      <c r="AE9278" s="3"/>
      <c r="AF9278" s="3"/>
      <c r="AG9278" s="3"/>
      <c r="AH9278" s="3"/>
    </row>
    <row r="9279" spans="1:34" ht="14.25" customHeight="1" x14ac:dyDescent="0.25">
      <c r="A9279" s="3"/>
      <c r="B9279" s="3"/>
      <c r="C9279" s="3"/>
      <c r="D9279" s="3"/>
      <c r="E9279" s="3"/>
      <c r="F9279" s="3"/>
      <c r="G9279" s="3"/>
      <c r="H9279" s="11"/>
      <c r="I9279" s="12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  <c r="AA9279" s="3"/>
      <c r="AB9279" s="3"/>
      <c r="AC9279" s="3"/>
      <c r="AD9279" s="3"/>
      <c r="AE9279" s="3"/>
      <c r="AF9279" s="3"/>
      <c r="AG9279" s="3"/>
      <c r="AH9279" s="3"/>
    </row>
    <row r="9280" spans="1:34" ht="14.25" customHeight="1" x14ac:dyDescent="0.25">
      <c r="A9280" s="3"/>
      <c r="B9280" s="3"/>
      <c r="C9280" s="3"/>
      <c r="D9280" s="3"/>
      <c r="E9280" s="3"/>
      <c r="F9280" s="3"/>
      <c r="G9280" s="3"/>
      <c r="H9280" s="11"/>
      <c r="I9280" s="12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  <c r="AA9280" s="3"/>
      <c r="AB9280" s="3"/>
      <c r="AC9280" s="3"/>
      <c r="AD9280" s="3"/>
      <c r="AE9280" s="3"/>
      <c r="AF9280" s="3"/>
      <c r="AG9280" s="3"/>
      <c r="AH9280" s="3"/>
    </row>
    <row r="9281" spans="1:34" ht="14.25" customHeight="1" x14ac:dyDescent="0.25">
      <c r="A9281" s="3"/>
      <c r="B9281" s="3"/>
      <c r="C9281" s="3"/>
      <c r="D9281" s="3"/>
      <c r="E9281" s="3"/>
      <c r="F9281" s="3"/>
      <c r="G9281" s="3"/>
      <c r="H9281" s="11"/>
      <c r="I9281" s="12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  <c r="AA9281" s="3"/>
      <c r="AB9281" s="3"/>
      <c r="AC9281" s="3"/>
      <c r="AD9281" s="3"/>
      <c r="AE9281" s="3"/>
      <c r="AF9281" s="3"/>
      <c r="AG9281" s="3"/>
      <c r="AH9281" s="3"/>
    </row>
    <row r="9282" spans="1:34" ht="14.25" customHeight="1" x14ac:dyDescent="0.25">
      <c r="A9282" s="3"/>
      <c r="B9282" s="3"/>
      <c r="C9282" s="3"/>
      <c r="D9282" s="3"/>
      <c r="E9282" s="3"/>
      <c r="F9282" s="3"/>
      <c r="G9282" s="3"/>
      <c r="H9282" s="11"/>
      <c r="I9282" s="12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  <c r="AA9282" s="3"/>
      <c r="AB9282" s="3"/>
      <c r="AC9282" s="3"/>
      <c r="AD9282" s="3"/>
      <c r="AE9282" s="3"/>
      <c r="AF9282" s="3"/>
      <c r="AG9282" s="3"/>
      <c r="AH9282" s="3"/>
    </row>
    <row r="9283" spans="1:34" ht="14.25" customHeight="1" x14ac:dyDescent="0.25">
      <c r="A9283" s="3"/>
      <c r="B9283" s="3"/>
      <c r="C9283" s="3"/>
      <c r="D9283" s="3"/>
      <c r="E9283" s="3"/>
      <c r="F9283" s="3"/>
      <c r="G9283" s="3"/>
      <c r="H9283" s="11"/>
      <c r="I9283" s="12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  <c r="AA9283" s="3"/>
      <c r="AB9283" s="3"/>
      <c r="AC9283" s="3"/>
      <c r="AD9283" s="3"/>
      <c r="AE9283" s="3"/>
      <c r="AF9283" s="3"/>
      <c r="AG9283" s="3"/>
      <c r="AH9283" s="3"/>
    </row>
    <row r="9284" spans="1:34" ht="14.25" customHeight="1" x14ac:dyDescent="0.25">
      <c r="A9284" s="3"/>
      <c r="B9284" s="3"/>
      <c r="C9284" s="3"/>
      <c r="D9284" s="3"/>
      <c r="E9284" s="3"/>
      <c r="F9284" s="3"/>
      <c r="G9284" s="3"/>
      <c r="H9284" s="11"/>
      <c r="I9284" s="12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  <c r="AA9284" s="3"/>
      <c r="AB9284" s="3"/>
      <c r="AC9284" s="3"/>
      <c r="AD9284" s="3"/>
      <c r="AE9284" s="3"/>
      <c r="AF9284" s="3"/>
      <c r="AG9284" s="3"/>
      <c r="AH9284" s="3"/>
    </row>
    <row r="9285" spans="1:34" ht="14.25" customHeight="1" x14ac:dyDescent="0.25">
      <c r="A9285" s="3"/>
      <c r="B9285" s="3"/>
      <c r="C9285" s="3"/>
      <c r="D9285" s="3"/>
      <c r="E9285" s="3"/>
      <c r="F9285" s="3"/>
      <c r="G9285" s="3"/>
      <c r="H9285" s="11"/>
      <c r="I9285" s="12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  <c r="AA9285" s="3"/>
      <c r="AB9285" s="3"/>
      <c r="AC9285" s="3"/>
      <c r="AD9285" s="3"/>
      <c r="AE9285" s="3"/>
      <c r="AF9285" s="3"/>
      <c r="AG9285" s="3"/>
      <c r="AH9285" s="3"/>
    </row>
    <row r="9286" spans="1:34" ht="14.25" customHeight="1" x14ac:dyDescent="0.25">
      <c r="A9286" s="3"/>
      <c r="B9286" s="3"/>
      <c r="C9286" s="3"/>
      <c r="D9286" s="3"/>
      <c r="E9286" s="3"/>
      <c r="F9286" s="3"/>
      <c r="G9286" s="3"/>
      <c r="H9286" s="11"/>
      <c r="I9286" s="12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  <c r="AA9286" s="3"/>
      <c r="AB9286" s="3"/>
      <c r="AC9286" s="3"/>
      <c r="AD9286" s="3"/>
      <c r="AE9286" s="3"/>
      <c r="AF9286" s="3"/>
      <c r="AG9286" s="3"/>
      <c r="AH9286" s="3"/>
    </row>
    <row r="9287" spans="1:34" ht="14.25" customHeight="1" x14ac:dyDescent="0.25">
      <c r="A9287" s="3"/>
      <c r="B9287" s="3"/>
      <c r="C9287" s="3"/>
      <c r="D9287" s="3"/>
      <c r="E9287" s="3"/>
      <c r="F9287" s="3"/>
      <c r="G9287" s="3"/>
      <c r="H9287" s="11"/>
      <c r="I9287" s="12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  <c r="AA9287" s="3"/>
      <c r="AB9287" s="3"/>
      <c r="AC9287" s="3"/>
      <c r="AD9287" s="3"/>
      <c r="AE9287" s="3"/>
      <c r="AF9287" s="3"/>
      <c r="AG9287" s="3"/>
      <c r="AH9287" s="3"/>
    </row>
    <row r="9288" spans="1:34" ht="14.25" customHeight="1" x14ac:dyDescent="0.25">
      <c r="A9288" s="3"/>
      <c r="B9288" s="3"/>
      <c r="C9288" s="3"/>
      <c r="D9288" s="3"/>
      <c r="E9288" s="3"/>
      <c r="F9288" s="3"/>
      <c r="G9288" s="3"/>
      <c r="H9288" s="11"/>
      <c r="I9288" s="12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  <c r="AA9288" s="3"/>
      <c r="AB9288" s="3"/>
      <c r="AC9288" s="3"/>
      <c r="AD9288" s="3"/>
      <c r="AE9288" s="3"/>
      <c r="AF9288" s="3"/>
      <c r="AG9288" s="3"/>
      <c r="AH9288" s="3"/>
    </row>
    <row r="9289" spans="1:34" ht="14.25" customHeight="1" x14ac:dyDescent="0.25">
      <c r="A9289" s="3"/>
      <c r="B9289" s="3"/>
      <c r="C9289" s="3"/>
      <c r="D9289" s="3"/>
      <c r="E9289" s="3"/>
      <c r="F9289" s="3"/>
      <c r="G9289" s="3"/>
      <c r="H9289" s="11"/>
      <c r="I9289" s="12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  <c r="AA9289" s="3"/>
      <c r="AB9289" s="3"/>
      <c r="AC9289" s="3"/>
      <c r="AD9289" s="3"/>
      <c r="AE9289" s="3"/>
      <c r="AF9289" s="3"/>
      <c r="AG9289" s="3"/>
      <c r="AH9289" s="3"/>
    </row>
    <row r="9290" spans="1:34" ht="14.25" customHeight="1" x14ac:dyDescent="0.25">
      <c r="A9290" s="3"/>
      <c r="B9290" s="3"/>
      <c r="C9290" s="3"/>
      <c r="D9290" s="3"/>
      <c r="E9290" s="3"/>
      <c r="F9290" s="3"/>
      <c r="G9290" s="3"/>
      <c r="H9290" s="11"/>
      <c r="I9290" s="12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  <c r="AA9290" s="3"/>
      <c r="AB9290" s="3"/>
      <c r="AC9290" s="3"/>
      <c r="AD9290" s="3"/>
      <c r="AE9290" s="3"/>
      <c r="AF9290" s="3"/>
      <c r="AG9290" s="3"/>
      <c r="AH9290" s="3"/>
    </row>
    <row r="9291" spans="1:34" ht="14.25" customHeight="1" x14ac:dyDescent="0.25">
      <c r="A9291" s="3"/>
      <c r="B9291" s="3"/>
      <c r="C9291" s="3"/>
      <c r="D9291" s="3"/>
      <c r="E9291" s="3"/>
      <c r="F9291" s="3"/>
      <c r="G9291" s="3"/>
      <c r="H9291" s="11"/>
      <c r="I9291" s="12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  <c r="AA9291" s="3"/>
      <c r="AB9291" s="3"/>
      <c r="AC9291" s="3"/>
      <c r="AD9291" s="3"/>
      <c r="AE9291" s="3"/>
      <c r="AF9291" s="3"/>
      <c r="AG9291" s="3"/>
      <c r="AH9291" s="3"/>
    </row>
    <row r="9292" spans="1:34" ht="14.25" customHeight="1" x14ac:dyDescent="0.25">
      <c r="A9292" s="3"/>
      <c r="B9292" s="3"/>
      <c r="C9292" s="3"/>
      <c r="D9292" s="3"/>
      <c r="E9292" s="3"/>
      <c r="F9292" s="3"/>
      <c r="G9292" s="3"/>
      <c r="H9292" s="11"/>
      <c r="I9292" s="12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  <c r="AA9292" s="3"/>
      <c r="AB9292" s="3"/>
      <c r="AC9292" s="3"/>
      <c r="AD9292" s="3"/>
      <c r="AE9292" s="3"/>
      <c r="AF9292" s="3"/>
      <c r="AG9292" s="3"/>
      <c r="AH9292" s="3"/>
    </row>
    <row r="9293" spans="1:34" ht="14.25" customHeight="1" x14ac:dyDescent="0.25">
      <c r="A9293" s="3"/>
      <c r="B9293" s="3"/>
      <c r="C9293" s="3"/>
      <c r="D9293" s="3"/>
      <c r="E9293" s="3"/>
      <c r="F9293" s="3"/>
      <c r="G9293" s="3"/>
      <c r="H9293" s="11"/>
      <c r="I9293" s="12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  <c r="AA9293" s="3"/>
      <c r="AB9293" s="3"/>
      <c r="AC9293" s="3"/>
      <c r="AD9293" s="3"/>
      <c r="AE9293" s="3"/>
      <c r="AF9293" s="3"/>
      <c r="AG9293" s="3"/>
      <c r="AH9293" s="3"/>
    </row>
    <row r="9294" spans="1:34" ht="14.25" customHeight="1" x14ac:dyDescent="0.25">
      <c r="A9294" s="3"/>
      <c r="B9294" s="3"/>
      <c r="C9294" s="3"/>
      <c r="D9294" s="3"/>
      <c r="E9294" s="3"/>
      <c r="F9294" s="3"/>
      <c r="G9294" s="3"/>
      <c r="H9294" s="11"/>
      <c r="I9294" s="12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  <c r="AA9294" s="3"/>
      <c r="AB9294" s="3"/>
      <c r="AC9294" s="3"/>
      <c r="AD9294" s="3"/>
      <c r="AE9294" s="3"/>
      <c r="AF9294" s="3"/>
      <c r="AG9294" s="3"/>
      <c r="AH9294" s="3"/>
    </row>
    <row r="9295" spans="1:34" ht="14.25" customHeight="1" x14ac:dyDescent="0.25">
      <c r="A9295" s="3"/>
      <c r="B9295" s="3"/>
      <c r="C9295" s="3"/>
      <c r="D9295" s="3"/>
      <c r="E9295" s="3"/>
      <c r="F9295" s="3"/>
      <c r="G9295" s="3"/>
      <c r="H9295" s="11"/>
      <c r="I9295" s="12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  <c r="AA9295" s="3"/>
      <c r="AB9295" s="3"/>
      <c r="AC9295" s="3"/>
      <c r="AD9295" s="3"/>
      <c r="AE9295" s="3"/>
      <c r="AF9295" s="3"/>
      <c r="AG9295" s="3"/>
      <c r="AH9295" s="3"/>
    </row>
    <row r="9296" spans="1:34" ht="14.25" customHeight="1" x14ac:dyDescent="0.25">
      <c r="A9296" s="3"/>
      <c r="B9296" s="3"/>
      <c r="C9296" s="3"/>
      <c r="D9296" s="3"/>
      <c r="E9296" s="3"/>
      <c r="F9296" s="3"/>
      <c r="G9296" s="3"/>
      <c r="H9296" s="11"/>
      <c r="I9296" s="12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  <c r="AA9296" s="3"/>
      <c r="AB9296" s="3"/>
      <c r="AC9296" s="3"/>
      <c r="AD9296" s="3"/>
      <c r="AE9296" s="3"/>
      <c r="AF9296" s="3"/>
      <c r="AG9296" s="3"/>
      <c r="AH9296" s="3"/>
    </row>
    <row r="9297" spans="1:34" ht="14.25" customHeight="1" x14ac:dyDescent="0.25">
      <c r="A9297" s="3"/>
      <c r="B9297" s="3"/>
      <c r="C9297" s="3"/>
      <c r="D9297" s="3"/>
      <c r="E9297" s="3"/>
      <c r="F9297" s="3"/>
      <c r="G9297" s="3"/>
      <c r="H9297" s="11"/>
      <c r="I9297" s="12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  <c r="AA9297" s="3"/>
      <c r="AB9297" s="3"/>
      <c r="AC9297" s="3"/>
      <c r="AD9297" s="3"/>
      <c r="AE9297" s="3"/>
      <c r="AF9297" s="3"/>
      <c r="AG9297" s="3"/>
      <c r="AH9297" s="3"/>
    </row>
    <row r="9298" spans="1:34" ht="14.25" customHeight="1" x14ac:dyDescent="0.25">
      <c r="A9298" s="3"/>
      <c r="B9298" s="3"/>
      <c r="C9298" s="3"/>
      <c r="D9298" s="3"/>
      <c r="E9298" s="3"/>
      <c r="F9298" s="3"/>
      <c r="G9298" s="3"/>
      <c r="H9298" s="11"/>
      <c r="I9298" s="12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  <c r="AA9298" s="3"/>
      <c r="AB9298" s="3"/>
      <c r="AC9298" s="3"/>
      <c r="AD9298" s="3"/>
      <c r="AE9298" s="3"/>
      <c r="AF9298" s="3"/>
      <c r="AG9298" s="3"/>
      <c r="AH9298" s="3"/>
    </row>
    <row r="9299" spans="1:34" ht="14.25" customHeight="1" x14ac:dyDescent="0.25">
      <c r="A9299" s="3"/>
      <c r="B9299" s="3"/>
      <c r="C9299" s="3"/>
      <c r="D9299" s="3"/>
      <c r="E9299" s="3"/>
      <c r="F9299" s="3"/>
      <c r="G9299" s="3"/>
      <c r="H9299" s="11"/>
      <c r="I9299" s="12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  <c r="AA9299" s="3"/>
      <c r="AB9299" s="3"/>
      <c r="AC9299" s="3"/>
      <c r="AD9299" s="3"/>
      <c r="AE9299" s="3"/>
      <c r="AF9299" s="3"/>
      <c r="AG9299" s="3"/>
      <c r="AH9299" s="3"/>
    </row>
    <row r="9300" spans="1:34" ht="14.25" customHeight="1" x14ac:dyDescent="0.25">
      <c r="A9300" s="3"/>
      <c r="B9300" s="3"/>
      <c r="C9300" s="3"/>
      <c r="D9300" s="3"/>
      <c r="E9300" s="3"/>
      <c r="F9300" s="3"/>
      <c r="G9300" s="3"/>
      <c r="H9300" s="11"/>
      <c r="I9300" s="12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  <c r="AA9300" s="3"/>
      <c r="AB9300" s="3"/>
      <c r="AC9300" s="3"/>
      <c r="AD9300" s="3"/>
      <c r="AE9300" s="3"/>
      <c r="AF9300" s="3"/>
      <c r="AG9300" s="3"/>
      <c r="AH9300" s="3"/>
    </row>
    <row r="9301" spans="1:34" ht="14.25" customHeight="1" x14ac:dyDescent="0.25">
      <c r="A9301" s="3"/>
      <c r="B9301" s="3"/>
      <c r="C9301" s="3"/>
      <c r="D9301" s="3"/>
      <c r="E9301" s="3"/>
      <c r="F9301" s="3"/>
      <c r="G9301" s="3"/>
      <c r="H9301" s="11"/>
      <c r="I9301" s="12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  <c r="AA9301" s="3"/>
      <c r="AB9301" s="3"/>
      <c r="AC9301" s="3"/>
      <c r="AD9301" s="3"/>
      <c r="AE9301" s="3"/>
      <c r="AF9301" s="3"/>
      <c r="AG9301" s="3"/>
      <c r="AH9301" s="3"/>
    </row>
    <row r="9302" spans="1:34" ht="14.25" customHeight="1" x14ac:dyDescent="0.25">
      <c r="A9302" s="3"/>
      <c r="B9302" s="3"/>
      <c r="C9302" s="3"/>
      <c r="D9302" s="3"/>
      <c r="E9302" s="3"/>
      <c r="F9302" s="3"/>
      <c r="G9302" s="3"/>
      <c r="H9302" s="11"/>
      <c r="I9302" s="12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  <c r="AA9302" s="3"/>
      <c r="AB9302" s="3"/>
      <c r="AC9302" s="3"/>
      <c r="AD9302" s="3"/>
      <c r="AE9302" s="3"/>
      <c r="AF9302" s="3"/>
      <c r="AG9302" s="3"/>
      <c r="AH9302" s="3"/>
    </row>
    <row r="9303" spans="1:34" ht="14.25" customHeight="1" x14ac:dyDescent="0.25">
      <c r="A9303" s="3"/>
      <c r="B9303" s="3"/>
      <c r="C9303" s="3"/>
      <c r="D9303" s="3"/>
      <c r="E9303" s="3"/>
      <c r="F9303" s="3"/>
      <c r="G9303" s="3"/>
      <c r="H9303" s="11"/>
      <c r="I9303" s="12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  <c r="AA9303" s="3"/>
      <c r="AB9303" s="3"/>
      <c r="AC9303" s="3"/>
      <c r="AD9303" s="3"/>
      <c r="AE9303" s="3"/>
      <c r="AF9303" s="3"/>
      <c r="AG9303" s="3"/>
      <c r="AH9303" s="3"/>
    </row>
    <row r="9304" spans="1:34" ht="14.25" customHeight="1" x14ac:dyDescent="0.25">
      <c r="A9304" s="3"/>
      <c r="B9304" s="3"/>
      <c r="C9304" s="3"/>
      <c r="D9304" s="3"/>
      <c r="E9304" s="3"/>
      <c r="F9304" s="3"/>
      <c r="G9304" s="3"/>
      <c r="H9304" s="11"/>
      <c r="I9304" s="12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  <c r="AA9304" s="3"/>
      <c r="AB9304" s="3"/>
      <c r="AC9304" s="3"/>
      <c r="AD9304" s="3"/>
      <c r="AE9304" s="3"/>
      <c r="AF9304" s="3"/>
      <c r="AG9304" s="3"/>
      <c r="AH9304" s="3"/>
    </row>
    <row r="9305" spans="1:34" ht="14.25" customHeight="1" x14ac:dyDescent="0.25">
      <c r="A9305" s="3"/>
      <c r="B9305" s="3"/>
      <c r="C9305" s="3"/>
      <c r="D9305" s="3"/>
      <c r="E9305" s="3"/>
      <c r="F9305" s="3"/>
      <c r="G9305" s="3"/>
      <c r="H9305" s="11"/>
      <c r="I9305" s="12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  <c r="AA9305" s="3"/>
      <c r="AB9305" s="3"/>
      <c r="AC9305" s="3"/>
      <c r="AD9305" s="3"/>
      <c r="AE9305" s="3"/>
      <c r="AF9305" s="3"/>
      <c r="AG9305" s="3"/>
      <c r="AH9305" s="3"/>
    </row>
    <row r="9306" spans="1:34" ht="14.25" customHeight="1" x14ac:dyDescent="0.25">
      <c r="A9306" s="3"/>
      <c r="B9306" s="3"/>
      <c r="C9306" s="3"/>
      <c r="D9306" s="3"/>
      <c r="E9306" s="3"/>
      <c r="F9306" s="3"/>
      <c r="G9306" s="3"/>
      <c r="H9306" s="11"/>
      <c r="I9306" s="12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  <c r="AA9306" s="3"/>
      <c r="AB9306" s="3"/>
      <c r="AC9306" s="3"/>
      <c r="AD9306" s="3"/>
      <c r="AE9306" s="3"/>
      <c r="AF9306" s="3"/>
      <c r="AG9306" s="3"/>
      <c r="AH9306" s="3"/>
    </row>
    <row r="9307" spans="1:34" ht="14.25" customHeight="1" x14ac:dyDescent="0.25">
      <c r="A9307" s="3"/>
      <c r="B9307" s="3"/>
      <c r="C9307" s="3"/>
      <c r="D9307" s="3"/>
      <c r="E9307" s="3"/>
      <c r="F9307" s="3"/>
      <c r="G9307" s="3"/>
      <c r="H9307" s="11"/>
      <c r="I9307" s="12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  <c r="AA9307" s="3"/>
      <c r="AB9307" s="3"/>
      <c r="AC9307" s="3"/>
      <c r="AD9307" s="3"/>
      <c r="AE9307" s="3"/>
      <c r="AF9307" s="3"/>
      <c r="AG9307" s="3"/>
      <c r="AH9307" s="3"/>
    </row>
    <row r="9308" spans="1:34" ht="14.25" customHeight="1" x14ac:dyDescent="0.25">
      <c r="A9308" s="3"/>
      <c r="B9308" s="3"/>
      <c r="C9308" s="3"/>
      <c r="D9308" s="3"/>
      <c r="E9308" s="3"/>
      <c r="F9308" s="3"/>
      <c r="G9308" s="3"/>
      <c r="H9308" s="11"/>
      <c r="I9308" s="12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  <c r="AA9308" s="3"/>
      <c r="AB9308" s="3"/>
      <c r="AC9308" s="3"/>
      <c r="AD9308" s="3"/>
      <c r="AE9308" s="3"/>
      <c r="AF9308" s="3"/>
      <c r="AG9308" s="3"/>
      <c r="AH9308" s="3"/>
    </row>
    <row r="9309" spans="1:34" ht="14.25" customHeight="1" x14ac:dyDescent="0.25">
      <c r="A9309" s="3"/>
      <c r="B9309" s="3"/>
      <c r="C9309" s="3"/>
      <c r="D9309" s="3"/>
      <c r="E9309" s="3"/>
      <c r="F9309" s="3"/>
      <c r="G9309" s="3"/>
      <c r="H9309" s="11"/>
      <c r="I9309" s="12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  <c r="AA9309" s="3"/>
      <c r="AB9309" s="3"/>
      <c r="AC9309" s="3"/>
      <c r="AD9309" s="3"/>
      <c r="AE9309" s="3"/>
      <c r="AF9309" s="3"/>
      <c r="AG9309" s="3"/>
      <c r="AH9309" s="3"/>
    </row>
    <row r="9310" spans="1:34" ht="14.25" customHeight="1" x14ac:dyDescent="0.25">
      <c r="A9310" s="3"/>
      <c r="B9310" s="3"/>
      <c r="C9310" s="3"/>
      <c r="D9310" s="3"/>
      <c r="E9310" s="3"/>
      <c r="F9310" s="3"/>
      <c r="G9310" s="3"/>
      <c r="H9310" s="11"/>
      <c r="I9310" s="12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  <c r="AA9310" s="3"/>
      <c r="AB9310" s="3"/>
      <c r="AC9310" s="3"/>
      <c r="AD9310" s="3"/>
      <c r="AE9310" s="3"/>
      <c r="AF9310" s="3"/>
      <c r="AG9310" s="3"/>
      <c r="AH9310" s="3"/>
    </row>
    <row r="9311" spans="1:34" ht="14.25" customHeight="1" x14ac:dyDescent="0.25">
      <c r="A9311" s="3"/>
      <c r="B9311" s="3"/>
      <c r="C9311" s="3"/>
      <c r="D9311" s="3"/>
      <c r="E9311" s="3"/>
      <c r="F9311" s="3"/>
      <c r="G9311" s="3"/>
      <c r="H9311" s="11"/>
      <c r="I9311" s="12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  <c r="AA9311" s="3"/>
      <c r="AB9311" s="3"/>
      <c r="AC9311" s="3"/>
      <c r="AD9311" s="3"/>
      <c r="AE9311" s="3"/>
      <c r="AF9311" s="3"/>
      <c r="AG9311" s="3"/>
      <c r="AH9311" s="3"/>
    </row>
    <row r="9312" spans="1:34" ht="14.25" customHeight="1" x14ac:dyDescent="0.25">
      <c r="A9312" s="3"/>
      <c r="B9312" s="3"/>
      <c r="C9312" s="3"/>
      <c r="D9312" s="3"/>
      <c r="E9312" s="3"/>
      <c r="F9312" s="3"/>
      <c r="G9312" s="3"/>
      <c r="H9312" s="11"/>
      <c r="I9312" s="12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  <c r="AA9312" s="3"/>
      <c r="AB9312" s="3"/>
      <c r="AC9312" s="3"/>
      <c r="AD9312" s="3"/>
      <c r="AE9312" s="3"/>
      <c r="AF9312" s="3"/>
      <c r="AG9312" s="3"/>
      <c r="AH9312" s="3"/>
    </row>
    <row r="9313" spans="1:34" ht="14.25" customHeight="1" x14ac:dyDescent="0.25">
      <c r="A9313" s="3"/>
      <c r="B9313" s="3"/>
      <c r="C9313" s="3"/>
      <c r="D9313" s="3"/>
      <c r="E9313" s="3"/>
      <c r="F9313" s="3"/>
      <c r="G9313" s="3"/>
      <c r="H9313" s="11"/>
      <c r="I9313" s="12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  <c r="AA9313" s="3"/>
      <c r="AB9313" s="3"/>
      <c r="AC9313" s="3"/>
      <c r="AD9313" s="3"/>
      <c r="AE9313" s="3"/>
      <c r="AF9313" s="3"/>
      <c r="AG9313" s="3"/>
      <c r="AH9313" s="3"/>
    </row>
    <row r="9314" spans="1:34" ht="14.25" customHeight="1" x14ac:dyDescent="0.25">
      <c r="A9314" s="3"/>
      <c r="B9314" s="3"/>
      <c r="C9314" s="3"/>
      <c r="D9314" s="3"/>
      <c r="E9314" s="3"/>
      <c r="F9314" s="3"/>
      <c r="G9314" s="3"/>
      <c r="H9314" s="11"/>
      <c r="I9314" s="12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  <c r="AA9314" s="3"/>
      <c r="AB9314" s="3"/>
      <c r="AC9314" s="3"/>
      <c r="AD9314" s="3"/>
      <c r="AE9314" s="3"/>
      <c r="AF9314" s="3"/>
      <c r="AG9314" s="3"/>
      <c r="AH9314" s="3"/>
    </row>
    <row r="9315" spans="1:34" ht="14.25" customHeight="1" x14ac:dyDescent="0.25">
      <c r="A9315" s="3"/>
      <c r="B9315" s="3"/>
      <c r="C9315" s="3"/>
      <c r="D9315" s="3"/>
      <c r="E9315" s="3"/>
      <c r="F9315" s="3"/>
      <c r="G9315" s="3"/>
      <c r="H9315" s="11"/>
      <c r="I9315" s="12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  <c r="AA9315" s="3"/>
      <c r="AB9315" s="3"/>
      <c r="AC9315" s="3"/>
      <c r="AD9315" s="3"/>
      <c r="AE9315" s="3"/>
      <c r="AF9315" s="3"/>
      <c r="AG9315" s="3"/>
      <c r="AH9315" s="3"/>
    </row>
    <row r="9316" spans="1:34" ht="14.25" customHeight="1" x14ac:dyDescent="0.25">
      <c r="A9316" s="3"/>
      <c r="B9316" s="3"/>
      <c r="C9316" s="3"/>
      <c r="D9316" s="3"/>
      <c r="E9316" s="3"/>
      <c r="F9316" s="3"/>
      <c r="G9316" s="3"/>
      <c r="H9316" s="11"/>
      <c r="I9316" s="12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  <c r="AA9316" s="3"/>
      <c r="AB9316" s="3"/>
      <c r="AC9316" s="3"/>
      <c r="AD9316" s="3"/>
      <c r="AE9316" s="3"/>
      <c r="AF9316" s="3"/>
      <c r="AG9316" s="3"/>
      <c r="AH9316" s="3"/>
    </row>
    <row r="9317" spans="1:34" ht="14.25" customHeight="1" x14ac:dyDescent="0.25">
      <c r="A9317" s="3"/>
      <c r="B9317" s="3"/>
      <c r="C9317" s="3"/>
      <c r="D9317" s="3"/>
      <c r="E9317" s="3"/>
      <c r="F9317" s="3"/>
      <c r="G9317" s="3"/>
      <c r="H9317" s="11"/>
      <c r="I9317" s="12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  <c r="AA9317" s="3"/>
      <c r="AB9317" s="3"/>
      <c r="AC9317" s="3"/>
      <c r="AD9317" s="3"/>
      <c r="AE9317" s="3"/>
      <c r="AF9317" s="3"/>
      <c r="AG9317" s="3"/>
      <c r="AH9317" s="3"/>
    </row>
    <row r="9318" spans="1:34" ht="14.25" customHeight="1" x14ac:dyDescent="0.25">
      <c r="A9318" s="3"/>
      <c r="B9318" s="3"/>
      <c r="C9318" s="3"/>
      <c r="D9318" s="3"/>
      <c r="E9318" s="3"/>
      <c r="F9318" s="3"/>
      <c r="G9318" s="3"/>
      <c r="H9318" s="11"/>
      <c r="I9318" s="12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  <c r="AA9318" s="3"/>
      <c r="AB9318" s="3"/>
      <c r="AC9318" s="3"/>
      <c r="AD9318" s="3"/>
      <c r="AE9318" s="3"/>
      <c r="AF9318" s="3"/>
      <c r="AG9318" s="3"/>
      <c r="AH9318" s="3"/>
    </row>
    <row r="9319" spans="1:34" ht="14.25" customHeight="1" x14ac:dyDescent="0.25">
      <c r="A9319" s="3"/>
      <c r="B9319" s="3"/>
      <c r="C9319" s="3"/>
      <c r="D9319" s="3"/>
      <c r="E9319" s="3"/>
      <c r="F9319" s="3"/>
      <c r="G9319" s="3"/>
      <c r="H9319" s="11"/>
      <c r="I9319" s="12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  <c r="AA9319" s="3"/>
      <c r="AB9319" s="3"/>
      <c r="AC9319" s="3"/>
      <c r="AD9319" s="3"/>
      <c r="AE9319" s="3"/>
      <c r="AF9319" s="3"/>
      <c r="AG9319" s="3"/>
      <c r="AH9319" s="3"/>
    </row>
    <row r="9320" spans="1:34" ht="14.25" customHeight="1" x14ac:dyDescent="0.25">
      <c r="A9320" s="3"/>
      <c r="B9320" s="3"/>
      <c r="C9320" s="3"/>
      <c r="D9320" s="3"/>
      <c r="E9320" s="3"/>
      <c r="F9320" s="3"/>
      <c r="G9320" s="3"/>
      <c r="H9320" s="11"/>
      <c r="I9320" s="12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  <c r="AA9320" s="3"/>
      <c r="AB9320" s="3"/>
      <c r="AC9320" s="3"/>
      <c r="AD9320" s="3"/>
      <c r="AE9320" s="3"/>
      <c r="AF9320" s="3"/>
      <c r="AG9320" s="3"/>
      <c r="AH9320" s="3"/>
    </row>
    <row r="9321" spans="1:34" ht="14.25" customHeight="1" x14ac:dyDescent="0.25">
      <c r="A9321" s="3"/>
      <c r="B9321" s="3"/>
      <c r="C9321" s="3"/>
      <c r="D9321" s="3"/>
      <c r="E9321" s="3"/>
      <c r="F9321" s="3"/>
      <c r="G9321" s="3"/>
      <c r="H9321" s="11"/>
      <c r="I9321" s="12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  <c r="AA9321" s="3"/>
      <c r="AB9321" s="3"/>
      <c r="AC9321" s="3"/>
      <c r="AD9321" s="3"/>
      <c r="AE9321" s="3"/>
      <c r="AF9321" s="3"/>
      <c r="AG9321" s="3"/>
      <c r="AH9321" s="3"/>
    </row>
    <row r="9322" spans="1:34" ht="14.25" customHeight="1" x14ac:dyDescent="0.25">
      <c r="A9322" s="3"/>
      <c r="B9322" s="3"/>
      <c r="C9322" s="3"/>
      <c r="D9322" s="3"/>
      <c r="E9322" s="3"/>
      <c r="F9322" s="3"/>
      <c r="G9322" s="3"/>
      <c r="H9322" s="11"/>
      <c r="I9322" s="12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  <c r="AA9322" s="3"/>
      <c r="AB9322" s="3"/>
      <c r="AC9322" s="3"/>
      <c r="AD9322" s="3"/>
      <c r="AE9322" s="3"/>
      <c r="AF9322" s="3"/>
      <c r="AG9322" s="3"/>
      <c r="AH9322" s="3"/>
    </row>
    <row r="9323" spans="1:34" ht="14.25" customHeight="1" x14ac:dyDescent="0.25">
      <c r="A9323" s="3"/>
      <c r="B9323" s="3"/>
      <c r="C9323" s="3"/>
      <c r="D9323" s="3"/>
      <c r="E9323" s="3"/>
      <c r="F9323" s="3"/>
      <c r="G9323" s="3"/>
      <c r="H9323" s="11"/>
      <c r="I9323" s="12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  <c r="AA9323" s="3"/>
      <c r="AB9323" s="3"/>
      <c r="AC9323" s="3"/>
      <c r="AD9323" s="3"/>
      <c r="AE9323" s="3"/>
      <c r="AF9323" s="3"/>
      <c r="AG9323" s="3"/>
      <c r="AH9323" s="3"/>
    </row>
    <row r="9324" spans="1:34" ht="14.25" customHeight="1" x14ac:dyDescent="0.25">
      <c r="A9324" s="3"/>
      <c r="B9324" s="3"/>
      <c r="C9324" s="3"/>
      <c r="D9324" s="3"/>
      <c r="E9324" s="3"/>
      <c r="F9324" s="3"/>
      <c r="G9324" s="3"/>
      <c r="H9324" s="11"/>
      <c r="I9324" s="12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  <c r="AA9324" s="3"/>
      <c r="AB9324" s="3"/>
      <c r="AC9324" s="3"/>
      <c r="AD9324" s="3"/>
      <c r="AE9324" s="3"/>
      <c r="AF9324" s="3"/>
      <c r="AG9324" s="3"/>
      <c r="AH9324" s="3"/>
    </row>
    <row r="9325" spans="1:34" ht="14.25" customHeight="1" x14ac:dyDescent="0.25">
      <c r="A9325" s="3"/>
      <c r="B9325" s="3"/>
      <c r="C9325" s="3"/>
      <c r="D9325" s="3"/>
      <c r="E9325" s="3"/>
      <c r="F9325" s="3"/>
      <c r="G9325" s="3"/>
      <c r="H9325" s="11"/>
      <c r="I9325" s="12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  <c r="AA9325" s="3"/>
      <c r="AB9325" s="3"/>
      <c r="AC9325" s="3"/>
      <c r="AD9325" s="3"/>
      <c r="AE9325" s="3"/>
      <c r="AF9325" s="3"/>
      <c r="AG9325" s="3"/>
      <c r="AH9325" s="3"/>
    </row>
    <row r="9326" spans="1:34" ht="14.25" customHeight="1" x14ac:dyDescent="0.25">
      <c r="A9326" s="3"/>
      <c r="B9326" s="3"/>
      <c r="C9326" s="3"/>
      <c r="D9326" s="3"/>
      <c r="E9326" s="3"/>
      <c r="F9326" s="3"/>
      <c r="G9326" s="3"/>
      <c r="H9326" s="11"/>
      <c r="I9326" s="12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  <c r="AA9326" s="3"/>
      <c r="AB9326" s="3"/>
      <c r="AC9326" s="3"/>
      <c r="AD9326" s="3"/>
      <c r="AE9326" s="3"/>
      <c r="AF9326" s="3"/>
      <c r="AG9326" s="3"/>
      <c r="AH9326" s="3"/>
    </row>
    <row r="9327" spans="1:34" ht="14.25" customHeight="1" x14ac:dyDescent="0.25">
      <c r="A9327" s="3"/>
      <c r="B9327" s="3"/>
      <c r="C9327" s="3"/>
      <c r="D9327" s="3"/>
      <c r="E9327" s="3"/>
      <c r="F9327" s="3"/>
      <c r="G9327" s="3"/>
      <c r="H9327" s="11"/>
      <c r="I9327" s="12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  <c r="AA9327" s="3"/>
      <c r="AB9327" s="3"/>
      <c r="AC9327" s="3"/>
      <c r="AD9327" s="3"/>
      <c r="AE9327" s="3"/>
      <c r="AF9327" s="3"/>
      <c r="AG9327" s="3"/>
      <c r="AH9327" s="3"/>
    </row>
    <row r="9328" spans="1:34" ht="14.25" customHeight="1" x14ac:dyDescent="0.25">
      <c r="A9328" s="3"/>
      <c r="B9328" s="3"/>
      <c r="C9328" s="3"/>
      <c r="D9328" s="3"/>
      <c r="E9328" s="3"/>
      <c r="F9328" s="3"/>
      <c r="G9328" s="3"/>
      <c r="H9328" s="11"/>
      <c r="I9328" s="12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  <c r="AA9328" s="3"/>
      <c r="AB9328" s="3"/>
      <c r="AC9328" s="3"/>
      <c r="AD9328" s="3"/>
      <c r="AE9328" s="3"/>
      <c r="AF9328" s="3"/>
      <c r="AG9328" s="3"/>
      <c r="AH9328" s="3"/>
    </row>
    <row r="9329" spans="1:34" ht="14.25" customHeight="1" x14ac:dyDescent="0.25">
      <c r="A9329" s="3"/>
      <c r="B9329" s="3"/>
      <c r="C9329" s="3"/>
      <c r="D9329" s="3"/>
      <c r="E9329" s="3"/>
      <c r="F9329" s="3"/>
      <c r="G9329" s="3"/>
      <c r="H9329" s="11"/>
      <c r="I9329" s="12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  <c r="AA9329" s="3"/>
      <c r="AB9329" s="3"/>
      <c r="AC9329" s="3"/>
      <c r="AD9329" s="3"/>
      <c r="AE9329" s="3"/>
      <c r="AF9329" s="3"/>
      <c r="AG9329" s="3"/>
      <c r="AH9329" s="3"/>
    </row>
    <row r="9330" spans="1:34" ht="14.25" customHeight="1" x14ac:dyDescent="0.25">
      <c r="A9330" s="3"/>
      <c r="B9330" s="3"/>
      <c r="C9330" s="3"/>
      <c r="D9330" s="3"/>
      <c r="E9330" s="3"/>
      <c r="F9330" s="3"/>
      <c r="G9330" s="3"/>
      <c r="H9330" s="11"/>
      <c r="I9330" s="12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  <c r="AA9330" s="3"/>
      <c r="AB9330" s="3"/>
      <c r="AC9330" s="3"/>
      <c r="AD9330" s="3"/>
      <c r="AE9330" s="3"/>
      <c r="AF9330" s="3"/>
      <c r="AG9330" s="3"/>
      <c r="AH9330" s="3"/>
    </row>
    <row r="9331" spans="1:34" ht="14.25" customHeight="1" x14ac:dyDescent="0.25">
      <c r="A9331" s="3"/>
      <c r="B9331" s="3"/>
      <c r="C9331" s="3"/>
      <c r="D9331" s="3"/>
      <c r="E9331" s="3"/>
      <c r="F9331" s="3"/>
      <c r="G9331" s="3"/>
      <c r="H9331" s="11"/>
      <c r="I9331" s="12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  <c r="AA9331" s="3"/>
      <c r="AB9331" s="3"/>
      <c r="AC9331" s="3"/>
      <c r="AD9331" s="3"/>
      <c r="AE9331" s="3"/>
      <c r="AF9331" s="3"/>
      <c r="AG9331" s="3"/>
      <c r="AH9331" s="3"/>
    </row>
    <row r="9332" spans="1:34" ht="14.25" customHeight="1" x14ac:dyDescent="0.25">
      <c r="A9332" s="3"/>
      <c r="B9332" s="3"/>
      <c r="C9332" s="3"/>
      <c r="D9332" s="3"/>
      <c r="E9332" s="3"/>
      <c r="F9332" s="3"/>
      <c r="G9332" s="3"/>
      <c r="H9332" s="11"/>
      <c r="I9332" s="12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  <c r="AA9332" s="3"/>
      <c r="AB9332" s="3"/>
      <c r="AC9332" s="3"/>
      <c r="AD9332" s="3"/>
      <c r="AE9332" s="3"/>
      <c r="AF9332" s="3"/>
      <c r="AG9332" s="3"/>
      <c r="AH9332" s="3"/>
    </row>
    <row r="9333" spans="1:34" ht="14.25" customHeight="1" x14ac:dyDescent="0.25">
      <c r="A9333" s="3"/>
      <c r="B9333" s="3"/>
      <c r="C9333" s="3"/>
      <c r="D9333" s="3"/>
      <c r="E9333" s="3"/>
      <c r="F9333" s="3"/>
      <c r="G9333" s="3"/>
      <c r="H9333" s="11"/>
      <c r="I9333" s="12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  <c r="AA9333" s="3"/>
      <c r="AB9333" s="3"/>
      <c r="AC9333" s="3"/>
      <c r="AD9333" s="3"/>
      <c r="AE9333" s="3"/>
      <c r="AF9333" s="3"/>
      <c r="AG9333" s="3"/>
      <c r="AH9333" s="3"/>
    </row>
    <row r="9334" spans="1:34" ht="14.25" customHeight="1" x14ac:dyDescent="0.25">
      <c r="A9334" s="3"/>
      <c r="B9334" s="3"/>
      <c r="C9334" s="3"/>
      <c r="D9334" s="3"/>
      <c r="E9334" s="3"/>
      <c r="F9334" s="3"/>
      <c r="G9334" s="3"/>
      <c r="H9334" s="11"/>
      <c r="I9334" s="12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  <c r="AA9334" s="3"/>
      <c r="AB9334" s="3"/>
      <c r="AC9334" s="3"/>
      <c r="AD9334" s="3"/>
      <c r="AE9334" s="3"/>
      <c r="AF9334" s="3"/>
      <c r="AG9334" s="3"/>
      <c r="AH9334" s="3"/>
    </row>
    <row r="9335" spans="1:34" ht="14.25" customHeight="1" x14ac:dyDescent="0.25">
      <c r="A9335" s="3"/>
      <c r="B9335" s="3"/>
      <c r="C9335" s="3"/>
      <c r="D9335" s="3"/>
      <c r="E9335" s="3"/>
      <c r="F9335" s="3"/>
      <c r="G9335" s="3"/>
      <c r="H9335" s="11"/>
      <c r="I9335" s="12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  <c r="AA9335" s="3"/>
      <c r="AB9335" s="3"/>
      <c r="AC9335" s="3"/>
      <c r="AD9335" s="3"/>
      <c r="AE9335" s="3"/>
      <c r="AF9335" s="3"/>
      <c r="AG9335" s="3"/>
      <c r="AH9335" s="3"/>
    </row>
    <row r="9336" spans="1:34" ht="14.25" customHeight="1" x14ac:dyDescent="0.25">
      <c r="A9336" s="3"/>
      <c r="B9336" s="3"/>
      <c r="C9336" s="3"/>
      <c r="D9336" s="3"/>
      <c r="E9336" s="3"/>
      <c r="F9336" s="3"/>
      <c r="G9336" s="3"/>
      <c r="H9336" s="11"/>
      <c r="I9336" s="12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  <c r="AA9336" s="3"/>
      <c r="AB9336" s="3"/>
      <c r="AC9336" s="3"/>
      <c r="AD9336" s="3"/>
      <c r="AE9336" s="3"/>
      <c r="AF9336" s="3"/>
      <c r="AG9336" s="3"/>
      <c r="AH9336" s="3"/>
    </row>
    <row r="9337" spans="1:34" ht="14.25" customHeight="1" x14ac:dyDescent="0.25">
      <c r="A9337" s="3"/>
      <c r="B9337" s="3"/>
      <c r="C9337" s="3"/>
      <c r="D9337" s="3"/>
      <c r="E9337" s="3"/>
      <c r="F9337" s="3"/>
      <c r="G9337" s="3"/>
      <c r="H9337" s="11"/>
      <c r="I9337" s="12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  <c r="AA9337" s="3"/>
      <c r="AB9337" s="3"/>
      <c r="AC9337" s="3"/>
      <c r="AD9337" s="3"/>
      <c r="AE9337" s="3"/>
      <c r="AF9337" s="3"/>
      <c r="AG9337" s="3"/>
      <c r="AH9337" s="3"/>
    </row>
    <row r="9338" spans="1:34" ht="14.25" customHeight="1" x14ac:dyDescent="0.25">
      <c r="A9338" s="3"/>
      <c r="B9338" s="3"/>
      <c r="C9338" s="3"/>
      <c r="D9338" s="3"/>
      <c r="E9338" s="3"/>
      <c r="F9338" s="3"/>
      <c r="G9338" s="3"/>
      <c r="H9338" s="11"/>
      <c r="I9338" s="12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  <c r="AA9338" s="3"/>
      <c r="AB9338" s="3"/>
      <c r="AC9338" s="3"/>
      <c r="AD9338" s="3"/>
      <c r="AE9338" s="3"/>
      <c r="AF9338" s="3"/>
      <c r="AG9338" s="3"/>
      <c r="AH9338" s="3"/>
    </row>
    <row r="9339" spans="1:34" ht="14.25" customHeight="1" x14ac:dyDescent="0.25">
      <c r="A9339" s="3"/>
      <c r="B9339" s="3"/>
      <c r="C9339" s="3"/>
      <c r="D9339" s="3"/>
      <c r="E9339" s="3"/>
      <c r="F9339" s="3"/>
      <c r="G9339" s="3"/>
      <c r="H9339" s="11"/>
      <c r="I9339" s="12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  <c r="AA9339" s="3"/>
      <c r="AB9339" s="3"/>
      <c r="AC9339" s="3"/>
      <c r="AD9339" s="3"/>
      <c r="AE9339" s="3"/>
      <c r="AF9339" s="3"/>
      <c r="AG9339" s="3"/>
      <c r="AH9339" s="3"/>
    </row>
    <row r="9340" spans="1:34" ht="14.25" customHeight="1" x14ac:dyDescent="0.25">
      <c r="A9340" s="3"/>
      <c r="B9340" s="3"/>
      <c r="C9340" s="3"/>
      <c r="D9340" s="3"/>
      <c r="E9340" s="3"/>
      <c r="F9340" s="3"/>
      <c r="G9340" s="3"/>
      <c r="H9340" s="11"/>
      <c r="I9340" s="12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  <c r="AA9340" s="3"/>
      <c r="AB9340" s="3"/>
      <c r="AC9340" s="3"/>
      <c r="AD9340" s="3"/>
      <c r="AE9340" s="3"/>
      <c r="AF9340" s="3"/>
      <c r="AG9340" s="3"/>
      <c r="AH9340" s="3"/>
    </row>
    <row r="9341" spans="1:34" ht="14.25" customHeight="1" x14ac:dyDescent="0.25">
      <c r="A9341" s="3"/>
      <c r="B9341" s="3"/>
      <c r="C9341" s="3"/>
      <c r="D9341" s="3"/>
      <c r="E9341" s="3"/>
      <c r="F9341" s="3"/>
      <c r="G9341" s="3"/>
      <c r="H9341" s="11"/>
      <c r="I9341" s="12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  <c r="AA9341" s="3"/>
      <c r="AB9341" s="3"/>
      <c r="AC9341" s="3"/>
      <c r="AD9341" s="3"/>
      <c r="AE9341" s="3"/>
      <c r="AF9341" s="3"/>
      <c r="AG9341" s="3"/>
      <c r="AH9341" s="3"/>
    </row>
    <row r="9342" spans="1:34" ht="14.25" customHeight="1" x14ac:dyDescent="0.25">
      <c r="A9342" s="3"/>
      <c r="B9342" s="3"/>
      <c r="C9342" s="3"/>
      <c r="D9342" s="3"/>
      <c r="E9342" s="3"/>
      <c r="F9342" s="3"/>
      <c r="G9342" s="3"/>
      <c r="H9342" s="11"/>
      <c r="I9342" s="12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  <c r="AA9342" s="3"/>
      <c r="AB9342" s="3"/>
      <c r="AC9342" s="3"/>
      <c r="AD9342" s="3"/>
      <c r="AE9342" s="3"/>
      <c r="AF9342" s="3"/>
      <c r="AG9342" s="3"/>
      <c r="AH9342" s="3"/>
    </row>
    <row r="9343" spans="1:34" ht="14.25" customHeight="1" x14ac:dyDescent="0.25">
      <c r="A9343" s="3"/>
      <c r="B9343" s="3"/>
      <c r="C9343" s="3"/>
      <c r="D9343" s="3"/>
      <c r="E9343" s="3"/>
      <c r="F9343" s="3"/>
      <c r="G9343" s="3"/>
      <c r="H9343" s="11"/>
      <c r="I9343" s="12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  <c r="AA9343" s="3"/>
      <c r="AB9343" s="3"/>
      <c r="AC9343" s="3"/>
      <c r="AD9343" s="3"/>
      <c r="AE9343" s="3"/>
      <c r="AF9343" s="3"/>
      <c r="AG9343" s="3"/>
      <c r="AH9343" s="3"/>
    </row>
    <row r="9344" spans="1:34" ht="14.25" customHeight="1" x14ac:dyDescent="0.25">
      <c r="A9344" s="3"/>
      <c r="B9344" s="3"/>
      <c r="C9344" s="3"/>
      <c r="D9344" s="3"/>
      <c r="E9344" s="3"/>
      <c r="F9344" s="3"/>
      <c r="G9344" s="3"/>
      <c r="H9344" s="11"/>
      <c r="I9344" s="12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  <c r="AA9344" s="3"/>
      <c r="AB9344" s="3"/>
      <c r="AC9344" s="3"/>
      <c r="AD9344" s="3"/>
      <c r="AE9344" s="3"/>
      <c r="AF9344" s="3"/>
      <c r="AG9344" s="3"/>
      <c r="AH9344" s="3"/>
    </row>
    <row r="9345" spans="1:34" ht="14.25" customHeight="1" x14ac:dyDescent="0.25">
      <c r="A9345" s="3"/>
      <c r="B9345" s="3"/>
      <c r="C9345" s="3"/>
      <c r="D9345" s="3"/>
      <c r="E9345" s="3"/>
      <c r="F9345" s="3"/>
      <c r="G9345" s="3"/>
      <c r="H9345" s="11"/>
      <c r="I9345" s="12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  <c r="AA9345" s="3"/>
      <c r="AB9345" s="3"/>
      <c r="AC9345" s="3"/>
      <c r="AD9345" s="3"/>
      <c r="AE9345" s="3"/>
      <c r="AF9345" s="3"/>
      <c r="AG9345" s="3"/>
      <c r="AH9345" s="3"/>
    </row>
    <row r="9346" spans="1:34" ht="14.25" customHeight="1" x14ac:dyDescent="0.25">
      <c r="A9346" s="3"/>
      <c r="B9346" s="3"/>
      <c r="C9346" s="3"/>
      <c r="D9346" s="3"/>
      <c r="E9346" s="3"/>
      <c r="F9346" s="3"/>
      <c r="G9346" s="3"/>
      <c r="H9346" s="11"/>
      <c r="I9346" s="12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  <c r="AA9346" s="3"/>
      <c r="AB9346" s="3"/>
      <c r="AC9346" s="3"/>
      <c r="AD9346" s="3"/>
      <c r="AE9346" s="3"/>
      <c r="AF9346" s="3"/>
      <c r="AG9346" s="3"/>
      <c r="AH9346" s="3"/>
    </row>
    <row r="9347" spans="1:34" ht="14.25" customHeight="1" x14ac:dyDescent="0.25">
      <c r="A9347" s="3"/>
      <c r="B9347" s="3"/>
      <c r="C9347" s="3"/>
      <c r="D9347" s="3"/>
      <c r="E9347" s="3"/>
      <c r="F9347" s="3"/>
      <c r="G9347" s="3"/>
      <c r="H9347" s="11"/>
      <c r="I9347" s="12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  <c r="AA9347" s="3"/>
      <c r="AB9347" s="3"/>
      <c r="AC9347" s="3"/>
      <c r="AD9347" s="3"/>
      <c r="AE9347" s="3"/>
      <c r="AF9347" s="3"/>
      <c r="AG9347" s="3"/>
      <c r="AH9347" s="3"/>
    </row>
    <row r="9348" spans="1:34" ht="14.25" customHeight="1" x14ac:dyDescent="0.25">
      <c r="A9348" s="3"/>
      <c r="B9348" s="3"/>
      <c r="C9348" s="3"/>
      <c r="D9348" s="3"/>
      <c r="E9348" s="3"/>
      <c r="F9348" s="3"/>
      <c r="G9348" s="3"/>
      <c r="H9348" s="11"/>
      <c r="I9348" s="12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  <c r="AA9348" s="3"/>
      <c r="AB9348" s="3"/>
      <c r="AC9348" s="3"/>
      <c r="AD9348" s="3"/>
      <c r="AE9348" s="3"/>
      <c r="AF9348" s="3"/>
      <c r="AG9348" s="3"/>
      <c r="AH9348" s="3"/>
    </row>
    <row r="9349" spans="1:34" ht="14.25" customHeight="1" x14ac:dyDescent="0.25">
      <c r="A9349" s="3"/>
      <c r="B9349" s="3"/>
      <c r="C9349" s="3"/>
      <c r="D9349" s="3"/>
      <c r="E9349" s="3"/>
      <c r="F9349" s="3"/>
      <c r="G9349" s="3"/>
      <c r="H9349" s="11"/>
      <c r="I9349" s="12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  <c r="AA9349" s="3"/>
      <c r="AB9349" s="3"/>
      <c r="AC9349" s="3"/>
      <c r="AD9349" s="3"/>
      <c r="AE9349" s="3"/>
      <c r="AF9349" s="3"/>
      <c r="AG9349" s="3"/>
      <c r="AH9349" s="3"/>
    </row>
    <row r="9350" spans="1:34" ht="14.25" customHeight="1" x14ac:dyDescent="0.25">
      <c r="A9350" s="3"/>
      <c r="B9350" s="3"/>
      <c r="C9350" s="3"/>
      <c r="D9350" s="3"/>
      <c r="E9350" s="3"/>
      <c r="F9350" s="3"/>
      <c r="G9350" s="3"/>
      <c r="H9350" s="11"/>
      <c r="I9350" s="12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  <c r="AA9350" s="3"/>
      <c r="AB9350" s="3"/>
      <c r="AC9350" s="3"/>
      <c r="AD9350" s="3"/>
      <c r="AE9350" s="3"/>
      <c r="AF9350" s="3"/>
      <c r="AG9350" s="3"/>
      <c r="AH9350" s="3"/>
    </row>
    <row r="9351" spans="1:34" ht="14.25" customHeight="1" x14ac:dyDescent="0.25">
      <c r="A9351" s="3"/>
      <c r="B9351" s="3"/>
      <c r="C9351" s="3"/>
      <c r="D9351" s="3"/>
      <c r="E9351" s="3"/>
      <c r="F9351" s="3"/>
      <c r="G9351" s="3"/>
      <c r="H9351" s="11"/>
      <c r="I9351" s="12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  <c r="AA9351" s="3"/>
      <c r="AB9351" s="3"/>
      <c r="AC9351" s="3"/>
      <c r="AD9351" s="3"/>
      <c r="AE9351" s="3"/>
      <c r="AF9351" s="3"/>
      <c r="AG9351" s="3"/>
      <c r="AH9351" s="3"/>
    </row>
    <row r="9352" spans="1:34" ht="14.25" customHeight="1" x14ac:dyDescent="0.25">
      <c r="A9352" s="3"/>
      <c r="B9352" s="3"/>
      <c r="C9352" s="3"/>
      <c r="D9352" s="3"/>
      <c r="E9352" s="3"/>
      <c r="F9352" s="3"/>
      <c r="G9352" s="3"/>
      <c r="H9352" s="11"/>
      <c r="I9352" s="12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  <c r="AA9352" s="3"/>
      <c r="AB9352" s="3"/>
      <c r="AC9352" s="3"/>
      <c r="AD9352" s="3"/>
      <c r="AE9352" s="3"/>
      <c r="AF9352" s="3"/>
      <c r="AG9352" s="3"/>
      <c r="AH9352" s="3"/>
    </row>
    <row r="9353" spans="1:34" ht="14.25" customHeight="1" x14ac:dyDescent="0.25">
      <c r="A9353" s="3"/>
      <c r="B9353" s="3"/>
      <c r="C9353" s="3"/>
      <c r="D9353" s="3"/>
      <c r="E9353" s="3"/>
      <c r="F9353" s="3"/>
      <c r="G9353" s="3"/>
      <c r="H9353" s="11"/>
      <c r="I9353" s="12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  <c r="AA9353" s="3"/>
      <c r="AB9353" s="3"/>
      <c r="AC9353" s="3"/>
      <c r="AD9353" s="3"/>
      <c r="AE9353" s="3"/>
      <c r="AF9353" s="3"/>
      <c r="AG9353" s="3"/>
      <c r="AH9353" s="3"/>
    </row>
    <row r="9354" spans="1:34" ht="14.25" customHeight="1" x14ac:dyDescent="0.25">
      <c r="A9354" s="3"/>
      <c r="B9354" s="3"/>
      <c r="C9354" s="3"/>
      <c r="D9354" s="3"/>
      <c r="E9354" s="3"/>
      <c r="F9354" s="3"/>
      <c r="G9354" s="3"/>
      <c r="H9354" s="11"/>
      <c r="I9354" s="12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  <c r="AA9354" s="3"/>
      <c r="AB9354" s="3"/>
      <c r="AC9354" s="3"/>
      <c r="AD9354" s="3"/>
      <c r="AE9354" s="3"/>
      <c r="AF9354" s="3"/>
      <c r="AG9354" s="3"/>
      <c r="AH9354" s="3"/>
    </row>
    <row r="9355" spans="1:34" ht="14.25" customHeight="1" x14ac:dyDescent="0.25">
      <c r="A9355" s="3"/>
      <c r="B9355" s="3"/>
      <c r="C9355" s="3"/>
      <c r="D9355" s="3"/>
      <c r="E9355" s="3"/>
      <c r="F9355" s="3"/>
      <c r="G9355" s="3"/>
      <c r="H9355" s="11"/>
      <c r="I9355" s="12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  <c r="AA9355" s="3"/>
      <c r="AB9355" s="3"/>
      <c r="AC9355" s="3"/>
      <c r="AD9355" s="3"/>
      <c r="AE9355" s="3"/>
      <c r="AF9355" s="3"/>
      <c r="AG9355" s="3"/>
      <c r="AH9355" s="3"/>
    </row>
    <row r="9356" spans="1:34" ht="14.25" customHeight="1" x14ac:dyDescent="0.25">
      <c r="A9356" s="3"/>
      <c r="B9356" s="3"/>
      <c r="C9356" s="3"/>
      <c r="D9356" s="3"/>
      <c r="E9356" s="3"/>
      <c r="F9356" s="3"/>
      <c r="G9356" s="3"/>
      <c r="H9356" s="11"/>
      <c r="I9356" s="12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  <c r="AA9356" s="3"/>
      <c r="AB9356" s="3"/>
      <c r="AC9356" s="3"/>
      <c r="AD9356" s="3"/>
      <c r="AE9356" s="3"/>
      <c r="AF9356" s="3"/>
      <c r="AG9356" s="3"/>
      <c r="AH9356" s="3"/>
    </row>
    <row r="9357" spans="1:34" ht="14.25" customHeight="1" x14ac:dyDescent="0.25">
      <c r="A9357" s="3"/>
      <c r="B9357" s="3"/>
      <c r="C9357" s="3"/>
      <c r="D9357" s="3"/>
      <c r="E9357" s="3"/>
      <c r="F9357" s="3"/>
      <c r="G9357" s="3"/>
      <c r="H9357" s="11"/>
      <c r="I9357" s="12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  <c r="AA9357" s="3"/>
      <c r="AB9357" s="3"/>
      <c r="AC9357" s="3"/>
      <c r="AD9357" s="3"/>
      <c r="AE9357" s="3"/>
      <c r="AF9357" s="3"/>
      <c r="AG9357" s="3"/>
      <c r="AH9357" s="3"/>
    </row>
    <row r="9358" spans="1:34" ht="14.25" customHeight="1" x14ac:dyDescent="0.25">
      <c r="A9358" s="3"/>
      <c r="B9358" s="3"/>
      <c r="C9358" s="3"/>
      <c r="D9358" s="3"/>
      <c r="E9358" s="3"/>
      <c r="F9358" s="3"/>
      <c r="G9358" s="3"/>
      <c r="H9358" s="11"/>
      <c r="I9358" s="12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  <c r="AA9358" s="3"/>
      <c r="AB9358" s="3"/>
      <c r="AC9358" s="3"/>
      <c r="AD9358" s="3"/>
      <c r="AE9358" s="3"/>
      <c r="AF9358" s="3"/>
      <c r="AG9358" s="3"/>
      <c r="AH9358" s="3"/>
    </row>
    <row r="9359" spans="1:34" ht="14.25" customHeight="1" x14ac:dyDescent="0.25">
      <c r="A9359" s="3"/>
      <c r="B9359" s="3"/>
      <c r="C9359" s="3"/>
      <c r="D9359" s="3"/>
      <c r="E9359" s="3"/>
      <c r="F9359" s="3"/>
      <c r="G9359" s="3"/>
      <c r="H9359" s="11"/>
      <c r="I9359" s="12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  <c r="AA9359" s="3"/>
      <c r="AB9359" s="3"/>
      <c r="AC9359" s="3"/>
      <c r="AD9359" s="3"/>
      <c r="AE9359" s="3"/>
      <c r="AF9359" s="3"/>
      <c r="AG9359" s="3"/>
      <c r="AH9359" s="3"/>
    </row>
    <row r="9360" spans="1:34" ht="14.25" customHeight="1" x14ac:dyDescent="0.25">
      <c r="A9360" s="3"/>
      <c r="B9360" s="3"/>
      <c r="C9360" s="3"/>
      <c r="D9360" s="3"/>
      <c r="E9360" s="3"/>
      <c r="F9360" s="3"/>
      <c r="G9360" s="3"/>
      <c r="H9360" s="11"/>
      <c r="I9360" s="12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  <c r="AA9360" s="3"/>
      <c r="AB9360" s="3"/>
      <c r="AC9360" s="3"/>
      <c r="AD9360" s="3"/>
      <c r="AE9360" s="3"/>
      <c r="AF9360" s="3"/>
      <c r="AG9360" s="3"/>
      <c r="AH9360" s="3"/>
    </row>
    <row r="9361" spans="1:34" ht="14.25" customHeight="1" x14ac:dyDescent="0.25">
      <c r="A9361" s="3"/>
      <c r="B9361" s="3"/>
      <c r="C9361" s="3"/>
      <c r="D9361" s="3"/>
      <c r="E9361" s="3"/>
      <c r="F9361" s="3"/>
      <c r="G9361" s="3"/>
      <c r="H9361" s="11"/>
      <c r="I9361" s="12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  <c r="AA9361" s="3"/>
      <c r="AB9361" s="3"/>
      <c r="AC9361" s="3"/>
      <c r="AD9361" s="3"/>
      <c r="AE9361" s="3"/>
      <c r="AF9361" s="3"/>
      <c r="AG9361" s="3"/>
      <c r="AH9361" s="3"/>
    </row>
    <row r="9362" spans="1:34" ht="14.25" customHeight="1" x14ac:dyDescent="0.25">
      <c r="A9362" s="3"/>
      <c r="B9362" s="3"/>
      <c r="C9362" s="3"/>
      <c r="D9362" s="3"/>
      <c r="E9362" s="3"/>
      <c r="F9362" s="3"/>
      <c r="G9362" s="3"/>
      <c r="H9362" s="11"/>
      <c r="I9362" s="12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  <c r="AA9362" s="3"/>
      <c r="AB9362" s="3"/>
      <c r="AC9362" s="3"/>
      <c r="AD9362" s="3"/>
      <c r="AE9362" s="3"/>
      <c r="AF9362" s="3"/>
      <c r="AG9362" s="3"/>
      <c r="AH9362" s="3"/>
    </row>
    <row r="9363" spans="1:34" ht="14.25" customHeight="1" x14ac:dyDescent="0.25">
      <c r="A9363" s="3"/>
      <c r="B9363" s="3"/>
      <c r="C9363" s="3"/>
      <c r="D9363" s="3"/>
      <c r="E9363" s="3"/>
      <c r="F9363" s="3"/>
      <c r="G9363" s="3"/>
      <c r="H9363" s="11"/>
      <c r="I9363" s="12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  <c r="AA9363" s="3"/>
      <c r="AB9363" s="3"/>
      <c r="AC9363" s="3"/>
      <c r="AD9363" s="3"/>
      <c r="AE9363" s="3"/>
      <c r="AF9363" s="3"/>
      <c r="AG9363" s="3"/>
      <c r="AH9363" s="3"/>
    </row>
    <row r="9364" spans="1:34" ht="14.25" customHeight="1" x14ac:dyDescent="0.25">
      <c r="A9364" s="3"/>
      <c r="B9364" s="3"/>
      <c r="C9364" s="3"/>
      <c r="D9364" s="3"/>
      <c r="E9364" s="3"/>
      <c r="F9364" s="3"/>
      <c r="G9364" s="3"/>
      <c r="H9364" s="11"/>
      <c r="I9364" s="12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  <c r="AA9364" s="3"/>
      <c r="AB9364" s="3"/>
      <c r="AC9364" s="3"/>
      <c r="AD9364" s="3"/>
      <c r="AE9364" s="3"/>
      <c r="AF9364" s="3"/>
      <c r="AG9364" s="3"/>
      <c r="AH9364" s="3"/>
    </row>
    <row r="9365" spans="1:34" ht="14.25" customHeight="1" x14ac:dyDescent="0.25">
      <c r="A9365" s="3"/>
      <c r="B9365" s="3"/>
      <c r="C9365" s="3"/>
      <c r="D9365" s="3"/>
      <c r="E9365" s="3"/>
      <c r="F9365" s="3"/>
      <c r="G9365" s="3"/>
      <c r="H9365" s="11"/>
      <c r="I9365" s="12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  <c r="AA9365" s="3"/>
      <c r="AB9365" s="3"/>
      <c r="AC9365" s="3"/>
      <c r="AD9365" s="3"/>
      <c r="AE9365" s="3"/>
      <c r="AF9365" s="3"/>
      <c r="AG9365" s="3"/>
      <c r="AH9365" s="3"/>
    </row>
    <row r="9366" spans="1:34" ht="14.25" customHeight="1" x14ac:dyDescent="0.25">
      <c r="A9366" s="3"/>
      <c r="B9366" s="3"/>
      <c r="C9366" s="3"/>
      <c r="D9366" s="3"/>
      <c r="E9366" s="3"/>
      <c r="F9366" s="3"/>
      <c r="G9366" s="3"/>
      <c r="H9366" s="11"/>
      <c r="I9366" s="12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  <c r="AA9366" s="3"/>
      <c r="AB9366" s="3"/>
      <c r="AC9366" s="3"/>
      <c r="AD9366" s="3"/>
      <c r="AE9366" s="3"/>
      <c r="AF9366" s="3"/>
      <c r="AG9366" s="3"/>
      <c r="AH9366" s="3"/>
    </row>
    <row r="9367" spans="1:34" ht="14.25" customHeight="1" x14ac:dyDescent="0.25">
      <c r="A9367" s="3"/>
      <c r="B9367" s="3"/>
      <c r="C9367" s="3"/>
      <c r="D9367" s="3"/>
      <c r="E9367" s="3"/>
      <c r="F9367" s="3"/>
      <c r="G9367" s="3"/>
      <c r="H9367" s="11"/>
      <c r="I9367" s="12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  <c r="AA9367" s="3"/>
      <c r="AB9367" s="3"/>
      <c r="AC9367" s="3"/>
      <c r="AD9367" s="3"/>
      <c r="AE9367" s="3"/>
      <c r="AF9367" s="3"/>
      <c r="AG9367" s="3"/>
      <c r="AH9367" s="3"/>
    </row>
    <row r="9368" spans="1:34" ht="14.25" customHeight="1" x14ac:dyDescent="0.25">
      <c r="A9368" s="3"/>
      <c r="B9368" s="3"/>
      <c r="C9368" s="3"/>
      <c r="D9368" s="3"/>
      <c r="E9368" s="3"/>
      <c r="F9368" s="3"/>
      <c r="G9368" s="3"/>
      <c r="H9368" s="11"/>
      <c r="I9368" s="12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  <c r="AA9368" s="3"/>
      <c r="AB9368" s="3"/>
      <c r="AC9368" s="3"/>
      <c r="AD9368" s="3"/>
      <c r="AE9368" s="3"/>
      <c r="AF9368" s="3"/>
      <c r="AG9368" s="3"/>
      <c r="AH9368" s="3"/>
    </row>
    <row r="9369" spans="1:34" ht="14.25" customHeight="1" x14ac:dyDescent="0.25">
      <c r="A9369" s="3"/>
      <c r="B9369" s="3"/>
      <c r="C9369" s="3"/>
      <c r="D9369" s="3"/>
      <c r="E9369" s="3"/>
      <c r="F9369" s="3"/>
      <c r="G9369" s="3"/>
      <c r="H9369" s="11"/>
      <c r="I9369" s="12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  <c r="AA9369" s="3"/>
      <c r="AB9369" s="3"/>
      <c r="AC9369" s="3"/>
      <c r="AD9369" s="3"/>
      <c r="AE9369" s="3"/>
      <c r="AF9369" s="3"/>
      <c r="AG9369" s="3"/>
      <c r="AH9369" s="3"/>
    </row>
    <row r="9370" spans="1:34" ht="14.25" customHeight="1" x14ac:dyDescent="0.25">
      <c r="A9370" s="3"/>
      <c r="B9370" s="3"/>
      <c r="C9370" s="3"/>
      <c r="D9370" s="3"/>
      <c r="E9370" s="3"/>
      <c r="F9370" s="3"/>
      <c r="G9370" s="3"/>
      <c r="H9370" s="11"/>
      <c r="I9370" s="12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  <c r="AA9370" s="3"/>
      <c r="AB9370" s="3"/>
      <c r="AC9370" s="3"/>
      <c r="AD9370" s="3"/>
      <c r="AE9370" s="3"/>
      <c r="AF9370" s="3"/>
      <c r="AG9370" s="3"/>
      <c r="AH9370" s="3"/>
    </row>
    <row r="9371" spans="1:34" ht="14.25" customHeight="1" x14ac:dyDescent="0.25">
      <c r="A9371" s="3"/>
      <c r="B9371" s="3"/>
      <c r="C9371" s="3"/>
      <c r="D9371" s="3"/>
      <c r="E9371" s="3"/>
      <c r="F9371" s="3"/>
      <c r="G9371" s="3"/>
      <c r="H9371" s="11"/>
      <c r="I9371" s="12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  <c r="AA9371" s="3"/>
      <c r="AB9371" s="3"/>
      <c r="AC9371" s="3"/>
      <c r="AD9371" s="3"/>
      <c r="AE9371" s="3"/>
      <c r="AF9371" s="3"/>
      <c r="AG9371" s="3"/>
      <c r="AH9371" s="3"/>
    </row>
    <row r="9372" spans="1:34" ht="14.25" customHeight="1" x14ac:dyDescent="0.25">
      <c r="A9372" s="3"/>
      <c r="B9372" s="3"/>
      <c r="C9372" s="3"/>
      <c r="D9372" s="3"/>
      <c r="E9372" s="3"/>
      <c r="F9372" s="3"/>
      <c r="G9372" s="3"/>
      <c r="H9372" s="11"/>
      <c r="I9372" s="12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  <c r="AA9372" s="3"/>
      <c r="AB9372" s="3"/>
      <c r="AC9372" s="3"/>
      <c r="AD9372" s="3"/>
      <c r="AE9372" s="3"/>
      <c r="AF9372" s="3"/>
      <c r="AG9372" s="3"/>
      <c r="AH9372" s="3"/>
    </row>
    <row r="9373" spans="1:34" ht="14.25" customHeight="1" x14ac:dyDescent="0.25">
      <c r="A9373" s="3"/>
      <c r="B9373" s="3"/>
      <c r="C9373" s="3"/>
      <c r="D9373" s="3"/>
      <c r="E9373" s="3"/>
      <c r="F9373" s="3"/>
      <c r="G9373" s="3"/>
      <c r="H9373" s="11"/>
      <c r="I9373" s="12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  <c r="AA9373" s="3"/>
      <c r="AB9373" s="3"/>
      <c r="AC9373" s="3"/>
      <c r="AD9373" s="3"/>
      <c r="AE9373" s="3"/>
      <c r="AF9373" s="3"/>
      <c r="AG9373" s="3"/>
      <c r="AH9373" s="3"/>
    </row>
    <row r="9374" spans="1:34" ht="14.25" customHeight="1" x14ac:dyDescent="0.25">
      <c r="A9374" s="3"/>
      <c r="B9374" s="3"/>
      <c r="C9374" s="3"/>
      <c r="D9374" s="3"/>
      <c r="E9374" s="3"/>
      <c r="F9374" s="3"/>
      <c r="G9374" s="3"/>
      <c r="H9374" s="11"/>
      <c r="I9374" s="12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  <c r="AA9374" s="3"/>
      <c r="AB9374" s="3"/>
      <c r="AC9374" s="3"/>
      <c r="AD9374" s="3"/>
      <c r="AE9374" s="3"/>
      <c r="AF9374" s="3"/>
      <c r="AG9374" s="3"/>
      <c r="AH9374" s="3"/>
    </row>
    <row r="9375" spans="1:34" ht="14.25" customHeight="1" x14ac:dyDescent="0.25">
      <c r="A9375" s="3"/>
      <c r="B9375" s="3"/>
      <c r="C9375" s="3"/>
      <c r="D9375" s="3"/>
      <c r="E9375" s="3"/>
      <c r="F9375" s="3"/>
      <c r="G9375" s="3"/>
      <c r="H9375" s="11"/>
      <c r="I9375" s="12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  <c r="AA9375" s="3"/>
      <c r="AB9375" s="3"/>
      <c r="AC9375" s="3"/>
      <c r="AD9375" s="3"/>
      <c r="AE9375" s="3"/>
      <c r="AF9375" s="3"/>
      <c r="AG9375" s="3"/>
      <c r="AH9375" s="3"/>
    </row>
    <row r="9376" spans="1:34" ht="14.25" customHeight="1" x14ac:dyDescent="0.25">
      <c r="A9376" s="3"/>
      <c r="B9376" s="3"/>
      <c r="C9376" s="3"/>
      <c r="D9376" s="3"/>
      <c r="E9376" s="3"/>
      <c r="F9376" s="3"/>
      <c r="G9376" s="3"/>
      <c r="H9376" s="11"/>
      <c r="I9376" s="12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  <c r="AA9376" s="3"/>
      <c r="AB9376" s="3"/>
      <c r="AC9376" s="3"/>
      <c r="AD9376" s="3"/>
      <c r="AE9376" s="3"/>
      <c r="AF9376" s="3"/>
      <c r="AG9376" s="3"/>
      <c r="AH9376" s="3"/>
    </row>
    <row r="9377" spans="1:34" ht="14.25" customHeight="1" x14ac:dyDescent="0.25">
      <c r="A9377" s="3"/>
      <c r="B9377" s="3"/>
      <c r="C9377" s="3"/>
      <c r="D9377" s="3"/>
      <c r="E9377" s="3"/>
      <c r="F9377" s="3"/>
      <c r="G9377" s="3"/>
      <c r="H9377" s="11"/>
      <c r="I9377" s="12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  <c r="AA9377" s="3"/>
      <c r="AB9377" s="3"/>
      <c r="AC9377" s="3"/>
      <c r="AD9377" s="3"/>
      <c r="AE9377" s="3"/>
      <c r="AF9377" s="3"/>
      <c r="AG9377" s="3"/>
      <c r="AH9377" s="3"/>
    </row>
    <row r="9378" spans="1:34" ht="14.25" customHeight="1" x14ac:dyDescent="0.25">
      <c r="A9378" s="3"/>
      <c r="B9378" s="3"/>
      <c r="C9378" s="3"/>
      <c r="D9378" s="3"/>
      <c r="E9378" s="3"/>
      <c r="F9378" s="3"/>
      <c r="G9378" s="3"/>
      <c r="H9378" s="11"/>
      <c r="I9378" s="12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  <c r="AA9378" s="3"/>
      <c r="AB9378" s="3"/>
      <c r="AC9378" s="3"/>
      <c r="AD9378" s="3"/>
      <c r="AE9378" s="3"/>
      <c r="AF9378" s="3"/>
      <c r="AG9378" s="3"/>
      <c r="AH9378" s="3"/>
    </row>
    <row r="9379" spans="1:34" ht="14.25" customHeight="1" x14ac:dyDescent="0.25">
      <c r="A9379" s="3"/>
      <c r="B9379" s="3"/>
      <c r="C9379" s="3"/>
      <c r="D9379" s="3"/>
      <c r="E9379" s="3"/>
      <c r="F9379" s="3"/>
      <c r="G9379" s="3"/>
      <c r="H9379" s="11"/>
      <c r="I9379" s="12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  <c r="AA9379" s="3"/>
      <c r="AB9379" s="3"/>
      <c r="AC9379" s="3"/>
      <c r="AD9379" s="3"/>
      <c r="AE9379" s="3"/>
      <c r="AF9379" s="3"/>
      <c r="AG9379" s="3"/>
      <c r="AH9379" s="3"/>
    </row>
    <row r="9380" spans="1:34" ht="14.25" customHeight="1" x14ac:dyDescent="0.25">
      <c r="A9380" s="3"/>
      <c r="B9380" s="3"/>
      <c r="C9380" s="3"/>
      <c r="D9380" s="3"/>
      <c r="E9380" s="3"/>
      <c r="F9380" s="3"/>
      <c r="G9380" s="3"/>
      <c r="H9380" s="11"/>
      <c r="I9380" s="12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  <c r="AA9380" s="3"/>
      <c r="AB9380" s="3"/>
      <c r="AC9380" s="3"/>
      <c r="AD9380" s="3"/>
      <c r="AE9380" s="3"/>
      <c r="AF9380" s="3"/>
      <c r="AG9380" s="3"/>
      <c r="AH9380" s="3"/>
    </row>
    <row r="9381" spans="1:34" ht="14.25" customHeight="1" x14ac:dyDescent="0.25">
      <c r="A9381" s="3"/>
      <c r="B9381" s="3"/>
      <c r="C9381" s="3"/>
      <c r="D9381" s="3"/>
      <c r="E9381" s="3"/>
      <c r="F9381" s="3"/>
      <c r="G9381" s="3"/>
      <c r="H9381" s="11"/>
      <c r="I9381" s="12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  <c r="AA9381" s="3"/>
      <c r="AB9381" s="3"/>
      <c r="AC9381" s="3"/>
      <c r="AD9381" s="3"/>
      <c r="AE9381" s="3"/>
      <c r="AF9381" s="3"/>
      <c r="AG9381" s="3"/>
      <c r="AH9381" s="3"/>
    </row>
    <row r="9382" spans="1:34" ht="14.25" customHeight="1" x14ac:dyDescent="0.25">
      <c r="A9382" s="3"/>
      <c r="B9382" s="3"/>
      <c r="C9382" s="3"/>
      <c r="D9382" s="3"/>
      <c r="E9382" s="3"/>
      <c r="F9382" s="3"/>
      <c r="G9382" s="3"/>
      <c r="H9382" s="11"/>
      <c r="I9382" s="12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  <c r="AA9382" s="3"/>
      <c r="AB9382" s="3"/>
      <c r="AC9382" s="3"/>
      <c r="AD9382" s="3"/>
      <c r="AE9382" s="3"/>
      <c r="AF9382" s="3"/>
      <c r="AG9382" s="3"/>
      <c r="AH9382" s="3"/>
    </row>
    <row r="9383" spans="1:34" ht="14.25" customHeight="1" x14ac:dyDescent="0.25">
      <c r="A9383" s="3"/>
      <c r="B9383" s="3"/>
      <c r="C9383" s="3"/>
      <c r="D9383" s="3"/>
      <c r="E9383" s="3"/>
      <c r="F9383" s="3"/>
      <c r="G9383" s="3"/>
      <c r="H9383" s="11"/>
      <c r="I9383" s="12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  <c r="AA9383" s="3"/>
      <c r="AB9383" s="3"/>
      <c r="AC9383" s="3"/>
      <c r="AD9383" s="3"/>
      <c r="AE9383" s="3"/>
      <c r="AF9383" s="3"/>
      <c r="AG9383" s="3"/>
      <c r="AH9383" s="3"/>
    </row>
    <row r="9384" spans="1:34" ht="14.25" customHeight="1" x14ac:dyDescent="0.25">
      <c r="A9384" s="3"/>
      <c r="B9384" s="3"/>
      <c r="C9384" s="3"/>
      <c r="D9384" s="3"/>
      <c r="E9384" s="3"/>
      <c r="F9384" s="3"/>
      <c r="G9384" s="3"/>
      <c r="H9384" s="11"/>
      <c r="I9384" s="12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  <c r="AA9384" s="3"/>
      <c r="AB9384" s="3"/>
      <c r="AC9384" s="3"/>
      <c r="AD9384" s="3"/>
      <c r="AE9384" s="3"/>
      <c r="AF9384" s="3"/>
      <c r="AG9384" s="3"/>
      <c r="AH9384" s="3"/>
    </row>
    <row r="9385" spans="1:34" ht="14.25" customHeight="1" x14ac:dyDescent="0.25">
      <c r="A9385" s="3"/>
      <c r="B9385" s="3"/>
      <c r="C9385" s="3"/>
      <c r="D9385" s="3"/>
      <c r="E9385" s="3"/>
      <c r="F9385" s="3"/>
      <c r="G9385" s="3"/>
      <c r="H9385" s="11"/>
      <c r="I9385" s="12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  <c r="AA9385" s="3"/>
      <c r="AB9385" s="3"/>
      <c r="AC9385" s="3"/>
      <c r="AD9385" s="3"/>
      <c r="AE9385" s="3"/>
      <c r="AF9385" s="3"/>
      <c r="AG9385" s="3"/>
      <c r="AH9385" s="3"/>
    </row>
    <row r="9386" spans="1:34" ht="14.25" customHeight="1" x14ac:dyDescent="0.25">
      <c r="A9386" s="3"/>
      <c r="B9386" s="3"/>
      <c r="C9386" s="3"/>
      <c r="D9386" s="3"/>
      <c r="E9386" s="3"/>
      <c r="F9386" s="3"/>
      <c r="G9386" s="3"/>
      <c r="H9386" s="11"/>
      <c r="I9386" s="12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  <c r="AA9386" s="3"/>
      <c r="AB9386" s="3"/>
      <c r="AC9386" s="3"/>
      <c r="AD9386" s="3"/>
      <c r="AE9386" s="3"/>
      <c r="AF9386" s="3"/>
      <c r="AG9386" s="3"/>
      <c r="AH9386" s="3"/>
    </row>
    <row r="9387" spans="1:34" ht="14.25" customHeight="1" x14ac:dyDescent="0.25">
      <c r="A9387" s="3"/>
      <c r="B9387" s="3"/>
      <c r="C9387" s="3"/>
      <c r="D9387" s="3"/>
      <c r="E9387" s="3"/>
      <c r="F9387" s="3"/>
      <c r="G9387" s="3"/>
      <c r="H9387" s="11"/>
      <c r="I9387" s="12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  <c r="AA9387" s="3"/>
      <c r="AB9387" s="3"/>
      <c r="AC9387" s="3"/>
      <c r="AD9387" s="3"/>
      <c r="AE9387" s="3"/>
      <c r="AF9387" s="3"/>
      <c r="AG9387" s="3"/>
      <c r="AH9387" s="3"/>
    </row>
    <row r="9388" spans="1:34" ht="14.25" customHeight="1" x14ac:dyDescent="0.25">
      <c r="A9388" s="3"/>
      <c r="B9388" s="3"/>
      <c r="C9388" s="3"/>
      <c r="D9388" s="3"/>
      <c r="E9388" s="3"/>
      <c r="F9388" s="3"/>
      <c r="G9388" s="3"/>
      <c r="H9388" s="11"/>
      <c r="I9388" s="12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  <c r="AA9388" s="3"/>
      <c r="AB9388" s="3"/>
      <c r="AC9388" s="3"/>
      <c r="AD9388" s="3"/>
      <c r="AE9388" s="3"/>
      <c r="AF9388" s="3"/>
      <c r="AG9388" s="3"/>
      <c r="AH9388" s="3"/>
    </row>
    <row r="9389" spans="1:34" ht="14.25" customHeight="1" x14ac:dyDescent="0.25">
      <c r="A9389" s="3"/>
      <c r="B9389" s="3"/>
      <c r="C9389" s="3"/>
      <c r="D9389" s="3"/>
      <c r="E9389" s="3"/>
      <c r="F9389" s="3"/>
      <c r="G9389" s="3"/>
      <c r="H9389" s="11"/>
      <c r="I9389" s="12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  <c r="AA9389" s="3"/>
      <c r="AB9389" s="3"/>
      <c r="AC9389" s="3"/>
      <c r="AD9389" s="3"/>
      <c r="AE9389" s="3"/>
      <c r="AF9389" s="3"/>
      <c r="AG9389" s="3"/>
      <c r="AH9389" s="3"/>
    </row>
    <row r="9390" spans="1:34" ht="14.25" customHeight="1" x14ac:dyDescent="0.25">
      <c r="A9390" s="3"/>
      <c r="B9390" s="3"/>
      <c r="C9390" s="3"/>
      <c r="D9390" s="3"/>
      <c r="E9390" s="3"/>
      <c r="F9390" s="3"/>
      <c r="G9390" s="3"/>
      <c r="H9390" s="11"/>
      <c r="I9390" s="12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  <c r="AA9390" s="3"/>
      <c r="AB9390" s="3"/>
      <c r="AC9390" s="3"/>
      <c r="AD9390" s="3"/>
      <c r="AE9390" s="3"/>
      <c r="AF9390" s="3"/>
      <c r="AG9390" s="3"/>
      <c r="AH9390" s="3"/>
    </row>
    <row r="9391" spans="1:34" ht="14.25" customHeight="1" x14ac:dyDescent="0.25">
      <c r="A9391" s="3"/>
      <c r="B9391" s="3"/>
      <c r="C9391" s="3"/>
      <c r="D9391" s="3"/>
      <c r="E9391" s="3"/>
      <c r="F9391" s="3"/>
      <c r="G9391" s="3"/>
      <c r="H9391" s="11"/>
      <c r="I9391" s="12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  <c r="AA9391" s="3"/>
      <c r="AB9391" s="3"/>
      <c r="AC9391" s="3"/>
      <c r="AD9391" s="3"/>
      <c r="AE9391" s="3"/>
      <c r="AF9391" s="3"/>
      <c r="AG9391" s="3"/>
      <c r="AH9391" s="3"/>
    </row>
    <row r="9392" spans="1:34" ht="14.25" customHeight="1" x14ac:dyDescent="0.25">
      <c r="A9392" s="3"/>
      <c r="B9392" s="3"/>
      <c r="C9392" s="3"/>
      <c r="D9392" s="3"/>
      <c r="E9392" s="3"/>
      <c r="F9392" s="3"/>
      <c r="G9392" s="3"/>
      <c r="H9392" s="11"/>
      <c r="I9392" s="12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  <c r="AA9392" s="3"/>
      <c r="AB9392" s="3"/>
      <c r="AC9392" s="3"/>
      <c r="AD9392" s="3"/>
      <c r="AE9392" s="3"/>
      <c r="AF9392" s="3"/>
      <c r="AG9392" s="3"/>
      <c r="AH9392" s="3"/>
    </row>
    <row r="9393" spans="1:34" ht="14.25" customHeight="1" x14ac:dyDescent="0.25">
      <c r="A9393" s="3"/>
      <c r="B9393" s="3"/>
      <c r="C9393" s="3"/>
      <c r="D9393" s="3"/>
      <c r="E9393" s="3"/>
      <c r="F9393" s="3"/>
      <c r="G9393" s="3"/>
      <c r="H9393" s="11"/>
      <c r="I9393" s="12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  <c r="AA9393" s="3"/>
      <c r="AB9393" s="3"/>
      <c r="AC9393" s="3"/>
      <c r="AD9393" s="3"/>
      <c r="AE9393" s="3"/>
      <c r="AF9393" s="3"/>
      <c r="AG9393" s="3"/>
      <c r="AH9393" s="3"/>
    </row>
    <row r="9394" spans="1:34" ht="14.25" customHeight="1" x14ac:dyDescent="0.25">
      <c r="A9394" s="3"/>
      <c r="B9394" s="3"/>
      <c r="C9394" s="3"/>
      <c r="D9394" s="3"/>
      <c r="E9394" s="3"/>
      <c r="F9394" s="3"/>
      <c r="G9394" s="3"/>
      <c r="H9394" s="11"/>
      <c r="I9394" s="12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  <c r="AA9394" s="3"/>
      <c r="AB9394" s="3"/>
      <c r="AC9394" s="3"/>
      <c r="AD9394" s="3"/>
      <c r="AE9394" s="3"/>
      <c r="AF9394" s="3"/>
      <c r="AG9394" s="3"/>
      <c r="AH9394" s="3"/>
    </row>
    <row r="9395" spans="1:34" ht="14.25" customHeight="1" x14ac:dyDescent="0.25">
      <c r="A9395" s="3"/>
      <c r="B9395" s="3"/>
      <c r="C9395" s="3"/>
      <c r="D9395" s="3"/>
      <c r="E9395" s="3"/>
      <c r="F9395" s="3"/>
      <c r="G9395" s="3"/>
      <c r="H9395" s="11"/>
      <c r="I9395" s="12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  <c r="AA9395" s="3"/>
      <c r="AB9395" s="3"/>
      <c r="AC9395" s="3"/>
      <c r="AD9395" s="3"/>
      <c r="AE9395" s="3"/>
      <c r="AF9395" s="3"/>
      <c r="AG9395" s="3"/>
      <c r="AH9395" s="3"/>
    </row>
    <row r="9396" spans="1:34" ht="14.25" customHeight="1" x14ac:dyDescent="0.25">
      <c r="A9396" s="3"/>
      <c r="B9396" s="3"/>
      <c r="C9396" s="3"/>
      <c r="D9396" s="3"/>
      <c r="E9396" s="3"/>
      <c r="F9396" s="3"/>
      <c r="G9396" s="3"/>
      <c r="H9396" s="11"/>
      <c r="I9396" s="12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  <c r="AA9396" s="3"/>
      <c r="AB9396" s="3"/>
      <c r="AC9396" s="3"/>
      <c r="AD9396" s="3"/>
      <c r="AE9396" s="3"/>
      <c r="AF9396" s="3"/>
      <c r="AG9396" s="3"/>
      <c r="AH9396" s="3"/>
    </row>
    <row r="9397" spans="1:34" ht="14.25" customHeight="1" x14ac:dyDescent="0.25">
      <c r="A9397" s="3"/>
      <c r="B9397" s="3"/>
      <c r="C9397" s="3"/>
      <c r="D9397" s="3"/>
      <c r="E9397" s="3"/>
      <c r="F9397" s="3"/>
      <c r="G9397" s="3"/>
      <c r="H9397" s="11"/>
      <c r="I9397" s="12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  <c r="AA9397" s="3"/>
      <c r="AB9397" s="3"/>
      <c r="AC9397" s="3"/>
      <c r="AD9397" s="3"/>
      <c r="AE9397" s="3"/>
      <c r="AF9397" s="3"/>
      <c r="AG9397" s="3"/>
      <c r="AH9397" s="3"/>
    </row>
    <row r="9398" spans="1:34" ht="14.25" customHeight="1" x14ac:dyDescent="0.25">
      <c r="A9398" s="3"/>
      <c r="B9398" s="3"/>
      <c r="C9398" s="3"/>
      <c r="D9398" s="3"/>
      <c r="E9398" s="3"/>
      <c r="F9398" s="3"/>
      <c r="G9398" s="3"/>
      <c r="H9398" s="11"/>
      <c r="I9398" s="12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  <c r="AA9398" s="3"/>
      <c r="AB9398" s="3"/>
      <c r="AC9398" s="3"/>
      <c r="AD9398" s="3"/>
      <c r="AE9398" s="3"/>
      <c r="AF9398" s="3"/>
      <c r="AG9398" s="3"/>
      <c r="AH9398" s="3"/>
    </row>
    <row r="9399" spans="1:34" ht="14.25" customHeight="1" x14ac:dyDescent="0.25">
      <c r="A9399" s="3"/>
      <c r="B9399" s="3"/>
      <c r="C9399" s="3"/>
      <c r="D9399" s="3"/>
      <c r="E9399" s="3"/>
      <c r="F9399" s="3"/>
      <c r="G9399" s="3"/>
      <c r="H9399" s="11"/>
      <c r="I9399" s="12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  <c r="AA9399" s="3"/>
      <c r="AB9399" s="3"/>
      <c r="AC9399" s="3"/>
      <c r="AD9399" s="3"/>
      <c r="AE9399" s="3"/>
      <c r="AF9399" s="3"/>
      <c r="AG9399" s="3"/>
      <c r="AH9399" s="3"/>
    </row>
    <row r="9400" spans="1:34" ht="14.25" customHeight="1" x14ac:dyDescent="0.25">
      <c r="A9400" s="3"/>
      <c r="B9400" s="3"/>
      <c r="C9400" s="3"/>
      <c r="D9400" s="3"/>
      <c r="E9400" s="3"/>
      <c r="F9400" s="3"/>
      <c r="G9400" s="3"/>
      <c r="H9400" s="11"/>
      <c r="I9400" s="12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  <c r="AA9400" s="3"/>
      <c r="AB9400" s="3"/>
      <c r="AC9400" s="3"/>
      <c r="AD9400" s="3"/>
      <c r="AE9400" s="3"/>
      <c r="AF9400" s="3"/>
      <c r="AG9400" s="3"/>
      <c r="AH9400" s="3"/>
    </row>
    <row r="9401" spans="1:34" ht="14.25" customHeight="1" x14ac:dyDescent="0.25">
      <c r="A9401" s="3"/>
      <c r="B9401" s="3"/>
      <c r="C9401" s="3"/>
      <c r="D9401" s="3"/>
      <c r="E9401" s="3"/>
      <c r="F9401" s="3"/>
      <c r="G9401" s="3"/>
      <c r="H9401" s="11"/>
      <c r="I9401" s="12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  <c r="AA9401" s="3"/>
      <c r="AB9401" s="3"/>
      <c r="AC9401" s="3"/>
      <c r="AD9401" s="3"/>
      <c r="AE9401" s="3"/>
      <c r="AF9401" s="3"/>
      <c r="AG9401" s="3"/>
      <c r="AH9401" s="3"/>
    </row>
    <row r="9402" spans="1:34" ht="14.25" customHeight="1" x14ac:dyDescent="0.25">
      <c r="A9402" s="3"/>
      <c r="B9402" s="3"/>
      <c r="C9402" s="3"/>
      <c r="D9402" s="3"/>
      <c r="E9402" s="3"/>
      <c r="F9402" s="3"/>
      <c r="G9402" s="3"/>
      <c r="H9402" s="11"/>
      <c r="I9402" s="12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  <c r="AA9402" s="3"/>
      <c r="AB9402" s="3"/>
      <c r="AC9402" s="3"/>
      <c r="AD9402" s="3"/>
      <c r="AE9402" s="3"/>
      <c r="AF9402" s="3"/>
      <c r="AG9402" s="3"/>
      <c r="AH9402" s="3"/>
    </row>
    <row r="9403" spans="1:34" ht="14.25" customHeight="1" x14ac:dyDescent="0.25">
      <c r="A9403" s="3"/>
      <c r="B9403" s="3"/>
      <c r="C9403" s="3"/>
      <c r="D9403" s="3"/>
      <c r="E9403" s="3"/>
      <c r="F9403" s="3"/>
      <c r="G9403" s="3"/>
      <c r="H9403" s="11"/>
      <c r="I9403" s="12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  <c r="AA9403" s="3"/>
      <c r="AB9403" s="3"/>
      <c r="AC9403" s="3"/>
      <c r="AD9403" s="3"/>
      <c r="AE9403" s="3"/>
      <c r="AF9403" s="3"/>
      <c r="AG9403" s="3"/>
      <c r="AH9403" s="3"/>
    </row>
    <row r="9404" spans="1:34" ht="14.25" customHeight="1" x14ac:dyDescent="0.25">
      <c r="A9404" s="3"/>
      <c r="B9404" s="3"/>
      <c r="C9404" s="3"/>
      <c r="D9404" s="3"/>
      <c r="E9404" s="3"/>
      <c r="F9404" s="3"/>
      <c r="G9404" s="3"/>
      <c r="H9404" s="11"/>
      <c r="I9404" s="12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  <c r="AA9404" s="3"/>
      <c r="AB9404" s="3"/>
      <c r="AC9404" s="3"/>
      <c r="AD9404" s="3"/>
      <c r="AE9404" s="3"/>
      <c r="AF9404" s="3"/>
      <c r="AG9404" s="3"/>
      <c r="AH9404" s="3"/>
    </row>
    <row r="9405" spans="1:34" ht="14.25" customHeight="1" x14ac:dyDescent="0.25">
      <c r="A9405" s="3"/>
      <c r="B9405" s="3"/>
      <c r="C9405" s="3"/>
      <c r="D9405" s="3"/>
      <c r="E9405" s="3"/>
      <c r="F9405" s="3"/>
      <c r="G9405" s="3"/>
      <c r="H9405" s="11"/>
      <c r="I9405" s="12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  <c r="AA9405" s="3"/>
      <c r="AB9405" s="3"/>
      <c r="AC9405" s="3"/>
      <c r="AD9405" s="3"/>
      <c r="AE9405" s="3"/>
      <c r="AF9405" s="3"/>
      <c r="AG9405" s="3"/>
      <c r="AH9405" s="3"/>
    </row>
    <row r="9406" spans="1:34" ht="14.25" customHeight="1" x14ac:dyDescent="0.25">
      <c r="A9406" s="3"/>
      <c r="B9406" s="3"/>
      <c r="C9406" s="3"/>
      <c r="D9406" s="3"/>
      <c r="E9406" s="3"/>
      <c r="F9406" s="3"/>
      <c r="G9406" s="3"/>
      <c r="H9406" s="11"/>
      <c r="I9406" s="12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  <c r="AA9406" s="3"/>
      <c r="AB9406" s="3"/>
      <c r="AC9406" s="3"/>
      <c r="AD9406" s="3"/>
      <c r="AE9406" s="3"/>
      <c r="AF9406" s="3"/>
      <c r="AG9406" s="3"/>
      <c r="AH9406" s="3"/>
    </row>
    <row r="9407" spans="1:34" ht="14.25" customHeight="1" x14ac:dyDescent="0.25">
      <c r="A9407" s="3"/>
      <c r="B9407" s="3"/>
      <c r="C9407" s="3"/>
      <c r="D9407" s="3"/>
      <c r="E9407" s="3"/>
      <c r="F9407" s="3"/>
      <c r="G9407" s="3"/>
      <c r="H9407" s="11"/>
      <c r="I9407" s="12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  <c r="AA9407" s="3"/>
      <c r="AB9407" s="3"/>
      <c r="AC9407" s="3"/>
      <c r="AD9407" s="3"/>
      <c r="AE9407" s="3"/>
      <c r="AF9407" s="3"/>
      <c r="AG9407" s="3"/>
      <c r="AH9407" s="3"/>
    </row>
    <row r="9408" spans="1:34" ht="14.25" customHeight="1" x14ac:dyDescent="0.25">
      <c r="A9408" s="3"/>
      <c r="B9408" s="3"/>
      <c r="C9408" s="3"/>
      <c r="D9408" s="3"/>
      <c r="E9408" s="3"/>
      <c r="F9408" s="3"/>
      <c r="G9408" s="3"/>
      <c r="H9408" s="11"/>
      <c r="I9408" s="12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  <c r="AA9408" s="3"/>
      <c r="AB9408" s="3"/>
      <c r="AC9408" s="3"/>
      <c r="AD9408" s="3"/>
      <c r="AE9408" s="3"/>
      <c r="AF9408" s="3"/>
      <c r="AG9408" s="3"/>
      <c r="AH9408" s="3"/>
    </row>
    <row r="9409" spans="1:34" ht="14.25" customHeight="1" x14ac:dyDescent="0.25">
      <c r="A9409" s="3"/>
      <c r="B9409" s="3"/>
      <c r="C9409" s="3"/>
      <c r="D9409" s="3"/>
      <c r="E9409" s="3"/>
      <c r="F9409" s="3"/>
      <c r="G9409" s="3"/>
      <c r="H9409" s="11"/>
      <c r="I9409" s="12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  <c r="AA9409" s="3"/>
      <c r="AB9409" s="3"/>
      <c r="AC9409" s="3"/>
      <c r="AD9409" s="3"/>
      <c r="AE9409" s="3"/>
      <c r="AF9409" s="3"/>
      <c r="AG9409" s="3"/>
      <c r="AH9409" s="3"/>
    </row>
    <row r="9410" spans="1:34" ht="14.25" customHeight="1" x14ac:dyDescent="0.25">
      <c r="A9410" s="3"/>
      <c r="B9410" s="3"/>
      <c r="C9410" s="3"/>
      <c r="D9410" s="3"/>
      <c r="E9410" s="3"/>
      <c r="F9410" s="3"/>
      <c r="G9410" s="3"/>
      <c r="H9410" s="11"/>
      <c r="I9410" s="12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  <c r="AA9410" s="3"/>
      <c r="AB9410" s="3"/>
      <c r="AC9410" s="3"/>
      <c r="AD9410" s="3"/>
      <c r="AE9410" s="3"/>
      <c r="AF9410" s="3"/>
      <c r="AG9410" s="3"/>
      <c r="AH9410" s="3"/>
    </row>
    <row r="9411" spans="1:34" ht="14.25" customHeight="1" x14ac:dyDescent="0.25">
      <c r="A9411" s="3"/>
      <c r="B9411" s="3"/>
      <c r="C9411" s="3"/>
      <c r="D9411" s="3"/>
      <c r="E9411" s="3"/>
      <c r="F9411" s="3"/>
      <c r="G9411" s="3"/>
      <c r="H9411" s="11"/>
      <c r="I9411" s="12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  <c r="AA9411" s="3"/>
      <c r="AB9411" s="3"/>
      <c r="AC9411" s="3"/>
      <c r="AD9411" s="3"/>
      <c r="AE9411" s="3"/>
      <c r="AF9411" s="3"/>
      <c r="AG9411" s="3"/>
      <c r="AH9411" s="3"/>
    </row>
    <row r="9412" spans="1:34" ht="14.25" customHeight="1" x14ac:dyDescent="0.25">
      <c r="A9412" s="3"/>
      <c r="B9412" s="3"/>
      <c r="C9412" s="3"/>
      <c r="D9412" s="3"/>
      <c r="E9412" s="3"/>
      <c r="F9412" s="3"/>
      <c r="G9412" s="3"/>
      <c r="H9412" s="11"/>
      <c r="I9412" s="12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  <c r="AA9412" s="3"/>
      <c r="AB9412" s="3"/>
      <c r="AC9412" s="3"/>
      <c r="AD9412" s="3"/>
      <c r="AE9412" s="3"/>
      <c r="AF9412" s="3"/>
      <c r="AG9412" s="3"/>
      <c r="AH9412" s="3"/>
    </row>
    <row r="9413" spans="1:34" ht="14.25" customHeight="1" x14ac:dyDescent="0.25">
      <c r="A9413" s="3"/>
      <c r="B9413" s="3"/>
      <c r="C9413" s="3"/>
      <c r="D9413" s="3"/>
      <c r="E9413" s="3"/>
      <c r="F9413" s="3"/>
      <c r="G9413" s="3"/>
      <c r="H9413" s="11"/>
      <c r="I9413" s="12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  <c r="AA9413" s="3"/>
      <c r="AB9413" s="3"/>
      <c r="AC9413" s="3"/>
      <c r="AD9413" s="3"/>
      <c r="AE9413" s="3"/>
      <c r="AF9413" s="3"/>
      <c r="AG9413" s="3"/>
      <c r="AH9413" s="3"/>
    </row>
    <row r="9414" spans="1:34" ht="14.25" customHeight="1" x14ac:dyDescent="0.25">
      <c r="A9414" s="3"/>
      <c r="B9414" s="3"/>
      <c r="C9414" s="3"/>
      <c r="D9414" s="3"/>
      <c r="E9414" s="3"/>
      <c r="F9414" s="3"/>
      <c r="G9414" s="3"/>
      <c r="H9414" s="11"/>
      <c r="I9414" s="12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  <c r="AA9414" s="3"/>
      <c r="AB9414" s="3"/>
      <c r="AC9414" s="3"/>
      <c r="AD9414" s="3"/>
      <c r="AE9414" s="3"/>
      <c r="AF9414" s="3"/>
      <c r="AG9414" s="3"/>
      <c r="AH9414" s="3"/>
    </row>
    <row r="9415" spans="1:34" ht="14.25" customHeight="1" x14ac:dyDescent="0.25">
      <c r="A9415" s="3"/>
      <c r="B9415" s="3"/>
      <c r="C9415" s="3"/>
      <c r="D9415" s="3"/>
      <c r="E9415" s="3"/>
      <c r="F9415" s="3"/>
      <c r="G9415" s="3"/>
      <c r="H9415" s="11"/>
      <c r="I9415" s="12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  <c r="AA9415" s="3"/>
      <c r="AB9415" s="3"/>
      <c r="AC9415" s="3"/>
      <c r="AD9415" s="3"/>
      <c r="AE9415" s="3"/>
      <c r="AF9415" s="3"/>
      <c r="AG9415" s="3"/>
      <c r="AH9415" s="3"/>
    </row>
    <row r="9416" spans="1:34" ht="14.25" customHeight="1" x14ac:dyDescent="0.25">
      <c r="A9416" s="3"/>
      <c r="B9416" s="3"/>
      <c r="C9416" s="3"/>
      <c r="D9416" s="3"/>
      <c r="E9416" s="3"/>
      <c r="F9416" s="3"/>
      <c r="G9416" s="3"/>
      <c r="H9416" s="11"/>
      <c r="I9416" s="12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  <c r="AA9416" s="3"/>
      <c r="AB9416" s="3"/>
      <c r="AC9416" s="3"/>
      <c r="AD9416" s="3"/>
      <c r="AE9416" s="3"/>
      <c r="AF9416" s="3"/>
      <c r="AG9416" s="3"/>
      <c r="AH9416" s="3"/>
    </row>
    <row r="9417" spans="1:34" ht="14.25" customHeight="1" x14ac:dyDescent="0.25">
      <c r="A9417" s="3"/>
      <c r="B9417" s="3"/>
      <c r="C9417" s="3"/>
      <c r="D9417" s="3"/>
      <c r="E9417" s="3"/>
      <c r="F9417" s="3"/>
      <c r="G9417" s="3"/>
      <c r="H9417" s="11"/>
      <c r="I9417" s="12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  <c r="AA9417" s="3"/>
      <c r="AB9417" s="3"/>
      <c r="AC9417" s="3"/>
      <c r="AD9417" s="3"/>
      <c r="AE9417" s="3"/>
      <c r="AF9417" s="3"/>
      <c r="AG9417" s="3"/>
      <c r="AH9417" s="3"/>
    </row>
    <row r="9418" spans="1:34" ht="14.25" customHeight="1" x14ac:dyDescent="0.25">
      <c r="A9418" s="3"/>
      <c r="B9418" s="3"/>
      <c r="C9418" s="3"/>
      <c r="D9418" s="3"/>
      <c r="E9418" s="3"/>
      <c r="F9418" s="3"/>
      <c r="G9418" s="3"/>
      <c r="H9418" s="11"/>
      <c r="I9418" s="12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  <c r="AA9418" s="3"/>
      <c r="AB9418" s="3"/>
      <c r="AC9418" s="3"/>
      <c r="AD9418" s="3"/>
      <c r="AE9418" s="3"/>
      <c r="AF9418" s="3"/>
      <c r="AG9418" s="3"/>
      <c r="AH9418" s="3"/>
    </row>
    <row r="9419" spans="1:34" ht="14.25" customHeight="1" x14ac:dyDescent="0.25">
      <c r="A9419" s="3"/>
      <c r="B9419" s="3"/>
      <c r="C9419" s="3"/>
      <c r="D9419" s="3"/>
      <c r="E9419" s="3"/>
      <c r="F9419" s="3"/>
      <c r="G9419" s="3"/>
      <c r="H9419" s="11"/>
      <c r="I9419" s="12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  <c r="AA9419" s="3"/>
      <c r="AB9419" s="3"/>
      <c r="AC9419" s="3"/>
      <c r="AD9419" s="3"/>
      <c r="AE9419" s="3"/>
      <c r="AF9419" s="3"/>
      <c r="AG9419" s="3"/>
      <c r="AH9419" s="3"/>
    </row>
    <row r="9420" spans="1:34" ht="14.25" customHeight="1" x14ac:dyDescent="0.25">
      <c r="A9420" s="3"/>
      <c r="B9420" s="3"/>
      <c r="C9420" s="3"/>
      <c r="D9420" s="3"/>
      <c r="E9420" s="3"/>
      <c r="F9420" s="3"/>
      <c r="G9420" s="3"/>
      <c r="H9420" s="11"/>
      <c r="I9420" s="12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  <c r="AA9420" s="3"/>
      <c r="AB9420" s="3"/>
      <c r="AC9420" s="3"/>
      <c r="AD9420" s="3"/>
      <c r="AE9420" s="3"/>
      <c r="AF9420" s="3"/>
      <c r="AG9420" s="3"/>
      <c r="AH9420" s="3"/>
    </row>
    <row r="9421" spans="1:34" ht="14.25" customHeight="1" x14ac:dyDescent="0.25">
      <c r="A9421" s="3"/>
      <c r="B9421" s="3"/>
      <c r="C9421" s="3"/>
      <c r="D9421" s="3"/>
      <c r="E9421" s="3"/>
      <c r="F9421" s="3"/>
      <c r="G9421" s="3"/>
      <c r="H9421" s="11"/>
      <c r="I9421" s="12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  <c r="AA9421" s="3"/>
      <c r="AB9421" s="3"/>
      <c r="AC9421" s="3"/>
      <c r="AD9421" s="3"/>
      <c r="AE9421" s="3"/>
      <c r="AF9421" s="3"/>
      <c r="AG9421" s="3"/>
      <c r="AH9421" s="3"/>
    </row>
    <row r="9422" spans="1:34" ht="14.25" customHeight="1" x14ac:dyDescent="0.25">
      <c r="A9422" s="3"/>
      <c r="B9422" s="3"/>
      <c r="C9422" s="3"/>
      <c r="D9422" s="3"/>
      <c r="E9422" s="3"/>
      <c r="F9422" s="3"/>
      <c r="G9422" s="3"/>
      <c r="H9422" s="11"/>
      <c r="I9422" s="12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  <c r="AA9422" s="3"/>
      <c r="AB9422" s="3"/>
      <c r="AC9422" s="3"/>
      <c r="AD9422" s="3"/>
      <c r="AE9422" s="3"/>
      <c r="AF9422" s="3"/>
      <c r="AG9422" s="3"/>
      <c r="AH9422" s="3"/>
    </row>
    <row r="9423" spans="1:34" ht="14.25" customHeight="1" x14ac:dyDescent="0.25">
      <c r="A9423" s="3"/>
      <c r="B9423" s="3"/>
      <c r="C9423" s="3"/>
      <c r="D9423" s="3"/>
      <c r="E9423" s="3"/>
      <c r="F9423" s="3"/>
      <c r="G9423" s="3"/>
      <c r="H9423" s="11"/>
      <c r="I9423" s="12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  <c r="AA9423" s="3"/>
      <c r="AB9423" s="3"/>
      <c r="AC9423" s="3"/>
      <c r="AD9423" s="3"/>
      <c r="AE9423" s="3"/>
      <c r="AF9423" s="3"/>
      <c r="AG9423" s="3"/>
      <c r="AH9423" s="3"/>
    </row>
    <row r="9424" spans="1:34" ht="14.25" customHeight="1" x14ac:dyDescent="0.25">
      <c r="A9424" s="3"/>
      <c r="B9424" s="3"/>
      <c r="C9424" s="3"/>
      <c r="D9424" s="3"/>
      <c r="E9424" s="3"/>
      <c r="F9424" s="3"/>
      <c r="G9424" s="3"/>
      <c r="H9424" s="11"/>
      <c r="I9424" s="12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  <c r="AA9424" s="3"/>
      <c r="AB9424" s="3"/>
      <c r="AC9424" s="3"/>
      <c r="AD9424" s="3"/>
      <c r="AE9424" s="3"/>
      <c r="AF9424" s="3"/>
      <c r="AG9424" s="3"/>
      <c r="AH9424" s="3"/>
    </row>
    <row r="9425" spans="1:34" ht="14.25" customHeight="1" x14ac:dyDescent="0.25">
      <c r="A9425" s="3"/>
      <c r="B9425" s="3"/>
      <c r="C9425" s="3"/>
      <c r="D9425" s="3"/>
      <c r="E9425" s="3"/>
      <c r="F9425" s="3"/>
      <c r="G9425" s="3"/>
      <c r="H9425" s="11"/>
      <c r="I9425" s="12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  <c r="AA9425" s="3"/>
      <c r="AB9425" s="3"/>
      <c r="AC9425" s="3"/>
      <c r="AD9425" s="3"/>
      <c r="AE9425" s="3"/>
      <c r="AF9425" s="3"/>
      <c r="AG9425" s="3"/>
      <c r="AH9425" s="3"/>
    </row>
    <row r="9426" spans="1:34" ht="14.25" customHeight="1" x14ac:dyDescent="0.25">
      <c r="A9426" s="3"/>
      <c r="B9426" s="3"/>
      <c r="C9426" s="3"/>
      <c r="D9426" s="3"/>
      <c r="E9426" s="3"/>
      <c r="F9426" s="3"/>
      <c r="G9426" s="3"/>
      <c r="H9426" s="11"/>
      <c r="I9426" s="12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  <c r="AA9426" s="3"/>
      <c r="AB9426" s="3"/>
      <c r="AC9426" s="3"/>
      <c r="AD9426" s="3"/>
      <c r="AE9426" s="3"/>
      <c r="AF9426" s="3"/>
      <c r="AG9426" s="3"/>
      <c r="AH9426" s="3"/>
    </row>
    <row r="9427" spans="1:34" ht="14.25" customHeight="1" x14ac:dyDescent="0.25">
      <c r="A9427" s="3"/>
      <c r="B9427" s="3"/>
      <c r="C9427" s="3"/>
      <c r="D9427" s="3"/>
      <c r="E9427" s="3"/>
      <c r="F9427" s="3"/>
      <c r="G9427" s="3"/>
      <c r="H9427" s="11"/>
      <c r="I9427" s="12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  <c r="AA9427" s="3"/>
      <c r="AB9427" s="3"/>
      <c r="AC9427" s="3"/>
      <c r="AD9427" s="3"/>
      <c r="AE9427" s="3"/>
      <c r="AF9427" s="3"/>
      <c r="AG9427" s="3"/>
      <c r="AH9427" s="3"/>
    </row>
    <row r="9428" spans="1:34" ht="14.25" customHeight="1" x14ac:dyDescent="0.25">
      <c r="A9428" s="3"/>
      <c r="B9428" s="3"/>
      <c r="C9428" s="3"/>
      <c r="D9428" s="3"/>
      <c r="E9428" s="3"/>
      <c r="F9428" s="3"/>
      <c r="G9428" s="3"/>
      <c r="H9428" s="11"/>
      <c r="I9428" s="12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  <c r="AA9428" s="3"/>
      <c r="AB9428" s="3"/>
      <c r="AC9428" s="3"/>
      <c r="AD9428" s="3"/>
      <c r="AE9428" s="3"/>
      <c r="AF9428" s="3"/>
      <c r="AG9428" s="3"/>
      <c r="AH9428" s="3"/>
    </row>
    <row r="9429" spans="1:34" ht="14.25" customHeight="1" x14ac:dyDescent="0.25">
      <c r="A9429" s="3"/>
      <c r="B9429" s="3"/>
      <c r="C9429" s="3"/>
      <c r="D9429" s="3"/>
      <c r="E9429" s="3"/>
      <c r="F9429" s="3"/>
      <c r="G9429" s="3"/>
      <c r="H9429" s="11"/>
      <c r="I9429" s="12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  <c r="AA9429" s="3"/>
      <c r="AB9429" s="3"/>
      <c r="AC9429" s="3"/>
      <c r="AD9429" s="3"/>
      <c r="AE9429" s="3"/>
      <c r="AF9429" s="3"/>
      <c r="AG9429" s="3"/>
      <c r="AH9429" s="3"/>
    </row>
    <row r="9430" spans="1:34" ht="14.25" customHeight="1" x14ac:dyDescent="0.25">
      <c r="A9430" s="3"/>
      <c r="B9430" s="3"/>
      <c r="C9430" s="3"/>
      <c r="D9430" s="3"/>
      <c r="E9430" s="3"/>
      <c r="F9430" s="3"/>
      <c r="G9430" s="3"/>
      <c r="H9430" s="11"/>
      <c r="I9430" s="12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  <c r="AA9430" s="3"/>
      <c r="AB9430" s="3"/>
      <c r="AC9430" s="3"/>
      <c r="AD9430" s="3"/>
      <c r="AE9430" s="3"/>
      <c r="AF9430" s="3"/>
      <c r="AG9430" s="3"/>
      <c r="AH9430" s="3"/>
    </row>
    <row r="9431" spans="1:34" ht="14.25" customHeight="1" x14ac:dyDescent="0.25">
      <c r="A9431" s="3"/>
      <c r="B9431" s="3"/>
      <c r="C9431" s="3"/>
      <c r="D9431" s="3"/>
      <c r="E9431" s="3"/>
      <c r="F9431" s="3"/>
      <c r="G9431" s="3"/>
      <c r="H9431" s="11"/>
      <c r="I9431" s="12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  <c r="AA9431" s="3"/>
      <c r="AB9431" s="3"/>
      <c r="AC9431" s="3"/>
      <c r="AD9431" s="3"/>
      <c r="AE9431" s="3"/>
      <c r="AF9431" s="3"/>
      <c r="AG9431" s="3"/>
      <c r="AH9431" s="3"/>
    </row>
    <row r="9432" spans="1:34" ht="14.25" customHeight="1" x14ac:dyDescent="0.25">
      <c r="A9432" s="3"/>
      <c r="B9432" s="3"/>
      <c r="C9432" s="3"/>
      <c r="D9432" s="3"/>
      <c r="E9432" s="3"/>
      <c r="F9432" s="3"/>
      <c r="G9432" s="3"/>
      <c r="H9432" s="11"/>
      <c r="I9432" s="12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  <c r="AA9432" s="3"/>
      <c r="AB9432" s="3"/>
      <c r="AC9432" s="3"/>
      <c r="AD9432" s="3"/>
      <c r="AE9432" s="3"/>
      <c r="AF9432" s="3"/>
      <c r="AG9432" s="3"/>
      <c r="AH9432" s="3"/>
    </row>
    <row r="9433" spans="1:34" ht="14.25" customHeight="1" x14ac:dyDescent="0.25">
      <c r="A9433" s="3"/>
      <c r="B9433" s="3"/>
      <c r="C9433" s="3"/>
      <c r="D9433" s="3"/>
      <c r="E9433" s="3"/>
      <c r="F9433" s="3"/>
      <c r="G9433" s="3"/>
      <c r="H9433" s="11"/>
      <c r="I9433" s="12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  <c r="AA9433" s="3"/>
      <c r="AB9433" s="3"/>
      <c r="AC9433" s="3"/>
      <c r="AD9433" s="3"/>
      <c r="AE9433" s="3"/>
      <c r="AF9433" s="3"/>
      <c r="AG9433" s="3"/>
      <c r="AH9433" s="3"/>
    </row>
    <row r="9434" spans="1:34" ht="14.25" customHeight="1" x14ac:dyDescent="0.25">
      <c r="A9434" s="3"/>
      <c r="B9434" s="3"/>
      <c r="C9434" s="3"/>
      <c r="D9434" s="3"/>
      <c r="E9434" s="3"/>
      <c r="F9434" s="3"/>
      <c r="G9434" s="3"/>
      <c r="H9434" s="11"/>
      <c r="I9434" s="12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  <c r="AA9434" s="3"/>
      <c r="AB9434" s="3"/>
      <c r="AC9434" s="3"/>
      <c r="AD9434" s="3"/>
      <c r="AE9434" s="3"/>
      <c r="AF9434" s="3"/>
      <c r="AG9434" s="3"/>
      <c r="AH9434" s="3"/>
    </row>
    <row r="9435" spans="1:34" ht="14.25" customHeight="1" x14ac:dyDescent="0.25">
      <c r="A9435" s="3"/>
      <c r="B9435" s="3"/>
      <c r="C9435" s="3"/>
      <c r="D9435" s="3"/>
      <c r="E9435" s="3"/>
      <c r="F9435" s="3"/>
      <c r="G9435" s="3"/>
      <c r="H9435" s="11"/>
      <c r="I9435" s="12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  <c r="AA9435" s="3"/>
      <c r="AB9435" s="3"/>
      <c r="AC9435" s="3"/>
      <c r="AD9435" s="3"/>
      <c r="AE9435" s="3"/>
      <c r="AF9435" s="3"/>
      <c r="AG9435" s="3"/>
      <c r="AH9435" s="3"/>
    </row>
    <row r="9436" spans="1:34" ht="14.25" customHeight="1" x14ac:dyDescent="0.25">
      <c r="A9436" s="3"/>
      <c r="B9436" s="3"/>
      <c r="C9436" s="3"/>
      <c r="D9436" s="3"/>
      <c r="E9436" s="3"/>
      <c r="F9436" s="3"/>
      <c r="G9436" s="3"/>
      <c r="H9436" s="11"/>
      <c r="I9436" s="12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  <c r="AA9436" s="3"/>
      <c r="AB9436" s="3"/>
      <c r="AC9436" s="3"/>
      <c r="AD9436" s="3"/>
      <c r="AE9436" s="3"/>
      <c r="AF9436" s="3"/>
      <c r="AG9436" s="3"/>
      <c r="AH9436" s="3"/>
    </row>
    <row r="9437" spans="1:34" ht="14.25" customHeight="1" x14ac:dyDescent="0.25">
      <c r="A9437" s="3"/>
      <c r="B9437" s="3"/>
      <c r="C9437" s="3"/>
      <c r="D9437" s="3"/>
      <c r="E9437" s="3"/>
      <c r="F9437" s="3"/>
      <c r="G9437" s="3"/>
      <c r="H9437" s="11"/>
      <c r="I9437" s="12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  <c r="AA9437" s="3"/>
      <c r="AB9437" s="3"/>
      <c r="AC9437" s="3"/>
      <c r="AD9437" s="3"/>
      <c r="AE9437" s="3"/>
      <c r="AF9437" s="3"/>
      <c r="AG9437" s="3"/>
      <c r="AH9437" s="3"/>
    </row>
    <row r="9438" spans="1:34" ht="14.25" customHeight="1" x14ac:dyDescent="0.25">
      <c r="A9438" s="3"/>
      <c r="B9438" s="3"/>
      <c r="C9438" s="3"/>
      <c r="D9438" s="3"/>
      <c r="E9438" s="3"/>
      <c r="F9438" s="3"/>
      <c r="G9438" s="3"/>
      <c r="H9438" s="11"/>
      <c r="I9438" s="12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  <c r="AA9438" s="3"/>
      <c r="AB9438" s="3"/>
      <c r="AC9438" s="3"/>
      <c r="AD9438" s="3"/>
      <c r="AE9438" s="3"/>
      <c r="AF9438" s="3"/>
      <c r="AG9438" s="3"/>
      <c r="AH9438" s="3"/>
    </row>
    <row r="9439" spans="1:34" ht="14.25" customHeight="1" x14ac:dyDescent="0.25">
      <c r="A9439" s="3"/>
      <c r="B9439" s="3"/>
      <c r="C9439" s="3"/>
      <c r="D9439" s="3"/>
      <c r="E9439" s="3"/>
      <c r="F9439" s="3"/>
      <c r="G9439" s="3"/>
      <c r="H9439" s="11"/>
      <c r="I9439" s="12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  <c r="AA9439" s="3"/>
      <c r="AB9439" s="3"/>
      <c r="AC9439" s="3"/>
      <c r="AD9439" s="3"/>
      <c r="AE9439" s="3"/>
      <c r="AF9439" s="3"/>
      <c r="AG9439" s="3"/>
      <c r="AH9439" s="3"/>
    </row>
    <row r="9440" spans="1:34" ht="14.25" customHeight="1" x14ac:dyDescent="0.25">
      <c r="A9440" s="3"/>
      <c r="B9440" s="3"/>
      <c r="C9440" s="3"/>
      <c r="D9440" s="3"/>
      <c r="E9440" s="3"/>
      <c r="F9440" s="3"/>
      <c r="G9440" s="3"/>
      <c r="H9440" s="11"/>
      <c r="I9440" s="12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  <c r="AA9440" s="3"/>
      <c r="AB9440" s="3"/>
      <c r="AC9440" s="3"/>
      <c r="AD9440" s="3"/>
      <c r="AE9440" s="3"/>
      <c r="AF9440" s="3"/>
      <c r="AG9440" s="3"/>
      <c r="AH9440" s="3"/>
    </row>
    <row r="9441" spans="1:34" ht="14.25" customHeight="1" x14ac:dyDescent="0.25">
      <c r="A9441" s="3"/>
      <c r="B9441" s="3"/>
      <c r="C9441" s="3"/>
      <c r="D9441" s="3"/>
      <c r="E9441" s="3"/>
      <c r="F9441" s="3"/>
      <c r="G9441" s="3"/>
      <c r="H9441" s="11"/>
      <c r="I9441" s="12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  <c r="AA9441" s="3"/>
      <c r="AB9441" s="3"/>
      <c r="AC9441" s="3"/>
      <c r="AD9441" s="3"/>
      <c r="AE9441" s="3"/>
      <c r="AF9441" s="3"/>
      <c r="AG9441" s="3"/>
      <c r="AH9441" s="3"/>
    </row>
    <row r="9442" spans="1:34" ht="14.25" customHeight="1" x14ac:dyDescent="0.25">
      <c r="A9442" s="3"/>
      <c r="B9442" s="3"/>
      <c r="C9442" s="3"/>
      <c r="D9442" s="3"/>
      <c r="E9442" s="3"/>
      <c r="F9442" s="3"/>
      <c r="G9442" s="3"/>
      <c r="H9442" s="11"/>
      <c r="I9442" s="12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  <c r="AA9442" s="3"/>
      <c r="AB9442" s="3"/>
      <c r="AC9442" s="3"/>
      <c r="AD9442" s="3"/>
      <c r="AE9442" s="3"/>
      <c r="AF9442" s="3"/>
      <c r="AG9442" s="3"/>
      <c r="AH9442" s="3"/>
    </row>
    <row r="9443" spans="1:34" ht="14.25" customHeight="1" x14ac:dyDescent="0.25">
      <c r="A9443" s="3"/>
      <c r="B9443" s="3"/>
      <c r="C9443" s="3"/>
      <c r="D9443" s="3"/>
      <c r="E9443" s="3"/>
      <c r="F9443" s="3"/>
      <c r="G9443" s="3"/>
      <c r="H9443" s="11"/>
      <c r="I9443" s="12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  <c r="AA9443" s="3"/>
      <c r="AB9443" s="3"/>
      <c r="AC9443" s="3"/>
      <c r="AD9443" s="3"/>
      <c r="AE9443" s="3"/>
      <c r="AF9443" s="3"/>
      <c r="AG9443" s="3"/>
      <c r="AH9443" s="3"/>
    </row>
    <row r="9444" spans="1:34" ht="14.25" customHeight="1" x14ac:dyDescent="0.25">
      <c r="A9444" s="3"/>
      <c r="B9444" s="3"/>
      <c r="C9444" s="3"/>
      <c r="D9444" s="3"/>
      <c r="E9444" s="3"/>
      <c r="F9444" s="3"/>
      <c r="G9444" s="3"/>
      <c r="H9444" s="11"/>
      <c r="I9444" s="12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  <c r="AA9444" s="3"/>
      <c r="AB9444" s="3"/>
      <c r="AC9444" s="3"/>
      <c r="AD9444" s="3"/>
      <c r="AE9444" s="3"/>
      <c r="AF9444" s="3"/>
      <c r="AG9444" s="3"/>
      <c r="AH9444" s="3"/>
    </row>
    <row r="9445" spans="1:34" ht="14.25" customHeight="1" x14ac:dyDescent="0.25">
      <c r="A9445" s="3"/>
      <c r="B9445" s="3"/>
      <c r="C9445" s="3"/>
      <c r="D9445" s="3"/>
      <c r="E9445" s="3"/>
      <c r="F9445" s="3"/>
      <c r="G9445" s="3"/>
      <c r="H9445" s="11"/>
      <c r="I9445" s="12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  <c r="AA9445" s="3"/>
      <c r="AB9445" s="3"/>
      <c r="AC9445" s="3"/>
      <c r="AD9445" s="3"/>
      <c r="AE9445" s="3"/>
      <c r="AF9445" s="3"/>
      <c r="AG9445" s="3"/>
      <c r="AH9445" s="3"/>
    </row>
    <row r="9446" spans="1:34" ht="14.25" customHeight="1" x14ac:dyDescent="0.25">
      <c r="A9446" s="3"/>
      <c r="B9446" s="3"/>
      <c r="C9446" s="3"/>
      <c r="D9446" s="3"/>
      <c r="E9446" s="3"/>
      <c r="F9446" s="3"/>
      <c r="G9446" s="3"/>
      <c r="H9446" s="11"/>
      <c r="I9446" s="12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  <c r="AA9446" s="3"/>
      <c r="AB9446" s="3"/>
      <c r="AC9446" s="3"/>
      <c r="AD9446" s="3"/>
      <c r="AE9446" s="3"/>
      <c r="AF9446" s="3"/>
      <c r="AG9446" s="3"/>
      <c r="AH9446" s="3"/>
    </row>
    <row r="9447" spans="1:34" ht="14.25" customHeight="1" x14ac:dyDescent="0.25">
      <c r="A9447" s="3"/>
      <c r="B9447" s="3"/>
      <c r="C9447" s="3"/>
      <c r="D9447" s="3"/>
      <c r="E9447" s="3"/>
      <c r="F9447" s="3"/>
      <c r="G9447" s="3"/>
      <c r="H9447" s="11"/>
      <c r="I9447" s="12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  <c r="AA9447" s="3"/>
      <c r="AB9447" s="3"/>
      <c r="AC9447" s="3"/>
      <c r="AD9447" s="3"/>
      <c r="AE9447" s="3"/>
      <c r="AF9447" s="3"/>
      <c r="AG9447" s="3"/>
      <c r="AH9447" s="3"/>
    </row>
    <row r="9448" spans="1:34" ht="14.25" customHeight="1" x14ac:dyDescent="0.25">
      <c r="A9448" s="3"/>
      <c r="B9448" s="3"/>
      <c r="C9448" s="3"/>
      <c r="D9448" s="3"/>
      <c r="E9448" s="3"/>
      <c r="F9448" s="3"/>
      <c r="G9448" s="3"/>
      <c r="H9448" s="11"/>
      <c r="I9448" s="12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  <c r="AA9448" s="3"/>
      <c r="AB9448" s="3"/>
      <c r="AC9448" s="3"/>
      <c r="AD9448" s="3"/>
      <c r="AE9448" s="3"/>
      <c r="AF9448" s="3"/>
      <c r="AG9448" s="3"/>
      <c r="AH9448" s="3"/>
    </row>
    <row r="9449" spans="1:34" ht="14.25" customHeight="1" x14ac:dyDescent="0.25">
      <c r="A9449" s="3"/>
      <c r="B9449" s="3"/>
      <c r="C9449" s="3"/>
      <c r="D9449" s="3"/>
      <c r="E9449" s="3"/>
      <c r="F9449" s="3"/>
      <c r="G9449" s="3"/>
      <c r="H9449" s="11"/>
      <c r="I9449" s="12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  <c r="AA9449" s="3"/>
      <c r="AB9449" s="3"/>
      <c r="AC9449" s="3"/>
      <c r="AD9449" s="3"/>
      <c r="AE9449" s="3"/>
      <c r="AF9449" s="3"/>
      <c r="AG9449" s="3"/>
      <c r="AH9449" s="3"/>
    </row>
    <row r="9450" spans="1:34" ht="14.25" customHeight="1" x14ac:dyDescent="0.25">
      <c r="A9450" s="3"/>
      <c r="B9450" s="3"/>
      <c r="C9450" s="3"/>
      <c r="D9450" s="3"/>
      <c r="E9450" s="3"/>
      <c r="F9450" s="3"/>
      <c r="G9450" s="3"/>
      <c r="H9450" s="11"/>
      <c r="I9450" s="12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  <c r="AA9450" s="3"/>
      <c r="AB9450" s="3"/>
      <c r="AC9450" s="3"/>
      <c r="AD9450" s="3"/>
      <c r="AE9450" s="3"/>
      <c r="AF9450" s="3"/>
      <c r="AG9450" s="3"/>
      <c r="AH9450" s="3"/>
    </row>
    <row r="9451" spans="1:34" ht="14.25" customHeight="1" x14ac:dyDescent="0.25">
      <c r="A9451" s="3"/>
      <c r="B9451" s="3"/>
      <c r="C9451" s="3"/>
      <c r="D9451" s="3"/>
      <c r="E9451" s="3"/>
      <c r="F9451" s="3"/>
      <c r="G9451" s="3"/>
      <c r="H9451" s="11"/>
      <c r="I9451" s="12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  <c r="AA9451" s="3"/>
      <c r="AB9451" s="3"/>
      <c r="AC9451" s="3"/>
      <c r="AD9451" s="3"/>
      <c r="AE9451" s="3"/>
      <c r="AF9451" s="3"/>
      <c r="AG9451" s="3"/>
      <c r="AH9451" s="3"/>
    </row>
    <row r="9452" spans="1:34" ht="14.25" customHeight="1" x14ac:dyDescent="0.25">
      <c r="A9452" s="3"/>
      <c r="B9452" s="3"/>
      <c r="C9452" s="3"/>
      <c r="D9452" s="3"/>
      <c r="E9452" s="3"/>
      <c r="F9452" s="3"/>
      <c r="G9452" s="3"/>
      <c r="H9452" s="11"/>
      <c r="I9452" s="12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  <c r="AA9452" s="3"/>
      <c r="AB9452" s="3"/>
      <c r="AC9452" s="3"/>
      <c r="AD9452" s="3"/>
      <c r="AE9452" s="3"/>
      <c r="AF9452" s="3"/>
      <c r="AG9452" s="3"/>
      <c r="AH9452" s="3"/>
    </row>
    <row r="9453" spans="1:34" ht="14.25" customHeight="1" x14ac:dyDescent="0.25">
      <c r="A9453" s="3"/>
      <c r="B9453" s="3"/>
      <c r="C9453" s="3"/>
      <c r="D9453" s="3"/>
      <c r="E9453" s="3"/>
      <c r="F9453" s="3"/>
      <c r="G9453" s="3"/>
      <c r="H9453" s="11"/>
      <c r="I9453" s="12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  <c r="AA9453" s="3"/>
      <c r="AB9453" s="3"/>
      <c r="AC9453" s="3"/>
      <c r="AD9453" s="3"/>
      <c r="AE9453" s="3"/>
      <c r="AF9453" s="3"/>
      <c r="AG9453" s="3"/>
      <c r="AH9453" s="3"/>
    </row>
    <row r="9454" spans="1:34" ht="14.25" customHeight="1" x14ac:dyDescent="0.25">
      <c r="A9454" s="3"/>
      <c r="B9454" s="3"/>
      <c r="C9454" s="3"/>
      <c r="D9454" s="3"/>
      <c r="E9454" s="3"/>
      <c r="F9454" s="3"/>
      <c r="G9454" s="3"/>
      <c r="H9454" s="11"/>
      <c r="I9454" s="12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  <c r="AA9454" s="3"/>
      <c r="AB9454" s="3"/>
      <c r="AC9454" s="3"/>
      <c r="AD9454" s="3"/>
      <c r="AE9454" s="3"/>
      <c r="AF9454" s="3"/>
      <c r="AG9454" s="3"/>
      <c r="AH9454" s="3"/>
    </row>
    <row r="9455" spans="1:34" ht="14.25" customHeight="1" x14ac:dyDescent="0.25">
      <c r="A9455" s="3"/>
      <c r="B9455" s="3"/>
      <c r="C9455" s="3"/>
      <c r="D9455" s="3"/>
      <c r="E9455" s="3"/>
      <c r="F9455" s="3"/>
      <c r="G9455" s="3"/>
      <c r="H9455" s="11"/>
      <c r="I9455" s="12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  <c r="AA9455" s="3"/>
      <c r="AB9455" s="3"/>
      <c r="AC9455" s="3"/>
      <c r="AD9455" s="3"/>
      <c r="AE9455" s="3"/>
      <c r="AF9455" s="3"/>
      <c r="AG9455" s="3"/>
      <c r="AH9455" s="3"/>
    </row>
    <row r="9456" spans="1:34" ht="14.25" customHeight="1" x14ac:dyDescent="0.25">
      <c r="A9456" s="3"/>
      <c r="B9456" s="3"/>
      <c r="C9456" s="3"/>
      <c r="D9456" s="3"/>
      <c r="E9456" s="3"/>
      <c r="F9456" s="3"/>
      <c r="G9456" s="3"/>
      <c r="H9456" s="11"/>
      <c r="I9456" s="12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  <c r="AA9456" s="3"/>
      <c r="AB9456" s="3"/>
      <c r="AC9456" s="3"/>
      <c r="AD9456" s="3"/>
      <c r="AE9456" s="3"/>
      <c r="AF9456" s="3"/>
      <c r="AG9456" s="3"/>
      <c r="AH9456" s="3"/>
    </row>
    <row r="9457" spans="1:34" ht="14.25" customHeight="1" x14ac:dyDescent="0.25">
      <c r="A9457" s="3"/>
      <c r="B9457" s="3"/>
      <c r="C9457" s="3"/>
      <c r="D9457" s="3"/>
      <c r="E9457" s="3"/>
      <c r="F9457" s="3"/>
      <c r="G9457" s="3"/>
      <c r="H9457" s="11"/>
      <c r="I9457" s="12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  <c r="AA9457" s="3"/>
      <c r="AB9457" s="3"/>
      <c r="AC9457" s="3"/>
      <c r="AD9457" s="3"/>
      <c r="AE9457" s="3"/>
      <c r="AF9457" s="3"/>
      <c r="AG9457" s="3"/>
      <c r="AH9457" s="3"/>
    </row>
    <row r="9458" spans="1:34" ht="14.25" customHeight="1" x14ac:dyDescent="0.25">
      <c r="A9458" s="3"/>
      <c r="B9458" s="3"/>
      <c r="C9458" s="3"/>
      <c r="D9458" s="3"/>
      <c r="E9458" s="3"/>
      <c r="F9458" s="3"/>
      <c r="G9458" s="3"/>
      <c r="H9458" s="11"/>
      <c r="I9458" s="12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  <c r="AA9458" s="3"/>
      <c r="AB9458" s="3"/>
      <c r="AC9458" s="3"/>
      <c r="AD9458" s="3"/>
      <c r="AE9458" s="3"/>
      <c r="AF9458" s="3"/>
      <c r="AG9458" s="3"/>
      <c r="AH9458" s="3"/>
    </row>
    <row r="9459" spans="1:34" ht="14.25" customHeight="1" x14ac:dyDescent="0.25">
      <c r="A9459" s="3"/>
      <c r="B9459" s="3"/>
      <c r="C9459" s="3"/>
      <c r="D9459" s="3"/>
      <c r="E9459" s="3"/>
      <c r="F9459" s="3"/>
      <c r="G9459" s="3"/>
      <c r="H9459" s="11"/>
      <c r="I9459" s="12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  <c r="AA9459" s="3"/>
      <c r="AB9459" s="3"/>
      <c r="AC9459" s="3"/>
      <c r="AD9459" s="3"/>
      <c r="AE9459" s="3"/>
      <c r="AF9459" s="3"/>
      <c r="AG9459" s="3"/>
      <c r="AH9459" s="3"/>
    </row>
    <row r="9460" spans="1:34" ht="14.25" customHeight="1" x14ac:dyDescent="0.25">
      <c r="A9460" s="3"/>
      <c r="B9460" s="3"/>
      <c r="C9460" s="3"/>
      <c r="D9460" s="3"/>
      <c r="E9460" s="3"/>
      <c r="F9460" s="3"/>
      <c r="G9460" s="3"/>
      <c r="H9460" s="11"/>
      <c r="I9460" s="12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  <c r="AA9460" s="3"/>
      <c r="AB9460" s="3"/>
      <c r="AC9460" s="3"/>
      <c r="AD9460" s="3"/>
      <c r="AE9460" s="3"/>
      <c r="AF9460" s="3"/>
      <c r="AG9460" s="3"/>
      <c r="AH9460" s="3"/>
    </row>
    <row r="9461" spans="1:34" ht="14.25" customHeight="1" x14ac:dyDescent="0.25">
      <c r="A9461" s="3"/>
      <c r="B9461" s="3"/>
      <c r="C9461" s="3"/>
      <c r="D9461" s="3"/>
      <c r="E9461" s="3"/>
      <c r="F9461" s="3"/>
      <c r="G9461" s="3"/>
      <c r="H9461" s="11"/>
      <c r="I9461" s="12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  <c r="AA9461" s="3"/>
      <c r="AB9461" s="3"/>
      <c r="AC9461" s="3"/>
      <c r="AD9461" s="3"/>
      <c r="AE9461" s="3"/>
      <c r="AF9461" s="3"/>
      <c r="AG9461" s="3"/>
      <c r="AH9461" s="3"/>
    </row>
    <row r="9462" spans="1:34" ht="14.25" customHeight="1" x14ac:dyDescent="0.25">
      <c r="A9462" s="3"/>
      <c r="B9462" s="3"/>
      <c r="C9462" s="3"/>
      <c r="D9462" s="3"/>
      <c r="E9462" s="3"/>
      <c r="F9462" s="3"/>
      <c r="G9462" s="3"/>
      <c r="H9462" s="11"/>
      <c r="I9462" s="12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  <c r="AA9462" s="3"/>
      <c r="AB9462" s="3"/>
      <c r="AC9462" s="3"/>
      <c r="AD9462" s="3"/>
      <c r="AE9462" s="3"/>
      <c r="AF9462" s="3"/>
      <c r="AG9462" s="3"/>
      <c r="AH9462" s="3"/>
    </row>
    <row r="9463" spans="1:34" ht="14.25" customHeight="1" x14ac:dyDescent="0.25">
      <c r="A9463" s="3"/>
      <c r="B9463" s="3"/>
      <c r="C9463" s="3"/>
      <c r="D9463" s="3"/>
      <c r="E9463" s="3"/>
      <c r="F9463" s="3"/>
      <c r="G9463" s="3"/>
      <c r="H9463" s="11"/>
      <c r="I9463" s="12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  <c r="AA9463" s="3"/>
      <c r="AB9463" s="3"/>
      <c r="AC9463" s="3"/>
      <c r="AD9463" s="3"/>
      <c r="AE9463" s="3"/>
      <c r="AF9463" s="3"/>
      <c r="AG9463" s="3"/>
      <c r="AH9463" s="3"/>
    </row>
    <row r="9464" spans="1:34" ht="14.25" customHeight="1" x14ac:dyDescent="0.25">
      <c r="A9464" s="3"/>
      <c r="B9464" s="3"/>
      <c r="C9464" s="3"/>
      <c r="D9464" s="3"/>
      <c r="E9464" s="3"/>
      <c r="F9464" s="3"/>
      <c r="G9464" s="3"/>
      <c r="H9464" s="11"/>
      <c r="I9464" s="12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  <c r="AA9464" s="3"/>
      <c r="AB9464" s="3"/>
      <c r="AC9464" s="3"/>
      <c r="AD9464" s="3"/>
      <c r="AE9464" s="3"/>
      <c r="AF9464" s="3"/>
      <c r="AG9464" s="3"/>
      <c r="AH9464" s="3"/>
    </row>
    <row r="9465" spans="1:34" ht="14.25" customHeight="1" x14ac:dyDescent="0.25">
      <c r="A9465" s="3"/>
      <c r="B9465" s="3"/>
      <c r="C9465" s="3"/>
      <c r="D9465" s="3"/>
      <c r="E9465" s="3"/>
      <c r="F9465" s="3"/>
      <c r="G9465" s="3"/>
      <c r="H9465" s="11"/>
      <c r="I9465" s="12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  <c r="AA9465" s="3"/>
      <c r="AB9465" s="3"/>
      <c r="AC9465" s="3"/>
      <c r="AD9465" s="3"/>
      <c r="AE9465" s="3"/>
      <c r="AF9465" s="3"/>
      <c r="AG9465" s="3"/>
      <c r="AH9465" s="3"/>
    </row>
    <row r="9466" spans="1:34" ht="14.25" customHeight="1" x14ac:dyDescent="0.25">
      <c r="A9466" s="3"/>
      <c r="B9466" s="3"/>
      <c r="C9466" s="3"/>
      <c r="D9466" s="3"/>
      <c r="E9466" s="3"/>
      <c r="F9466" s="3"/>
      <c r="G9466" s="3"/>
      <c r="H9466" s="11"/>
      <c r="I9466" s="12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  <c r="AA9466" s="3"/>
      <c r="AB9466" s="3"/>
      <c r="AC9466" s="3"/>
      <c r="AD9466" s="3"/>
      <c r="AE9466" s="3"/>
      <c r="AF9466" s="3"/>
      <c r="AG9466" s="3"/>
      <c r="AH9466" s="3"/>
    </row>
    <row r="9467" spans="1:34" ht="14.25" customHeight="1" x14ac:dyDescent="0.25">
      <c r="A9467" s="3"/>
      <c r="B9467" s="3"/>
      <c r="C9467" s="3"/>
      <c r="D9467" s="3"/>
      <c r="E9467" s="3"/>
      <c r="F9467" s="3"/>
      <c r="G9467" s="3"/>
      <c r="H9467" s="11"/>
      <c r="I9467" s="12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  <c r="AA9467" s="3"/>
      <c r="AB9467" s="3"/>
      <c r="AC9467" s="3"/>
      <c r="AD9467" s="3"/>
      <c r="AE9467" s="3"/>
      <c r="AF9467" s="3"/>
      <c r="AG9467" s="3"/>
      <c r="AH9467" s="3"/>
    </row>
    <row r="9468" spans="1:34" ht="14.25" customHeight="1" x14ac:dyDescent="0.25">
      <c r="A9468" s="3"/>
      <c r="B9468" s="3"/>
      <c r="C9468" s="3"/>
      <c r="D9468" s="3"/>
      <c r="E9468" s="3"/>
      <c r="F9468" s="3"/>
      <c r="G9468" s="3"/>
      <c r="H9468" s="11"/>
      <c r="I9468" s="12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  <c r="AA9468" s="3"/>
      <c r="AB9468" s="3"/>
      <c r="AC9468" s="3"/>
      <c r="AD9468" s="3"/>
      <c r="AE9468" s="3"/>
      <c r="AF9468" s="3"/>
      <c r="AG9468" s="3"/>
      <c r="AH9468" s="3"/>
    </row>
    <row r="9469" spans="1:34" ht="14.25" customHeight="1" x14ac:dyDescent="0.25">
      <c r="A9469" s="3"/>
      <c r="B9469" s="3"/>
      <c r="C9469" s="3"/>
      <c r="D9469" s="3"/>
      <c r="E9469" s="3"/>
      <c r="F9469" s="3"/>
      <c r="G9469" s="3"/>
      <c r="H9469" s="11"/>
      <c r="I9469" s="12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  <c r="AA9469" s="3"/>
      <c r="AB9469" s="3"/>
      <c r="AC9469" s="3"/>
      <c r="AD9469" s="3"/>
      <c r="AE9469" s="3"/>
      <c r="AF9469" s="3"/>
      <c r="AG9469" s="3"/>
      <c r="AH9469" s="3"/>
    </row>
    <row r="9470" spans="1:34" ht="14.25" customHeight="1" x14ac:dyDescent="0.25">
      <c r="A9470" s="3"/>
      <c r="B9470" s="3"/>
      <c r="C9470" s="3"/>
      <c r="D9470" s="3"/>
      <c r="E9470" s="3"/>
      <c r="F9470" s="3"/>
      <c r="G9470" s="3"/>
      <c r="H9470" s="11"/>
      <c r="I9470" s="12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  <c r="AA9470" s="3"/>
      <c r="AB9470" s="3"/>
      <c r="AC9470" s="3"/>
      <c r="AD9470" s="3"/>
      <c r="AE9470" s="3"/>
      <c r="AF9470" s="3"/>
      <c r="AG9470" s="3"/>
      <c r="AH9470" s="3"/>
    </row>
    <row r="9471" spans="1:34" ht="14.25" customHeight="1" x14ac:dyDescent="0.25">
      <c r="A9471" s="3"/>
      <c r="B9471" s="3"/>
      <c r="C9471" s="3"/>
      <c r="D9471" s="3"/>
      <c r="E9471" s="3"/>
      <c r="F9471" s="3"/>
      <c r="G9471" s="3"/>
      <c r="H9471" s="11"/>
      <c r="I9471" s="12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  <c r="AA9471" s="3"/>
      <c r="AB9471" s="3"/>
      <c r="AC9471" s="3"/>
      <c r="AD9471" s="3"/>
      <c r="AE9471" s="3"/>
      <c r="AF9471" s="3"/>
      <c r="AG9471" s="3"/>
      <c r="AH9471" s="3"/>
    </row>
    <row r="9472" spans="1:34" ht="14.25" customHeight="1" x14ac:dyDescent="0.25">
      <c r="A9472" s="3"/>
      <c r="B9472" s="3"/>
      <c r="C9472" s="3"/>
      <c r="D9472" s="3"/>
      <c r="E9472" s="3"/>
      <c r="F9472" s="3"/>
      <c r="G9472" s="3"/>
      <c r="H9472" s="11"/>
      <c r="I9472" s="12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  <c r="AA9472" s="3"/>
      <c r="AB9472" s="3"/>
      <c r="AC9472" s="3"/>
      <c r="AD9472" s="3"/>
      <c r="AE9472" s="3"/>
      <c r="AF9472" s="3"/>
      <c r="AG9472" s="3"/>
      <c r="AH9472" s="3"/>
    </row>
    <row r="9473" spans="1:34" ht="14.25" customHeight="1" x14ac:dyDescent="0.25">
      <c r="A9473" s="3"/>
      <c r="B9473" s="3"/>
      <c r="C9473" s="3"/>
      <c r="D9473" s="3"/>
      <c r="E9473" s="3"/>
      <c r="F9473" s="3"/>
      <c r="G9473" s="3"/>
      <c r="H9473" s="11"/>
      <c r="I9473" s="12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  <c r="AA9473" s="3"/>
      <c r="AB9473" s="3"/>
      <c r="AC9473" s="3"/>
      <c r="AD9473" s="3"/>
      <c r="AE9473" s="3"/>
      <c r="AF9473" s="3"/>
      <c r="AG9473" s="3"/>
      <c r="AH9473" s="3"/>
    </row>
    <row r="9474" spans="1:34" ht="14.25" customHeight="1" x14ac:dyDescent="0.25">
      <c r="A9474" s="3"/>
      <c r="B9474" s="3"/>
      <c r="C9474" s="3"/>
      <c r="D9474" s="3"/>
      <c r="E9474" s="3"/>
      <c r="F9474" s="3"/>
      <c r="G9474" s="3"/>
      <c r="H9474" s="11"/>
      <c r="I9474" s="12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  <c r="AA9474" s="3"/>
      <c r="AB9474" s="3"/>
      <c r="AC9474" s="3"/>
      <c r="AD9474" s="3"/>
      <c r="AE9474" s="3"/>
      <c r="AF9474" s="3"/>
      <c r="AG9474" s="3"/>
      <c r="AH9474" s="3"/>
    </row>
    <row r="9475" spans="1:34" ht="14.25" customHeight="1" x14ac:dyDescent="0.25">
      <c r="A9475" s="3"/>
      <c r="B9475" s="3"/>
      <c r="C9475" s="3"/>
      <c r="D9475" s="3"/>
      <c r="E9475" s="3"/>
      <c r="F9475" s="3"/>
      <c r="G9475" s="3"/>
      <c r="H9475" s="11"/>
      <c r="I9475" s="12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  <c r="AA9475" s="3"/>
      <c r="AB9475" s="3"/>
      <c r="AC9475" s="3"/>
      <c r="AD9475" s="3"/>
      <c r="AE9475" s="3"/>
      <c r="AF9475" s="3"/>
      <c r="AG9475" s="3"/>
      <c r="AH9475" s="3"/>
    </row>
    <row r="9476" spans="1:34" ht="14.25" customHeight="1" x14ac:dyDescent="0.25">
      <c r="A9476" s="3"/>
      <c r="B9476" s="3"/>
      <c r="C9476" s="3"/>
      <c r="D9476" s="3"/>
      <c r="E9476" s="3"/>
      <c r="F9476" s="3"/>
      <c r="G9476" s="3"/>
      <c r="H9476" s="11"/>
      <c r="I9476" s="12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  <c r="AA9476" s="3"/>
      <c r="AB9476" s="3"/>
      <c r="AC9476" s="3"/>
      <c r="AD9476" s="3"/>
      <c r="AE9476" s="3"/>
      <c r="AF9476" s="3"/>
      <c r="AG9476" s="3"/>
      <c r="AH9476" s="3"/>
    </row>
    <row r="9477" spans="1:34" ht="14.25" customHeight="1" x14ac:dyDescent="0.25">
      <c r="A9477" s="3"/>
      <c r="B9477" s="3"/>
      <c r="C9477" s="3"/>
      <c r="D9477" s="3"/>
      <c r="E9477" s="3"/>
      <c r="F9477" s="3"/>
      <c r="G9477" s="3"/>
      <c r="H9477" s="11"/>
      <c r="I9477" s="12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  <c r="AA9477" s="3"/>
      <c r="AB9477" s="3"/>
      <c r="AC9477" s="3"/>
      <c r="AD9477" s="3"/>
      <c r="AE9477" s="3"/>
      <c r="AF9477" s="3"/>
      <c r="AG9477" s="3"/>
      <c r="AH9477" s="3"/>
    </row>
    <row r="9478" spans="1:34" ht="14.25" customHeight="1" x14ac:dyDescent="0.25">
      <c r="A9478" s="3"/>
      <c r="B9478" s="3"/>
      <c r="C9478" s="3"/>
      <c r="D9478" s="3"/>
      <c r="E9478" s="3"/>
      <c r="F9478" s="3"/>
      <c r="G9478" s="3"/>
      <c r="H9478" s="11"/>
      <c r="I9478" s="12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  <c r="AA9478" s="3"/>
      <c r="AB9478" s="3"/>
      <c r="AC9478" s="3"/>
      <c r="AD9478" s="3"/>
      <c r="AE9478" s="3"/>
      <c r="AF9478" s="3"/>
      <c r="AG9478" s="3"/>
      <c r="AH9478" s="3"/>
    </row>
    <row r="9479" spans="1:34" ht="14.25" customHeight="1" x14ac:dyDescent="0.25">
      <c r="A9479" s="3"/>
      <c r="B9479" s="3"/>
      <c r="C9479" s="3"/>
      <c r="D9479" s="3"/>
      <c r="E9479" s="3"/>
      <c r="F9479" s="3"/>
      <c r="G9479" s="3"/>
      <c r="H9479" s="11"/>
      <c r="I9479" s="12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  <c r="AA9479" s="3"/>
      <c r="AB9479" s="3"/>
      <c r="AC9479" s="3"/>
      <c r="AD9479" s="3"/>
      <c r="AE9479" s="3"/>
      <c r="AF9479" s="3"/>
      <c r="AG9479" s="3"/>
      <c r="AH9479" s="3"/>
    </row>
    <row r="9480" spans="1:34" ht="14.25" customHeight="1" x14ac:dyDescent="0.25">
      <c r="A9480" s="3"/>
      <c r="B9480" s="3"/>
      <c r="C9480" s="3"/>
      <c r="D9480" s="3"/>
      <c r="E9480" s="3"/>
      <c r="F9480" s="3"/>
      <c r="G9480" s="3"/>
      <c r="H9480" s="11"/>
      <c r="I9480" s="12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  <c r="AA9480" s="3"/>
      <c r="AB9480" s="3"/>
      <c r="AC9480" s="3"/>
      <c r="AD9480" s="3"/>
      <c r="AE9480" s="3"/>
      <c r="AF9480" s="3"/>
      <c r="AG9480" s="3"/>
      <c r="AH9480" s="3"/>
    </row>
    <row r="9481" spans="1:34" ht="14.25" customHeight="1" x14ac:dyDescent="0.25">
      <c r="A9481" s="3"/>
      <c r="B9481" s="3"/>
      <c r="C9481" s="3"/>
      <c r="D9481" s="3"/>
      <c r="E9481" s="3"/>
      <c r="F9481" s="3"/>
      <c r="G9481" s="3"/>
      <c r="H9481" s="11"/>
      <c r="I9481" s="12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  <c r="AA9481" s="3"/>
      <c r="AB9481" s="3"/>
      <c r="AC9481" s="3"/>
      <c r="AD9481" s="3"/>
      <c r="AE9481" s="3"/>
      <c r="AF9481" s="3"/>
      <c r="AG9481" s="3"/>
      <c r="AH9481" s="3"/>
    </row>
    <row r="9482" spans="1:34" ht="14.25" customHeight="1" x14ac:dyDescent="0.25">
      <c r="A9482" s="3"/>
      <c r="B9482" s="3"/>
      <c r="C9482" s="3"/>
      <c r="D9482" s="3"/>
      <c r="E9482" s="3"/>
      <c r="F9482" s="3"/>
      <c r="G9482" s="3"/>
      <c r="H9482" s="11"/>
      <c r="I9482" s="12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  <c r="AA9482" s="3"/>
      <c r="AB9482" s="3"/>
      <c r="AC9482" s="3"/>
      <c r="AD9482" s="3"/>
      <c r="AE9482" s="3"/>
      <c r="AF9482" s="3"/>
      <c r="AG9482" s="3"/>
      <c r="AH9482" s="3"/>
    </row>
    <row r="9483" spans="1:34" ht="14.25" customHeight="1" x14ac:dyDescent="0.25">
      <c r="A9483" s="3"/>
      <c r="B9483" s="3"/>
      <c r="C9483" s="3"/>
      <c r="D9483" s="3"/>
      <c r="E9483" s="3"/>
      <c r="F9483" s="3"/>
      <c r="G9483" s="3"/>
      <c r="H9483" s="11"/>
      <c r="I9483" s="12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  <c r="AA9483" s="3"/>
      <c r="AB9483" s="3"/>
      <c r="AC9483" s="3"/>
      <c r="AD9483" s="3"/>
      <c r="AE9483" s="3"/>
      <c r="AF9483" s="3"/>
      <c r="AG9483" s="3"/>
      <c r="AH9483" s="3"/>
    </row>
    <row r="9484" spans="1:34" ht="14.25" customHeight="1" x14ac:dyDescent="0.25">
      <c r="A9484" s="3"/>
      <c r="B9484" s="3"/>
      <c r="C9484" s="3"/>
      <c r="D9484" s="3"/>
      <c r="E9484" s="3"/>
      <c r="F9484" s="3"/>
      <c r="G9484" s="3"/>
      <c r="H9484" s="11"/>
      <c r="I9484" s="12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  <c r="AA9484" s="3"/>
      <c r="AB9484" s="3"/>
      <c r="AC9484" s="3"/>
      <c r="AD9484" s="3"/>
      <c r="AE9484" s="3"/>
      <c r="AF9484" s="3"/>
      <c r="AG9484" s="3"/>
      <c r="AH9484" s="3"/>
    </row>
    <row r="9485" spans="1:34" ht="14.25" customHeight="1" x14ac:dyDescent="0.25">
      <c r="A9485" s="3"/>
      <c r="B9485" s="3"/>
      <c r="C9485" s="3"/>
      <c r="D9485" s="3"/>
      <c r="E9485" s="3"/>
      <c r="F9485" s="3"/>
      <c r="G9485" s="3"/>
      <c r="H9485" s="11"/>
      <c r="I9485" s="12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  <c r="AA9485" s="3"/>
      <c r="AB9485" s="3"/>
      <c r="AC9485" s="3"/>
      <c r="AD9485" s="3"/>
      <c r="AE9485" s="3"/>
      <c r="AF9485" s="3"/>
      <c r="AG9485" s="3"/>
      <c r="AH9485" s="3"/>
    </row>
    <row r="9486" spans="1:34" ht="14.25" customHeight="1" x14ac:dyDescent="0.25">
      <c r="A9486" s="3"/>
      <c r="B9486" s="3"/>
      <c r="C9486" s="3"/>
      <c r="D9486" s="3"/>
      <c r="E9486" s="3"/>
      <c r="F9486" s="3"/>
      <c r="G9486" s="3"/>
      <c r="H9486" s="11"/>
      <c r="I9486" s="12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  <c r="AA9486" s="3"/>
      <c r="AB9486" s="3"/>
      <c r="AC9486" s="3"/>
      <c r="AD9486" s="3"/>
      <c r="AE9486" s="3"/>
      <c r="AF9486" s="3"/>
      <c r="AG9486" s="3"/>
      <c r="AH9486" s="3"/>
    </row>
    <row r="9487" spans="1:34" ht="14.25" customHeight="1" x14ac:dyDescent="0.25">
      <c r="A9487" s="3"/>
      <c r="B9487" s="3"/>
      <c r="C9487" s="3"/>
      <c r="D9487" s="3"/>
      <c r="E9487" s="3"/>
      <c r="F9487" s="3"/>
      <c r="G9487" s="3"/>
      <c r="H9487" s="11"/>
      <c r="I9487" s="12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  <c r="AA9487" s="3"/>
      <c r="AB9487" s="3"/>
      <c r="AC9487" s="3"/>
      <c r="AD9487" s="3"/>
      <c r="AE9487" s="3"/>
      <c r="AF9487" s="3"/>
      <c r="AG9487" s="3"/>
      <c r="AH9487" s="3"/>
    </row>
    <row r="9488" spans="1:34" ht="14.25" customHeight="1" x14ac:dyDescent="0.25">
      <c r="A9488" s="3"/>
      <c r="B9488" s="3"/>
      <c r="C9488" s="3"/>
      <c r="D9488" s="3"/>
      <c r="E9488" s="3"/>
      <c r="F9488" s="3"/>
      <c r="G9488" s="3"/>
      <c r="H9488" s="11"/>
      <c r="I9488" s="12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  <c r="AA9488" s="3"/>
      <c r="AB9488" s="3"/>
      <c r="AC9488" s="3"/>
      <c r="AD9488" s="3"/>
      <c r="AE9488" s="3"/>
      <c r="AF9488" s="3"/>
      <c r="AG9488" s="3"/>
      <c r="AH9488" s="3"/>
    </row>
    <row r="9489" spans="1:34" ht="14.25" customHeight="1" x14ac:dyDescent="0.25">
      <c r="A9489" s="3"/>
      <c r="B9489" s="3"/>
      <c r="C9489" s="3"/>
      <c r="D9489" s="3"/>
      <c r="E9489" s="3"/>
      <c r="F9489" s="3"/>
      <c r="G9489" s="3"/>
      <c r="H9489" s="11"/>
      <c r="I9489" s="12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  <c r="AA9489" s="3"/>
      <c r="AB9489" s="3"/>
      <c r="AC9489" s="3"/>
      <c r="AD9489" s="3"/>
      <c r="AE9489" s="3"/>
      <c r="AF9489" s="3"/>
      <c r="AG9489" s="3"/>
      <c r="AH9489" s="3"/>
    </row>
    <row r="9490" spans="1:34" ht="14.25" customHeight="1" x14ac:dyDescent="0.25">
      <c r="A9490" s="3"/>
      <c r="B9490" s="3"/>
      <c r="C9490" s="3"/>
      <c r="D9490" s="3"/>
      <c r="E9490" s="3"/>
      <c r="F9490" s="3"/>
      <c r="G9490" s="3"/>
      <c r="H9490" s="11"/>
      <c r="I9490" s="12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  <c r="AA9490" s="3"/>
      <c r="AB9490" s="3"/>
      <c r="AC9490" s="3"/>
      <c r="AD9490" s="3"/>
      <c r="AE9490" s="3"/>
      <c r="AF9490" s="3"/>
      <c r="AG9490" s="3"/>
      <c r="AH9490" s="3"/>
    </row>
    <row r="9491" spans="1:34" ht="14.25" customHeight="1" x14ac:dyDescent="0.25">
      <c r="A9491" s="3"/>
      <c r="B9491" s="3"/>
      <c r="C9491" s="3"/>
      <c r="D9491" s="3"/>
      <c r="E9491" s="3"/>
      <c r="F9491" s="3"/>
      <c r="G9491" s="3"/>
      <c r="H9491" s="11"/>
      <c r="I9491" s="12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  <c r="AA9491" s="3"/>
      <c r="AB9491" s="3"/>
      <c r="AC9491" s="3"/>
      <c r="AD9491" s="3"/>
      <c r="AE9491" s="3"/>
      <c r="AF9491" s="3"/>
      <c r="AG9491" s="3"/>
      <c r="AH9491" s="3"/>
    </row>
    <row r="9492" spans="1:34" ht="14.25" customHeight="1" x14ac:dyDescent="0.25">
      <c r="A9492" s="3"/>
      <c r="B9492" s="3"/>
      <c r="C9492" s="3"/>
      <c r="D9492" s="3"/>
      <c r="E9492" s="3"/>
      <c r="F9492" s="3"/>
      <c r="G9492" s="3"/>
      <c r="H9492" s="11"/>
      <c r="I9492" s="12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  <c r="AA9492" s="3"/>
      <c r="AB9492" s="3"/>
      <c r="AC9492" s="3"/>
      <c r="AD9492" s="3"/>
      <c r="AE9492" s="3"/>
      <c r="AF9492" s="3"/>
      <c r="AG9492" s="3"/>
      <c r="AH9492" s="3"/>
    </row>
    <row r="9493" spans="1:34" ht="14.25" customHeight="1" x14ac:dyDescent="0.25">
      <c r="A9493" s="3"/>
      <c r="B9493" s="3"/>
      <c r="C9493" s="3"/>
      <c r="D9493" s="3"/>
      <c r="E9493" s="3"/>
      <c r="F9493" s="3"/>
      <c r="G9493" s="3"/>
      <c r="H9493" s="11"/>
      <c r="I9493" s="12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  <c r="AA9493" s="3"/>
      <c r="AB9493" s="3"/>
      <c r="AC9493" s="3"/>
      <c r="AD9493" s="3"/>
      <c r="AE9493" s="3"/>
      <c r="AF9493" s="3"/>
      <c r="AG9493" s="3"/>
      <c r="AH9493" s="3"/>
    </row>
    <row r="9494" spans="1:34" ht="14.25" customHeight="1" x14ac:dyDescent="0.25">
      <c r="A9494" s="3"/>
      <c r="B9494" s="3"/>
      <c r="C9494" s="3"/>
      <c r="D9494" s="3"/>
      <c r="E9494" s="3"/>
      <c r="F9494" s="3"/>
      <c r="G9494" s="3"/>
      <c r="H9494" s="11"/>
      <c r="I9494" s="12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  <c r="AA9494" s="3"/>
      <c r="AB9494" s="3"/>
      <c r="AC9494" s="3"/>
      <c r="AD9494" s="3"/>
      <c r="AE9494" s="3"/>
      <c r="AF9494" s="3"/>
      <c r="AG9494" s="3"/>
      <c r="AH9494" s="3"/>
    </row>
    <row r="9495" spans="1:34" ht="14.25" customHeight="1" x14ac:dyDescent="0.25">
      <c r="A9495" s="3"/>
      <c r="B9495" s="3"/>
      <c r="C9495" s="3"/>
      <c r="D9495" s="3"/>
      <c r="E9495" s="3"/>
      <c r="F9495" s="3"/>
      <c r="G9495" s="3"/>
      <c r="H9495" s="11"/>
      <c r="I9495" s="12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  <c r="AA9495" s="3"/>
      <c r="AB9495" s="3"/>
      <c r="AC9495" s="3"/>
      <c r="AD9495" s="3"/>
      <c r="AE9495" s="3"/>
      <c r="AF9495" s="3"/>
      <c r="AG9495" s="3"/>
      <c r="AH9495" s="3"/>
    </row>
    <row r="9496" spans="1:34" ht="14.25" customHeight="1" x14ac:dyDescent="0.25">
      <c r="A9496" s="3"/>
      <c r="B9496" s="3"/>
      <c r="C9496" s="3"/>
      <c r="D9496" s="3"/>
      <c r="E9496" s="3"/>
      <c r="F9496" s="3"/>
      <c r="G9496" s="3"/>
      <c r="H9496" s="11"/>
      <c r="I9496" s="12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  <c r="AA9496" s="3"/>
      <c r="AB9496" s="3"/>
      <c r="AC9496" s="3"/>
      <c r="AD9496" s="3"/>
      <c r="AE9496" s="3"/>
      <c r="AF9496" s="3"/>
      <c r="AG9496" s="3"/>
      <c r="AH9496" s="3"/>
    </row>
    <row r="9497" spans="1:34" ht="14.25" customHeight="1" x14ac:dyDescent="0.25">
      <c r="A9497" s="3"/>
      <c r="B9497" s="3"/>
      <c r="C9497" s="3"/>
      <c r="D9497" s="3"/>
      <c r="E9497" s="3"/>
      <c r="F9497" s="3"/>
      <c r="G9497" s="3"/>
      <c r="H9497" s="11"/>
      <c r="I9497" s="12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  <c r="AA9497" s="3"/>
      <c r="AB9497" s="3"/>
      <c r="AC9497" s="3"/>
      <c r="AD9497" s="3"/>
      <c r="AE9497" s="3"/>
      <c r="AF9497" s="3"/>
      <c r="AG9497" s="3"/>
      <c r="AH9497" s="3"/>
    </row>
    <row r="9498" spans="1:34" ht="14.25" customHeight="1" x14ac:dyDescent="0.25">
      <c r="A9498" s="3"/>
      <c r="B9498" s="3"/>
      <c r="C9498" s="3"/>
      <c r="D9498" s="3"/>
      <c r="E9498" s="3"/>
      <c r="F9498" s="3"/>
      <c r="G9498" s="3"/>
      <c r="H9498" s="11"/>
      <c r="I9498" s="12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  <c r="AA9498" s="3"/>
      <c r="AB9498" s="3"/>
      <c r="AC9498" s="3"/>
      <c r="AD9498" s="3"/>
      <c r="AE9498" s="3"/>
      <c r="AF9498" s="3"/>
      <c r="AG9498" s="3"/>
      <c r="AH9498" s="3"/>
    </row>
    <row r="9499" spans="1:34" ht="14.25" customHeight="1" x14ac:dyDescent="0.25">
      <c r="A9499" s="3"/>
      <c r="B9499" s="3"/>
      <c r="C9499" s="3"/>
      <c r="D9499" s="3"/>
      <c r="E9499" s="3"/>
      <c r="F9499" s="3"/>
      <c r="G9499" s="3"/>
      <c r="H9499" s="11"/>
      <c r="I9499" s="12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  <c r="AA9499" s="3"/>
      <c r="AB9499" s="3"/>
      <c r="AC9499" s="3"/>
      <c r="AD9499" s="3"/>
      <c r="AE9499" s="3"/>
      <c r="AF9499" s="3"/>
      <c r="AG9499" s="3"/>
      <c r="AH9499" s="3"/>
    </row>
    <row r="9500" spans="1:34" ht="14.25" customHeight="1" x14ac:dyDescent="0.25">
      <c r="A9500" s="3"/>
      <c r="B9500" s="3"/>
      <c r="C9500" s="3"/>
      <c r="D9500" s="3"/>
      <c r="E9500" s="3"/>
      <c r="F9500" s="3"/>
      <c r="G9500" s="3"/>
      <c r="H9500" s="11"/>
      <c r="I9500" s="12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  <c r="AA9500" s="3"/>
      <c r="AB9500" s="3"/>
      <c r="AC9500" s="3"/>
      <c r="AD9500" s="3"/>
      <c r="AE9500" s="3"/>
      <c r="AF9500" s="3"/>
      <c r="AG9500" s="3"/>
      <c r="AH9500" s="3"/>
    </row>
    <row r="9501" spans="1:34" ht="14.25" customHeight="1" x14ac:dyDescent="0.25">
      <c r="A9501" s="3"/>
      <c r="B9501" s="3"/>
      <c r="C9501" s="3"/>
      <c r="D9501" s="3"/>
      <c r="E9501" s="3"/>
      <c r="F9501" s="3"/>
      <c r="G9501" s="3"/>
      <c r="H9501" s="11"/>
      <c r="I9501" s="12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  <c r="AA9501" s="3"/>
      <c r="AB9501" s="3"/>
      <c r="AC9501" s="3"/>
      <c r="AD9501" s="3"/>
      <c r="AE9501" s="3"/>
      <c r="AF9501" s="3"/>
      <c r="AG9501" s="3"/>
      <c r="AH9501" s="3"/>
    </row>
    <row r="9502" spans="1:34" ht="14.25" customHeight="1" x14ac:dyDescent="0.25">
      <c r="A9502" s="3"/>
      <c r="B9502" s="3"/>
      <c r="C9502" s="3"/>
      <c r="D9502" s="3"/>
      <c r="E9502" s="3"/>
      <c r="F9502" s="3"/>
      <c r="G9502" s="3"/>
      <c r="H9502" s="11"/>
      <c r="I9502" s="12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  <c r="AA9502" s="3"/>
      <c r="AB9502" s="3"/>
      <c r="AC9502" s="3"/>
      <c r="AD9502" s="3"/>
      <c r="AE9502" s="3"/>
      <c r="AF9502" s="3"/>
      <c r="AG9502" s="3"/>
      <c r="AH9502" s="3"/>
    </row>
    <row r="9503" spans="1:34" ht="14.25" customHeight="1" x14ac:dyDescent="0.25">
      <c r="A9503" s="3"/>
      <c r="B9503" s="3"/>
      <c r="C9503" s="3"/>
      <c r="D9503" s="3"/>
      <c r="E9503" s="3"/>
      <c r="F9503" s="3"/>
      <c r="G9503" s="3"/>
      <c r="H9503" s="11"/>
      <c r="I9503" s="12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  <c r="AA9503" s="3"/>
      <c r="AB9503" s="3"/>
      <c r="AC9503" s="3"/>
      <c r="AD9503" s="3"/>
      <c r="AE9503" s="3"/>
      <c r="AF9503" s="3"/>
      <c r="AG9503" s="3"/>
      <c r="AH9503" s="3"/>
    </row>
    <row r="9504" spans="1:34" ht="14.25" customHeight="1" x14ac:dyDescent="0.25">
      <c r="A9504" s="3"/>
      <c r="B9504" s="3"/>
      <c r="C9504" s="3"/>
      <c r="D9504" s="3"/>
      <c r="E9504" s="3"/>
      <c r="F9504" s="3"/>
      <c r="G9504" s="3"/>
      <c r="H9504" s="11"/>
      <c r="I9504" s="12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  <c r="AA9504" s="3"/>
      <c r="AB9504" s="3"/>
      <c r="AC9504" s="3"/>
      <c r="AD9504" s="3"/>
      <c r="AE9504" s="3"/>
      <c r="AF9504" s="3"/>
      <c r="AG9504" s="3"/>
      <c r="AH9504" s="3"/>
    </row>
    <row r="9505" spans="1:34" ht="14.25" customHeight="1" x14ac:dyDescent="0.25">
      <c r="A9505" s="3"/>
      <c r="B9505" s="3"/>
      <c r="C9505" s="3"/>
      <c r="D9505" s="3"/>
      <c r="E9505" s="3"/>
      <c r="F9505" s="3"/>
      <c r="G9505" s="3"/>
      <c r="H9505" s="11"/>
      <c r="I9505" s="12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  <c r="AA9505" s="3"/>
      <c r="AB9505" s="3"/>
      <c r="AC9505" s="3"/>
      <c r="AD9505" s="3"/>
      <c r="AE9505" s="3"/>
      <c r="AF9505" s="3"/>
      <c r="AG9505" s="3"/>
      <c r="AH9505" s="3"/>
    </row>
    <row r="9506" spans="1:34" ht="14.25" customHeight="1" x14ac:dyDescent="0.25">
      <c r="A9506" s="3"/>
      <c r="B9506" s="3"/>
      <c r="C9506" s="3"/>
      <c r="D9506" s="3"/>
      <c r="E9506" s="3"/>
      <c r="F9506" s="3"/>
      <c r="G9506" s="3"/>
      <c r="H9506" s="11"/>
      <c r="I9506" s="12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  <c r="AA9506" s="3"/>
      <c r="AB9506" s="3"/>
      <c r="AC9506" s="3"/>
      <c r="AD9506" s="3"/>
      <c r="AE9506" s="3"/>
      <c r="AF9506" s="3"/>
      <c r="AG9506" s="3"/>
      <c r="AH9506" s="3"/>
    </row>
    <row r="9507" spans="1:34" ht="14.25" customHeight="1" x14ac:dyDescent="0.25">
      <c r="A9507" s="3"/>
      <c r="B9507" s="3"/>
      <c r="C9507" s="3"/>
      <c r="D9507" s="3"/>
      <c r="E9507" s="3"/>
      <c r="F9507" s="3"/>
      <c r="G9507" s="3"/>
      <c r="H9507" s="11"/>
      <c r="I9507" s="12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  <c r="AA9507" s="3"/>
      <c r="AB9507" s="3"/>
      <c r="AC9507" s="3"/>
      <c r="AD9507" s="3"/>
      <c r="AE9507" s="3"/>
      <c r="AF9507" s="3"/>
      <c r="AG9507" s="3"/>
      <c r="AH9507" s="3"/>
    </row>
    <row r="9508" spans="1:34" ht="14.25" customHeight="1" x14ac:dyDescent="0.25">
      <c r="A9508" s="3"/>
      <c r="B9508" s="3"/>
      <c r="C9508" s="3"/>
      <c r="D9508" s="3"/>
      <c r="E9508" s="3"/>
      <c r="F9508" s="3"/>
      <c r="G9508" s="3"/>
      <c r="H9508" s="11"/>
      <c r="I9508" s="12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  <c r="AA9508" s="3"/>
      <c r="AB9508" s="3"/>
      <c r="AC9508" s="3"/>
      <c r="AD9508" s="3"/>
      <c r="AE9508" s="3"/>
      <c r="AF9508" s="3"/>
      <c r="AG9508" s="3"/>
      <c r="AH9508" s="3"/>
    </row>
    <row r="9509" spans="1:34" ht="14.25" customHeight="1" x14ac:dyDescent="0.25">
      <c r="A9509" s="3"/>
      <c r="B9509" s="3"/>
      <c r="C9509" s="3"/>
      <c r="D9509" s="3"/>
      <c r="E9509" s="3"/>
      <c r="F9509" s="3"/>
      <c r="G9509" s="3"/>
      <c r="H9509" s="11"/>
      <c r="I9509" s="12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  <c r="AA9509" s="3"/>
      <c r="AB9509" s="3"/>
      <c r="AC9509" s="3"/>
      <c r="AD9509" s="3"/>
      <c r="AE9509" s="3"/>
      <c r="AF9509" s="3"/>
      <c r="AG9509" s="3"/>
      <c r="AH9509" s="3"/>
    </row>
    <row r="9510" spans="1:34" ht="14.25" customHeight="1" x14ac:dyDescent="0.25">
      <c r="A9510" s="3"/>
      <c r="B9510" s="3"/>
      <c r="C9510" s="3"/>
      <c r="D9510" s="3"/>
      <c r="E9510" s="3"/>
      <c r="F9510" s="3"/>
      <c r="G9510" s="3"/>
      <c r="H9510" s="11"/>
      <c r="I9510" s="12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  <c r="AA9510" s="3"/>
      <c r="AB9510" s="3"/>
      <c r="AC9510" s="3"/>
      <c r="AD9510" s="3"/>
      <c r="AE9510" s="3"/>
      <c r="AF9510" s="3"/>
      <c r="AG9510" s="3"/>
      <c r="AH9510" s="3"/>
    </row>
    <row r="9511" spans="1:34" ht="14.25" customHeight="1" x14ac:dyDescent="0.25">
      <c r="A9511" s="3"/>
      <c r="B9511" s="3"/>
      <c r="C9511" s="3"/>
      <c r="D9511" s="3"/>
      <c r="E9511" s="3"/>
      <c r="F9511" s="3"/>
      <c r="G9511" s="3"/>
      <c r="H9511" s="11"/>
      <c r="I9511" s="12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  <c r="AA9511" s="3"/>
      <c r="AB9511" s="3"/>
      <c r="AC9511" s="3"/>
      <c r="AD9511" s="3"/>
      <c r="AE9511" s="3"/>
      <c r="AF9511" s="3"/>
      <c r="AG9511" s="3"/>
      <c r="AH9511" s="3"/>
    </row>
    <row r="9512" spans="1:34" ht="14.25" customHeight="1" x14ac:dyDescent="0.25">
      <c r="A9512" s="3"/>
      <c r="B9512" s="3"/>
      <c r="C9512" s="3"/>
      <c r="D9512" s="3"/>
      <c r="E9512" s="3"/>
      <c r="F9512" s="3"/>
      <c r="G9512" s="3"/>
      <c r="H9512" s="11"/>
      <c r="I9512" s="12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  <c r="AA9512" s="3"/>
      <c r="AB9512" s="3"/>
      <c r="AC9512" s="3"/>
      <c r="AD9512" s="3"/>
      <c r="AE9512" s="3"/>
      <c r="AF9512" s="3"/>
      <c r="AG9512" s="3"/>
      <c r="AH9512" s="3"/>
    </row>
    <row r="9513" spans="1:34" ht="14.25" customHeight="1" x14ac:dyDescent="0.25">
      <c r="A9513" s="3"/>
      <c r="B9513" s="3"/>
      <c r="C9513" s="3"/>
      <c r="D9513" s="3"/>
      <c r="E9513" s="3"/>
      <c r="F9513" s="3"/>
      <c r="G9513" s="3"/>
      <c r="H9513" s="11"/>
      <c r="I9513" s="12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  <c r="AA9513" s="3"/>
      <c r="AB9513" s="3"/>
      <c r="AC9513" s="3"/>
      <c r="AD9513" s="3"/>
      <c r="AE9513" s="3"/>
      <c r="AF9513" s="3"/>
      <c r="AG9513" s="3"/>
      <c r="AH9513" s="3"/>
    </row>
    <row r="9514" spans="1:34" ht="14.25" customHeight="1" x14ac:dyDescent="0.25">
      <c r="A9514" s="3"/>
      <c r="B9514" s="3"/>
      <c r="C9514" s="3"/>
      <c r="D9514" s="3"/>
      <c r="E9514" s="3"/>
      <c r="F9514" s="3"/>
      <c r="G9514" s="3"/>
      <c r="H9514" s="11"/>
      <c r="I9514" s="12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  <c r="AA9514" s="3"/>
      <c r="AB9514" s="3"/>
      <c r="AC9514" s="3"/>
      <c r="AD9514" s="3"/>
      <c r="AE9514" s="3"/>
      <c r="AF9514" s="3"/>
      <c r="AG9514" s="3"/>
      <c r="AH9514" s="3"/>
    </row>
    <row r="9515" spans="1:34" ht="14.25" customHeight="1" x14ac:dyDescent="0.25">
      <c r="A9515" s="3"/>
      <c r="B9515" s="3"/>
      <c r="C9515" s="3"/>
      <c r="D9515" s="3"/>
      <c r="E9515" s="3"/>
      <c r="F9515" s="3"/>
      <c r="G9515" s="3"/>
      <c r="H9515" s="11"/>
      <c r="I9515" s="12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  <c r="AA9515" s="3"/>
      <c r="AB9515" s="3"/>
      <c r="AC9515" s="3"/>
      <c r="AD9515" s="3"/>
      <c r="AE9515" s="3"/>
      <c r="AF9515" s="3"/>
      <c r="AG9515" s="3"/>
      <c r="AH9515" s="3"/>
    </row>
    <row r="9516" spans="1:34" ht="14.25" customHeight="1" x14ac:dyDescent="0.25">
      <c r="A9516" s="3"/>
      <c r="B9516" s="3"/>
      <c r="C9516" s="3"/>
      <c r="D9516" s="3"/>
      <c r="E9516" s="3"/>
      <c r="F9516" s="3"/>
      <c r="G9516" s="3"/>
      <c r="H9516" s="11"/>
      <c r="I9516" s="12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  <c r="AA9516" s="3"/>
      <c r="AB9516" s="3"/>
      <c r="AC9516" s="3"/>
      <c r="AD9516" s="3"/>
      <c r="AE9516" s="3"/>
      <c r="AF9516" s="3"/>
      <c r="AG9516" s="3"/>
      <c r="AH9516" s="3"/>
    </row>
    <row r="9517" spans="1:34" ht="14.25" customHeight="1" x14ac:dyDescent="0.25">
      <c r="A9517" s="3"/>
      <c r="B9517" s="3"/>
      <c r="C9517" s="3"/>
      <c r="D9517" s="3"/>
      <c r="E9517" s="3"/>
      <c r="F9517" s="3"/>
      <c r="G9517" s="3"/>
      <c r="H9517" s="11"/>
      <c r="I9517" s="12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  <c r="AA9517" s="3"/>
      <c r="AB9517" s="3"/>
      <c r="AC9517" s="3"/>
      <c r="AD9517" s="3"/>
      <c r="AE9517" s="3"/>
      <c r="AF9517" s="3"/>
      <c r="AG9517" s="3"/>
      <c r="AH9517" s="3"/>
    </row>
    <row r="9518" spans="1:34" ht="14.25" customHeight="1" x14ac:dyDescent="0.25">
      <c r="A9518" s="3"/>
      <c r="B9518" s="3"/>
      <c r="C9518" s="3"/>
      <c r="D9518" s="3"/>
      <c r="E9518" s="3"/>
      <c r="F9518" s="3"/>
      <c r="G9518" s="3"/>
      <c r="H9518" s="11"/>
      <c r="I9518" s="12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  <c r="AA9518" s="3"/>
      <c r="AB9518" s="3"/>
      <c r="AC9518" s="3"/>
      <c r="AD9518" s="3"/>
      <c r="AE9518" s="3"/>
      <c r="AF9518" s="3"/>
      <c r="AG9518" s="3"/>
      <c r="AH9518" s="3"/>
    </row>
    <row r="9519" spans="1:34" ht="14.25" customHeight="1" x14ac:dyDescent="0.25">
      <c r="A9519" s="3"/>
      <c r="B9519" s="3"/>
      <c r="C9519" s="3"/>
      <c r="D9519" s="3"/>
      <c r="E9519" s="3"/>
      <c r="F9519" s="3"/>
      <c r="G9519" s="3"/>
      <c r="H9519" s="11"/>
      <c r="I9519" s="12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  <c r="AA9519" s="3"/>
      <c r="AB9519" s="3"/>
      <c r="AC9519" s="3"/>
      <c r="AD9519" s="3"/>
      <c r="AE9519" s="3"/>
      <c r="AF9519" s="3"/>
      <c r="AG9519" s="3"/>
      <c r="AH9519" s="3"/>
    </row>
    <row r="9520" spans="1:34" ht="14.25" customHeight="1" x14ac:dyDescent="0.25">
      <c r="A9520" s="3"/>
      <c r="B9520" s="3"/>
      <c r="C9520" s="3"/>
      <c r="D9520" s="3"/>
      <c r="E9520" s="3"/>
      <c r="F9520" s="3"/>
      <c r="G9520" s="3"/>
      <c r="H9520" s="11"/>
      <c r="I9520" s="12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  <c r="AA9520" s="3"/>
      <c r="AB9520" s="3"/>
      <c r="AC9520" s="3"/>
      <c r="AD9520" s="3"/>
      <c r="AE9520" s="3"/>
      <c r="AF9520" s="3"/>
      <c r="AG9520" s="3"/>
      <c r="AH9520" s="3"/>
    </row>
    <row r="9521" spans="1:34" ht="14.25" customHeight="1" x14ac:dyDescent="0.25">
      <c r="A9521" s="3"/>
      <c r="B9521" s="3"/>
      <c r="C9521" s="3"/>
      <c r="D9521" s="3"/>
      <c r="E9521" s="3"/>
      <c r="F9521" s="3"/>
      <c r="G9521" s="3"/>
      <c r="H9521" s="11"/>
      <c r="I9521" s="12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  <c r="AA9521" s="3"/>
      <c r="AB9521" s="3"/>
      <c r="AC9521" s="3"/>
      <c r="AD9521" s="3"/>
      <c r="AE9521" s="3"/>
      <c r="AF9521" s="3"/>
      <c r="AG9521" s="3"/>
      <c r="AH9521" s="3"/>
    </row>
    <row r="9522" spans="1:34" ht="14.25" customHeight="1" x14ac:dyDescent="0.25">
      <c r="A9522" s="3"/>
      <c r="B9522" s="3"/>
      <c r="C9522" s="3"/>
      <c r="D9522" s="3"/>
      <c r="E9522" s="3"/>
      <c r="F9522" s="3"/>
      <c r="G9522" s="3"/>
      <c r="H9522" s="11"/>
      <c r="I9522" s="12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  <c r="AA9522" s="3"/>
      <c r="AB9522" s="3"/>
      <c r="AC9522" s="3"/>
      <c r="AD9522" s="3"/>
      <c r="AE9522" s="3"/>
      <c r="AF9522" s="3"/>
      <c r="AG9522" s="3"/>
      <c r="AH9522" s="3"/>
    </row>
    <row r="9523" spans="1:34" ht="14.25" customHeight="1" x14ac:dyDescent="0.25">
      <c r="A9523" s="3"/>
      <c r="B9523" s="3"/>
      <c r="C9523" s="3"/>
      <c r="D9523" s="3"/>
      <c r="E9523" s="3"/>
      <c r="F9523" s="3"/>
      <c r="G9523" s="3"/>
      <c r="H9523" s="11"/>
      <c r="I9523" s="12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  <c r="AA9523" s="3"/>
      <c r="AB9523" s="3"/>
      <c r="AC9523" s="3"/>
      <c r="AD9523" s="3"/>
      <c r="AE9523" s="3"/>
      <c r="AF9523" s="3"/>
      <c r="AG9523" s="3"/>
      <c r="AH9523" s="3"/>
    </row>
    <row r="9524" spans="1:34" ht="14.25" customHeight="1" x14ac:dyDescent="0.25">
      <c r="A9524" s="3"/>
      <c r="B9524" s="3"/>
      <c r="C9524" s="3"/>
      <c r="D9524" s="3"/>
      <c r="E9524" s="3"/>
      <c r="F9524" s="3"/>
      <c r="G9524" s="3"/>
      <c r="H9524" s="11"/>
      <c r="I9524" s="12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  <c r="AA9524" s="3"/>
      <c r="AB9524" s="3"/>
      <c r="AC9524" s="3"/>
      <c r="AD9524" s="3"/>
      <c r="AE9524" s="3"/>
      <c r="AF9524" s="3"/>
      <c r="AG9524" s="3"/>
      <c r="AH9524" s="3"/>
    </row>
    <row r="9525" spans="1:34" ht="14.25" customHeight="1" x14ac:dyDescent="0.25">
      <c r="A9525" s="3"/>
      <c r="B9525" s="3"/>
      <c r="C9525" s="3"/>
      <c r="D9525" s="3"/>
      <c r="E9525" s="3"/>
      <c r="F9525" s="3"/>
      <c r="G9525" s="3"/>
      <c r="H9525" s="11"/>
      <c r="I9525" s="12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  <c r="AA9525" s="3"/>
      <c r="AB9525" s="3"/>
      <c r="AC9525" s="3"/>
      <c r="AD9525" s="3"/>
      <c r="AE9525" s="3"/>
      <c r="AF9525" s="3"/>
      <c r="AG9525" s="3"/>
      <c r="AH9525" s="3"/>
    </row>
    <row r="9526" spans="1:34" ht="14.25" customHeight="1" x14ac:dyDescent="0.25">
      <c r="A9526" s="3"/>
      <c r="B9526" s="3"/>
      <c r="C9526" s="3"/>
      <c r="D9526" s="3"/>
      <c r="E9526" s="3"/>
      <c r="F9526" s="3"/>
      <c r="G9526" s="3"/>
      <c r="H9526" s="11"/>
      <c r="I9526" s="12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  <c r="AA9526" s="3"/>
      <c r="AB9526" s="3"/>
      <c r="AC9526" s="3"/>
      <c r="AD9526" s="3"/>
      <c r="AE9526" s="3"/>
      <c r="AF9526" s="3"/>
      <c r="AG9526" s="3"/>
      <c r="AH9526" s="3"/>
    </row>
    <row r="9527" spans="1:34" ht="14.25" customHeight="1" x14ac:dyDescent="0.25">
      <c r="A9527" s="3"/>
      <c r="B9527" s="3"/>
      <c r="C9527" s="3"/>
      <c r="D9527" s="3"/>
      <c r="E9527" s="3"/>
      <c r="F9527" s="3"/>
      <c r="G9527" s="3"/>
      <c r="H9527" s="11"/>
      <c r="I9527" s="12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  <c r="AA9527" s="3"/>
      <c r="AB9527" s="3"/>
      <c r="AC9527" s="3"/>
      <c r="AD9527" s="3"/>
      <c r="AE9527" s="3"/>
      <c r="AF9527" s="3"/>
      <c r="AG9527" s="3"/>
      <c r="AH9527" s="3"/>
    </row>
    <row r="9528" spans="1:34" ht="14.25" customHeight="1" x14ac:dyDescent="0.25">
      <c r="A9528" s="3"/>
      <c r="B9528" s="3"/>
      <c r="C9528" s="3"/>
      <c r="D9528" s="3"/>
      <c r="E9528" s="3"/>
      <c r="F9528" s="3"/>
      <c r="G9528" s="3"/>
      <c r="H9528" s="11"/>
      <c r="I9528" s="12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  <c r="AA9528" s="3"/>
      <c r="AB9528" s="3"/>
      <c r="AC9528" s="3"/>
      <c r="AD9528" s="3"/>
      <c r="AE9528" s="3"/>
      <c r="AF9528" s="3"/>
      <c r="AG9528" s="3"/>
      <c r="AH9528" s="3"/>
    </row>
    <row r="9529" spans="1:34" ht="14.25" customHeight="1" x14ac:dyDescent="0.25">
      <c r="A9529" s="3"/>
      <c r="B9529" s="3"/>
      <c r="C9529" s="3"/>
      <c r="D9529" s="3"/>
      <c r="E9529" s="3"/>
      <c r="F9529" s="3"/>
      <c r="G9529" s="3"/>
      <c r="H9529" s="11"/>
      <c r="I9529" s="12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  <c r="AA9529" s="3"/>
      <c r="AB9529" s="3"/>
      <c r="AC9529" s="3"/>
      <c r="AD9529" s="3"/>
      <c r="AE9529" s="3"/>
      <c r="AF9529" s="3"/>
      <c r="AG9529" s="3"/>
      <c r="AH9529" s="3"/>
    </row>
    <row r="9530" spans="1:34" ht="14.25" customHeight="1" x14ac:dyDescent="0.25">
      <c r="A9530" s="3"/>
      <c r="B9530" s="3"/>
      <c r="C9530" s="3"/>
      <c r="D9530" s="3"/>
      <c r="E9530" s="3"/>
      <c r="F9530" s="3"/>
      <c r="G9530" s="3"/>
      <c r="H9530" s="11"/>
      <c r="I9530" s="12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  <c r="AA9530" s="3"/>
      <c r="AB9530" s="3"/>
      <c r="AC9530" s="3"/>
      <c r="AD9530" s="3"/>
      <c r="AE9530" s="3"/>
      <c r="AF9530" s="3"/>
      <c r="AG9530" s="3"/>
      <c r="AH9530" s="3"/>
    </row>
    <row r="9531" spans="1:34" ht="14.25" customHeight="1" x14ac:dyDescent="0.25">
      <c r="A9531" s="3"/>
      <c r="B9531" s="3"/>
      <c r="C9531" s="3"/>
      <c r="D9531" s="3"/>
      <c r="E9531" s="3"/>
      <c r="F9531" s="3"/>
      <c r="G9531" s="3"/>
      <c r="H9531" s="11"/>
      <c r="I9531" s="12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  <c r="AA9531" s="3"/>
      <c r="AB9531" s="3"/>
      <c r="AC9531" s="3"/>
      <c r="AD9531" s="3"/>
      <c r="AE9531" s="3"/>
      <c r="AF9531" s="3"/>
      <c r="AG9531" s="3"/>
      <c r="AH9531" s="3"/>
    </row>
    <row r="9532" spans="1:34" ht="14.25" customHeight="1" x14ac:dyDescent="0.25">
      <c r="A9532" s="3"/>
      <c r="B9532" s="3"/>
      <c r="C9532" s="3"/>
      <c r="D9532" s="3"/>
      <c r="E9532" s="3"/>
      <c r="F9532" s="3"/>
      <c r="G9532" s="3"/>
      <c r="H9532" s="11"/>
      <c r="I9532" s="12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  <c r="AA9532" s="3"/>
      <c r="AB9532" s="3"/>
      <c r="AC9532" s="3"/>
      <c r="AD9532" s="3"/>
      <c r="AE9532" s="3"/>
      <c r="AF9532" s="3"/>
      <c r="AG9532" s="3"/>
      <c r="AH9532" s="3"/>
    </row>
    <row r="9533" spans="1:34" ht="14.25" customHeight="1" x14ac:dyDescent="0.25">
      <c r="A9533" s="3"/>
      <c r="B9533" s="3"/>
      <c r="C9533" s="3"/>
      <c r="D9533" s="3"/>
      <c r="E9533" s="3"/>
      <c r="F9533" s="3"/>
      <c r="G9533" s="3"/>
      <c r="H9533" s="11"/>
      <c r="I9533" s="12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  <c r="AA9533" s="3"/>
      <c r="AB9533" s="3"/>
      <c r="AC9533" s="3"/>
      <c r="AD9533" s="3"/>
      <c r="AE9533" s="3"/>
      <c r="AF9533" s="3"/>
      <c r="AG9533" s="3"/>
      <c r="AH9533" s="3"/>
    </row>
    <row r="9534" spans="1:34" ht="14.25" customHeight="1" x14ac:dyDescent="0.25">
      <c r="A9534" s="3"/>
      <c r="B9534" s="3"/>
      <c r="C9534" s="3"/>
      <c r="D9534" s="3"/>
      <c r="E9534" s="3"/>
      <c r="F9534" s="3"/>
      <c r="G9534" s="3"/>
      <c r="H9534" s="11"/>
      <c r="I9534" s="12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  <c r="AA9534" s="3"/>
      <c r="AB9534" s="3"/>
      <c r="AC9534" s="3"/>
      <c r="AD9534" s="3"/>
      <c r="AE9534" s="3"/>
      <c r="AF9534" s="3"/>
      <c r="AG9534" s="3"/>
      <c r="AH9534" s="3"/>
    </row>
    <row r="9535" spans="1:34" ht="14.25" customHeight="1" x14ac:dyDescent="0.25">
      <c r="A9535" s="3"/>
      <c r="B9535" s="3"/>
      <c r="C9535" s="3"/>
      <c r="D9535" s="3"/>
      <c r="E9535" s="3"/>
      <c r="F9535" s="3"/>
      <c r="G9535" s="3"/>
      <c r="H9535" s="11"/>
      <c r="I9535" s="12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  <c r="AA9535" s="3"/>
      <c r="AB9535" s="3"/>
      <c r="AC9535" s="3"/>
      <c r="AD9535" s="3"/>
      <c r="AE9535" s="3"/>
      <c r="AF9535" s="3"/>
      <c r="AG9535" s="3"/>
      <c r="AH9535" s="3"/>
    </row>
    <row r="9536" spans="1:34" ht="14.25" customHeight="1" x14ac:dyDescent="0.25">
      <c r="A9536" s="3"/>
      <c r="B9536" s="3"/>
      <c r="C9536" s="3"/>
      <c r="D9536" s="3"/>
      <c r="E9536" s="3"/>
      <c r="F9536" s="3"/>
      <c r="G9536" s="3"/>
      <c r="H9536" s="11"/>
      <c r="I9536" s="12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  <c r="AA9536" s="3"/>
      <c r="AB9536" s="3"/>
      <c r="AC9536" s="3"/>
      <c r="AD9536" s="3"/>
      <c r="AE9536" s="3"/>
      <c r="AF9536" s="3"/>
      <c r="AG9536" s="3"/>
      <c r="AH9536" s="3"/>
    </row>
    <row r="9537" spans="1:34" ht="14.25" customHeight="1" x14ac:dyDescent="0.25">
      <c r="A9537" s="3"/>
      <c r="B9537" s="3"/>
      <c r="C9537" s="3"/>
      <c r="D9537" s="3"/>
      <c r="E9537" s="3"/>
      <c r="F9537" s="3"/>
      <c r="G9537" s="3"/>
      <c r="H9537" s="11"/>
      <c r="I9537" s="12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  <c r="AA9537" s="3"/>
      <c r="AB9537" s="3"/>
      <c r="AC9537" s="3"/>
      <c r="AD9537" s="3"/>
      <c r="AE9537" s="3"/>
      <c r="AF9537" s="3"/>
      <c r="AG9537" s="3"/>
      <c r="AH9537" s="3"/>
    </row>
    <row r="9538" spans="1:34" ht="14.25" customHeight="1" x14ac:dyDescent="0.25">
      <c r="A9538" s="3"/>
      <c r="B9538" s="3"/>
      <c r="C9538" s="3"/>
      <c r="D9538" s="3"/>
      <c r="E9538" s="3"/>
      <c r="F9538" s="3"/>
      <c r="G9538" s="3"/>
      <c r="H9538" s="11"/>
      <c r="I9538" s="12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  <c r="AA9538" s="3"/>
      <c r="AB9538" s="3"/>
      <c r="AC9538" s="3"/>
      <c r="AD9538" s="3"/>
      <c r="AE9538" s="3"/>
      <c r="AF9538" s="3"/>
      <c r="AG9538" s="3"/>
      <c r="AH9538" s="3"/>
    </row>
    <row r="9539" spans="1:34" ht="14.25" customHeight="1" x14ac:dyDescent="0.25">
      <c r="A9539" s="3"/>
      <c r="B9539" s="3"/>
      <c r="C9539" s="3"/>
      <c r="D9539" s="3"/>
      <c r="E9539" s="3"/>
      <c r="F9539" s="3"/>
      <c r="G9539" s="3"/>
      <c r="H9539" s="11"/>
      <c r="I9539" s="12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  <c r="AA9539" s="3"/>
      <c r="AB9539" s="3"/>
      <c r="AC9539" s="3"/>
      <c r="AD9539" s="3"/>
      <c r="AE9539" s="3"/>
      <c r="AF9539" s="3"/>
      <c r="AG9539" s="3"/>
      <c r="AH9539" s="3"/>
    </row>
    <row r="9540" spans="1:34" ht="14.25" customHeight="1" x14ac:dyDescent="0.25">
      <c r="A9540" s="3"/>
      <c r="B9540" s="3"/>
      <c r="C9540" s="3"/>
      <c r="D9540" s="3"/>
      <c r="E9540" s="3"/>
      <c r="F9540" s="3"/>
      <c r="G9540" s="3"/>
      <c r="H9540" s="11"/>
      <c r="I9540" s="12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  <c r="AA9540" s="3"/>
      <c r="AB9540" s="3"/>
      <c r="AC9540" s="3"/>
      <c r="AD9540" s="3"/>
      <c r="AE9540" s="3"/>
      <c r="AF9540" s="3"/>
      <c r="AG9540" s="3"/>
      <c r="AH9540" s="3"/>
    </row>
    <row r="9541" spans="1:34" ht="14.25" customHeight="1" x14ac:dyDescent="0.25">
      <c r="A9541" s="3"/>
      <c r="B9541" s="3"/>
      <c r="C9541" s="3"/>
      <c r="D9541" s="3"/>
      <c r="E9541" s="3"/>
      <c r="F9541" s="3"/>
      <c r="G9541" s="3"/>
      <c r="H9541" s="11"/>
      <c r="I9541" s="12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  <c r="AA9541" s="3"/>
      <c r="AB9541" s="3"/>
      <c r="AC9541" s="3"/>
      <c r="AD9541" s="3"/>
      <c r="AE9541" s="3"/>
      <c r="AF9541" s="3"/>
      <c r="AG9541" s="3"/>
      <c r="AH9541" s="3"/>
    </row>
    <row r="9542" spans="1:34" ht="14.25" customHeight="1" x14ac:dyDescent="0.25">
      <c r="A9542" s="3"/>
      <c r="B9542" s="3"/>
      <c r="C9542" s="3"/>
      <c r="D9542" s="3"/>
      <c r="E9542" s="3"/>
      <c r="F9542" s="3"/>
      <c r="G9542" s="3"/>
      <c r="H9542" s="11"/>
      <c r="I9542" s="12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  <c r="AA9542" s="3"/>
      <c r="AB9542" s="3"/>
      <c r="AC9542" s="3"/>
      <c r="AD9542" s="3"/>
      <c r="AE9542" s="3"/>
      <c r="AF9542" s="3"/>
      <c r="AG9542" s="3"/>
      <c r="AH9542" s="3"/>
    </row>
    <row r="9543" spans="1:34" ht="14.25" customHeight="1" x14ac:dyDescent="0.25">
      <c r="A9543" s="3"/>
      <c r="B9543" s="3"/>
      <c r="C9543" s="3"/>
      <c r="D9543" s="3"/>
      <c r="E9543" s="3"/>
      <c r="F9543" s="3"/>
      <c r="G9543" s="3"/>
      <c r="H9543" s="11"/>
      <c r="I9543" s="12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  <c r="AA9543" s="3"/>
      <c r="AB9543" s="3"/>
      <c r="AC9543" s="3"/>
      <c r="AD9543" s="3"/>
      <c r="AE9543" s="3"/>
      <c r="AF9543" s="3"/>
      <c r="AG9543" s="3"/>
      <c r="AH9543" s="3"/>
    </row>
    <row r="9544" spans="1:34" ht="14.25" customHeight="1" x14ac:dyDescent="0.25">
      <c r="A9544" s="3"/>
      <c r="B9544" s="3"/>
      <c r="C9544" s="3"/>
      <c r="D9544" s="3"/>
      <c r="E9544" s="3"/>
      <c r="F9544" s="3"/>
      <c r="G9544" s="3"/>
      <c r="H9544" s="11"/>
      <c r="I9544" s="12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  <c r="AA9544" s="3"/>
      <c r="AB9544" s="3"/>
      <c r="AC9544" s="3"/>
      <c r="AD9544" s="3"/>
      <c r="AE9544" s="3"/>
      <c r="AF9544" s="3"/>
      <c r="AG9544" s="3"/>
      <c r="AH9544" s="3"/>
    </row>
    <row r="9545" spans="1:34" ht="14.25" customHeight="1" x14ac:dyDescent="0.25">
      <c r="A9545" s="3"/>
      <c r="B9545" s="3"/>
      <c r="C9545" s="3"/>
      <c r="D9545" s="3"/>
      <c r="E9545" s="3"/>
      <c r="F9545" s="3"/>
      <c r="G9545" s="3"/>
      <c r="H9545" s="11"/>
      <c r="I9545" s="12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  <c r="AA9545" s="3"/>
      <c r="AB9545" s="3"/>
      <c r="AC9545" s="3"/>
      <c r="AD9545" s="3"/>
      <c r="AE9545" s="3"/>
      <c r="AF9545" s="3"/>
      <c r="AG9545" s="3"/>
      <c r="AH9545" s="3"/>
    </row>
    <row r="9546" spans="1:34" ht="14.25" customHeight="1" x14ac:dyDescent="0.25">
      <c r="A9546" s="3"/>
      <c r="B9546" s="3"/>
      <c r="C9546" s="3"/>
      <c r="D9546" s="3"/>
      <c r="E9546" s="3"/>
      <c r="F9546" s="3"/>
      <c r="G9546" s="3"/>
      <c r="H9546" s="11"/>
      <c r="I9546" s="12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  <c r="AA9546" s="3"/>
      <c r="AB9546" s="3"/>
      <c r="AC9546" s="3"/>
      <c r="AD9546" s="3"/>
      <c r="AE9546" s="3"/>
      <c r="AF9546" s="3"/>
      <c r="AG9546" s="3"/>
      <c r="AH9546" s="3"/>
    </row>
    <row r="9547" spans="1:34" ht="14.25" customHeight="1" x14ac:dyDescent="0.25">
      <c r="A9547" s="3"/>
      <c r="B9547" s="3"/>
      <c r="C9547" s="3"/>
      <c r="D9547" s="3"/>
      <c r="E9547" s="3"/>
      <c r="F9547" s="3"/>
      <c r="G9547" s="3"/>
      <c r="H9547" s="11"/>
      <c r="I9547" s="12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  <c r="AA9547" s="3"/>
      <c r="AB9547" s="3"/>
      <c r="AC9547" s="3"/>
      <c r="AD9547" s="3"/>
      <c r="AE9547" s="3"/>
      <c r="AF9547" s="3"/>
      <c r="AG9547" s="3"/>
      <c r="AH9547" s="3"/>
    </row>
    <row r="9548" spans="1:34" ht="14.25" customHeight="1" x14ac:dyDescent="0.25">
      <c r="A9548" s="3"/>
      <c r="B9548" s="3"/>
      <c r="C9548" s="3"/>
      <c r="D9548" s="3"/>
      <c r="E9548" s="3"/>
      <c r="F9548" s="3"/>
      <c r="G9548" s="3"/>
      <c r="H9548" s="11"/>
      <c r="I9548" s="12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  <c r="AA9548" s="3"/>
      <c r="AB9548" s="3"/>
      <c r="AC9548" s="3"/>
      <c r="AD9548" s="3"/>
      <c r="AE9548" s="3"/>
      <c r="AF9548" s="3"/>
      <c r="AG9548" s="3"/>
      <c r="AH9548" s="3"/>
    </row>
    <row r="9549" spans="1:34" ht="14.25" customHeight="1" x14ac:dyDescent="0.25">
      <c r="A9549" s="3"/>
      <c r="B9549" s="3"/>
      <c r="C9549" s="3"/>
      <c r="D9549" s="3"/>
      <c r="E9549" s="3"/>
      <c r="F9549" s="3"/>
      <c r="G9549" s="3"/>
      <c r="H9549" s="11"/>
      <c r="I9549" s="12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  <c r="AA9549" s="3"/>
      <c r="AB9549" s="3"/>
      <c r="AC9549" s="3"/>
      <c r="AD9549" s="3"/>
      <c r="AE9549" s="3"/>
      <c r="AF9549" s="3"/>
      <c r="AG9549" s="3"/>
      <c r="AH9549" s="3"/>
    </row>
    <row r="9550" spans="1:34" ht="14.25" customHeight="1" x14ac:dyDescent="0.25">
      <c r="A9550" s="3"/>
      <c r="B9550" s="3"/>
      <c r="C9550" s="3"/>
      <c r="D9550" s="3"/>
      <c r="E9550" s="3"/>
      <c r="F9550" s="3"/>
      <c r="G9550" s="3"/>
      <c r="H9550" s="11"/>
      <c r="I9550" s="12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  <c r="AA9550" s="3"/>
      <c r="AB9550" s="3"/>
      <c r="AC9550" s="3"/>
      <c r="AD9550" s="3"/>
      <c r="AE9550" s="3"/>
      <c r="AF9550" s="3"/>
      <c r="AG9550" s="3"/>
      <c r="AH9550" s="3"/>
    </row>
    <row r="9551" spans="1:34" ht="14.25" customHeight="1" x14ac:dyDescent="0.25">
      <c r="A9551" s="3"/>
      <c r="B9551" s="3"/>
      <c r="C9551" s="3"/>
      <c r="D9551" s="3"/>
      <c r="E9551" s="3"/>
      <c r="F9551" s="3"/>
      <c r="G9551" s="3"/>
      <c r="H9551" s="11"/>
      <c r="I9551" s="12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  <c r="AA9551" s="3"/>
      <c r="AB9551" s="3"/>
      <c r="AC9551" s="3"/>
      <c r="AD9551" s="3"/>
      <c r="AE9551" s="3"/>
      <c r="AF9551" s="3"/>
      <c r="AG9551" s="3"/>
      <c r="AH9551" s="3"/>
    </row>
    <row r="9552" spans="1:34" ht="14.25" customHeight="1" x14ac:dyDescent="0.25">
      <c r="A9552" s="3"/>
      <c r="B9552" s="3"/>
      <c r="C9552" s="3"/>
      <c r="D9552" s="3"/>
      <c r="E9552" s="3"/>
      <c r="F9552" s="3"/>
      <c r="G9552" s="3"/>
      <c r="H9552" s="11"/>
      <c r="I9552" s="12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  <c r="AA9552" s="3"/>
      <c r="AB9552" s="3"/>
      <c r="AC9552" s="3"/>
      <c r="AD9552" s="3"/>
      <c r="AE9552" s="3"/>
      <c r="AF9552" s="3"/>
      <c r="AG9552" s="3"/>
      <c r="AH9552" s="3"/>
    </row>
    <row r="9553" spans="1:34" ht="14.25" customHeight="1" x14ac:dyDescent="0.25">
      <c r="A9553" s="3"/>
      <c r="B9553" s="3"/>
      <c r="C9553" s="3"/>
      <c r="D9553" s="3"/>
      <c r="E9553" s="3"/>
      <c r="F9553" s="3"/>
      <c r="G9553" s="3"/>
      <c r="H9553" s="11"/>
      <c r="I9553" s="12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  <c r="AA9553" s="3"/>
      <c r="AB9553" s="3"/>
      <c r="AC9553" s="3"/>
      <c r="AD9553" s="3"/>
      <c r="AE9553" s="3"/>
      <c r="AF9553" s="3"/>
      <c r="AG9553" s="3"/>
      <c r="AH9553" s="3"/>
    </row>
    <row r="9554" spans="1:34" ht="14.25" customHeight="1" x14ac:dyDescent="0.25">
      <c r="A9554" s="3"/>
      <c r="B9554" s="3"/>
      <c r="C9554" s="3"/>
      <c r="D9554" s="3"/>
      <c r="E9554" s="3"/>
      <c r="F9554" s="3"/>
      <c r="G9554" s="3"/>
      <c r="H9554" s="11"/>
      <c r="I9554" s="12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  <c r="AA9554" s="3"/>
      <c r="AB9554" s="3"/>
      <c r="AC9554" s="3"/>
      <c r="AD9554" s="3"/>
      <c r="AE9554" s="3"/>
      <c r="AF9554" s="3"/>
      <c r="AG9554" s="3"/>
      <c r="AH9554" s="3"/>
    </row>
    <row r="9555" spans="1:34" ht="14.25" customHeight="1" x14ac:dyDescent="0.25">
      <c r="A9555" s="3"/>
      <c r="B9555" s="3"/>
      <c r="C9555" s="3"/>
      <c r="D9555" s="3"/>
      <c r="E9555" s="3"/>
      <c r="F9555" s="3"/>
      <c r="G9555" s="3"/>
      <c r="H9555" s="11"/>
      <c r="I9555" s="12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  <c r="AA9555" s="3"/>
      <c r="AB9555" s="3"/>
      <c r="AC9555" s="3"/>
      <c r="AD9555" s="3"/>
      <c r="AE9555" s="3"/>
      <c r="AF9555" s="3"/>
      <c r="AG9555" s="3"/>
      <c r="AH9555" s="3"/>
    </row>
    <row r="9556" spans="1:34" ht="14.25" customHeight="1" x14ac:dyDescent="0.25">
      <c r="A9556" s="3"/>
      <c r="B9556" s="3"/>
      <c r="C9556" s="3"/>
      <c r="D9556" s="3"/>
      <c r="E9556" s="3"/>
      <c r="F9556" s="3"/>
      <c r="G9556" s="3"/>
      <c r="H9556" s="11"/>
      <c r="I9556" s="12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  <c r="AA9556" s="3"/>
      <c r="AB9556" s="3"/>
      <c r="AC9556" s="3"/>
      <c r="AD9556" s="3"/>
      <c r="AE9556" s="3"/>
      <c r="AF9556" s="3"/>
      <c r="AG9556" s="3"/>
      <c r="AH9556" s="3"/>
    </row>
    <row r="9557" spans="1:34" ht="14.25" customHeight="1" x14ac:dyDescent="0.25">
      <c r="A9557" s="3"/>
      <c r="B9557" s="3"/>
      <c r="C9557" s="3"/>
      <c r="D9557" s="3"/>
      <c r="E9557" s="3"/>
      <c r="F9557" s="3"/>
      <c r="G9557" s="3"/>
      <c r="H9557" s="11"/>
      <c r="I9557" s="12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  <c r="AA9557" s="3"/>
      <c r="AB9557" s="3"/>
      <c r="AC9557" s="3"/>
      <c r="AD9557" s="3"/>
      <c r="AE9557" s="3"/>
      <c r="AF9557" s="3"/>
      <c r="AG9557" s="3"/>
      <c r="AH9557" s="3"/>
    </row>
    <row r="9558" spans="1:34" ht="14.25" customHeight="1" x14ac:dyDescent="0.25">
      <c r="A9558" s="3"/>
      <c r="B9558" s="3"/>
      <c r="C9558" s="3"/>
      <c r="D9558" s="3"/>
      <c r="E9558" s="3"/>
      <c r="F9558" s="3"/>
      <c r="G9558" s="3"/>
      <c r="H9558" s="11"/>
      <c r="I9558" s="12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  <c r="AA9558" s="3"/>
      <c r="AB9558" s="3"/>
      <c r="AC9558" s="3"/>
      <c r="AD9558" s="3"/>
      <c r="AE9558" s="3"/>
      <c r="AF9558" s="3"/>
      <c r="AG9558" s="3"/>
      <c r="AH9558" s="3"/>
    </row>
    <row r="9559" spans="1:34" ht="14.25" customHeight="1" x14ac:dyDescent="0.25">
      <c r="A9559" s="3"/>
      <c r="B9559" s="3"/>
      <c r="C9559" s="3"/>
      <c r="D9559" s="3"/>
      <c r="E9559" s="3"/>
      <c r="F9559" s="3"/>
      <c r="G9559" s="3"/>
      <c r="H9559" s="11"/>
      <c r="I9559" s="12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  <c r="AA9559" s="3"/>
      <c r="AB9559" s="3"/>
      <c r="AC9559" s="3"/>
      <c r="AD9559" s="3"/>
      <c r="AE9559" s="3"/>
      <c r="AF9559" s="3"/>
      <c r="AG9559" s="3"/>
      <c r="AH9559" s="3"/>
    </row>
    <row r="9560" spans="1:34" ht="14.25" customHeight="1" x14ac:dyDescent="0.25">
      <c r="A9560" s="3"/>
      <c r="B9560" s="3"/>
      <c r="C9560" s="3"/>
      <c r="D9560" s="3"/>
      <c r="E9560" s="3"/>
      <c r="F9560" s="3"/>
      <c r="G9560" s="3"/>
      <c r="H9560" s="11"/>
      <c r="I9560" s="12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  <c r="AA9560" s="3"/>
      <c r="AB9560" s="3"/>
      <c r="AC9560" s="3"/>
      <c r="AD9560" s="3"/>
      <c r="AE9560" s="3"/>
      <c r="AF9560" s="3"/>
      <c r="AG9560" s="3"/>
      <c r="AH9560" s="3"/>
    </row>
    <row r="9561" spans="1:34" ht="14.25" customHeight="1" x14ac:dyDescent="0.25">
      <c r="A9561" s="3"/>
      <c r="B9561" s="3"/>
      <c r="C9561" s="3"/>
      <c r="D9561" s="3"/>
      <c r="E9561" s="3"/>
      <c r="F9561" s="3"/>
      <c r="G9561" s="3"/>
      <c r="H9561" s="11"/>
      <c r="I9561" s="12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  <c r="AA9561" s="3"/>
      <c r="AB9561" s="3"/>
      <c r="AC9561" s="3"/>
      <c r="AD9561" s="3"/>
      <c r="AE9561" s="3"/>
      <c r="AF9561" s="3"/>
      <c r="AG9561" s="3"/>
      <c r="AH9561" s="3"/>
    </row>
    <row r="9562" spans="1:34" ht="14.25" customHeight="1" x14ac:dyDescent="0.25">
      <c r="A9562" s="3"/>
      <c r="B9562" s="3"/>
      <c r="C9562" s="3"/>
      <c r="D9562" s="3"/>
      <c r="E9562" s="3"/>
      <c r="F9562" s="3"/>
      <c r="G9562" s="3"/>
      <c r="H9562" s="11"/>
      <c r="I9562" s="12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  <c r="AA9562" s="3"/>
      <c r="AB9562" s="3"/>
      <c r="AC9562" s="3"/>
      <c r="AD9562" s="3"/>
      <c r="AE9562" s="3"/>
      <c r="AF9562" s="3"/>
      <c r="AG9562" s="3"/>
      <c r="AH9562" s="3"/>
    </row>
    <row r="9563" spans="1:34" ht="14.25" customHeight="1" x14ac:dyDescent="0.25">
      <c r="A9563" s="3"/>
      <c r="B9563" s="3"/>
      <c r="C9563" s="3"/>
      <c r="D9563" s="3"/>
      <c r="E9563" s="3"/>
      <c r="F9563" s="3"/>
      <c r="G9563" s="3"/>
      <c r="H9563" s="11"/>
      <c r="I9563" s="12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  <c r="AA9563" s="3"/>
      <c r="AB9563" s="3"/>
      <c r="AC9563" s="3"/>
      <c r="AD9563" s="3"/>
      <c r="AE9563" s="3"/>
      <c r="AF9563" s="3"/>
      <c r="AG9563" s="3"/>
      <c r="AH9563" s="3"/>
    </row>
    <row r="9564" spans="1:34" ht="14.25" customHeight="1" x14ac:dyDescent="0.25">
      <c r="A9564" s="3"/>
      <c r="B9564" s="3"/>
      <c r="C9564" s="3"/>
      <c r="D9564" s="3"/>
      <c r="E9564" s="3"/>
      <c r="F9564" s="3"/>
      <c r="G9564" s="3"/>
      <c r="H9564" s="11"/>
      <c r="I9564" s="12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  <c r="AA9564" s="3"/>
      <c r="AB9564" s="3"/>
      <c r="AC9564" s="3"/>
      <c r="AD9564" s="3"/>
      <c r="AE9564" s="3"/>
      <c r="AF9564" s="3"/>
      <c r="AG9564" s="3"/>
      <c r="AH9564" s="3"/>
    </row>
    <row r="9565" spans="1:34" ht="14.25" customHeight="1" x14ac:dyDescent="0.25">
      <c r="A9565" s="3"/>
      <c r="B9565" s="3"/>
      <c r="C9565" s="3"/>
      <c r="D9565" s="3"/>
      <c r="E9565" s="3"/>
      <c r="F9565" s="3"/>
      <c r="G9565" s="3"/>
      <c r="H9565" s="11"/>
      <c r="I9565" s="12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  <c r="AA9565" s="3"/>
      <c r="AB9565" s="3"/>
      <c r="AC9565" s="3"/>
      <c r="AD9565" s="3"/>
      <c r="AE9565" s="3"/>
      <c r="AF9565" s="3"/>
      <c r="AG9565" s="3"/>
      <c r="AH9565" s="3"/>
    </row>
    <row r="9566" spans="1:34" ht="14.25" customHeight="1" x14ac:dyDescent="0.25">
      <c r="A9566" s="3"/>
      <c r="B9566" s="3"/>
      <c r="C9566" s="3"/>
      <c r="D9566" s="3"/>
      <c r="E9566" s="3"/>
      <c r="F9566" s="3"/>
      <c r="G9566" s="3"/>
      <c r="H9566" s="11"/>
      <c r="I9566" s="12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  <c r="AA9566" s="3"/>
      <c r="AB9566" s="3"/>
      <c r="AC9566" s="3"/>
      <c r="AD9566" s="3"/>
      <c r="AE9566" s="3"/>
      <c r="AF9566" s="3"/>
      <c r="AG9566" s="3"/>
      <c r="AH9566" s="3"/>
    </row>
    <row r="9567" spans="1:34" ht="14.25" customHeight="1" x14ac:dyDescent="0.25">
      <c r="A9567" s="3"/>
      <c r="B9567" s="3"/>
      <c r="C9567" s="3"/>
      <c r="D9567" s="3"/>
      <c r="E9567" s="3"/>
      <c r="F9567" s="3"/>
      <c r="G9567" s="3"/>
      <c r="H9567" s="11"/>
      <c r="I9567" s="12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  <c r="AA9567" s="3"/>
      <c r="AB9567" s="3"/>
      <c r="AC9567" s="3"/>
      <c r="AD9567" s="3"/>
      <c r="AE9567" s="3"/>
      <c r="AF9567" s="3"/>
      <c r="AG9567" s="3"/>
      <c r="AH9567" s="3"/>
    </row>
    <row r="9568" spans="1:34" ht="14.25" customHeight="1" x14ac:dyDescent="0.25">
      <c r="A9568" s="3"/>
      <c r="B9568" s="3"/>
      <c r="C9568" s="3"/>
      <c r="D9568" s="3"/>
      <c r="E9568" s="3"/>
      <c r="F9568" s="3"/>
      <c r="G9568" s="3"/>
      <c r="H9568" s="11"/>
      <c r="I9568" s="12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  <c r="AA9568" s="3"/>
      <c r="AB9568" s="3"/>
      <c r="AC9568" s="3"/>
      <c r="AD9568" s="3"/>
      <c r="AE9568" s="3"/>
      <c r="AF9568" s="3"/>
      <c r="AG9568" s="3"/>
      <c r="AH9568" s="3"/>
    </row>
    <row r="9569" spans="1:34" ht="14.25" customHeight="1" x14ac:dyDescent="0.25">
      <c r="A9569" s="3"/>
      <c r="B9569" s="3"/>
      <c r="C9569" s="3"/>
      <c r="D9569" s="3"/>
      <c r="E9569" s="3"/>
      <c r="F9569" s="3"/>
      <c r="G9569" s="3"/>
      <c r="H9569" s="11"/>
      <c r="I9569" s="12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  <c r="AA9569" s="3"/>
      <c r="AB9569" s="3"/>
      <c r="AC9569" s="3"/>
      <c r="AD9569" s="3"/>
      <c r="AE9569" s="3"/>
      <c r="AF9569" s="3"/>
      <c r="AG9569" s="3"/>
      <c r="AH9569" s="3"/>
    </row>
    <row r="9570" spans="1:34" ht="14.25" customHeight="1" x14ac:dyDescent="0.25">
      <c r="A9570" s="3"/>
      <c r="B9570" s="3"/>
      <c r="C9570" s="3"/>
      <c r="D9570" s="3"/>
      <c r="E9570" s="3"/>
      <c r="F9570" s="3"/>
      <c r="G9570" s="3"/>
      <c r="H9570" s="11"/>
      <c r="I9570" s="12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  <c r="AA9570" s="3"/>
      <c r="AB9570" s="3"/>
      <c r="AC9570" s="3"/>
      <c r="AD9570" s="3"/>
      <c r="AE9570" s="3"/>
      <c r="AF9570" s="3"/>
      <c r="AG9570" s="3"/>
      <c r="AH9570" s="3"/>
    </row>
    <row r="9571" spans="1:34" ht="14.25" customHeight="1" x14ac:dyDescent="0.25">
      <c r="A9571" s="3"/>
      <c r="B9571" s="3"/>
      <c r="C9571" s="3"/>
      <c r="D9571" s="3"/>
      <c r="E9571" s="3"/>
      <c r="F9571" s="3"/>
      <c r="G9571" s="3"/>
      <c r="H9571" s="11"/>
      <c r="I9571" s="12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  <c r="AA9571" s="3"/>
      <c r="AB9571" s="3"/>
      <c r="AC9571" s="3"/>
      <c r="AD9571" s="3"/>
      <c r="AE9571" s="3"/>
      <c r="AF9571" s="3"/>
      <c r="AG9571" s="3"/>
      <c r="AH9571" s="3"/>
    </row>
    <row r="9572" spans="1:34" ht="14.25" customHeight="1" x14ac:dyDescent="0.25">
      <c r="A9572" s="3"/>
      <c r="B9572" s="3"/>
      <c r="C9572" s="3"/>
      <c r="D9572" s="3"/>
      <c r="E9572" s="3"/>
      <c r="F9572" s="3"/>
      <c r="G9572" s="3"/>
      <c r="H9572" s="11"/>
      <c r="I9572" s="12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  <c r="AA9572" s="3"/>
      <c r="AB9572" s="3"/>
      <c r="AC9572" s="3"/>
      <c r="AD9572" s="3"/>
      <c r="AE9572" s="3"/>
      <c r="AF9572" s="3"/>
      <c r="AG9572" s="3"/>
      <c r="AH9572" s="3"/>
    </row>
    <row r="9573" spans="1:34" ht="14.25" customHeight="1" x14ac:dyDescent="0.25">
      <c r="A9573" s="3"/>
      <c r="B9573" s="3"/>
      <c r="C9573" s="3"/>
      <c r="D9573" s="3"/>
      <c r="E9573" s="3"/>
      <c r="F9573" s="3"/>
      <c r="G9573" s="3"/>
      <c r="H9573" s="11"/>
      <c r="I9573" s="12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  <c r="AA9573" s="3"/>
      <c r="AB9573" s="3"/>
      <c r="AC9573" s="3"/>
      <c r="AD9573" s="3"/>
      <c r="AE9573" s="3"/>
      <c r="AF9573" s="3"/>
      <c r="AG9573" s="3"/>
      <c r="AH9573" s="3"/>
    </row>
    <row r="9574" spans="1:34" ht="14.25" customHeight="1" x14ac:dyDescent="0.25">
      <c r="A9574" s="3"/>
      <c r="B9574" s="3"/>
      <c r="C9574" s="3"/>
      <c r="D9574" s="3"/>
      <c r="E9574" s="3"/>
      <c r="F9574" s="3"/>
      <c r="G9574" s="3"/>
      <c r="H9574" s="11"/>
      <c r="I9574" s="12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  <c r="AA9574" s="3"/>
      <c r="AB9574" s="3"/>
      <c r="AC9574" s="3"/>
      <c r="AD9574" s="3"/>
      <c r="AE9574" s="3"/>
      <c r="AF9574" s="3"/>
      <c r="AG9574" s="3"/>
      <c r="AH9574" s="3"/>
    </row>
    <row r="9575" spans="1:34" ht="14.25" customHeight="1" x14ac:dyDescent="0.25">
      <c r="A9575" s="3"/>
      <c r="B9575" s="3"/>
      <c r="C9575" s="3"/>
      <c r="D9575" s="3"/>
      <c r="E9575" s="3"/>
      <c r="F9575" s="3"/>
      <c r="G9575" s="3"/>
      <c r="H9575" s="11"/>
      <c r="I9575" s="12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  <c r="AA9575" s="3"/>
      <c r="AB9575" s="3"/>
      <c r="AC9575" s="3"/>
      <c r="AD9575" s="3"/>
      <c r="AE9575" s="3"/>
      <c r="AF9575" s="3"/>
      <c r="AG9575" s="3"/>
      <c r="AH9575" s="3"/>
    </row>
    <row r="9576" spans="1:34" ht="14.25" customHeight="1" x14ac:dyDescent="0.25">
      <c r="A9576" s="3"/>
      <c r="B9576" s="3"/>
      <c r="C9576" s="3"/>
      <c r="D9576" s="3"/>
      <c r="E9576" s="3"/>
      <c r="F9576" s="3"/>
      <c r="G9576" s="3"/>
      <c r="H9576" s="11"/>
      <c r="I9576" s="12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  <c r="AA9576" s="3"/>
      <c r="AB9576" s="3"/>
      <c r="AC9576" s="3"/>
      <c r="AD9576" s="3"/>
      <c r="AE9576" s="3"/>
      <c r="AF9576" s="3"/>
      <c r="AG9576" s="3"/>
      <c r="AH9576" s="3"/>
    </row>
    <row r="9577" spans="1:34" ht="14.25" customHeight="1" x14ac:dyDescent="0.25">
      <c r="A9577" s="3"/>
      <c r="B9577" s="3"/>
      <c r="C9577" s="3"/>
      <c r="D9577" s="3"/>
      <c r="E9577" s="3"/>
      <c r="F9577" s="3"/>
      <c r="G9577" s="3"/>
      <c r="H9577" s="11"/>
      <c r="I9577" s="12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  <c r="AA9577" s="3"/>
      <c r="AB9577" s="3"/>
      <c r="AC9577" s="3"/>
      <c r="AD9577" s="3"/>
      <c r="AE9577" s="3"/>
      <c r="AF9577" s="3"/>
      <c r="AG9577" s="3"/>
      <c r="AH9577" s="3"/>
    </row>
    <row r="9578" spans="1:34" ht="14.25" customHeight="1" x14ac:dyDescent="0.25">
      <c r="A9578" s="3"/>
      <c r="B9578" s="3"/>
      <c r="C9578" s="3"/>
      <c r="D9578" s="3"/>
      <c r="E9578" s="3"/>
      <c r="F9578" s="3"/>
      <c r="G9578" s="3"/>
      <c r="H9578" s="11"/>
      <c r="I9578" s="12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  <c r="AA9578" s="3"/>
      <c r="AB9578" s="3"/>
      <c r="AC9578" s="3"/>
      <c r="AD9578" s="3"/>
      <c r="AE9578" s="3"/>
      <c r="AF9578" s="3"/>
      <c r="AG9578" s="3"/>
      <c r="AH9578" s="3"/>
    </row>
    <row r="9579" spans="1:34" ht="14.25" customHeight="1" x14ac:dyDescent="0.25">
      <c r="A9579" s="3"/>
      <c r="B9579" s="3"/>
      <c r="C9579" s="3"/>
      <c r="D9579" s="3"/>
      <c r="E9579" s="3"/>
      <c r="F9579" s="3"/>
      <c r="G9579" s="3"/>
      <c r="H9579" s="11"/>
      <c r="I9579" s="12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  <c r="AA9579" s="3"/>
      <c r="AB9579" s="3"/>
      <c r="AC9579" s="3"/>
      <c r="AD9579" s="3"/>
      <c r="AE9579" s="3"/>
      <c r="AF9579" s="3"/>
      <c r="AG9579" s="3"/>
      <c r="AH9579" s="3"/>
    </row>
    <row r="9580" spans="1:34" ht="14.25" customHeight="1" x14ac:dyDescent="0.25">
      <c r="A9580" s="3"/>
      <c r="B9580" s="3"/>
      <c r="C9580" s="3"/>
      <c r="D9580" s="3"/>
      <c r="E9580" s="3"/>
      <c r="F9580" s="3"/>
      <c r="G9580" s="3"/>
      <c r="H9580" s="11"/>
      <c r="I9580" s="12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  <c r="AA9580" s="3"/>
      <c r="AB9580" s="3"/>
      <c r="AC9580" s="3"/>
      <c r="AD9580" s="3"/>
      <c r="AE9580" s="3"/>
      <c r="AF9580" s="3"/>
      <c r="AG9580" s="3"/>
      <c r="AH9580" s="3"/>
    </row>
    <row r="9581" spans="1:34" ht="14.25" customHeight="1" x14ac:dyDescent="0.25">
      <c r="A9581" s="3"/>
      <c r="B9581" s="3"/>
      <c r="C9581" s="3"/>
      <c r="D9581" s="3"/>
      <c r="E9581" s="3"/>
      <c r="F9581" s="3"/>
      <c r="G9581" s="3"/>
      <c r="H9581" s="11"/>
      <c r="I9581" s="12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  <c r="AA9581" s="3"/>
      <c r="AB9581" s="3"/>
      <c r="AC9581" s="3"/>
      <c r="AD9581" s="3"/>
      <c r="AE9581" s="3"/>
      <c r="AF9581" s="3"/>
      <c r="AG9581" s="3"/>
      <c r="AH9581" s="3"/>
    </row>
    <row r="9582" spans="1:34" ht="14.25" customHeight="1" x14ac:dyDescent="0.25">
      <c r="A9582" s="3"/>
      <c r="B9582" s="3"/>
      <c r="C9582" s="3"/>
      <c r="D9582" s="3"/>
      <c r="E9582" s="3"/>
      <c r="F9582" s="3"/>
      <c r="G9582" s="3"/>
      <c r="H9582" s="11"/>
      <c r="I9582" s="12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  <c r="AA9582" s="3"/>
      <c r="AB9582" s="3"/>
      <c r="AC9582" s="3"/>
      <c r="AD9582" s="3"/>
      <c r="AE9582" s="3"/>
      <c r="AF9582" s="3"/>
      <c r="AG9582" s="3"/>
      <c r="AH9582" s="3"/>
    </row>
    <row r="9583" spans="1:34" ht="14.25" customHeight="1" x14ac:dyDescent="0.25">
      <c r="A9583" s="3"/>
      <c r="B9583" s="3"/>
      <c r="C9583" s="3"/>
      <c r="D9583" s="3"/>
      <c r="E9583" s="3"/>
      <c r="F9583" s="3"/>
      <c r="G9583" s="3"/>
      <c r="H9583" s="11"/>
      <c r="I9583" s="12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  <c r="AA9583" s="3"/>
      <c r="AB9583" s="3"/>
      <c r="AC9583" s="3"/>
      <c r="AD9583" s="3"/>
      <c r="AE9583" s="3"/>
      <c r="AF9583" s="3"/>
      <c r="AG9583" s="3"/>
      <c r="AH9583" s="3"/>
    </row>
    <row r="9584" spans="1:34" ht="14.25" customHeight="1" x14ac:dyDescent="0.25">
      <c r="A9584" s="3"/>
      <c r="B9584" s="3"/>
      <c r="C9584" s="3"/>
      <c r="D9584" s="3"/>
      <c r="E9584" s="3"/>
      <c r="F9584" s="3"/>
      <c r="G9584" s="3"/>
      <c r="H9584" s="11"/>
      <c r="I9584" s="12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  <c r="AA9584" s="3"/>
      <c r="AB9584" s="3"/>
      <c r="AC9584" s="3"/>
      <c r="AD9584" s="3"/>
      <c r="AE9584" s="3"/>
      <c r="AF9584" s="3"/>
      <c r="AG9584" s="3"/>
      <c r="AH9584" s="3"/>
    </row>
    <row r="9585" spans="1:34" ht="14.25" customHeight="1" x14ac:dyDescent="0.25">
      <c r="A9585" s="3"/>
      <c r="B9585" s="3"/>
      <c r="C9585" s="3"/>
      <c r="D9585" s="3"/>
      <c r="E9585" s="3"/>
      <c r="F9585" s="3"/>
      <c r="G9585" s="3"/>
      <c r="H9585" s="11"/>
      <c r="I9585" s="12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  <c r="AA9585" s="3"/>
      <c r="AB9585" s="3"/>
      <c r="AC9585" s="3"/>
      <c r="AD9585" s="3"/>
      <c r="AE9585" s="3"/>
      <c r="AF9585" s="3"/>
      <c r="AG9585" s="3"/>
      <c r="AH9585" s="3"/>
    </row>
    <row r="9586" spans="1:34" ht="14.25" customHeight="1" x14ac:dyDescent="0.25">
      <c r="A9586" s="3"/>
      <c r="B9586" s="3"/>
      <c r="C9586" s="3"/>
      <c r="D9586" s="3"/>
      <c r="E9586" s="3"/>
      <c r="F9586" s="3"/>
      <c r="G9586" s="3"/>
      <c r="H9586" s="11"/>
      <c r="I9586" s="12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  <c r="AA9586" s="3"/>
      <c r="AB9586" s="3"/>
      <c r="AC9586" s="3"/>
      <c r="AD9586" s="3"/>
      <c r="AE9586" s="3"/>
      <c r="AF9586" s="3"/>
      <c r="AG9586" s="3"/>
      <c r="AH9586" s="3"/>
    </row>
    <row r="9587" spans="1:34" ht="14.25" customHeight="1" x14ac:dyDescent="0.25">
      <c r="A9587" s="3"/>
      <c r="B9587" s="3"/>
      <c r="C9587" s="3"/>
      <c r="D9587" s="3"/>
      <c r="E9587" s="3"/>
      <c r="F9587" s="3"/>
      <c r="G9587" s="3"/>
      <c r="H9587" s="11"/>
      <c r="I9587" s="12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  <c r="AA9587" s="3"/>
      <c r="AB9587" s="3"/>
      <c r="AC9587" s="3"/>
      <c r="AD9587" s="3"/>
      <c r="AE9587" s="3"/>
      <c r="AF9587" s="3"/>
      <c r="AG9587" s="3"/>
      <c r="AH9587" s="3"/>
    </row>
    <row r="9588" spans="1:34" ht="14.25" customHeight="1" x14ac:dyDescent="0.25">
      <c r="A9588" s="3"/>
      <c r="B9588" s="3"/>
      <c r="C9588" s="3"/>
      <c r="D9588" s="3"/>
      <c r="E9588" s="3"/>
      <c r="F9588" s="3"/>
      <c r="G9588" s="3"/>
      <c r="H9588" s="11"/>
      <c r="I9588" s="12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  <c r="AA9588" s="3"/>
      <c r="AB9588" s="3"/>
      <c r="AC9588" s="3"/>
      <c r="AD9588" s="3"/>
      <c r="AE9588" s="3"/>
      <c r="AF9588" s="3"/>
      <c r="AG9588" s="3"/>
      <c r="AH9588" s="3"/>
    </row>
    <row r="9589" spans="1:34" ht="14.25" customHeight="1" x14ac:dyDescent="0.25">
      <c r="A9589" s="3"/>
      <c r="B9589" s="3"/>
      <c r="C9589" s="3"/>
      <c r="D9589" s="3"/>
      <c r="E9589" s="3"/>
      <c r="F9589" s="3"/>
      <c r="G9589" s="3"/>
      <c r="H9589" s="11"/>
      <c r="I9589" s="12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  <c r="AA9589" s="3"/>
      <c r="AB9589" s="3"/>
      <c r="AC9589" s="3"/>
      <c r="AD9589" s="3"/>
      <c r="AE9589" s="3"/>
      <c r="AF9589" s="3"/>
      <c r="AG9589" s="3"/>
      <c r="AH9589" s="3"/>
    </row>
    <row r="9590" spans="1:34" ht="14.25" customHeight="1" x14ac:dyDescent="0.25">
      <c r="A9590" s="3"/>
      <c r="B9590" s="3"/>
      <c r="C9590" s="3"/>
      <c r="D9590" s="3"/>
      <c r="E9590" s="3"/>
      <c r="F9590" s="3"/>
      <c r="G9590" s="3"/>
      <c r="H9590" s="11"/>
      <c r="I9590" s="12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  <c r="AA9590" s="3"/>
      <c r="AB9590" s="3"/>
      <c r="AC9590" s="3"/>
      <c r="AD9590" s="3"/>
      <c r="AE9590" s="3"/>
      <c r="AF9590" s="3"/>
      <c r="AG9590" s="3"/>
      <c r="AH9590" s="3"/>
    </row>
    <row r="9591" spans="1:34" ht="14.25" customHeight="1" x14ac:dyDescent="0.25">
      <c r="A9591" s="3"/>
      <c r="B9591" s="3"/>
      <c r="C9591" s="3"/>
      <c r="D9591" s="3"/>
      <c r="E9591" s="3"/>
      <c r="F9591" s="3"/>
      <c r="G9591" s="3"/>
      <c r="H9591" s="11"/>
      <c r="I9591" s="12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  <c r="AA9591" s="3"/>
      <c r="AB9591" s="3"/>
      <c r="AC9591" s="3"/>
      <c r="AD9591" s="3"/>
      <c r="AE9591" s="3"/>
      <c r="AF9591" s="3"/>
      <c r="AG9591" s="3"/>
      <c r="AH9591" s="3"/>
    </row>
    <row r="9592" spans="1:34" ht="14.25" customHeight="1" x14ac:dyDescent="0.25">
      <c r="A9592" s="3"/>
      <c r="B9592" s="3"/>
      <c r="C9592" s="3"/>
      <c r="D9592" s="3"/>
      <c r="E9592" s="3"/>
      <c r="F9592" s="3"/>
      <c r="G9592" s="3"/>
      <c r="H9592" s="11"/>
      <c r="I9592" s="12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  <c r="AA9592" s="3"/>
      <c r="AB9592" s="3"/>
      <c r="AC9592" s="3"/>
      <c r="AD9592" s="3"/>
      <c r="AE9592" s="3"/>
      <c r="AF9592" s="3"/>
      <c r="AG9592" s="3"/>
      <c r="AH9592" s="3"/>
    </row>
    <row r="9593" spans="1:34" ht="14.25" customHeight="1" x14ac:dyDescent="0.25">
      <c r="A9593" s="3"/>
      <c r="B9593" s="3"/>
      <c r="C9593" s="3"/>
      <c r="D9593" s="3"/>
      <c r="E9593" s="3"/>
      <c r="F9593" s="3"/>
      <c r="G9593" s="3"/>
      <c r="H9593" s="11"/>
      <c r="I9593" s="12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  <c r="AA9593" s="3"/>
      <c r="AB9593" s="3"/>
      <c r="AC9593" s="3"/>
      <c r="AD9593" s="3"/>
      <c r="AE9593" s="3"/>
      <c r="AF9593" s="3"/>
      <c r="AG9593" s="3"/>
      <c r="AH9593" s="3"/>
    </row>
    <row r="9594" spans="1:34" ht="14.25" customHeight="1" x14ac:dyDescent="0.25">
      <c r="A9594" s="3"/>
      <c r="B9594" s="3"/>
      <c r="C9594" s="3"/>
      <c r="D9594" s="3"/>
      <c r="E9594" s="3"/>
      <c r="F9594" s="3"/>
      <c r="G9594" s="3"/>
      <c r="H9594" s="11"/>
      <c r="I9594" s="12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  <c r="AA9594" s="3"/>
      <c r="AB9594" s="3"/>
      <c r="AC9594" s="3"/>
      <c r="AD9594" s="3"/>
      <c r="AE9594" s="3"/>
      <c r="AF9594" s="3"/>
      <c r="AG9594" s="3"/>
      <c r="AH9594" s="3"/>
    </row>
    <row r="9595" spans="1:34" ht="14.25" customHeight="1" x14ac:dyDescent="0.25">
      <c r="A9595" s="3"/>
      <c r="B9595" s="3"/>
      <c r="C9595" s="3"/>
      <c r="D9595" s="3"/>
      <c r="E9595" s="3"/>
      <c r="F9595" s="3"/>
      <c r="G9595" s="3"/>
      <c r="H9595" s="11"/>
      <c r="I9595" s="12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  <c r="AA9595" s="3"/>
      <c r="AB9595" s="3"/>
      <c r="AC9595" s="3"/>
      <c r="AD9595" s="3"/>
      <c r="AE9595" s="3"/>
      <c r="AF9595" s="3"/>
      <c r="AG9595" s="3"/>
      <c r="AH9595" s="3"/>
    </row>
    <row r="9596" spans="1:34" ht="14.25" customHeight="1" x14ac:dyDescent="0.25">
      <c r="A9596" s="3"/>
      <c r="B9596" s="3"/>
      <c r="C9596" s="3"/>
      <c r="D9596" s="3"/>
      <c r="E9596" s="3"/>
      <c r="F9596" s="3"/>
      <c r="G9596" s="3"/>
      <c r="H9596" s="11"/>
      <c r="I9596" s="12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  <c r="AA9596" s="3"/>
      <c r="AB9596" s="3"/>
      <c r="AC9596" s="3"/>
      <c r="AD9596" s="3"/>
      <c r="AE9596" s="3"/>
      <c r="AF9596" s="3"/>
      <c r="AG9596" s="3"/>
      <c r="AH9596" s="3"/>
    </row>
    <row r="9597" spans="1:34" ht="14.25" customHeight="1" x14ac:dyDescent="0.25">
      <c r="A9597" s="3"/>
      <c r="B9597" s="3"/>
      <c r="C9597" s="3"/>
      <c r="D9597" s="3"/>
      <c r="E9597" s="3"/>
      <c r="F9597" s="3"/>
      <c r="G9597" s="3"/>
      <c r="H9597" s="11"/>
      <c r="I9597" s="12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  <c r="AA9597" s="3"/>
      <c r="AB9597" s="3"/>
      <c r="AC9597" s="3"/>
      <c r="AD9597" s="3"/>
      <c r="AE9597" s="3"/>
      <c r="AF9597" s="3"/>
      <c r="AG9597" s="3"/>
      <c r="AH9597" s="3"/>
    </row>
    <row r="9598" spans="1:34" ht="14.25" customHeight="1" x14ac:dyDescent="0.25">
      <c r="A9598" s="3"/>
      <c r="B9598" s="3"/>
      <c r="C9598" s="3"/>
      <c r="D9598" s="3"/>
      <c r="E9598" s="3"/>
      <c r="F9598" s="3"/>
      <c r="G9598" s="3"/>
      <c r="H9598" s="11"/>
      <c r="I9598" s="12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  <c r="AA9598" s="3"/>
      <c r="AB9598" s="3"/>
      <c r="AC9598" s="3"/>
      <c r="AD9598" s="3"/>
      <c r="AE9598" s="3"/>
      <c r="AF9598" s="3"/>
      <c r="AG9598" s="3"/>
      <c r="AH9598" s="3"/>
    </row>
    <row r="9599" spans="1:34" ht="14.25" customHeight="1" x14ac:dyDescent="0.25">
      <c r="A9599" s="3"/>
      <c r="B9599" s="3"/>
      <c r="C9599" s="3"/>
      <c r="D9599" s="3"/>
      <c r="E9599" s="3"/>
      <c r="F9599" s="3"/>
      <c r="G9599" s="3"/>
      <c r="H9599" s="11"/>
      <c r="I9599" s="12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  <c r="AA9599" s="3"/>
      <c r="AB9599" s="3"/>
      <c r="AC9599" s="3"/>
      <c r="AD9599" s="3"/>
      <c r="AE9599" s="3"/>
      <c r="AF9599" s="3"/>
      <c r="AG9599" s="3"/>
      <c r="AH9599" s="3"/>
    </row>
    <row r="9600" spans="1:34" ht="14.25" customHeight="1" x14ac:dyDescent="0.25">
      <c r="A9600" s="3"/>
      <c r="B9600" s="3"/>
      <c r="C9600" s="3"/>
      <c r="D9600" s="3"/>
      <c r="E9600" s="3"/>
      <c r="F9600" s="3"/>
      <c r="G9600" s="3"/>
      <c r="H9600" s="11"/>
      <c r="I9600" s="12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  <c r="AA9600" s="3"/>
      <c r="AB9600" s="3"/>
      <c r="AC9600" s="3"/>
      <c r="AD9600" s="3"/>
      <c r="AE9600" s="3"/>
      <c r="AF9600" s="3"/>
      <c r="AG9600" s="3"/>
      <c r="AH9600" s="3"/>
    </row>
    <row r="9601" spans="1:34" ht="14.25" customHeight="1" x14ac:dyDescent="0.25">
      <c r="A9601" s="3"/>
      <c r="B9601" s="3"/>
      <c r="C9601" s="3"/>
      <c r="D9601" s="3"/>
      <c r="E9601" s="3"/>
      <c r="F9601" s="3"/>
      <c r="G9601" s="3"/>
      <c r="H9601" s="11"/>
      <c r="I9601" s="12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  <c r="AA9601" s="3"/>
      <c r="AB9601" s="3"/>
      <c r="AC9601" s="3"/>
      <c r="AD9601" s="3"/>
      <c r="AE9601" s="3"/>
      <c r="AF9601" s="3"/>
      <c r="AG9601" s="3"/>
      <c r="AH9601" s="3"/>
    </row>
    <row r="9602" spans="1:34" ht="14.25" customHeight="1" x14ac:dyDescent="0.25">
      <c r="A9602" s="3"/>
      <c r="B9602" s="3"/>
      <c r="C9602" s="3"/>
      <c r="D9602" s="3"/>
      <c r="E9602" s="3"/>
      <c r="F9602" s="3"/>
      <c r="G9602" s="3"/>
      <c r="H9602" s="11"/>
      <c r="I9602" s="12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  <c r="AA9602" s="3"/>
      <c r="AB9602" s="3"/>
      <c r="AC9602" s="3"/>
      <c r="AD9602" s="3"/>
      <c r="AE9602" s="3"/>
      <c r="AF9602" s="3"/>
      <c r="AG9602" s="3"/>
      <c r="AH9602" s="3"/>
    </row>
    <row r="9603" spans="1:34" ht="14.25" customHeight="1" x14ac:dyDescent="0.25">
      <c r="A9603" s="3"/>
      <c r="B9603" s="3"/>
      <c r="C9603" s="3"/>
      <c r="D9603" s="3"/>
      <c r="E9603" s="3"/>
      <c r="F9603" s="3"/>
      <c r="G9603" s="3"/>
      <c r="H9603" s="11"/>
      <c r="I9603" s="12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  <c r="AA9603" s="3"/>
      <c r="AB9603" s="3"/>
      <c r="AC9603" s="3"/>
      <c r="AD9603" s="3"/>
      <c r="AE9603" s="3"/>
      <c r="AF9603" s="3"/>
      <c r="AG9603" s="3"/>
      <c r="AH9603" s="3"/>
    </row>
    <row r="9604" spans="1:34" ht="14.25" customHeight="1" x14ac:dyDescent="0.25">
      <c r="A9604" s="3"/>
      <c r="B9604" s="3"/>
      <c r="C9604" s="3"/>
      <c r="D9604" s="3"/>
      <c r="E9604" s="3"/>
      <c r="F9604" s="3"/>
      <c r="G9604" s="3"/>
      <c r="H9604" s="11"/>
      <c r="I9604" s="12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  <c r="AA9604" s="3"/>
      <c r="AB9604" s="3"/>
      <c r="AC9604" s="3"/>
      <c r="AD9604" s="3"/>
      <c r="AE9604" s="3"/>
      <c r="AF9604" s="3"/>
      <c r="AG9604" s="3"/>
      <c r="AH9604" s="3"/>
    </row>
    <row r="9605" spans="1:34" ht="14.25" customHeight="1" x14ac:dyDescent="0.25">
      <c r="A9605" s="3"/>
      <c r="B9605" s="3"/>
      <c r="C9605" s="3"/>
      <c r="D9605" s="3"/>
      <c r="E9605" s="3"/>
      <c r="F9605" s="3"/>
      <c r="G9605" s="3"/>
      <c r="H9605" s="11"/>
      <c r="I9605" s="12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  <c r="AA9605" s="3"/>
      <c r="AB9605" s="3"/>
      <c r="AC9605" s="3"/>
      <c r="AD9605" s="3"/>
      <c r="AE9605" s="3"/>
      <c r="AF9605" s="3"/>
      <c r="AG9605" s="3"/>
      <c r="AH9605" s="3"/>
    </row>
    <row r="9606" spans="1:34" ht="14.25" customHeight="1" x14ac:dyDescent="0.25">
      <c r="A9606" s="3"/>
      <c r="B9606" s="3"/>
      <c r="C9606" s="3"/>
      <c r="D9606" s="3"/>
      <c r="E9606" s="3"/>
      <c r="F9606" s="3"/>
      <c r="G9606" s="3"/>
      <c r="H9606" s="11"/>
      <c r="I9606" s="12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  <c r="AA9606" s="3"/>
      <c r="AB9606" s="3"/>
      <c r="AC9606" s="3"/>
      <c r="AD9606" s="3"/>
      <c r="AE9606" s="3"/>
      <c r="AF9606" s="3"/>
      <c r="AG9606" s="3"/>
      <c r="AH9606" s="3"/>
    </row>
    <row r="9607" spans="1:34" ht="14.25" customHeight="1" x14ac:dyDescent="0.25">
      <c r="A9607" s="3"/>
      <c r="B9607" s="3"/>
      <c r="C9607" s="3"/>
      <c r="D9607" s="3"/>
      <c r="E9607" s="3"/>
      <c r="F9607" s="3"/>
      <c r="G9607" s="3"/>
      <c r="H9607" s="11"/>
      <c r="I9607" s="12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  <c r="AA9607" s="3"/>
      <c r="AB9607" s="3"/>
      <c r="AC9607" s="3"/>
      <c r="AD9607" s="3"/>
      <c r="AE9607" s="3"/>
      <c r="AF9607" s="3"/>
      <c r="AG9607" s="3"/>
      <c r="AH9607" s="3"/>
    </row>
    <row r="9608" spans="1:34" ht="14.25" customHeight="1" x14ac:dyDescent="0.25">
      <c r="A9608" s="3"/>
      <c r="B9608" s="3"/>
      <c r="C9608" s="3"/>
      <c r="D9608" s="3"/>
      <c r="E9608" s="3"/>
      <c r="F9608" s="3"/>
      <c r="G9608" s="3"/>
      <c r="H9608" s="11"/>
      <c r="I9608" s="12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  <c r="AA9608" s="3"/>
      <c r="AB9608" s="3"/>
      <c r="AC9608" s="3"/>
      <c r="AD9608" s="3"/>
      <c r="AE9608" s="3"/>
      <c r="AF9608" s="3"/>
      <c r="AG9608" s="3"/>
      <c r="AH9608" s="3"/>
    </row>
    <row r="9609" spans="1:34" ht="14.25" customHeight="1" x14ac:dyDescent="0.25">
      <c r="A9609" s="3"/>
      <c r="B9609" s="3"/>
      <c r="C9609" s="3"/>
      <c r="D9609" s="3"/>
      <c r="E9609" s="3"/>
      <c r="F9609" s="3"/>
      <c r="G9609" s="3"/>
      <c r="H9609" s="11"/>
      <c r="I9609" s="12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  <c r="AA9609" s="3"/>
      <c r="AB9609" s="3"/>
      <c r="AC9609" s="3"/>
      <c r="AD9609" s="3"/>
      <c r="AE9609" s="3"/>
      <c r="AF9609" s="3"/>
      <c r="AG9609" s="3"/>
      <c r="AH9609" s="3"/>
    </row>
    <row r="9610" spans="1:34" ht="14.25" customHeight="1" x14ac:dyDescent="0.25">
      <c r="A9610" s="3"/>
      <c r="B9610" s="3"/>
      <c r="C9610" s="3"/>
      <c r="D9610" s="3"/>
      <c r="E9610" s="3"/>
      <c r="F9610" s="3"/>
      <c r="G9610" s="3"/>
      <c r="H9610" s="11"/>
      <c r="I9610" s="12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  <c r="AA9610" s="3"/>
      <c r="AB9610" s="3"/>
      <c r="AC9610" s="3"/>
      <c r="AD9610" s="3"/>
      <c r="AE9610" s="3"/>
      <c r="AF9610" s="3"/>
      <c r="AG9610" s="3"/>
      <c r="AH9610" s="3"/>
    </row>
    <row r="9611" spans="1:34" ht="14.25" customHeight="1" x14ac:dyDescent="0.25">
      <c r="A9611" s="3"/>
      <c r="B9611" s="3"/>
      <c r="C9611" s="3"/>
      <c r="D9611" s="3"/>
      <c r="E9611" s="3"/>
      <c r="F9611" s="3"/>
      <c r="G9611" s="3"/>
      <c r="H9611" s="11"/>
      <c r="I9611" s="12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  <c r="AA9611" s="3"/>
      <c r="AB9611" s="3"/>
      <c r="AC9611" s="3"/>
      <c r="AD9611" s="3"/>
      <c r="AE9611" s="3"/>
      <c r="AF9611" s="3"/>
      <c r="AG9611" s="3"/>
      <c r="AH9611" s="3"/>
    </row>
    <row r="9612" spans="1:34" ht="14.25" customHeight="1" x14ac:dyDescent="0.25">
      <c r="A9612" s="3"/>
      <c r="B9612" s="3"/>
      <c r="C9612" s="3"/>
      <c r="D9612" s="3"/>
      <c r="E9612" s="3"/>
      <c r="F9612" s="3"/>
      <c r="G9612" s="3"/>
      <c r="H9612" s="11"/>
      <c r="I9612" s="12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  <c r="AA9612" s="3"/>
      <c r="AB9612" s="3"/>
      <c r="AC9612" s="3"/>
      <c r="AD9612" s="3"/>
      <c r="AE9612" s="3"/>
      <c r="AF9612" s="3"/>
      <c r="AG9612" s="3"/>
      <c r="AH9612" s="3"/>
    </row>
    <row r="9613" spans="1:34" ht="14.25" customHeight="1" x14ac:dyDescent="0.25">
      <c r="A9613" s="3"/>
      <c r="B9613" s="3"/>
      <c r="C9613" s="3"/>
      <c r="D9613" s="3"/>
      <c r="E9613" s="3"/>
      <c r="F9613" s="3"/>
      <c r="G9613" s="3"/>
      <c r="H9613" s="11"/>
      <c r="I9613" s="12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  <c r="AA9613" s="3"/>
      <c r="AB9613" s="3"/>
      <c r="AC9613" s="3"/>
      <c r="AD9613" s="3"/>
      <c r="AE9613" s="3"/>
      <c r="AF9613" s="3"/>
      <c r="AG9613" s="3"/>
      <c r="AH9613" s="3"/>
    </row>
    <row r="9614" spans="1:34" ht="14.25" customHeight="1" x14ac:dyDescent="0.25">
      <c r="A9614" s="3"/>
      <c r="B9614" s="3"/>
      <c r="C9614" s="3"/>
      <c r="D9614" s="3"/>
      <c r="E9614" s="3"/>
      <c r="F9614" s="3"/>
      <c r="G9614" s="3"/>
      <c r="H9614" s="11"/>
      <c r="I9614" s="12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  <c r="AA9614" s="3"/>
      <c r="AB9614" s="3"/>
      <c r="AC9614" s="3"/>
      <c r="AD9614" s="3"/>
      <c r="AE9614" s="3"/>
      <c r="AF9614" s="3"/>
      <c r="AG9614" s="3"/>
      <c r="AH9614" s="3"/>
    </row>
    <row r="9615" spans="1:34" ht="14.25" customHeight="1" x14ac:dyDescent="0.25">
      <c r="A9615" s="3"/>
      <c r="B9615" s="3"/>
      <c r="C9615" s="3"/>
      <c r="D9615" s="3"/>
      <c r="E9615" s="3"/>
      <c r="F9615" s="3"/>
      <c r="G9615" s="3"/>
      <c r="H9615" s="11"/>
      <c r="I9615" s="12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  <c r="AA9615" s="3"/>
      <c r="AB9615" s="3"/>
      <c r="AC9615" s="3"/>
      <c r="AD9615" s="3"/>
      <c r="AE9615" s="3"/>
      <c r="AF9615" s="3"/>
      <c r="AG9615" s="3"/>
      <c r="AH9615" s="3"/>
    </row>
    <row r="9616" spans="1:34" ht="14.25" customHeight="1" x14ac:dyDescent="0.25">
      <c r="A9616" s="3"/>
      <c r="B9616" s="3"/>
      <c r="C9616" s="3"/>
      <c r="D9616" s="3"/>
      <c r="E9616" s="3"/>
      <c r="F9616" s="3"/>
      <c r="G9616" s="3"/>
      <c r="H9616" s="11"/>
      <c r="I9616" s="12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  <c r="AA9616" s="3"/>
      <c r="AB9616" s="3"/>
      <c r="AC9616" s="3"/>
      <c r="AD9616" s="3"/>
      <c r="AE9616" s="3"/>
      <c r="AF9616" s="3"/>
      <c r="AG9616" s="3"/>
      <c r="AH9616" s="3"/>
    </row>
    <row r="9617" spans="1:34" ht="14.25" customHeight="1" x14ac:dyDescent="0.25">
      <c r="A9617" s="3"/>
      <c r="B9617" s="3"/>
      <c r="C9617" s="3"/>
      <c r="D9617" s="3"/>
      <c r="E9617" s="3"/>
      <c r="F9617" s="3"/>
      <c r="G9617" s="3"/>
      <c r="H9617" s="11"/>
      <c r="I9617" s="12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  <c r="AA9617" s="3"/>
      <c r="AB9617" s="3"/>
      <c r="AC9617" s="3"/>
      <c r="AD9617" s="3"/>
      <c r="AE9617" s="3"/>
      <c r="AF9617" s="3"/>
      <c r="AG9617" s="3"/>
      <c r="AH9617" s="3"/>
    </row>
    <row r="9618" spans="1:34" ht="14.25" customHeight="1" x14ac:dyDescent="0.25">
      <c r="A9618" s="3"/>
      <c r="B9618" s="3"/>
      <c r="C9618" s="3"/>
      <c r="D9618" s="3"/>
      <c r="E9618" s="3"/>
      <c r="F9618" s="3"/>
      <c r="G9618" s="3"/>
      <c r="H9618" s="11"/>
      <c r="I9618" s="12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  <c r="AA9618" s="3"/>
      <c r="AB9618" s="3"/>
      <c r="AC9618" s="3"/>
      <c r="AD9618" s="3"/>
      <c r="AE9618" s="3"/>
      <c r="AF9618" s="3"/>
      <c r="AG9618" s="3"/>
      <c r="AH9618" s="3"/>
    </row>
    <row r="9619" spans="1:34" ht="14.25" customHeight="1" x14ac:dyDescent="0.25">
      <c r="A9619" s="3"/>
      <c r="B9619" s="3"/>
      <c r="C9619" s="3"/>
      <c r="D9619" s="3"/>
      <c r="E9619" s="3"/>
      <c r="F9619" s="3"/>
      <c r="G9619" s="3"/>
      <c r="H9619" s="11"/>
      <c r="I9619" s="12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  <c r="AA9619" s="3"/>
      <c r="AB9619" s="3"/>
      <c r="AC9619" s="3"/>
      <c r="AD9619" s="3"/>
      <c r="AE9619" s="3"/>
      <c r="AF9619" s="3"/>
      <c r="AG9619" s="3"/>
      <c r="AH9619" s="3"/>
    </row>
    <row r="9620" spans="1:34" ht="14.25" customHeight="1" x14ac:dyDescent="0.25">
      <c r="A9620" s="3"/>
      <c r="B9620" s="3"/>
      <c r="C9620" s="3"/>
      <c r="D9620" s="3"/>
      <c r="E9620" s="3"/>
      <c r="F9620" s="3"/>
      <c r="G9620" s="3"/>
      <c r="H9620" s="11"/>
      <c r="I9620" s="12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  <c r="AA9620" s="3"/>
      <c r="AB9620" s="3"/>
      <c r="AC9620" s="3"/>
      <c r="AD9620" s="3"/>
      <c r="AE9620" s="3"/>
      <c r="AF9620" s="3"/>
      <c r="AG9620" s="3"/>
      <c r="AH9620" s="3"/>
    </row>
    <row r="9621" spans="1:34" ht="14.25" customHeight="1" x14ac:dyDescent="0.25">
      <c r="A9621" s="3"/>
      <c r="B9621" s="3"/>
      <c r="C9621" s="3"/>
      <c r="D9621" s="3"/>
      <c r="E9621" s="3"/>
      <c r="F9621" s="3"/>
      <c r="G9621" s="3"/>
      <c r="H9621" s="11"/>
      <c r="I9621" s="12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  <c r="AA9621" s="3"/>
      <c r="AB9621" s="3"/>
      <c r="AC9621" s="3"/>
      <c r="AD9621" s="3"/>
      <c r="AE9621" s="3"/>
      <c r="AF9621" s="3"/>
      <c r="AG9621" s="3"/>
      <c r="AH9621" s="3"/>
    </row>
    <row r="9622" spans="1:34" ht="14.25" customHeight="1" x14ac:dyDescent="0.25">
      <c r="A9622" s="3"/>
      <c r="B9622" s="3"/>
      <c r="C9622" s="3"/>
      <c r="D9622" s="3"/>
      <c r="E9622" s="3"/>
      <c r="F9622" s="3"/>
      <c r="G9622" s="3"/>
      <c r="H9622" s="11"/>
      <c r="I9622" s="12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  <c r="AA9622" s="3"/>
      <c r="AB9622" s="3"/>
      <c r="AC9622" s="3"/>
      <c r="AD9622" s="3"/>
      <c r="AE9622" s="3"/>
      <c r="AF9622" s="3"/>
      <c r="AG9622" s="3"/>
      <c r="AH9622" s="3"/>
    </row>
    <row r="9623" spans="1:34" ht="14.25" customHeight="1" x14ac:dyDescent="0.25">
      <c r="A9623" s="3"/>
      <c r="B9623" s="3"/>
      <c r="C9623" s="3"/>
      <c r="D9623" s="3"/>
      <c r="E9623" s="3"/>
      <c r="F9623" s="3"/>
      <c r="G9623" s="3"/>
      <c r="H9623" s="11"/>
      <c r="I9623" s="12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  <c r="AA9623" s="3"/>
      <c r="AB9623" s="3"/>
      <c r="AC9623" s="3"/>
      <c r="AD9623" s="3"/>
      <c r="AE9623" s="3"/>
      <c r="AF9623" s="3"/>
      <c r="AG9623" s="3"/>
      <c r="AH9623" s="3"/>
    </row>
    <row r="9624" spans="1:34" ht="14.25" customHeight="1" x14ac:dyDescent="0.25">
      <c r="A9624" s="3"/>
      <c r="B9624" s="3"/>
      <c r="C9624" s="3"/>
      <c r="D9624" s="3"/>
      <c r="E9624" s="3"/>
      <c r="F9624" s="3"/>
      <c r="G9624" s="3"/>
      <c r="H9624" s="11"/>
      <c r="I9624" s="12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  <c r="AA9624" s="3"/>
      <c r="AB9624" s="3"/>
      <c r="AC9624" s="3"/>
      <c r="AD9624" s="3"/>
      <c r="AE9624" s="3"/>
      <c r="AF9624" s="3"/>
      <c r="AG9624" s="3"/>
      <c r="AH9624" s="3"/>
    </row>
    <row r="9625" spans="1:34" ht="14.25" customHeight="1" x14ac:dyDescent="0.25">
      <c r="A9625" s="3"/>
      <c r="B9625" s="3"/>
      <c r="C9625" s="3"/>
      <c r="D9625" s="3"/>
      <c r="E9625" s="3"/>
      <c r="F9625" s="3"/>
      <c r="G9625" s="3"/>
      <c r="H9625" s="11"/>
      <c r="I9625" s="12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  <c r="AA9625" s="3"/>
      <c r="AB9625" s="3"/>
      <c r="AC9625" s="3"/>
      <c r="AD9625" s="3"/>
      <c r="AE9625" s="3"/>
      <c r="AF9625" s="3"/>
      <c r="AG9625" s="3"/>
      <c r="AH9625" s="3"/>
    </row>
    <row r="9626" spans="1:34" ht="14.25" customHeight="1" x14ac:dyDescent="0.25">
      <c r="A9626" s="3"/>
      <c r="B9626" s="3"/>
      <c r="C9626" s="3"/>
      <c r="D9626" s="3"/>
      <c r="E9626" s="3"/>
      <c r="F9626" s="3"/>
      <c r="G9626" s="3"/>
      <c r="H9626" s="11"/>
      <c r="I9626" s="12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  <c r="AA9626" s="3"/>
      <c r="AB9626" s="3"/>
      <c r="AC9626" s="3"/>
      <c r="AD9626" s="3"/>
      <c r="AE9626" s="3"/>
      <c r="AF9626" s="3"/>
      <c r="AG9626" s="3"/>
      <c r="AH9626" s="3"/>
    </row>
    <row r="9627" spans="1:34" ht="14.25" customHeight="1" x14ac:dyDescent="0.25">
      <c r="A9627" s="3"/>
      <c r="B9627" s="3"/>
      <c r="C9627" s="3"/>
      <c r="D9627" s="3"/>
      <c r="E9627" s="3"/>
      <c r="F9627" s="3"/>
      <c r="G9627" s="3"/>
      <c r="H9627" s="11"/>
      <c r="I9627" s="12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  <c r="AA9627" s="3"/>
      <c r="AB9627" s="3"/>
      <c r="AC9627" s="3"/>
      <c r="AD9627" s="3"/>
      <c r="AE9627" s="3"/>
      <c r="AF9627" s="3"/>
      <c r="AG9627" s="3"/>
      <c r="AH9627" s="3"/>
    </row>
    <row r="9628" spans="1:34" ht="14.25" customHeight="1" x14ac:dyDescent="0.25">
      <c r="A9628" s="3"/>
      <c r="B9628" s="3"/>
      <c r="C9628" s="3"/>
      <c r="D9628" s="3"/>
      <c r="E9628" s="3"/>
      <c r="F9628" s="3"/>
      <c r="G9628" s="3"/>
      <c r="H9628" s="11"/>
      <c r="I9628" s="12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  <c r="AA9628" s="3"/>
      <c r="AB9628" s="3"/>
      <c r="AC9628" s="3"/>
      <c r="AD9628" s="3"/>
      <c r="AE9628" s="3"/>
      <c r="AF9628" s="3"/>
      <c r="AG9628" s="3"/>
      <c r="AH9628" s="3"/>
    </row>
    <row r="9629" spans="1:34" ht="14.25" customHeight="1" x14ac:dyDescent="0.25">
      <c r="A9629" s="3"/>
      <c r="B9629" s="3"/>
      <c r="C9629" s="3"/>
      <c r="D9629" s="3"/>
      <c r="E9629" s="3"/>
      <c r="F9629" s="3"/>
      <c r="G9629" s="3"/>
      <c r="H9629" s="11"/>
      <c r="I9629" s="12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  <c r="AA9629" s="3"/>
      <c r="AB9629" s="3"/>
      <c r="AC9629" s="3"/>
      <c r="AD9629" s="3"/>
      <c r="AE9629" s="3"/>
      <c r="AF9629" s="3"/>
      <c r="AG9629" s="3"/>
      <c r="AH9629" s="3"/>
    </row>
    <row r="9630" spans="1:34" ht="14.25" customHeight="1" x14ac:dyDescent="0.25">
      <c r="A9630" s="3"/>
      <c r="B9630" s="3"/>
      <c r="C9630" s="3"/>
      <c r="D9630" s="3"/>
      <c r="E9630" s="3"/>
      <c r="F9630" s="3"/>
      <c r="G9630" s="3"/>
      <c r="H9630" s="11"/>
      <c r="I9630" s="12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  <c r="AA9630" s="3"/>
      <c r="AB9630" s="3"/>
      <c r="AC9630" s="3"/>
      <c r="AD9630" s="3"/>
      <c r="AE9630" s="3"/>
      <c r="AF9630" s="3"/>
      <c r="AG9630" s="3"/>
      <c r="AH9630" s="3"/>
    </row>
    <row r="9631" spans="1:34" ht="14.25" customHeight="1" x14ac:dyDescent="0.25">
      <c r="A9631" s="3"/>
      <c r="B9631" s="3"/>
      <c r="C9631" s="3"/>
      <c r="D9631" s="3"/>
      <c r="E9631" s="3"/>
      <c r="F9631" s="3"/>
      <c r="G9631" s="3"/>
      <c r="H9631" s="11"/>
      <c r="I9631" s="12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  <c r="AA9631" s="3"/>
      <c r="AB9631" s="3"/>
      <c r="AC9631" s="3"/>
      <c r="AD9631" s="3"/>
      <c r="AE9631" s="3"/>
      <c r="AF9631" s="3"/>
      <c r="AG9631" s="3"/>
      <c r="AH9631" s="3"/>
    </row>
    <row r="9632" spans="1:34" ht="14.25" customHeight="1" x14ac:dyDescent="0.25">
      <c r="A9632" s="3"/>
      <c r="B9632" s="3"/>
      <c r="C9632" s="3"/>
      <c r="D9632" s="3"/>
      <c r="E9632" s="3"/>
      <c r="F9632" s="3"/>
      <c r="G9632" s="3"/>
      <c r="H9632" s="11"/>
      <c r="I9632" s="12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  <c r="AA9632" s="3"/>
      <c r="AB9632" s="3"/>
      <c r="AC9632" s="3"/>
      <c r="AD9632" s="3"/>
      <c r="AE9632" s="3"/>
      <c r="AF9632" s="3"/>
      <c r="AG9632" s="3"/>
      <c r="AH9632" s="3"/>
    </row>
    <row r="9633" spans="1:34" ht="14.25" customHeight="1" x14ac:dyDescent="0.25">
      <c r="A9633" s="3"/>
      <c r="B9633" s="3"/>
      <c r="C9633" s="3"/>
      <c r="D9633" s="3"/>
      <c r="E9633" s="3"/>
      <c r="F9633" s="3"/>
      <c r="G9633" s="3"/>
      <c r="H9633" s="11"/>
      <c r="I9633" s="12"/>
      <c r="J9633" s="15"/>
      <c r="K9633" s="15"/>
      <c r="L9633" s="15"/>
      <c r="M9633" s="15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15"/>
      <c r="Z9633" s="15"/>
      <c r="AA9633" s="3"/>
      <c r="AB9633" s="15"/>
      <c r="AC9633" s="3"/>
      <c r="AD9633" s="3"/>
      <c r="AE9633" s="3"/>
      <c r="AF9633" s="3"/>
      <c r="AG9633" s="3"/>
      <c r="AH9633" s="3"/>
    </row>
    <row r="9634" spans="1:34" ht="14.25" customHeight="1" x14ac:dyDescent="0.25">
      <c r="A9634" s="3"/>
      <c r="B9634" s="3"/>
      <c r="C9634" s="3"/>
      <c r="D9634" s="3"/>
      <c r="E9634" s="3"/>
      <c r="F9634" s="3"/>
      <c r="G9634" s="3"/>
      <c r="H9634" s="11"/>
      <c r="I9634" s="12"/>
      <c r="J9634" s="15"/>
      <c r="K9634" s="15"/>
      <c r="L9634" s="15"/>
      <c r="M9634" s="15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15"/>
      <c r="Z9634" s="15"/>
      <c r="AA9634" s="3"/>
      <c r="AB9634" s="15"/>
      <c r="AC9634" s="3"/>
      <c r="AD9634" s="3"/>
      <c r="AE9634" s="3"/>
      <c r="AF9634" s="3"/>
      <c r="AG9634" s="3"/>
      <c r="AH9634" s="3"/>
    </row>
    <row r="9635" spans="1:34" ht="14.25" customHeight="1" x14ac:dyDescent="0.25">
      <c r="A9635" s="3"/>
      <c r="B9635" s="3"/>
      <c r="C9635" s="3"/>
      <c r="D9635" s="3"/>
      <c r="E9635" s="3"/>
      <c r="F9635" s="3"/>
      <c r="G9635" s="3"/>
      <c r="H9635" s="11"/>
      <c r="I9635" s="12"/>
      <c r="J9635" s="15"/>
      <c r="K9635" s="15"/>
      <c r="L9635" s="15"/>
      <c r="M9635" s="15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15"/>
      <c r="Z9635" s="15"/>
      <c r="AA9635" s="3"/>
      <c r="AB9635" s="15"/>
      <c r="AC9635" s="3"/>
      <c r="AD9635" s="3"/>
      <c r="AE9635" s="3"/>
      <c r="AF9635" s="3"/>
      <c r="AG9635" s="3"/>
      <c r="AH9635" s="3"/>
    </row>
    <row r="9636" spans="1:34" ht="14.25" customHeight="1" x14ac:dyDescent="0.25">
      <c r="A9636" s="3"/>
      <c r="B9636" s="3"/>
      <c r="C9636" s="3"/>
      <c r="D9636" s="3"/>
      <c r="E9636" s="3"/>
      <c r="F9636" s="3"/>
      <c r="G9636" s="3"/>
      <c r="H9636" s="11"/>
      <c r="I9636" s="12"/>
      <c r="J9636" s="15"/>
      <c r="K9636" s="15"/>
      <c r="L9636" s="15"/>
      <c r="M9636" s="15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15"/>
      <c r="Z9636" s="15"/>
      <c r="AA9636" s="3"/>
      <c r="AB9636" s="15"/>
      <c r="AC9636" s="3"/>
      <c r="AD9636" s="3"/>
      <c r="AE9636" s="3"/>
      <c r="AF9636" s="3"/>
      <c r="AG9636" s="3"/>
      <c r="AH9636" s="3"/>
    </row>
    <row r="9637" spans="1:34" ht="14.25" customHeight="1" x14ac:dyDescent="0.25">
      <c r="A9637" s="3"/>
      <c r="B9637" s="3"/>
      <c r="C9637" s="3"/>
      <c r="D9637" s="3"/>
      <c r="E9637" s="3"/>
      <c r="F9637" s="3"/>
      <c r="G9637" s="3"/>
      <c r="H9637" s="11"/>
      <c r="I9637" s="12"/>
      <c r="J9637" s="15"/>
      <c r="K9637" s="15"/>
      <c r="L9637" s="15"/>
      <c r="M9637" s="15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15"/>
      <c r="Z9637" s="15"/>
      <c r="AA9637" s="3"/>
      <c r="AB9637" s="15"/>
      <c r="AC9637" s="3"/>
      <c r="AD9637" s="3"/>
      <c r="AE9637" s="3"/>
      <c r="AF9637" s="3"/>
      <c r="AG9637" s="3"/>
      <c r="AH9637" s="3"/>
    </row>
    <row r="9638" spans="1:34" ht="14.25" customHeight="1" x14ac:dyDescent="0.25">
      <c r="A9638" s="3"/>
      <c r="B9638" s="3"/>
      <c r="C9638" s="3"/>
      <c r="D9638" s="3"/>
      <c r="E9638" s="3"/>
      <c r="F9638" s="3"/>
      <c r="G9638" s="3"/>
      <c r="H9638" s="11"/>
      <c r="I9638" s="12"/>
      <c r="J9638" s="15"/>
      <c r="K9638" s="15"/>
      <c r="L9638" s="15"/>
      <c r="M9638" s="15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15"/>
      <c r="Z9638" s="15"/>
      <c r="AA9638" s="3"/>
      <c r="AB9638" s="15"/>
      <c r="AC9638" s="3"/>
      <c r="AD9638" s="3"/>
      <c r="AE9638" s="3"/>
      <c r="AF9638" s="3"/>
      <c r="AG9638" s="3"/>
      <c r="AH9638" s="3"/>
    </row>
    <row r="9639" spans="1:34" ht="14.25" customHeight="1" x14ac:dyDescent="0.25">
      <c r="A9639" s="3"/>
      <c r="B9639" s="3"/>
      <c r="C9639" s="3"/>
      <c r="D9639" s="3"/>
      <c r="E9639" s="3"/>
      <c r="F9639" s="3"/>
      <c r="G9639" s="3"/>
      <c r="H9639" s="11"/>
      <c r="I9639" s="12"/>
      <c r="J9639" s="15"/>
      <c r="K9639" s="15"/>
      <c r="L9639" s="15"/>
      <c r="M9639" s="15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15"/>
      <c r="Z9639" s="15"/>
      <c r="AA9639" s="3"/>
      <c r="AB9639" s="15"/>
      <c r="AC9639" s="3"/>
      <c r="AD9639" s="3"/>
      <c r="AE9639" s="3"/>
      <c r="AF9639" s="3"/>
      <c r="AG9639" s="3"/>
      <c r="AH9639" s="3"/>
    </row>
    <row r="9640" spans="1:34" ht="14.25" customHeight="1" x14ac:dyDescent="0.25">
      <c r="A9640" s="3"/>
      <c r="B9640" s="3"/>
      <c r="C9640" s="3"/>
      <c r="D9640" s="3"/>
      <c r="E9640" s="3"/>
      <c r="F9640" s="3"/>
      <c r="G9640" s="3"/>
      <c r="H9640" s="11"/>
      <c r="I9640" s="12"/>
      <c r="J9640" s="15"/>
      <c r="K9640" s="15"/>
      <c r="L9640" s="15"/>
      <c r="M9640" s="15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15"/>
      <c r="Z9640" s="15"/>
      <c r="AA9640" s="3"/>
      <c r="AB9640" s="15"/>
      <c r="AC9640" s="3"/>
      <c r="AD9640" s="3"/>
      <c r="AE9640" s="3"/>
      <c r="AF9640" s="3"/>
      <c r="AG9640" s="3"/>
      <c r="AH9640" s="3"/>
    </row>
    <row r="9641" spans="1:34" ht="14.25" customHeight="1" x14ac:dyDescent="0.25">
      <c r="A9641" s="3"/>
      <c r="B9641" s="3"/>
      <c r="C9641" s="3"/>
      <c r="D9641" s="3"/>
      <c r="E9641" s="3"/>
      <c r="F9641" s="3"/>
      <c r="G9641" s="3"/>
      <c r="H9641" s="11"/>
      <c r="I9641" s="12"/>
      <c r="J9641" s="15"/>
      <c r="K9641" s="15"/>
      <c r="L9641" s="15"/>
      <c r="M9641" s="15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15"/>
      <c r="Z9641" s="15"/>
      <c r="AA9641" s="3"/>
      <c r="AB9641" s="15"/>
      <c r="AC9641" s="3"/>
      <c r="AD9641" s="3"/>
      <c r="AE9641" s="3"/>
      <c r="AF9641" s="3"/>
      <c r="AG9641" s="3"/>
      <c r="AH9641" s="3"/>
    </row>
    <row r="9642" spans="1:34" ht="14.25" customHeight="1" x14ac:dyDescent="0.25">
      <c r="A9642" s="3"/>
      <c r="B9642" s="3"/>
      <c r="C9642" s="3"/>
      <c r="D9642" s="3"/>
      <c r="E9642" s="3"/>
      <c r="F9642" s="3"/>
      <c r="G9642" s="3"/>
      <c r="H9642" s="11"/>
      <c r="I9642" s="12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  <c r="AA9642" s="3"/>
      <c r="AB9642" s="3"/>
      <c r="AC9642" s="3"/>
      <c r="AD9642" s="3"/>
      <c r="AE9642" s="3"/>
      <c r="AF9642" s="3"/>
      <c r="AG9642" s="3"/>
      <c r="AH9642" s="3"/>
    </row>
    <row r="9643" spans="1:34" ht="14.25" customHeight="1" x14ac:dyDescent="0.25">
      <c r="A9643" s="3"/>
      <c r="B9643" s="3"/>
      <c r="C9643" s="3"/>
      <c r="D9643" s="3"/>
      <c r="E9643" s="3"/>
      <c r="F9643" s="3"/>
      <c r="G9643" s="3"/>
      <c r="H9643" s="11"/>
      <c r="I9643" s="12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  <c r="AA9643" s="3"/>
      <c r="AB9643" s="3"/>
      <c r="AC9643" s="3"/>
      <c r="AD9643" s="3"/>
      <c r="AE9643" s="3"/>
      <c r="AF9643" s="3"/>
      <c r="AG9643" s="3"/>
      <c r="AH9643" s="3"/>
    </row>
    <row r="9644" spans="1:34" ht="14.25" customHeight="1" x14ac:dyDescent="0.25">
      <c r="A9644" s="3"/>
      <c r="B9644" s="3"/>
      <c r="C9644" s="3"/>
      <c r="D9644" s="3"/>
      <c r="E9644" s="3"/>
      <c r="F9644" s="3"/>
      <c r="G9644" s="3"/>
      <c r="H9644" s="11"/>
      <c r="I9644" s="12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  <c r="AA9644" s="3"/>
      <c r="AB9644" s="3"/>
      <c r="AC9644" s="3"/>
      <c r="AD9644" s="3"/>
      <c r="AE9644" s="3"/>
      <c r="AF9644" s="3"/>
      <c r="AG9644" s="3"/>
      <c r="AH9644" s="3"/>
    </row>
    <row r="9645" spans="1:34" ht="14.25" customHeight="1" x14ac:dyDescent="0.25">
      <c r="A9645" s="3"/>
      <c r="B9645" s="3"/>
      <c r="C9645" s="3"/>
      <c r="D9645" s="3"/>
      <c r="E9645" s="3"/>
      <c r="F9645" s="3"/>
      <c r="G9645" s="3"/>
      <c r="H9645" s="11"/>
      <c r="I9645" s="12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  <c r="AA9645" s="3"/>
      <c r="AB9645" s="3"/>
      <c r="AC9645" s="3"/>
      <c r="AD9645" s="3"/>
      <c r="AE9645" s="3"/>
      <c r="AF9645" s="3"/>
      <c r="AG9645" s="3"/>
      <c r="AH9645" s="3"/>
    </row>
    <row r="9646" spans="1:34" ht="14.25" customHeight="1" x14ac:dyDescent="0.25">
      <c r="A9646" s="3"/>
      <c r="B9646" s="3"/>
      <c r="C9646" s="3"/>
      <c r="D9646" s="3"/>
      <c r="E9646" s="3"/>
      <c r="F9646" s="3"/>
      <c r="G9646" s="3"/>
      <c r="H9646" s="11"/>
      <c r="I9646" s="12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  <c r="AA9646" s="3"/>
      <c r="AB9646" s="3"/>
      <c r="AC9646" s="3"/>
      <c r="AD9646" s="3"/>
      <c r="AE9646" s="3"/>
      <c r="AF9646" s="3"/>
      <c r="AG9646" s="3"/>
      <c r="AH9646" s="3"/>
    </row>
    <row r="9647" spans="1:34" ht="14.25" customHeight="1" x14ac:dyDescent="0.25">
      <c r="A9647" s="3"/>
      <c r="B9647" s="3"/>
      <c r="C9647" s="3"/>
      <c r="D9647" s="3"/>
      <c r="E9647" s="3"/>
      <c r="F9647" s="3"/>
      <c r="G9647" s="3"/>
      <c r="H9647" s="11"/>
      <c r="I9647" s="12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  <c r="AA9647" s="3"/>
      <c r="AB9647" s="3"/>
      <c r="AC9647" s="3"/>
      <c r="AD9647" s="3"/>
      <c r="AE9647" s="3"/>
      <c r="AF9647" s="3"/>
      <c r="AG9647" s="3"/>
      <c r="AH9647" s="3"/>
    </row>
    <row r="9648" spans="1:34" ht="14.25" customHeight="1" x14ac:dyDescent="0.25">
      <c r="A9648" s="3"/>
      <c r="B9648" s="3"/>
      <c r="C9648" s="3"/>
      <c r="D9648" s="3"/>
      <c r="E9648" s="3"/>
      <c r="F9648" s="3"/>
      <c r="G9648" s="3"/>
      <c r="H9648" s="11"/>
      <c r="I9648" s="12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  <c r="AA9648" s="3"/>
      <c r="AB9648" s="3"/>
      <c r="AC9648" s="3"/>
      <c r="AD9648" s="3"/>
      <c r="AE9648" s="3"/>
      <c r="AF9648" s="3"/>
      <c r="AG9648" s="3"/>
      <c r="AH9648" s="3"/>
    </row>
    <row r="9649" spans="1:34" ht="14.25" customHeight="1" x14ac:dyDescent="0.25">
      <c r="A9649" s="3"/>
      <c r="B9649" s="3"/>
      <c r="C9649" s="3"/>
      <c r="D9649" s="3"/>
      <c r="E9649" s="3"/>
      <c r="F9649" s="3"/>
      <c r="G9649" s="3"/>
      <c r="H9649" s="11"/>
      <c r="I9649" s="12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  <c r="AA9649" s="3"/>
      <c r="AB9649" s="3"/>
      <c r="AC9649" s="3"/>
      <c r="AD9649" s="3"/>
      <c r="AE9649" s="3"/>
      <c r="AF9649" s="3"/>
      <c r="AG9649" s="3"/>
      <c r="AH9649" s="3"/>
    </row>
    <row r="9650" spans="1:34" ht="14.25" customHeight="1" x14ac:dyDescent="0.25">
      <c r="A9650" s="3"/>
      <c r="B9650" s="3"/>
      <c r="C9650" s="3"/>
      <c r="D9650" s="3"/>
      <c r="E9650" s="3"/>
      <c r="F9650" s="3"/>
      <c r="G9650" s="3"/>
      <c r="H9650" s="11"/>
      <c r="I9650" s="12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  <c r="AA9650" s="3"/>
      <c r="AB9650" s="3"/>
      <c r="AC9650" s="3"/>
      <c r="AD9650" s="3"/>
      <c r="AE9650" s="3"/>
      <c r="AF9650" s="3"/>
      <c r="AG9650" s="3"/>
      <c r="AH9650" s="3"/>
    </row>
    <row r="9651" spans="1:34" ht="14.25" customHeight="1" x14ac:dyDescent="0.25">
      <c r="A9651" s="3"/>
      <c r="B9651" s="3"/>
      <c r="C9651" s="3"/>
      <c r="D9651" s="3"/>
      <c r="E9651" s="3"/>
      <c r="F9651" s="3"/>
      <c r="G9651" s="3"/>
      <c r="H9651" s="11"/>
      <c r="I9651" s="12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  <c r="AA9651" s="3"/>
      <c r="AB9651" s="3"/>
      <c r="AC9651" s="3"/>
      <c r="AD9651" s="3"/>
      <c r="AE9651" s="3"/>
      <c r="AF9651" s="3"/>
      <c r="AG9651" s="3"/>
      <c r="AH9651" s="3"/>
    </row>
    <row r="9652" spans="1:34" ht="14.25" customHeight="1" x14ac:dyDescent="0.25">
      <c r="A9652" s="3"/>
      <c r="B9652" s="3"/>
      <c r="C9652" s="3"/>
      <c r="D9652" s="3"/>
      <c r="E9652" s="3"/>
      <c r="F9652" s="3"/>
      <c r="G9652" s="3"/>
      <c r="H9652" s="11"/>
      <c r="I9652" s="12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  <c r="AA9652" s="3"/>
      <c r="AB9652" s="3"/>
      <c r="AC9652" s="3"/>
      <c r="AD9652" s="3"/>
      <c r="AE9652" s="3"/>
      <c r="AF9652" s="3"/>
      <c r="AG9652" s="3"/>
      <c r="AH9652" s="3"/>
    </row>
    <row r="9653" spans="1:34" ht="14.25" customHeight="1" x14ac:dyDescent="0.25">
      <c r="A9653" s="3"/>
      <c r="B9653" s="3"/>
      <c r="C9653" s="3"/>
      <c r="D9653" s="3"/>
      <c r="E9653" s="3"/>
      <c r="F9653" s="3"/>
      <c r="G9653" s="3"/>
      <c r="H9653" s="11"/>
      <c r="I9653" s="12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  <c r="AA9653" s="3"/>
      <c r="AB9653" s="3"/>
      <c r="AC9653" s="3"/>
      <c r="AD9653" s="3"/>
      <c r="AE9653" s="3"/>
      <c r="AF9653" s="3"/>
      <c r="AG9653" s="3"/>
      <c r="AH9653" s="3"/>
    </row>
    <row r="9654" spans="1:34" ht="14.25" customHeight="1" x14ac:dyDescent="0.25">
      <c r="A9654" s="3"/>
      <c r="B9654" s="3"/>
      <c r="C9654" s="3"/>
      <c r="D9654" s="3"/>
      <c r="E9654" s="3"/>
      <c r="F9654" s="3"/>
      <c r="G9654" s="3"/>
      <c r="H9654" s="11"/>
      <c r="I9654" s="12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  <c r="AA9654" s="3"/>
      <c r="AB9654" s="3"/>
      <c r="AC9654" s="3"/>
      <c r="AD9654" s="3"/>
      <c r="AE9654" s="3"/>
      <c r="AF9654" s="3"/>
      <c r="AG9654" s="3"/>
      <c r="AH9654" s="3"/>
    </row>
    <row r="9655" spans="1:34" ht="14.25" customHeight="1" x14ac:dyDescent="0.25">
      <c r="A9655" s="3"/>
      <c r="B9655" s="3"/>
      <c r="C9655" s="3"/>
      <c r="D9655" s="3"/>
      <c r="E9655" s="3"/>
      <c r="F9655" s="3"/>
      <c r="G9655" s="3"/>
      <c r="H9655" s="11"/>
      <c r="I9655" s="12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  <c r="AA9655" s="3"/>
      <c r="AB9655" s="3"/>
      <c r="AC9655" s="3"/>
      <c r="AD9655" s="3"/>
      <c r="AE9655" s="3"/>
      <c r="AF9655" s="3"/>
      <c r="AG9655" s="3"/>
      <c r="AH9655" s="3"/>
    </row>
    <row r="9656" spans="1:34" ht="14.25" customHeight="1" x14ac:dyDescent="0.25">
      <c r="A9656" s="3"/>
      <c r="B9656" s="3"/>
      <c r="C9656" s="3"/>
      <c r="D9656" s="3"/>
      <c r="E9656" s="3"/>
      <c r="F9656" s="3"/>
      <c r="G9656" s="3"/>
      <c r="H9656" s="11"/>
      <c r="I9656" s="12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  <c r="AA9656" s="3"/>
      <c r="AB9656" s="3"/>
      <c r="AC9656" s="3"/>
      <c r="AD9656" s="3"/>
      <c r="AE9656" s="3"/>
      <c r="AF9656" s="3"/>
      <c r="AG9656" s="3"/>
      <c r="AH9656" s="3"/>
    </row>
    <row r="9657" spans="1:34" ht="14.25" customHeight="1" x14ac:dyDescent="0.25">
      <c r="A9657" s="3"/>
      <c r="B9657" s="3"/>
      <c r="C9657" s="3"/>
      <c r="D9657" s="3"/>
      <c r="E9657" s="3"/>
      <c r="F9657" s="3"/>
      <c r="G9657" s="3"/>
      <c r="H9657" s="11"/>
      <c r="I9657" s="12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  <c r="AA9657" s="3"/>
      <c r="AB9657" s="3"/>
      <c r="AC9657" s="3"/>
      <c r="AD9657" s="3"/>
      <c r="AE9657" s="3"/>
      <c r="AF9657" s="3"/>
      <c r="AG9657" s="3"/>
      <c r="AH9657" s="3"/>
    </row>
    <row r="9658" spans="1:34" ht="14.25" customHeight="1" x14ac:dyDescent="0.25">
      <c r="A9658" s="3"/>
      <c r="B9658" s="3"/>
      <c r="C9658" s="3"/>
      <c r="D9658" s="3"/>
      <c r="E9658" s="3"/>
      <c r="F9658" s="3"/>
      <c r="G9658" s="3"/>
      <c r="H9658" s="11"/>
      <c r="I9658" s="12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  <c r="AA9658" s="3"/>
      <c r="AB9658" s="3"/>
      <c r="AC9658" s="3"/>
      <c r="AD9658" s="3"/>
      <c r="AE9658" s="3"/>
      <c r="AF9658" s="3"/>
      <c r="AG9658" s="3"/>
      <c r="AH9658" s="3"/>
    </row>
    <row r="9659" spans="1:34" ht="14.25" customHeight="1" x14ac:dyDescent="0.25">
      <c r="A9659" s="3"/>
      <c r="B9659" s="3"/>
      <c r="C9659" s="3"/>
      <c r="D9659" s="3"/>
      <c r="E9659" s="3"/>
      <c r="F9659" s="3"/>
      <c r="G9659" s="3"/>
      <c r="H9659" s="11"/>
      <c r="I9659" s="12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  <c r="AA9659" s="3"/>
      <c r="AB9659" s="3"/>
      <c r="AC9659" s="3"/>
      <c r="AD9659" s="3"/>
      <c r="AE9659" s="3"/>
      <c r="AF9659" s="3"/>
      <c r="AG9659" s="3"/>
      <c r="AH9659" s="3"/>
    </row>
    <row r="9660" spans="1:34" ht="14.25" customHeight="1" x14ac:dyDescent="0.25">
      <c r="A9660" s="3"/>
      <c r="B9660" s="3"/>
      <c r="C9660" s="3"/>
      <c r="D9660" s="3"/>
      <c r="E9660" s="3"/>
      <c r="F9660" s="3"/>
      <c r="G9660" s="3"/>
      <c r="H9660" s="11"/>
      <c r="I9660" s="12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  <c r="AA9660" s="3"/>
      <c r="AB9660" s="3"/>
      <c r="AC9660" s="3"/>
      <c r="AD9660" s="3"/>
      <c r="AE9660" s="3"/>
      <c r="AF9660" s="3"/>
      <c r="AG9660" s="3"/>
      <c r="AH9660" s="3"/>
    </row>
    <row r="9661" spans="1:34" ht="14.25" customHeight="1" x14ac:dyDescent="0.25">
      <c r="A9661" s="3"/>
      <c r="B9661" s="3"/>
      <c r="C9661" s="3"/>
      <c r="D9661" s="3"/>
      <c r="E9661" s="3"/>
      <c r="F9661" s="3"/>
      <c r="G9661" s="3"/>
      <c r="H9661" s="11"/>
      <c r="I9661" s="12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  <c r="AA9661" s="3"/>
      <c r="AB9661" s="3"/>
      <c r="AC9661" s="3"/>
      <c r="AD9661" s="3"/>
      <c r="AE9661" s="3"/>
      <c r="AF9661" s="3"/>
      <c r="AG9661" s="3"/>
      <c r="AH9661" s="3"/>
    </row>
    <row r="9662" spans="1:34" ht="14.25" customHeight="1" x14ac:dyDescent="0.25">
      <c r="A9662" s="3"/>
      <c r="B9662" s="3"/>
      <c r="C9662" s="3"/>
      <c r="D9662" s="3"/>
      <c r="E9662" s="3"/>
      <c r="F9662" s="3"/>
      <c r="G9662" s="3"/>
      <c r="H9662" s="11"/>
      <c r="I9662" s="12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  <c r="AA9662" s="3"/>
      <c r="AB9662" s="3"/>
      <c r="AC9662" s="3"/>
      <c r="AD9662" s="3"/>
      <c r="AE9662" s="3"/>
      <c r="AF9662" s="3"/>
      <c r="AG9662" s="3"/>
      <c r="AH9662" s="3"/>
    </row>
    <row r="9663" spans="1:34" ht="14.25" customHeight="1" x14ac:dyDescent="0.25">
      <c r="A9663" s="3"/>
      <c r="B9663" s="3"/>
      <c r="C9663" s="3"/>
      <c r="D9663" s="3"/>
      <c r="E9663" s="3"/>
      <c r="F9663" s="3"/>
      <c r="G9663" s="3"/>
      <c r="H9663" s="11"/>
      <c r="I9663" s="12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  <c r="AA9663" s="3"/>
      <c r="AB9663" s="3"/>
      <c r="AC9663" s="3"/>
      <c r="AD9663" s="3"/>
      <c r="AE9663" s="3"/>
      <c r="AF9663" s="3"/>
      <c r="AG9663" s="3"/>
      <c r="AH9663" s="3"/>
    </row>
    <row r="9664" spans="1:34" ht="14.25" customHeight="1" x14ac:dyDescent="0.25">
      <c r="A9664" s="3"/>
      <c r="B9664" s="3"/>
      <c r="C9664" s="3"/>
      <c r="D9664" s="3"/>
      <c r="E9664" s="3"/>
      <c r="F9664" s="3"/>
      <c r="G9664" s="3"/>
      <c r="H9664" s="11"/>
      <c r="I9664" s="12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  <c r="AA9664" s="3"/>
      <c r="AB9664" s="3"/>
      <c r="AC9664" s="3"/>
      <c r="AD9664" s="3"/>
      <c r="AE9664" s="3"/>
      <c r="AF9664" s="3"/>
      <c r="AG9664" s="3"/>
      <c r="AH9664" s="3"/>
    </row>
    <row r="9665" spans="1:34" ht="14.25" customHeight="1" x14ac:dyDescent="0.25">
      <c r="A9665" s="3"/>
      <c r="B9665" s="3"/>
      <c r="C9665" s="3"/>
      <c r="D9665" s="3"/>
      <c r="E9665" s="3"/>
      <c r="F9665" s="3"/>
      <c r="G9665" s="3"/>
      <c r="H9665" s="11"/>
      <c r="I9665" s="12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  <c r="AA9665" s="3"/>
      <c r="AB9665" s="3"/>
      <c r="AC9665" s="3"/>
      <c r="AD9665" s="3"/>
      <c r="AE9665" s="3"/>
      <c r="AF9665" s="3"/>
      <c r="AG9665" s="3"/>
      <c r="AH9665" s="3"/>
    </row>
    <row r="9666" spans="1:34" ht="14.25" customHeight="1" x14ac:dyDescent="0.25">
      <c r="A9666" s="3"/>
      <c r="B9666" s="3"/>
      <c r="C9666" s="3"/>
      <c r="D9666" s="3"/>
      <c r="E9666" s="3"/>
      <c r="F9666" s="3"/>
      <c r="G9666" s="3"/>
      <c r="H9666" s="11"/>
      <c r="I9666" s="12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  <c r="AA9666" s="3"/>
      <c r="AB9666" s="3"/>
      <c r="AC9666" s="3"/>
      <c r="AD9666" s="3"/>
      <c r="AE9666" s="3"/>
      <c r="AF9666" s="3"/>
      <c r="AG9666" s="3"/>
      <c r="AH9666" s="3"/>
    </row>
    <row r="9667" spans="1:34" ht="14.25" customHeight="1" x14ac:dyDescent="0.25">
      <c r="A9667" s="3"/>
      <c r="B9667" s="3"/>
      <c r="C9667" s="3"/>
      <c r="D9667" s="3"/>
      <c r="E9667" s="3"/>
      <c r="F9667" s="3"/>
      <c r="G9667" s="3"/>
      <c r="H9667" s="11"/>
      <c r="I9667" s="12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  <c r="AA9667" s="3"/>
      <c r="AB9667" s="3"/>
      <c r="AC9667" s="3"/>
      <c r="AD9667" s="3"/>
      <c r="AE9667" s="3"/>
      <c r="AF9667" s="3"/>
      <c r="AG9667" s="3"/>
      <c r="AH9667" s="3"/>
    </row>
    <row r="9668" spans="1:34" ht="14.25" customHeight="1" x14ac:dyDescent="0.25">
      <c r="A9668" s="3"/>
      <c r="B9668" s="3"/>
      <c r="C9668" s="3"/>
      <c r="D9668" s="3"/>
      <c r="E9668" s="3"/>
      <c r="F9668" s="3"/>
      <c r="G9668" s="3"/>
      <c r="H9668" s="11"/>
      <c r="I9668" s="12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  <c r="AA9668" s="3"/>
      <c r="AB9668" s="3"/>
      <c r="AC9668" s="3"/>
      <c r="AD9668" s="3"/>
      <c r="AE9668" s="3"/>
      <c r="AF9668" s="3"/>
      <c r="AG9668" s="3"/>
      <c r="AH9668" s="3"/>
    </row>
    <row r="9669" spans="1:34" ht="14.25" customHeight="1" x14ac:dyDescent="0.25">
      <c r="A9669" s="3"/>
      <c r="B9669" s="3"/>
      <c r="C9669" s="3"/>
      <c r="D9669" s="3"/>
      <c r="E9669" s="3"/>
      <c r="F9669" s="3"/>
      <c r="G9669" s="3"/>
      <c r="H9669" s="11"/>
      <c r="I9669" s="12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  <c r="AA9669" s="3"/>
      <c r="AB9669" s="3"/>
      <c r="AC9669" s="3"/>
      <c r="AD9669" s="3"/>
      <c r="AE9669" s="3"/>
      <c r="AF9669" s="3"/>
      <c r="AG9669" s="3"/>
      <c r="AH9669" s="3"/>
    </row>
    <row r="9670" spans="1:34" ht="14.25" customHeight="1" x14ac:dyDescent="0.25">
      <c r="A9670" s="3"/>
      <c r="B9670" s="3"/>
      <c r="C9670" s="3"/>
      <c r="D9670" s="3"/>
      <c r="E9670" s="3"/>
      <c r="F9670" s="3"/>
      <c r="G9670" s="3"/>
      <c r="H9670" s="11"/>
      <c r="I9670" s="12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  <c r="AA9670" s="3"/>
      <c r="AB9670" s="3"/>
      <c r="AC9670" s="3"/>
      <c r="AD9670" s="3"/>
      <c r="AE9670" s="3"/>
      <c r="AF9670" s="3"/>
      <c r="AG9670" s="3"/>
      <c r="AH9670" s="3"/>
    </row>
    <row r="9671" spans="1:34" ht="14.25" customHeight="1" x14ac:dyDescent="0.25">
      <c r="A9671" s="3"/>
      <c r="B9671" s="3"/>
      <c r="C9671" s="3"/>
      <c r="D9671" s="3"/>
      <c r="E9671" s="3"/>
      <c r="F9671" s="3"/>
      <c r="G9671" s="3"/>
      <c r="H9671" s="11"/>
      <c r="I9671" s="12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  <c r="AA9671" s="3"/>
      <c r="AB9671" s="3"/>
      <c r="AC9671" s="3"/>
      <c r="AD9671" s="3"/>
      <c r="AE9671" s="3"/>
      <c r="AF9671" s="3"/>
      <c r="AG9671" s="3"/>
      <c r="AH9671" s="3"/>
    </row>
    <row r="9672" spans="1:34" ht="14.25" customHeight="1" x14ac:dyDescent="0.25">
      <c r="A9672" s="3"/>
      <c r="B9672" s="3"/>
      <c r="C9672" s="3"/>
      <c r="D9672" s="3"/>
      <c r="E9672" s="3"/>
      <c r="F9672" s="3"/>
      <c r="G9672" s="3"/>
      <c r="H9672" s="11"/>
      <c r="I9672" s="12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  <c r="AA9672" s="3"/>
      <c r="AB9672" s="3"/>
      <c r="AC9672" s="3"/>
      <c r="AD9672" s="3"/>
      <c r="AE9672" s="3"/>
      <c r="AF9672" s="3"/>
      <c r="AG9672" s="3"/>
      <c r="AH9672" s="3"/>
    </row>
    <row r="9673" spans="1:34" ht="14.25" customHeight="1" x14ac:dyDescent="0.25">
      <c r="A9673" s="3"/>
      <c r="B9673" s="3"/>
      <c r="C9673" s="3"/>
      <c r="D9673" s="3"/>
      <c r="E9673" s="3"/>
      <c r="F9673" s="3"/>
      <c r="G9673" s="3"/>
      <c r="H9673" s="11"/>
      <c r="I9673" s="12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  <c r="AA9673" s="3"/>
      <c r="AB9673" s="3"/>
      <c r="AC9673" s="3"/>
      <c r="AD9673" s="3"/>
      <c r="AE9673" s="3"/>
      <c r="AF9673" s="3"/>
      <c r="AG9673" s="3"/>
      <c r="AH9673" s="3"/>
    </row>
    <row r="9674" spans="1:34" ht="14.25" customHeight="1" x14ac:dyDescent="0.25">
      <c r="A9674" s="3"/>
      <c r="B9674" s="3"/>
      <c r="C9674" s="3"/>
      <c r="D9674" s="3"/>
      <c r="E9674" s="3"/>
      <c r="F9674" s="3"/>
      <c r="G9674" s="3"/>
      <c r="H9674" s="11"/>
      <c r="I9674" s="12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  <c r="AA9674" s="3"/>
      <c r="AB9674" s="3"/>
      <c r="AC9674" s="3"/>
      <c r="AD9674" s="3"/>
      <c r="AE9674" s="3"/>
      <c r="AF9674" s="3"/>
      <c r="AG9674" s="3"/>
      <c r="AH9674" s="3"/>
    </row>
    <row r="9675" spans="1:34" ht="14.25" customHeight="1" x14ac:dyDescent="0.25">
      <c r="A9675" s="3"/>
      <c r="B9675" s="3"/>
      <c r="C9675" s="3"/>
      <c r="D9675" s="3"/>
      <c r="E9675" s="3"/>
      <c r="F9675" s="3"/>
      <c r="G9675" s="3"/>
      <c r="H9675" s="11"/>
      <c r="I9675" s="12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  <c r="AA9675" s="3"/>
      <c r="AB9675" s="3"/>
      <c r="AC9675" s="3"/>
      <c r="AD9675" s="3"/>
      <c r="AE9675" s="3"/>
      <c r="AF9675" s="3"/>
      <c r="AG9675" s="3"/>
      <c r="AH9675" s="3"/>
    </row>
    <row r="9676" spans="1:34" ht="14.25" customHeight="1" x14ac:dyDescent="0.25">
      <c r="A9676" s="3"/>
      <c r="B9676" s="3"/>
      <c r="C9676" s="3"/>
      <c r="D9676" s="3"/>
      <c r="E9676" s="3"/>
      <c r="F9676" s="3"/>
      <c r="G9676" s="3"/>
      <c r="H9676" s="11"/>
      <c r="I9676" s="12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  <c r="AA9676" s="3"/>
      <c r="AB9676" s="3"/>
      <c r="AC9676" s="3"/>
      <c r="AD9676" s="3"/>
      <c r="AE9676" s="3"/>
      <c r="AF9676" s="3"/>
      <c r="AG9676" s="3"/>
      <c r="AH9676" s="3"/>
    </row>
    <row r="9677" spans="1:34" ht="14.25" customHeight="1" x14ac:dyDescent="0.25">
      <c r="A9677" s="3"/>
      <c r="B9677" s="3"/>
      <c r="C9677" s="3"/>
      <c r="D9677" s="3"/>
      <c r="E9677" s="3"/>
      <c r="F9677" s="3"/>
      <c r="G9677" s="3"/>
      <c r="H9677" s="11"/>
      <c r="I9677" s="12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  <c r="AA9677" s="3"/>
      <c r="AB9677" s="3"/>
      <c r="AC9677" s="3"/>
      <c r="AD9677" s="3"/>
      <c r="AE9677" s="3"/>
      <c r="AF9677" s="3"/>
      <c r="AG9677" s="3"/>
      <c r="AH9677" s="3"/>
    </row>
    <row r="9678" spans="1:34" ht="14.25" customHeight="1" x14ac:dyDescent="0.25">
      <c r="A9678" s="3"/>
      <c r="B9678" s="3"/>
      <c r="C9678" s="3"/>
      <c r="D9678" s="3"/>
      <c r="E9678" s="3"/>
      <c r="F9678" s="3"/>
      <c r="G9678" s="3"/>
      <c r="H9678" s="11"/>
      <c r="I9678" s="12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  <c r="AA9678" s="3"/>
      <c r="AB9678" s="3"/>
      <c r="AC9678" s="3"/>
      <c r="AD9678" s="3"/>
      <c r="AE9678" s="3"/>
      <c r="AF9678" s="3"/>
      <c r="AG9678" s="3"/>
      <c r="AH9678" s="3"/>
    </row>
    <row r="9679" spans="1:34" ht="14.25" customHeight="1" x14ac:dyDescent="0.25">
      <c r="A9679" s="3"/>
      <c r="B9679" s="3"/>
      <c r="C9679" s="3"/>
      <c r="D9679" s="3"/>
      <c r="E9679" s="3"/>
      <c r="F9679" s="3"/>
      <c r="G9679" s="3"/>
      <c r="H9679" s="11"/>
      <c r="I9679" s="12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  <c r="AA9679" s="3"/>
      <c r="AB9679" s="3"/>
      <c r="AC9679" s="3"/>
      <c r="AD9679" s="3"/>
      <c r="AE9679" s="3"/>
      <c r="AF9679" s="3"/>
      <c r="AG9679" s="3"/>
      <c r="AH9679" s="3"/>
    </row>
    <row r="9680" spans="1:34" ht="14.25" customHeight="1" x14ac:dyDescent="0.25">
      <c r="A9680" s="3"/>
      <c r="B9680" s="3"/>
      <c r="C9680" s="3"/>
      <c r="D9680" s="3"/>
      <c r="E9680" s="3"/>
      <c r="F9680" s="3"/>
      <c r="G9680" s="3"/>
      <c r="H9680" s="11"/>
      <c r="I9680" s="12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  <c r="AA9680" s="3"/>
      <c r="AB9680" s="3"/>
      <c r="AC9680" s="3"/>
      <c r="AD9680" s="3"/>
      <c r="AE9680" s="3"/>
      <c r="AF9680" s="3"/>
      <c r="AG9680" s="3"/>
      <c r="AH9680" s="3"/>
    </row>
    <row r="9681" spans="1:34" ht="14.25" customHeight="1" x14ac:dyDescent="0.25">
      <c r="A9681" s="3"/>
      <c r="B9681" s="3"/>
      <c r="C9681" s="3"/>
      <c r="D9681" s="3"/>
      <c r="E9681" s="3"/>
      <c r="F9681" s="3"/>
      <c r="G9681" s="3"/>
      <c r="H9681" s="11"/>
      <c r="I9681" s="12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  <c r="AA9681" s="3"/>
      <c r="AB9681" s="3"/>
      <c r="AC9681" s="3"/>
      <c r="AD9681" s="3"/>
      <c r="AE9681" s="3"/>
      <c r="AF9681" s="3"/>
      <c r="AG9681" s="3"/>
      <c r="AH9681" s="3"/>
    </row>
    <row r="9682" spans="1:34" ht="14.25" customHeight="1" x14ac:dyDescent="0.25">
      <c r="A9682" s="3"/>
      <c r="B9682" s="3"/>
      <c r="C9682" s="3"/>
      <c r="D9682" s="3"/>
      <c r="E9682" s="3"/>
      <c r="F9682" s="3"/>
      <c r="G9682" s="3"/>
      <c r="H9682" s="11"/>
      <c r="I9682" s="12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  <c r="AA9682" s="3"/>
      <c r="AB9682" s="3"/>
      <c r="AC9682" s="3"/>
      <c r="AD9682" s="3"/>
      <c r="AE9682" s="3"/>
      <c r="AF9682" s="3"/>
      <c r="AG9682" s="3"/>
      <c r="AH9682" s="3"/>
    </row>
    <row r="9683" spans="1:34" ht="14.25" customHeight="1" x14ac:dyDescent="0.25">
      <c r="A9683" s="3"/>
      <c r="B9683" s="3"/>
      <c r="C9683" s="3"/>
      <c r="D9683" s="3"/>
      <c r="E9683" s="3"/>
      <c r="F9683" s="3"/>
      <c r="G9683" s="3"/>
      <c r="H9683" s="11"/>
      <c r="I9683" s="12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  <c r="AA9683" s="3"/>
      <c r="AB9683" s="3"/>
      <c r="AC9683" s="3"/>
      <c r="AD9683" s="3"/>
      <c r="AE9683" s="3"/>
      <c r="AF9683" s="3"/>
      <c r="AG9683" s="3"/>
      <c r="AH9683" s="3"/>
    </row>
    <row r="9684" spans="1:34" ht="14.25" customHeight="1" x14ac:dyDescent="0.25">
      <c r="A9684" s="3"/>
      <c r="B9684" s="3"/>
      <c r="C9684" s="3"/>
      <c r="D9684" s="3"/>
      <c r="E9684" s="3"/>
      <c r="F9684" s="3"/>
      <c r="G9684" s="3"/>
      <c r="H9684" s="11"/>
      <c r="I9684" s="12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  <c r="AA9684" s="3"/>
      <c r="AB9684" s="3"/>
      <c r="AC9684" s="3"/>
      <c r="AD9684" s="3"/>
      <c r="AE9684" s="3"/>
      <c r="AF9684" s="3"/>
      <c r="AG9684" s="3"/>
      <c r="AH9684" s="3"/>
    </row>
    <row r="9685" spans="1:34" ht="14.25" customHeight="1" x14ac:dyDescent="0.25">
      <c r="A9685" s="3"/>
      <c r="B9685" s="3"/>
      <c r="C9685" s="3"/>
      <c r="D9685" s="3"/>
      <c r="E9685" s="3"/>
      <c r="F9685" s="3"/>
      <c r="G9685" s="3"/>
      <c r="H9685" s="11"/>
      <c r="I9685" s="12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  <c r="AA9685" s="3"/>
      <c r="AB9685" s="3"/>
      <c r="AC9685" s="3"/>
      <c r="AD9685" s="3"/>
      <c r="AE9685" s="3"/>
      <c r="AF9685" s="3"/>
      <c r="AG9685" s="3"/>
      <c r="AH9685" s="3"/>
    </row>
    <row r="9686" spans="1:34" ht="14.25" customHeight="1" x14ac:dyDescent="0.25">
      <c r="A9686" s="3"/>
      <c r="B9686" s="3"/>
      <c r="C9686" s="3"/>
      <c r="D9686" s="3"/>
      <c r="E9686" s="3"/>
      <c r="F9686" s="3"/>
      <c r="G9686" s="3"/>
      <c r="H9686" s="11"/>
      <c r="I9686" s="12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  <c r="AA9686" s="3"/>
      <c r="AB9686" s="3"/>
      <c r="AC9686" s="3"/>
      <c r="AD9686" s="3"/>
      <c r="AE9686" s="3"/>
      <c r="AF9686" s="3"/>
      <c r="AG9686" s="3"/>
      <c r="AH9686" s="3"/>
    </row>
    <row r="9687" spans="1:34" ht="14.25" customHeight="1" x14ac:dyDescent="0.25">
      <c r="A9687" s="3"/>
      <c r="B9687" s="3"/>
      <c r="C9687" s="3"/>
      <c r="D9687" s="3"/>
      <c r="E9687" s="3"/>
      <c r="F9687" s="3"/>
      <c r="G9687" s="3"/>
      <c r="H9687" s="11"/>
      <c r="I9687" s="12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  <c r="AA9687" s="3"/>
      <c r="AB9687" s="3"/>
      <c r="AC9687" s="3"/>
      <c r="AD9687" s="3"/>
      <c r="AE9687" s="3"/>
      <c r="AF9687" s="3"/>
      <c r="AG9687" s="3"/>
      <c r="AH9687" s="3"/>
    </row>
    <row r="9688" spans="1:34" ht="14.25" customHeight="1" x14ac:dyDescent="0.25">
      <c r="A9688" s="3"/>
      <c r="B9688" s="3"/>
      <c r="C9688" s="3"/>
      <c r="D9688" s="3"/>
      <c r="E9688" s="3"/>
      <c r="F9688" s="3"/>
      <c r="G9688" s="3"/>
      <c r="H9688" s="11"/>
      <c r="I9688" s="12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  <c r="AA9688" s="3"/>
      <c r="AB9688" s="3"/>
      <c r="AC9688" s="3"/>
      <c r="AD9688" s="3"/>
      <c r="AE9688" s="3"/>
      <c r="AF9688" s="3"/>
      <c r="AG9688" s="3"/>
      <c r="AH9688" s="3"/>
    </row>
    <row r="9689" spans="1:34" ht="14.25" customHeight="1" x14ac:dyDescent="0.25">
      <c r="A9689" s="3"/>
      <c r="B9689" s="3"/>
      <c r="C9689" s="3"/>
      <c r="D9689" s="3"/>
      <c r="E9689" s="3"/>
      <c r="F9689" s="3"/>
      <c r="G9689" s="3"/>
      <c r="H9689" s="11"/>
      <c r="I9689" s="12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  <c r="AA9689" s="3"/>
      <c r="AB9689" s="3"/>
      <c r="AC9689" s="3"/>
      <c r="AD9689" s="3"/>
      <c r="AE9689" s="3"/>
      <c r="AF9689" s="3"/>
      <c r="AG9689" s="3"/>
      <c r="AH9689" s="3"/>
    </row>
    <row r="9690" spans="1:34" ht="14.25" customHeight="1" x14ac:dyDescent="0.25">
      <c r="A9690" s="3"/>
      <c r="B9690" s="3"/>
      <c r="C9690" s="3"/>
      <c r="D9690" s="3"/>
      <c r="E9690" s="3"/>
      <c r="F9690" s="3"/>
      <c r="G9690" s="3"/>
      <c r="H9690" s="11"/>
      <c r="I9690" s="12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  <c r="AA9690" s="3"/>
      <c r="AB9690" s="3"/>
      <c r="AC9690" s="3"/>
      <c r="AD9690" s="3"/>
      <c r="AE9690" s="3"/>
      <c r="AF9690" s="3"/>
      <c r="AG9690" s="3"/>
      <c r="AH9690" s="3"/>
    </row>
    <row r="9691" spans="1:34" ht="14.25" customHeight="1" x14ac:dyDescent="0.25">
      <c r="A9691" s="3"/>
      <c r="B9691" s="3"/>
      <c r="C9691" s="3"/>
      <c r="D9691" s="3"/>
      <c r="E9691" s="3"/>
      <c r="F9691" s="3"/>
      <c r="G9691" s="3"/>
      <c r="H9691" s="11"/>
      <c r="I9691" s="12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  <c r="AA9691" s="3"/>
      <c r="AB9691" s="3"/>
      <c r="AC9691" s="3"/>
      <c r="AD9691" s="3"/>
      <c r="AE9691" s="3"/>
      <c r="AF9691" s="3"/>
      <c r="AG9691" s="3"/>
      <c r="AH9691" s="3"/>
    </row>
    <row r="9692" spans="1:34" ht="14.25" customHeight="1" x14ac:dyDescent="0.25">
      <c r="A9692" s="3"/>
      <c r="B9692" s="3"/>
      <c r="C9692" s="3"/>
      <c r="D9692" s="3"/>
      <c r="E9692" s="3"/>
      <c r="F9692" s="3"/>
      <c r="G9692" s="3"/>
      <c r="H9692" s="11"/>
      <c r="I9692" s="12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  <c r="AA9692" s="3"/>
      <c r="AB9692" s="3"/>
      <c r="AC9692" s="3"/>
      <c r="AD9692" s="3"/>
      <c r="AE9692" s="3"/>
      <c r="AF9692" s="3"/>
      <c r="AG9692" s="3"/>
      <c r="AH9692" s="3"/>
    </row>
    <row r="9693" spans="1:34" ht="14.25" customHeight="1" x14ac:dyDescent="0.25">
      <c r="A9693" s="3"/>
      <c r="B9693" s="3"/>
      <c r="C9693" s="3"/>
      <c r="D9693" s="3"/>
      <c r="E9693" s="3"/>
      <c r="F9693" s="3"/>
      <c r="G9693" s="3"/>
      <c r="H9693" s="11"/>
      <c r="I9693" s="12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  <c r="AA9693" s="3"/>
      <c r="AB9693" s="3"/>
      <c r="AC9693" s="3"/>
      <c r="AD9693" s="3"/>
      <c r="AE9693" s="3"/>
      <c r="AF9693" s="3"/>
      <c r="AG9693" s="3"/>
      <c r="AH9693" s="3"/>
    </row>
    <row r="9694" spans="1:34" ht="14.25" customHeight="1" x14ac:dyDescent="0.25">
      <c r="A9694" s="3"/>
      <c r="B9694" s="3"/>
      <c r="C9694" s="3"/>
      <c r="D9694" s="3"/>
      <c r="E9694" s="3"/>
      <c r="F9694" s="3"/>
      <c r="G9694" s="3"/>
      <c r="H9694" s="11"/>
      <c r="I9694" s="12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  <c r="AA9694" s="3"/>
      <c r="AB9694" s="3"/>
      <c r="AC9694" s="3"/>
      <c r="AD9694" s="3"/>
      <c r="AE9694" s="3"/>
      <c r="AF9694" s="3"/>
      <c r="AG9694" s="3"/>
      <c r="AH9694" s="3"/>
    </row>
    <row r="9695" spans="1:34" ht="14.25" customHeight="1" x14ac:dyDescent="0.25">
      <c r="A9695" s="3"/>
      <c r="B9695" s="3"/>
      <c r="C9695" s="3"/>
      <c r="D9695" s="3"/>
      <c r="E9695" s="3"/>
      <c r="F9695" s="3"/>
      <c r="G9695" s="3"/>
      <c r="H9695" s="11"/>
      <c r="I9695" s="12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  <c r="AA9695" s="3"/>
      <c r="AB9695" s="3"/>
      <c r="AC9695" s="3"/>
      <c r="AD9695" s="3"/>
      <c r="AE9695" s="3"/>
      <c r="AF9695" s="3"/>
      <c r="AG9695" s="3"/>
      <c r="AH9695" s="3"/>
    </row>
    <row r="9696" spans="1:34" ht="14.25" customHeight="1" x14ac:dyDescent="0.25">
      <c r="A9696" s="3"/>
      <c r="B9696" s="3"/>
      <c r="C9696" s="3"/>
      <c r="D9696" s="3"/>
      <c r="E9696" s="3"/>
      <c r="F9696" s="3"/>
      <c r="G9696" s="3"/>
      <c r="H9696" s="11"/>
      <c r="I9696" s="12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  <c r="AA9696" s="3"/>
      <c r="AB9696" s="3"/>
      <c r="AC9696" s="3"/>
      <c r="AD9696" s="3"/>
      <c r="AE9696" s="3"/>
      <c r="AF9696" s="3"/>
      <c r="AG9696" s="3"/>
      <c r="AH9696" s="3"/>
    </row>
    <row r="9697" spans="1:34" ht="14.25" customHeight="1" x14ac:dyDescent="0.25">
      <c r="A9697" s="3"/>
      <c r="B9697" s="3"/>
      <c r="C9697" s="3"/>
      <c r="D9697" s="3"/>
      <c r="E9697" s="3"/>
      <c r="F9697" s="3"/>
      <c r="G9697" s="3"/>
      <c r="H9697" s="11"/>
      <c r="I9697" s="12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  <c r="AA9697" s="3"/>
      <c r="AB9697" s="3"/>
      <c r="AC9697" s="3"/>
      <c r="AD9697" s="3"/>
      <c r="AE9697" s="3"/>
      <c r="AF9697" s="3"/>
      <c r="AG9697" s="3"/>
      <c r="AH9697" s="3"/>
    </row>
    <row r="9698" spans="1:34" ht="14.25" customHeight="1" x14ac:dyDescent="0.25">
      <c r="A9698" s="3"/>
      <c r="B9698" s="3"/>
      <c r="C9698" s="3"/>
      <c r="D9698" s="3"/>
      <c r="E9698" s="3"/>
      <c r="F9698" s="3"/>
      <c r="G9698" s="3"/>
      <c r="H9698" s="11"/>
      <c r="I9698" s="12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  <c r="AA9698" s="3"/>
      <c r="AB9698" s="3"/>
      <c r="AC9698" s="3"/>
      <c r="AD9698" s="3"/>
      <c r="AE9698" s="3"/>
      <c r="AF9698" s="3"/>
      <c r="AG9698" s="3"/>
      <c r="AH9698" s="3"/>
    </row>
    <row r="9699" spans="1:34" ht="14.25" customHeight="1" x14ac:dyDescent="0.25">
      <c r="A9699" s="3"/>
      <c r="B9699" s="3"/>
      <c r="C9699" s="3"/>
      <c r="D9699" s="3"/>
      <c r="E9699" s="3"/>
      <c r="F9699" s="3"/>
      <c r="G9699" s="3"/>
      <c r="H9699" s="11"/>
      <c r="I9699" s="12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  <c r="AA9699" s="3"/>
      <c r="AB9699" s="3"/>
      <c r="AC9699" s="3"/>
      <c r="AD9699" s="3"/>
      <c r="AE9699" s="3"/>
      <c r="AF9699" s="3"/>
      <c r="AG9699" s="3"/>
      <c r="AH9699" s="3"/>
    </row>
    <row r="9700" spans="1:34" ht="14.25" customHeight="1" x14ac:dyDescent="0.25">
      <c r="A9700" s="3"/>
      <c r="B9700" s="3"/>
      <c r="C9700" s="3"/>
      <c r="D9700" s="3"/>
      <c r="E9700" s="3"/>
      <c r="F9700" s="3"/>
      <c r="G9700" s="3"/>
      <c r="H9700" s="11"/>
      <c r="I9700" s="12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  <c r="AA9700" s="3"/>
      <c r="AB9700" s="3"/>
      <c r="AC9700" s="3"/>
      <c r="AD9700" s="3"/>
      <c r="AE9700" s="3"/>
      <c r="AF9700" s="3"/>
      <c r="AG9700" s="3"/>
      <c r="AH9700" s="3"/>
    </row>
    <row r="9701" spans="1:34" ht="14.25" customHeight="1" x14ac:dyDescent="0.25">
      <c r="A9701" s="3"/>
      <c r="B9701" s="3"/>
      <c r="C9701" s="3"/>
      <c r="D9701" s="3"/>
      <c r="E9701" s="3"/>
      <c r="F9701" s="3"/>
      <c r="G9701" s="3"/>
      <c r="H9701" s="11"/>
      <c r="I9701" s="12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  <c r="AA9701" s="3"/>
      <c r="AB9701" s="3"/>
      <c r="AC9701" s="3"/>
      <c r="AD9701" s="3"/>
      <c r="AE9701" s="3"/>
      <c r="AF9701" s="3"/>
      <c r="AG9701" s="3"/>
      <c r="AH9701" s="3"/>
    </row>
    <row r="9702" spans="1:34" ht="14.25" customHeight="1" x14ac:dyDescent="0.25">
      <c r="A9702" s="3"/>
      <c r="B9702" s="3"/>
      <c r="C9702" s="3"/>
      <c r="D9702" s="3"/>
      <c r="E9702" s="3"/>
      <c r="F9702" s="3"/>
      <c r="G9702" s="3"/>
      <c r="H9702" s="11"/>
      <c r="I9702" s="12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  <c r="AA9702" s="3"/>
      <c r="AB9702" s="3"/>
      <c r="AC9702" s="3"/>
      <c r="AD9702" s="3"/>
      <c r="AE9702" s="3"/>
      <c r="AF9702" s="3"/>
      <c r="AG9702" s="3"/>
      <c r="AH9702" s="3"/>
    </row>
    <row r="9703" spans="1:34" ht="14.25" customHeight="1" x14ac:dyDescent="0.25">
      <c r="A9703" s="3"/>
      <c r="B9703" s="3"/>
      <c r="C9703" s="3"/>
      <c r="D9703" s="3"/>
      <c r="E9703" s="3"/>
      <c r="F9703" s="3"/>
      <c r="G9703" s="3"/>
      <c r="H9703" s="11"/>
      <c r="I9703" s="12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  <c r="AA9703" s="3"/>
      <c r="AB9703" s="3"/>
      <c r="AC9703" s="3"/>
      <c r="AD9703" s="3"/>
      <c r="AE9703" s="3"/>
      <c r="AF9703" s="3"/>
      <c r="AG9703" s="3"/>
      <c r="AH9703" s="3"/>
    </row>
    <row r="9704" spans="1:34" ht="14.25" customHeight="1" x14ac:dyDescent="0.25">
      <c r="A9704" s="3"/>
      <c r="B9704" s="3"/>
      <c r="C9704" s="3"/>
      <c r="D9704" s="3"/>
      <c r="E9704" s="3"/>
      <c r="F9704" s="3"/>
      <c r="G9704" s="3"/>
      <c r="H9704" s="11"/>
      <c r="I9704" s="12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  <c r="AA9704" s="3"/>
      <c r="AB9704" s="3"/>
      <c r="AC9704" s="3"/>
      <c r="AD9704" s="3"/>
      <c r="AE9704" s="3"/>
      <c r="AF9704" s="3"/>
      <c r="AG9704" s="3"/>
      <c r="AH9704" s="3"/>
    </row>
    <row r="9705" spans="1:34" ht="14.25" customHeight="1" x14ac:dyDescent="0.25">
      <c r="A9705" s="3"/>
      <c r="B9705" s="3"/>
      <c r="C9705" s="3"/>
      <c r="D9705" s="3"/>
      <c r="E9705" s="3"/>
      <c r="F9705" s="3"/>
      <c r="G9705" s="3"/>
      <c r="H9705" s="11"/>
      <c r="I9705" s="12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  <c r="AA9705" s="3"/>
      <c r="AB9705" s="3"/>
      <c r="AC9705" s="3"/>
      <c r="AD9705" s="3"/>
      <c r="AE9705" s="3"/>
      <c r="AF9705" s="3"/>
      <c r="AG9705" s="3"/>
      <c r="AH9705" s="3"/>
    </row>
    <row r="9706" spans="1:34" ht="14.25" customHeight="1" x14ac:dyDescent="0.25">
      <c r="A9706" s="3"/>
      <c r="B9706" s="3"/>
      <c r="C9706" s="3"/>
      <c r="D9706" s="3"/>
      <c r="E9706" s="3"/>
      <c r="F9706" s="3"/>
      <c r="G9706" s="3"/>
      <c r="H9706" s="11"/>
      <c r="I9706" s="12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  <c r="AA9706" s="3"/>
      <c r="AB9706" s="3"/>
      <c r="AC9706" s="3"/>
      <c r="AD9706" s="3"/>
      <c r="AE9706" s="3"/>
      <c r="AF9706" s="3"/>
      <c r="AG9706" s="3"/>
      <c r="AH9706" s="3"/>
    </row>
    <row r="9707" spans="1:34" ht="14.25" customHeight="1" x14ac:dyDescent="0.25">
      <c r="A9707" s="3"/>
      <c r="B9707" s="3"/>
      <c r="C9707" s="3"/>
      <c r="D9707" s="3"/>
      <c r="E9707" s="3"/>
      <c r="F9707" s="3"/>
      <c r="G9707" s="3"/>
      <c r="H9707" s="11"/>
      <c r="I9707" s="12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  <c r="AA9707" s="3"/>
      <c r="AB9707" s="3"/>
      <c r="AC9707" s="3"/>
      <c r="AD9707" s="3"/>
      <c r="AE9707" s="3"/>
      <c r="AF9707" s="3"/>
      <c r="AG9707" s="3"/>
      <c r="AH9707" s="3"/>
    </row>
    <row r="9708" spans="1:34" ht="14.25" customHeight="1" x14ac:dyDescent="0.25">
      <c r="A9708" s="3"/>
      <c r="B9708" s="3"/>
      <c r="C9708" s="3"/>
      <c r="D9708" s="3"/>
      <c r="E9708" s="3"/>
      <c r="F9708" s="3"/>
      <c r="G9708" s="3"/>
      <c r="H9708" s="11"/>
      <c r="I9708" s="12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  <c r="AA9708" s="3"/>
      <c r="AB9708" s="3"/>
      <c r="AC9708" s="3"/>
      <c r="AD9708" s="3"/>
      <c r="AE9708" s="3"/>
      <c r="AF9708" s="3"/>
      <c r="AG9708" s="3"/>
      <c r="AH9708" s="3"/>
    </row>
    <row r="9709" spans="1:34" ht="14.25" customHeight="1" x14ac:dyDescent="0.25">
      <c r="A9709" s="3"/>
      <c r="B9709" s="3"/>
      <c r="C9709" s="3"/>
      <c r="D9709" s="3"/>
      <c r="E9709" s="3"/>
      <c r="F9709" s="3"/>
      <c r="G9709" s="3"/>
      <c r="H9709" s="11"/>
      <c r="I9709" s="12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  <c r="AA9709" s="3"/>
      <c r="AB9709" s="3"/>
      <c r="AC9709" s="3"/>
      <c r="AD9709" s="3"/>
      <c r="AE9709" s="3"/>
      <c r="AF9709" s="3"/>
      <c r="AG9709" s="3"/>
      <c r="AH9709" s="3"/>
    </row>
    <row r="9710" spans="1:34" ht="14.25" customHeight="1" x14ac:dyDescent="0.25">
      <c r="A9710" s="3"/>
      <c r="B9710" s="3"/>
      <c r="C9710" s="3"/>
      <c r="D9710" s="3"/>
      <c r="E9710" s="3"/>
      <c r="F9710" s="3"/>
      <c r="G9710" s="3"/>
      <c r="H9710" s="11"/>
      <c r="I9710" s="12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  <c r="AA9710" s="3"/>
      <c r="AB9710" s="3"/>
      <c r="AC9710" s="3"/>
      <c r="AD9710" s="3"/>
      <c r="AE9710" s="3"/>
      <c r="AF9710" s="3"/>
      <c r="AG9710" s="3"/>
      <c r="AH9710" s="3"/>
    </row>
    <row r="9711" spans="1:34" ht="14.25" customHeight="1" x14ac:dyDescent="0.25">
      <c r="A9711" s="3"/>
      <c r="B9711" s="3"/>
      <c r="C9711" s="3"/>
      <c r="D9711" s="3"/>
      <c r="E9711" s="3"/>
      <c r="F9711" s="3"/>
      <c r="G9711" s="3"/>
      <c r="H9711" s="11"/>
      <c r="I9711" s="12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  <c r="AA9711" s="3"/>
      <c r="AB9711" s="3"/>
      <c r="AC9711" s="3"/>
      <c r="AD9711" s="3"/>
      <c r="AE9711" s="3"/>
      <c r="AF9711" s="3"/>
      <c r="AG9711" s="3"/>
      <c r="AH9711" s="3"/>
    </row>
    <row r="9712" spans="1:34" ht="14.25" customHeight="1" x14ac:dyDescent="0.25">
      <c r="A9712" s="3"/>
      <c r="B9712" s="3"/>
      <c r="C9712" s="3"/>
      <c r="D9712" s="3"/>
      <c r="E9712" s="3"/>
      <c r="F9712" s="3"/>
      <c r="G9712" s="3"/>
      <c r="H9712" s="11"/>
      <c r="I9712" s="12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  <c r="AA9712" s="3"/>
      <c r="AB9712" s="3"/>
      <c r="AC9712" s="3"/>
      <c r="AD9712" s="3"/>
      <c r="AE9712" s="3"/>
      <c r="AF9712" s="3"/>
      <c r="AG9712" s="3"/>
      <c r="AH9712" s="3"/>
    </row>
    <row r="9713" spans="1:34" ht="14.25" customHeight="1" x14ac:dyDescent="0.25">
      <c r="A9713" s="3"/>
      <c r="B9713" s="3"/>
      <c r="C9713" s="3"/>
      <c r="D9713" s="3"/>
      <c r="E9713" s="3"/>
      <c r="F9713" s="3"/>
      <c r="G9713" s="3"/>
      <c r="H9713" s="11"/>
      <c r="I9713" s="12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  <c r="AA9713" s="3"/>
      <c r="AB9713" s="3"/>
      <c r="AC9713" s="3"/>
      <c r="AD9713" s="3"/>
      <c r="AE9713" s="3"/>
      <c r="AF9713" s="3"/>
      <c r="AG9713" s="3"/>
      <c r="AH9713" s="3"/>
    </row>
    <row r="9714" spans="1:34" ht="14.25" customHeight="1" x14ac:dyDescent="0.25">
      <c r="A9714" s="3"/>
      <c r="B9714" s="3"/>
      <c r="C9714" s="3"/>
      <c r="D9714" s="3"/>
      <c r="E9714" s="3"/>
      <c r="F9714" s="3"/>
      <c r="G9714" s="3"/>
      <c r="H9714" s="11"/>
      <c r="I9714" s="12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  <c r="AA9714" s="3"/>
      <c r="AB9714" s="3"/>
      <c r="AC9714" s="3"/>
      <c r="AD9714" s="3"/>
      <c r="AE9714" s="3"/>
      <c r="AF9714" s="3"/>
      <c r="AG9714" s="3"/>
      <c r="AH9714" s="3"/>
    </row>
    <row r="9715" spans="1:34" ht="14.25" customHeight="1" x14ac:dyDescent="0.25">
      <c r="A9715" s="3"/>
      <c r="B9715" s="3"/>
      <c r="C9715" s="3"/>
      <c r="D9715" s="3"/>
      <c r="E9715" s="3"/>
      <c r="F9715" s="3"/>
      <c r="G9715" s="3"/>
      <c r="H9715" s="11"/>
      <c r="I9715" s="12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  <c r="AA9715" s="3"/>
      <c r="AB9715" s="3"/>
      <c r="AC9715" s="3"/>
      <c r="AD9715" s="3"/>
      <c r="AE9715" s="3"/>
      <c r="AF9715" s="3"/>
      <c r="AG9715" s="3"/>
      <c r="AH9715" s="3"/>
    </row>
    <row r="9716" spans="1:34" ht="14.25" customHeight="1" x14ac:dyDescent="0.25">
      <c r="A9716" s="3"/>
      <c r="B9716" s="3"/>
      <c r="C9716" s="3"/>
      <c r="D9716" s="3"/>
      <c r="E9716" s="3"/>
      <c r="F9716" s="3"/>
      <c r="G9716" s="3"/>
      <c r="H9716" s="11"/>
      <c r="I9716" s="12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  <c r="AA9716" s="3"/>
      <c r="AB9716" s="3"/>
      <c r="AC9716" s="3"/>
      <c r="AD9716" s="3"/>
      <c r="AE9716" s="3"/>
      <c r="AF9716" s="3"/>
      <c r="AG9716" s="3"/>
      <c r="AH9716" s="3"/>
    </row>
    <row r="9717" spans="1:34" ht="14.25" customHeight="1" x14ac:dyDescent="0.25">
      <c r="A9717" s="3"/>
      <c r="B9717" s="3"/>
      <c r="C9717" s="3"/>
      <c r="D9717" s="3"/>
      <c r="E9717" s="3"/>
      <c r="F9717" s="3"/>
      <c r="G9717" s="3"/>
      <c r="H9717" s="11"/>
      <c r="I9717" s="12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  <c r="AA9717" s="3"/>
      <c r="AB9717" s="3"/>
      <c r="AC9717" s="3"/>
      <c r="AD9717" s="3"/>
      <c r="AE9717" s="3"/>
      <c r="AF9717" s="3"/>
      <c r="AG9717" s="3"/>
      <c r="AH9717" s="3"/>
    </row>
    <row r="9718" spans="1:34" ht="14.25" customHeight="1" x14ac:dyDescent="0.25">
      <c r="A9718" s="3"/>
      <c r="B9718" s="3"/>
      <c r="C9718" s="3"/>
      <c r="D9718" s="3"/>
      <c r="E9718" s="3"/>
      <c r="F9718" s="3"/>
      <c r="G9718" s="3"/>
      <c r="H9718" s="11"/>
      <c r="I9718" s="12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  <c r="AA9718" s="3"/>
      <c r="AB9718" s="3"/>
      <c r="AC9718" s="3"/>
      <c r="AD9718" s="3"/>
      <c r="AE9718" s="3"/>
      <c r="AF9718" s="3"/>
      <c r="AG9718" s="3"/>
      <c r="AH9718" s="3"/>
    </row>
    <row r="9719" spans="1:34" ht="14.25" customHeight="1" x14ac:dyDescent="0.25">
      <c r="A9719" s="3"/>
      <c r="B9719" s="3"/>
      <c r="C9719" s="3"/>
      <c r="D9719" s="3"/>
      <c r="E9719" s="3"/>
      <c r="F9719" s="3"/>
      <c r="G9719" s="3"/>
      <c r="H9719" s="11"/>
      <c r="I9719" s="12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  <c r="AA9719" s="3"/>
      <c r="AB9719" s="3"/>
      <c r="AC9719" s="3"/>
      <c r="AD9719" s="3"/>
      <c r="AE9719" s="3"/>
      <c r="AF9719" s="3"/>
      <c r="AG9719" s="3"/>
      <c r="AH9719" s="3"/>
    </row>
    <row r="9720" spans="1:34" ht="14.25" customHeight="1" x14ac:dyDescent="0.25">
      <c r="A9720" s="3"/>
      <c r="B9720" s="3"/>
      <c r="C9720" s="3"/>
      <c r="D9720" s="3"/>
      <c r="E9720" s="3"/>
      <c r="F9720" s="3"/>
      <c r="G9720" s="3"/>
      <c r="H9720" s="11"/>
      <c r="I9720" s="12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  <c r="AA9720" s="3"/>
      <c r="AB9720" s="3"/>
      <c r="AC9720" s="3"/>
      <c r="AD9720" s="3"/>
      <c r="AE9720" s="3"/>
      <c r="AF9720" s="3"/>
      <c r="AG9720" s="3"/>
      <c r="AH9720" s="3"/>
    </row>
    <row r="9721" spans="1:34" ht="14.25" customHeight="1" x14ac:dyDescent="0.25">
      <c r="A9721" s="3"/>
      <c r="B9721" s="3"/>
      <c r="C9721" s="3"/>
      <c r="D9721" s="3"/>
      <c r="E9721" s="3"/>
      <c r="F9721" s="3"/>
      <c r="G9721" s="3"/>
      <c r="H9721" s="11"/>
      <c r="I9721" s="12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  <c r="AA9721" s="3"/>
      <c r="AB9721" s="3"/>
      <c r="AC9721" s="3"/>
      <c r="AD9721" s="3"/>
      <c r="AE9721" s="3"/>
      <c r="AF9721" s="3"/>
      <c r="AG9721" s="3"/>
      <c r="AH9721" s="3"/>
    </row>
    <row r="9722" spans="1:34" ht="14.25" customHeight="1" x14ac:dyDescent="0.25">
      <c r="A9722" s="3"/>
      <c r="B9722" s="3"/>
      <c r="C9722" s="3"/>
      <c r="D9722" s="3"/>
      <c r="E9722" s="3"/>
      <c r="F9722" s="3"/>
      <c r="G9722" s="3"/>
      <c r="H9722" s="11"/>
      <c r="I9722" s="12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  <c r="AA9722" s="3"/>
      <c r="AB9722" s="3"/>
      <c r="AC9722" s="3"/>
      <c r="AD9722" s="3"/>
      <c r="AE9722" s="3"/>
      <c r="AF9722" s="3"/>
      <c r="AG9722" s="3"/>
      <c r="AH9722" s="3"/>
    </row>
    <row r="9723" spans="1:34" ht="14.25" customHeight="1" x14ac:dyDescent="0.25">
      <c r="A9723" s="3"/>
      <c r="B9723" s="3"/>
      <c r="C9723" s="3"/>
      <c r="D9723" s="3"/>
      <c r="E9723" s="3"/>
      <c r="F9723" s="3"/>
      <c r="G9723" s="3"/>
      <c r="H9723" s="11"/>
      <c r="I9723" s="12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  <c r="AA9723" s="3"/>
      <c r="AB9723" s="3"/>
      <c r="AC9723" s="3"/>
      <c r="AD9723" s="3"/>
      <c r="AE9723" s="3"/>
      <c r="AF9723" s="3"/>
      <c r="AG9723" s="3"/>
      <c r="AH9723" s="3"/>
    </row>
    <row r="9724" spans="1:34" ht="14.25" customHeight="1" x14ac:dyDescent="0.25">
      <c r="A9724" s="3"/>
      <c r="B9724" s="3"/>
      <c r="C9724" s="3"/>
      <c r="D9724" s="3"/>
      <c r="E9724" s="3"/>
      <c r="F9724" s="3"/>
      <c r="G9724" s="3"/>
      <c r="H9724" s="11"/>
      <c r="I9724" s="12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  <c r="AA9724" s="3"/>
      <c r="AB9724" s="3"/>
      <c r="AC9724" s="3"/>
      <c r="AD9724" s="3"/>
      <c r="AE9724" s="3"/>
      <c r="AF9724" s="3"/>
      <c r="AG9724" s="3"/>
      <c r="AH9724" s="3"/>
    </row>
    <row r="9725" spans="1:34" ht="14.25" customHeight="1" x14ac:dyDescent="0.25">
      <c r="A9725" s="3"/>
      <c r="B9725" s="3"/>
      <c r="C9725" s="3"/>
      <c r="D9725" s="3"/>
      <c r="E9725" s="3"/>
      <c r="F9725" s="3"/>
      <c r="G9725" s="3"/>
      <c r="H9725" s="11"/>
      <c r="I9725" s="12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  <c r="AA9725" s="3"/>
      <c r="AB9725" s="3"/>
      <c r="AC9725" s="3"/>
      <c r="AD9725" s="3"/>
      <c r="AE9725" s="3"/>
      <c r="AF9725" s="3"/>
      <c r="AG9725" s="3"/>
      <c r="AH9725" s="3"/>
    </row>
    <row r="9726" spans="1:34" ht="14.25" customHeight="1" x14ac:dyDescent="0.25">
      <c r="A9726" s="3"/>
      <c r="B9726" s="3"/>
      <c r="C9726" s="3"/>
      <c r="D9726" s="3"/>
      <c r="E9726" s="3"/>
      <c r="F9726" s="3"/>
      <c r="G9726" s="3"/>
      <c r="H9726" s="11"/>
      <c r="I9726" s="12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  <c r="AA9726" s="3"/>
      <c r="AB9726" s="3"/>
      <c r="AC9726" s="3"/>
      <c r="AD9726" s="3"/>
      <c r="AE9726" s="3"/>
      <c r="AF9726" s="3"/>
      <c r="AG9726" s="3"/>
      <c r="AH9726" s="3"/>
    </row>
    <row r="9727" spans="1:34" ht="14.25" customHeight="1" x14ac:dyDescent="0.25">
      <c r="A9727" s="3"/>
      <c r="B9727" s="3"/>
      <c r="C9727" s="3"/>
      <c r="D9727" s="3"/>
      <c r="E9727" s="3"/>
      <c r="F9727" s="3"/>
      <c r="G9727" s="3"/>
      <c r="H9727" s="11"/>
      <c r="I9727" s="12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  <c r="AA9727" s="3"/>
      <c r="AB9727" s="3"/>
      <c r="AC9727" s="3"/>
      <c r="AD9727" s="3"/>
      <c r="AE9727" s="3"/>
      <c r="AF9727" s="3"/>
      <c r="AG9727" s="3"/>
      <c r="AH9727" s="3"/>
    </row>
    <row r="9728" spans="1:34" ht="14.25" customHeight="1" x14ac:dyDescent="0.25">
      <c r="A9728" s="3"/>
      <c r="B9728" s="3"/>
      <c r="C9728" s="3"/>
      <c r="D9728" s="3"/>
      <c r="E9728" s="3"/>
      <c r="F9728" s="3"/>
      <c r="G9728" s="3"/>
      <c r="H9728" s="11"/>
      <c r="I9728" s="12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  <c r="AA9728" s="3"/>
      <c r="AB9728" s="3"/>
      <c r="AC9728" s="3"/>
      <c r="AD9728" s="3"/>
      <c r="AE9728" s="3"/>
      <c r="AF9728" s="3"/>
      <c r="AG9728" s="3"/>
      <c r="AH9728" s="3"/>
    </row>
    <row r="9729" spans="1:34" ht="14.25" customHeight="1" x14ac:dyDescent="0.25">
      <c r="A9729" s="3"/>
      <c r="B9729" s="3"/>
      <c r="C9729" s="3"/>
      <c r="D9729" s="3"/>
      <c r="E9729" s="3"/>
      <c r="F9729" s="3"/>
      <c r="G9729" s="3"/>
      <c r="H9729" s="11"/>
      <c r="I9729" s="12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  <c r="AA9729" s="3"/>
      <c r="AB9729" s="3"/>
      <c r="AC9729" s="3"/>
      <c r="AD9729" s="3"/>
      <c r="AE9729" s="3"/>
      <c r="AF9729" s="3"/>
      <c r="AG9729" s="3"/>
      <c r="AH9729" s="3"/>
    </row>
    <row r="9730" spans="1:34" ht="14.25" customHeight="1" x14ac:dyDescent="0.25">
      <c r="A9730" s="3"/>
      <c r="B9730" s="3"/>
      <c r="C9730" s="3"/>
      <c r="D9730" s="3"/>
      <c r="E9730" s="3"/>
      <c r="F9730" s="3"/>
      <c r="G9730" s="3"/>
      <c r="H9730" s="11"/>
      <c r="I9730" s="12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  <c r="AA9730" s="3"/>
      <c r="AB9730" s="3"/>
      <c r="AC9730" s="3"/>
      <c r="AD9730" s="3"/>
      <c r="AE9730" s="3"/>
      <c r="AF9730" s="3"/>
      <c r="AG9730" s="3"/>
      <c r="AH9730" s="3"/>
    </row>
    <row r="9731" spans="1:34" ht="14.25" customHeight="1" x14ac:dyDescent="0.25">
      <c r="A9731" s="3"/>
      <c r="B9731" s="3"/>
      <c r="C9731" s="3"/>
      <c r="D9731" s="3"/>
      <c r="E9731" s="3"/>
      <c r="F9731" s="3"/>
      <c r="G9731" s="3"/>
      <c r="H9731" s="11"/>
      <c r="I9731" s="12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  <c r="AA9731" s="3"/>
      <c r="AB9731" s="3"/>
      <c r="AC9731" s="3"/>
      <c r="AD9731" s="3"/>
      <c r="AE9731" s="3"/>
      <c r="AF9731" s="3"/>
      <c r="AG9731" s="3"/>
      <c r="AH9731" s="3"/>
    </row>
    <row r="9732" spans="1:34" ht="14.25" customHeight="1" x14ac:dyDescent="0.25">
      <c r="A9732" s="3"/>
      <c r="B9732" s="3"/>
      <c r="C9732" s="3"/>
      <c r="D9732" s="3"/>
      <c r="E9732" s="3"/>
      <c r="F9732" s="3"/>
      <c r="G9732" s="3"/>
      <c r="H9732" s="11"/>
      <c r="I9732" s="12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  <c r="AA9732" s="3"/>
      <c r="AB9732" s="3"/>
      <c r="AC9732" s="3"/>
      <c r="AD9732" s="3"/>
      <c r="AE9732" s="3"/>
      <c r="AF9732" s="3"/>
      <c r="AG9732" s="3"/>
      <c r="AH9732" s="3"/>
    </row>
    <row r="9733" spans="1:34" ht="14.25" customHeight="1" x14ac:dyDescent="0.25">
      <c r="A9733" s="3"/>
      <c r="B9733" s="3"/>
      <c r="C9733" s="3"/>
      <c r="D9733" s="3"/>
      <c r="E9733" s="3"/>
      <c r="F9733" s="3"/>
      <c r="G9733" s="3"/>
      <c r="H9733" s="11"/>
      <c r="I9733" s="12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  <c r="AA9733" s="3"/>
      <c r="AB9733" s="3"/>
      <c r="AC9733" s="3"/>
      <c r="AD9733" s="3"/>
      <c r="AE9733" s="3"/>
      <c r="AF9733" s="3"/>
      <c r="AG9733" s="3"/>
      <c r="AH9733" s="3"/>
    </row>
    <row r="9734" spans="1:34" ht="14.25" customHeight="1" x14ac:dyDescent="0.25">
      <c r="A9734" s="3"/>
      <c r="B9734" s="3"/>
      <c r="C9734" s="3"/>
      <c r="D9734" s="3"/>
      <c r="E9734" s="3"/>
      <c r="F9734" s="3"/>
      <c r="G9734" s="3"/>
      <c r="H9734" s="11"/>
      <c r="I9734" s="12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  <c r="AA9734" s="3"/>
      <c r="AB9734" s="3"/>
      <c r="AC9734" s="3"/>
      <c r="AD9734" s="3"/>
      <c r="AE9734" s="3"/>
      <c r="AF9734" s="3"/>
      <c r="AG9734" s="3"/>
      <c r="AH9734" s="3"/>
    </row>
    <row r="9735" spans="1:34" ht="14.25" customHeight="1" x14ac:dyDescent="0.25">
      <c r="A9735" s="3"/>
      <c r="B9735" s="3"/>
      <c r="C9735" s="3"/>
      <c r="D9735" s="3"/>
      <c r="E9735" s="3"/>
      <c r="F9735" s="3"/>
      <c r="G9735" s="3"/>
      <c r="H9735" s="11"/>
      <c r="I9735" s="12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  <c r="AA9735" s="3"/>
      <c r="AB9735" s="3"/>
      <c r="AC9735" s="3"/>
      <c r="AD9735" s="3"/>
      <c r="AE9735" s="3"/>
      <c r="AF9735" s="3"/>
      <c r="AG9735" s="3"/>
      <c r="AH9735" s="3"/>
    </row>
    <row r="9736" spans="1:34" ht="14.25" customHeight="1" x14ac:dyDescent="0.25">
      <c r="A9736" s="3"/>
      <c r="B9736" s="3"/>
      <c r="C9736" s="3"/>
      <c r="D9736" s="3"/>
      <c r="E9736" s="3"/>
      <c r="F9736" s="3"/>
      <c r="G9736" s="3"/>
      <c r="H9736" s="11"/>
      <c r="I9736" s="12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  <c r="AA9736" s="3"/>
      <c r="AB9736" s="3"/>
      <c r="AC9736" s="3"/>
      <c r="AD9736" s="3"/>
      <c r="AE9736" s="3"/>
      <c r="AF9736" s="3"/>
      <c r="AG9736" s="3"/>
      <c r="AH9736" s="3"/>
    </row>
    <row r="9737" spans="1:34" ht="14.25" customHeight="1" x14ac:dyDescent="0.25">
      <c r="A9737" s="3"/>
      <c r="B9737" s="3"/>
      <c r="C9737" s="3"/>
      <c r="D9737" s="3"/>
      <c r="E9737" s="3"/>
      <c r="F9737" s="3"/>
      <c r="G9737" s="3"/>
      <c r="H9737" s="11"/>
      <c r="I9737" s="12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  <c r="AA9737" s="3"/>
      <c r="AB9737" s="3"/>
      <c r="AC9737" s="3"/>
      <c r="AD9737" s="3"/>
      <c r="AE9737" s="3"/>
      <c r="AF9737" s="3"/>
      <c r="AG9737" s="3"/>
      <c r="AH9737" s="3"/>
    </row>
    <row r="9738" spans="1:34" ht="14.25" customHeight="1" x14ac:dyDescent="0.25">
      <c r="A9738" s="3"/>
      <c r="B9738" s="3"/>
      <c r="C9738" s="3"/>
      <c r="D9738" s="3"/>
      <c r="E9738" s="3"/>
      <c r="F9738" s="3"/>
      <c r="G9738" s="3"/>
      <c r="H9738" s="11"/>
      <c r="I9738" s="12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  <c r="AA9738" s="3"/>
      <c r="AB9738" s="3"/>
      <c r="AC9738" s="3"/>
      <c r="AD9738" s="3"/>
      <c r="AE9738" s="3"/>
      <c r="AF9738" s="3"/>
      <c r="AG9738" s="3"/>
      <c r="AH9738" s="3"/>
    </row>
    <row r="9739" spans="1:34" ht="14.25" customHeight="1" x14ac:dyDescent="0.25">
      <c r="A9739" s="3"/>
      <c r="B9739" s="3"/>
      <c r="C9739" s="3"/>
      <c r="D9739" s="3"/>
      <c r="E9739" s="3"/>
      <c r="F9739" s="3"/>
      <c r="G9739" s="3"/>
      <c r="H9739" s="11"/>
      <c r="I9739" s="12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  <c r="AA9739" s="3"/>
      <c r="AB9739" s="3"/>
      <c r="AC9739" s="3"/>
      <c r="AD9739" s="3"/>
      <c r="AE9739" s="3"/>
      <c r="AF9739" s="3"/>
      <c r="AG9739" s="3"/>
      <c r="AH9739" s="3"/>
    </row>
    <row r="9740" spans="1:34" ht="14.25" customHeight="1" x14ac:dyDescent="0.25">
      <c r="A9740" s="3"/>
      <c r="B9740" s="3"/>
      <c r="C9740" s="3"/>
      <c r="D9740" s="3"/>
      <c r="E9740" s="3"/>
      <c r="F9740" s="3"/>
      <c r="G9740" s="3"/>
      <c r="H9740" s="11"/>
      <c r="I9740" s="12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  <c r="AA9740" s="3"/>
      <c r="AB9740" s="3"/>
      <c r="AC9740" s="3"/>
      <c r="AD9740" s="3"/>
      <c r="AE9740" s="3"/>
      <c r="AF9740" s="3"/>
      <c r="AG9740" s="3"/>
      <c r="AH9740" s="3"/>
    </row>
    <row r="9741" spans="1:34" ht="14.25" customHeight="1" x14ac:dyDescent="0.25">
      <c r="A9741" s="3"/>
      <c r="B9741" s="3"/>
      <c r="C9741" s="3"/>
      <c r="D9741" s="3"/>
      <c r="E9741" s="3"/>
      <c r="F9741" s="3"/>
      <c r="G9741" s="3"/>
      <c r="H9741" s="11"/>
      <c r="I9741" s="12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  <c r="AA9741" s="3"/>
      <c r="AB9741" s="3"/>
      <c r="AC9741" s="3"/>
      <c r="AD9741" s="3"/>
      <c r="AE9741" s="3"/>
      <c r="AF9741" s="3"/>
      <c r="AG9741" s="3"/>
      <c r="AH9741" s="3"/>
    </row>
    <row r="9742" spans="1:34" ht="14.25" customHeight="1" x14ac:dyDescent="0.25">
      <c r="A9742" s="3"/>
      <c r="B9742" s="3"/>
      <c r="C9742" s="3"/>
      <c r="D9742" s="3"/>
      <c r="E9742" s="3"/>
      <c r="F9742" s="3"/>
      <c r="G9742" s="3"/>
      <c r="H9742" s="11"/>
      <c r="I9742" s="12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  <c r="AA9742" s="3"/>
      <c r="AB9742" s="3"/>
      <c r="AC9742" s="3"/>
      <c r="AD9742" s="3"/>
      <c r="AE9742" s="3"/>
      <c r="AF9742" s="3"/>
      <c r="AG9742" s="3"/>
      <c r="AH9742" s="3"/>
    </row>
    <row r="9743" spans="1:34" ht="14.25" customHeight="1" x14ac:dyDescent="0.25">
      <c r="A9743" s="3"/>
      <c r="B9743" s="3"/>
      <c r="C9743" s="3"/>
      <c r="D9743" s="3"/>
      <c r="E9743" s="3"/>
      <c r="F9743" s="3"/>
      <c r="G9743" s="3"/>
      <c r="H9743" s="11"/>
      <c r="I9743" s="12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  <c r="AA9743" s="3"/>
      <c r="AB9743" s="3"/>
      <c r="AC9743" s="3"/>
      <c r="AD9743" s="3"/>
      <c r="AE9743" s="3"/>
      <c r="AF9743" s="3"/>
      <c r="AG9743" s="3"/>
      <c r="AH9743" s="3"/>
    </row>
    <row r="9744" spans="1:34" ht="14.25" customHeight="1" x14ac:dyDescent="0.25">
      <c r="A9744" s="3"/>
      <c r="B9744" s="3"/>
      <c r="C9744" s="3"/>
      <c r="D9744" s="3"/>
      <c r="E9744" s="3"/>
      <c r="F9744" s="3"/>
      <c r="G9744" s="3"/>
      <c r="H9744" s="11"/>
      <c r="I9744" s="12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  <c r="AA9744" s="3"/>
      <c r="AB9744" s="3"/>
      <c r="AC9744" s="3"/>
      <c r="AD9744" s="3"/>
      <c r="AE9744" s="3"/>
      <c r="AF9744" s="3"/>
      <c r="AG9744" s="3"/>
      <c r="AH9744" s="3"/>
    </row>
    <row r="9745" spans="1:34" ht="14.25" customHeight="1" x14ac:dyDescent="0.25">
      <c r="A9745" s="3"/>
      <c r="B9745" s="3"/>
      <c r="C9745" s="3"/>
      <c r="D9745" s="3"/>
      <c r="E9745" s="3"/>
      <c r="F9745" s="3"/>
      <c r="G9745" s="3"/>
      <c r="H9745" s="11"/>
      <c r="I9745" s="12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  <c r="AA9745" s="3"/>
      <c r="AB9745" s="3"/>
      <c r="AC9745" s="3"/>
      <c r="AD9745" s="3"/>
      <c r="AE9745" s="3"/>
      <c r="AF9745" s="3"/>
      <c r="AG9745" s="3"/>
      <c r="AH9745" s="3"/>
    </row>
    <row r="9746" spans="1:34" ht="14.25" customHeight="1" x14ac:dyDescent="0.25">
      <c r="A9746" s="3"/>
      <c r="B9746" s="3"/>
      <c r="C9746" s="3"/>
      <c r="D9746" s="3"/>
      <c r="E9746" s="3"/>
      <c r="F9746" s="3"/>
      <c r="G9746" s="3"/>
      <c r="H9746" s="11"/>
      <c r="I9746" s="12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  <c r="AA9746" s="3"/>
      <c r="AB9746" s="3"/>
      <c r="AC9746" s="3"/>
      <c r="AD9746" s="3"/>
      <c r="AE9746" s="3"/>
      <c r="AF9746" s="3"/>
      <c r="AG9746" s="3"/>
      <c r="AH9746" s="3"/>
    </row>
    <row r="9747" spans="1:34" ht="14.25" customHeight="1" x14ac:dyDescent="0.25">
      <c r="A9747" s="3"/>
      <c r="B9747" s="3"/>
      <c r="C9747" s="3"/>
      <c r="D9747" s="3"/>
      <c r="E9747" s="3"/>
      <c r="F9747" s="3"/>
      <c r="G9747" s="3"/>
      <c r="H9747" s="11"/>
      <c r="I9747" s="12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  <c r="AA9747" s="3"/>
      <c r="AB9747" s="3"/>
      <c r="AC9747" s="3"/>
      <c r="AD9747" s="3"/>
      <c r="AE9747" s="3"/>
      <c r="AF9747" s="3"/>
      <c r="AG9747" s="3"/>
      <c r="AH9747" s="3"/>
    </row>
    <row r="9748" spans="1:34" ht="14.25" customHeight="1" x14ac:dyDescent="0.25">
      <c r="A9748" s="3"/>
      <c r="B9748" s="3"/>
      <c r="C9748" s="3"/>
      <c r="D9748" s="3"/>
      <c r="E9748" s="3"/>
      <c r="F9748" s="3"/>
      <c r="G9748" s="3"/>
      <c r="H9748" s="11"/>
      <c r="I9748" s="12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  <c r="AA9748" s="3"/>
      <c r="AB9748" s="3"/>
      <c r="AC9748" s="3"/>
      <c r="AD9748" s="3"/>
      <c r="AE9748" s="3"/>
      <c r="AF9748" s="3"/>
      <c r="AG9748" s="3"/>
      <c r="AH9748" s="3"/>
    </row>
    <row r="9749" spans="1:34" ht="14.25" customHeight="1" x14ac:dyDescent="0.25">
      <c r="A9749" s="3"/>
      <c r="B9749" s="3"/>
      <c r="C9749" s="3"/>
      <c r="D9749" s="3"/>
      <c r="E9749" s="3"/>
      <c r="F9749" s="3"/>
      <c r="G9749" s="3"/>
      <c r="H9749" s="11"/>
      <c r="I9749" s="12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  <c r="AA9749" s="3"/>
      <c r="AB9749" s="3"/>
      <c r="AC9749" s="3"/>
      <c r="AD9749" s="3"/>
      <c r="AE9749" s="3"/>
      <c r="AF9749" s="3"/>
      <c r="AG9749" s="3"/>
      <c r="AH9749" s="3"/>
    </row>
    <row r="9750" spans="1:34" ht="14.25" customHeight="1" x14ac:dyDescent="0.25">
      <c r="A9750" s="3"/>
      <c r="B9750" s="3"/>
      <c r="C9750" s="3"/>
      <c r="D9750" s="3"/>
      <c r="E9750" s="3"/>
      <c r="F9750" s="3"/>
      <c r="G9750" s="3"/>
      <c r="H9750" s="11"/>
      <c r="I9750" s="12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  <c r="AA9750" s="3"/>
      <c r="AB9750" s="3"/>
      <c r="AC9750" s="3"/>
      <c r="AD9750" s="3"/>
      <c r="AE9750" s="3"/>
      <c r="AF9750" s="3"/>
      <c r="AG9750" s="3"/>
      <c r="AH9750" s="3"/>
    </row>
    <row r="9751" spans="1:34" ht="14.25" customHeight="1" x14ac:dyDescent="0.25">
      <c r="A9751" s="3"/>
      <c r="B9751" s="3"/>
      <c r="C9751" s="3"/>
      <c r="D9751" s="3"/>
      <c r="E9751" s="3"/>
      <c r="F9751" s="3"/>
      <c r="G9751" s="3"/>
      <c r="H9751" s="11"/>
      <c r="I9751" s="12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  <c r="AA9751" s="3"/>
      <c r="AB9751" s="3"/>
      <c r="AC9751" s="3"/>
      <c r="AD9751" s="3"/>
      <c r="AE9751" s="3"/>
      <c r="AF9751" s="3"/>
      <c r="AG9751" s="3"/>
      <c r="AH9751" s="3"/>
    </row>
    <row r="9752" spans="1:34" ht="14.25" customHeight="1" x14ac:dyDescent="0.25">
      <c r="A9752" s="3"/>
      <c r="B9752" s="3"/>
      <c r="C9752" s="3"/>
      <c r="D9752" s="3"/>
      <c r="E9752" s="3"/>
      <c r="F9752" s="3"/>
      <c r="G9752" s="3"/>
      <c r="H9752" s="11"/>
      <c r="I9752" s="12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  <c r="AA9752" s="3"/>
      <c r="AB9752" s="3"/>
      <c r="AC9752" s="3"/>
      <c r="AD9752" s="3"/>
      <c r="AE9752" s="3"/>
      <c r="AF9752" s="3"/>
      <c r="AG9752" s="3"/>
      <c r="AH9752" s="3"/>
    </row>
    <row r="9753" spans="1:34" ht="14.25" customHeight="1" x14ac:dyDescent="0.25">
      <c r="A9753" s="3"/>
      <c r="B9753" s="3"/>
      <c r="C9753" s="3"/>
      <c r="D9753" s="3"/>
      <c r="E9753" s="3"/>
      <c r="F9753" s="3"/>
      <c r="G9753" s="3"/>
      <c r="H9753" s="11"/>
      <c r="I9753" s="12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  <c r="AA9753" s="3"/>
      <c r="AB9753" s="3"/>
      <c r="AC9753" s="3"/>
      <c r="AD9753" s="3"/>
      <c r="AE9753" s="3"/>
      <c r="AF9753" s="3"/>
      <c r="AG9753" s="3"/>
      <c r="AH9753" s="3"/>
    </row>
    <row r="9754" spans="1:34" ht="14.25" customHeight="1" x14ac:dyDescent="0.25">
      <c r="A9754" s="3"/>
      <c r="B9754" s="3"/>
      <c r="C9754" s="3"/>
      <c r="D9754" s="3"/>
      <c r="E9754" s="3"/>
      <c r="F9754" s="3"/>
      <c r="G9754" s="3"/>
      <c r="H9754" s="11"/>
      <c r="I9754" s="12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  <c r="AA9754" s="3"/>
      <c r="AB9754" s="3"/>
      <c r="AC9754" s="3"/>
      <c r="AD9754" s="3"/>
      <c r="AE9754" s="3"/>
      <c r="AF9754" s="3"/>
      <c r="AG9754" s="3"/>
      <c r="AH9754" s="3"/>
    </row>
    <row r="9755" spans="1:34" ht="14.25" customHeight="1" x14ac:dyDescent="0.25">
      <c r="A9755" s="3"/>
      <c r="B9755" s="3"/>
      <c r="C9755" s="3"/>
      <c r="D9755" s="3"/>
      <c r="E9755" s="3"/>
      <c r="F9755" s="3"/>
      <c r="G9755" s="3"/>
      <c r="H9755" s="11"/>
      <c r="I9755" s="12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  <c r="AA9755" s="3"/>
      <c r="AB9755" s="3"/>
      <c r="AC9755" s="3"/>
      <c r="AD9755" s="3"/>
      <c r="AE9755" s="3"/>
      <c r="AF9755" s="3"/>
      <c r="AG9755" s="3"/>
      <c r="AH9755" s="3"/>
    </row>
    <row r="9756" spans="1:34" ht="14.25" customHeight="1" x14ac:dyDescent="0.25">
      <c r="A9756" s="3"/>
      <c r="B9756" s="3"/>
      <c r="C9756" s="3"/>
      <c r="D9756" s="3"/>
      <c r="E9756" s="3"/>
      <c r="F9756" s="3"/>
      <c r="G9756" s="3"/>
      <c r="H9756" s="11"/>
      <c r="I9756" s="12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  <c r="AA9756" s="3"/>
      <c r="AB9756" s="3"/>
      <c r="AC9756" s="3"/>
      <c r="AD9756" s="3"/>
      <c r="AE9756" s="3"/>
      <c r="AF9756" s="3"/>
      <c r="AG9756" s="3"/>
      <c r="AH9756" s="3"/>
    </row>
    <row r="9757" spans="1:34" ht="14.25" customHeight="1" x14ac:dyDescent="0.25">
      <c r="A9757" s="3"/>
      <c r="B9757" s="3"/>
      <c r="C9757" s="3"/>
      <c r="D9757" s="3"/>
      <c r="E9757" s="3"/>
      <c r="F9757" s="3"/>
      <c r="G9757" s="3"/>
      <c r="H9757" s="11"/>
      <c r="I9757" s="12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  <c r="AA9757" s="3"/>
      <c r="AB9757" s="3"/>
      <c r="AC9757" s="3"/>
      <c r="AD9757" s="3"/>
      <c r="AE9757" s="3"/>
      <c r="AF9757" s="3"/>
      <c r="AG9757" s="3"/>
      <c r="AH9757" s="3"/>
    </row>
    <row r="9758" spans="1:34" ht="14.25" customHeight="1" x14ac:dyDescent="0.25">
      <c r="A9758" s="3"/>
      <c r="B9758" s="3"/>
      <c r="C9758" s="3"/>
      <c r="D9758" s="3"/>
      <c r="E9758" s="3"/>
      <c r="F9758" s="3"/>
      <c r="G9758" s="3"/>
      <c r="H9758" s="11"/>
      <c r="I9758" s="12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  <c r="AA9758" s="3"/>
      <c r="AB9758" s="3"/>
      <c r="AC9758" s="3"/>
      <c r="AD9758" s="3"/>
      <c r="AE9758" s="3"/>
      <c r="AF9758" s="3"/>
      <c r="AG9758" s="3"/>
      <c r="AH9758" s="3"/>
    </row>
    <row r="9759" spans="1:34" ht="14.25" customHeight="1" x14ac:dyDescent="0.25">
      <c r="A9759" s="3"/>
      <c r="B9759" s="3"/>
      <c r="C9759" s="3"/>
      <c r="D9759" s="3"/>
      <c r="E9759" s="3"/>
      <c r="F9759" s="3"/>
      <c r="G9759" s="3"/>
      <c r="H9759" s="11"/>
      <c r="I9759" s="12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  <c r="AA9759" s="3"/>
      <c r="AB9759" s="3"/>
      <c r="AC9759" s="3"/>
      <c r="AD9759" s="3"/>
      <c r="AE9759" s="3"/>
      <c r="AF9759" s="3"/>
      <c r="AG9759" s="3"/>
      <c r="AH9759" s="3"/>
    </row>
    <row r="9760" spans="1:34" ht="14.25" customHeight="1" x14ac:dyDescent="0.25">
      <c r="A9760" s="3"/>
      <c r="B9760" s="3"/>
      <c r="C9760" s="3"/>
      <c r="D9760" s="3"/>
      <c r="E9760" s="3"/>
      <c r="F9760" s="3"/>
      <c r="G9760" s="3"/>
      <c r="H9760" s="11"/>
      <c r="I9760" s="12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  <c r="AA9760" s="3"/>
      <c r="AB9760" s="3"/>
      <c r="AC9760" s="3"/>
      <c r="AD9760" s="3"/>
      <c r="AE9760" s="3"/>
      <c r="AF9760" s="3"/>
      <c r="AG9760" s="3"/>
      <c r="AH9760" s="3"/>
    </row>
    <row r="9761" spans="1:34" ht="14.25" customHeight="1" x14ac:dyDescent="0.25">
      <c r="A9761" s="3"/>
      <c r="B9761" s="3"/>
      <c r="C9761" s="3"/>
      <c r="D9761" s="3"/>
      <c r="E9761" s="3"/>
      <c r="F9761" s="3"/>
      <c r="G9761" s="3"/>
      <c r="H9761" s="11"/>
      <c r="I9761" s="12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  <c r="AA9761" s="3"/>
      <c r="AB9761" s="3"/>
      <c r="AC9761" s="3"/>
      <c r="AD9761" s="3"/>
      <c r="AE9761" s="3"/>
      <c r="AF9761" s="3"/>
      <c r="AG9761" s="3"/>
      <c r="AH9761" s="3"/>
    </row>
    <row r="9762" spans="1:34" ht="14.25" customHeight="1" x14ac:dyDescent="0.25">
      <c r="A9762" s="3"/>
      <c r="B9762" s="3"/>
      <c r="C9762" s="3"/>
      <c r="D9762" s="3"/>
      <c r="E9762" s="3"/>
      <c r="F9762" s="3"/>
      <c r="G9762" s="3"/>
      <c r="H9762" s="11"/>
      <c r="I9762" s="12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  <c r="AA9762" s="3"/>
      <c r="AB9762" s="3"/>
      <c r="AC9762" s="3"/>
      <c r="AD9762" s="3"/>
      <c r="AE9762" s="3"/>
      <c r="AF9762" s="3"/>
      <c r="AG9762" s="3"/>
      <c r="AH9762" s="3"/>
    </row>
    <row r="9763" spans="1:34" ht="14.25" customHeight="1" x14ac:dyDescent="0.25">
      <c r="A9763" s="3"/>
      <c r="B9763" s="3"/>
      <c r="C9763" s="3"/>
      <c r="D9763" s="3"/>
      <c r="E9763" s="3"/>
      <c r="F9763" s="3"/>
      <c r="G9763" s="3"/>
      <c r="H9763" s="11"/>
      <c r="I9763" s="12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  <c r="AA9763" s="3"/>
      <c r="AB9763" s="3"/>
      <c r="AC9763" s="3"/>
      <c r="AD9763" s="3"/>
      <c r="AE9763" s="3"/>
      <c r="AF9763" s="3"/>
      <c r="AG9763" s="3"/>
      <c r="AH9763" s="3"/>
    </row>
    <row r="9764" spans="1:34" ht="14.25" customHeight="1" x14ac:dyDescent="0.25">
      <c r="A9764" s="3"/>
      <c r="B9764" s="3"/>
      <c r="C9764" s="3"/>
      <c r="D9764" s="3"/>
      <c r="E9764" s="3"/>
      <c r="F9764" s="3"/>
      <c r="G9764" s="3"/>
      <c r="H9764" s="11"/>
      <c r="I9764" s="12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  <c r="AA9764" s="3"/>
      <c r="AB9764" s="3"/>
      <c r="AC9764" s="3"/>
      <c r="AD9764" s="3"/>
      <c r="AE9764" s="3"/>
      <c r="AF9764" s="3"/>
      <c r="AG9764" s="3"/>
      <c r="AH9764" s="3"/>
    </row>
    <row r="9765" spans="1:34" ht="14.25" customHeight="1" x14ac:dyDescent="0.25">
      <c r="A9765" s="3"/>
      <c r="B9765" s="3"/>
      <c r="C9765" s="3"/>
      <c r="D9765" s="3"/>
      <c r="E9765" s="3"/>
      <c r="F9765" s="3"/>
      <c r="G9765" s="3"/>
      <c r="H9765" s="11"/>
      <c r="I9765" s="12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  <c r="AA9765" s="3"/>
      <c r="AB9765" s="3"/>
      <c r="AC9765" s="3"/>
      <c r="AD9765" s="3"/>
      <c r="AE9765" s="3"/>
      <c r="AF9765" s="3"/>
      <c r="AG9765" s="3"/>
      <c r="AH9765" s="3"/>
    </row>
    <row r="9766" spans="1:34" ht="14.25" customHeight="1" x14ac:dyDescent="0.25">
      <c r="A9766" s="3"/>
      <c r="B9766" s="3"/>
      <c r="C9766" s="3"/>
      <c r="D9766" s="3"/>
      <c r="E9766" s="3"/>
      <c r="F9766" s="3"/>
      <c r="G9766" s="3"/>
      <c r="H9766" s="11"/>
      <c r="I9766" s="12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  <c r="AA9766" s="3"/>
      <c r="AB9766" s="3"/>
      <c r="AC9766" s="3"/>
      <c r="AD9766" s="3"/>
      <c r="AE9766" s="3"/>
      <c r="AF9766" s="3"/>
      <c r="AG9766" s="3"/>
      <c r="AH9766" s="3"/>
    </row>
    <row r="9767" spans="1:34" ht="14.25" customHeight="1" x14ac:dyDescent="0.25">
      <c r="A9767" s="3"/>
      <c r="B9767" s="3"/>
      <c r="C9767" s="3"/>
      <c r="D9767" s="3"/>
      <c r="E9767" s="3"/>
      <c r="F9767" s="3"/>
      <c r="G9767" s="3"/>
      <c r="H9767" s="11"/>
      <c r="I9767" s="12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  <c r="AA9767" s="3"/>
      <c r="AB9767" s="3"/>
      <c r="AC9767" s="3"/>
      <c r="AD9767" s="3"/>
      <c r="AE9767" s="3"/>
      <c r="AF9767" s="3"/>
      <c r="AG9767" s="3"/>
      <c r="AH9767" s="3"/>
    </row>
    <row r="9768" spans="1:34" ht="14.25" customHeight="1" x14ac:dyDescent="0.25">
      <c r="A9768" s="3"/>
      <c r="B9768" s="3"/>
      <c r="C9768" s="3"/>
      <c r="D9768" s="3"/>
      <c r="E9768" s="3"/>
      <c r="F9768" s="3"/>
      <c r="G9768" s="3"/>
      <c r="H9768" s="11"/>
      <c r="I9768" s="12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  <c r="AA9768" s="3"/>
      <c r="AB9768" s="3"/>
      <c r="AC9768" s="3"/>
      <c r="AD9768" s="3"/>
      <c r="AE9768" s="3"/>
      <c r="AF9768" s="3"/>
      <c r="AG9768" s="3"/>
      <c r="AH9768" s="3"/>
    </row>
    <row r="9769" spans="1:34" ht="14.25" customHeight="1" x14ac:dyDescent="0.25">
      <c r="A9769" s="3"/>
      <c r="B9769" s="3"/>
      <c r="C9769" s="3"/>
      <c r="D9769" s="3"/>
      <c r="E9769" s="3"/>
      <c r="F9769" s="3"/>
      <c r="G9769" s="3"/>
      <c r="H9769" s="11"/>
      <c r="I9769" s="12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  <c r="AA9769" s="3"/>
      <c r="AB9769" s="3"/>
      <c r="AC9769" s="3"/>
      <c r="AD9769" s="3"/>
      <c r="AE9769" s="3"/>
      <c r="AF9769" s="3"/>
      <c r="AG9769" s="3"/>
      <c r="AH9769" s="3"/>
    </row>
    <row r="9770" spans="1:34" ht="14.25" customHeight="1" x14ac:dyDescent="0.25">
      <c r="A9770" s="3"/>
      <c r="B9770" s="3"/>
      <c r="C9770" s="3"/>
      <c r="D9770" s="3"/>
      <c r="E9770" s="3"/>
      <c r="F9770" s="3"/>
      <c r="G9770" s="3"/>
      <c r="H9770" s="11"/>
      <c r="I9770" s="12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  <c r="AA9770" s="3"/>
      <c r="AB9770" s="3"/>
      <c r="AC9770" s="3"/>
      <c r="AD9770" s="3"/>
      <c r="AE9770" s="3"/>
      <c r="AF9770" s="3"/>
      <c r="AG9770" s="3"/>
      <c r="AH9770" s="3"/>
    </row>
    <row r="9771" spans="1:34" ht="14.25" customHeight="1" x14ac:dyDescent="0.25">
      <c r="A9771" s="3"/>
      <c r="B9771" s="3"/>
      <c r="C9771" s="3"/>
      <c r="D9771" s="3"/>
      <c r="E9771" s="3"/>
      <c r="F9771" s="3"/>
      <c r="G9771" s="3"/>
      <c r="H9771" s="11"/>
      <c r="I9771" s="12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  <c r="AA9771" s="3"/>
      <c r="AB9771" s="3"/>
      <c r="AC9771" s="3"/>
      <c r="AD9771" s="3"/>
      <c r="AE9771" s="3"/>
      <c r="AF9771" s="3"/>
      <c r="AG9771" s="3"/>
      <c r="AH9771" s="3"/>
    </row>
    <row r="9772" spans="1:34" ht="14.25" customHeight="1" x14ac:dyDescent="0.25">
      <c r="A9772" s="3"/>
      <c r="B9772" s="3"/>
      <c r="C9772" s="3"/>
      <c r="D9772" s="3"/>
      <c r="E9772" s="3"/>
      <c r="F9772" s="3"/>
      <c r="G9772" s="3"/>
      <c r="H9772" s="11"/>
      <c r="I9772" s="12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  <c r="AA9772" s="3"/>
      <c r="AB9772" s="3"/>
      <c r="AC9772" s="3"/>
      <c r="AD9772" s="3"/>
      <c r="AE9772" s="3"/>
      <c r="AF9772" s="3"/>
      <c r="AG9772" s="3"/>
      <c r="AH9772" s="3"/>
    </row>
    <row r="9773" spans="1:34" ht="14.25" customHeight="1" x14ac:dyDescent="0.25">
      <c r="A9773" s="3"/>
      <c r="B9773" s="3"/>
      <c r="C9773" s="3"/>
      <c r="D9773" s="3"/>
      <c r="E9773" s="3"/>
      <c r="F9773" s="3"/>
      <c r="G9773" s="3"/>
      <c r="H9773" s="11"/>
      <c r="I9773" s="12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  <c r="AA9773" s="3"/>
      <c r="AB9773" s="3"/>
      <c r="AC9773" s="3"/>
      <c r="AD9773" s="3"/>
      <c r="AE9773" s="3"/>
      <c r="AF9773" s="3"/>
      <c r="AG9773" s="3"/>
      <c r="AH9773" s="3"/>
    </row>
    <row r="9774" spans="1:34" ht="14.25" customHeight="1" x14ac:dyDescent="0.25">
      <c r="A9774" s="3"/>
      <c r="B9774" s="3"/>
      <c r="C9774" s="3"/>
      <c r="D9774" s="3"/>
      <c r="E9774" s="3"/>
      <c r="F9774" s="3"/>
      <c r="G9774" s="3"/>
      <c r="H9774" s="11"/>
      <c r="I9774" s="12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  <c r="AA9774" s="3"/>
      <c r="AB9774" s="3"/>
      <c r="AC9774" s="3"/>
      <c r="AD9774" s="3"/>
      <c r="AE9774" s="3"/>
      <c r="AF9774" s="3"/>
      <c r="AG9774" s="3"/>
      <c r="AH9774" s="3"/>
    </row>
    <row r="9775" spans="1:34" ht="14.25" customHeight="1" x14ac:dyDescent="0.25">
      <c r="A9775" s="3"/>
      <c r="B9775" s="3"/>
      <c r="C9775" s="3"/>
      <c r="D9775" s="3"/>
      <c r="E9775" s="3"/>
      <c r="F9775" s="3"/>
      <c r="G9775" s="3"/>
      <c r="H9775" s="11"/>
      <c r="I9775" s="12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  <c r="AA9775" s="3"/>
      <c r="AB9775" s="3"/>
      <c r="AC9775" s="3"/>
      <c r="AD9775" s="3"/>
      <c r="AE9775" s="3"/>
      <c r="AF9775" s="3"/>
      <c r="AG9775" s="3"/>
      <c r="AH9775" s="3"/>
    </row>
    <row r="9776" spans="1:34" ht="14.25" customHeight="1" x14ac:dyDescent="0.25">
      <c r="A9776" s="3"/>
      <c r="B9776" s="3"/>
      <c r="C9776" s="3"/>
      <c r="D9776" s="3"/>
      <c r="E9776" s="3"/>
      <c r="F9776" s="3"/>
      <c r="G9776" s="3"/>
      <c r="H9776" s="11"/>
      <c r="I9776" s="12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  <c r="AA9776" s="3"/>
      <c r="AB9776" s="3"/>
      <c r="AC9776" s="3"/>
      <c r="AD9776" s="3"/>
      <c r="AE9776" s="3"/>
      <c r="AF9776" s="3"/>
      <c r="AG9776" s="3"/>
      <c r="AH9776" s="3"/>
    </row>
    <row r="9777" spans="1:34" ht="14.25" customHeight="1" x14ac:dyDescent="0.25">
      <c r="A9777" s="3"/>
      <c r="B9777" s="3"/>
      <c r="C9777" s="3"/>
      <c r="D9777" s="3"/>
      <c r="E9777" s="3"/>
      <c r="F9777" s="3"/>
      <c r="G9777" s="3"/>
      <c r="H9777" s="11"/>
      <c r="I9777" s="12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  <c r="AA9777" s="3"/>
      <c r="AB9777" s="3"/>
      <c r="AC9777" s="3"/>
      <c r="AD9777" s="3"/>
      <c r="AE9777" s="3"/>
      <c r="AF9777" s="3"/>
      <c r="AG9777" s="3"/>
      <c r="AH9777" s="3"/>
    </row>
    <row r="9778" spans="1:34" ht="14.25" customHeight="1" x14ac:dyDescent="0.25">
      <c r="A9778" s="3"/>
      <c r="B9778" s="3"/>
      <c r="C9778" s="3"/>
      <c r="D9778" s="3"/>
      <c r="E9778" s="3"/>
      <c r="F9778" s="3"/>
      <c r="G9778" s="3"/>
      <c r="H9778" s="11"/>
      <c r="I9778" s="12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  <c r="AA9778" s="3"/>
      <c r="AB9778" s="3"/>
      <c r="AC9778" s="3"/>
      <c r="AD9778" s="3"/>
      <c r="AE9778" s="3"/>
      <c r="AF9778" s="3"/>
      <c r="AG9778" s="3"/>
      <c r="AH9778" s="3"/>
    </row>
    <row r="9779" spans="1:34" ht="14.25" customHeight="1" x14ac:dyDescent="0.25">
      <c r="A9779" s="3"/>
      <c r="B9779" s="3"/>
      <c r="C9779" s="3"/>
      <c r="D9779" s="3"/>
      <c r="E9779" s="3"/>
      <c r="F9779" s="3"/>
      <c r="G9779" s="3"/>
      <c r="H9779" s="11"/>
      <c r="I9779" s="12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  <c r="AA9779" s="3"/>
      <c r="AB9779" s="3"/>
      <c r="AC9779" s="3"/>
      <c r="AD9779" s="3"/>
      <c r="AE9779" s="3"/>
      <c r="AF9779" s="3"/>
      <c r="AG9779" s="3"/>
      <c r="AH9779" s="3"/>
    </row>
    <row r="9780" spans="1:34" ht="14.25" customHeight="1" x14ac:dyDescent="0.25">
      <c r="A9780" s="3"/>
      <c r="B9780" s="3"/>
      <c r="C9780" s="3"/>
      <c r="D9780" s="3"/>
      <c r="E9780" s="3"/>
      <c r="F9780" s="3"/>
      <c r="G9780" s="3"/>
      <c r="H9780" s="11"/>
      <c r="I9780" s="12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  <c r="AA9780" s="3"/>
      <c r="AB9780" s="3"/>
      <c r="AC9780" s="3"/>
      <c r="AD9780" s="3"/>
      <c r="AE9780" s="3"/>
      <c r="AF9780" s="3"/>
      <c r="AG9780" s="3"/>
      <c r="AH9780" s="3"/>
    </row>
    <row r="9781" spans="1:34" ht="14.25" customHeight="1" x14ac:dyDescent="0.25">
      <c r="A9781" s="3"/>
      <c r="B9781" s="3"/>
      <c r="C9781" s="3"/>
      <c r="D9781" s="3"/>
      <c r="E9781" s="3"/>
      <c r="F9781" s="3"/>
      <c r="G9781" s="3"/>
      <c r="H9781" s="11"/>
      <c r="I9781" s="12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  <c r="AA9781" s="3"/>
      <c r="AB9781" s="3"/>
      <c r="AC9781" s="3"/>
      <c r="AD9781" s="3"/>
      <c r="AE9781" s="3"/>
      <c r="AF9781" s="3"/>
      <c r="AG9781" s="3"/>
      <c r="AH9781" s="3"/>
    </row>
    <row r="9782" spans="1:34" ht="14.25" customHeight="1" x14ac:dyDescent="0.25">
      <c r="A9782" s="3"/>
      <c r="B9782" s="3"/>
      <c r="C9782" s="3"/>
      <c r="D9782" s="3"/>
      <c r="E9782" s="3"/>
      <c r="F9782" s="3"/>
      <c r="G9782" s="3"/>
      <c r="H9782" s="11"/>
      <c r="I9782" s="12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  <c r="AA9782" s="3"/>
      <c r="AB9782" s="3"/>
      <c r="AC9782" s="3"/>
      <c r="AD9782" s="3"/>
      <c r="AE9782" s="3"/>
      <c r="AF9782" s="3"/>
      <c r="AG9782" s="3"/>
      <c r="AH9782" s="3"/>
    </row>
    <row r="9783" spans="1:34" ht="14.25" customHeight="1" x14ac:dyDescent="0.25">
      <c r="A9783" s="3"/>
      <c r="B9783" s="3"/>
      <c r="C9783" s="3"/>
      <c r="D9783" s="3"/>
      <c r="E9783" s="3"/>
      <c r="F9783" s="3"/>
      <c r="G9783" s="3"/>
      <c r="H9783" s="11"/>
      <c r="I9783" s="12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  <c r="AA9783" s="3"/>
      <c r="AB9783" s="3"/>
      <c r="AC9783" s="3"/>
      <c r="AD9783" s="3"/>
      <c r="AE9783" s="3"/>
      <c r="AF9783" s="3"/>
      <c r="AG9783" s="3"/>
      <c r="AH9783" s="3"/>
    </row>
    <row r="9784" spans="1:34" ht="14.25" customHeight="1" x14ac:dyDescent="0.25">
      <c r="A9784" s="3"/>
      <c r="B9784" s="3"/>
      <c r="C9784" s="3"/>
      <c r="D9784" s="3"/>
      <c r="E9784" s="3"/>
      <c r="F9784" s="3"/>
      <c r="G9784" s="3"/>
      <c r="H9784" s="11"/>
      <c r="I9784" s="12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  <c r="AA9784" s="3"/>
      <c r="AB9784" s="3"/>
      <c r="AC9784" s="3"/>
      <c r="AD9784" s="3"/>
      <c r="AE9784" s="3"/>
      <c r="AF9784" s="3"/>
      <c r="AG9784" s="3"/>
      <c r="AH9784" s="3"/>
    </row>
    <row r="9785" spans="1:34" ht="14.25" customHeight="1" x14ac:dyDescent="0.25">
      <c r="A9785" s="3"/>
      <c r="B9785" s="3"/>
      <c r="C9785" s="3"/>
      <c r="D9785" s="3"/>
      <c r="E9785" s="3"/>
      <c r="F9785" s="3"/>
      <c r="G9785" s="3"/>
      <c r="H9785" s="11"/>
      <c r="I9785" s="12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  <c r="AA9785" s="3"/>
      <c r="AB9785" s="3"/>
      <c r="AC9785" s="3"/>
      <c r="AD9785" s="3"/>
      <c r="AE9785" s="3"/>
      <c r="AF9785" s="3"/>
      <c r="AG9785" s="3"/>
      <c r="AH9785" s="3"/>
    </row>
    <row r="9786" spans="1:34" ht="14.25" customHeight="1" x14ac:dyDescent="0.25">
      <c r="A9786" s="3"/>
      <c r="B9786" s="3"/>
      <c r="C9786" s="3"/>
      <c r="D9786" s="3"/>
      <c r="E9786" s="3"/>
      <c r="F9786" s="3"/>
      <c r="G9786" s="3"/>
      <c r="H9786" s="11"/>
      <c r="I9786" s="12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  <c r="AA9786" s="3"/>
      <c r="AB9786" s="3"/>
      <c r="AC9786" s="3"/>
      <c r="AD9786" s="3"/>
      <c r="AE9786" s="3"/>
      <c r="AF9786" s="3"/>
      <c r="AG9786" s="3"/>
      <c r="AH9786" s="3"/>
    </row>
    <row r="9787" spans="1:34" ht="14.25" customHeight="1" x14ac:dyDescent="0.25">
      <c r="A9787" s="3"/>
      <c r="B9787" s="3"/>
      <c r="C9787" s="3"/>
      <c r="D9787" s="3"/>
      <c r="E9787" s="3"/>
      <c r="F9787" s="3"/>
      <c r="G9787" s="3"/>
      <c r="H9787" s="11"/>
      <c r="I9787" s="12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  <c r="AA9787" s="3"/>
      <c r="AB9787" s="3"/>
      <c r="AC9787" s="3"/>
      <c r="AD9787" s="3"/>
      <c r="AE9787" s="3"/>
      <c r="AF9787" s="3"/>
      <c r="AG9787" s="3"/>
      <c r="AH9787" s="3"/>
    </row>
    <row r="9788" spans="1:34" ht="14.25" customHeight="1" x14ac:dyDescent="0.25">
      <c r="A9788" s="3"/>
      <c r="B9788" s="3"/>
      <c r="C9788" s="3"/>
      <c r="D9788" s="3"/>
      <c r="E9788" s="3"/>
      <c r="F9788" s="3"/>
      <c r="G9788" s="3"/>
      <c r="H9788" s="11"/>
      <c r="I9788" s="12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  <c r="AA9788" s="3"/>
      <c r="AB9788" s="3"/>
      <c r="AC9788" s="3"/>
      <c r="AD9788" s="3"/>
      <c r="AE9788" s="3"/>
      <c r="AF9788" s="3"/>
      <c r="AG9788" s="3"/>
      <c r="AH9788" s="3"/>
    </row>
    <row r="9789" spans="1:34" ht="14.25" customHeight="1" x14ac:dyDescent="0.25">
      <c r="A9789" s="3"/>
      <c r="B9789" s="3"/>
      <c r="C9789" s="3"/>
      <c r="D9789" s="3"/>
      <c r="E9789" s="3"/>
      <c r="F9789" s="3"/>
      <c r="G9789" s="3"/>
      <c r="H9789" s="11"/>
      <c r="I9789" s="12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  <c r="AA9789" s="3"/>
      <c r="AB9789" s="3"/>
      <c r="AC9789" s="3"/>
      <c r="AD9789" s="3"/>
      <c r="AE9789" s="3"/>
      <c r="AF9789" s="3"/>
      <c r="AG9789" s="3"/>
      <c r="AH9789" s="3"/>
    </row>
    <row r="9790" spans="1:34" ht="14.25" customHeight="1" x14ac:dyDescent="0.25">
      <c r="A9790" s="3"/>
      <c r="B9790" s="3"/>
      <c r="C9790" s="3"/>
      <c r="D9790" s="3"/>
      <c r="E9790" s="3"/>
      <c r="F9790" s="3"/>
      <c r="G9790" s="3"/>
      <c r="H9790" s="11"/>
      <c r="I9790" s="12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  <c r="AA9790" s="3"/>
      <c r="AB9790" s="3"/>
      <c r="AC9790" s="3"/>
      <c r="AD9790" s="3"/>
      <c r="AE9790" s="3"/>
      <c r="AF9790" s="3"/>
      <c r="AG9790" s="3"/>
      <c r="AH9790" s="3"/>
    </row>
    <row r="9791" spans="1:34" ht="14.25" customHeight="1" x14ac:dyDescent="0.25">
      <c r="A9791" s="3"/>
      <c r="B9791" s="3"/>
      <c r="C9791" s="3"/>
      <c r="D9791" s="3"/>
      <c r="E9791" s="3"/>
      <c r="F9791" s="3"/>
      <c r="G9791" s="3"/>
      <c r="H9791" s="11"/>
      <c r="I9791" s="12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  <c r="AA9791" s="3"/>
      <c r="AB9791" s="3"/>
      <c r="AC9791" s="3"/>
      <c r="AD9791" s="3"/>
      <c r="AE9791" s="3"/>
      <c r="AF9791" s="3"/>
      <c r="AG9791" s="3"/>
      <c r="AH9791" s="3"/>
    </row>
    <row r="9792" spans="1:34" ht="14.25" customHeight="1" x14ac:dyDescent="0.25">
      <c r="A9792" s="3"/>
      <c r="B9792" s="3"/>
      <c r="C9792" s="3"/>
      <c r="D9792" s="3"/>
      <c r="E9792" s="3"/>
      <c r="F9792" s="3"/>
      <c r="G9792" s="3"/>
      <c r="H9792" s="11"/>
      <c r="I9792" s="12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  <c r="AA9792" s="3"/>
      <c r="AB9792" s="3"/>
      <c r="AC9792" s="3"/>
      <c r="AD9792" s="3"/>
      <c r="AE9792" s="3"/>
      <c r="AF9792" s="3"/>
      <c r="AG9792" s="3"/>
      <c r="AH9792" s="3"/>
    </row>
    <row r="9793" spans="1:34" ht="14.25" customHeight="1" x14ac:dyDescent="0.25">
      <c r="A9793" s="3"/>
      <c r="B9793" s="3"/>
      <c r="C9793" s="3"/>
      <c r="D9793" s="3"/>
      <c r="E9793" s="3"/>
      <c r="F9793" s="3"/>
      <c r="G9793" s="3"/>
      <c r="H9793" s="11"/>
      <c r="I9793" s="12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  <c r="AA9793" s="3"/>
      <c r="AB9793" s="3"/>
      <c r="AC9793" s="3"/>
      <c r="AD9793" s="3"/>
      <c r="AE9793" s="3"/>
      <c r="AF9793" s="3"/>
      <c r="AG9793" s="3"/>
      <c r="AH9793" s="3"/>
    </row>
    <row r="9794" spans="1:34" ht="14.25" customHeight="1" x14ac:dyDescent="0.25">
      <c r="A9794" s="3"/>
      <c r="B9794" s="3"/>
      <c r="C9794" s="3"/>
      <c r="D9794" s="3"/>
      <c r="E9794" s="3"/>
      <c r="F9794" s="3"/>
      <c r="G9794" s="3"/>
      <c r="H9794" s="11"/>
      <c r="I9794" s="12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  <c r="AA9794" s="3"/>
      <c r="AB9794" s="3"/>
      <c r="AC9794" s="3"/>
      <c r="AD9794" s="3"/>
      <c r="AE9794" s="3"/>
      <c r="AF9794" s="3"/>
      <c r="AG9794" s="3"/>
      <c r="AH9794" s="3"/>
    </row>
    <row r="9795" spans="1:34" ht="14.25" customHeight="1" x14ac:dyDescent="0.25">
      <c r="A9795" s="3"/>
      <c r="B9795" s="3"/>
      <c r="C9795" s="3"/>
      <c r="D9795" s="3"/>
      <c r="E9795" s="3"/>
      <c r="F9795" s="3"/>
      <c r="G9795" s="3"/>
      <c r="H9795" s="11"/>
      <c r="I9795" s="12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  <c r="AA9795" s="3"/>
      <c r="AB9795" s="3"/>
      <c r="AC9795" s="3"/>
      <c r="AD9795" s="3"/>
      <c r="AE9795" s="3"/>
      <c r="AF9795" s="3"/>
      <c r="AG9795" s="3"/>
      <c r="AH9795" s="3"/>
    </row>
    <row r="9796" spans="1:34" ht="14.25" customHeight="1" x14ac:dyDescent="0.25">
      <c r="A9796" s="3"/>
      <c r="B9796" s="3"/>
      <c r="C9796" s="3"/>
      <c r="D9796" s="3"/>
      <c r="E9796" s="3"/>
      <c r="F9796" s="3"/>
      <c r="G9796" s="3"/>
      <c r="H9796" s="11"/>
      <c r="I9796" s="12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  <c r="AA9796" s="3"/>
      <c r="AB9796" s="3"/>
      <c r="AC9796" s="3"/>
      <c r="AD9796" s="3"/>
      <c r="AE9796" s="3"/>
      <c r="AF9796" s="3"/>
      <c r="AG9796" s="3"/>
      <c r="AH9796" s="3"/>
    </row>
    <row r="9797" spans="1:34" ht="14.25" customHeight="1" x14ac:dyDescent="0.25">
      <c r="A9797" s="3"/>
      <c r="B9797" s="3"/>
      <c r="C9797" s="3"/>
      <c r="D9797" s="3"/>
      <c r="E9797" s="3"/>
      <c r="F9797" s="3"/>
      <c r="G9797" s="3"/>
      <c r="H9797" s="11"/>
      <c r="I9797" s="12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  <c r="AA9797" s="3"/>
      <c r="AB9797" s="3"/>
      <c r="AC9797" s="3"/>
      <c r="AD9797" s="3"/>
      <c r="AE9797" s="3"/>
      <c r="AF9797" s="3"/>
      <c r="AG9797" s="3"/>
      <c r="AH9797" s="3"/>
    </row>
    <row r="9798" spans="1:34" ht="14.25" customHeight="1" x14ac:dyDescent="0.25">
      <c r="A9798" s="3"/>
      <c r="B9798" s="3"/>
      <c r="C9798" s="3"/>
      <c r="D9798" s="3"/>
      <c r="E9798" s="3"/>
      <c r="F9798" s="3"/>
      <c r="G9798" s="3"/>
      <c r="H9798" s="11"/>
      <c r="I9798" s="12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  <c r="AA9798" s="3"/>
      <c r="AB9798" s="3"/>
      <c r="AC9798" s="3"/>
      <c r="AD9798" s="3"/>
      <c r="AE9798" s="3"/>
      <c r="AF9798" s="3"/>
      <c r="AG9798" s="3"/>
      <c r="AH9798" s="3"/>
    </row>
    <row r="9799" spans="1:34" ht="14.25" customHeight="1" x14ac:dyDescent="0.25">
      <c r="A9799" s="3"/>
      <c r="B9799" s="3"/>
      <c r="C9799" s="3"/>
      <c r="D9799" s="3"/>
      <c r="E9799" s="3"/>
      <c r="F9799" s="3"/>
      <c r="G9799" s="3"/>
      <c r="H9799" s="11"/>
      <c r="I9799" s="12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  <c r="AA9799" s="3"/>
      <c r="AB9799" s="3"/>
      <c r="AC9799" s="3"/>
      <c r="AD9799" s="3"/>
      <c r="AE9799" s="3"/>
      <c r="AF9799" s="3"/>
      <c r="AG9799" s="3"/>
      <c r="AH9799" s="3"/>
    </row>
    <row r="9800" spans="1:34" ht="14.25" customHeight="1" x14ac:dyDescent="0.25">
      <c r="A9800" s="3"/>
      <c r="B9800" s="3"/>
      <c r="C9800" s="3"/>
      <c r="D9800" s="3"/>
      <c r="E9800" s="3"/>
      <c r="F9800" s="3"/>
      <c r="G9800" s="3"/>
      <c r="H9800" s="11"/>
      <c r="I9800" s="12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  <c r="AA9800" s="3"/>
      <c r="AB9800" s="3"/>
      <c r="AC9800" s="3"/>
      <c r="AD9800" s="3"/>
      <c r="AE9800" s="3"/>
      <c r="AF9800" s="3"/>
      <c r="AG9800" s="3"/>
      <c r="AH9800" s="3"/>
    </row>
    <row r="9801" spans="1:34" ht="14.25" customHeight="1" x14ac:dyDescent="0.25">
      <c r="A9801" s="3"/>
      <c r="B9801" s="3"/>
      <c r="C9801" s="3"/>
      <c r="D9801" s="3"/>
      <c r="E9801" s="3"/>
      <c r="F9801" s="3"/>
      <c r="G9801" s="3"/>
      <c r="H9801" s="11"/>
      <c r="I9801" s="12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  <c r="AA9801" s="3"/>
      <c r="AB9801" s="3"/>
      <c r="AC9801" s="3"/>
      <c r="AD9801" s="3"/>
      <c r="AE9801" s="3"/>
      <c r="AF9801" s="3"/>
      <c r="AG9801" s="3"/>
      <c r="AH9801" s="3"/>
    </row>
    <row r="9802" spans="1:34" ht="14.25" customHeight="1" x14ac:dyDescent="0.25">
      <c r="A9802" s="3"/>
      <c r="B9802" s="3"/>
      <c r="C9802" s="3"/>
      <c r="D9802" s="3"/>
      <c r="E9802" s="3"/>
      <c r="F9802" s="3"/>
      <c r="G9802" s="3"/>
      <c r="H9802" s="11"/>
      <c r="I9802" s="12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  <c r="AA9802" s="3"/>
      <c r="AB9802" s="3"/>
      <c r="AC9802" s="3"/>
      <c r="AD9802" s="3"/>
      <c r="AE9802" s="3"/>
      <c r="AF9802" s="3"/>
      <c r="AG9802" s="3"/>
      <c r="AH9802" s="3"/>
    </row>
    <row r="9803" spans="1:34" ht="14.25" customHeight="1" x14ac:dyDescent="0.25">
      <c r="A9803" s="3"/>
      <c r="B9803" s="3"/>
      <c r="C9803" s="3"/>
      <c r="D9803" s="3"/>
      <c r="E9803" s="3"/>
      <c r="F9803" s="3"/>
      <c r="G9803" s="3"/>
      <c r="H9803" s="11"/>
      <c r="I9803" s="12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  <c r="AA9803" s="3"/>
      <c r="AB9803" s="3"/>
      <c r="AC9803" s="3"/>
      <c r="AD9803" s="3"/>
      <c r="AE9803" s="3"/>
      <c r="AF9803" s="3"/>
      <c r="AG9803" s="3"/>
      <c r="AH9803" s="3"/>
    </row>
    <row r="9804" spans="1:34" ht="14.25" customHeight="1" x14ac:dyDescent="0.25">
      <c r="A9804" s="3"/>
      <c r="B9804" s="3"/>
      <c r="C9804" s="3"/>
      <c r="D9804" s="3"/>
      <c r="E9804" s="3"/>
      <c r="F9804" s="3"/>
      <c r="G9804" s="3"/>
      <c r="H9804" s="11"/>
      <c r="I9804" s="12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  <c r="AA9804" s="3"/>
      <c r="AB9804" s="3"/>
      <c r="AC9804" s="3"/>
      <c r="AD9804" s="3"/>
      <c r="AE9804" s="3"/>
      <c r="AF9804" s="3"/>
      <c r="AG9804" s="3"/>
      <c r="AH9804" s="3"/>
    </row>
    <row r="9805" spans="1:34" ht="14.25" customHeight="1" x14ac:dyDescent="0.25">
      <c r="A9805" s="3"/>
      <c r="B9805" s="3"/>
      <c r="C9805" s="3"/>
      <c r="D9805" s="3"/>
      <c r="E9805" s="3"/>
      <c r="F9805" s="3"/>
      <c r="G9805" s="3"/>
      <c r="H9805" s="11"/>
      <c r="I9805" s="12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  <c r="AA9805" s="3"/>
      <c r="AB9805" s="3"/>
      <c r="AC9805" s="3"/>
      <c r="AD9805" s="3"/>
      <c r="AE9805" s="3"/>
      <c r="AF9805" s="3"/>
      <c r="AG9805" s="3"/>
      <c r="AH9805" s="3"/>
    </row>
    <row r="9806" spans="1:34" ht="14.25" customHeight="1" x14ac:dyDescent="0.25">
      <c r="A9806" s="3"/>
      <c r="B9806" s="3"/>
      <c r="C9806" s="3"/>
      <c r="D9806" s="3"/>
      <c r="E9806" s="3"/>
      <c r="F9806" s="3"/>
      <c r="G9806" s="3"/>
      <c r="H9806" s="11"/>
      <c r="I9806" s="12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  <c r="AA9806" s="3"/>
      <c r="AB9806" s="3"/>
      <c r="AC9806" s="3"/>
      <c r="AD9806" s="3"/>
      <c r="AE9806" s="3"/>
      <c r="AF9806" s="3"/>
      <c r="AG9806" s="3"/>
      <c r="AH9806" s="3"/>
    </row>
    <row r="9807" spans="1:34" ht="14.25" customHeight="1" x14ac:dyDescent="0.25">
      <c r="A9807" s="3"/>
      <c r="B9807" s="3"/>
      <c r="C9807" s="3"/>
      <c r="D9807" s="3"/>
      <c r="E9807" s="3"/>
      <c r="F9807" s="3"/>
      <c r="G9807" s="3"/>
      <c r="H9807" s="11"/>
      <c r="I9807" s="12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  <c r="AA9807" s="3"/>
      <c r="AB9807" s="3"/>
      <c r="AC9807" s="3"/>
      <c r="AD9807" s="3"/>
      <c r="AE9807" s="3"/>
      <c r="AF9807" s="3"/>
      <c r="AG9807" s="3"/>
      <c r="AH9807" s="3"/>
    </row>
    <row r="9808" spans="1:34" ht="14.25" customHeight="1" x14ac:dyDescent="0.25">
      <c r="A9808" s="3"/>
      <c r="B9808" s="3"/>
      <c r="C9808" s="3"/>
      <c r="D9808" s="3"/>
      <c r="E9808" s="3"/>
      <c r="F9808" s="3"/>
      <c r="G9808" s="3"/>
      <c r="H9808" s="11"/>
      <c r="I9808" s="12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  <c r="AA9808" s="3"/>
      <c r="AB9808" s="3"/>
      <c r="AC9808" s="3"/>
      <c r="AD9808" s="3"/>
      <c r="AE9808" s="3"/>
      <c r="AF9808" s="3"/>
      <c r="AG9808" s="3"/>
      <c r="AH9808" s="3"/>
    </row>
    <row r="9809" spans="1:34" ht="14.25" customHeight="1" x14ac:dyDescent="0.25">
      <c r="A9809" s="3"/>
      <c r="B9809" s="3"/>
      <c r="C9809" s="3"/>
      <c r="D9809" s="3"/>
      <c r="E9809" s="3"/>
      <c r="F9809" s="3"/>
      <c r="G9809" s="3"/>
      <c r="H9809" s="11"/>
      <c r="I9809" s="12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  <c r="AA9809" s="3"/>
      <c r="AB9809" s="3"/>
      <c r="AC9809" s="3"/>
      <c r="AD9809" s="3"/>
      <c r="AE9809" s="3"/>
      <c r="AF9809" s="3"/>
      <c r="AG9809" s="3"/>
      <c r="AH9809" s="3"/>
    </row>
    <row r="9810" spans="1:34" ht="14.25" customHeight="1" x14ac:dyDescent="0.25">
      <c r="A9810" s="3"/>
      <c r="B9810" s="3"/>
      <c r="C9810" s="3"/>
      <c r="D9810" s="3"/>
      <c r="E9810" s="3"/>
      <c r="F9810" s="3"/>
      <c r="G9810" s="3"/>
      <c r="H9810" s="11"/>
      <c r="I9810" s="12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  <c r="AA9810" s="3"/>
      <c r="AB9810" s="3"/>
      <c r="AC9810" s="3"/>
      <c r="AD9810" s="3"/>
      <c r="AE9810" s="3"/>
      <c r="AF9810" s="3"/>
      <c r="AG9810" s="3"/>
      <c r="AH9810" s="3"/>
    </row>
    <row r="9811" spans="1:34" ht="14.25" customHeight="1" x14ac:dyDescent="0.25">
      <c r="A9811" s="3"/>
      <c r="B9811" s="3"/>
      <c r="C9811" s="3"/>
      <c r="D9811" s="3"/>
      <c r="E9811" s="3"/>
      <c r="F9811" s="3"/>
      <c r="G9811" s="3"/>
      <c r="H9811" s="11"/>
      <c r="I9811" s="12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  <c r="AA9811" s="3"/>
      <c r="AB9811" s="3"/>
      <c r="AC9811" s="3"/>
      <c r="AD9811" s="3"/>
      <c r="AE9811" s="3"/>
      <c r="AF9811" s="3"/>
      <c r="AG9811" s="3"/>
      <c r="AH9811" s="3"/>
    </row>
    <row r="9812" spans="1:34" ht="14.25" customHeight="1" x14ac:dyDescent="0.25">
      <c r="A9812" s="3"/>
      <c r="B9812" s="3"/>
      <c r="C9812" s="3"/>
      <c r="D9812" s="3"/>
      <c r="E9812" s="3"/>
      <c r="F9812" s="3"/>
      <c r="G9812" s="3"/>
      <c r="H9812" s="11"/>
      <c r="I9812" s="12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  <c r="AA9812" s="3"/>
      <c r="AB9812" s="3"/>
      <c r="AC9812" s="3"/>
      <c r="AD9812" s="3"/>
      <c r="AE9812" s="3"/>
      <c r="AF9812" s="3"/>
      <c r="AG9812" s="3"/>
      <c r="AH9812" s="3"/>
    </row>
    <row r="9813" spans="1:34" ht="14.25" customHeight="1" x14ac:dyDescent="0.25">
      <c r="A9813" s="3"/>
      <c r="B9813" s="3"/>
      <c r="C9813" s="3"/>
      <c r="D9813" s="3"/>
      <c r="E9813" s="3"/>
      <c r="F9813" s="3"/>
      <c r="G9813" s="3"/>
      <c r="H9813" s="11"/>
      <c r="I9813" s="12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  <c r="AA9813" s="3"/>
      <c r="AB9813" s="3"/>
      <c r="AC9813" s="3"/>
      <c r="AD9813" s="3"/>
      <c r="AE9813" s="3"/>
      <c r="AF9813" s="3"/>
      <c r="AG9813" s="3"/>
      <c r="AH9813" s="3"/>
    </row>
    <row r="9814" spans="1:34" ht="14.25" customHeight="1" x14ac:dyDescent="0.25">
      <c r="A9814" s="3"/>
      <c r="B9814" s="3"/>
      <c r="C9814" s="3"/>
      <c r="D9814" s="3"/>
      <c r="E9814" s="3"/>
      <c r="F9814" s="3"/>
      <c r="G9814" s="3"/>
      <c r="H9814" s="11"/>
      <c r="I9814" s="12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  <c r="AA9814" s="3"/>
      <c r="AB9814" s="3"/>
      <c r="AC9814" s="3"/>
      <c r="AD9814" s="3"/>
      <c r="AE9814" s="3"/>
      <c r="AF9814" s="3"/>
      <c r="AG9814" s="3"/>
      <c r="AH9814" s="3"/>
    </row>
    <row r="9815" spans="1:34" ht="14.25" customHeight="1" x14ac:dyDescent="0.25">
      <c r="A9815" s="3"/>
      <c r="B9815" s="3"/>
      <c r="C9815" s="3"/>
      <c r="D9815" s="3"/>
      <c r="E9815" s="3"/>
      <c r="F9815" s="3"/>
      <c r="G9815" s="3"/>
      <c r="H9815" s="11"/>
      <c r="I9815" s="12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  <c r="AA9815" s="3"/>
      <c r="AB9815" s="3"/>
      <c r="AC9815" s="3"/>
      <c r="AD9815" s="3"/>
      <c r="AE9815" s="3"/>
      <c r="AF9815" s="3"/>
      <c r="AG9815" s="3"/>
      <c r="AH9815" s="3"/>
    </row>
    <row r="9816" spans="1:34" ht="14.25" customHeight="1" x14ac:dyDescent="0.25">
      <c r="A9816" s="3"/>
      <c r="B9816" s="3"/>
      <c r="C9816" s="3"/>
      <c r="D9816" s="3"/>
      <c r="E9816" s="3"/>
      <c r="F9816" s="3"/>
      <c r="G9816" s="3"/>
      <c r="H9816" s="11"/>
      <c r="I9816" s="12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  <c r="AA9816" s="3"/>
      <c r="AB9816" s="3"/>
      <c r="AC9816" s="3"/>
      <c r="AD9816" s="3"/>
      <c r="AE9816" s="3"/>
      <c r="AF9816" s="3"/>
      <c r="AG9816" s="3"/>
      <c r="AH9816" s="3"/>
    </row>
    <row r="9817" spans="1:34" ht="14.25" customHeight="1" x14ac:dyDescent="0.25">
      <c r="A9817" s="3"/>
      <c r="B9817" s="3"/>
      <c r="C9817" s="3"/>
      <c r="D9817" s="3"/>
      <c r="E9817" s="3"/>
      <c r="F9817" s="3"/>
      <c r="G9817" s="3"/>
      <c r="H9817" s="11"/>
      <c r="I9817" s="12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  <c r="AA9817" s="3"/>
      <c r="AB9817" s="3"/>
      <c r="AC9817" s="3"/>
      <c r="AD9817" s="3"/>
      <c r="AE9817" s="3"/>
      <c r="AF9817" s="3"/>
      <c r="AG9817" s="3"/>
      <c r="AH9817" s="3"/>
    </row>
    <row r="9818" spans="1:34" ht="14.25" customHeight="1" x14ac:dyDescent="0.25">
      <c r="A9818" s="3"/>
      <c r="B9818" s="3"/>
      <c r="C9818" s="3"/>
      <c r="D9818" s="3"/>
      <c r="E9818" s="3"/>
      <c r="F9818" s="3"/>
      <c r="G9818" s="3"/>
      <c r="H9818" s="11"/>
      <c r="I9818" s="12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  <c r="AA9818" s="3"/>
      <c r="AB9818" s="3"/>
      <c r="AC9818" s="3"/>
      <c r="AD9818" s="3"/>
      <c r="AE9818" s="3"/>
      <c r="AF9818" s="3"/>
      <c r="AG9818" s="3"/>
      <c r="AH9818" s="3"/>
    </row>
    <row r="9819" spans="1:34" ht="14.25" customHeight="1" x14ac:dyDescent="0.25">
      <c r="A9819" s="3"/>
      <c r="B9819" s="3"/>
      <c r="C9819" s="3"/>
      <c r="D9819" s="3"/>
      <c r="E9819" s="3"/>
      <c r="F9819" s="3"/>
      <c r="G9819" s="3"/>
      <c r="H9819" s="11"/>
      <c r="I9819" s="12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  <c r="AA9819" s="3"/>
      <c r="AB9819" s="3"/>
      <c r="AC9819" s="3"/>
      <c r="AD9819" s="3"/>
      <c r="AE9819" s="3"/>
      <c r="AF9819" s="3"/>
      <c r="AG9819" s="3"/>
      <c r="AH9819" s="3"/>
    </row>
    <row r="9820" spans="1:34" ht="14.25" customHeight="1" x14ac:dyDescent="0.25">
      <c r="A9820" s="3"/>
      <c r="B9820" s="3"/>
      <c r="C9820" s="3"/>
      <c r="D9820" s="3"/>
      <c r="E9820" s="3"/>
      <c r="F9820" s="3"/>
      <c r="G9820" s="3"/>
      <c r="H9820" s="11"/>
      <c r="I9820" s="12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  <c r="AA9820" s="3"/>
      <c r="AB9820" s="3"/>
      <c r="AC9820" s="3"/>
      <c r="AD9820" s="3"/>
      <c r="AE9820" s="3"/>
      <c r="AF9820" s="3"/>
      <c r="AG9820" s="3"/>
      <c r="AH9820" s="3"/>
    </row>
    <row r="9821" spans="1:34" ht="14.25" customHeight="1" x14ac:dyDescent="0.25">
      <c r="A9821" s="3"/>
      <c r="B9821" s="3"/>
      <c r="C9821" s="3"/>
      <c r="D9821" s="3"/>
      <c r="E9821" s="3"/>
      <c r="F9821" s="3"/>
      <c r="G9821" s="3"/>
      <c r="H9821" s="11"/>
      <c r="I9821" s="12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  <c r="AA9821" s="3"/>
      <c r="AB9821" s="3"/>
      <c r="AC9821" s="3"/>
      <c r="AD9821" s="3"/>
      <c r="AE9821" s="3"/>
      <c r="AF9821" s="3"/>
      <c r="AG9821" s="3"/>
      <c r="AH9821" s="3"/>
    </row>
    <row r="9822" spans="1:34" ht="14.25" customHeight="1" x14ac:dyDescent="0.25">
      <c r="A9822" s="3"/>
      <c r="B9822" s="3"/>
      <c r="C9822" s="3"/>
      <c r="D9822" s="3"/>
      <c r="E9822" s="3"/>
      <c r="F9822" s="3"/>
      <c r="G9822" s="3"/>
      <c r="H9822" s="11"/>
      <c r="I9822" s="12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  <c r="AA9822" s="3"/>
      <c r="AB9822" s="3"/>
      <c r="AC9822" s="3"/>
      <c r="AD9822" s="3"/>
      <c r="AE9822" s="3"/>
      <c r="AF9822" s="3"/>
      <c r="AG9822" s="3"/>
      <c r="AH9822" s="3"/>
    </row>
    <row r="9823" spans="1:34" ht="14.25" customHeight="1" x14ac:dyDescent="0.25">
      <c r="A9823" s="3"/>
      <c r="B9823" s="3"/>
      <c r="C9823" s="3"/>
      <c r="D9823" s="3"/>
      <c r="E9823" s="3"/>
      <c r="F9823" s="3"/>
      <c r="G9823" s="3"/>
      <c r="H9823" s="11"/>
      <c r="I9823" s="12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  <c r="AA9823" s="3"/>
      <c r="AB9823" s="3"/>
      <c r="AC9823" s="3"/>
      <c r="AD9823" s="3"/>
      <c r="AE9823" s="3"/>
      <c r="AF9823" s="3"/>
      <c r="AG9823" s="3"/>
      <c r="AH9823" s="3"/>
    </row>
    <row r="9824" spans="1:34" ht="14.25" customHeight="1" x14ac:dyDescent="0.25">
      <c r="A9824" s="3"/>
      <c r="B9824" s="3"/>
      <c r="C9824" s="3"/>
      <c r="D9824" s="3"/>
      <c r="E9824" s="3"/>
      <c r="F9824" s="3"/>
      <c r="G9824" s="3"/>
      <c r="H9824" s="11"/>
      <c r="I9824" s="12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  <c r="AA9824" s="3"/>
      <c r="AB9824" s="3"/>
      <c r="AC9824" s="3"/>
      <c r="AD9824" s="3"/>
      <c r="AE9824" s="3"/>
      <c r="AF9824" s="3"/>
      <c r="AG9824" s="3"/>
      <c r="AH9824" s="3"/>
    </row>
    <row r="9825" spans="1:34" ht="14.25" customHeight="1" x14ac:dyDescent="0.25">
      <c r="A9825" s="3"/>
      <c r="B9825" s="3"/>
      <c r="C9825" s="3"/>
      <c r="D9825" s="3"/>
      <c r="E9825" s="3"/>
      <c r="F9825" s="3"/>
      <c r="G9825" s="3"/>
      <c r="H9825" s="11"/>
      <c r="I9825" s="12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  <c r="AA9825" s="3"/>
      <c r="AB9825" s="3"/>
      <c r="AC9825" s="3"/>
      <c r="AD9825" s="3"/>
      <c r="AE9825" s="3"/>
      <c r="AF9825" s="3"/>
      <c r="AG9825" s="3"/>
      <c r="AH9825" s="3"/>
    </row>
    <row r="9826" spans="1:34" ht="14.25" customHeight="1" x14ac:dyDescent="0.25">
      <c r="A9826" s="3"/>
      <c r="B9826" s="3"/>
      <c r="C9826" s="3"/>
      <c r="D9826" s="3"/>
      <c r="E9826" s="3"/>
      <c r="F9826" s="3"/>
      <c r="G9826" s="3"/>
      <c r="H9826" s="11"/>
      <c r="I9826" s="12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  <c r="AA9826" s="3"/>
      <c r="AB9826" s="3"/>
      <c r="AC9826" s="3"/>
      <c r="AD9826" s="3"/>
      <c r="AE9826" s="3"/>
      <c r="AF9826" s="3"/>
      <c r="AG9826" s="3"/>
      <c r="AH9826" s="3"/>
    </row>
    <row r="9827" spans="1:34" ht="14.25" customHeight="1" x14ac:dyDescent="0.25">
      <c r="A9827" s="3"/>
      <c r="B9827" s="3"/>
      <c r="C9827" s="3"/>
      <c r="D9827" s="3"/>
      <c r="E9827" s="3"/>
      <c r="F9827" s="3"/>
      <c r="G9827" s="3"/>
      <c r="H9827" s="11"/>
      <c r="I9827" s="12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  <c r="AA9827" s="3"/>
      <c r="AB9827" s="3"/>
      <c r="AC9827" s="3"/>
      <c r="AD9827" s="3"/>
      <c r="AE9827" s="3"/>
      <c r="AF9827" s="3"/>
      <c r="AG9827" s="3"/>
      <c r="AH9827" s="3"/>
    </row>
    <row r="9828" spans="1:34" ht="14.25" customHeight="1" x14ac:dyDescent="0.25">
      <c r="A9828" s="3"/>
      <c r="B9828" s="3"/>
      <c r="C9828" s="3"/>
      <c r="D9828" s="3"/>
      <c r="E9828" s="3"/>
      <c r="F9828" s="3"/>
      <c r="G9828" s="3"/>
      <c r="H9828" s="11"/>
      <c r="I9828" s="12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  <c r="AA9828" s="3"/>
      <c r="AB9828" s="3"/>
      <c r="AC9828" s="3"/>
      <c r="AD9828" s="3"/>
      <c r="AE9828" s="3"/>
      <c r="AF9828" s="3"/>
      <c r="AG9828" s="3"/>
      <c r="AH9828" s="3"/>
    </row>
    <row r="9829" spans="1:34" ht="14.25" customHeight="1" x14ac:dyDescent="0.25">
      <c r="A9829" s="3"/>
      <c r="B9829" s="3"/>
      <c r="C9829" s="3"/>
      <c r="D9829" s="3"/>
      <c r="E9829" s="3"/>
      <c r="F9829" s="3"/>
      <c r="G9829" s="3"/>
      <c r="H9829" s="11"/>
      <c r="I9829" s="12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  <c r="AA9829" s="3"/>
      <c r="AB9829" s="3"/>
      <c r="AC9829" s="3"/>
      <c r="AD9829" s="3"/>
      <c r="AE9829" s="3"/>
      <c r="AF9829" s="3"/>
      <c r="AG9829" s="3"/>
      <c r="AH9829" s="3"/>
    </row>
    <row r="9830" spans="1:34" ht="14.25" customHeight="1" x14ac:dyDescent="0.25">
      <c r="A9830" s="3"/>
      <c r="B9830" s="3"/>
      <c r="C9830" s="3"/>
      <c r="D9830" s="3"/>
      <c r="E9830" s="3"/>
      <c r="F9830" s="3"/>
      <c r="G9830" s="3"/>
      <c r="H9830" s="11"/>
      <c r="I9830" s="12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  <c r="AA9830" s="3"/>
      <c r="AB9830" s="3"/>
      <c r="AC9830" s="3"/>
      <c r="AD9830" s="3"/>
      <c r="AE9830" s="3"/>
      <c r="AF9830" s="3"/>
      <c r="AG9830" s="3"/>
      <c r="AH9830" s="3"/>
    </row>
    <row r="9831" spans="1:34" ht="14.25" customHeight="1" x14ac:dyDescent="0.25">
      <c r="A9831" s="3"/>
      <c r="B9831" s="3"/>
      <c r="C9831" s="3"/>
      <c r="D9831" s="3"/>
      <c r="E9831" s="3"/>
      <c r="F9831" s="3"/>
      <c r="G9831" s="3"/>
      <c r="H9831" s="11"/>
      <c r="I9831" s="12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  <c r="AA9831" s="3"/>
      <c r="AB9831" s="3"/>
      <c r="AC9831" s="3"/>
      <c r="AD9831" s="3"/>
      <c r="AE9831" s="3"/>
      <c r="AF9831" s="3"/>
      <c r="AG9831" s="3"/>
      <c r="AH9831" s="3"/>
    </row>
    <row r="9832" spans="1:34" ht="14.25" customHeight="1" x14ac:dyDescent="0.25">
      <c r="A9832" s="3"/>
      <c r="B9832" s="3"/>
      <c r="C9832" s="3"/>
      <c r="D9832" s="3"/>
      <c r="E9832" s="3"/>
      <c r="F9832" s="3"/>
      <c r="G9832" s="3"/>
      <c r="H9832" s="11"/>
      <c r="I9832" s="12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  <c r="AA9832" s="3"/>
      <c r="AB9832" s="3"/>
      <c r="AC9832" s="3"/>
      <c r="AD9832" s="3"/>
      <c r="AE9832" s="3"/>
      <c r="AF9832" s="3"/>
      <c r="AG9832" s="3"/>
      <c r="AH9832" s="3"/>
    </row>
    <row r="9833" spans="1:34" ht="14.25" customHeight="1" x14ac:dyDescent="0.25">
      <c r="A9833" s="3"/>
      <c r="B9833" s="3"/>
      <c r="C9833" s="3"/>
      <c r="D9833" s="3"/>
      <c r="E9833" s="3"/>
      <c r="F9833" s="3"/>
      <c r="G9833" s="3"/>
      <c r="H9833" s="11"/>
      <c r="I9833" s="12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  <c r="AA9833" s="3"/>
      <c r="AB9833" s="3"/>
      <c r="AC9833" s="3"/>
      <c r="AD9833" s="3"/>
      <c r="AE9833" s="3"/>
      <c r="AF9833" s="3"/>
      <c r="AG9833" s="3"/>
      <c r="AH9833" s="3"/>
    </row>
    <row r="9834" spans="1:34" ht="14.25" customHeight="1" x14ac:dyDescent="0.25">
      <c r="A9834" s="3"/>
      <c r="B9834" s="3"/>
      <c r="C9834" s="3"/>
      <c r="D9834" s="3"/>
      <c r="E9834" s="3"/>
      <c r="F9834" s="3"/>
      <c r="G9834" s="3"/>
      <c r="H9834" s="11"/>
      <c r="I9834" s="12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  <c r="AA9834" s="3"/>
      <c r="AB9834" s="3"/>
      <c r="AC9834" s="3"/>
      <c r="AD9834" s="3"/>
      <c r="AE9834" s="3"/>
      <c r="AF9834" s="3"/>
      <c r="AG9834" s="3"/>
      <c r="AH9834" s="3"/>
    </row>
    <row r="9835" spans="1:34" ht="14.25" customHeight="1" x14ac:dyDescent="0.25">
      <c r="A9835" s="3"/>
      <c r="B9835" s="3"/>
      <c r="C9835" s="3"/>
      <c r="D9835" s="3"/>
      <c r="E9835" s="3"/>
      <c r="F9835" s="3"/>
      <c r="G9835" s="3"/>
      <c r="H9835" s="11"/>
      <c r="I9835" s="12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  <c r="AA9835" s="3"/>
      <c r="AB9835" s="3"/>
      <c r="AC9835" s="3"/>
      <c r="AD9835" s="3"/>
      <c r="AE9835" s="3"/>
      <c r="AF9835" s="3"/>
      <c r="AG9835" s="3"/>
      <c r="AH9835" s="3"/>
    </row>
    <row r="9836" spans="1:34" ht="14.25" customHeight="1" x14ac:dyDescent="0.25">
      <c r="A9836" s="3"/>
      <c r="B9836" s="3"/>
      <c r="C9836" s="3"/>
      <c r="D9836" s="3"/>
      <c r="E9836" s="3"/>
      <c r="F9836" s="3"/>
      <c r="G9836" s="3"/>
      <c r="H9836" s="11"/>
      <c r="I9836" s="12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  <c r="AA9836" s="3"/>
      <c r="AB9836" s="3"/>
      <c r="AC9836" s="3"/>
      <c r="AD9836" s="3"/>
      <c r="AE9836" s="3"/>
      <c r="AF9836" s="3"/>
      <c r="AG9836" s="3"/>
      <c r="AH9836" s="3"/>
    </row>
    <row r="9837" spans="1:34" ht="14.25" customHeight="1" x14ac:dyDescent="0.25">
      <c r="A9837" s="3"/>
      <c r="B9837" s="3"/>
      <c r="C9837" s="3"/>
      <c r="D9837" s="3"/>
      <c r="E9837" s="3"/>
      <c r="F9837" s="3"/>
      <c r="G9837" s="3"/>
      <c r="H9837" s="11"/>
      <c r="I9837" s="12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  <c r="AA9837" s="3"/>
      <c r="AB9837" s="3"/>
      <c r="AC9837" s="3"/>
      <c r="AD9837" s="3"/>
      <c r="AE9837" s="3"/>
      <c r="AF9837" s="3"/>
      <c r="AG9837" s="3"/>
      <c r="AH9837" s="3"/>
    </row>
    <row r="9838" spans="1:34" ht="14.25" customHeight="1" x14ac:dyDescent="0.25">
      <c r="A9838" s="3"/>
      <c r="B9838" s="3"/>
      <c r="C9838" s="3"/>
      <c r="D9838" s="3"/>
      <c r="E9838" s="3"/>
      <c r="F9838" s="3"/>
      <c r="G9838" s="3"/>
      <c r="H9838" s="11"/>
      <c r="I9838" s="12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  <c r="AA9838" s="3"/>
      <c r="AB9838" s="3"/>
      <c r="AC9838" s="3"/>
      <c r="AD9838" s="3"/>
      <c r="AE9838" s="3"/>
      <c r="AF9838" s="3"/>
      <c r="AG9838" s="3"/>
      <c r="AH9838" s="3"/>
    </row>
    <row r="9839" spans="1:34" ht="14.25" customHeight="1" x14ac:dyDescent="0.25">
      <c r="A9839" s="3"/>
      <c r="B9839" s="3"/>
      <c r="C9839" s="3"/>
      <c r="D9839" s="3"/>
      <c r="E9839" s="3"/>
      <c r="F9839" s="3"/>
      <c r="G9839" s="3"/>
      <c r="H9839" s="11"/>
      <c r="I9839" s="12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  <c r="AA9839" s="3"/>
      <c r="AB9839" s="3"/>
      <c r="AC9839" s="3"/>
      <c r="AD9839" s="3"/>
      <c r="AE9839" s="3"/>
      <c r="AF9839" s="3"/>
      <c r="AG9839" s="3"/>
      <c r="AH9839" s="3"/>
    </row>
    <row r="9840" spans="1:34" ht="14.25" customHeight="1" x14ac:dyDescent="0.25">
      <c r="A9840" s="3"/>
      <c r="B9840" s="3"/>
      <c r="C9840" s="3"/>
      <c r="D9840" s="3"/>
      <c r="E9840" s="3"/>
      <c r="F9840" s="3"/>
      <c r="G9840" s="3"/>
      <c r="H9840" s="11"/>
      <c r="I9840" s="12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  <c r="AA9840" s="3"/>
      <c r="AB9840" s="3"/>
      <c r="AC9840" s="3"/>
      <c r="AD9840" s="3"/>
      <c r="AE9840" s="3"/>
      <c r="AF9840" s="3"/>
      <c r="AG9840" s="3"/>
      <c r="AH9840" s="3"/>
    </row>
    <row r="9841" spans="1:34" ht="14.25" customHeight="1" x14ac:dyDescent="0.25">
      <c r="A9841" s="3"/>
      <c r="B9841" s="3"/>
      <c r="C9841" s="3"/>
      <c r="D9841" s="3"/>
      <c r="E9841" s="3"/>
      <c r="F9841" s="3"/>
      <c r="G9841" s="3"/>
      <c r="H9841" s="11"/>
      <c r="I9841" s="12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  <c r="AA9841" s="3"/>
      <c r="AB9841" s="3"/>
      <c r="AC9841" s="3"/>
      <c r="AD9841" s="3"/>
      <c r="AE9841" s="3"/>
      <c r="AF9841" s="3"/>
      <c r="AG9841" s="3"/>
      <c r="AH9841" s="3"/>
    </row>
    <row r="9842" spans="1:34" ht="14.25" customHeight="1" x14ac:dyDescent="0.25">
      <c r="A9842" s="3"/>
      <c r="B9842" s="3"/>
      <c r="C9842" s="3"/>
      <c r="D9842" s="3"/>
      <c r="E9842" s="3"/>
      <c r="F9842" s="3"/>
      <c r="G9842" s="3"/>
      <c r="H9842" s="11"/>
      <c r="I9842" s="12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  <c r="AA9842" s="3"/>
      <c r="AB9842" s="3"/>
      <c r="AC9842" s="3"/>
      <c r="AD9842" s="3"/>
      <c r="AE9842" s="3"/>
      <c r="AF9842" s="3"/>
      <c r="AG9842" s="3"/>
      <c r="AH9842" s="3"/>
    </row>
    <row r="9843" spans="1:34" ht="14.25" customHeight="1" x14ac:dyDescent="0.25">
      <c r="A9843" s="3"/>
      <c r="B9843" s="3"/>
      <c r="C9843" s="3"/>
      <c r="D9843" s="3"/>
      <c r="E9843" s="3"/>
      <c r="F9843" s="3"/>
      <c r="G9843" s="3"/>
      <c r="H9843" s="11"/>
      <c r="I9843" s="12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  <c r="AA9843" s="3"/>
      <c r="AB9843" s="3"/>
      <c r="AC9843" s="3"/>
      <c r="AD9843" s="3"/>
      <c r="AE9843" s="3"/>
      <c r="AF9843" s="3"/>
      <c r="AG9843" s="3"/>
      <c r="AH9843" s="3"/>
    </row>
    <row r="9844" spans="1:34" ht="14.25" customHeight="1" x14ac:dyDescent="0.25">
      <c r="A9844" s="3"/>
      <c r="B9844" s="3"/>
      <c r="C9844" s="3"/>
      <c r="D9844" s="3"/>
      <c r="E9844" s="3"/>
      <c r="F9844" s="3"/>
      <c r="G9844" s="3"/>
      <c r="H9844" s="11"/>
      <c r="I9844" s="12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  <c r="AA9844" s="3"/>
      <c r="AB9844" s="3"/>
      <c r="AC9844" s="3"/>
      <c r="AD9844" s="3"/>
      <c r="AE9844" s="3"/>
      <c r="AF9844" s="3"/>
      <c r="AG9844" s="3"/>
      <c r="AH9844" s="3"/>
    </row>
    <row r="9845" spans="1:34" ht="14.25" customHeight="1" x14ac:dyDescent="0.25">
      <c r="A9845" s="3"/>
      <c r="B9845" s="3"/>
      <c r="C9845" s="3"/>
      <c r="D9845" s="3"/>
      <c r="E9845" s="3"/>
      <c r="F9845" s="3"/>
      <c r="G9845" s="3"/>
      <c r="H9845" s="11"/>
      <c r="I9845" s="12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  <c r="AA9845" s="3"/>
      <c r="AB9845" s="3"/>
      <c r="AC9845" s="3"/>
      <c r="AD9845" s="3"/>
      <c r="AE9845" s="3"/>
      <c r="AF9845" s="3"/>
      <c r="AG9845" s="3"/>
      <c r="AH9845" s="3"/>
    </row>
    <row r="9846" spans="1:34" ht="14.25" customHeight="1" x14ac:dyDescent="0.25">
      <c r="A9846" s="3"/>
      <c r="B9846" s="3"/>
      <c r="C9846" s="3"/>
      <c r="D9846" s="3"/>
      <c r="E9846" s="3"/>
      <c r="F9846" s="3"/>
      <c r="G9846" s="3"/>
      <c r="H9846" s="11"/>
      <c r="I9846" s="12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  <c r="AA9846" s="3"/>
      <c r="AB9846" s="3"/>
      <c r="AC9846" s="3"/>
      <c r="AD9846" s="3"/>
      <c r="AE9846" s="3"/>
      <c r="AF9846" s="3"/>
      <c r="AG9846" s="3"/>
      <c r="AH9846" s="3"/>
    </row>
    <row r="9847" spans="1:34" ht="14.25" customHeight="1" x14ac:dyDescent="0.25">
      <c r="A9847" s="3"/>
      <c r="B9847" s="3"/>
      <c r="C9847" s="3"/>
      <c r="D9847" s="3"/>
      <c r="E9847" s="3"/>
      <c r="F9847" s="3"/>
      <c r="G9847" s="3"/>
      <c r="H9847" s="11"/>
      <c r="I9847" s="12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  <c r="AA9847" s="3"/>
      <c r="AB9847" s="3"/>
      <c r="AC9847" s="3"/>
      <c r="AD9847" s="3"/>
      <c r="AE9847" s="3"/>
      <c r="AF9847" s="3"/>
      <c r="AG9847" s="3"/>
      <c r="AH9847" s="3"/>
    </row>
    <row r="9848" spans="1:34" ht="14.25" customHeight="1" x14ac:dyDescent="0.25">
      <c r="A9848" s="3"/>
      <c r="B9848" s="3"/>
      <c r="C9848" s="3"/>
      <c r="D9848" s="3"/>
      <c r="E9848" s="3"/>
      <c r="F9848" s="3"/>
      <c r="G9848" s="3"/>
      <c r="H9848" s="11"/>
      <c r="I9848" s="12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  <c r="AA9848" s="3"/>
      <c r="AB9848" s="3"/>
      <c r="AC9848" s="3"/>
      <c r="AD9848" s="3"/>
      <c r="AE9848" s="3"/>
      <c r="AF9848" s="3"/>
      <c r="AG9848" s="3"/>
      <c r="AH9848" s="3"/>
    </row>
    <row r="9849" spans="1:34" ht="14.25" customHeight="1" x14ac:dyDescent="0.25">
      <c r="A9849" s="3"/>
      <c r="B9849" s="3"/>
      <c r="C9849" s="3"/>
      <c r="D9849" s="3"/>
      <c r="E9849" s="3"/>
      <c r="F9849" s="3"/>
      <c r="G9849" s="3"/>
      <c r="H9849" s="11"/>
      <c r="I9849" s="12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  <c r="AA9849" s="3"/>
      <c r="AB9849" s="3"/>
      <c r="AC9849" s="3"/>
      <c r="AD9849" s="3"/>
      <c r="AE9849" s="3"/>
      <c r="AF9849" s="3"/>
      <c r="AG9849" s="3"/>
      <c r="AH9849" s="3"/>
    </row>
    <row r="9850" spans="1:34" ht="14.25" customHeight="1" x14ac:dyDescent="0.25">
      <c r="A9850" s="3"/>
      <c r="B9850" s="3"/>
      <c r="C9850" s="3"/>
      <c r="D9850" s="3"/>
      <c r="E9850" s="3"/>
      <c r="F9850" s="3"/>
      <c r="G9850" s="3"/>
      <c r="H9850" s="11"/>
      <c r="I9850" s="12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  <c r="AA9850" s="3"/>
      <c r="AB9850" s="3"/>
      <c r="AC9850" s="3"/>
      <c r="AD9850" s="3"/>
      <c r="AE9850" s="3"/>
      <c r="AF9850" s="3"/>
      <c r="AG9850" s="3"/>
      <c r="AH9850" s="3"/>
    </row>
    <row r="9851" spans="1:34" ht="14.25" customHeight="1" x14ac:dyDescent="0.25">
      <c r="A9851" s="3"/>
      <c r="B9851" s="3"/>
      <c r="C9851" s="3"/>
      <c r="D9851" s="3"/>
      <c r="E9851" s="3"/>
      <c r="F9851" s="3"/>
      <c r="G9851" s="3"/>
      <c r="H9851" s="11"/>
      <c r="I9851" s="12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  <c r="AA9851" s="3"/>
      <c r="AB9851" s="3"/>
      <c r="AC9851" s="3"/>
      <c r="AD9851" s="3"/>
      <c r="AE9851" s="3"/>
      <c r="AF9851" s="3"/>
      <c r="AG9851" s="3"/>
      <c r="AH9851" s="3"/>
    </row>
    <row r="9852" spans="1:34" ht="14.25" customHeight="1" x14ac:dyDescent="0.25">
      <c r="A9852" s="3"/>
      <c r="B9852" s="3"/>
      <c r="C9852" s="3"/>
      <c r="D9852" s="3"/>
      <c r="E9852" s="3"/>
      <c r="F9852" s="3"/>
      <c r="G9852" s="3"/>
      <c r="H9852" s="11"/>
      <c r="I9852" s="12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  <c r="AA9852" s="3"/>
      <c r="AB9852" s="3"/>
      <c r="AC9852" s="3"/>
      <c r="AD9852" s="3"/>
      <c r="AE9852" s="3"/>
      <c r="AF9852" s="3"/>
      <c r="AG9852" s="3"/>
      <c r="AH9852" s="3"/>
    </row>
    <row r="9853" spans="1:34" ht="14.25" customHeight="1" x14ac:dyDescent="0.25">
      <c r="A9853" s="3"/>
      <c r="B9853" s="3"/>
      <c r="C9853" s="3"/>
      <c r="D9853" s="3"/>
      <c r="E9853" s="3"/>
      <c r="F9853" s="3"/>
      <c r="G9853" s="3"/>
      <c r="H9853" s="11"/>
      <c r="I9853" s="12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  <c r="AA9853" s="3"/>
      <c r="AB9853" s="3"/>
      <c r="AC9853" s="3"/>
      <c r="AD9853" s="3"/>
      <c r="AE9853" s="3"/>
      <c r="AF9853" s="3"/>
      <c r="AG9853" s="3"/>
      <c r="AH9853" s="3"/>
    </row>
    <row r="9854" spans="1:34" ht="14.25" customHeight="1" x14ac:dyDescent="0.25">
      <c r="A9854" s="3"/>
      <c r="B9854" s="3"/>
      <c r="C9854" s="3"/>
      <c r="D9854" s="3"/>
      <c r="E9854" s="3"/>
      <c r="F9854" s="3"/>
      <c r="G9854" s="3"/>
      <c r="H9854" s="11"/>
      <c r="I9854" s="12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  <c r="AA9854" s="3"/>
      <c r="AB9854" s="3"/>
      <c r="AC9854" s="3"/>
      <c r="AD9854" s="3"/>
      <c r="AE9854" s="3"/>
      <c r="AF9854" s="3"/>
      <c r="AG9854" s="3"/>
      <c r="AH9854" s="3"/>
    </row>
    <row r="9855" spans="1:34" ht="14.25" customHeight="1" x14ac:dyDescent="0.25">
      <c r="A9855" s="3"/>
      <c r="B9855" s="3"/>
      <c r="C9855" s="3"/>
      <c r="D9855" s="3"/>
      <c r="E9855" s="3"/>
      <c r="F9855" s="3"/>
      <c r="G9855" s="3"/>
      <c r="H9855" s="11"/>
      <c r="I9855" s="12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  <c r="AA9855" s="3"/>
      <c r="AB9855" s="3"/>
      <c r="AC9855" s="3"/>
      <c r="AD9855" s="3"/>
      <c r="AE9855" s="3"/>
      <c r="AF9855" s="3"/>
      <c r="AG9855" s="3"/>
      <c r="AH9855" s="3"/>
    </row>
    <row r="9856" spans="1:34" ht="14.25" customHeight="1" x14ac:dyDescent="0.25">
      <c r="A9856" s="3"/>
      <c r="B9856" s="3"/>
      <c r="C9856" s="3"/>
      <c r="D9856" s="3"/>
      <c r="E9856" s="3"/>
      <c r="F9856" s="3"/>
      <c r="G9856" s="3"/>
      <c r="H9856" s="11"/>
      <c r="I9856" s="12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  <c r="AA9856" s="3"/>
      <c r="AB9856" s="3"/>
      <c r="AC9856" s="3"/>
      <c r="AD9856" s="3"/>
      <c r="AE9856" s="3"/>
      <c r="AF9856" s="3"/>
      <c r="AG9856" s="3"/>
      <c r="AH9856" s="3"/>
    </row>
    <row r="9857" spans="1:34" ht="14.25" customHeight="1" x14ac:dyDescent="0.25">
      <c r="A9857" s="3"/>
      <c r="B9857" s="3"/>
      <c r="C9857" s="3"/>
      <c r="D9857" s="3"/>
      <c r="E9857" s="3"/>
      <c r="F9857" s="3"/>
      <c r="G9857" s="3"/>
      <c r="H9857" s="11"/>
      <c r="I9857" s="12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  <c r="AA9857" s="3"/>
      <c r="AB9857" s="3"/>
      <c r="AC9857" s="3"/>
      <c r="AD9857" s="3"/>
      <c r="AE9857" s="3"/>
      <c r="AF9857" s="3"/>
      <c r="AG9857" s="3"/>
      <c r="AH9857" s="3"/>
    </row>
    <row r="9858" spans="1:34" ht="14.25" customHeight="1" x14ac:dyDescent="0.25">
      <c r="A9858" s="3"/>
      <c r="B9858" s="3"/>
      <c r="C9858" s="3"/>
      <c r="D9858" s="3"/>
      <c r="E9858" s="3"/>
      <c r="F9858" s="3"/>
      <c r="G9858" s="3"/>
      <c r="H9858" s="11"/>
      <c r="I9858" s="12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  <c r="AA9858" s="3"/>
      <c r="AB9858" s="3"/>
      <c r="AC9858" s="3"/>
      <c r="AD9858" s="3"/>
      <c r="AE9858" s="3"/>
      <c r="AF9858" s="3"/>
      <c r="AG9858" s="3"/>
      <c r="AH9858" s="3"/>
    </row>
    <row r="9859" spans="1:34" ht="14.25" customHeight="1" x14ac:dyDescent="0.25">
      <c r="A9859" s="3"/>
      <c r="B9859" s="3"/>
      <c r="C9859" s="3"/>
      <c r="D9859" s="3"/>
      <c r="E9859" s="3"/>
      <c r="F9859" s="3"/>
      <c r="G9859" s="3"/>
      <c r="H9859" s="11"/>
      <c r="I9859" s="12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  <c r="AA9859" s="3"/>
      <c r="AB9859" s="3"/>
      <c r="AC9859" s="3"/>
      <c r="AD9859" s="3"/>
      <c r="AE9859" s="3"/>
      <c r="AF9859" s="3"/>
      <c r="AG9859" s="3"/>
      <c r="AH9859" s="3"/>
    </row>
    <row r="9860" spans="1:34" ht="14.25" customHeight="1" x14ac:dyDescent="0.25">
      <c r="A9860" s="3"/>
      <c r="B9860" s="3"/>
      <c r="C9860" s="3"/>
      <c r="D9860" s="3"/>
      <c r="E9860" s="3"/>
      <c r="F9860" s="3"/>
      <c r="G9860" s="3"/>
      <c r="H9860" s="11"/>
      <c r="I9860" s="12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  <c r="AA9860" s="3"/>
      <c r="AB9860" s="3"/>
      <c r="AC9860" s="3"/>
      <c r="AD9860" s="3"/>
      <c r="AE9860" s="3"/>
      <c r="AF9860" s="3"/>
      <c r="AG9860" s="3"/>
      <c r="AH9860" s="3"/>
    </row>
    <row r="9861" spans="1:34" ht="14.25" customHeight="1" x14ac:dyDescent="0.25">
      <c r="A9861" s="3"/>
      <c r="B9861" s="3"/>
      <c r="C9861" s="3"/>
      <c r="D9861" s="3"/>
      <c r="E9861" s="3"/>
      <c r="F9861" s="3"/>
      <c r="G9861" s="3"/>
      <c r="H9861" s="11"/>
      <c r="I9861" s="12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  <c r="AA9861" s="3"/>
      <c r="AB9861" s="3"/>
      <c r="AC9861" s="3"/>
      <c r="AD9861" s="3"/>
      <c r="AE9861" s="3"/>
      <c r="AF9861" s="3"/>
      <c r="AG9861" s="3"/>
      <c r="AH9861" s="3"/>
    </row>
    <row r="9862" spans="1:34" ht="14.25" customHeight="1" x14ac:dyDescent="0.25">
      <c r="A9862" s="3"/>
      <c r="B9862" s="3"/>
      <c r="C9862" s="3"/>
      <c r="D9862" s="3"/>
      <c r="E9862" s="3"/>
      <c r="F9862" s="3"/>
      <c r="G9862" s="3"/>
      <c r="H9862" s="11"/>
      <c r="I9862" s="12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  <c r="AA9862" s="3"/>
      <c r="AB9862" s="3"/>
      <c r="AC9862" s="3"/>
      <c r="AD9862" s="3"/>
      <c r="AE9862" s="3"/>
      <c r="AF9862" s="3"/>
      <c r="AG9862" s="3"/>
      <c r="AH9862" s="3"/>
    </row>
    <row r="9863" spans="1:34" ht="14.25" customHeight="1" x14ac:dyDescent="0.25">
      <c r="A9863" s="3"/>
      <c r="B9863" s="3"/>
      <c r="C9863" s="3"/>
      <c r="D9863" s="3"/>
      <c r="E9863" s="3"/>
      <c r="F9863" s="3"/>
      <c r="G9863" s="3"/>
      <c r="H9863" s="11"/>
      <c r="I9863" s="12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  <c r="AA9863" s="3"/>
      <c r="AB9863" s="3"/>
      <c r="AC9863" s="3"/>
      <c r="AD9863" s="3"/>
      <c r="AE9863" s="3"/>
      <c r="AF9863" s="3"/>
      <c r="AG9863" s="3"/>
      <c r="AH9863" s="3"/>
    </row>
    <row r="9864" spans="1:34" ht="14.25" customHeight="1" x14ac:dyDescent="0.25">
      <c r="A9864" s="3"/>
      <c r="B9864" s="3"/>
      <c r="C9864" s="3"/>
      <c r="D9864" s="3"/>
      <c r="E9864" s="3"/>
      <c r="F9864" s="3"/>
      <c r="G9864" s="3"/>
      <c r="H9864" s="11"/>
      <c r="I9864" s="12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  <c r="AA9864" s="3"/>
      <c r="AB9864" s="3"/>
      <c r="AC9864" s="3"/>
      <c r="AD9864" s="3"/>
      <c r="AE9864" s="3"/>
      <c r="AF9864" s="3"/>
      <c r="AG9864" s="3"/>
      <c r="AH9864" s="3"/>
    </row>
    <row r="9865" spans="1:34" ht="14.25" customHeight="1" x14ac:dyDescent="0.25">
      <c r="A9865" s="3"/>
      <c r="B9865" s="3"/>
      <c r="C9865" s="3"/>
      <c r="D9865" s="3"/>
      <c r="E9865" s="3"/>
      <c r="F9865" s="3"/>
      <c r="G9865" s="3"/>
      <c r="H9865" s="11"/>
      <c r="I9865" s="12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  <c r="AA9865" s="3"/>
      <c r="AB9865" s="3"/>
      <c r="AC9865" s="3"/>
      <c r="AD9865" s="3"/>
      <c r="AE9865" s="3"/>
      <c r="AF9865" s="3"/>
      <c r="AG9865" s="3"/>
      <c r="AH9865" s="3"/>
    </row>
    <row r="9866" spans="1:34" ht="14.25" customHeight="1" x14ac:dyDescent="0.25">
      <c r="A9866" s="3"/>
      <c r="B9866" s="3"/>
      <c r="C9866" s="3"/>
      <c r="D9866" s="3"/>
      <c r="E9866" s="3"/>
      <c r="F9866" s="3"/>
      <c r="G9866" s="3"/>
      <c r="H9866" s="11"/>
      <c r="I9866" s="12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  <c r="AA9866" s="3"/>
      <c r="AB9866" s="3"/>
      <c r="AC9866" s="3"/>
      <c r="AD9866" s="3"/>
      <c r="AE9866" s="3"/>
      <c r="AF9866" s="3"/>
      <c r="AG9866" s="3"/>
      <c r="AH9866" s="3"/>
    </row>
    <row r="9867" spans="1:34" ht="14.25" customHeight="1" x14ac:dyDescent="0.25">
      <c r="A9867" s="3"/>
      <c r="B9867" s="3"/>
      <c r="C9867" s="3"/>
      <c r="D9867" s="3"/>
      <c r="E9867" s="3"/>
      <c r="F9867" s="3"/>
      <c r="G9867" s="3"/>
      <c r="H9867" s="11"/>
      <c r="I9867" s="12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  <c r="AA9867" s="3"/>
      <c r="AB9867" s="3"/>
      <c r="AC9867" s="3"/>
      <c r="AD9867" s="3"/>
      <c r="AE9867" s="3"/>
      <c r="AF9867" s="3"/>
      <c r="AG9867" s="3"/>
      <c r="AH9867" s="3"/>
    </row>
    <row r="9868" spans="1:34" ht="14.25" customHeight="1" x14ac:dyDescent="0.25">
      <c r="A9868" s="3"/>
      <c r="B9868" s="3"/>
      <c r="C9868" s="3"/>
      <c r="D9868" s="3"/>
      <c r="E9868" s="3"/>
      <c r="F9868" s="3"/>
      <c r="G9868" s="3"/>
      <c r="H9868" s="11"/>
      <c r="I9868" s="12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  <c r="AA9868" s="3"/>
      <c r="AB9868" s="3"/>
      <c r="AC9868" s="3"/>
      <c r="AD9868" s="3"/>
      <c r="AE9868" s="3"/>
      <c r="AF9868" s="3"/>
      <c r="AG9868" s="3"/>
      <c r="AH9868" s="3"/>
    </row>
    <row r="9869" spans="1:34" ht="14.25" customHeight="1" x14ac:dyDescent="0.25">
      <c r="A9869" s="3"/>
      <c r="B9869" s="3"/>
      <c r="C9869" s="3"/>
      <c r="D9869" s="3"/>
      <c r="E9869" s="3"/>
      <c r="F9869" s="3"/>
      <c r="G9869" s="3"/>
      <c r="H9869" s="11"/>
      <c r="I9869" s="12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  <c r="AA9869" s="3"/>
      <c r="AB9869" s="3"/>
      <c r="AC9869" s="3"/>
      <c r="AD9869" s="3"/>
      <c r="AE9869" s="3"/>
      <c r="AF9869" s="3"/>
      <c r="AG9869" s="3"/>
      <c r="AH9869" s="3"/>
    </row>
    <row r="9870" spans="1:34" ht="14.25" customHeight="1" x14ac:dyDescent="0.25">
      <c r="A9870" s="3"/>
      <c r="B9870" s="3"/>
      <c r="C9870" s="3"/>
      <c r="D9870" s="3"/>
      <c r="E9870" s="3"/>
      <c r="F9870" s="3"/>
      <c r="G9870" s="3"/>
      <c r="H9870" s="11"/>
      <c r="I9870" s="12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  <c r="AA9870" s="3"/>
      <c r="AB9870" s="3"/>
      <c r="AC9870" s="3"/>
      <c r="AD9870" s="3"/>
      <c r="AE9870" s="3"/>
      <c r="AF9870" s="3"/>
      <c r="AG9870" s="3"/>
      <c r="AH9870" s="3"/>
    </row>
    <row r="9871" spans="1:34" ht="14.25" customHeight="1" x14ac:dyDescent="0.25">
      <c r="A9871" s="3"/>
      <c r="B9871" s="3"/>
      <c r="C9871" s="3"/>
      <c r="D9871" s="3"/>
      <c r="E9871" s="3"/>
      <c r="F9871" s="3"/>
      <c r="G9871" s="3"/>
      <c r="H9871" s="11"/>
      <c r="I9871" s="12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  <c r="AA9871" s="3"/>
      <c r="AB9871" s="3"/>
      <c r="AC9871" s="3"/>
      <c r="AD9871" s="3"/>
      <c r="AE9871" s="3"/>
      <c r="AF9871" s="3"/>
      <c r="AG9871" s="3"/>
      <c r="AH9871" s="3"/>
    </row>
    <row r="9872" spans="1:34" ht="14.25" customHeight="1" x14ac:dyDescent="0.25">
      <c r="A9872" s="3"/>
      <c r="B9872" s="3"/>
      <c r="C9872" s="3"/>
      <c r="D9872" s="3"/>
      <c r="E9872" s="3"/>
      <c r="F9872" s="3"/>
      <c r="G9872" s="3"/>
      <c r="H9872" s="11"/>
      <c r="I9872" s="12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  <c r="AA9872" s="3"/>
      <c r="AB9872" s="3"/>
      <c r="AC9872" s="3"/>
      <c r="AD9872" s="3"/>
      <c r="AE9872" s="3"/>
      <c r="AF9872" s="3"/>
      <c r="AG9872" s="3"/>
      <c r="AH9872" s="3"/>
    </row>
    <row r="9873" spans="1:34" ht="14.25" customHeight="1" x14ac:dyDescent="0.25">
      <c r="A9873" s="3"/>
      <c r="B9873" s="3"/>
      <c r="C9873" s="3"/>
      <c r="D9873" s="3"/>
      <c r="E9873" s="3"/>
      <c r="F9873" s="3"/>
      <c r="G9873" s="3"/>
      <c r="H9873" s="11"/>
      <c r="I9873" s="12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  <c r="AA9873" s="3"/>
      <c r="AB9873" s="3"/>
      <c r="AC9873" s="3"/>
      <c r="AD9873" s="3"/>
      <c r="AE9873" s="3"/>
      <c r="AF9873" s="3"/>
      <c r="AG9873" s="3"/>
      <c r="AH9873" s="3"/>
    </row>
    <row r="9874" spans="1:34" ht="14.25" customHeight="1" x14ac:dyDescent="0.25">
      <c r="A9874" s="3"/>
      <c r="B9874" s="3"/>
      <c r="C9874" s="3"/>
      <c r="D9874" s="3"/>
      <c r="E9874" s="3"/>
      <c r="F9874" s="3"/>
      <c r="G9874" s="3"/>
      <c r="H9874" s="11"/>
      <c r="I9874" s="12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  <c r="AA9874" s="3"/>
      <c r="AB9874" s="3"/>
      <c r="AC9874" s="3"/>
      <c r="AD9874" s="3"/>
      <c r="AE9874" s="3"/>
      <c r="AF9874" s="3"/>
      <c r="AG9874" s="3"/>
      <c r="AH9874" s="3"/>
    </row>
    <row r="9875" spans="1:34" ht="14.25" customHeight="1" x14ac:dyDescent="0.25">
      <c r="A9875" s="3"/>
      <c r="B9875" s="3"/>
      <c r="C9875" s="3"/>
      <c r="D9875" s="3"/>
      <c r="E9875" s="3"/>
      <c r="F9875" s="3"/>
      <c r="G9875" s="3"/>
      <c r="H9875" s="11"/>
      <c r="I9875" s="12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  <c r="AA9875" s="3"/>
      <c r="AB9875" s="3"/>
      <c r="AC9875" s="3"/>
      <c r="AD9875" s="3"/>
      <c r="AE9875" s="3"/>
      <c r="AF9875" s="3"/>
      <c r="AG9875" s="3"/>
      <c r="AH9875" s="3"/>
    </row>
    <row r="9876" spans="1:34" ht="14.25" customHeight="1" x14ac:dyDescent="0.25">
      <c r="A9876" s="3"/>
      <c r="B9876" s="3"/>
      <c r="C9876" s="3"/>
      <c r="D9876" s="3"/>
      <c r="E9876" s="3"/>
      <c r="F9876" s="3"/>
      <c r="G9876" s="3"/>
      <c r="H9876" s="11"/>
      <c r="I9876" s="12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  <c r="AA9876" s="3"/>
      <c r="AB9876" s="3"/>
      <c r="AC9876" s="3"/>
      <c r="AD9876" s="3"/>
      <c r="AE9876" s="3"/>
      <c r="AF9876" s="3"/>
      <c r="AG9876" s="3"/>
      <c r="AH9876" s="3"/>
    </row>
    <row r="9877" spans="1:34" ht="14.25" customHeight="1" x14ac:dyDescent="0.25">
      <c r="A9877" s="3"/>
      <c r="B9877" s="3"/>
      <c r="C9877" s="3"/>
      <c r="D9877" s="3"/>
      <c r="E9877" s="3"/>
      <c r="F9877" s="3"/>
      <c r="G9877" s="3"/>
      <c r="H9877" s="11"/>
      <c r="I9877" s="12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  <c r="AA9877" s="3"/>
      <c r="AB9877" s="3"/>
      <c r="AC9877" s="3"/>
      <c r="AD9877" s="3"/>
      <c r="AE9877" s="3"/>
      <c r="AF9877" s="3"/>
      <c r="AG9877" s="3"/>
      <c r="AH9877" s="3"/>
    </row>
    <row r="9878" spans="1:34" ht="14.25" customHeight="1" x14ac:dyDescent="0.25">
      <c r="A9878" s="3"/>
      <c r="B9878" s="3"/>
      <c r="C9878" s="3"/>
      <c r="D9878" s="3"/>
      <c r="E9878" s="3"/>
      <c r="F9878" s="3"/>
      <c r="G9878" s="3"/>
      <c r="H9878" s="11"/>
      <c r="I9878" s="12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  <c r="AA9878" s="3"/>
      <c r="AB9878" s="3"/>
      <c r="AC9878" s="3"/>
      <c r="AD9878" s="3"/>
      <c r="AE9878" s="3"/>
      <c r="AF9878" s="3"/>
      <c r="AG9878" s="3"/>
      <c r="AH9878" s="3"/>
    </row>
    <row r="9879" spans="1:34" ht="14.25" customHeight="1" x14ac:dyDescent="0.25">
      <c r="A9879" s="3"/>
      <c r="B9879" s="3"/>
      <c r="C9879" s="3"/>
      <c r="D9879" s="3"/>
      <c r="E9879" s="3"/>
      <c r="F9879" s="3"/>
      <c r="G9879" s="3"/>
      <c r="H9879" s="11"/>
      <c r="I9879" s="12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  <c r="AA9879" s="3"/>
      <c r="AB9879" s="3"/>
      <c r="AC9879" s="3"/>
      <c r="AD9879" s="3"/>
      <c r="AE9879" s="3"/>
      <c r="AF9879" s="3"/>
      <c r="AG9879" s="3"/>
      <c r="AH9879" s="3"/>
    </row>
    <row r="9880" spans="1:34" ht="14.25" customHeight="1" x14ac:dyDescent="0.25">
      <c r="A9880" s="3"/>
      <c r="B9880" s="3"/>
      <c r="C9880" s="3"/>
      <c r="D9880" s="3"/>
      <c r="E9880" s="3"/>
      <c r="F9880" s="3"/>
      <c r="G9880" s="3"/>
      <c r="H9880" s="11"/>
      <c r="I9880" s="12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  <c r="AA9880" s="3"/>
      <c r="AB9880" s="3"/>
      <c r="AC9880" s="3"/>
      <c r="AD9880" s="3"/>
      <c r="AE9880" s="3"/>
      <c r="AF9880" s="3"/>
      <c r="AG9880" s="3"/>
      <c r="AH9880" s="3"/>
    </row>
    <row r="9881" spans="1:34" ht="14.25" customHeight="1" x14ac:dyDescent="0.25">
      <c r="A9881" s="3"/>
      <c r="B9881" s="3"/>
      <c r="C9881" s="3"/>
      <c r="D9881" s="3"/>
      <c r="E9881" s="3"/>
      <c r="F9881" s="3"/>
      <c r="G9881" s="3"/>
      <c r="H9881" s="11"/>
      <c r="I9881" s="12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  <c r="AA9881" s="3"/>
      <c r="AB9881" s="3"/>
      <c r="AC9881" s="3"/>
      <c r="AD9881" s="3"/>
      <c r="AE9881" s="3"/>
      <c r="AF9881" s="3"/>
      <c r="AG9881" s="3"/>
      <c r="AH9881" s="3"/>
    </row>
    <row r="9882" spans="1:34" ht="14.25" customHeight="1" x14ac:dyDescent="0.25">
      <c r="A9882" s="3"/>
      <c r="B9882" s="3"/>
      <c r="C9882" s="3"/>
      <c r="D9882" s="3"/>
      <c r="E9882" s="3"/>
      <c r="F9882" s="3"/>
      <c r="G9882" s="3"/>
      <c r="H9882" s="11"/>
      <c r="I9882" s="12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  <c r="AA9882" s="3"/>
      <c r="AB9882" s="3"/>
      <c r="AC9882" s="3"/>
      <c r="AD9882" s="3"/>
      <c r="AE9882" s="3"/>
      <c r="AF9882" s="3"/>
      <c r="AG9882" s="3"/>
      <c r="AH9882" s="3"/>
    </row>
    <row r="9883" spans="1:34" ht="14.25" customHeight="1" x14ac:dyDescent="0.25">
      <c r="A9883" s="3"/>
      <c r="B9883" s="3"/>
      <c r="C9883" s="3"/>
      <c r="D9883" s="3"/>
      <c r="E9883" s="3"/>
      <c r="F9883" s="3"/>
      <c r="G9883" s="3"/>
      <c r="H9883" s="11"/>
      <c r="I9883" s="12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  <c r="AA9883" s="3"/>
      <c r="AB9883" s="3"/>
      <c r="AC9883" s="3"/>
      <c r="AD9883" s="3"/>
      <c r="AE9883" s="3"/>
      <c r="AF9883" s="3"/>
      <c r="AG9883" s="3"/>
      <c r="AH9883" s="3"/>
    </row>
    <row r="9884" spans="1:34" ht="14.25" customHeight="1" x14ac:dyDescent="0.25">
      <c r="A9884" s="3"/>
      <c r="B9884" s="3"/>
      <c r="C9884" s="3"/>
      <c r="D9884" s="3"/>
      <c r="E9884" s="3"/>
      <c r="F9884" s="3"/>
      <c r="G9884" s="3"/>
      <c r="H9884" s="11"/>
      <c r="I9884" s="12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  <c r="AA9884" s="3"/>
      <c r="AB9884" s="3"/>
      <c r="AC9884" s="3"/>
      <c r="AD9884" s="3"/>
      <c r="AE9884" s="3"/>
      <c r="AF9884" s="3"/>
      <c r="AG9884" s="3"/>
      <c r="AH9884" s="3"/>
    </row>
    <row r="9885" spans="1:34" ht="14.25" customHeight="1" x14ac:dyDescent="0.25">
      <c r="A9885" s="3"/>
      <c r="B9885" s="3"/>
      <c r="C9885" s="3"/>
      <c r="D9885" s="3"/>
      <c r="E9885" s="3"/>
      <c r="F9885" s="3"/>
      <c r="G9885" s="3"/>
      <c r="H9885" s="11"/>
      <c r="I9885" s="12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  <c r="AA9885" s="3"/>
      <c r="AB9885" s="3"/>
      <c r="AC9885" s="3"/>
      <c r="AD9885" s="3"/>
      <c r="AE9885" s="3"/>
      <c r="AF9885" s="3"/>
      <c r="AG9885" s="3"/>
      <c r="AH9885" s="3"/>
    </row>
    <row r="9886" spans="1:34" ht="14.25" customHeight="1" x14ac:dyDescent="0.25">
      <c r="A9886" s="3"/>
      <c r="B9886" s="3"/>
      <c r="C9886" s="3"/>
      <c r="D9886" s="3"/>
      <c r="E9886" s="3"/>
      <c r="F9886" s="3"/>
      <c r="G9886" s="3"/>
      <c r="H9886" s="11"/>
      <c r="I9886" s="12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  <c r="AA9886" s="3"/>
      <c r="AB9886" s="3"/>
      <c r="AC9886" s="3"/>
      <c r="AD9886" s="3"/>
      <c r="AE9886" s="3"/>
      <c r="AF9886" s="3"/>
      <c r="AG9886" s="3"/>
      <c r="AH9886" s="3"/>
    </row>
    <row r="9887" spans="1:34" ht="14.25" customHeight="1" x14ac:dyDescent="0.25">
      <c r="A9887" s="3"/>
      <c r="B9887" s="3"/>
      <c r="C9887" s="3"/>
      <c r="D9887" s="3"/>
      <c r="E9887" s="3"/>
      <c r="F9887" s="3"/>
      <c r="G9887" s="3"/>
      <c r="H9887" s="11"/>
      <c r="I9887" s="12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  <c r="AA9887" s="3"/>
      <c r="AB9887" s="3"/>
      <c r="AC9887" s="3"/>
      <c r="AD9887" s="3"/>
      <c r="AE9887" s="3"/>
      <c r="AF9887" s="3"/>
      <c r="AG9887" s="3"/>
      <c r="AH9887" s="3"/>
    </row>
    <row r="9888" spans="1:34" ht="14.25" customHeight="1" x14ac:dyDescent="0.25">
      <c r="A9888" s="3"/>
      <c r="B9888" s="3"/>
      <c r="C9888" s="3"/>
      <c r="D9888" s="3"/>
      <c r="E9888" s="3"/>
      <c r="F9888" s="3"/>
      <c r="G9888" s="3"/>
      <c r="H9888" s="11"/>
      <c r="I9888" s="12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  <c r="AA9888" s="3"/>
      <c r="AB9888" s="3"/>
      <c r="AC9888" s="3"/>
      <c r="AD9888" s="3"/>
      <c r="AE9888" s="3"/>
      <c r="AF9888" s="3"/>
      <c r="AG9888" s="3"/>
      <c r="AH9888" s="3"/>
    </row>
    <row r="9889" spans="1:34" ht="14.25" customHeight="1" x14ac:dyDescent="0.25">
      <c r="A9889" s="3"/>
      <c r="B9889" s="3"/>
      <c r="C9889" s="3"/>
      <c r="D9889" s="3"/>
      <c r="E9889" s="3"/>
      <c r="F9889" s="3"/>
      <c r="G9889" s="3"/>
      <c r="H9889" s="11"/>
      <c r="I9889" s="12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  <c r="AA9889" s="3"/>
      <c r="AB9889" s="3"/>
      <c r="AC9889" s="3"/>
      <c r="AD9889" s="3"/>
      <c r="AE9889" s="3"/>
      <c r="AF9889" s="3"/>
      <c r="AG9889" s="3"/>
      <c r="AH9889" s="3"/>
    </row>
    <row r="9890" spans="1:34" ht="14.25" customHeight="1" x14ac:dyDescent="0.25">
      <c r="A9890" s="3"/>
      <c r="B9890" s="3"/>
      <c r="C9890" s="3"/>
      <c r="D9890" s="3"/>
      <c r="E9890" s="3"/>
      <c r="F9890" s="3"/>
      <c r="G9890" s="3"/>
      <c r="H9890" s="11"/>
      <c r="I9890" s="12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  <c r="AA9890" s="3"/>
      <c r="AB9890" s="3"/>
      <c r="AC9890" s="3"/>
      <c r="AD9890" s="3"/>
      <c r="AE9890" s="3"/>
      <c r="AF9890" s="3"/>
      <c r="AG9890" s="3"/>
      <c r="AH9890" s="3"/>
    </row>
    <row r="9891" spans="1:34" ht="14.25" customHeight="1" x14ac:dyDescent="0.25">
      <c r="A9891" s="3"/>
      <c r="B9891" s="3"/>
      <c r="C9891" s="3"/>
      <c r="D9891" s="3"/>
      <c r="E9891" s="3"/>
      <c r="F9891" s="3"/>
      <c r="G9891" s="3"/>
      <c r="H9891" s="11"/>
      <c r="I9891" s="12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  <c r="AA9891" s="3"/>
      <c r="AB9891" s="3"/>
      <c r="AC9891" s="3"/>
      <c r="AD9891" s="3"/>
      <c r="AE9891" s="3"/>
      <c r="AF9891" s="3"/>
      <c r="AG9891" s="3"/>
      <c r="AH9891" s="3"/>
    </row>
    <row r="9892" spans="1:34" ht="14.25" customHeight="1" x14ac:dyDescent="0.25">
      <c r="A9892" s="3"/>
      <c r="B9892" s="3"/>
      <c r="C9892" s="3"/>
      <c r="D9892" s="3"/>
      <c r="E9892" s="3"/>
      <c r="F9892" s="3"/>
      <c r="G9892" s="3"/>
      <c r="H9892" s="11"/>
      <c r="I9892" s="12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  <c r="AA9892" s="3"/>
      <c r="AB9892" s="3"/>
      <c r="AC9892" s="3"/>
      <c r="AD9892" s="3"/>
      <c r="AE9892" s="3"/>
      <c r="AF9892" s="3"/>
      <c r="AG9892" s="3"/>
      <c r="AH9892" s="3"/>
    </row>
    <row r="9893" spans="1:34" ht="14.25" customHeight="1" x14ac:dyDescent="0.25">
      <c r="A9893" s="3"/>
      <c r="B9893" s="3"/>
      <c r="C9893" s="3"/>
      <c r="D9893" s="3"/>
      <c r="E9893" s="3"/>
      <c r="F9893" s="3"/>
      <c r="G9893" s="3"/>
      <c r="H9893" s="11"/>
      <c r="I9893" s="12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  <c r="AA9893" s="3"/>
      <c r="AB9893" s="3"/>
      <c r="AC9893" s="3"/>
      <c r="AD9893" s="3"/>
      <c r="AE9893" s="3"/>
      <c r="AF9893" s="3"/>
      <c r="AG9893" s="3"/>
      <c r="AH9893" s="3"/>
    </row>
    <row r="9894" spans="1:34" ht="14.25" customHeight="1" x14ac:dyDescent="0.25">
      <c r="A9894" s="3"/>
      <c r="B9894" s="3"/>
      <c r="C9894" s="3"/>
      <c r="D9894" s="3"/>
      <c r="E9894" s="3"/>
      <c r="F9894" s="3"/>
      <c r="G9894" s="3"/>
      <c r="H9894" s="11"/>
      <c r="I9894" s="12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  <c r="AA9894" s="3"/>
      <c r="AB9894" s="3"/>
      <c r="AC9894" s="3"/>
      <c r="AD9894" s="3"/>
      <c r="AE9894" s="3"/>
      <c r="AF9894" s="3"/>
      <c r="AG9894" s="3"/>
      <c r="AH9894" s="3"/>
    </row>
    <row r="9895" spans="1:34" ht="14.25" customHeight="1" x14ac:dyDescent="0.25">
      <c r="A9895" s="3"/>
      <c r="B9895" s="3"/>
      <c r="C9895" s="3"/>
      <c r="D9895" s="3"/>
      <c r="E9895" s="3"/>
      <c r="F9895" s="3"/>
      <c r="G9895" s="3"/>
      <c r="H9895" s="11"/>
      <c r="I9895" s="12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  <c r="AA9895" s="3"/>
      <c r="AB9895" s="3"/>
      <c r="AC9895" s="3"/>
      <c r="AD9895" s="3"/>
      <c r="AE9895" s="3"/>
      <c r="AF9895" s="3"/>
      <c r="AG9895" s="3"/>
      <c r="AH9895" s="3"/>
    </row>
    <row r="9896" spans="1:34" ht="14.25" customHeight="1" x14ac:dyDescent="0.25">
      <c r="A9896" s="3"/>
      <c r="B9896" s="3"/>
      <c r="C9896" s="3"/>
      <c r="D9896" s="3"/>
      <c r="E9896" s="3"/>
      <c r="F9896" s="3"/>
      <c r="G9896" s="3"/>
      <c r="H9896" s="11"/>
      <c r="I9896" s="12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  <c r="AA9896" s="3"/>
      <c r="AB9896" s="3"/>
      <c r="AC9896" s="3"/>
      <c r="AD9896" s="3"/>
      <c r="AE9896" s="3"/>
      <c r="AF9896" s="3"/>
      <c r="AG9896" s="3"/>
      <c r="AH9896" s="3"/>
    </row>
    <row r="9897" spans="1:34" ht="14.25" customHeight="1" x14ac:dyDescent="0.25">
      <c r="A9897" s="3"/>
      <c r="B9897" s="3"/>
      <c r="C9897" s="3"/>
      <c r="D9897" s="3"/>
      <c r="E9897" s="3"/>
      <c r="F9897" s="3"/>
      <c r="G9897" s="3"/>
      <c r="H9897" s="11"/>
      <c r="I9897" s="12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  <c r="AA9897" s="3"/>
      <c r="AB9897" s="3"/>
      <c r="AC9897" s="3"/>
      <c r="AD9897" s="3"/>
      <c r="AE9897" s="3"/>
      <c r="AF9897" s="3"/>
      <c r="AG9897" s="3"/>
      <c r="AH9897" s="3"/>
    </row>
    <row r="9898" spans="1:34" ht="14.25" customHeight="1" x14ac:dyDescent="0.25">
      <c r="A9898" s="3"/>
      <c r="B9898" s="3"/>
      <c r="C9898" s="3"/>
      <c r="D9898" s="3"/>
      <c r="E9898" s="3"/>
      <c r="F9898" s="3"/>
      <c r="G9898" s="3"/>
      <c r="H9898" s="11"/>
      <c r="I9898" s="12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  <c r="AA9898" s="3"/>
      <c r="AB9898" s="3"/>
      <c r="AC9898" s="3"/>
      <c r="AD9898" s="3"/>
      <c r="AE9898" s="3"/>
      <c r="AF9898" s="3"/>
      <c r="AG9898" s="3"/>
      <c r="AH9898" s="3"/>
    </row>
    <row r="9899" spans="1:34" ht="14.25" customHeight="1" x14ac:dyDescent="0.25">
      <c r="A9899" s="3"/>
      <c r="B9899" s="3"/>
      <c r="C9899" s="3"/>
      <c r="D9899" s="3"/>
      <c r="E9899" s="3"/>
      <c r="F9899" s="3"/>
      <c r="G9899" s="3"/>
      <c r="H9899" s="11"/>
      <c r="I9899" s="12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  <c r="AA9899" s="3"/>
      <c r="AB9899" s="3"/>
      <c r="AC9899" s="3"/>
      <c r="AD9899" s="3"/>
      <c r="AE9899" s="3"/>
      <c r="AF9899" s="3"/>
      <c r="AG9899" s="3"/>
      <c r="AH9899" s="3"/>
    </row>
    <row r="9900" spans="1:34" ht="14.25" customHeight="1" x14ac:dyDescent="0.25">
      <c r="A9900" s="3"/>
      <c r="B9900" s="3"/>
      <c r="C9900" s="3"/>
      <c r="D9900" s="3"/>
      <c r="E9900" s="3"/>
      <c r="F9900" s="3"/>
      <c r="G9900" s="3"/>
      <c r="H9900" s="11"/>
      <c r="I9900" s="12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  <c r="AA9900" s="3"/>
      <c r="AB9900" s="3"/>
      <c r="AC9900" s="3"/>
      <c r="AD9900" s="3"/>
      <c r="AE9900" s="3"/>
      <c r="AF9900" s="3"/>
      <c r="AG9900" s="3"/>
      <c r="AH9900" s="3"/>
    </row>
    <row r="9901" spans="1:34" ht="14.25" customHeight="1" x14ac:dyDescent="0.25">
      <c r="A9901" s="3"/>
      <c r="B9901" s="3"/>
      <c r="C9901" s="3"/>
      <c r="D9901" s="3"/>
      <c r="E9901" s="3"/>
      <c r="F9901" s="3"/>
      <c r="G9901" s="3"/>
      <c r="H9901" s="11"/>
      <c r="I9901" s="12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  <c r="AA9901" s="3"/>
      <c r="AB9901" s="3"/>
      <c r="AC9901" s="3"/>
      <c r="AD9901" s="3"/>
      <c r="AE9901" s="3"/>
      <c r="AF9901" s="3"/>
      <c r="AG9901" s="3"/>
      <c r="AH9901" s="3"/>
    </row>
    <row r="9902" spans="1:34" ht="14.25" customHeight="1" x14ac:dyDescent="0.25">
      <c r="A9902" s="3"/>
      <c r="B9902" s="3"/>
      <c r="C9902" s="3"/>
      <c r="D9902" s="3"/>
      <c r="E9902" s="3"/>
      <c r="F9902" s="3"/>
      <c r="G9902" s="3"/>
      <c r="H9902" s="11"/>
      <c r="I9902" s="12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  <c r="AA9902" s="3"/>
      <c r="AB9902" s="3"/>
      <c r="AC9902" s="3"/>
      <c r="AD9902" s="3"/>
      <c r="AE9902" s="3"/>
      <c r="AF9902" s="3"/>
      <c r="AG9902" s="3"/>
      <c r="AH9902" s="3"/>
    </row>
    <row r="9903" spans="1:34" ht="14.25" customHeight="1" x14ac:dyDescent="0.25">
      <c r="A9903" s="3"/>
      <c r="B9903" s="3"/>
      <c r="C9903" s="3"/>
      <c r="D9903" s="3"/>
      <c r="E9903" s="3"/>
      <c r="F9903" s="3"/>
      <c r="G9903" s="3"/>
      <c r="H9903" s="11"/>
      <c r="I9903" s="12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  <c r="AA9903" s="3"/>
      <c r="AB9903" s="3"/>
      <c r="AC9903" s="3"/>
      <c r="AD9903" s="3"/>
      <c r="AE9903" s="3"/>
      <c r="AF9903" s="3"/>
      <c r="AG9903" s="3"/>
      <c r="AH9903" s="3"/>
    </row>
    <row r="9904" spans="1:34" ht="14.25" customHeight="1" x14ac:dyDescent="0.25">
      <c r="A9904" s="3"/>
      <c r="B9904" s="3"/>
      <c r="C9904" s="3"/>
      <c r="D9904" s="3"/>
      <c r="E9904" s="3"/>
      <c r="F9904" s="3"/>
      <c r="G9904" s="3"/>
      <c r="H9904" s="11"/>
      <c r="I9904" s="12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  <c r="AA9904" s="3"/>
      <c r="AB9904" s="3"/>
      <c r="AC9904" s="3"/>
      <c r="AD9904" s="3"/>
      <c r="AE9904" s="3"/>
      <c r="AF9904" s="3"/>
      <c r="AG9904" s="3"/>
      <c r="AH9904" s="3"/>
    </row>
    <row r="9905" spans="1:34" ht="14.25" customHeight="1" x14ac:dyDescent="0.25">
      <c r="A9905" s="3"/>
      <c r="B9905" s="3"/>
      <c r="C9905" s="3"/>
      <c r="D9905" s="3"/>
      <c r="E9905" s="3"/>
      <c r="F9905" s="3"/>
      <c r="G9905" s="3"/>
      <c r="H9905" s="11"/>
      <c r="I9905" s="12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  <c r="AA9905" s="3"/>
      <c r="AB9905" s="3"/>
      <c r="AC9905" s="3"/>
      <c r="AD9905" s="3"/>
      <c r="AE9905" s="3"/>
      <c r="AF9905" s="3"/>
      <c r="AG9905" s="3"/>
      <c r="AH9905" s="3"/>
    </row>
    <row r="9906" spans="1:34" ht="14.25" customHeight="1" x14ac:dyDescent="0.25">
      <c r="A9906" s="3"/>
      <c r="B9906" s="3"/>
      <c r="C9906" s="3"/>
      <c r="D9906" s="3"/>
      <c r="E9906" s="3"/>
      <c r="F9906" s="3"/>
      <c r="G9906" s="3"/>
      <c r="H9906" s="11"/>
      <c r="I9906" s="12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  <c r="AA9906" s="3"/>
      <c r="AB9906" s="3"/>
      <c r="AC9906" s="3"/>
      <c r="AD9906" s="3"/>
      <c r="AE9906" s="3"/>
      <c r="AF9906" s="3"/>
      <c r="AG9906" s="3"/>
      <c r="AH9906" s="3"/>
    </row>
    <row r="9907" spans="1:34" ht="14.25" customHeight="1" x14ac:dyDescent="0.25">
      <c r="A9907" s="3"/>
      <c r="B9907" s="3"/>
      <c r="C9907" s="3"/>
      <c r="D9907" s="3"/>
      <c r="E9907" s="3"/>
      <c r="F9907" s="3"/>
      <c r="G9907" s="3"/>
      <c r="H9907" s="11"/>
      <c r="I9907" s="12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  <c r="AA9907" s="3"/>
      <c r="AB9907" s="3"/>
      <c r="AC9907" s="3"/>
      <c r="AD9907" s="3"/>
      <c r="AE9907" s="3"/>
      <c r="AF9907" s="3"/>
      <c r="AG9907" s="3"/>
      <c r="AH9907" s="3"/>
    </row>
    <row r="9908" spans="1:34" ht="14.25" customHeight="1" x14ac:dyDescent="0.25">
      <c r="A9908" s="3"/>
      <c r="B9908" s="3"/>
      <c r="C9908" s="3"/>
      <c r="D9908" s="3"/>
      <c r="E9908" s="3"/>
      <c r="F9908" s="3"/>
      <c r="G9908" s="3"/>
      <c r="H9908" s="11"/>
      <c r="I9908" s="12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  <c r="AA9908" s="3"/>
      <c r="AB9908" s="3"/>
      <c r="AC9908" s="3"/>
      <c r="AD9908" s="3"/>
      <c r="AE9908" s="3"/>
      <c r="AF9908" s="3"/>
      <c r="AG9908" s="3"/>
      <c r="AH9908" s="3"/>
    </row>
    <row r="9909" spans="1:34" ht="14.25" customHeight="1" x14ac:dyDescent="0.25">
      <c r="A9909" s="3"/>
      <c r="B9909" s="3"/>
      <c r="C9909" s="3"/>
      <c r="D9909" s="3"/>
      <c r="E9909" s="3"/>
      <c r="F9909" s="3"/>
      <c r="G9909" s="3"/>
      <c r="H9909" s="11"/>
      <c r="I9909" s="12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  <c r="AA9909" s="3"/>
      <c r="AB9909" s="3"/>
      <c r="AC9909" s="3"/>
      <c r="AD9909" s="3"/>
      <c r="AE9909" s="3"/>
      <c r="AF9909" s="3"/>
      <c r="AG9909" s="3"/>
      <c r="AH9909" s="3"/>
    </row>
    <row r="9910" spans="1:34" ht="14.25" customHeight="1" x14ac:dyDescent="0.25">
      <c r="A9910" s="3"/>
      <c r="B9910" s="3"/>
      <c r="C9910" s="3"/>
      <c r="D9910" s="3"/>
      <c r="E9910" s="3"/>
      <c r="F9910" s="3"/>
      <c r="G9910" s="3"/>
      <c r="H9910" s="11"/>
      <c r="I9910" s="12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  <c r="AA9910" s="3"/>
      <c r="AB9910" s="3"/>
      <c r="AC9910" s="3"/>
      <c r="AD9910" s="3"/>
      <c r="AE9910" s="3"/>
      <c r="AF9910" s="3"/>
      <c r="AG9910" s="3"/>
      <c r="AH9910" s="3"/>
    </row>
    <row r="9911" spans="1:34" ht="14.25" customHeight="1" x14ac:dyDescent="0.25">
      <c r="A9911" s="3"/>
      <c r="B9911" s="3"/>
      <c r="C9911" s="3"/>
      <c r="D9911" s="3"/>
      <c r="E9911" s="3"/>
      <c r="F9911" s="3"/>
      <c r="G9911" s="3"/>
      <c r="H9911" s="11"/>
      <c r="I9911" s="12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  <c r="AA9911" s="3"/>
      <c r="AB9911" s="3"/>
      <c r="AC9911" s="3"/>
      <c r="AD9911" s="3"/>
      <c r="AE9911" s="3"/>
      <c r="AF9911" s="3"/>
      <c r="AG9911" s="3"/>
      <c r="AH9911" s="3"/>
    </row>
    <row r="9912" spans="1:34" ht="14.25" customHeight="1" x14ac:dyDescent="0.25">
      <c r="A9912" s="3"/>
      <c r="B9912" s="3"/>
      <c r="C9912" s="3"/>
      <c r="D9912" s="3"/>
      <c r="E9912" s="3"/>
      <c r="F9912" s="3"/>
      <c r="G9912" s="3"/>
      <c r="H9912" s="11"/>
      <c r="I9912" s="12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  <c r="AA9912" s="3"/>
      <c r="AB9912" s="3"/>
      <c r="AC9912" s="3"/>
      <c r="AD9912" s="3"/>
      <c r="AE9912" s="3"/>
      <c r="AF9912" s="3"/>
      <c r="AG9912" s="3"/>
      <c r="AH9912" s="3"/>
    </row>
    <row r="9913" spans="1:34" ht="14.25" customHeight="1" x14ac:dyDescent="0.25">
      <c r="A9913" s="3"/>
      <c r="B9913" s="3"/>
      <c r="C9913" s="3"/>
      <c r="D9913" s="3"/>
      <c r="E9913" s="3"/>
      <c r="F9913" s="3"/>
      <c r="G9913" s="3"/>
      <c r="H9913" s="11"/>
      <c r="I9913" s="12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  <c r="AA9913" s="3"/>
      <c r="AB9913" s="3"/>
      <c r="AC9913" s="3"/>
      <c r="AD9913" s="3"/>
      <c r="AE9913" s="3"/>
      <c r="AF9913" s="3"/>
      <c r="AG9913" s="3"/>
      <c r="AH9913" s="3"/>
    </row>
    <row r="9914" spans="1:34" ht="14.25" customHeight="1" x14ac:dyDescent="0.25">
      <c r="A9914" s="3"/>
      <c r="B9914" s="3"/>
      <c r="C9914" s="3"/>
      <c r="D9914" s="3"/>
      <c r="E9914" s="3"/>
      <c r="F9914" s="3"/>
      <c r="G9914" s="3"/>
      <c r="H9914" s="11"/>
      <c r="I9914" s="12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  <c r="AA9914" s="3"/>
      <c r="AB9914" s="3"/>
      <c r="AC9914" s="3"/>
      <c r="AD9914" s="3"/>
      <c r="AE9914" s="3"/>
      <c r="AF9914" s="3"/>
      <c r="AG9914" s="3"/>
      <c r="AH9914" s="3"/>
    </row>
    <row r="9915" spans="1:34" ht="14.25" customHeight="1" x14ac:dyDescent="0.25">
      <c r="A9915" s="3"/>
      <c r="B9915" s="3"/>
      <c r="C9915" s="3"/>
      <c r="D9915" s="3"/>
      <c r="E9915" s="3"/>
      <c r="F9915" s="3"/>
      <c r="G9915" s="3"/>
      <c r="H9915" s="11"/>
      <c r="I9915" s="12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  <c r="AA9915" s="3"/>
      <c r="AB9915" s="3"/>
      <c r="AC9915" s="3"/>
      <c r="AD9915" s="3"/>
      <c r="AE9915" s="3"/>
      <c r="AF9915" s="3"/>
      <c r="AG9915" s="3"/>
      <c r="AH9915" s="3"/>
    </row>
    <row r="9916" spans="1:34" ht="14.25" customHeight="1" x14ac:dyDescent="0.25">
      <c r="A9916" s="3"/>
      <c r="B9916" s="3"/>
      <c r="C9916" s="3"/>
      <c r="D9916" s="3"/>
      <c r="E9916" s="3"/>
      <c r="F9916" s="3"/>
      <c r="G9916" s="3"/>
      <c r="H9916" s="11"/>
      <c r="I9916" s="12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  <c r="AA9916" s="3"/>
      <c r="AB9916" s="3"/>
      <c r="AC9916" s="3"/>
      <c r="AD9916" s="3"/>
      <c r="AE9916" s="3"/>
      <c r="AF9916" s="3"/>
      <c r="AG9916" s="3"/>
      <c r="AH9916" s="3"/>
    </row>
    <row r="9917" spans="1:34" ht="14.25" customHeight="1" x14ac:dyDescent="0.25">
      <c r="A9917" s="3"/>
      <c r="B9917" s="3"/>
      <c r="C9917" s="3"/>
      <c r="D9917" s="3"/>
      <c r="E9917" s="3"/>
      <c r="F9917" s="3"/>
      <c r="G9917" s="3"/>
      <c r="H9917" s="11"/>
      <c r="I9917" s="12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  <c r="AA9917" s="3"/>
      <c r="AB9917" s="3"/>
      <c r="AC9917" s="3"/>
      <c r="AD9917" s="3"/>
      <c r="AE9917" s="3"/>
      <c r="AF9917" s="3"/>
      <c r="AG9917" s="3"/>
      <c r="AH9917" s="3"/>
    </row>
    <row r="9918" spans="1:34" ht="14.25" customHeight="1" x14ac:dyDescent="0.25">
      <c r="A9918" s="3"/>
      <c r="B9918" s="3"/>
      <c r="C9918" s="3"/>
      <c r="D9918" s="3"/>
      <c r="E9918" s="3"/>
      <c r="F9918" s="3"/>
      <c r="G9918" s="3"/>
      <c r="H9918" s="11"/>
      <c r="I9918" s="12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  <c r="AA9918" s="3"/>
      <c r="AB9918" s="3"/>
      <c r="AC9918" s="3"/>
      <c r="AD9918" s="3"/>
      <c r="AE9918" s="3"/>
      <c r="AF9918" s="3"/>
      <c r="AG9918" s="3"/>
      <c r="AH9918" s="3"/>
    </row>
    <row r="9919" spans="1:34" ht="14.25" customHeight="1" x14ac:dyDescent="0.25">
      <c r="A9919" s="3"/>
      <c r="B9919" s="3"/>
      <c r="C9919" s="3"/>
      <c r="D9919" s="3"/>
      <c r="E9919" s="3"/>
      <c r="F9919" s="3"/>
      <c r="G9919" s="3"/>
      <c r="H9919" s="11"/>
      <c r="I9919" s="12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  <c r="AA9919" s="3"/>
      <c r="AB9919" s="3"/>
      <c r="AC9919" s="3"/>
      <c r="AD9919" s="3"/>
      <c r="AE9919" s="3"/>
      <c r="AF9919" s="3"/>
      <c r="AG9919" s="3"/>
      <c r="AH9919" s="3"/>
    </row>
    <row r="9920" spans="1:34" ht="14.25" customHeight="1" x14ac:dyDescent="0.25">
      <c r="A9920" s="3"/>
      <c r="B9920" s="3"/>
      <c r="C9920" s="3"/>
      <c r="D9920" s="3"/>
      <c r="E9920" s="3"/>
      <c r="F9920" s="3"/>
      <c r="G9920" s="3"/>
      <c r="H9920" s="11"/>
      <c r="I9920" s="12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  <c r="AA9920" s="3"/>
      <c r="AB9920" s="3"/>
      <c r="AC9920" s="3"/>
      <c r="AD9920" s="3"/>
      <c r="AE9920" s="3"/>
      <c r="AF9920" s="3"/>
      <c r="AG9920" s="3"/>
      <c r="AH9920" s="3"/>
    </row>
    <row r="9921" spans="1:34" ht="14.25" customHeight="1" x14ac:dyDescent="0.25">
      <c r="A9921" s="3"/>
      <c r="B9921" s="3"/>
      <c r="C9921" s="3"/>
      <c r="D9921" s="3"/>
      <c r="E9921" s="3"/>
      <c r="F9921" s="3"/>
      <c r="G9921" s="3"/>
      <c r="H9921" s="11"/>
      <c r="I9921" s="12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  <c r="AA9921" s="3"/>
      <c r="AB9921" s="3"/>
      <c r="AC9921" s="3"/>
      <c r="AD9921" s="3"/>
      <c r="AE9921" s="3"/>
      <c r="AF9921" s="3"/>
      <c r="AG9921" s="3"/>
      <c r="AH9921" s="3"/>
    </row>
    <row r="9922" spans="1:34" ht="14.25" customHeight="1" x14ac:dyDescent="0.25">
      <c r="A9922" s="3"/>
      <c r="B9922" s="3"/>
      <c r="C9922" s="3"/>
      <c r="D9922" s="3"/>
      <c r="E9922" s="3"/>
      <c r="F9922" s="3"/>
      <c r="G9922" s="3"/>
      <c r="H9922" s="11"/>
      <c r="I9922" s="12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  <c r="AA9922" s="3"/>
      <c r="AB9922" s="3"/>
      <c r="AC9922" s="3"/>
      <c r="AD9922" s="3"/>
      <c r="AE9922" s="3"/>
      <c r="AF9922" s="3"/>
      <c r="AG9922" s="3"/>
      <c r="AH9922" s="3"/>
    </row>
    <row r="9923" spans="1:34" ht="14.25" customHeight="1" x14ac:dyDescent="0.25">
      <c r="A9923" s="3"/>
      <c r="B9923" s="3"/>
      <c r="C9923" s="3"/>
      <c r="D9923" s="3"/>
      <c r="E9923" s="3"/>
      <c r="F9923" s="3"/>
      <c r="G9923" s="3"/>
      <c r="H9923" s="11"/>
      <c r="I9923" s="12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  <c r="AA9923" s="3"/>
      <c r="AB9923" s="3"/>
      <c r="AC9923" s="3"/>
      <c r="AD9923" s="3"/>
      <c r="AE9923" s="3"/>
      <c r="AF9923" s="3"/>
      <c r="AG9923" s="3"/>
      <c r="AH9923" s="3"/>
    </row>
    <row r="9924" spans="1:34" ht="14.25" customHeight="1" x14ac:dyDescent="0.25">
      <c r="A9924" s="3"/>
      <c r="B9924" s="3"/>
      <c r="C9924" s="3"/>
      <c r="D9924" s="3"/>
      <c r="E9924" s="3"/>
      <c r="F9924" s="3"/>
      <c r="G9924" s="3"/>
      <c r="H9924" s="11"/>
      <c r="I9924" s="12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  <c r="AA9924" s="3"/>
      <c r="AB9924" s="3"/>
      <c r="AC9924" s="3"/>
      <c r="AD9924" s="3"/>
      <c r="AE9924" s="3"/>
      <c r="AF9924" s="3"/>
      <c r="AG9924" s="3"/>
      <c r="AH9924" s="3"/>
    </row>
    <row r="9925" spans="1:34" ht="14.25" customHeight="1" x14ac:dyDescent="0.25">
      <c r="A9925" s="3"/>
      <c r="B9925" s="3"/>
      <c r="C9925" s="3"/>
      <c r="D9925" s="3"/>
      <c r="E9925" s="3"/>
      <c r="F9925" s="3"/>
      <c r="G9925" s="3"/>
      <c r="H9925" s="11"/>
      <c r="I9925" s="12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  <c r="AA9925" s="3"/>
      <c r="AB9925" s="3"/>
      <c r="AC9925" s="3"/>
      <c r="AD9925" s="3"/>
      <c r="AE9925" s="3"/>
      <c r="AF9925" s="3"/>
      <c r="AG9925" s="3"/>
      <c r="AH9925" s="3"/>
    </row>
    <row r="9926" spans="1:34" ht="14.25" customHeight="1" x14ac:dyDescent="0.25">
      <c r="A9926" s="3"/>
      <c r="B9926" s="3"/>
      <c r="C9926" s="3"/>
      <c r="D9926" s="3"/>
      <c r="E9926" s="3"/>
      <c r="F9926" s="3"/>
      <c r="G9926" s="3"/>
      <c r="H9926" s="11"/>
      <c r="I9926" s="12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  <c r="AA9926" s="3"/>
      <c r="AB9926" s="3"/>
      <c r="AC9926" s="3"/>
      <c r="AD9926" s="3"/>
      <c r="AE9926" s="3"/>
      <c r="AF9926" s="3"/>
      <c r="AG9926" s="3"/>
      <c r="AH9926" s="3"/>
    </row>
    <row r="9927" spans="1:34" ht="14.25" customHeight="1" x14ac:dyDescent="0.25">
      <c r="A9927" s="3"/>
      <c r="B9927" s="3"/>
      <c r="C9927" s="3"/>
      <c r="D9927" s="3"/>
      <c r="E9927" s="3"/>
      <c r="F9927" s="3"/>
      <c r="G9927" s="3"/>
      <c r="H9927" s="11"/>
      <c r="I9927" s="12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  <c r="AA9927" s="3"/>
      <c r="AB9927" s="3"/>
      <c r="AC9927" s="3"/>
      <c r="AD9927" s="3"/>
      <c r="AE9927" s="3"/>
      <c r="AF9927" s="3"/>
      <c r="AG9927" s="3"/>
      <c r="AH9927" s="3"/>
    </row>
    <row r="9928" spans="1:34" ht="14.25" customHeight="1" x14ac:dyDescent="0.25">
      <c r="A9928" s="3"/>
      <c r="B9928" s="3"/>
      <c r="C9928" s="3"/>
      <c r="D9928" s="3"/>
      <c r="E9928" s="3"/>
      <c r="F9928" s="3"/>
      <c r="G9928" s="3"/>
      <c r="H9928" s="11"/>
      <c r="I9928" s="12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  <c r="AA9928" s="3"/>
      <c r="AB9928" s="3"/>
      <c r="AC9928" s="3"/>
      <c r="AD9928" s="3"/>
      <c r="AE9928" s="3"/>
      <c r="AF9928" s="3"/>
      <c r="AG9928" s="3"/>
      <c r="AH9928" s="3"/>
    </row>
    <row r="9929" spans="1:34" ht="14.25" customHeight="1" x14ac:dyDescent="0.25">
      <c r="A9929" s="3"/>
      <c r="B9929" s="3"/>
      <c r="C9929" s="3"/>
      <c r="D9929" s="3"/>
      <c r="E9929" s="3"/>
      <c r="F9929" s="3"/>
      <c r="G9929" s="3"/>
      <c r="H9929" s="11"/>
      <c r="I9929" s="12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  <c r="AA9929" s="3"/>
      <c r="AB9929" s="3"/>
      <c r="AC9929" s="3"/>
      <c r="AD9929" s="3"/>
      <c r="AE9929" s="3"/>
      <c r="AF9929" s="3"/>
      <c r="AG9929" s="3"/>
      <c r="AH9929" s="3"/>
    </row>
    <row r="9930" spans="1:34" ht="14.25" customHeight="1" x14ac:dyDescent="0.25">
      <c r="A9930" s="3"/>
      <c r="B9930" s="3"/>
      <c r="C9930" s="3"/>
      <c r="D9930" s="3"/>
      <c r="E9930" s="3"/>
      <c r="F9930" s="3"/>
      <c r="G9930" s="3"/>
      <c r="H9930" s="11"/>
      <c r="I9930" s="12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  <c r="AA9930" s="3"/>
      <c r="AB9930" s="3"/>
      <c r="AC9930" s="3"/>
      <c r="AD9930" s="3"/>
      <c r="AE9930" s="3"/>
      <c r="AF9930" s="3"/>
      <c r="AG9930" s="3"/>
      <c r="AH9930" s="3"/>
    </row>
    <row r="9931" spans="1:34" ht="14.25" customHeight="1" x14ac:dyDescent="0.25">
      <c r="A9931" s="3"/>
      <c r="B9931" s="3"/>
      <c r="C9931" s="3"/>
      <c r="D9931" s="3"/>
      <c r="E9931" s="3"/>
      <c r="F9931" s="3"/>
      <c r="G9931" s="3"/>
      <c r="H9931" s="11"/>
      <c r="I9931" s="12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  <c r="AA9931" s="3"/>
      <c r="AB9931" s="3"/>
      <c r="AC9931" s="3"/>
      <c r="AD9931" s="3"/>
      <c r="AE9931" s="3"/>
      <c r="AF9931" s="3"/>
      <c r="AG9931" s="3"/>
      <c r="AH9931" s="3"/>
    </row>
    <row r="9932" spans="1:34" ht="14.25" customHeight="1" x14ac:dyDescent="0.25">
      <c r="A9932" s="3"/>
      <c r="B9932" s="3"/>
      <c r="C9932" s="3"/>
      <c r="D9932" s="3"/>
      <c r="E9932" s="3"/>
      <c r="F9932" s="3"/>
      <c r="G9932" s="3"/>
      <c r="H9932" s="11"/>
      <c r="I9932" s="12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  <c r="AA9932" s="3"/>
      <c r="AB9932" s="3"/>
      <c r="AC9932" s="3"/>
      <c r="AD9932" s="3"/>
      <c r="AE9932" s="3"/>
      <c r="AF9932" s="3"/>
      <c r="AG9932" s="3"/>
      <c r="AH9932" s="3"/>
    </row>
    <row r="9933" spans="1:34" ht="14.25" customHeight="1" x14ac:dyDescent="0.25">
      <c r="A9933" s="3"/>
      <c r="B9933" s="3"/>
      <c r="C9933" s="3"/>
      <c r="D9933" s="3"/>
      <c r="E9933" s="3"/>
      <c r="F9933" s="3"/>
      <c r="G9933" s="3"/>
      <c r="H9933" s="11"/>
      <c r="I9933" s="12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  <c r="AA9933" s="3"/>
      <c r="AB9933" s="3"/>
      <c r="AC9933" s="3"/>
      <c r="AD9933" s="3"/>
      <c r="AE9933" s="3"/>
      <c r="AF9933" s="3"/>
      <c r="AG9933" s="3"/>
      <c r="AH9933" s="3"/>
    </row>
    <row r="9934" spans="1:34" ht="14.25" customHeight="1" x14ac:dyDescent="0.25">
      <c r="A9934" s="3"/>
      <c r="B9934" s="3"/>
      <c r="C9934" s="3"/>
      <c r="D9934" s="3"/>
      <c r="E9934" s="3"/>
      <c r="F9934" s="3"/>
      <c r="G9934" s="3"/>
      <c r="H9934" s="11"/>
      <c r="I9934" s="12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  <c r="AA9934" s="3"/>
      <c r="AB9934" s="3"/>
      <c r="AC9934" s="3"/>
      <c r="AD9934" s="3"/>
      <c r="AE9934" s="3"/>
      <c r="AF9934" s="3"/>
      <c r="AG9934" s="3"/>
      <c r="AH9934" s="3"/>
    </row>
    <row r="9935" spans="1:34" ht="14.25" customHeight="1" x14ac:dyDescent="0.25">
      <c r="A9935" s="3"/>
      <c r="B9935" s="3"/>
      <c r="C9935" s="3"/>
      <c r="D9935" s="3"/>
      <c r="E9935" s="3"/>
      <c r="F9935" s="3"/>
      <c r="G9935" s="3"/>
      <c r="H9935" s="11"/>
      <c r="I9935" s="12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  <c r="AA9935" s="3"/>
      <c r="AB9935" s="3"/>
      <c r="AC9935" s="3"/>
      <c r="AD9935" s="3"/>
      <c r="AE9935" s="3"/>
      <c r="AF9935" s="3"/>
      <c r="AG9935" s="3"/>
      <c r="AH9935" s="3"/>
    </row>
    <row r="9936" spans="1:34" ht="14.25" customHeight="1" x14ac:dyDescent="0.25">
      <c r="A9936" s="3"/>
      <c r="B9936" s="3"/>
      <c r="C9936" s="3"/>
      <c r="D9936" s="3"/>
      <c r="E9936" s="3"/>
      <c r="F9936" s="3"/>
      <c r="G9936" s="3"/>
      <c r="H9936" s="11"/>
      <c r="I9936" s="12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  <c r="AA9936" s="3"/>
      <c r="AB9936" s="3"/>
      <c r="AC9936" s="3"/>
      <c r="AD9936" s="3"/>
      <c r="AE9936" s="3"/>
      <c r="AF9936" s="3"/>
      <c r="AG9936" s="3"/>
      <c r="AH9936" s="3"/>
    </row>
    <row r="9937" spans="1:34" ht="14.25" customHeight="1" x14ac:dyDescent="0.25">
      <c r="A9937" s="3"/>
      <c r="B9937" s="3"/>
      <c r="C9937" s="3"/>
      <c r="D9937" s="3"/>
      <c r="E9937" s="3"/>
      <c r="F9937" s="3"/>
      <c r="G9937" s="3"/>
      <c r="H9937" s="11"/>
      <c r="I9937" s="12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  <c r="AA9937" s="3"/>
      <c r="AB9937" s="3"/>
      <c r="AC9937" s="3"/>
      <c r="AD9937" s="3"/>
      <c r="AE9937" s="3"/>
      <c r="AF9937" s="3"/>
      <c r="AG9937" s="3"/>
      <c r="AH9937" s="3"/>
    </row>
    <row r="9938" spans="1:34" ht="14.25" customHeight="1" x14ac:dyDescent="0.25">
      <c r="A9938" s="3"/>
      <c r="B9938" s="3"/>
      <c r="C9938" s="3"/>
      <c r="D9938" s="3"/>
      <c r="E9938" s="3"/>
      <c r="F9938" s="3"/>
      <c r="G9938" s="3"/>
      <c r="H9938" s="11"/>
      <c r="I9938" s="12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  <c r="AA9938" s="3"/>
      <c r="AB9938" s="3"/>
      <c r="AC9938" s="3"/>
      <c r="AD9938" s="3"/>
      <c r="AE9938" s="3"/>
      <c r="AF9938" s="3"/>
      <c r="AG9938" s="3"/>
      <c r="AH9938" s="3"/>
    </row>
    <row r="9939" spans="1:34" ht="14.25" customHeight="1" x14ac:dyDescent="0.25">
      <c r="A9939" s="3"/>
      <c r="B9939" s="3"/>
      <c r="C9939" s="3"/>
      <c r="D9939" s="3"/>
      <c r="E9939" s="3"/>
      <c r="F9939" s="3"/>
      <c r="G9939" s="3"/>
      <c r="H9939" s="11"/>
      <c r="I9939" s="12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  <c r="AA9939" s="3"/>
      <c r="AB9939" s="3"/>
      <c r="AC9939" s="3"/>
      <c r="AD9939" s="3"/>
      <c r="AE9939" s="3"/>
      <c r="AF9939" s="3"/>
      <c r="AG9939" s="3"/>
      <c r="AH9939" s="3"/>
    </row>
    <row r="9940" spans="1:34" ht="14.25" customHeight="1" x14ac:dyDescent="0.25">
      <c r="A9940" s="3"/>
      <c r="B9940" s="3"/>
      <c r="C9940" s="3"/>
      <c r="D9940" s="3"/>
      <c r="E9940" s="3"/>
      <c r="F9940" s="3"/>
      <c r="G9940" s="3"/>
      <c r="H9940" s="11"/>
      <c r="I9940" s="12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  <c r="AA9940" s="3"/>
      <c r="AB9940" s="3"/>
      <c r="AC9940" s="3"/>
      <c r="AD9940" s="3"/>
      <c r="AE9940" s="3"/>
      <c r="AF9940" s="3"/>
      <c r="AG9940" s="3"/>
      <c r="AH9940" s="3"/>
    </row>
    <row r="9941" spans="1:34" ht="14.25" customHeight="1" x14ac:dyDescent="0.25">
      <c r="A9941" s="3"/>
      <c r="B9941" s="3"/>
      <c r="C9941" s="3"/>
      <c r="D9941" s="3"/>
      <c r="E9941" s="3"/>
      <c r="F9941" s="3"/>
      <c r="G9941" s="3"/>
      <c r="H9941" s="11"/>
      <c r="I9941" s="12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  <c r="AA9941" s="3"/>
      <c r="AB9941" s="3"/>
      <c r="AC9941" s="3"/>
      <c r="AD9941" s="3"/>
      <c r="AE9941" s="3"/>
      <c r="AF9941" s="3"/>
      <c r="AG9941" s="3"/>
      <c r="AH9941" s="3"/>
    </row>
    <row r="9942" spans="1:34" ht="14.25" customHeight="1" x14ac:dyDescent="0.25">
      <c r="A9942" s="3"/>
      <c r="B9942" s="3"/>
      <c r="C9942" s="3"/>
      <c r="D9942" s="3"/>
      <c r="E9942" s="3"/>
      <c r="F9942" s="3"/>
      <c r="G9942" s="3"/>
      <c r="H9942" s="11"/>
      <c r="I9942" s="12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  <c r="AA9942" s="3"/>
      <c r="AB9942" s="3"/>
      <c r="AC9942" s="3"/>
      <c r="AD9942" s="3"/>
      <c r="AE9942" s="3"/>
      <c r="AF9942" s="3"/>
      <c r="AG9942" s="3"/>
      <c r="AH9942" s="3"/>
    </row>
    <row r="9943" spans="1:34" ht="14.25" customHeight="1" x14ac:dyDescent="0.25">
      <c r="A9943" s="3"/>
      <c r="B9943" s="3"/>
      <c r="C9943" s="3"/>
      <c r="D9943" s="3"/>
      <c r="E9943" s="3"/>
      <c r="F9943" s="3"/>
      <c r="G9943" s="3"/>
      <c r="H9943" s="11"/>
      <c r="I9943" s="12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  <c r="AA9943" s="3"/>
      <c r="AB9943" s="3"/>
      <c r="AC9943" s="3"/>
      <c r="AD9943" s="3"/>
      <c r="AE9943" s="3"/>
      <c r="AF9943" s="3"/>
      <c r="AG9943" s="3"/>
      <c r="AH9943" s="3"/>
    </row>
    <row r="9944" spans="1:34" ht="14.25" customHeight="1" x14ac:dyDescent="0.25">
      <c r="A9944" s="3"/>
      <c r="B9944" s="3"/>
      <c r="C9944" s="3"/>
      <c r="D9944" s="3"/>
      <c r="E9944" s="3"/>
      <c r="F9944" s="3"/>
      <c r="G9944" s="3"/>
      <c r="H9944" s="11"/>
      <c r="I9944" s="12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  <c r="AA9944" s="3"/>
      <c r="AB9944" s="3"/>
      <c r="AC9944" s="3"/>
      <c r="AD9944" s="3"/>
      <c r="AE9944" s="3"/>
      <c r="AF9944" s="3"/>
      <c r="AG9944" s="3"/>
      <c r="AH9944" s="3"/>
    </row>
    <row r="9945" spans="1:34" ht="14.25" customHeight="1" x14ac:dyDescent="0.25">
      <c r="A9945" s="3"/>
      <c r="B9945" s="3"/>
      <c r="C9945" s="3"/>
      <c r="D9945" s="3"/>
      <c r="E9945" s="3"/>
      <c r="F9945" s="3"/>
      <c r="G9945" s="3"/>
      <c r="H9945" s="11"/>
      <c r="I9945" s="12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  <c r="AA9945" s="3"/>
      <c r="AB9945" s="3"/>
      <c r="AC9945" s="3"/>
      <c r="AD9945" s="3"/>
      <c r="AE9945" s="3"/>
      <c r="AF9945" s="3"/>
      <c r="AG9945" s="3"/>
      <c r="AH9945" s="3"/>
    </row>
    <row r="9946" spans="1:34" ht="14.25" customHeight="1" x14ac:dyDescent="0.25">
      <c r="A9946" s="3"/>
      <c r="B9946" s="3"/>
      <c r="C9946" s="3"/>
      <c r="D9946" s="3"/>
      <c r="E9946" s="3"/>
      <c r="F9946" s="3"/>
      <c r="G9946" s="3"/>
      <c r="H9946" s="11"/>
      <c r="I9946" s="12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  <c r="AA9946" s="3"/>
      <c r="AB9946" s="3"/>
      <c r="AC9946" s="3"/>
      <c r="AD9946" s="3"/>
      <c r="AE9946" s="3"/>
      <c r="AF9946" s="3"/>
      <c r="AG9946" s="3"/>
      <c r="AH9946" s="3"/>
    </row>
    <row r="9947" spans="1:34" ht="14.25" customHeight="1" x14ac:dyDescent="0.25">
      <c r="A9947" s="3"/>
      <c r="B9947" s="3"/>
      <c r="C9947" s="3"/>
      <c r="D9947" s="3"/>
      <c r="E9947" s="3"/>
      <c r="F9947" s="3"/>
      <c r="G9947" s="3"/>
      <c r="H9947" s="11"/>
      <c r="I9947" s="12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  <c r="AA9947" s="3"/>
      <c r="AB9947" s="3"/>
      <c r="AC9947" s="3"/>
      <c r="AD9947" s="3"/>
      <c r="AE9947" s="3"/>
      <c r="AF9947" s="3"/>
      <c r="AG9947" s="3"/>
      <c r="AH9947" s="3"/>
    </row>
    <row r="9948" spans="1:34" ht="14.25" customHeight="1" x14ac:dyDescent="0.25">
      <c r="A9948" s="3"/>
      <c r="B9948" s="3"/>
      <c r="C9948" s="3"/>
      <c r="D9948" s="3"/>
      <c r="E9948" s="3"/>
      <c r="F9948" s="3"/>
      <c r="G9948" s="3"/>
      <c r="H9948" s="11"/>
      <c r="I9948" s="12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  <c r="AA9948" s="3"/>
      <c r="AB9948" s="3"/>
      <c r="AC9948" s="3"/>
      <c r="AD9948" s="3"/>
      <c r="AE9948" s="3"/>
      <c r="AF9948" s="3"/>
      <c r="AG9948" s="3"/>
      <c r="AH9948" s="3"/>
    </row>
    <row r="9949" spans="1:34" ht="14.25" customHeight="1" x14ac:dyDescent="0.25">
      <c r="A9949" s="3"/>
      <c r="B9949" s="3"/>
      <c r="C9949" s="3"/>
      <c r="D9949" s="3"/>
      <c r="E9949" s="3"/>
      <c r="F9949" s="3"/>
      <c r="G9949" s="3"/>
      <c r="H9949" s="11"/>
      <c r="I9949" s="12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  <c r="AA9949" s="3"/>
      <c r="AB9949" s="3"/>
      <c r="AC9949" s="3"/>
      <c r="AD9949" s="3"/>
      <c r="AE9949" s="3"/>
      <c r="AF9949" s="3"/>
      <c r="AG9949" s="3"/>
      <c r="AH9949" s="3"/>
    </row>
    <row r="9950" spans="1:34" ht="14.25" customHeight="1" x14ac:dyDescent="0.25">
      <c r="A9950" s="3"/>
      <c r="B9950" s="3"/>
      <c r="C9950" s="3"/>
      <c r="D9950" s="3"/>
      <c r="E9950" s="3"/>
      <c r="F9950" s="3"/>
      <c r="G9950" s="3"/>
      <c r="H9950" s="11"/>
      <c r="I9950" s="12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  <c r="AA9950" s="3"/>
      <c r="AB9950" s="3"/>
      <c r="AC9950" s="3"/>
      <c r="AD9950" s="3"/>
      <c r="AE9950" s="3"/>
      <c r="AF9950" s="3"/>
      <c r="AG9950" s="3"/>
      <c r="AH9950" s="3"/>
    </row>
    <row r="9951" spans="1:34" ht="14.25" customHeight="1" x14ac:dyDescent="0.25">
      <c r="A9951" s="3"/>
      <c r="B9951" s="3"/>
      <c r="C9951" s="3"/>
      <c r="D9951" s="3"/>
      <c r="E9951" s="3"/>
      <c r="F9951" s="3"/>
      <c r="G9951" s="3"/>
      <c r="H9951" s="11"/>
      <c r="I9951" s="12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  <c r="AA9951" s="3"/>
      <c r="AB9951" s="3"/>
      <c r="AC9951" s="3"/>
      <c r="AD9951" s="3"/>
      <c r="AE9951" s="3"/>
      <c r="AF9951" s="3"/>
      <c r="AG9951" s="3"/>
      <c r="AH9951" s="3"/>
    </row>
    <row r="9952" spans="1:34" ht="14.25" customHeight="1" x14ac:dyDescent="0.25">
      <c r="A9952" s="3"/>
      <c r="B9952" s="3"/>
      <c r="C9952" s="3"/>
      <c r="D9952" s="3"/>
      <c r="E9952" s="3"/>
      <c r="F9952" s="3"/>
      <c r="G9952" s="3"/>
      <c r="H9952" s="11"/>
      <c r="I9952" s="12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  <c r="AA9952" s="3"/>
      <c r="AB9952" s="3"/>
      <c r="AC9952" s="3"/>
      <c r="AD9952" s="3"/>
      <c r="AE9952" s="3"/>
      <c r="AF9952" s="3"/>
      <c r="AG9952" s="3"/>
      <c r="AH9952" s="3"/>
    </row>
    <row r="9953" spans="1:34" ht="14.25" customHeight="1" x14ac:dyDescent="0.25">
      <c r="A9953" s="3"/>
      <c r="B9953" s="3"/>
      <c r="C9953" s="3"/>
      <c r="D9953" s="3"/>
      <c r="E9953" s="3"/>
      <c r="F9953" s="3"/>
      <c r="G9953" s="3"/>
      <c r="H9953" s="11"/>
      <c r="I9953" s="12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  <c r="AA9953" s="3"/>
      <c r="AB9953" s="3"/>
      <c r="AC9953" s="3"/>
      <c r="AD9953" s="3"/>
      <c r="AE9953" s="3"/>
      <c r="AF9953" s="3"/>
      <c r="AG9953" s="3"/>
      <c r="AH9953" s="3"/>
    </row>
    <row r="9954" spans="1:34" ht="14.25" customHeight="1" x14ac:dyDescent="0.25">
      <c r="A9954" s="3"/>
      <c r="B9954" s="3"/>
      <c r="C9954" s="3"/>
      <c r="D9954" s="3"/>
      <c r="E9954" s="3"/>
      <c r="F9954" s="3"/>
      <c r="G9954" s="3"/>
      <c r="H9954" s="11"/>
      <c r="I9954" s="12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  <c r="AA9954" s="3"/>
      <c r="AB9954" s="3"/>
      <c r="AC9954" s="3"/>
      <c r="AD9954" s="3"/>
      <c r="AE9954" s="3"/>
      <c r="AF9954" s="3"/>
      <c r="AG9954" s="3"/>
      <c r="AH9954" s="3"/>
    </row>
    <row r="9955" spans="1:34" ht="14.25" customHeight="1" x14ac:dyDescent="0.25">
      <c r="A9955" s="3"/>
      <c r="B9955" s="3"/>
      <c r="C9955" s="3"/>
      <c r="D9955" s="3"/>
      <c r="E9955" s="3"/>
      <c r="F9955" s="3"/>
      <c r="G9955" s="3"/>
      <c r="H9955" s="11"/>
      <c r="I9955" s="12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  <c r="AA9955" s="3"/>
      <c r="AB9955" s="3"/>
      <c r="AC9955" s="3"/>
      <c r="AD9955" s="3"/>
      <c r="AE9955" s="3"/>
      <c r="AF9955" s="3"/>
      <c r="AG9955" s="3"/>
      <c r="AH9955" s="3"/>
    </row>
    <row r="9956" spans="1:34" ht="14.25" customHeight="1" x14ac:dyDescent="0.25">
      <c r="A9956" s="3"/>
      <c r="B9956" s="3"/>
      <c r="C9956" s="3"/>
      <c r="D9956" s="3"/>
      <c r="E9956" s="3"/>
      <c r="F9956" s="3"/>
      <c r="G9956" s="3"/>
      <c r="H9956" s="11"/>
      <c r="I9956" s="12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  <c r="AA9956" s="3"/>
      <c r="AB9956" s="3"/>
      <c r="AC9956" s="3"/>
      <c r="AD9956" s="3"/>
      <c r="AE9956" s="3"/>
      <c r="AF9956" s="3"/>
      <c r="AG9956" s="3"/>
      <c r="AH9956" s="3"/>
    </row>
    <row r="9957" spans="1:34" ht="14.25" customHeight="1" x14ac:dyDescent="0.25">
      <c r="A9957" s="3"/>
      <c r="B9957" s="3"/>
      <c r="C9957" s="3"/>
      <c r="D9957" s="3"/>
      <c r="E9957" s="3"/>
      <c r="F9957" s="3"/>
      <c r="G9957" s="3"/>
      <c r="H9957" s="11"/>
      <c r="I9957" s="12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  <c r="AA9957" s="3"/>
      <c r="AB9957" s="3"/>
      <c r="AC9957" s="3"/>
      <c r="AD9957" s="3"/>
      <c r="AE9957" s="3"/>
      <c r="AF9957" s="3"/>
      <c r="AG9957" s="3"/>
      <c r="AH9957" s="3"/>
    </row>
    <row r="9958" spans="1:34" ht="14.25" customHeight="1" x14ac:dyDescent="0.25">
      <c r="A9958" s="3"/>
      <c r="B9958" s="3"/>
      <c r="C9958" s="3"/>
      <c r="D9958" s="3"/>
      <c r="E9958" s="3"/>
      <c r="F9958" s="3"/>
      <c r="G9958" s="3"/>
      <c r="H9958" s="11"/>
      <c r="I9958" s="12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  <c r="AA9958" s="3"/>
      <c r="AB9958" s="3"/>
      <c r="AC9958" s="3"/>
      <c r="AD9958" s="3"/>
      <c r="AE9958" s="3"/>
      <c r="AF9958" s="3"/>
      <c r="AG9958" s="3"/>
      <c r="AH9958" s="3"/>
    </row>
    <row r="9959" spans="1:34" ht="14.25" customHeight="1" x14ac:dyDescent="0.25">
      <c r="A9959" s="3"/>
      <c r="B9959" s="3"/>
      <c r="C9959" s="3"/>
      <c r="D9959" s="3"/>
      <c r="E9959" s="3"/>
      <c r="F9959" s="3"/>
      <c r="G9959" s="3"/>
      <c r="H9959" s="11"/>
      <c r="I9959" s="12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  <c r="AA9959" s="3"/>
      <c r="AB9959" s="3"/>
      <c r="AC9959" s="3"/>
      <c r="AD9959" s="3"/>
      <c r="AE9959" s="3"/>
      <c r="AF9959" s="3"/>
      <c r="AG9959" s="3"/>
      <c r="AH9959" s="3"/>
    </row>
    <row r="9960" spans="1:34" ht="14.25" customHeight="1" x14ac:dyDescent="0.25">
      <c r="A9960" s="3"/>
      <c r="B9960" s="3"/>
      <c r="C9960" s="3"/>
      <c r="D9960" s="3"/>
      <c r="E9960" s="3"/>
      <c r="F9960" s="3"/>
      <c r="G9960" s="3"/>
      <c r="H9960" s="11"/>
      <c r="I9960" s="12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  <c r="AA9960" s="3"/>
      <c r="AB9960" s="3"/>
      <c r="AC9960" s="3"/>
      <c r="AD9960" s="3"/>
      <c r="AE9960" s="3"/>
      <c r="AF9960" s="3"/>
      <c r="AG9960" s="3"/>
      <c r="AH9960" s="3"/>
    </row>
    <row r="9961" spans="1:34" ht="14.25" customHeight="1" x14ac:dyDescent="0.25">
      <c r="A9961" s="3"/>
      <c r="B9961" s="3"/>
      <c r="C9961" s="3"/>
      <c r="D9961" s="3"/>
      <c r="E9961" s="3"/>
      <c r="F9961" s="3"/>
      <c r="G9961" s="3"/>
      <c r="H9961" s="11"/>
      <c r="I9961" s="12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  <c r="AA9961" s="3"/>
      <c r="AB9961" s="3"/>
      <c r="AC9961" s="3"/>
      <c r="AD9961" s="3"/>
      <c r="AE9961" s="3"/>
      <c r="AF9961" s="3"/>
      <c r="AG9961" s="3"/>
      <c r="AH9961" s="3"/>
    </row>
    <row r="9962" spans="1:34" ht="14.25" customHeight="1" x14ac:dyDescent="0.25">
      <c r="A9962" s="3"/>
      <c r="B9962" s="3"/>
      <c r="C9962" s="3"/>
      <c r="D9962" s="3"/>
      <c r="E9962" s="3"/>
      <c r="F9962" s="3"/>
      <c r="G9962" s="3"/>
      <c r="H9962" s="11"/>
      <c r="I9962" s="12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  <c r="AA9962" s="3"/>
      <c r="AB9962" s="3"/>
      <c r="AC9962" s="3"/>
      <c r="AD9962" s="3"/>
      <c r="AE9962" s="3"/>
      <c r="AF9962" s="3"/>
      <c r="AG9962" s="3"/>
      <c r="AH9962" s="3"/>
    </row>
    <row r="9963" spans="1:34" ht="14.25" customHeight="1" x14ac:dyDescent="0.25">
      <c r="A9963" s="3"/>
      <c r="B9963" s="3"/>
      <c r="C9963" s="3"/>
      <c r="D9963" s="3"/>
      <c r="E9963" s="3"/>
      <c r="F9963" s="3"/>
      <c r="G9963" s="3"/>
      <c r="H9963" s="11"/>
      <c r="I9963" s="12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  <c r="AA9963" s="3"/>
      <c r="AB9963" s="3"/>
      <c r="AC9963" s="3"/>
      <c r="AD9963" s="3"/>
      <c r="AE9963" s="3"/>
      <c r="AF9963" s="3"/>
      <c r="AG9963" s="3"/>
      <c r="AH9963" s="3"/>
    </row>
    <row r="9964" spans="1:34" ht="14.25" customHeight="1" x14ac:dyDescent="0.25">
      <c r="A9964" s="3"/>
      <c r="B9964" s="3"/>
      <c r="C9964" s="3"/>
      <c r="D9964" s="3"/>
      <c r="E9964" s="3"/>
      <c r="F9964" s="3"/>
      <c r="G9964" s="3"/>
      <c r="H9964" s="11"/>
      <c r="I9964" s="12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  <c r="AA9964" s="3"/>
      <c r="AB9964" s="3"/>
      <c r="AC9964" s="3"/>
      <c r="AD9964" s="3"/>
      <c r="AE9964" s="3"/>
      <c r="AF9964" s="3"/>
      <c r="AG9964" s="3"/>
      <c r="AH9964" s="3"/>
    </row>
    <row r="9965" spans="1:34" ht="14.25" customHeight="1" x14ac:dyDescent="0.25">
      <c r="A9965" s="3"/>
      <c r="B9965" s="3"/>
      <c r="C9965" s="3"/>
      <c r="D9965" s="3"/>
      <c r="E9965" s="3"/>
      <c r="F9965" s="3"/>
      <c r="G9965" s="3"/>
      <c r="H9965" s="11"/>
      <c r="I9965" s="12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  <c r="AA9965" s="3"/>
      <c r="AB9965" s="3"/>
      <c r="AC9965" s="3"/>
      <c r="AD9965" s="3"/>
      <c r="AE9965" s="3"/>
      <c r="AF9965" s="3"/>
      <c r="AG9965" s="3"/>
      <c r="AH9965" s="3"/>
    </row>
    <row r="9966" spans="1:34" ht="14.25" customHeight="1" x14ac:dyDescent="0.25">
      <c r="A9966" s="3"/>
      <c r="B9966" s="3"/>
      <c r="C9966" s="3"/>
      <c r="D9966" s="3"/>
      <c r="E9966" s="3"/>
      <c r="F9966" s="3"/>
      <c r="G9966" s="3"/>
      <c r="H9966" s="11"/>
      <c r="I9966" s="12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  <c r="AA9966" s="3"/>
      <c r="AB9966" s="3"/>
      <c r="AC9966" s="3"/>
      <c r="AD9966" s="3"/>
      <c r="AE9966" s="3"/>
      <c r="AF9966" s="3"/>
      <c r="AG9966" s="3"/>
      <c r="AH9966" s="3"/>
    </row>
    <row r="9967" spans="1:34" ht="14.25" customHeight="1" x14ac:dyDescent="0.25">
      <c r="A9967" s="3"/>
      <c r="B9967" s="3"/>
      <c r="C9967" s="3"/>
      <c r="D9967" s="3"/>
      <c r="E9967" s="3"/>
      <c r="F9967" s="3"/>
      <c r="G9967" s="3"/>
      <c r="H9967" s="11"/>
      <c r="I9967" s="12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  <c r="AA9967" s="3"/>
      <c r="AB9967" s="3"/>
      <c r="AC9967" s="3"/>
      <c r="AD9967" s="3"/>
      <c r="AE9967" s="3"/>
      <c r="AF9967" s="3"/>
      <c r="AG9967" s="3"/>
      <c r="AH9967" s="3"/>
    </row>
    <row r="9968" spans="1:34" ht="14.25" customHeight="1" x14ac:dyDescent="0.25">
      <c r="A9968" s="3"/>
      <c r="B9968" s="3"/>
      <c r="C9968" s="3"/>
      <c r="D9968" s="3"/>
      <c r="E9968" s="3"/>
      <c r="F9968" s="3"/>
      <c r="G9968" s="3"/>
      <c r="H9968" s="11"/>
      <c r="I9968" s="12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  <c r="AA9968" s="3"/>
      <c r="AB9968" s="3"/>
      <c r="AC9968" s="3"/>
      <c r="AD9968" s="3"/>
      <c r="AE9968" s="3"/>
      <c r="AF9968" s="3"/>
      <c r="AG9968" s="3"/>
      <c r="AH9968" s="3"/>
    </row>
    <row r="9969" spans="1:34" ht="14.25" customHeight="1" x14ac:dyDescent="0.25">
      <c r="A9969" s="3"/>
      <c r="B9969" s="3"/>
      <c r="C9969" s="3"/>
      <c r="D9969" s="3"/>
      <c r="E9969" s="3"/>
      <c r="F9969" s="3"/>
      <c r="G9969" s="3"/>
      <c r="H9969" s="11"/>
      <c r="I9969" s="12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  <c r="AA9969" s="3"/>
      <c r="AB9969" s="3"/>
      <c r="AC9969" s="3"/>
      <c r="AD9969" s="3"/>
      <c r="AE9969" s="3"/>
      <c r="AF9969" s="3"/>
      <c r="AG9969" s="3"/>
      <c r="AH9969" s="3"/>
    </row>
    <row r="9970" spans="1:34" ht="14.25" customHeight="1" x14ac:dyDescent="0.25">
      <c r="A9970" s="3"/>
      <c r="B9970" s="3"/>
      <c r="C9970" s="3"/>
      <c r="D9970" s="3"/>
      <c r="E9970" s="3"/>
      <c r="F9970" s="3"/>
      <c r="G9970" s="3"/>
      <c r="H9970" s="11"/>
      <c r="I9970" s="12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  <c r="AA9970" s="3"/>
      <c r="AB9970" s="3"/>
      <c r="AC9970" s="3"/>
      <c r="AD9970" s="3"/>
      <c r="AE9970" s="3"/>
      <c r="AF9970" s="3"/>
      <c r="AG9970" s="3"/>
      <c r="AH9970" s="3"/>
    </row>
    <row r="9971" spans="1:34" ht="14.25" customHeight="1" x14ac:dyDescent="0.25">
      <c r="A9971" s="3"/>
      <c r="B9971" s="3"/>
      <c r="C9971" s="3"/>
      <c r="D9971" s="3"/>
      <c r="E9971" s="3"/>
      <c r="F9971" s="3"/>
      <c r="G9971" s="3"/>
      <c r="H9971" s="11"/>
      <c r="I9971" s="12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  <c r="AA9971" s="3"/>
      <c r="AB9971" s="3"/>
      <c r="AC9971" s="3"/>
      <c r="AD9971" s="3"/>
      <c r="AE9971" s="3"/>
      <c r="AF9971" s="3"/>
      <c r="AG9971" s="3"/>
      <c r="AH9971" s="3"/>
    </row>
    <row r="9972" spans="1:34" ht="14.25" customHeight="1" x14ac:dyDescent="0.25">
      <c r="A9972" s="3"/>
      <c r="B9972" s="3"/>
      <c r="C9972" s="3"/>
      <c r="D9972" s="3"/>
      <c r="E9972" s="3"/>
      <c r="F9972" s="3"/>
      <c r="G9972" s="3"/>
      <c r="H9972" s="11"/>
      <c r="I9972" s="12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  <c r="AA9972" s="3"/>
      <c r="AB9972" s="3"/>
      <c r="AC9972" s="3"/>
      <c r="AD9972" s="3"/>
      <c r="AE9972" s="3"/>
      <c r="AF9972" s="3"/>
      <c r="AG9972" s="3"/>
      <c r="AH9972" s="3"/>
    </row>
    <row r="9973" spans="1:34" ht="14.25" customHeight="1" x14ac:dyDescent="0.25">
      <c r="A9973" s="3"/>
      <c r="B9973" s="3"/>
      <c r="C9973" s="3"/>
      <c r="D9973" s="3"/>
      <c r="E9973" s="3"/>
      <c r="F9973" s="3"/>
      <c r="G9973" s="3"/>
      <c r="H9973" s="11"/>
      <c r="I9973" s="12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  <c r="AA9973" s="3"/>
      <c r="AB9973" s="3"/>
      <c r="AC9973" s="3"/>
      <c r="AD9973" s="3"/>
      <c r="AE9973" s="3"/>
      <c r="AF9973" s="3"/>
      <c r="AG9973" s="3"/>
      <c r="AH9973" s="3"/>
    </row>
    <row r="9974" spans="1:34" ht="14.25" customHeight="1" x14ac:dyDescent="0.25">
      <c r="A9974" s="3"/>
      <c r="B9974" s="3"/>
      <c r="C9974" s="3"/>
      <c r="D9974" s="3"/>
      <c r="E9974" s="3"/>
      <c r="F9974" s="3"/>
      <c r="G9974" s="3"/>
      <c r="H9974" s="11"/>
      <c r="I9974" s="12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  <c r="AA9974" s="3"/>
      <c r="AB9974" s="3"/>
      <c r="AC9974" s="3"/>
      <c r="AD9974" s="3"/>
      <c r="AE9974" s="3"/>
      <c r="AF9974" s="3"/>
      <c r="AG9974" s="3"/>
      <c r="AH9974" s="3"/>
    </row>
    <row r="9975" spans="1:34" ht="14.25" customHeight="1" x14ac:dyDescent="0.25">
      <c r="A9975" s="3"/>
      <c r="B9975" s="3"/>
      <c r="C9975" s="3"/>
      <c r="D9975" s="3"/>
      <c r="E9975" s="3"/>
      <c r="F9975" s="3"/>
      <c r="G9975" s="3"/>
      <c r="H9975" s="11"/>
      <c r="I9975" s="12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  <c r="AA9975" s="3"/>
      <c r="AB9975" s="3"/>
      <c r="AC9975" s="3"/>
      <c r="AD9975" s="3"/>
      <c r="AE9975" s="3"/>
      <c r="AF9975" s="3"/>
      <c r="AG9975" s="3"/>
      <c r="AH9975" s="3"/>
    </row>
    <row r="9976" spans="1:34" ht="14.25" customHeight="1" x14ac:dyDescent="0.25">
      <c r="A9976" s="3"/>
      <c r="B9976" s="3"/>
      <c r="C9976" s="3"/>
      <c r="D9976" s="3"/>
      <c r="E9976" s="3"/>
      <c r="F9976" s="3"/>
      <c r="G9976" s="3"/>
      <c r="H9976" s="11"/>
      <c r="I9976" s="12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  <c r="AA9976" s="3"/>
      <c r="AB9976" s="3"/>
      <c r="AC9976" s="3"/>
      <c r="AD9976" s="3"/>
      <c r="AE9976" s="3"/>
      <c r="AF9976" s="3"/>
      <c r="AG9976" s="3"/>
      <c r="AH9976" s="3"/>
    </row>
    <row r="9977" spans="1:34" ht="14.25" customHeight="1" x14ac:dyDescent="0.25">
      <c r="A9977" s="3"/>
      <c r="B9977" s="3"/>
      <c r="C9977" s="3"/>
      <c r="D9977" s="3"/>
      <c r="E9977" s="3"/>
      <c r="F9977" s="3"/>
      <c r="G9977" s="3"/>
      <c r="H9977" s="11"/>
      <c r="I9977" s="12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  <c r="AA9977" s="3"/>
      <c r="AB9977" s="3"/>
      <c r="AC9977" s="3"/>
      <c r="AD9977" s="3"/>
      <c r="AE9977" s="3"/>
      <c r="AF9977" s="3"/>
      <c r="AG9977" s="3"/>
      <c r="AH9977" s="3"/>
    </row>
    <row r="9978" spans="1:34" ht="14.25" customHeight="1" x14ac:dyDescent="0.25">
      <c r="A9978" s="3"/>
      <c r="B9978" s="3"/>
      <c r="C9978" s="3"/>
      <c r="D9978" s="3"/>
      <c r="E9978" s="3"/>
      <c r="F9978" s="3"/>
      <c r="G9978" s="3"/>
      <c r="H9978" s="11"/>
      <c r="I9978" s="12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  <c r="AA9978" s="3"/>
      <c r="AB9978" s="3"/>
      <c r="AC9978" s="3"/>
      <c r="AD9978" s="3"/>
      <c r="AE9978" s="3"/>
      <c r="AF9978" s="3"/>
      <c r="AG9978" s="3"/>
      <c r="AH9978" s="3"/>
    </row>
    <row r="9979" spans="1:34" ht="14.25" customHeight="1" x14ac:dyDescent="0.25">
      <c r="A9979" s="3"/>
      <c r="B9979" s="3"/>
      <c r="C9979" s="3"/>
      <c r="D9979" s="3"/>
      <c r="E9979" s="3"/>
      <c r="F9979" s="3"/>
      <c r="G9979" s="3"/>
      <c r="H9979" s="11"/>
      <c r="I9979" s="12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  <c r="AA9979" s="3"/>
      <c r="AB9979" s="3"/>
      <c r="AC9979" s="3"/>
      <c r="AD9979" s="3"/>
      <c r="AE9979" s="3"/>
      <c r="AF9979" s="3"/>
      <c r="AG9979" s="3"/>
      <c r="AH9979" s="3"/>
    </row>
    <row r="9980" spans="1:34" ht="14.25" customHeight="1" x14ac:dyDescent="0.25">
      <c r="A9980" s="3"/>
      <c r="B9980" s="3"/>
      <c r="C9980" s="3"/>
      <c r="D9980" s="3"/>
      <c r="E9980" s="3"/>
      <c r="F9980" s="3"/>
      <c r="G9980" s="3"/>
      <c r="H9980" s="11"/>
      <c r="I9980" s="12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  <c r="AA9980" s="3"/>
      <c r="AB9980" s="3"/>
      <c r="AC9980" s="3"/>
      <c r="AD9980" s="3"/>
      <c r="AE9980" s="3"/>
      <c r="AF9980" s="3"/>
      <c r="AG9980" s="3"/>
      <c r="AH9980" s="3"/>
    </row>
    <row r="9981" spans="1:34" ht="14.25" customHeight="1" x14ac:dyDescent="0.25">
      <c r="A9981" s="3"/>
      <c r="B9981" s="3"/>
      <c r="C9981" s="3"/>
      <c r="D9981" s="3"/>
      <c r="E9981" s="3"/>
      <c r="F9981" s="3"/>
      <c r="G9981" s="3"/>
      <c r="H9981" s="11"/>
      <c r="I9981" s="12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  <c r="AA9981" s="3"/>
      <c r="AB9981" s="3"/>
      <c r="AC9981" s="3"/>
      <c r="AD9981" s="3"/>
      <c r="AE9981" s="3"/>
      <c r="AF9981" s="3"/>
      <c r="AG9981" s="3"/>
      <c r="AH9981" s="3"/>
    </row>
    <row r="9982" spans="1:34" ht="14.25" customHeight="1" x14ac:dyDescent="0.25">
      <c r="A9982" s="3"/>
      <c r="B9982" s="3"/>
      <c r="C9982" s="3"/>
      <c r="D9982" s="3"/>
      <c r="E9982" s="3"/>
      <c r="F9982" s="3"/>
      <c r="G9982" s="3"/>
      <c r="H9982" s="11"/>
      <c r="I9982" s="12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  <c r="AA9982" s="3"/>
      <c r="AB9982" s="3"/>
      <c r="AC9982" s="3"/>
      <c r="AD9982" s="3"/>
      <c r="AE9982" s="3"/>
      <c r="AF9982" s="3"/>
      <c r="AG9982" s="3"/>
      <c r="AH9982" s="3"/>
    </row>
    <row r="9983" spans="1:34" ht="14.25" customHeight="1" x14ac:dyDescent="0.25">
      <c r="A9983" s="3"/>
      <c r="B9983" s="3"/>
      <c r="C9983" s="3"/>
      <c r="D9983" s="3"/>
      <c r="E9983" s="3"/>
      <c r="F9983" s="3"/>
      <c r="G9983" s="3"/>
      <c r="H9983" s="11"/>
      <c r="I9983" s="12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  <c r="AA9983" s="3"/>
      <c r="AB9983" s="3"/>
      <c r="AC9983" s="3"/>
      <c r="AD9983" s="3"/>
      <c r="AE9983" s="3"/>
      <c r="AF9983" s="3"/>
      <c r="AG9983" s="3"/>
      <c r="AH9983" s="3"/>
    </row>
    <row r="9984" spans="1:34" ht="14.25" customHeight="1" x14ac:dyDescent="0.25">
      <c r="A9984" s="3"/>
      <c r="B9984" s="3"/>
      <c r="C9984" s="3"/>
      <c r="D9984" s="3"/>
      <c r="E9984" s="3"/>
      <c r="F9984" s="3"/>
      <c r="G9984" s="3"/>
      <c r="H9984" s="11"/>
      <c r="I9984" s="12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  <c r="AA9984" s="3"/>
      <c r="AB9984" s="3"/>
      <c r="AC9984" s="3"/>
      <c r="AD9984" s="3"/>
      <c r="AE9984" s="3"/>
      <c r="AF9984" s="3"/>
      <c r="AG9984" s="3"/>
      <c r="AH9984" s="3"/>
    </row>
    <row r="9985" spans="1:34" ht="14.25" customHeight="1" x14ac:dyDescent="0.25">
      <c r="A9985" s="3"/>
      <c r="B9985" s="3"/>
      <c r="C9985" s="3"/>
      <c r="D9985" s="3"/>
      <c r="E9985" s="3"/>
      <c r="F9985" s="3"/>
      <c r="G9985" s="3"/>
      <c r="H9985" s="11"/>
      <c r="I9985" s="12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  <c r="AA9985" s="3"/>
      <c r="AB9985" s="3"/>
      <c r="AC9985" s="3"/>
      <c r="AD9985" s="3"/>
      <c r="AE9985" s="3"/>
      <c r="AF9985" s="3"/>
      <c r="AG9985" s="3"/>
      <c r="AH9985" s="3"/>
    </row>
    <row r="9986" spans="1:34" ht="14.25" customHeight="1" x14ac:dyDescent="0.25">
      <c r="A9986" s="3"/>
      <c r="B9986" s="3"/>
      <c r="C9986" s="3"/>
      <c r="D9986" s="3"/>
      <c r="E9986" s="3"/>
      <c r="F9986" s="3"/>
      <c r="G9986" s="3"/>
      <c r="H9986" s="11"/>
      <c r="I9986" s="12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  <c r="AA9986" s="3"/>
      <c r="AB9986" s="3"/>
      <c r="AC9986" s="3"/>
      <c r="AD9986" s="3"/>
      <c r="AE9986" s="3"/>
      <c r="AF9986" s="3"/>
      <c r="AG9986" s="3"/>
      <c r="AH9986" s="3"/>
    </row>
    <row r="9987" spans="1:34" ht="14.25" customHeight="1" x14ac:dyDescent="0.25">
      <c r="A9987" s="3"/>
      <c r="B9987" s="3"/>
      <c r="C9987" s="3"/>
      <c r="D9987" s="3"/>
      <c r="E9987" s="3"/>
      <c r="F9987" s="3"/>
      <c r="G9987" s="3"/>
      <c r="H9987" s="11"/>
      <c r="I9987" s="12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  <c r="AA9987" s="3"/>
      <c r="AB9987" s="3"/>
      <c r="AC9987" s="3"/>
      <c r="AD9987" s="3"/>
      <c r="AE9987" s="3"/>
      <c r="AF9987" s="3"/>
      <c r="AG9987" s="3"/>
      <c r="AH9987" s="3"/>
    </row>
    <row r="9988" spans="1:34" ht="14.25" customHeight="1" x14ac:dyDescent="0.25">
      <c r="A9988" s="3"/>
      <c r="B9988" s="3"/>
      <c r="C9988" s="3"/>
      <c r="D9988" s="3"/>
      <c r="E9988" s="3"/>
      <c r="F9988" s="3"/>
      <c r="G9988" s="3"/>
      <c r="H9988" s="11"/>
      <c r="I9988" s="12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  <c r="AA9988" s="3"/>
      <c r="AB9988" s="3"/>
      <c r="AC9988" s="3"/>
      <c r="AD9988" s="3"/>
      <c r="AE9988" s="3"/>
      <c r="AF9988" s="3"/>
      <c r="AG9988" s="3"/>
      <c r="AH9988" s="3"/>
    </row>
    <row r="9989" spans="1:34" ht="14.25" customHeight="1" x14ac:dyDescent="0.25">
      <c r="A9989" s="3"/>
      <c r="B9989" s="3"/>
      <c r="C9989" s="3"/>
      <c r="D9989" s="3"/>
      <c r="E9989" s="3"/>
      <c r="F9989" s="3"/>
      <c r="G9989" s="3"/>
      <c r="H9989" s="11"/>
      <c r="I9989" s="12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  <c r="AA9989" s="3"/>
      <c r="AB9989" s="3"/>
      <c r="AC9989" s="3"/>
      <c r="AD9989" s="3"/>
      <c r="AE9989" s="3"/>
      <c r="AF9989" s="3"/>
      <c r="AG9989" s="3"/>
      <c r="AH9989" s="3"/>
    </row>
    <row r="9990" spans="1:34" ht="14.25" customHeight="1" x14ac:dyDescent="0.25">
      <c r="A9990" s="3"/>
      <c r="B9990" s="3"/>
      <c r="C9990" s="3"/>
      <c r="D9990" s="3"/>
      <c r="E9990" s="3"/>
      <c r="F9990" s="3"/>
      <c r="G9990" s="3"/>
      <c r="H9990" s="11"/>
      <c r="I9990" s="12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  <c r="AA9990" s="3"/>
      <c r="AB9990" s="3"/>
      <c r="AC9990" s="3"/>
      <c r="AD9990" s="3"/>
      <c r="AE9990" s="3"/>
      <c r="AF9990" s="3"/>
      <c r="AG9990" s="3"/>
      <c r="AH9990" s="3"/>
    </row>
    <row r="9991" spans="1:34" ht="14.25" customHeight="1" x14ac:dyDescent="0.25">
      <c r="A9991" s="3"/>
      <c r="B9991" s="3"/>
      <c r="C9991" s="3"/>
      <c r="D9991" s="3"/>
      <c r="E9991" s="3"/>
      <c r="F9991" s="3"/>
      <c r="G9991" s="3"/>
      <c r="H9991" s="11"/>
      <c r="I9991" s="12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  <c r="AA9991" s="3"/>
      <c r="AB9991" s="3"/>
      <c r="AC9991" s="3"/>
      <c r="AD9991" s="3"/>
      <c r="AE9991" s="3"/>
      <c r="AF9991" s="3"/>
      <c r="AG9991" s="3"/>
      <c r="AH9991" s="3"/>
    </row>
    <row r="9992" spans="1:34" ht="14.25" customHeight="1" x14ac:dyDescent="0.25">
      <c r="A9992" s="3"/>
      <c r="B9992" s="3"/>
      <c r="C9992" s="3"/>
      <c r="D9992" s="3"/>
      <c r="E9992" s="3"/>
      <c r="F9992" s="3"/>
      <c r="G9992" s="3"/>
      <c r="H9992" s="11"/>
      <c r="I9992" s="12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  <c r="AA9992" s="3"/>
      <c r="AB9992" s="3"/>
      <c r="AC9992" s="3"/>
      <c r="AD9992" s="3"/>
      <c r="AE9992" s="3"/>
      <c r="AF9992" s="3"/>
      <c r="AG9992" s="3"/>
      <c r="AH9992" s="3"/>
    </row>
    <row r="9993" spans="1:34" ht="14.25" customHeight="1" x14ac:dyDescent="0.25">
      <c r="A9993" s="3"/>
      <c r="B9993" s="3"/>
      <c r="C9993" s="3"/>
      <c r="D9993" s="3"/>
      <c r="E9993" s="3"/>
      <c r="F9993" s="3"/>
      <c r="G9993" s="3"/>
      <c r="H9993" s="11"/>
      <c r="I9993" s="12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  <c r="AA9993" s="3"/>
      <c r="AB9993" s="3"/>
      <c r="AC9993" s="3"/>
      <c r="AD9993" s="3"/>
      <c r="AE9993" s="3"/>
      <c r="AF9993" s="3"/>
      <c r="AG9993" s="3"/>
      <c r="AH9993" s="3"/>
    </row>
    <row r="9994" spans="1:34" ht="14.25" customHeight="1" x14ac:dyDescent="0.25">
      <c r="A9994" s="3"/>
      <c r="B9994" s="3"/>
      <c r="C9994" s="3"/>
      <c r="D9994" s="3"/>
      <c r="E9994" s="3"/>
      <c r="F9994" s="3"/>
      <c r="G9994" s="3"/>
      <c r="H9994" s="11"/>
      <c r="I9994" s="12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  <c r="AA9994" s="3"/>
      <c r="AB9994" s="3"/>
      <c r="AC9994" s="3"/>
      <c r="AD9994" s="3"/>
      <c r="AE9994" s="3"/>
      <c r="AF9994" s="3"/>
      <c r="AG9994" s="3"/>
      <c r="AH9994" s="3"/>
    </row>
    <row r="9995" spans="1:34" ht="14.25" customHeight="1" x14ac:dyDescent="0.25">
      <c r="A9995" s="3"/>
      <c r="B9995" s="3"/>
      <c r="C9995" s="3"/>
      <c r="D9995" s="3"/>
      <c r="E9995" s="3"/>
      <c r="F9995" s="3"/>
      <c r="G9995" s="3"/>
      <c r="H9995" s="11"/>
      <c r="I9995" s="12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  <c r="AA9995" s="3"/>
      <c r="AB9995" s="3"/>
      <c r="AC9995" s="3"/>
      <c r="AD9995" s="3"/>
      <c r="AE9995" s="3"/>
      <c r="AF9995" s="3"/>
      <c r="AG9995" s="3"/>
      <c r="AH9995" s="3"/>
    </row>
    <row r="9996" spans="1:34" ht="14.25" customHeight="1" x14ac:dyDescent="0.25">
      <c r="A9996" s="3"/>
      <c r="B9996" s="3"/>
      <c r="C9996" s="3"/>
      <c r="D9996" s="3"/>
      <c r="E9996" s="3"/>
      <c r="F9996" s="3"/>
      <c r="G9996" s="3"/>
      <c r="H9996" s="11"/>
      <c r="I9996" s="12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  <c r="AA9996" s="3"/>
      <c r="AB9996" s="3"/>
      <c r="AC9996" s="3"/>
      <c r="AD9996" s="3"/>
      <c r="AE9996" s="3"/>
      <c r="AF9996" s="3"/>
      <c r="AG9996" s="3"/>
      <c r="AH9996" s="3"/>
    </row>
    <row r="9997" spans="1:34" ht="14.25" customHeight="1" x14ac:dyDescent="0.25">
      <c r="A9997" s="3"/>
      <c r="B9997" s="3"/>
      <c r="C9997" s="3"/>
      <c r="D9997" s="3"/>
      <c r="E9997" s="3"/>
      <c r="F9997" s="3"/>
      <c r="G9997" s="3"/>
      <c r="H9997" s="11"/>
      <c r="I9997" s="12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  <c r="AA9997" s="3"/>
      <c r="AB9997" s="3"/>
      <c r="AC9997" s="3"/>
      <c r="AD9997" s="3"/>
      <c r="AE9997" s="3"/>
      <c r="AF9997" s="3"/>
      <c r="AG9997" s="3"/>
      <c r="AH9997" s="3"/>
    </row>
    <row r="9998" spans="1:34" ht="14.25" customHeight="1" x14ac:dyDescent="0.25">
      <c r="A9998" s="3"/>
      <c r="B9998" s="3"/>
      <c r="C9998" s="3"/>
      <c r="D9998" s="3"/>
      <c r="E9998" s="3"/>
      <c r="F9998" s="3"/>
      <c r="G9998" s="3"/>
      <c r="H9998" s="11"/>
      <c r="I9998" s="12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  <c r="AA9998" s="3"/>
      <c r="AB9998" s="3"/>
      <c r="AC9998" s="3"/>
      <c r="AD9998" s="3"/>
      <c r="AE9998" s="3"/>
      <c r="AF9998" s="3"/>
      <c r="AG9998" s="3"/>
      <c r="AH9998" s="3"/>
    </row>
    <row r="9999" spans="1:34" ht="14.25" customHeight="1" x14ac:dyDescent="0.25">
      <c r="A9999" s="3"/>
      <c r="B9999" s="3"/>
      <c r="C9999" s="3"/>
      <c r="D9999" s="3"/>
      <c r="E9999" s="3"/>
      <c r="F9999" s="3"/>
      <c r="G9999" s="3"/>
      <c r="H9999" s="11"/>
      <c r="I9999" s="12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  <c r="AA9999" s="3"/>
      <c r="AB9999" s="3"/>
      <c r="AC9999" s="3"/>
      <c r="AD9999" s="3"/>
      <c r="AE9999" s="3"/>
      <c r="AF9999" s="3"/>
      <c r="AG9999" s="3"/>
      <c r="AH9999" s="3"/>
    </row>
    <row r="10000" spans="1:34" ht="14.25" customHeight="1" x14ac:dyDescent="0.25">
      <c r="A10000" s="3"/>
      <c r="B10000" s="3"/>
      <c r="C10000" s="3"/>
      <c r="D10000" s="3"/>
      <c r="E10000" s="3"/>
      <c r="F10000" s="3"/>
      <c r="G10000" s="3"/>
      <c r="H10000" s="11"/>
      <c r="I10000" s="12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  <c r="AA10000" s="3"/>
      <c r="AB10000" s="3"/>
      <c r="AC10000" s="3"/>
      <c r="AD10000" s="3"/>
      <c r="AE10000" s="3"/>
      <c r="AF10000" s="3"/>
      <c r="AG10000" s="3"/>
      <c r="AH10000" s="3"/>
    </row>
    <row r="10001" spans="1:34" ht="14.25" customHeight="1" x14ac:dyDescent="0.25">
      <c r="A10001" s="3"/>
      <c r="B10001" s="3"/>
      <c r="C10001" s="3"/>
      <c r="D10001" s="3"/>
      <c r="E10001" s="3"/>
      <c r="F10001" s="3"/>
      <c r="G10001" s="3"/>
      <c r="H10001" s="11"/>
      <c r="I10001" s="12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  <c r="AA10001" s="3"/>
      <c r="AB10001" s="3"/>
      <c r="AC10001" s="3"/>
      <c r="AD10001" s="3"/>
      <c r="AE10001" s="3"/>
      <c r="AF10001" s="3"/>
      <c r="AG10001" s="3"/>
      <c r="AH10001" s="3"/>
    </row>
    <row r="10002" spans="1:34" ht="14.25" customHeight="1" x14ac:dyDescent="0.25">
      <c r="A10002" s="3"/>
      <c r="B10002" s="3"/>
      <c r="C10002" s="3"/>
      <c r="D10002" s="3"/>
      <c r="E10002" s="3"/>
      <c r="F10002" s="3"/>
      <c r="G10002" s="3"/>
      <c r="H10002" s="11"/>
      <c r="I10002" s="12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  <c r="AA10002" s="3"/>
      <c r="AB10002" s="3"/>
      <c r="AC10002" s="3"/>
      <c r="AD10002" s="3"/>
      <c r="AE10002" s="3"/>
      <c r="AF10002" s="3"/>
      <c r="AG10002" s="3"/>
      <c r="AH10002" s="3"/>
    </row>
    <row r="10003" spans="1:34" ht="14.25" customHeight="1" x14ac:dyDescent="0.25">
      <c r="A10003" s="3"/>
      <c r="B10003" s="3"/>
      <c r="C10003" s="3"/>
      <c r="D10003" s="3"/>
      <c r="E10003" s="3"/>
      <c r="F10003" s="3"/>
      <c r="G10003" s="3"/>
      <c r="H10003" s="11"/>
      <c r="I10003" s="12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  <c r="AA10003" s="3"/>
      <c r="AB10003" s="3"/>
      <c r="AC10003" s="3"/>
      <c r="AD10003" s="3"/>
      <c r="AE10003" s="3"/>
      <c r="AF10003" s="3"/>
      <c r="AG10003" s="3"/>
      <c r="AH10003" s="3"/>
    </row>
    <row r="10004" spans="1:34" ht="14.25" customHeight="1" x14ac:dyDescent="0.25">
      <c r="A10004" s="3"/>
      <c r="B10004" s="3"/>
      <c r="C10004" s="3"/>
      <c r="D10004" s="3"/>
      <c r="E10004" s="3"/>
      <c r="F10004" s="3"/>
      <c r="G10004" s="3"/>
      <c r="H10004" s="11"/>
      <c r="I10004" s="12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  <c r="AA10004" s="3"/>
      <c r="AB10004" s="3"/>
      <c r="AC10004" s="3"/>
      <c r="AD10004" s="3"/>
      <c r="AE10004" s="3"/>
      <c r="AF10004" s="3"/>
      <c r="AG10004" s="3"/>
      <c r="AH10004" s="3"/>
    </row>
    <row r="10005" spans="1:34" ht="14.25" customHeight="1" x14ac:dyDescent="0.25">
      <c r="A10005" s="3"/>
      <c r="B10005" s="3"/>
      <c r="C10005" s="3"/>
      <c r="D10005" s="3"/>
      <c r="E10005" s="3"/>
      <c r="F10005" s="3"/>
      <c r="G10005" s="3"/>
      <c r="H10005" s="11"/>
      <c r="I10005" s="12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  <c r="AA10005" s="3"/>
      <c r="AB10005" s="3"/>
      <c r="AC10005" s="3"/>
      <c r="AD10005" s="3"/>
      <c r="AE10005" s="3"/>
      <c r="AF10005" s="3"/>
      <c r="AG10005" s="3"/>
      <c r="AH10005" s="3"/>
    </row>
    <row r="10006" spans="1:34" ht="14.25" customHeight="1" x14ac:dyDescent="0.25">
      <c r="A10006" s="3"/>
      <c r="B10006" s="3"/>
      <c r="C10006" s="3"/>
      <c r="D10006" s="3"/>
      <c r="E10006" s="3"/>
      <c r="F10006" s="3"/>
      <c r="G10006" s="3"/>
      <c r="H10006" s="11"/>
      <c r="I10006" s="12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  <c r="AA10006" s="3"/>
      <c r="AB10006" s="3"/>
      <c r="AC10006" s="3"/>
      <c r="AD10006" s="3"/>
      <c r="AE10006" s="3"/>
      <c r="AF10006" s="3"/>
      <c r="AG10006" s="3"/>
      <c r="AH10006" s="3"/>
    </row>
    <row r="10007" spans="1:34" ht="14.25" customHeight="1" x14ac:dyDescent="0.25">
      <c r="A10007" s="3"/>
      <c r="B10007" s="3"/>
      <c r="C10007" s="3"/>
      <c r="D10007" s="3"/>
      <c r="E10007" s="3"/>
      <c r="F10007" s="3"/>
      <c r="G10007" s="3"/>
      <c r="H10007" s="11"/>
      <c r="I10007" s="12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  <c r="AA10007" s="3"/>
      <c r="AB10007" s="3"/>
      <c r="AC10007" s="3"/>
      <c r="AD10007" s="3"/>
      <c r="AE10007" s="3"/>
      <c r="AF10007" s="3"/>
      <c r="AG10007" s="3"/>
      <c r="AH10007" s="3"/>
    </row>
    <row r="10008" spans="1:34" ht="14.25" customHeight="1" x14ac:dyDescent="0.25">
      <c r="A10008" s="3"/>
      <c r="B10008" s="3"/>
      <c r="C10008" s="3"/>
      <c r="D10008" s="3"/>
      <c r="E10008" s="3"/>
      <c r="F10008" s="3"/>
      <c r="G10008" s="3"/>
      <c r="H10008" s="11"/>
      <c r="I10008" s="12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  <c r="AA10008" s="3"/>
      <c r="AB10008" s="3"/>
      <c r="AC10008" s="3"/>
      <c r="AD10008" s="3"/>
      <c r="AE10008" s="3"/>
      <c r="AF10008" s="3"/>
      <c r="AG10008" s="3"/>
      <c r="AH10008" s="3"/>
    </row>
    <row r="10009" spans="1:34" ht="14.25" customHeight="1" x14ac:dyDescent="0.25">
      <c r="A10009" s="3"/>
      <c r="B10009" s="3"/>
      <c r="C10009" s="3"/>
      <c r="D10009" s="3"/>
      <c r="E10009" s="3"/>
      <c r="F10009" s="3"/>
      <c r="G10009" s="3"/>
      <c r="H10009" s="11"/>
      <c r="I10009" s="12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  <c r="AA10009" s="3"/>
      <c r="AB10009" s="3"/>
      <c r="AC10009" s="3"/>
      <c r="AD10009" s="3"/>
      <c r="AE10009" s="3"/>
      <c r="AF10009" s="3"/>
      <c r="AG10009" s="3"/>
      <c r="AH10009" s="3"/>
    </row>
    <row r="10010" spans="1:34" ht="14.25" customHeight="1" x14ac:dyDescent="0.25">
      <c r="A10010" s="3"/>
      <c r="B10010" s="3"/>
      <c r="C10010" s="3"/>
      <c r="D10010" s="3"/>
      <c r="E10010" s="3"/>
      <c r="F10010" s="3"/>
      <c r="G10010" s="3"/>
      <c r="H10010" s="11"/>
      <c r="I10010" s="12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  <c r="AA10010" s="3"/>
      <c r="AB10010" s="3"/>
      <c r="AC10010" s="3"/>
      <c r="AD10010" s="3"/>
      <c r="AE10010" s="3"/>
      <c r="AF10010" s="3"/>
      <c r="AG10010" s="3"/>
      <c r="AH10010" s="3"/>
    </row>
    <row r="10011" spans="1:34" ht="14.25" customHeight="1" x14ac:dyDescent="0.25">
      <c r="A10011" s="3"/>
      <c r="B10011" s="3"/>
      <c r="C10011" s="3"/>
      <c r="D10011" s="3"/>
      <c r="E10011" s="3"/>
      <c r="F10011" s="3"/>
      <c r="G10011" s="3"/>
      <c r="H10011" s="11"/>
      <c r="I10011" s="12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  <c r="AA10011" s="3"/>
      <c r="AB10011" s="3"/>
      <c r="AC10011" s="3"/>
      <c r="AD10011" s="3"/>
      <c r="AE10011" s="3"/>
      <c r="AF10011" s="3"/>
      <c r="AG10011" s="3"/>
      <c r="AH10011" s="3"/>
    </row>
    <row r="10012" spans="1:34" ht="14.25" customHeight="1" x14ac:dyDescent="0.25">
      <c r="A10012" s="3"/>
      <c r="B10012" s="3"/>
      <c r="C10012" s="3"/>
      <c r="D10012" s="3"/>
      <c r="E10012" s="3"/>
      <c r="F10012" s="3"/>
      <c r="G10012" s="3"/>
      <c r="H10012" s="11"/>
      <c r="I10012" s="12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  <c r="AA10012" s="3"/>
      <c r="AB10012" s="3"/>
      <c r="AC10012" s="3"/>
      <c r="AD10012" s="3"/>
      <c r="AE10012" s="3"/>
      <c r="AF10012" s="3"/>
      <c r="AG10012" s="3"/>
      <c r="AH10012" s="3"/>
    </row>
    <row r="10013" spans="1:34" ht="14.25" customHeight="1" x14ac:dyDescent="0.25">
      <c r="A10013" s="3"/>
      <c r="B10013" s="3"/>
      <c r="C10013" s="3"/>
      <c r="D10013" s="3"/>
      <c r="E10013" s="3"/>
      <c r="F10013" s="3"/>
      <c r="G10013" s="3"/>
      <c r="H10013" s="11"/>
      <c r="I10013" s="12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  <c r="AA10013" s="3"/>
      <c r="AB10013" s="3"/>
      <c r="AC10013" s="3"/>
      <c r="AD10013" s="3"/>
      <c r="AE10013" s="3"/>
      <c r="AF10013" s="3"/>
      <c r="AG10013" s="3"/>
      <c r="AH10013" s="3"/>
    </row>
    <row r="10014" spans="1:34" ht="14.25" customHeight="1" x14ac:dyDescent="0.25">
      <c r="A10014" s="3"/>
      <c r="B10014" s="3"/>
      <c r="C10014" s="3"/>
      <c r="D10014" s="3"/>
      <c r="E10014" s="3"/>
      <c r="F10014" s="3"/>
      <c r="G10014" s="3"/>
      <c r="H10014" s="11"/>
      <c r="I10014" s="12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  <c r="AA10014" s="3"/>
      <c r="AB10014" s="3"/>
      <c r="AC10014" s="3"/>
      <c r="AD10014" s="3"/>
      <c r="AE10014" s="3"/>
      <c r="AF10014" s="3"/>
      <c r="AG10014" s="3"/>
      <c r="AH10014" s="3"/>
    </row>
    <row r="10015" spans="1:34" ht="14.25" customHeight="1" x14ac:dyDescent="0.25">
      <c r="A10015" s="3"/>
      <c r="B10015" s="3"/>
      <c r="C10015" s="3"/>
      <c r="D10015" s="3"/>
      <c r="E10015" s="3"/>
      <c r="F10015" s="3"/>
      <c r="G10015" s="3"/>
      <c r="H10015" s="11"/>
      <c r="I10015" s="12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  <c r="AA10015" s="3"/>
      <c r="AB10015" s="3"/>
      <c r="AC10015" s="3"/>
      <c r="AD10015" s="3"/>
      <c r="AE10015" s="3"/>
      <c r="AF10015" s="3"/>
      <c r="AG10015" s="3"/>
      <c r="AH10015" s="3"/>
    </row>
    <row r="10016" spans="1:34" ht="14.25" customHeight="1" x14ac:dyDescent="0.25">
      <c r="A10016" s="3"/>
      <c r="B10016" s="3"/>
      <c r="C10016" s="3"/>
      <c r="D10016" s="3"/>
      <c r="E10016" s="3"/>
      <c r="F10016" s="3"/>
      <c r="G10016" s="3"/>
      <c r="H10016" s="11"/>
      <c r="I10016" s="12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  <c r="AA10016" s="3"/>
      <c r="AB10016" s="3"/>
      <c r="AC10016" s="3"/>
      <c r="AD10016" s="3"/>
      <c r="AE10016" s="3"/>
      <c r="AF10016" s="3"/>
      <c r="AG10016" s="3"/>
      <c r="AH10016" s="3"/>
    </row>
    <row r="10017" spans="1:34" ht="14.25" customHeight="1" x14ac:dyDescent="0.25">
      <c r="A10017" s="3"/>
      <c r="B10017" s="3"/>
      <c r="C10017" s="3"/>
      <c r="D10017" s="3"/>
      <c r="E10017" s="3"/>
      <c r="F10017" s="3"/>
      <c r="G10017" s="3"/>
      <c r="H10017" s="11"/>
      <c r="I10017" s="12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  <c r="AA10017" s="3"/>
      <c r="AB10017" s="3"/>
      <c r="AC10017" s="3"/>
      <c r="AD10017" s="3"/>
      <c r="AE10017" s="3"/>
      <c r="AF10017" s="3"/>
      <c r="AG10017" s="3"/>
      <c r="AH10017" s="3"/>
    </row>
    <row r="10018" spans="1:34" ht="14.25" customHeight="1" x14ac:dyDescent="0.25">
      <c r="A10018" s="3"/>
      <c r="B10018" s="3"/>
      <c r="C10018" s="3"/>
      <c r="D10018" s="3"/>
      <c r="E10018" s="3"/>
      <c r="F10018" s="3"/>
      <c r="G10018" s="3"/>
      <c r="H10018" s="11"/>
      <c r="I10018" s="12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  <c r="AA10018" s="3"/>
      <c r="AB10018" s="3"/>
      <c r="AC10018" s="3"/>
      <c r="AD10018" s="3"/>
      <c r="AE10018" s="3"/>
      <c r="AF10018" s="3"/>
      <c r="AG10018" s="3"/>
      <c r="AH10018" s="3"/>
    </row>
    <row r="10019" spans="1:34" ht="14.25" customHeight="1" x14ac:dyDescent="0.25">
      <c r="A10019" s="3"/>
      <c r="B10019" s="3"/>
      <c r="C10019" s="3"/>
      <c r="D10019" s="3"/>
      <c r="E10019" s="3"/>
      <c r="F10019" s="3"/>
      <c r="G10019" s="3"/>
      <c r="H10019" s="11"/>
      <c r="I10019" s="12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  <c r="AA10019" s="3"/>
      <c r="AB10019" s="3"/>
      <c r="AC10019" s="3"/>
      <c r="AD10019" s="3"/>
      <c r="AE10019" s="3"/>
      <c r="AF10019" s="3"/>
      <c r="AG10019" s="3"/>
      <c r="AH10019" s="3"/>
    </row>
    <row r="10020" spans="1:34" ht="14.25" customHeight="1" x14ac:dyDescent="0.25">
      <c r="A10020" s="3"/>
      <c r="B10020" s="3"/>
      <c r="C10020" s="3"/>
      <c r="D10020" s="3"/>
      <c r="E10020" s="3"/>
      <c r="F10020" s="3"/>
      <c r="G10020" s="3"/>
      <c r="H10020" s="11"/>
      <c r="I10020" s="12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  <c r="AA10020" s="3"/>
      <c r="AB10020" s="3"/>
      <c r="AC10020" s="3"/>
      <c r="AD10020" s="3"/>
      <c r="AE10020" s="3"/>
      <c r="AF10020" s="3"/>
      <c r="AG10020" s="3"/>
      <c r="AH10020" s="3"/>
    </row>
    <row r="10021" spans="1:34" ht="14.25" customHeight="1" x14ac:dyDescent="0.25">
      <c r="A10021" s="3"/>
      <c r="B10021" s="3"/>
      <c r="C10021" s="3"/>
      <c r="D10021" s="3"/>
      <c r="E10021" s="3"/>
      <c r="F10021" s="3"/>
      <c r="G10021" s="3"/>
      <c r="H10021" s="11"/>
      <c r="I10021" s="12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  <c r="AA10021" s="3"/>
      <c r="AB10021" s="3"/>
      <c r="AC10021" s="3"/>
      <c r="AD10021" s="3"/>
      <c r="AE10021" s="3"/>
      <c r="AF10021" s="3"/>
      <c r="AG10021" s="3"/>
      <c r="AH10021" s="3"/>
    </row>
    <row r="10022" spans="1:34" ht="14.25" customHeight="1" x14ac:dyDescent="0.25">
      <c r="A10022" s="3"/>
      <c r="B10022" s="3"/>
      <c r="C10022" s="3"/>
      <c r="D10022" s="3"/>
      <c r="E10022" s="3"/>
      <c r="F10022" s="3"/>
      <c r="G10022" s="3"/>
      <c r="H10022" s="11"/>
      <c r="I10022" s="12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  <c r="AA10022" s="3"/>
      <c r="AB10022" s="3"/>
      <c r="AC10022" s="3"/>
      <c r="AD10022" s="3"/>
      <c r="AE10022" s="3"/>
      <c r="AF10022" s="3"/>
      <c r="AG10022" s="3"/>
      <c r="AH10022" s="3"/>
    </row>
    <row r="10023" spans="1:34" ht="14.25" customHeight="1" x14ac:dyDescent="0.25">
      <c r="A10023" s="3"/>
      <c r="B10023" s="3"/>
      <c r="C10023" s="3"/>
      <c r="D10023" s="3"/>
      <c r="E10023" s="3"/>
      <c r="F10023" s="3"/>
      <c r="G10023" s="3"/>
      <c r="H10023" s="11"/>
      <c r="I10023" s="12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  <c r="AA10023" s="3"/>
      <c r="AB10023" s="3"/>
      <c r="AC10023" s="3"/>
      <c r="AD10023" s="3"/>
      <c r="AE10023" s="3"/>
      <c r="AF10023" s="3"/>
      <c r="AG10023" s="3"/>
      <c r="AH10023" s="3"/>
    </row>
    <row r="10024" spans="1:34" ht="14.25" customHeight="1" x14ac:dyDescent="0.25">
      <c r="A10024" s="3"/>
      <c r="B10024" s="3"/>
      <c r="C10024" s="3"/>
      <c r="D10024" s="3"/>
      <c r="E10024" s="3"/>
      <c r="F10024" s="3"/>
      <c r="G10024" s="3"/>
      <c r="H10024" s="11"/>
      <c r="I10024" s="12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  <c r="AA10024" s="3"/>
      <c r="AB10024" s="3"/>
      <c r="AC10024" s="3"/>
      <c r="AD10024" s="3"/>
      <c r="AE10024" s="3"/>
      <c r="AF10024" s="3"/>
      <c r="AG10024" s="3"/>
      <c r="AH10024" s="3"/>
    </row>
    <row r="10025" spans="1:34" ht="14.25" customHeight="1" x14ac:dyDescent="0.25">
      <c r="A10025" s="3"/>
      <c r="B10025" s="3"/>
      <c r="C10025" s="3"/>
      <c r="D10025" s="3"/>
      <c r="E10025" s="3"/>
      <c r="F10025" s="3"/>
      <c r="G10025" s="3"/>
      <c r="H10025" s="11"/>
      <c r="I10025" s="12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  <c r="AA10025" s="3"/>
      <c r="AB10025" s="3"/>
      <c r="AC10025" s="3"/>
      <c r="AD10025" s="3"/>
      <c r="AE10025" s="3"/>
      <c r="AF10025" s="3"/>
      <c r="AG10025" s="3"/>
      <c r="AH10025" s="3"/>
    </row>
    <row r="10026" spans="1:34" ht="14.25" customHeight="1" x14ac:dyDescent="0.25">
      <c r="A10026" s="3"/>
      <c r="B10026" s="3"/>
      <c r="C10026" s="3"/>
      <c r="D10026" s="3"/>
      <c r="E10026" s="3"/>
      <c r="F10026" s="3"/>
      <c r="G10026" s="3"/>
      <c r="H10026" s="11"/>
      <c r="I10026" s="12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  <c r="AA10026" s="3"/>
      <c r="AB10026" s="3"/>
      <c r="AC10026" s="3"/>
      <c r="AD10026" s="3"/>
      <c r="AE10026" s="3"/>
      <c r="AF10026" s="3"/>
      <c r="AG10026" s="3"/>
      <c r="AH10026" s="3"/>
    </row>
    <row r="10027" spans="1:34" ht="14.25" customHeight="1" x14ac:dyDescent="0.25">
      <c r="A10027" s="3"/>
      <c r="B10027" s="3"/>
      <c r="C10027" s="3"/>
      <c r="D10027" s="3"/>
      <c r="E10027" s="3"/>
      <c r="F10027" s="3"/>
      <c r="G10027" s="3"/>
      <c r="H10027" s="11"/>
      <c r="I10027" s="12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  <c r="AA10027" s="3"/>
      <c r="AB10027" s="3"/>
      <c r="AC10027" s="3"/>
      <c r="AD10027" s="3"/>
      <c r="AE10027" s="3"/>
      <c r="AF10027" s="3"/>
      <c r="AG10027" s="3"/>
      <c r="AH10027" s="3"/>
    </row>
    <row r="10028" spans="1:34" ht="14.25" customHeight="1" x14ac:dyDescent="0.25">
      <c r="A10028" s="3"/>
      <c r="B10028" s="3"/>
      <c r="C10028" s="3"/>
      <c r="D10028" s="3"/>
      <c r="E10028" s="3"/>
      <c r="F10028" s="3"/>
      <c r="G10028" s="3"/>
      <c r="H10028" s="11"/>
      <c r="I10028" s="12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  <c r="AA10028" s="3"/>
      <c r="AB10028" s="3"/>
      <c r="AC10028" s="3"/>
      <c r="AD10028" s="3"/>
      <c r="AE10028" s="3"/>
      <c r="AF10028" s="3"/>
      <c r="AG10028" s="3"/>
      <c r="AH10028" s="3"/>
    </row>
    <row r="10029" spans="1:34" ht="14.25" customHeight="1" x14ac:dyDescent="0.25">
      <c r="A10029" s="3"/>
      <c r="B10029" s="3"/>
      <c r="C10029" s="3"/>
      <c r="D10029" s="3"/>
      <c r="E10029" s="3"/>
      <c r="F10029" s="3"/>
      <c r="G10029" s="3"/>
      <c r="H10029" s="11"/>
      <c r="I10029" s="12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  <c r="AA10029" s="3"/>
      <c r="AB10029" s="3"/>
      <c r="AC10029" s="3"/>
      <c r="AD10029" s="3"/>
      <c r="AE10029" s="3"/>
      <c r="AF10029" s="3"/>
      <c r="AG10029" s="3"/>
      <c r="AH10029" s="3"/>
    </row>
    <row r="10030" spans="1:34" ht="14.25" customHeight="1" x14ac:dyDescent="0.25">
      <c r="A10030" s="3"/>
      <c r="B10030" s="3"/>
      <c r="C10030" s="3"/>
      <c r="D10030" s="3"/>
      <c r="E10030" s="3"/>
      <c r="F10030" s="3"/>
      <c r="G10030" s="3"/>
      <c r="H10030" s="11"/>
      <c r="I10030" s="12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  <c r="AA10030" s="3"/>
      <c r="AB10030" s="3"/>
      <c r="AC10030" s="3"/>
      <c r="AD10030" s="3"/>
      <c r="AE10030" s="3"/>
      <c r="AF10030" s="3"/>
      <c r="AG10030" s="3"/>
      <c r="AH10030" s="3"/>
    </row>
    <row r="10031" spans="1:34" ht="14.25" customHeight="1" x14ac:dyDescent="0.25">
      <c r="A10031" s="3"/>
      <c r="B10031" s="3"/>
      <c r="C10031" s="3"/>
      <c r="D10031" s="3"/>
      <c r="E10031" s="3"/>
      <c r="F10031" s="3"/>
      <c r="G10031" s="3"/>
      <c r="H10031" s="11"/>
      <c r="I10031" s="12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  <c r="AA10031" s="3"/>
      <c r="AB10031" s="3"/>
      <c r="AC10031" s="3"/>
      <c r="AD10031" s="3"/>
      <c r="AE10031" s="3"/>
      <c r="AF10031" s="3"/>
      <c r="AG10031" s="3"/>
      <c r="AH10031" s="3"/>
    </row>
    <row r="10032" spans="1:34" ht="14.25" customHeight="1" x14ac:dyDescent="0.25">
      <c r="A10032" s="3"/>
      <c r="B10032" s="3"/>
      <c r="C10032" s="3"/>
      <c r="D10032" s="3"/>
      <c r="E10032" s="3"/>
      <c r="F10032" s="3"/>
      <c r="G10032" s="3"/>
      <c r="H10032" s="11"/>
      <c r="I10032" s="12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  <c r="AA10032" s="3"/>
      <c r="AB10032" s="3"/>
      <c r="AC10032" s="3"/>
      <c r="AD10032" s="3"/>
      <c r="AE10032" s="3"/>
      <c r="AF10032" s="3"/>
      <c r="AG10032" s="3"/>
      <c r="AH10032" s="3"/>
    </row>
    <row r="10033" spans="1:34" ht="14.25" customHeight="1" x14ac:dyDescent="0.25">
      <c r="A10033" s="3"/>
      <c r="B10033" s="3"/>
      <c r="C10033" s="3"/>
      <c r="D10033" s="3"/>
      <c r="E10033" s="3"/>
      <c r="F10033" s="3"/>
      <c r="G10033" s="3"/>
      <c r="H10033" s="11"/>
      <c r="I10033" s="12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  <c r="AA10033" s="3"/>
      <c r="AB10033" s="3"/>
      <c r="AC10033" s="3"/>
      <c r="AD10033" s="3"/>
      <c r="AE10033" s="3"/>
      <c r="AF10033" s="3"/>
      <c r="AG10033" s="3"/>
      <c r="AH10033" s="3"/>
    </row>
    <row r="10034" spans="1:34" ht="14.25" customHeight="1" x14ac:dyDescent="0.25">
      <c r="A10034" s="3"/>
      <c r="B10034" s="3"/>
      <c r="C10034" s="3"/>
      <c r="D10034" s="3"/>
      <c r="E10034" s="3"/>
      <c r="F10034" s="3"/>
      <c r="G10034" s="3"/>
      <c r="H10034" s="11"/>
      <c r="I10034" s="12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  <c r="AA10034" s="3"/>
      <c r="AB10034" s="3"/>
      <c r="AC10034" s="3"/>
      <c r="AD10034" s="3"/>
      <c r="AE10034" s="3"/>
      <c r="AF10034" s="3"/>
      <c r="AG10034" s="3"/>
      <c r="AH10034" s="3"/>
    </row>
    <row r="10035" spans="1:34" ht="14.25" customHeight="1" x14ac:dyDescent="0.25">
      <c r="A10035" s="3"/>
      <c r="B10035" s="3"/>
      <c r="C10035" s="3"/>
      <c r="D10035" s="3"/>
      <c r="E10035" s="3"/>
      <c r="F10035" s="3"/>
      <c r="G10035" s="3"/>
      <c r="H10035" s="11"/>
      <c r="I10035" s="12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  <c r="AA10035" s="3"/>
      <c r="AB10035" s="3"/>
      <c r="AC10035" s="3"/>
      <c r="AD10035" s="3"/>
      <c r="AE10035" s="3"/>
      <c r="AF10035" s="3"/>
      <c r="AG10035" s="3"/>
      <c r="AH10035" s="3"/>
    </row>
    <row r="10036" spans="1:34" ht="14.25" customHeight="1" x14ac:dyDescent="0.25">
      <c r="A10036" s="3"/>
      <c r="B10036" s="3"/>
      <c r="C10036" s="3"/>
      <c r="D10036" s="3"/>
      <c r="E10036" s="3"/>
      <c r="F10036" s="3"/>
      <c r="G10036" s="3"/>
      <c r="H10036" s="11"/>
      <c r="I10036" s="12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  <c r="AA10036" s="3"/>
      <c r="AB10036" s="3"/>
      <c r="AC10036" s="3"/>
      <c r="AD10036" s="3"/>
      <c r="AE10036" s="3"/>
      <c r="AF10036" s="3"/>
      <c r="AG10036" s="3"/>
      <c r="AH10036" s="3"/>
    </row>
    <row r="10037" spans="1:34" ht="14.25" customHeight="1" x14ac:dyDescent="0.25">
      <c r="A10037" s="3"/>
      <c r="B10037" s="3"/>
      <c r="C10037" s="3"/>
      <c r="D10037" s="3"/>
      <c r="E10037" s="3"/>
      <c r="F10037" s="3"/>
      <c r="G10037" s="3"/>
      <c r="H10037" s="11"/>
      <c r="I10037" s="12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  <c r="AA10037" s="3"/>
      <c r="AB10037" s="3"/>
      <c r="AC10037" s="3"/>
      <c r="AD10037" s="3"/>
      <c r="AE10037" s="3"/>
      <c r="AF10037" s="3"/>
      <c r="AG10037" s="3"/>
      <c r="AH10037" s="3"/>
    </row>
    <row r="10038" spans="1:34" ht="14.25" customHeight="1" x14ac:dyDescent="0.25">
      <c r="A10038" s="3"/>
      <c r="B10038" s="3"/>
      <c r="C10038" s="3"/>
      <c r="D10038" s="3"/>
      <c r="E10038" s="3"/>
      <c r="F10038" s="3"/>
      <c r="G10038" s="3"/>
      <c r="H10038" s="11"/>
      <c r="I10038" s="12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  <c r="AA10038" s="3"/>
      <c r="AB10038" s="3"/>
      <c r="AC10038" s="3"/>
      <c r="AD10038" s="3"/>
      <c r="AE10038" s="3"/>
      <c r="AF10038" s="3"/>
      <c r="AG10038" s="3"/>
      <c r="AH10038" s="3"/>
    </row>
    <row r="10039" spans="1:34" ht="14.25" customHeight="1" x14ac:dyDescent="0.25">
      <c r="A10039" s="3"/>
      <c r="B10039" s="3"/>
      <c r="C10039" s="3"/>
      <c r="D10039" s="3"/>
      <c r="E10039" s="3"/>
      <c r="F10039" s="3"/>
      <c r="G10039" s="3"/>
      <c r="H10039" s="11"/>
      <c r="I10039" s="12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  <c r="AA10039" s="3"/>
      <c r="AB10039" s="3"/>
      <c r="AC10039" s="3"/>
      <c r="AD10039" s="3"/>
      <c r="AE10039" s="3"/>
      <c r="AF10039" s="3"/>
      <c r="AG10039" s="3"/>
      <c r="AH10039" s="3"/>
    </row>
    <row r="10040" spans="1:34" ht="14.25" customHeight="1" x14ac:dyDescent="0.25">
      <c r="A10040" s="3"/>
      <c r="B10040" s="3"/>
      <c r="C10040" s="3"/>
      <c r="D10040" s="3"/>
      <c r="E10040" s="3"/>
      <c r="F10040" s="3"/>
      <c r="G10040" s="3"/>
      <c r="H10040" s="11"/>
      <c r="I10040" s="12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  <c r="AA10040" s="3"/>
      <c r="AB10040" s="3"/>
      <c r="AC10040" s="3"/>
      <c r="AD10040" s="3"/>
      <c r="AE10040" s="3"/>
      <c r="AF10040" s="3"/>
      <c r="AG10040" s="3"/>
      <c r="AH10040" s="3"/>
    </row>
    <row r="10041" spans="1:34" ht="14.25" customHeight="1" x14ac:dyDescent="0.25">
      <c r="A10041" s="3"/>
      <c r="B10041" s="3"/>
      <c r="C10041" s="3"/>
      <c r="D10041" s="3"/>
      <c r="E10041" s="3"/>
      <c r="F10041" s="3"/>
      <c r="G10041" s="3"/>
      <c r="H10041" s="11"/>
      <c r="I10041" s="12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  <c r="AA10041" s="3"/>
      <c r="AB10041" s="3"/>
      <c r="AC10041" s="3"/>
      <c r="AD10041" s="3"/>
      <c r="AE10041" s="3"/>
      <c r="AF10041" s="3"/>
      <c r="AG10041" s="3"/>
      <c r="AH10041" s="3"/>
    </row>
    <row r="10042" spans="1:34" ht="14.25" customHeight="1" x14ac:dyDescent="0.25">
      <c r="A10042" s="3"/>
      <c r="B10042" s="3"/>
      <c r="C10042" s="3"/>
      <c r="D10042" s="3"/>
      <c r="E10042" s="3"/>
      <c r="F10042" s="3"/>
      <c r="G10042" s="3"/>
      <c r="H10042" s="11"/>
      <c r="I10042" s="12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  <c r="AA10042" s="3"/>
      <c r="AB10042" s="3"/>
      <c r="AC10042" s="3"/>
      <c r="AD10042" s="3"/>
      <c r="AE10042" s="3"/>
      <c r="AF10042" s="3"/>
      <c r="AG10042" s="3"/>
      <c r="AH10042" s="3"/>
    </row>
    <row r="10043" spans="1:34" ht="14.25" customHeight="1" x14ac:dyDescent="0.25">
      <c r="A10043" s="3"/>
      <c r="B10043" s="3"/>
      <c r="C10043" s="3"/>
      <c r="D10043" s="3"/>
      <c r="E10043" s="3"/>
      <c r="F10043" s="3"/>
      <c r="G10043" s="3"/>
      <c r="H10043" s="11"/>
      <c r="I10043" s="12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  <c r="AA10043" s="3"/>
      <c r="AB10043" s="3"/>
      <c r="AC10043" s="3"/>
      <c r="AD10043" s="3"/>
      <c r="AE10043" s="3"/>
      <c r="AF10043" s="3"/>
      <c r="AG10043" s="3"/>
      <c r="AH10043" s="3"/>
    </row>
    <row r="10044" spans="1:34" ht="14.25" customHeight="1" x14ac:dyDescent="0.25">
      <c r="A10044" s="3"/>
      <c r="B10044" s="3"/>
      <c r="C10044" s="3"/>
      <c r="D10044" s="3"/>
      <c r="E10044" s="3"/>
      <c r="F10044" s="3"/>
      <c r="G10044" s="3"/>
      <c r="H10044" s="11"/>
      <c r="I10044" s="12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  <c r="AA10044" s="3"/>
      <c r="AB10044" s="3"/>
      <c r="AC10044" s="3"/>
      <c r="AD10044" s="3"/>
      <c r="AE10044" s="3"/>
      <c r="AF10044" s="3"/>
      <c r="AG10044" s="3"/>
      <c r="AH10044" s="3"/>
    </row>
    <row r="10045" spans="1:34" ht="14.25" customHeight="1" x14ac:dyDescent="0.25">
      <c r="A10045" s="3"/>
      <c r="B10045" s="3"/>
      <c r="C10045" s="3"/>
      <c r="D10045" s="3"/>
      <c r="E10045" s="3"/>
      <c r="F10045" s="3"/>
      <c r="G10045" s="3"/>
      <c r="H10045" s="11"/>
      <c r="I10045" s="12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  <c r="AA10045" s="3"/>
      <c r="AB10045" s="3"/>
      <c r="AC10045" s="3"/>
      <c r="AD10045" s="3"/>
      <c r="AE10045" s="3"/>
      <c r="AF10045" s="3"/>
      <c r="AG10045" s="3"/>
      <c r="AH10045" s="3"/>
    </row>
    <row r="10046" spans="1:34" ht="14.25" customHeight="1" x14ac:dyDescent="0.25">
      <c r="A10046" s="3"/>
      <c r="B10046" s="3"/>
      <c r="C10046" s="3"/>
      <c r="D10046" s="3"/>
      <c r="E10046" s="3"/>
      <c r="F10046" s="3"/>
      <c r="G10046" s="3"/>
      <c r="H10046" s="11"/>
      <c r="I10046" s="12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  <c r="AA10046" s="3"/>
      <c r="AB10046" s="3"/>
      <c r="AC10046" s="3"/>
      <c r="AD10046" s="3"/>
      <c r="AE10046" s="3"/>
      <c r="AF10046" s="3"/>
      <c r="AG10046" s="3"/>
      <c r="AH10046" s="3"/>
    </row>
    <row r="10047" spans="1:34" ht="14.25" customHeight="1" x14ac:dyDescent="0.25">
      <c r="A10047" s="3"/>
      <c r="B10047" s="3"/>
      <c r="C10047" s="3"/>
      <c r="D10047" s="3"/>
      <c r="E10047" s="3"/>
      <c r="F10047" s="3"/>
      <c r="G10047" s="3"/>
      <c r="H10047" s="11"/>
      <c r="I10047" s="12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  <c r="AA10047" s="3"/>
      <c r="AB10047" s="3"/>
      <c r="AC10047" s="3"/>
      <c r="AD10047" s="3"/>
      <c r="AE10047" s="3"/>
      <c r="AF10047" s="3"/>
      <c r="AG10047" s="3"/>
      <c r="AH10047" s="3"/>
    </row>
    <row r="10048" spans="1:34" ht="14.25" customHeight="1" x14ac:dyDescent="0.25">
      <c r="A10048" s="3"/>
      <c r="B10048" s="3"/>
      <c r="C10048" s="3"/>
      <c r="D10048" s="3"/>
      <c r="E10048" s="3"/>
      <c r="F10048" s="3"/>
      <c r="G10048" s="3"/>
      <c r="H10048" s="11"/>
      <c r="I10048" s="12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  <c r="AA10048" s="3"/>
      <c r="AB10048" s="3"/>
      <c r="AC10048" s="3"/>
      <c r="AD10048" s="3"/>
      <c r="AE10048" s="3"/>
      <c r="AF10048" s="3"/>
      <c r="AG10048" s="3"/>
      <c r="AH10048" s="3"/>
    </row>
    <row r="10049" spans="1:34" ht="14.25" customHeight="1" x14ac:dyDescent="0.25">
      <c r="A10049" s="3"/>
      <c r="B10049" s="3"/>
      <c r="C10049" s="3"/>
      <c r="D10049" s="3"/>
      <c r="E10049" s="3"/>
      <c r="F10049" s="3"/>
      <c r="G10049" s="3"/>
      <c r="H10049" s="11"/>
      <c r="I10049" s="12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  <c r="AA10049" s="3"/>
      <c r="AB10049" s="3"/>
      <c r="AC10049" s="3"/>
      <c r="AD10049" s="3"/>
      <c r="AE10049" s="3"/>
      <c r="AF10049" s="3"/>
      <c r="AG10049" s="3"/>
      <c r="AH10049" s="3"/>
    </row>
    <row r="10050" spans="1:34" ht="14.25" customHeight="1" x14ac:dyDescent="0.25">
      <c r="A10050" s="3"/>
      <c r="B10050" s="3"/>
      <c r="C10050" s="3"/>
      <c r="D10050" s="3"/>
      <c r="E10050" s="3"/>
      <c r="F10050" s="3"/>
      <c r="G10050" s="3"/>
      <c r="H10050" s="11"/>
      <c r="I10050" s="12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  <c r="AA10050" s="3"/>
      <c r="AB10050" s="3"/>
      <c r="AC10050" s="3"/>
      <c r="AD10050" s="3"/>
      <c r="AE10050" s="3"/>
      <c r="AF10050" s="3"/>
      <c r="AG10050" s="3"/>
      <c r="AH10050" s="3"/>
    </row>
    <row r="10051" spans="1:34" ht="14.25" customHeight="1" x14ac:dyDescent="0.25">
      <c r="A10051" s="3"/>
      <c r="B10051" s="3"/>
      <c r="C10051" s="3"/>
      <c r="D10051" s="3"/>
      <c r="E10051" s="3"/>
      <c r="F10051" s="3"/>
      <c r="G10051" s="3"/>
      <c r="H10051" s="11"/>
      <c r="I10051" s="12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  <c r="AA10051" s="3"/>
      <c r="AB10051" s="3"/>
      <c r="AC10051" s="3"/>
      <c r="AD10051" s="3"/>
      <c r="AE10051" s="3"/>
      <c r="AF10051" s="3"/>
      <c r="AG10051" s="3"/>
      <c r="AH10051" s="3"/>
    </row>
    <row r="10052" spans="1:34" ht="14.25" customHeight="1" x14ac:dyDescent="0.25">
      <c r="A10052" s="3"/>
      <c r="B10052" s="3"/>
      <c r="C10052" s="3"/>
      <c r="D10052" s="3"/>
      <c r="E10052" s="3"/>
      <c r="F10052" s="3"/>
      <c r="G10052" s="3"/>
      <c r="H10052" s="11"/>
      <c r="I10052" s="12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  <c r="AA10052" s="3"/>
      <c r="AB10052" s="3"/>
      <c r="AC10052" s="3"/>
      <c r="AD10052" s="3"/>
      <c r="AE10052" s="3"/>
      <c r="AF10052" s="3"/>
      <c r="AG10052" s="3"/>
      <c r="AH10052" s="3"/>
    </row>
    <row r="10053" spans="1:34" ht="14.25" customHeight="1" x14ac:dyDescent="0.25">
      <c r="A10053" s="3"/>
      <c r="B10053" s="3"/>
      <c r="C10053" s="3"/>
      <c r="D10053" s="3"/>
      <c r="E10053" s="3"/>
      <c r="F10053" s="3"/>
      <c r="G10053" s="3"/>
      <c r="H10053" s="11"/>
      <c r="I10053" s="12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  <c r="AA10053" s="3"/>
      <c r="AB10053" s="3"/>
      <c r="AC10053" s="3"/>
      <c r="AD10053" s="3"/>
      <c r="AE10053" s="3"/>
      <c r="AF10053" s="3"/>
      <c r="AG10053" s="3"/>
      <c r="AH10053" s="3"/>
    </row>
    <row r="10054" spans="1:34" ht="14.25" customHeight="1" x14ac:dyDescent="0.25">
      <c r="A10054" s="3"/>
      <c r="B10054" s="3"/>
      <c r="C10054" s="3"/>
      <c r="D10054" s="3"/>
      <c r="E10054" s="3"/>
      <c r="F10054" s="3"/>
      <c r="G10054" s="3"/>
      <c r="H10054" s="11"/>
      <c r="I10054" s="12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  <c r="AA10054" s="3"/>
      <c r="AB10054" s="3"/>
      <c r="AC10054" s="3"/>
      <c r="AD10054" s="3"/>
      <c r="AE10054" s="3"/>
      <c r="AF10054" s="3"/>
      <c r="AG10054" s="3"/>
      <c r="AH10054" s="3"/>
    </row>
    <row r="10055" spans="1:34" ht="14.25" customHeight="1" x14ac:dyDescent="0.25">
      <c r="A10055" s="3"/>
      <c r="B10055" s="3"/>
      <c r="C10055" s="3"/>
      <c r="D10055" s="3"/>
      <c r="E10055" s="3"/>
      <c r="F10055" s="3"/>
      <c r="G10055" s="3"/>
      <c r="H10055" s="11"/>
      <c r="I10055" s="12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  <c r="AA10055" s="3"/>
      <c r="AB10055" s="3"/>
      <c r="AC10055" s="3"/>
      <c r="AD10055" s="3"/>
      <c r="AE10055" s="3"/>
      <c r="AF10055" s="3"/>
      <c r="AG10055" s="3"/>
      <c r="AH10055" s="3"/>
    </row>
    <row r="10056" spans="1:34" ht="14.25" customHeight="1" x14ac:dyDescent="0.25">
      <c r="A10056" s="3"/>
      <c r="B10056" s="3"/>
      <c r="C10056" s="3"/>
      <c r="D10056" s="3"/>
      <c r="E10056" s="3"/>
      <c r="F10056" s="3"/>
      <c r="G10056" s="3"/>
      <c r="H10056" s="11"/>
      <c r="I10056" s="12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  <c r="AA10056" s="3"/>
      <c r="AB10056" s="3"/>
      <c r="AC10056" s="3"/>
      <c r="AD10056" s="3"/>
      <c r="AE10056" s="3"/>
      <c r="AF10056" s="3"/>
      <c r="AG10056" s="3"/>
      <c r="AH10056" s="3"/>
    </row>
    <row r="10057" spans="1:34" ht="14.25" customHeight="1" x14ac:dyDescent="0.25">
      <c r="A10057" s="3"/>
      <c r="B10057" s="3"/>
      <c r="C10057" s="3"/>
      <c r="D10057" s="3"/>
      <c r="E10057" s="3"/>
      <c r="F10057" s="3"/>
      <c r="G10057" s="3"/>
      <c r="H10057" s="11"/>
      <c r="I10057" s="12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  <c r="AA10057" s="3"/>
      <c r="AB10057" s="3"/>
      <c r="AC10057" s="3"/>
      <c r="AD10057" s="3"/>
      <c r="AE10057" s="3"/>
      <c r="AF10057" s="3"/>
      <c r="AG10057" s="3"/>
      <c r="AH10057" s="3"/>
    </row>
    <row r="10058" spans="1:34" ht="14.25" customHeight="1" x14ac:dyDescent="0.25">
      <c r="A10058" s="3"/>
      <c r="B10058" s="3"/>
      <c r="C10058" s="3"/>
      <c r="D10058" s="3"/>
      <c r="E10058" s="3"/>
      <c r="F10058" s="3"/>
      <c r="G10058" s="3"/>
      <c r="H10058" s="11"/>
      <c r="I10058" s="12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  <c r="AA10058" s="3"/>
      <c r="AB10058" s="3"/>
      <c r="AC10058" s="3"/>
      <c r="AD10058" s="3"/>
      <c r="AE10058" s="3"/>
      <c r="AF10058" s="3"/>
      <c r="AG10058" s="3"/>
      <c r="AH10058" s="3"/>
    </row>
    <row r="10059" spans="1:34" ht="14.25" customHeight="1" x14ac:dyDescent="0.25">
      <c r="A10059" s="3"/>
      <c r="B10059" s="3"/>
      <c r="C10059" s="3"/>
      <c r="D10059" s="3"/>
      <c r="E10059" s="3"/>
      <c r="F10059" s="3"/>
      <c r="G10059" s="3"/>
      <c r="H10059" s="11"/>
      <c r="I10059" s="12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  <c r="AA10059" s="3"/>
      <c r="AB10059" s="3"/>
      <c r="AC10059" s="3"/>
      <c r="AD10059" s="3"/>
      <c r="AE10059" s="3"/>
      <c r="AF10059" s="3"/>
      <c r="AG10059" s="3"/>
      <c r="AH10059" s="3"/>
    </row>
    <row r="10060" spans="1:34" ht="14.25" customHeight="1" x14ac:dyDescent="0.25">
      <c r="A10060" s="3"/>
      <c r="B10060" s="3"/>
      <c r="C10060" s="3"/>
      <c r="D10060" s="3"/>
      <c r="E10060" s="3"/>
      <c r="F10060" s="3"/>
      <c r="G10060" s="3"/>
      <c r="H10060" s="11"/>
      <c r="I10060" s="12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  <c r="AA10060" s="3"/>
      <c r="AB10060" s="3"/>
      <c r="AC10060" s="3"/>
      <c r="AD10060" s="3"/>
      <c r="AE10060" s="3"/>
      <c r="AF10060" s="3"/>
      <c r="AG10060" s="3"/>
      <c r="AH10060" s="3"/>
    </row>
    <row r="10061" spans="1:34" ht="14.25" customHeight="1" x14ac:dyDescent="0.25">
      <c r="A10061" s="3"/>
      <c r="B10061" s="3"/>
      <c r="C10061" s="3"/>
      <c r="D10061" s="3"/>
      <c r="E10061" s="3"/>
      <c r="F10061" s="3"/>
      <c r="G10061" s="3"/>
      <c r="H10061" s="11"/>
      <c r="I10061" s="12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  <c r="AA10061" s="3"/>
      <c r="AB10061" s="3"/>
      <c r="AC10061" s="3"/>
      <c r="AD10061" s="3"/>
      <c r="AE10061" s="3"/>
      <c r="AF10061" s="3"/>
      <c r="AG10061" s="3"/>
      <c r="AH10061" s="3"/>
    </row>
    <row r="10062" spans="1:34" ht="14.25" customHeight="1" x14ac:dyDescent="0.25">
      <c r="A10062" s="3"/>
      <c r="B10062" s="3"/>
      <c r="C10062" s="3"/>
      <c r="D10062" s="3"/>
      <c r="E10062" s="3"/>
      <c r="F10062" s="3"/>
      <c r="G10062" s="3"/>
      <c r="H10062" s="11"/>
      <c r="I10062" s="12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  <c r="AA10062" s="3"/>
      <c r="AB10062" s="3"/>
      <c r="AC10062" s="3"/>
      <c r="AD10062" s="3"/>
      <c r="AE10062" s="3"/>
      <c r="AF10062" s="3"/>
      <c r="AG10062" s="3"/>
      <c r="AH10062" s="3"/>
    </row>
    <row r="10063" spans="1:34" ht="14.25" customHeight="1" x14ac:dyDescent="0.25">
      <c r="A10063" s="3"/>
      <c r="B10063" s="3"/>
      <c r="C10063" s="3"/>
      <c r="D10063" s="3"/>
      <c r="E10063" s="3"/>
      <c r="F10063" s="3"/>
      <c r="G10063" s="3"/>
      <c r="H10063" s="11"/>
      <c r="I10063" s="12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  <c r="AA10063" s="3"/>
      <c r="AB10063" s="3"/>
      <c r="AC10063" s="3"/>
      <c r="AD10063" s="3"/>
      <c r="AE10063" s="3"/>
      <c r="AF10063" s="3"/>
      <c r="AG10063" s="3"/>
      <c r="AH10063" s="3"/>
    </row>
    <row r="10064" spans="1:34" ht="14.25" customHeight="1" x14ac:dyDescent="0.25">
      <c r="A10064" s="3"/>
      <c r="B10064" s="3"/>
      <c r="C10064" s="3"/>
      <c r="D10064" s="3"/>
      <c r="E10064" s="3"/>
      <c r="F10064" s="3"/>
      <c r="G10064" s="3"/>
      <c r="H10064" s="11"/>
      <c r="I10064" s="12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  <c r="AA10064" s="3"/>
      <c r="AB10064" s="3"/>
      <c r="AC10064" s="3"/>
      <c r="AD10064" s="3"/>
      <c r="AE10064" s="3"/>
      <c r="AF10064" s="3"/>
      <c r="AG10064" s="3"/>
      <c r="AH10064" s="3"/>
    </row>
    <row r="10065" spans="1:34" ht="14.25" customHeight="1" x14ac:dyDescent="0.25">
      <c r="A10065" s="3"/>
      <c r="B10065" s="3"/>
      <c r="C10065" s="3"/>
      <c r="D10065" s="3"/>
      <c r="E10065" s="3"/>
      <c r="F10065" s="3"/>
      <c r="G10065" s="3"/>
      <c r="H10065" s="11"/>
      <c r="I10065" s="12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  <c r="AA10065" s="3"/>
      <c r="AB10065" s="3"/>
      <c r="AC10065" s="3"/>
      <c r="AD10065" s="3"/>
      <c r="AE10065" s="3"/>
      <c r="AF10065" s="3"/>
      <c r="AG10065" s="3"/>
      <c r="AH10065" s="3"/>
    </row>
    <row r="10066" spans="1:34" ht="14.25" customHeight="1" x14ac:dyDescent="0.25">
      <c r="A10066" s="3"/>
      <c r="B10066" s="3"/>
      <c r="C10066" s="3"/>
      <c r="D10066" s="3"/>
      <c r="E10066" s="3"/>
      <c r="F10066" s="3"/>
      <c r="G10066" s="3"/>
      <c r="H10066" s="11"/>
      <c r="I10066" s="12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  <c r="AA10066" s="3"/>
      <c r="AB10066" s="3"/>
      <c r="AC10066" s="3"/>
      <c r="AD10066" s="3"/>
      <c r="AE10066" s="3"/>
      <c r="AF10066" s="3"/>
      <c r="AG10066" s="3"/>
      <c r="AH10066" s="3"/>
    </row>
    <row r="10067" spans="1:34" ht="14.25" customHeight="1" x14ac:dyDescent="0.25">
      <c r="A10067" s="3"/>
      <c r="B10067" s="3"/>
      <c r="C10067" s="3"/>
      <c r="D10067" s="3"/>
      <c r="E10067" s="3"/>
      <c r="F10067" s="3"/>
      <c r="G10067" s="3"/>
      <c r="H10067" s="11"/>
      <c r="I10067" s="12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  <c r="AA10067" s="3"/>
      <c r="AB10067" s="3"/>
      <c r="AC10067" s="3"/>
      <c r="AD10067" s="3"/>
      <c r="AE10067" s="3"/>
      <c r="AF10067" s="3"/>
      <c r="AG10067" s="3"/>
      <c r="AH10067" s="3"/>
    </row>
    <row r="10068" spans="1:34" ht="14.25" customHeight="1" x14ac:dyDescent="0.25">
      <c r="A10068" s="3"/>
      <c r="B10068" s="3"/>
      <c r="C10068" s="3"/>
      <c r="D10068" s="3"/>
      <c r="E10068" s="3"/>
      <c r="F10068" s="3"/>
      <c r="G10068" s="3"/>
      <c r="H10068" s="11"/>
      <c r="I10068" s="12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  <c r="AA10068" s="3"/>
      <c r="AB10068" s="3"/>
      <c r="AC10068" s="3"/>
      <c r="AD10068" s="3"/>
      <c r="AE10068" s="3"/>
      <c r="AF10068" s="3"/>
      <c r="AG10068" s="3"/>
      <c r="AH10068" s="3"/>
    </row>
    <row r="10069" spans="1:34" ht="14.25" customHeight="1" x14ac:dyDescent="0.25">
      <c r="A10069" s="3"/>
      <c r="B10069" s="3"/>
      <c r="C10069" s="3"/>
      <c r="D10069" s="3"/>
      <c r="E10069" s="3"/>
      <c r="F10069" s="3"/>
      <c r="G10069" s="3"/>
      <c r="H10069" s="11"/>
      <c r="I10069" s="12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  <c r="AA10069" s="3"/>
      <c r="AB10069" s="3"/>
      <c r="AC10069" s="3"/>
      <c r="AD10069" s="3"/>
      <c r="AE10069" s="3"/>
      <c r="AF10069" s="3"/>
      <c r="AG10069" s="3"/>
      <c r="AH10069" s="3"/>
    </row>
    <row r="10070" spans="1:34" ht="14.25" customHeight="1" x14ac:dyDescent="0.25">
      <c r="A10070" s="3"/>
      <c r="B10070" s="3"/>
      <c r="C10070" s="3"/>
      <c r="D10070" s="3"/>
      <c r="E10070" s="3"/>
      <c r="F10070" s="3"/>
      <c r="G10070" s="3"/>
      <c r="H10070" s="11"/>
      <c r="I10070" s="12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  <c r="AA10070" s="3"/>
      <c r="AB10070" s="3"/>
      <c r="AC10070" s="3"/>
      <c r="AD10070" s="3"/>
      <c r="AE10070" s="3"/>
      <c r="AF10070" s="3"/>
      <c r="AG10070" s="3"/>
      <c r="AH10070" s="3"/>
    </row>
    <row r="10071" spans="1:34" ht="14.25" customHeight="1" x14ac:dyDescent="0.25">
      <c r="A10071" s="3"/>
      <c r="B10071" s="3"/>
      <c r="C10071" s="3"/>
      <c r="D10071" s="3"/>
      <c r="E10071" s="3"/>
      <c r="F10071" s="3"/>
      <c r="G10071" s="3"/>
      <c r="H10071" s="11"/>
      <c r="I10071" s="12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  <c r="AA10071" s="3"/>
      <c r="AB10071" s="3"/>
      <c r="AC10071" s="3"/>
      <c r="AD10071" s="3"/>
      <c r="AE10071" s="3"/>
      <c r="AF10071" s="3"/>
      <c r="AG10071" s="3"/>
      <c r="AH10071" s="3"/>
    </row>
    <row r="10072" spans="1:34" ht="14.25" customHeight="1" x14ac:dyDescent="0.25">
      <c r="A10072" s="3"/>
      <c r="B10072" s="3"/>
      <c r="C10072" s="3"/>
      <c r="D10072" s="3"/>
      <c r="E10072" s="3"/>
      <c r="F10072" s="3"/>
      <c r="G10072" s="3"/>
      <c r="H10072" s="11"/>
      <c r="I10072" s="12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  <c r="AA10072" s="3"/>
      <c r="AB10072" s="3"/>
      <c r="AC10072" s="3"/>
      <c r="AD10072" s="3"/>
      <c r="AE10072" s="3"/>
      <c r="AF10072" s="3"/>
      <c r="AG10072" s="3"/>
      <c r="AH10072" s="3"/>
    </row>
    <row r="10073" spans="1:34" ht="14.25" customHeight="1" x14ac:dyDescent="0.25">
      <c r="A10073" s="3"/>
      <c r="B10073" s="3"/>
      <c r="C10073" s="3"/>
      <c r="D10073" s="3"/>
      <c r="E10073" s="3"/>
      <c r="F10073" s="3"/>
      <c r="G10073" s="3"/>
      <c r="H10073" s="11"/>
      <c r="I10073" s="12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  <c r="AA10073" s="3"/>
      <c r="AB10073" s="3"/>
      <c r="AC10073" s="3"/>
      <c r="AD10073" s="3"/>
      <c r="AE10073" s="3"/>
      <c r="AF10073" s="3"/>
      <c r="AG10073" s="3"/>
      <c r="AH10073" s="3"/>
    </row>
    <row r="10074" spans="1:34" ht="14.25" customHeight="1" x14ac:dyDescent="0.25">
      <c r="A10074" s="3"/>
      <c r="B10074" s="3"/>
      <c r="C10074" s="3"/>
      <c r="D10074" s="3"/>
      <c r="E10074" s="3"/>
      <c r="F10074" s="3"/>
      <c r="G10074" s="3"/>
      <c r="H10074" s="11"/>
      <c r="I10074" s="12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  <c r="AA10074" s="3"/>
      <c r="AB10074" s="3"/>
      <c r="AC10074" s="3"/>
      <c r="AD10074" s="3"/>
      <c r="AE10074" s="3"/>
      <c r="AF10074" s="3"/>
      <c r="AG10074" s="3"/>
      <c r="AH10074" s="3"/>
    </row>
    <row r="10075" spans="1:34" ht="14.25" customHeight="1" x14ac:dyDescent="0.25">
      <c r="A10075" s="3"/>
      <c r="B10075" s="3"/>
      <c r="C10075" s="3"/>
      <c r="D10075" s="3"/>
      <c r="E10075" s="3"/>
      <c r="F10075" s="3"/>
      <c r="G10075" s="3"/>
      <c r="H10075" s="11"/>
      <c r="I10075" s="12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  <c r="AA10075" s="3"/>
      <c r="AB10075" s="3"/>
      <c r="AC10075" s="3"/>
      <c r="AD10075" s="3"/>
      <c r="AE10075" s="3"/>
      <c r="AF10075" s="3"/>
      <c r="AG10075" s="3"/>
      <c r="AH10075" s="3"/>
    </row>
    <row r="10076" spans="1:34" ht="14.25" customHeight="1" x14ac:dyDescent="0.25">
      <c r="A10076" s="3"/>
      <c r="B10076" s="3"/>
      <c r="C10076" s="3"/>
      <c r="D10076" s="3"/>
      <c r="E10076" s="3"/>
      <c r="F10076" s="3"/>
      <c r="G10076" s="3"/>
      <c r="H10076" s="11"/>
      <c r="I10076" s="12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  <c r="AA10076" s="3"/>
      <c r="AB10076" s="3"/>
      <c r="AC10076" s="3"/>
      <c r="AD10076" s="3"/>
      <c r="AE10076" s="3"/>
      <c r="AF10076" s="3"/>
      <c r="AG10076" s="3"/>
      <c r="AH10076" s="3"/>
    </row>
    <row r="10077" spans="1:34" ht="14.25" customHeight="1" x14ac:dyDescent="0.25">
      <c r="A10077" s="3"/>
      <c r="B10077" s="3"/>
      <c r="C10077" s="3"/>
      <c r="D10077" s="3"/>
      <c r="E10077" s="3"/>
      <c r="F10077" s="3"/>
      <c r="G10077" s="3"/>
      <c r="H10077" s="11"/>
      <c r="I10077" s="12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  <c r="AA10077" s="3"/>
      <c r="AB10077" s="3"/>
      <c r="AC10077" s="3"/>
      <c r="AD10077" s="3"/>
      <c r="AE10077" s="3"/>
      <c r="AF10077" s="3"/>
      <c r="AG10077" s="3"/>
      <c r="AH10077" s="3"/>
    </row>
    <row r="10078" spans="1:34" ht="14.25" customHeight="1" x14ac:dyDescent="0.25">
      <c r="A10078" s="3"/>
      <c r="B10078" s="3"/>
      <c r="C10078" s="3"/>
      <c r="D10078" s="3"/>
      <c r="E10078" s="3"/>
      <c r="F10078" s="3"/>
      <c r="G10078" s="3"/>
      <c r="H10078" s="11"/>
      <c r="I10078" s="12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  <c r="AA10078" s="3"/>
      <c r="AB10078" s="3"/>
      <c r="AC10078" s="3"/>
      <c r="AD10078" s="3"/>
      <c r="AE10078" s="3"/>
      <c r="AF10078" s="3"/>
      <c r="AG10078" s="3"/>
      <c r="AH10078" s="3"/>
    </row>
    <row r="10079" spans="1:34" ht="14.25" customHeight="1" x14ac:dyDescent="0.25">
      <c r="A10079" s="3"/>
      <c r="B10079" s="3"/>
      <c r="C10079" s="3"/>
      <c r="D10079" s="3"/>
      <c r="E10079" s="3"/>
      <c r="F10079" s="3"/>
      <c r="G10079" s="3"/>
      <c r="H10079" s="11"/>
      <c r="I10079" s="12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  <c r="AA10079" s="3"/>
      <c r="AB10079" s="3"/>
      <c r="AC10079" s="3"/>
      <c r="AD10079" s="3"/>
      <c r="AE10079" s="3"/>
      <c r="AF10079" s="3"/>
      <c r="AG10079" s="3"/>
      <c r="AH10079" s="3"/>
    </row>
    <row r="10080" spans="1:34" ht="14.25" customHeight="1" x14ac:dyDescent="0.25">
      <c r="A10080" s="3"/>
      <c r="B10080" s="3"/>
      <c r="C10080" s="3"/>
      <c r="D10080" s="3"/>
      <c r="E10080" s="3"/>
      <c r="F10080" s="3"/>
      <c r="G10080" s="3"/>
      <c r="H10080" s="11"/>
      <c r="I10080" s="12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  <c r="AA10080" s="3"/>
      <c r="AB10080" s="3"/>
      <c r="AC10080" s="3"/>
      <c r="AD10080" s="3"/>
      <c r="AE10080" s="3"/>
      <c r="AF10080" s="3"/>
      <c r="AG10080" s="3"/>
      <c r="AH10080" s="3"/>
    </row>
    <row r="10081" spans="1:34" ht="14.25" customHeight="1" x14ac:dyDescent="0.25">
      <c r="A10081" s="3"/>
      <c r="B10081" s="3"/>
      <c r="C10081" s="3"/>
      <c r="D10081" s="3"/>
      <c r="E10081" s="3"/>
      <c r="F10081" s="3"/>
      <c r="G10081" s="3"/>
      <c r="H10081" s="11"/>
      <c r="I10081" s="12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  <c r="AA10081" s="3"/>
      <c r="AB10081" s="3"/>
      <c r="AC10081" s="3"/>
      <c r="AD10081" s="3"/>
      <c r="AE10081" s="3"/>
      <c r="AF10081" s="3"/>
      <c r="AG10081" s="3"/>
      <c r="AH10081" s="3"/>
    </row>
    <row r="10082" spans="1:34" ht="14.25" customHeight="1" x14ac:dyDescent="0.25">
      <c r="A10082" s="3"/>
      <c r="B10082" s="3"/>
      <c r="C10082" s="3"/>
      <c r="D10082" s="3"/>
      <c r="E10082" s="3"/>
      <c r="F10082" s="3"/>
      <c r="G10082" s="3"/>
      <c r="H10082" s="11"/>
      <c r="I10082" s="12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  <c r="AA10082" s="3"/>
      <c r="AB10082" s="3"/>
      <c r="AC10082" s="3"/>
      <c r="AD10082" s="3"/>
      <c r="AE10082" s="3"/>
      <c r="AF10082" s="3"/>
      <c r="AG10082" s="3"/>
      <c r="AH10082" s="3"/>
    </row>
    <row r="10083" spans="1:34" ht="14.25" customHeight="1" x14ac:dyDescent="0.25">
      <c r="A10083" s="3"/>
      <c r="B10083" s="3"/>
      <c r="C10083" s="3"/>
      <c r="D10083" s="3"/>
      <c r="E10083" s="3"/>
      <c r="F10083" s="3"/>
      <c r="G10083" s="3"/>
      <c r="H10083" s="11"/>
      <c r="I10083" s="12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  <c r="AA10083" s="3"/>
      <c r="AB10083" s="3"/>
      <c r="AC10083" s="3"/>
      <c r="AD10083" s="3"/>
      <c r="AE10083" s="3"/>
      <c r="AF10083" s="3"/>
      <c r="AG10083" s="3"/>
      <c r="AH10083" s="3"/>
    </row>
    <row r="10084" spans="1:34" ht="14.25" customHeight="1" x14ac:dyDescent="0.25">
      <c r="A10084" s="3"/>
      <c r="B10084" s="3"/>
      <c r="C10084" s="3"/>
      <c r="D10084" s="3"/>
      <c r="E10084" s="3"/>
      <c r="F10084" s="3"/>
      <c r="G10084" s="3"/>
      <c r="H10084" s="11"/>
      <c r="I10084" s="12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  <c r="AA10084" s="3"/>
      <c r="AB10084" s="3"/>
      <c r="AC10084" s="3"/>
      <c r="AD10084" s="3"/>
      <c r="AE10084" s="3"/>
      <c r="AF10084" s="3"/>
      <c r="AG10084" s="3"/>
      <c r="AH10084" s="3"/>
    </row>
    <row r="10085" spans="1:34" ht="14.25" customHeight="1" x14ac:dyDescent="0.25">
      <c r="A10085" s="3"/>
      <c r="B10085" s="3"/>
      <c r="C10085" s="3"/>
      <c r="D10085" s="3"/>
      <c r="E10085" s="3"/>
      <c r="F10085" s="3"/>
      <c r="G10085" s="3"/>
      <c r="H10085" s="11"/>
      <c r="I10085" s="12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  <c r="AA10085" s="3"/>
      <c r="AB10085" s="3"/>
      <c r="AC10085" s="3"/>
      <c r="AD10085" s="3"/>
      <c r="AE10085" s="3"/>
      <c r="AF10085" s="3"/>
      <c r="AG10085" s="3"/>
      <c r="AH10085" s="3"/>
    </row>
    <row r="10086" spans="1:34" ht="14.25" customHeight="1" x14ac:dyDescent="0.25">
      <c r="A10086" s="3"/>
      <c r="B10086" s="3"/>
      <c r="C10086" s="3"/>
      <c r="D10086" s="3"/>
      <c r="E10086" s="3"/>
      <c r="F10086" s="3"/>
      <c r="G10086" s="3"/>
      <c r="H10086" s="11"/>
      <c r="I10086" s="12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  <c r="AA10086" s="3"/>
      <c r="AB10086" s="3"/>
      <c r="AC10086" s="3"/>
      <c r="AD10086" s="3"/>
      <c r="AE10086" s="3"/>
      <c r="AF10086" s="3"/>
      <c r="AG10086" s="3"/>
      <c r="AH10086" s="3"/>
    </row>
    <row r="10087" spans="1:34" ht="14.25" customHeight="1" x14ac:dyDescent="0.25">
      <c r="A10087" s="3"/>
      <c r="B10087" s="3"/>
      <c r="C10087" s="3"/>
      <c r="D10087" s="3"/>
      <c r="E10087" s="3"/>
      <c r="F10087" s="3"/>
      <c r="G10087" s="3"/>
      <c r="H10087" s="11"/>
      <c r="I10087" s="12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  <c r="AA10087" s="3"/>
      <c r="AB10087" s="3"/>
      <c r="AC10087" s="3"/>
      <c r="AD10087" s="3"/>
      <c r="AE10087" s="3"/>
      <c r="AF10087" s="3"/>
      <c r="AG10087" s="3"/>
      <c r="AH10087" s="3"/>
    </row>
    <row r="10088" spans="1:34" ht="14.25" customHeight="1" x14ac:dyDescent="0.25">
      <c r="A10088" s="3"/>
      <c r="B10088" s="3"/>
      <c r="C10088" s="3"/>
      <c r="D10088" s="3"/>
      <c r="E10088" s="3"/>
      <c r="F10088" s="3"/>
      <c r="G10088" s="3"/>
      <c r="H10088" s="11"/>
      <c r="I10088" s="12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  <c r="AA10088" s="3"/>
      <c r="AB10088" s="3"/>
      <c r="AC10088" s="3"/>
      <c r="AD10088" s="3"/>
      <c r="AE10088" s="3"/>
      <c r="AF10088" s="3"/>
      <c r="AG10088" s="3"/>
      <c r="AH10088" s="3"/>
    </row>
    <row r="10089" spans="1:34" ht="14.25" customHeight="1" x14ac:dyDescent="0.25">
      <c r="A10089" s="3"/>
      <c r="B10089" s="3"/>
      <c r="C10089" s="3"/>
      <c r="D10089" s="3"/>
      <c r="E10089" s="3"/>
      <c r="F10089" s="3"/>
      <c r="G10089" s="3"/>
      <c r="H10089" s="11"/>
      <c r="I10089" s="12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  <c r="AA10089" s="3"/>
      <c r="AB10089" s="3"/>
      <c r="AC10089" s="3"/>
      <c r="AD10089" s="3"/>
      <c r="AE10089" s="3"/>
      <c r="AF10089" s="3"/>
      <c r="AG10089" s="3"/>
      <c r="AH10089" s="3"/>
    </row>
    <row r="10090" spans="1:34" ht="14.25" customHeight="1" x14ac:dyDescent="0.25">
      <c r="A10090" s="3"/>
      <c r="B10090" s="3"/>
      <c r="C10090" s="3"/>
      <c r="D10090" s="3"/>
      <c r="E10090" s="3"/>
      <c r="F10090" s="3"/>
      <c r="G10090" s="3"/>
      <c r="H10090" s="11"/>
      <c r="I10090" s="12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  <c r="AA10090" s="3"/>
      <c r="AB10090" s="3"/>
      <c r="AC10090" s="3"/>
      <c r="AD10090" s="3"/>
      <c r="AE10090" s="3"/>
      <c r="AF10090" s="3"/>
      <c r="AG10090" s="3"/>
      <c r="AH10090" s="3"/>
    </row>
    <row r="10091" spans="1:34" ht="14.25" customHeight="1" x14ac:dyDescent="0.25">
      <c r="A10091" s="3"/>
      <c r="B10091" s="3"/>
      <c r="C10091" s="3"/>
      <c r="D10091" s="3"/>
      <c r="E10091" s="3"/>
      <c r="F10091" s="3"/>
      <c r="G10091" s="3"/>
      <c r="H10091" s="11"/>
      <c r="I10091" s="12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  <c r="AA10091" s="3"/>
      <c r="AB10091" s="3"/>
      <c r="AC10091" s="3"/>
      <c r="AD10091" s="3"/>
      <c r="AE10091" s="3"/>
      <c r="AF10091" s="3"/>
      <c r="AG10091" s="3"/>
      <c r="AH10091" s="3"/>
    </row>
    <row r="10092" spans="1:34" ht="14.25" customHeight="1" x14ac:dyDescent="0.25">
      <c r="A10092" s="3"/>
      <c r="B10092" s="3"/>
      <c r="C10092" s="3"/>
      <c r="D10092" s="3"/>
      <c r="E10092" s="3"/>
      <c r="F10092" s="3"/>
      <c r="G10092" s="3"/>
      <c r="H10092" s="11"/>
      <c r="I10092" s="12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  <c r="AA10092" s="3"/>
      <c r="AB10092" s="3"/>
      <c r="AC10092" s="3"/>
      <c r="AD10092" s="3"/>
      <c r="AE10092" s="3"/>
      <c r="AF10092" s="3"/>
      <c r="AG10092" s="3"/>
      <c r="AH10092" s="3"/>
    </row>
    <row r="10093" spans="1:34" ht="14.25" customHeight="1" x14ac:dyDescent="0.25">
      <c r="A10093" s="3"/>
      <c r="B10093" s="3"/>
      <c r="C10093" s="3"/>
      <c r="D10093" s="3"/>
      <c r="E10093" s="3"/>
      <c r="F10093" s="3"/>
      <c r="G10093" s="3"/>
      <c r="H10093" s="11"/>
      <c r="I10093" s="12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  <c r="AA10093" s="3"/>
      <c r="AB10093" s="3"/>
      <c r="AC10093" s="3"/>
      <c r="AD10093" s="3"/>
      <c r="AE10093" s="3"/>
      <c r="AF10093" s="3"/>
      <c r="AG10093" s="3"/>
      <c r="AH10093" s="3"/>
    </row>
    <row r="10094" spans="1:34" ht="14.25" customHeight="1" x14ac:dyDescent="0.25">
      <c r="A10094" s="3"/>
      <c r="B10094" s="3"/>
      <c r="C10094" s="3"/>
      <c r="D10094" s="3"/>
      <c r="E10094" s="3"/>
      <c r="F10094" s="3"/>
      <c r="G10094" s="3"/>
      <c r="H10094" s="11"/>
      <c r="I10094" s="12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  <c r="AA10094" s="3"/>
      <c r="AB10094" s="3"/>
      <c r="AC10094" s="3"/>
      <c r="AD10094" s="3"/>
      <c r="AE10094" s="3"/>
      <c r="AF10094" s="3"/>
      <c r="AG10094" s="3"/>
      <c r="AH10094" s="3"/>
    </row>
    <row r="10095" spans="1:34" ht="14.25" customHeight="1" x14ac:dyDescent="0.25">
      <c r="A10095" s="3"/>
      <c r="B10095" s="3"/>
      <c r="C10095" s="3"/>
      <c r="D10095" s="3"/>
      <c r="E10095" s="3"/>
      <c r="F10095" s="3"/>
      <c r="G10095" s="3"/>
      <c r="H10095" s="11"/>
      <c r="I10095" s="12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  <c r="AA10095" s="3"/>
      <c r="AB10095" s="3"/>
      <c r="AC10095" s="3"/>
      <c r="AD10095" s="3"/>
      <c r="AE10095" s="3"/>
      <c r="AF10095" s="3"/>
      <c r="AG10095" s="3"/>
      <c r="AH10095" s="3"/>
    </row>
    <row r="10096" spans="1:34" ht="14.25" customHeight="1" x14ac:dyDescent="0.25">
      <c r="A10096" s="3"/>
      <c r="B10096" s="3"/>
      <c r="C10096" s="3"/>
      <c r="D10096" s="3"/>
      <c r="E10096" s="3"/>
      <c r="F10096" s="3"/>
      <c r="G10096" s="3"/>
      <c r="H10096" s="11"/>
      <c r="I10096" s="12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  <c r="AA10096" s="3"/>
      <c r="AB10096" s="3"/>
      <c r="AC10096" s="3"/>
      <c r="AD10096" s="3"/>
      <c r="AE10096" s="3"/>
      <c r="AF10096" s="3"/>
      <c r="AG10096" s="3"/>
      <c r="AH10096" s="3"/>
    </row>
    <row r="10097" spans="1:34" ht="14.25" customHeight="1" x14ac:dyDescent="0.25">
      <c r="A10097" s="3"/>
      <c r="B10097" s="3"/>
      <c r="C10097" s="3"/>
      <c r="D10097" s="3"/>
      <c r="E10097" s="3"/>
      <c r="F10097" s="3"/>
      <c r="G10097" s="3"/>
      <c r="H10097" s="11"/>
      <c r="I10097" s="12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  <c r="AA10097" s="3"/>
      <c r="AB10097" s="3"/>
      <c r="AC10097" s="3"/>
      <c r="AD10097" s="3"/>
      <c r="AE10097" s="3"/>
      <c r="AF10097" s="3"/>
      <c r="AG10097" s="3"/>
      <c r="AH10097" s="3"/>
    </row>
    <row r="10098" spans="1:34" ht="14.25" customHeight="1" x14ac:dyDescent="0.25">
      <c r="A10098" s="3"/>
      <c r="B10098" s="3"/>
      <c r="C10098" s="3"/>
      <c r="D10098" s="3"/>
      <c r="E10098" s="3"/>
      <c r="F10098" s="3"/>
      <c r="G10098" s="3"/>
      <c r="H10098" s="11"/>
      <c r="I10098" s="12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  <c r="AA10098" s="3"/>
      <c r="AB10098" s="3"/>
      <c r="AC10098" s="3"/>
      <c r="AD10098" s="3"/>
      <c r="AE10098" s="3"/>
      <c r="AF10098" s="3"/>
      <c r="AG10098" s="3"/>
      <c r="AH10098" s="3"/>
    </row>
    <row r="10099" spans="1:34" ht="14.25" customHeight="1" x14ac:dyDescent="0.25">
      <c r="A10099" s="3"/>
      <c r="B10099" s="3"/>
      <c r="C10099" s="3"/>
      <c r="D10099" s="3"/>
      <c r="E10099" s="3"/>
      <c r="F10099" s="3"/>
      <c r="G10099" s="3"/>
      <c r="H10099" s="11"/>
      <c r="I10099" s="12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  <c r="AA10099" s="3"/>
      <c r="AB10099" s="3"/>
      <c r="AC10099" s="3"/>
      <c r="AD10099" s="3"/>
      <c r="AE10099" s="3"/>
      <c r="AF10099" s="3"/>
      <c r="AG10099" s="3"/>
      <c r="AH10099" s="3"/>
    </row>
    <row r="10100" spans="1:34" ht="14.25" customHeight="1" x14ac:dyDescent="0.25">
      <c r="A10100" s="3"/>
      <c r="B10100" s="3"/>
      <c r="C10100" s="3"/>
      <c r="D10100" s="3"/>
      <c r="E10100" s="3"/>
      <c r="F10100" s="3"/>
      <c r="G10100" s="3"/>
      <c r="H10100" s="11"/>
      <c r="I10100" s="12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  <c r="AA10100" s="3"/>
      <c r="AB10100" s="3"/>
      <c r="AC10100" s="3"/>
      <c r="AD10100" s="3"/>
      <c r="AE10100" s="3"/>
      <c r="AF10100" s="3"/>
      <c r="AG10100" s="3"/>
      <c r="AH10100" s="3"/>
    </row>
    <row r="10101" spans="1:34" ht="14.25" customHeight="1" x14ac:dyDescent="0.25">
      <c r="A10101" s="3"/>
      <c r="B10101" s="3"/>
      <c r="C10101" s="3"/>
      <c r="D10101" s="3"/>
      <c r="E10101" s="3"/>
      <c r="F10101" s="3"/>
      <c r="G10101" s="3"/>
      <c r="H10101" s="11"/>
      <c r="I10101" s="12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  <c r="AA10101" s="3"/>
      <c r="AB10101" s="3"/>
      <c r="AC10101" s="3"/>
      <c r="AD10101" s="3"/>
      <c r="AE10101" s="3"/>
      <c r="AF10101" s="3"/>
      <c r="AG10101" s="3"/>
      <c r="AH10101" s="3"/>
    </row>
    <row r="10102" spans="1:34" ht="14.25" customHeight="1" x14ac:dyDescent="0.25">
      <c r="A10102" s="3"/>
      <c r="B10102" s="3"/>
      <c r="C10102" s="3"/>
      <c r="D10102" s="3"/>
      <c r="E10102" s="3"/>
      <c r="F10102" s="3"/>
      <c r="G10102" s="3"/>
      <c r="H10102" s="11"/>
      <c r="I10102" s="12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  <c r="AA10102" s="3"/>
      <c r="AB10102" s="3"/>
      <c r="AC10102" s="3"/>
      <c r="AD10102" s="3"/>
      <c r="AE10102" s="3"/>
      <c r="AF10102" s="3"/>
      <c r="AG10102" s="3"/>
      <c r="AH10102" s="3"/>
    </row>
    <row r="10103" spans="1:34" ht="14.25" customHeight="1" x14ac:dyDescent="0.25">
      <c r="A10103" s="3"/>
      <c r="B10103" s="3"/>
      <c r="C10103" s="3"/>
      <c r="D10103" s="3"/>
      <c r="E10103" s="3"/>
      <c r="F10103" s="3"/>
      <c r="G10103" s="3"/>
      <c r="H10103" s="11"/>
      <c r="I10103" s="12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  <c r="AA10103" s="3"/>
      <c r="AB10103" s="3"/>
      <c r="AC10103" s="3"/>
      <c r="AD10103" s="3"/>
      <c r="AE10103" s="3"/>
      <c r="AF10103" s="3"/>
      <c r="AG10103" s="3"/>
      <c r="AH10103" s="3"/>
    </row>
    <row r="10104" spans="1:34" ht="14.25" customHeight="1" x14ac:dyDescent="0.25">
      <c r="A10104" s="3"/>
      <c r="B10104" s="3"/>
      <c r="C10104" s="3"/>
      <c r="D10104" s="3"/>
      <c r="E10104" s="3"/>
      <c r="F10104" s="3"/>
      <c r="G10104" s="3"/>
      <c r="H10104" s="11"/>
      <c r="I10104" s="12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  <c r="AA10104" s="3"/>
      <c r="AB10104" s="3"/>
      <c r="AC10104" s="3"/>
      <c r="AD10104" s="3"/>
      <c r="AE10104" s="3"/>
      <c r="AF10104" s="3"/>
      <c r="AG10104" s="3"/>
      <c r="AH10104" s="3"/>
    </row>
    <row r="10105" spans="1:34" ht="14.25" customHeight="1" x14ac:dyDescent="0.25">
      <c r="A10105" s="3"/>
      <c r="B10105" s="3"/>
      <c r="C10105" s="3"/>
      <c r="D10105" s="3"/>
      <c r="E10105" s="3"/>
      <c r="F10105" s="3"/>
      <c r="G10105" s="3"/>
      <c r="H10105" s="11"/>
      <c r="I10105" s="12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  <c r="AA10105" s="3"/>
      <c r="AB10105" s="3"/>
      <c r="AC10105" s="3"/>
      <c r="AD10105" s="3"/>
      <c r="AE10105" s="3"/>
      <c r="AF10105" s="3"/>
      <c r="AG10105" s="3"/>
      <c r="AH10105" s="3"/>
    </row>
    <row r="10106" spans="1:34" ht="14.25" customHeight="1" x14ac:dyDescent="0.25">
      <c r="A10106" s="3"/>
      <c r="B10106" s="3"/>
      <c r="C10106" s="3"/>
      <c r="D10106" s="3"/>
      <c r="E10106" s="3"/>
      <c r="F10106" s="3"/>
      <c r="G10106" s="3"/>
      <c r="H10106" s="11"/>
      <c r="I10106" s="12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  <c r="AA10106" s="3"/>
      <c r="AB10106" s="3"/>
      <c r="AC10106" s="3"/>
      <c r="AD10106" s="3"/>
      <c r="AE10106" s="3"/>
      <c r="AF10106" s="3"/>
      <c r="AG10106" s="3"/>
      <c r="AH10106" s="3"/>
    </row>
    <row r="10107" spans="1:34" ht="14.25" customHeight="1" x14ac:dyDescent="0.25">
      <c r="A10107" s="3"/>
      <c r="B10107" s="3"/>
      <c r="C10107" s="3"/>
      <c r="D10107" s="3"/>
      <c r="E10107" s="3"/>
      <c r="F10107" s="3"/>
      <c r="G10107" s="3"/>
      <c r="H10107" s="11"/>
      <c r="I10107" s="12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  <c r="AA10107" s="3"/>
      <c r="AB10107" s="3"/>
      <c r="AC10107" s="3"/>
      <c r="AD10107" s="3"/>
      <c r="AE10107" s="3"/>
      <c r="AF10107" s="3"/>
      <c r="AG10107" s="3"/>
      <c r="AH10107" s="3"/>
    </row>
    <row r="10108" spans="1:34" ht="14.25" customHeight="1" x14ac:dyDescent="0.25">
      <c r="A10108" s="3"/>
      <c r="B10108" s="3"/>
      <c r="C10108" s="3"/>
      <c r="D10108" s="3"/>
      <c r="E10108" s="3"/>
      <c r="F10108" s="3"/>
      <c r="G10108" s="3"/>
      <c r="H10108" s="11"/>
      <c r="I10108" s="12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  <c r="AA10108" s="3"/>
      <c r="AB10108" s="3"/>
      <c r="AC10108" s="3"/>
      <c r="AD10108" s="3"/>
      <c r="AE10108" s="3"/>
      <c r="AF10108" s="3"/>
      <c r="AG10108" s="3"/>
      <c r="AH10108" s="3"/>
    </row>
    <row r="10109" spans="1:34" ht="14.25" customHeight="1" x14ac:dyDescent="0.25">
      <c r="A10109" s="3"/>
      <c r="B10109" s="3"/>
      <c r="C10109" s="3"/>
      <c r="D10109" s="3"/>
      <c r="E10109" s="3"/>
      <c r="F10109" s="3"/>
      <c r="G10109" s="3"/>
      <c r="H10109" s="11"/>
      <c r="I10109" s="12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  <c r="AA10109" s="3"/>
      <c r="AB10109" s="3"/>
      <c r="AC10109" s="3"/>
      <c r="AD10109" s="3"/>
      <c r="AE10109" s="3"/>
      <c r="AF10109" s="3"/>
      <c r="AG10109" s="3"/>
      <c r="AH10109" s="3"/>
    </row>
    <row r="10110" spans="1:34" ht="14.25" customHeight="1" x14ac:dyDescent="0.25">
      <c r="A10110" s="3"/>
      <c r="B10110" s="3"/>
      <c r="C10110" s="3"/>
      <c r="D10110" s="3"/>
      <c r="E10110" s="3"/>
      <c r="F10110" s="3"/>
      <c r="G10110" s="3"/>
      <c r="H10110" s="11"/>
      <c r="I10110" s="12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  <c r="AA10110" s="3"/>
      <c r="AB10110" s="3"/>
      <c r="AC10110" s="3"/>
      <c r="AD10110" s="3"/>
      <c r="AE10110" s="3"/>
      <c r="AF10110" s="3"/>
      <c r="AG10110" s="3"/>
      <c r="AH10110" s="3"/>
    </row>
    <row r="10111" spans="1:34" ht="14.25" customHeight="1" x14ac:dyDescent="0.25">
      <c r="A10111" s="3"/>
      <c r="B10111" s="3"/>
      <c r="C10111" s="3"/>
      <c r="D10111" s="3"/>
      <c r="E10111" s="3"/>
      <c r="F10111" s="3"/>
      <c r="G10111" s="3"/>
      <c r="H10111" s="11"/>
      <c r="I10111" s="12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  <c r="AA10111" s="3"/>
      <c r="AB10111" s="3"/>
      <c r="AC10111" s="3"/>
      <c r="AD10111" s="3"/>
      <c r="AE10111" s="3"/>
      <c r="AF10111" s="3"/>
      <c r="AG10111" s="3"/>
      <c r="AH10111" s="3"/>
    </row>
    <row r="10112" spans="1:34" ht="14.25" customHeight="1" x14ac:dyDescent="0.25">
      <c r="A10112" s="3"/>
      <c r="B10112" s="3"/>
      <c r="C10112" s="3"/>
      <c r="D10112" s="3"/>
      <c r="E10112" s="3"/>
      <c r="F10112" s="3"/>
      <c r="G10112" s="3"/>
      <c r="H10112" s="11"/>
      <c r="I10112" s="12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  <c r="AA10112" s="3"/>
      <c r="AB10112" s="3"/>
      <c r="AC10112" s="3"/>
      <c r="AD10112" s="3"/>
      <c r="AE10112" s="3"/>
      <c r="AF10112" s="3"/>
      <c r="AG10112" s="3"/>
      <c r="AH10112" s="3"/>
    </row>
    <row r="10113" spans="1:34" ht="14.25" customHeight="1" x14ac:dyDescent="0.25">
      <c r="A10113" s="3"/>
      <c r="B10113" s="3"/>
      <c r="C10113" s="3"/>
      <c r="D10113" s="3"/>
      <c r="E10113" s="3"/>
      <c r="F10113" s="3"/>
      <c r="G10113" s="3"/>
      <c r="H10113" s="11"/>
      <c r="I10113" s="12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  <c r="AA10113" s="3"/>
      <c r="AB10113" s="3"/>
      <c r="AC10113" s="3"/>
      <c r="AD10113" s="3"/>
      <c r="AE10113" s="3"/>
      <c r="AF10113" s="3"/>
      <c r="AG10113" s="3"/>
      <c r="AH10113" s="3"/>
    </row>
    <row r="10114" spans="1:34" ht="14.25" customHeight="1" x14ac:dyDescent="0.25">
      <c r="A10114" s="3"/>
      <c r="B10114" s="3"/>
      <c r="C10114" s="3"/>
      <c r="D10114" s="3"/>
      <c r="E10114" s="3"/>
      <c r="F10114" s="3"/>
      <c r="G10114" s="3"/>
      <c r="H10114" s="11"/>
      <c r="I10114" s="12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  <c r="AA10114" s="3"/>
      <c r="AB10114" s="3"/>
      <c r="AC10114" s="3"/>
      <c r="AD10114" s="3"/>
      <c r="AE10114" s="3"/>
      <c r="AF10114" s="3"/>
      <c r="AG10114" s="3"/>
      <c r="AH10114" s="3"/>
    </row>
    <row r="10115" spans="1:34" ht="14.25" customHeight="1" x14ac:dyDescent="0.25">
      <c r="A10115" s="3"/>
      <c r="B10115" s="3"/>
      <c r="C10115" s="3"/>
      <c r="D10115" s="3"/>
      <c r="E10115" s="3"/>
      <c r="F10115" s="3"/>
      <c r="G10115" s="3"/>
      <c r="H10115" s="11"/>
      <c r="I10115" s="12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  <c r="AA10115" s="3"/>
      <c r="AB10115" s="3"/>
      <c r="AC10115" s="3"/>
      <c r="AD10115" s="3"/>
      <c r="AE10115" s="3"/>
      <c r="AF10115" s="3"/>
      <c r="AG10115" s="3"/>
      <c r="AH10115" s="3"/>
    </row>
    <row r="10116" spans="1:34" ht="14.25" customHeight="1" x14ac:dyDescent="0.25">
      <c r="A10116" s="3"/>
      <c r="B10116" s="3"/>
      <c r="C10116" s="3"/>
      <c r="D10116" s="3"/>
      <c r="E10116" s="3"/>
      <c r="F10116" s="3"/>
      <c r="G10116" s="3"/>
      <c r="H10116" s="11"/>
      <c r="I10116" s="12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  <c r="AA10116" s="3"/>
      <c r="AB10116" s="3"/>
      <c r="AC10116" s="3"/>
      <c r="AD10116" s="3"/>
      <c r="AE10116" s="3"/>
      <c r="AF10116" s="3"/>
      <c r="AG10116" s="3"/>
      <c r="AH10116" s="3"/>
    </row>
    <row r="10117" spans="1:34" ht="14.25" customHeight="1" x14ac:dyDescent="0.25">
      <c r="A10117" s="3"/>
      <c r="B10117" s="3"/>
      <c r="C10117" s="3"/>
      <c r="D10117" s="3"/>
      <c r="E10117" s="3"/>
      <c r="F10117" s="3"/>
      <c r="G10117" s="3"/>
      <c r="H10117" s="11"/>
      <c r="I10117" s="12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  <c r="AA10117" s="3"/>
      <c r="AB10117" s="3"/>
      <c r="AC10117" s="3"/>
      <c r="AD10117" s="3"/>
      <c r="AE10117" s="3"/>
      <c r="AF10117" s="3"/>
      <c r="AG10117" s="3"/>
      <c r="AH10117" s="3"/>
    </row>
    <row r="10118" spans="1:34" ht="14.25" customHeight="1" x14ac:dyDescent="0.25">
      <c r="A10118" s="3"/>
      <c r="B10118" s="3"/>
      <c r="C10118" s="3"/>
      <c r="D10118" s="3"/>
      <c r="E10118" s="3"/>
      <c r="F10118" s="3"/>
      <c r="G10118" s="3"/>
      <c r="H10118" s="11"/>
      <c r="I10118" s="12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  <c r="AA10118" s="3"/>
      <c r="AB10118" s="3"/>
      <c r="AC10118" s="3"/>
      <c r="AD10118" s="3"/>
      <c r="AE10118" s="3"/>
      <c r="AF10118" s="3"/>
      <c r="AG10118" s="3"/>
      <c r="AH10118" s="3"/>
    </row>
    <row r="10119" spans="1:34" ht="14.25" customHeight="1" x14ac:dyDescent="0.25">
      <c r="A10119" s="3"/>
      <c r="B10119" s="3"/>
      <c r="C10119" s="3"/>
      <c r="D10119" s="3"/>
      <c r="E10119" s="3"/>
      <c r="F10119" s="3"/>
      <c r="G10119" s="3"/>
      <c r="H10119" s="11"/>
      <c r="I10119" s="12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  <c r="AA10119" s="3"/>
      <c r="AB10119" s="3"/>
      <c r="AC10119" s="3"/>
      <c r="AD10119" s="3"/>
      <c r="AE10119" s="3"/>
      <c r="AF10119" s="3"/>
      <c r="AG10119" s="3"/>
      <c r="AH10119" s="3"/>
    </row>
    <row r="10120" spans="1:34" ht="14.25" customHeight="1" x14ac:dyDescent="0.25">
      <c r="A10120" s="3"/>
      <c r="B10120" s="3"/>
      <c r="C10120" s="3"/>
      <c r="D10120" s="3"/>
      <c r="E10120" s="3"/>
      <c r="F10120" s="3"/>
      <c r="G10120" s="3"/>
      <c r="H10120" s="11"/>
      <c r="I10120" s="12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  <c r="AA10120" s="3"/>
      <c r="AB10120" s="3"/>
      <c r="AC10120" s="3"/>
      <c r="AD10120" s="3"/>
      <c r="AE10120" s="3"/>
      <c r="AF10120" s="3"/>
      <c r="AG10120" s="3"/>
      <c r="AH10120" s="3"/>
    </row>
    <row r="10121" spans="1:34" ht="14.25" customHeight="1" x14ac:dyDescent="0.25">
      <c r="A10121" s="3"/>
      <c r="B10121" s="3"/>
      <c r="C10121" s="3"/>
      <c r="D10121" s="3"/>
      <c r="E10121" s="3"/>
      <c r="F10121" s="3"/>
      <c r="G10121" s="3"/>
      <c r="H10121" s="11"/>
      <c r="I10121" s="12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  <c r="AA10121" s="3"/>
      <c r="AB10121" s="3"/>
      <c r="AC10121" s="3"/>
      <c r="AD10121" s="3"/>
      <c r="AE10121" s="3"/>
      <c r="AF10121" s="3"/>
      <c r="AG10121" s="3"/>
      <c r="AH10121" s="3"/>
    </row>
    <row r="10122" spans="1:34" ht="14.25" customHeight="1" x14ac:dyDescent="0.25">
      <c r="A10122" s="3"/>
      <c r="B10122" s="3"/>
      <c r="C10122" s="3"/>
      <c r="D10122" s="3"/>
      <c r="E10122" s="3"/>
      <c r="F10122" s="3"/>
      <c r="G10122" s="3"/>
      <c r="H10122" s="11"/>
      <c r="I10122" s="12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  <c r="AA10122" s="3"/>
      <c r="AB10122" s="3"/>
      <c r="AC10122" s="3"/>
      <c r="AD10122" s="3"/>
      <c r="AE10122" s="3"/>
      <c r="AF10122" s="3"/>
      <c r="AG10122" s="3"/>
      <c r="AH10122" s="3"/>
    </row>
    <row r="10123" spans="1:34" ht="14.25" customHeight="1" x14ac:dyDescent="0.25">
      <c r="A10123" s="3"/>
      <c r="B10123" s="3"/>
      <c r="C10123" s="3"/>
      <c r="D10123" s="3"/>
      <c r="E10123" s="3"/>
      <c r="F10123" s="3"/>
      <c r="G10123" s="3"/>
      <c r="H10123" s="11"/>
      <c r="I10123" s="12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  <c r="AA10123" s="3"/>
      <c r="AB10123" s="3"/>
      <c r="AC10123" s="3"/>
      <c r="AD10123" s="3"/>
      <c r="AE10123" s="3"/>
      <c r="AF10123" s="3"/>
      <c r="AG10123" s="3"/>
      <c r="AH10123" s="3"/>
    </row>
    <row r="10124" spans="1:34" ht="14.25" customHeight="1" x14ac:dyDescent="0.25">
      <c r="A10124" s="3"/>
      <c r="B10124" s="3"/>
      <c r="C10124" s="3"/>
      <c r="D10124" s="3"/>
      <c r="E10124" s="3"/>
      <c r="F10124" s="3"/>
      <c r="G10124" s="3"/>
      <c r="H10124" s="11"/>
      <c r="I10124" s="12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  <c r="AA10124" s="3"/>
      <c r="AB10124" s="3"/>
      <c r="AC10124" s="3"/>
      <c r="AD10124" s="3"/>
      <c r="AE10124" s="3"/>
      <c r="AF10124" s="3"/>
      <c r="AG10124" s="3"/>
      <c r="AH10124" s="3"/>
    </row>
    <row r="10125" spans="1:34" ht="14.25" customHeight="1" x14ac:dyDescent="0.25">
      <c r="A10125" s="3"/>
      <c r="B10125" s="3"/>
      <c r="C10125" s="3"/>
      <c r="D10125" s="3"/>
      <c r="E10125" s="3"/>
      <c r="F10125" s="3"/>
      <c r="G10125" s="3"/>
      <c r="H10125" s="11"/>
      <c r="I10125" s="12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  <c r="AA10125" s="3"/>
      <c r="AB10125" s="3"/>
      <c r="AC10125" s="3"/>
      <c r="AD10125" s="3"/>
      <c r="AE10125" s="3"/>
      <c r="AF10125" s="3"/>
      <c r="AG10125" s="3"/>
      <c r="AH10125" s="3"/>
    </row>
    <row r="10126" spans="1:34" ht="14.25" customHeight="1" x14ac:dyDescent="0.25">
      <c r="A10126" s="3"/>
      <c r="B10126" s="3"/>
      <c r="C10126" s="3"/>
      <c r="D10126" s="3"/>
      <c r="E10126" s="3"/>
      <c r="F10126" s="3"/>
      <c r="G10126" s="3"/>
      <c r="H10126" s="11"/>
      <c r="I10126" s="12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  <c r="AA10126" s="3"/>
      <c r="AB10126" s="3"/>
      <c r="AC10126" s="3"/>
      <c r="AD10126" s="3"/>
      <c r="AE10126" s="3"/>
      <c r="AF10126" s="3"/>
      <c r="AG10126" s="3"/>
      <c r="AH10126" s="3"/>
    </row>
    <row r="10127" spans="1:34" ht="14.25" customHeight="1" x14ac:dyDescent="0.25">
      <c r="A10127" s="3"/>
      <c r="B10127" s="3"/>
      <c r="C10127" s="3"/>
      <c r="D10127" s="3"/>
      <c r="E10127" s="3"/>
      <c r="F10127" s="3"/>
      <c r="G10127" s="3"/>
      <c r="H10127" s="11"/>
      <c r="I10127" s="12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  <c r="AA10127" s="3"/>
      <c r="AB10127" s="3"/>
      <c r="AC10127" s="3"/>
      <c r="AD10127" s="3"/>
      <c r="AE10127" s="3"/>
      <c r="AF10127" s="3"/>
      <c r="AG10127" s="3"/>
      <c r="AH10127" s="3"/>
    </row>
    <row r="10128" spans="1:34" ht="14.25" customHeight="1" x14ac:dyDescent="0.25">
      <c r="A10128" s="3"/>
      <c r="B10128" s="3"/>
      <c r="C10128" s="3"/>
      <c r="D10128" s="3"/>
      <c r="E10128" s="3"/>
      <c r="F10128" s="3"/>
      <c r="G10128" s="3"/>
      <c r="H10128" s="11"/>
      <c r="I10128" s="12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  <c r="AA10128" s="3"/>
      <c r="AB10128" s="3"/>
      <c r="AC10128" s="3"/>
      <c r="AD10128" s="3"/>
      <c r="AE10128" s="3"/>
      <c r="AF10128" s="3"/>
      <c r="AG10128" s="3"/>
      <c r="AH10128" s="3"/>
    </row>
    <row r="10129" spans="1:34" ht="14.25" customHeight="1" x14ac:dyDescent="0.25">
      <c r="A10129" s="3"/>
      <c r="B10129" s="3"/>
      <c r="C10129" s="3"/>
      <c r="D10129" s="3"/>
      <c r="E10129" s="3"/>
      <c r="F10129" s="3"/>
      <c r="G10129" s="3"/>
      <c r="H10129" s="11"/>
      <c r="I10129" s="12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  <c r="AA10129" s="3"/>
      <c r="AB10129" s="3"/>
      <c r="AC10129" s="3"/>
      <c r="AD10129" s="3"/>
      <c r="AE10129" s="3"/>
      <c r="AF10129" s="3"/>
      <c r="AG10129" s="3"/>
      <c r="AH10129" s="3"/>
    </row>
    <row r="10130" spans="1:34" ht="14.25" customHeight="1" x14ac:dyDescent="0.25">
      <c r="A10130" s="3"/>
      <c r="B10130" s="3"/>
      <c r="C10130" s="3"/>
      <c r="D10130" s="3"/>
      <c r="E10130" s="3"/>
      <c r="F10130" s="3"/>
      <c r="G10130" s="3"/>
      <c r="H10130" s="11"/>
      <c r="I10130" s="12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  <c r="AA10130" s="3"/>
      <c r="AB10130" s="3"/>
      <c r="AC10130" s="3"/>
      <c r="AD10130" s="3"/>
      <c r="AE10130" s="3"/>
      <c r="AF10130" s="3"/>
      <c r="AG10130" s="3"/>
      <c r="AH10130" s="3"/>
    </row>
    <row r="10131" spans="1:34" ht="14.25" customHeight="1" x14ac:dyDescent="0.25">
      <c r="A10131" s="3"/>
      <c r="B10131" s="3"/>
      <c r="C10131" s="3"/>
      <c r="D10131" s="3"/>
      <c r="E10131" s="3"/>
      <c r="F10131" s="3"/>
      <c r="G10131" s="3"/>
      <c r="H10131" s="11"/>
      <c r="I10131" s="12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  <c r="AA10131" s="3"/>
      <c r="AB10131" s="3"/>
      <c r="AC10131" s="3"/>
      <c r="AD10131" s="3"/>
      <c r="AE10131" s="3"/>
      <c r="AF10131" s="3"/>
      <c r="AG10131" s="3"/>
      <c r="AH10131" s="3"/>
    </row>
    <row r="10132" spans="1:34" ht="14.25" customHeight="1" x14ac:dyDescent="0.25">
      <c r="A10132" s="3"/>
      <c r="B10132" s="3"/>
      <c r="C10132" s="3"/>
      <c r="D10132" s="3"/>
      <c r="E10132" s="3"/>
      <c r="F10132" s="3"/>
      <c r="G10132" s="3"/>
      <c r="H10132" s="11"/>
      <c r="I10132" s="12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  <c r="AA10132" s="3"/>
      <c r="AB10132" s="3"/>
      <c r="AC10132" s="3"/>
      <c r="AD10132" s="3"/>
      <c r="AE10132" s="3"/>
      <c r="AF10132" s="3"/>
      <c r="AG10132" s="3"/>
      <c r="AH10132" s="3"/>
    </row>
    <row r="10133" spans="1:34" ht="14.25" customHeight="1" x14ac:dyDescent="0.25">
      <c r="A10133" s="3"/>
      <c r="B10133" s="3"/>
      <c r="C10133" s="3"/>
      <c r="D10133" s="3"/>
      <c r="E10133" s="3"/>
      <c r="F10133" s="3"/>
      <c r="G10133" s="3"/>
      <c r="H10133" s="11"/>
      <c r="I10133" s="12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  <c r="AA10133" s="3"/>
      <c r="AB10133" s="3"/>
      <c r="AC10133" s="3"/>
      <c r="AD10133" s="3"/>
      <c r="AE10133" s="3"/>
      <c r="AF10133" s="3"/>
      <c r="AG10133" s="3"/>
      <c r="AH10133" s="3"/>
    </row>
    <row r="10134" spans="1:34" ht="14.25" customHeight="1" x14ac:dyDescent="0.25">
      <c r="A10134" s="3"/>
      <c r="B10134" s="3"/>
      <c r="C10134" s="3"/>
      <c r="D10134" s="3"/>
      <c r="E10134" s="3"/>
      <c r="F10134" s="3"/>
      <c r="G10134" s="3"/>
      <c r="H10134" s="11"/>
      <c r="I10134" s="12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  <c r="AA10134" s="3"/>
      <c r="AB10134" s="3"/>
      <c r="AC10134" s="3"/>
      <c r="AD10134" s="3"/>
      <c r="AE10134" s="3"/>
      <c r="AF10134" s="3"/>
      <c r="AG10134" s="3"/>
      <c r="AH10134" s="3"/>
    </row>
    <row r="10135" spans="1:34" ht="14.25" customHeight="1" x14ac:dyDescent="0.25">
      <c r="A10135" s="3"/>
      <c r="B10135" s="3"/>
      <c r="C10135" s="3"/>
      <c r="D10135" s="3"/>
      <c r="E10135" s="3"/>
      <c r="F10135" s="3"/>
      <c r="G10135" s="3"/>
      <c r="H10135" s="11"/>
      <c r="I10135" s="12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  <c r="AA10135" s="3"/>
      <c r="AB10135" s="3"/>
      <c r="AC10135" s="3"/>
      <c r="AD10135" s="3"/>
      <c r="AE10135" s="3"/>
      <c r="AF10135" s="3"/>
      <c r="AG10135" s="3"/>
      <c r="AH10135" s="3"/>
    </row>
    <row r="10136" spans="1:34" ht="14.25" customHeight="1" x14ac:dyDescent="0.25">
      <c r="A10136" s="3"/>
      <c r="B10136" s="3"/>
      <c r="C10136" s="3"/>
      <c r="D10136" s="3"/>
      <c r="E10136" s="3"/>
      <c r="F10136" s="3"/>
      <c r="G10136" s="3"/>
      <c r="H10136" s="11"/>
      <c r="I10136" s="12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  <c r="AA10136" s="3"/>
      <c r="AB10136" s="3"/>
      <c r="AC10136" s="3"/>
      <c r="AD10136" s="3"/>
      <c r="AE10136" s="3"/>
      <c r="AF10136" s="3"/>
      <c r="AG10136" s="3"/>
      <c r="AH10136" s="3"/>
    </row>
    <row r="10137" spans="1:34" ht="14.25" customHeight="1" x14ac:dyDescent="0.25">
      <c r="A10137" s="3"/>
      <c r="B10137" s="3"/>
      <c r="C10137" s="3"/>
      <c r="D10137" s="3"/>
      <c r="E10137" s="3"/>
      <c r="F10137" s="3"/>
      <c r="G10137" s="3"/>
      <c r="H10137" s="11"/>
      <c r="I10137" s="12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  <c r="AA10137" s="3"/>
      <c r="AB10137" s="3"/>
      <c r="AC10137" s="3"/>
      <c r="AD10137" s="3"/>
      <c r="AE10137" s="3"/>
      <c r="AF10137" s="3"/>
      <c r="AG10137" s="3"/>
      <c r="AH10137" s="3"/>
    </row>
    <row r="10138" spans="1:34" ht="14.25" customHeight="1" x14ac:dyDescent="0.25">
      <c r="A10138" s="3"/>
      <c r="B10138" s="3"/>
      <c r="C10138" s="3"/>
      <c r="D10138" s="3"/>
      <c r="E10138" s="3"/>
      <c r="F10138" s="3"/>
      <c r="G10138" s="3"/>
      <c r="H10138" s="11"/>
      <c r="I10138" s="12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  <c r="AA10138" s="3"/>
      <c r="AB10138" s="3"/>
      <c r="AC10138" s="3"/>
      <c r="AD10138" s="3"/>
      <c r="AE10138" s="3"/>
      <c r="AF10138" s="3"/>
      <c r="AG10138" s="3"/>
      <c r="AH10138" s="3"/>
    </row>
    <row r="10139" spans="1:34" ht="14.25" customHeight="1" x14ac:dyDescent="0.25">
      <c r="A10139" s="3"/>
      <c r="B10139" s="3"/>
      <c r="C10139" s="3"/>
      <c r="D10139" s="3"/>
      <c r="E10139" s="3"/>
      <c r="F10139" s="3"/>
      <c r="G10139" s="3"/>
      <c r="H10139" s="11"/>
      <c r="I10139" s="12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  <c r="AA10139" s="3"/>
      <c r="AB10139" s="3"/>
      <c r="AC10139" s="3"/>
      <c r="AD10139" s="3"/>
      <c r="AE10139" s="3"/>
      <c r="AF10139" s="3"/>
      <c r="AG10139" s="3"/>
      <c r="AH10139" s="3"/>
    </row>
    <row r="10140" spans="1:34" ht="14.25" customHeight="1" x14ac:dyDescent="0.25">
      <c r="A10140" s="3"/>
      <c r="B10140" s="3"/>
      <c r="C10140" s="3"/>
      <c r="D10140" s="3"/>
      <c r="E10140" s="3"/>
      <c r="F10140" s="3"/>
      <c r="G10140" s="3"/>
      <c r="H10140" s="11"/>
      <c r="I10140" s="12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  <c r="AA10140" s="3"/>
      <c r="AB10140" s="3"/>
      <c r="AC10140" s="3"/>
      <c r="AD10140" s="3"/>
      <c r="AE10140" s="3"/>
      <c r="AF10140" s="3"/>
      <c r="AG10140" s="3"/>
      <c r="AH10140" s="3"/>
    </row>
    <row r="10141" spans="1:34" ht="14.25" customHeight="1" x14ac:dyDescent="0.25">
      <c r="A10141" s="3"/>
      <c r="B10141" s="3"/>
      <c r="C10141" s="3"/>
      <c r="D10141" s="3"/>
      <c r="E10141" s="3"/>
      <c r="F10141" s="3"/>
      <c r="G10141" s="3"/>
      <c r="H10141" s="11"/>
      <c r="I10141" s="12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  <c r="AA10141" s="3"/>
      <c r="AB10141" s="3"/>
      <c r="AC10141" s="3"/>
      <c r="AD10141" s="3"/>
      <c r="AE10141" s="3"/>
      <c r="AF10141" s="3"/>
      <c r="AG10141" s="3"/>
      <c r="AH10141" s="3"/>
    </row>
    <row r="10142" spans="1:34" ht="14.25" customHeight="1" x14ac:dyDescent="0.25">
      <c r="A10142" s="3"/>
      <c r="B10142" s="3"/>
      <c r="C10142" s="3"/>
      <c r="D10142" s="3"/>
      <c r="E10142" s="3"/>
      <c r="F10142" s="3"/>
      <c r="G10142" s="3"/>
      <c r="H10142" s="11"/>
      <c r="I10142" s="12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  <c r="AA10142" s="3"/>
      <c r="AB10142" s="3"/>
      <c r="AC10142" s="3"/>
      <c r="AD10142" s="3"/>
      <c r="AE10142" s="3"/>
      <c r="AF10142" s="3"/>
      <c r="AG10142" s="3"/>
      <c r="AH10142" s="3"/>
    </row>
    <row r="10143" spans="1:34" ht="14.25" customHeight="1" x14ac:dyDescent="0.25">
      <c r="A10143" s="3"/>
      <c r="B10143" s="3"/>
      <c r="C10143" s="3"/>
      <c r="D10143" s="3"/>
      <c r="E10143" s="3"/>
      <c r="F10143" s="3"/>
      <c r="G10143" s="3"/>
      <c r="H10143" s="11"/>
      <c r="I10143" s="12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  <c r="AA10143" s="3"/>
      <c r="AB10143" s="3"/>
      <c r="AC10143" s="3"/>
      <c r="AD10143" s="3"/>
      <c r="AE10143" s="3"/>
      <c r="AF10143" s="3"/>
      <c r="AG10143" s="3"/>
      <c r="AH10143" s="3"/>
    </row>
    <row r="10144" spans="1:34" ht="14.25" customHeight="1" x14ac:dyDescent="0.25">
      <c r="A10144" s="3"/>
      <c r="B10144" s="3"/>
      <c r="C10144" s="3"/>
      <c r="D10144" s="3"/>
      <c r="E10144" s="3"/>
      <c r="F10144" s="3"/>
      <c r="G10144" s="3"/>
      <c r="H10144" s="11"/>
      <c r="I10144" s="12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  <c r="AA10144" s="3"/>
      <c r="AB10144" s="3"/>
      <c r="AC10144" s="3"/>
      <c r="AD10144" s="3"/>
      <c r="AE10144" s="3"/>
      <c r="AF10144" s="3"/>
      <c r="AG10144" s="3"/>
      <c r="AH10144" s="3"/>
    </row>
    <row r="10145" spans="1:34" ht="14.25" customHeight="1" x14ac:dyDescent="0.25">
      <c r="A10145" s="3"/>
      <c r="B10145" s="3"/>
      <c r="C10145" s="3"/>
      <c r="D10145" s="3"/>
      <c r="E10145" s="3"/>
      <c r="F10145" s="3"/>
      <c r="G10145" s="3"/>
      <c r="H10145" s="11"/>
      <c r="I10145" s="12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  <c r="AA10145" s="3"/>
      <c r="AB10145" s="3"/>
      <c r="AC10145" s="3"/>
      <c r="AD10145" s="3"/>
      <c r="AE10145" s="3"/>
      <c r="AF10145" s="3"/>
      <c r="AG10145" s="3"/>
      <c r="AH10145" s="3"/>
    </row>
    <row r="10146" spans="1:34" ht="14.25" customHeight="1" x14ac:dyDescent="0.25">
      <c r="A10146" s="3"/>
      <c r="B10146" s="3"/>
      <c r="C10146" s="3"/>
      <c r="D10146" s="3"/>
      <c r="E10146" s="3"/>
      <c r="F10146" s="3"/>
      <c r="G10146" s="3"/>
      <c r="H10146" s="11"/>
      <c r="I10146" s="12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  <c r="AA10146" s="3"/>
      <c r="AB10146" s="3"/>
      <c r="AC10146" s="3"/>
      <c r="AD10146" s="3"/>
      <c r="AE10146" s="3"/>
      <c r="AF10146" s="3"/>
      <c r="AG10146" s="3"/>
      <c r="AH10146" s="3"/>
    </row>
    <row r="10147" spans="1:34" ht="14.25" customHeight="1" x14ac:dyDescent="0.25">
      <c r="A10147" s="3"/>
      <c r="B10147" s="3"/>
      <c r="C10147" s="3"/>
      <c r="D10147" s="3"/>
      <c r="E10147" s="3"/>
      <c r="F10147" s="3"/>
      <c r="G10147" s="3"/>
      <c r="H10147" s="11"/>
      <c r="I10147" s="12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  <c r="AA10147" s="3"/>
      <c r="AB10147" s="3"/>
      <c r="AC10147" s="3"/>
      <c r="AD10147" s="3"/>
      <c r="AE10147" s="3"/>
      <c r="AF10147" s="3"/>
      <c r="AG10147" s="3"/>
      <c r="AH10147" s="3"/>
    </row>
    <row r="10148" spans="1:34" ht="14.25" customHeight="1" x14ac:dyDescent="0.25">
      <c r="A10148" s="3"/>
      <c r="B10148" s="3"/>
      <c r="C10148" s="3"/>
      <c r="D10148" s="3"/>
      <c r="E10148" s="3"/>
      <c r="F10148" s="3"/>
      <c r="G10148" s="3"/>
      <c r="H10148" s="11"/>
      <c r="I10148" s="12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  <c r="AA10148" s="3"/>
      <c r="AB10148" s="3"/>
      <c r="AC10148" s="3"/>
      <c r="AD10148" s="3"/>
      <c r="AE10148" s="3"/>
      <c r="AF10148" s="3"/>
      <c r="AG10148" s="3"/>
      <c r="AH10148" s="3"/>
    </row>
    <row r="10149" spans="1:34" ht="14.25" customHeight="1" x14ac:dyDescent="0.25">
      <c r="A10149" s="3"/>
      <c r="B10149" s="3"/>
      <c r="C10149" s="3"/>
      <c r="D10149" s="3"/>
      <c r="E10149" s="3"/>
      <c r="F10149" s="3"/>
      <c r="G10149" s="3"/>
      <c r="H10149" s="11"/>
      <c r="I10149" s="12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  <c r="AA10149" s="3"/>
      <c r="AB10149" s="3"/>
      <c r="AC10149" s="3"/>
      <c r="AD10149" s="3"/>
      <c r="AE10149" s="3"/>
      <c r="AF10149" s="3"/>
      <c r="AG10149" s="3"/>
      <c r="AH10149" s="3"/>
    </row>
    <row r="10150" spans="1:34" ht="14.25" customHeight="1" x14ac:dyDescent="0.25">
      <c r="A10150" s="3"/>
      <c r="B10150" s="3"/>
      <c r="C10150" s="3"/>
      <c r="D10150" s="3"/>
      <c r="E10150" s="3"/>
      <c r="F10150" s="3"/>
      <c r="G10150" s="3"/>
      <c r="H10150" s="11"/>
      <c r="I10150" s="12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  <c r="AA10150" s="3"/>
      <c r="AB10150" s="3"/>
      <c r="AC10150" s="3"/>
      <c r="AD10150" s="3"/>
      <c r="AE10150" s="3"/>
      <c r="AF10150" s="3"/>
      <c r="AG10150" s="3"/>
      <c r="AH10150" s="3"/>
    </row>
    <row r="10151" spans="1:34" ht="14.25" customHeight="1" x14ac:dyDescent="0.25">
      <c r="A10151" s="3"/>
      <c r="B10151" s="3"/>
      <c r="C10151" s="3"/>
      <c r="D10151" s="3"/>
      <c r="E10151" s="3"/>
      <c r="F10151" s="3"/>
      <c r="G10151" s="3"/>
      <c r="H10151" s="11"/>
      <c r="I10151" s="12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  <c r="AA10151" s="3"/>
      <c r="AB10151" s="3"/>
      <c r="AC10151" s="3"/>
      <c r="AD10151" s="3"/>
      <c r="AE10151" s="3"/>
      <c r="AF10151" s="3"/>
      <c r="AG10151" s="3"/>
      <c r="AH10151" s="3"/>
    </row>
    <row r="10152" spans="1:34" ht="14.25" customHeight="1" x14ac:dyDescent="0.25">
      <c r="A10152" s="3"/>
      <c r="B10152" s="3"/>
      <c r="C10152" s="3"/>
      <c r="D10152" s="3"/>
      <c r="E10152" s="3"/>
      <c r="F10152" s="3"/>
      <c r="G10152" s="3"/>
      <c r="H10152" s="11"/>
      <c r="I10152" s="12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  <c r="AA10152" s="3"/>
      <c r="AB10152" s="3"/>
      <c r="AC10152" s="3"/>
      <c r="AD10152" s="3"/>
      <c r="AE10152" s="3"/>
      <c r="AF10152" s="3"/>
      <c r="AG10152" s="3"/>
      <c r="AH10152" s="3"/>
    </row>
    <row r="10153" spans="1:34" ht="14.25" customHeight="1" x14ac:dyDescent="0.25">
      <c r="A10153" s="3"/>
      <c r="B10153" s="3"/>
      <c r="C10153" s="3"/>
      <c r="D10153" s="3"/>
      <c r="E10153" s="3"/>
      <c r="F10153" s="3"/>
      <c r="G10153" s="3"/>
      <c r="H10153" s="11"/>
      <c r="I10153" s="12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  <c r="AA10153" s="3"/>
      <c r="AB10153" s="3"/>
      <c r="AC10153" s="3"/>
      <c r="AD10153" s="3"/>
      <c r="AE10153" s="3"/>
      <c r="AF10153" s="3"/>
      <c r="AG10153" s="3"/>
      <c r="AH10153" s="3"/>
    </row>
    <row r="10154" spans="1:34" ht="14.25" customHeight="1" x14ac:dyDescent="0.25">
      <c r="A10154" s="3"/>
      <c r="B10154" s="3"/>
      <c r="C10154" s="3"/>
      <c r="D10154" s="3"/>
      <c r="E10154" s="3"/>
      <c r="F10154" s="3"/>
      <c r="G10154" s="3"/>
      <c r="H10154" s="11"/>
      <c r="I10154" s="12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  <c r="AA10154" s="3"/>
      <c r="AB10154" s="3"/>
      <c r="AC10154" s="3"/>
      <c r="AD10154" s="3"/>
      <c r="AE10154" s="3"/>
      <c r="AF10154" s="3"/>
      <c r="AG10154" s="3"/>
      <c r="AH10154" s="3"/>
    </row>
    <row r="10155" spans="1:34" ht="14.25" customHeight="1" x14ac:dyDescent="0.25">
      <c r="A10155" s="3"/>
      <c r="B10155" s="3"/>
      <c r="C10155" s="3"/>
      <c r="D10155" s="3"/>
      <c r="E10155" s="3"/>
      <c r="F10155" s="3"/>
      <c r="G10155" s="3"/>
      <c r="H10155" s="11"/>
      <c r="I10155" s="12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  <c r="AA10155" s="3"/>
      <c r="AB10155" s="3"/>
      <c r="AC10155" s="3"/>
      <c r="AD10155" s="3"/>
      <c r="AE10155" s="3"/>
      <c r="AF10155" s="3"/>
      <c r="AG10155" s="3"/>
      <c r="AH10155" s="3"/>
    </row>
    <row r="10156" spans="1:34" ht="14.25" customHeight="1" x14ac:dyDescent="0.25">
      <c r="A10156" s="3"/>
      <c r="B10156" s="3"/>
      <c r="C10156" s="3"/>
      <c r="D10156" s="3"/>
      <c r="E10156" s="3"/>
      <c r="F10156" s="3"/>
      <c r="G10156" s="3"/>
      <c r="H10156" s="11"/>
      <c r="I10156" s="12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  <c r="AA10156" s="3"/>
      <c r="AB10156" s="3"/>
      <c r="AC10156" s="3"/>
      <c r="AD10156" s="3"/>
      <c r="AE10156" s="3"/>
      <c r="AF10156" s="3"/>
      <c r="AG10156" s="3"/>
      <c r="AH10156" s="3"/>
    </row>
    <row r="10157" spans="1:34" ht="14.25" customHeight="1" x14ac:dyDescent="0.25">
      <c r="A10157" s="3"/>
      <c r="B10157" s="3"/>
      <c r="C10157" s="3"/>
      <c r="D10157" s="3"/>
      <c r="E10157" s="3"/>
      <c r="F10157" s="3"/>
      <c r="G10157" s="3"/>
      <c r="H10157" s="11"/>
      <c r="I10157" s="12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  <c r="AA10157" s="3"/>
      <c r="AB10157" s="3"/>
      <c r="AC10157" s="3"/>
      <c r="AD10157" s="3"/>
      <c r="AE10157" s="3"/>
      <c r="AF10157" s="3"/>
      <c r="AG10157" s="3"/>
      <c r="AH10157" s="3"/>
    </row>
    <row r="10158" spans="1:34" ht="14.25" customHeight="1" x14ac:dyDescent="0.25">
      <c r="A10158" s="3"/>
      <c r="B10158" s="3"/>
      <c r="C10158" s="3"/>
      <c r="D10158" s="3"/>
      <c r="E10158" s="3"/>
      <c r="F10158" s="3"/>
      <c r="G10158" s="3"/>
      <c r="H10158" s="11"/>
      <c r="I10158" s="12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  <c r="AA10158" s="3"/>
      <c r="AB10158" s="3"/>
      <c r="AC10158" s="3"/>
      <c r="AD10158" s="3"/>
      <c r="AE10158" s="3"/>
      <c r="AF10158" s="3"/>
      <c r="AG10158" s="3"/>
      <c r="AH10158" s="3"/>
    </row>
    <row r="10159" spans="1:34" ht="14.25" customHeight="1" x14ac:dyDescent="0.25">
      <c r="A10159" s="3"/>
      <c r="B10159" s="3"/>
      <c r="C10159" s="3"/>
      <c r="D10159" s="3"/>
      <c r="E10159" s="3"/>
      <c r="F10159" s="3"/>
      <c r="G10159" s="3"/>
      <c r="H10159" s="11"/>
      <c r="I10159" s="12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  <c r="AA10159" s="3"/>
      <c r="AB10159" s="3"/>
      <c r="AC10159" s="3"/>
      <c r="AD10159" s="3"/>
      <c r="AE10159" s="3"/>
      <c r="AF10159" s="3"/>
      <c r="AG10159" s="3"/>
      <c r="AH10159" s="3"/>
    </row>
    <row r="10160" spans="1:34" ht="14.25" customHeight="1" x14ac:dyDescent="0.25">
      <c r="A10160" s="3"/>
      <c r="B10160" s="3"/>
      <c r="C10160" s="3"/>
      <c r="D10160" s="3"/>
      <c r="E10160" s="3"/>
      <c r="F10160" s="3"/>
      <c r="G10160" s="3"/>
      <c r="H10160" s="11"/>
      <c r="I10160" s="12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  <c r="AA10160" s="3"/>
      <c r="AB10160" s="3"/>
      <c r="AC10160" s="3"/>
      <c r="AD10160" s="3"/>
      <c r="AE10160" s="3"/>
      <c r="AF10160" s="3"/>
      <c r="AG10160" s="3"/>
      <c r="AH10160" s="3"/>
    </row>
    <row r="10161" spans="1:34" ht="14.25" customHeight="1" x14ac:dyDescent="0.25">
      <c r="A10161" s="3"/>
      <c r="B10161" s="3"/>
      <c r="C10161" s="3"/>
      <c r="D10161" s="3"/>
      <c r="E10161" s="3"/>
      <c r="F10161" s="3"/>
      <c r="G10161" s="3"/>
      <c r="H10161" s="11"/>
      <c r="I10161" s="12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  <c r="AA10161" s="3"/>
      <c r="AB10161" s="3"/>
      <c r="AC10161" s="3"/>
      <c r="AD10161" s="3"/>
      <c r="AE10161" s="3"/>
      <c r="AF10161" s="3"/>
      <c r="AG10161" s="3"/>
      <c r="AH10161" s="3"/>
    </row>
    <row r="10162" spans="1:34" ht="14.25" customHeight="1" x14ac:dyDescent="0.25">
      <c r="A10162" s="3"/>
      <c r="B10162" s="3"/>
      <c r="C10162" s="3"/>
      <c r="D10162" s="3"/>
      <c r="E10162" s="3"/>
      <c r="F10162" s="3"/>
      <c r="G10162" s="3"/>
      <c r="H10162" s="11"/>
      <c r="I10162" s="12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  <c r="AA10162" s="3"/>
      <c r="AB10162" s="3"/>
      <c r="AC10162" s="3"/>
      <c r="AD10162" s="3"/>
      <c r="AE10162" s="3"/>
      <c r="AF10162" s="3"/>
      <c r="AG10162" s="3"/>
      <c r="AH10162" s="3"/>
    </row>
    <row r="10163" spans="1:34" ht="14.25" customHeight="1" x14ac:dyDescent="0.25">
      <c r="A10163" s="3"/>
      <c r="B10163" s="3"/>
      <c r="C10163" s="3"/>
      <c r="D10163" s="3"/>
      <c r="E10163" s="3"/>
      <c r="F10163" s="3"/>
      <c r="G10163" s="3"/>
      <c r="H10163" s="11"/>
      <c r="I10163" s="12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  <c r="AA10163" s="3"/>
      <c r="AB10163" s="3"/>
      <c r="AC10163" s="3"/>
      <c r="AD10163" s="3"/>
      <c r="AE10163" s="3"/>
      <c r="AF10163" s="3"/>
      <c r="AG10163" s="3"/>
      <c r="AH10163" s="3"/>
    </row>
    <row r="10164" spans="1:34" ht="14.25" customHeight="1" x14ac:dyDescent="0.25">
      <c r="A10164" s="3"/>
      <c r="B10164" s="3"/>
      <c r="C10164" s="3"/>
      <c r="D10164" s="3"/>
      <c r="E10164" s="3"/>
      <c r="F10164" s="3"/>
      <c r="G10164" s="3"/>
      <c r="H10164" s="11"/>
      <c r="I10164" s="12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  <c r="AA10164" s="3"/>
      <c r="AB10164" s="3"/>
      <c r="AC10164" s="3"/>
      <c r="AD10164" s="3"/>
      <c r="AE10164" s="3"/>
      <c r="AF10164" s="3"/>
      <c r="AG10164" s="3"/>
      <c r="AH10164" s="3"/>
    </row>
    <row r="10165" spans="1:34" ht="14.25" customHeight="1" x14ac:dyDescent="0.25">
      <c r="A10165" s="3"/>
      <c r="B10165" s="3"/>
      <c r="C10165" s="3"/>
      <c r="D10165" s="3"/>
      <c r="E10165" s="3"/>
      <c r="F10165" s="3"/>
      <c r="G10165" s="3"/>
      <c r="H10165" s="11"/>
      <c r="I10165" s="12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  <c r="AA10165" s="3"/>
      <c r="AB10165" s="3"/>
      <c r="AC10165" s="3"/>
      <c r="AD10165" s="3"/>
      <c r="AE10165" s="3"/>
      <c r="AF10165" s="3"/>
      <c r="AG10165" s="3"/>
      <c r="AH10165" s="3"/>
    </row>
    <row r="10166" spans="1:34" ht="14.25" customHeight="1" x14ac:dyDescent="0.25">
      <c r="A10166" s="3"/>
      <c r="B10166" s="3"/>
      <c r="C10166" s="3"/>
      <c r="D10166" s="3"/>
      <c r="E10166" s="3"/>
      <c r="F10166" s="3"/>
      <c r="G10166" s="3"/>
      <c r="H10166" s="11"/>
      <c r="I10166" s="12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  <c r="AA10166" s="3"/>
      <c r="AB10166" s="3"/>
      <c r="AC10166" s="3"/>
      <c r="AD10166" s="3"/>
      <c r="AE10166" s="3"/>
      <c r="AF10166" s="3"/>
      <c r="AG10166" s="3"/>
      <c r="AH10166" s="3"/>
    </row>
    <row r="10167" spans="1:34" ht="14.25" customHeight="1" x14ac:dyDescent="0.25">
      <c r="A10167" s="3"/>
      <c r="B10167" s="3"/>
      <c r="C10167" s="3"/>
      <c r="D10167" s="3"/>
      <c r="E10167" s="3"/>
      <c r="F10167" s="3"/>
      <c r="G10167" s="3"/>
      <c r="H10167" s="11"/>
      <c r="I10167" s="12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  <c r="AA10167" s="3"/>
      <c r="AB10167" s="3"/>
      <c r="AC10167" s="3"/>
      <c r="AD10167" s="3"/>
      <c r="AE10167" s="3"/>
      <c r="AF10167" s="3"/>
      <c r="AG10167" s="3"/>
      <c r="AH10167" s="3"/>
    </row>
    <row r="10168" spans="1:34" ht="14.25" customHeight="1" x14ac:dyDescent="0.25">
      <c r="A10168" s="3"/>
      <c r="B10168" s="3"/>
      <c r="C10168" s="3"/>
      <c r="D10168" s="3"/>
      <c r="E10168" s="3"/>
      <c r="F10168" s="3"/>
      <c r="G10168" s="3"/>
      <c r="H10168" s="11"/>
      <c r="I10168" s="12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  <c r="AA10168" s="3"/>
      <c r="AB10168" s="3"/>
      <c r="AC10168" s="3"/>
      <c r="AD10168" s="3"/>
      <c r="AE10168" s="3"/>
      <c r="AF10168" s="3"/>
      <c r="AG10168" s="3"/>
      <c r="AH10168" s="3"/>
    </row>
    <row r="10169" spans="1:34" ht="14.25" customHeight="1" x14ac:dyDescent="0.25">
      <c r="A10169" s="3"/>
      <c r="B10169" s="3"/>
      <c r="C10169" s="3"/>
      <c r="D10169" s="3"/>
      <c r="E10169" s="3"/>
      <c r="F10169" s="3"/>
      <c r="G10169" s="3"/>
      <c r="H10169" s="11"/>
      <c r="I10169" s="12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  <c r="AA10169" s="3"/>
      <c r="AB10169" s="3"/>
      <c r="AC10169" s="3"/>
      <c r="AD10169" s="3"/>
      <c r="AE10169" s="3"/>
      <c r="AF10169" s="3"/>
      <c r="AG10169" s="3"/>
      <c r="AH10169" s="3"/>
    </row>
    <row r="10170" spans="1:34" ht="14.25" customHeight="1" x14ac:dyDescent="0.25">
      <c r="A10170" s="3"/>
      <c r="B10170" s="3"/>
      <c r="C10170" s="3"/>
      <c r="D10170" s="3"/>
      <c r="E10170" s="3"/>
      <c r="F10170" s="3"/>
      <c r="G10170" s="3"/>
      <c r="H10170" s="11"/>
      <c r="I10170" s="12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  <c r="AA10170" s="3"/>
      <c r="AB10170" s="3"/>
      <c r="AC10170" s="3"/>
      <c r="AD10170" s="3"/>
      <c r="AE10170" s="3"/>
      <c r="AF10170" s="3"/>
      <c r="AG10170" s="3"/>
      <c r="AH10170" s="3"/>
    </row>
    <row r="10171" spans="1:34" ht="14.25" customHeight="1" x14ac:dyDescent="0.25">
      <c r="A10171" s="3"/>
      <c r="B10171" s="3"/>
      <c r="C10171" s="3"/>
      <c r="D10171" s="3"/>
      <c r="E10171" s="3"/>
      <c r="F10171" s="3"/>
      <c r="G10171" s="3"/>
      <c r="H10171" s="11"/>
      <c r="I10171" s="12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  <c r="AA10171" s="3"/>
      <c r="AB10171" s="3"/>
      <c r="AC10171" s="3"/>
      <c r="AD10171" s="3"/>
      <c r="AE10171" s="3"/>
      <c r="AF10171" s="3"/>
      <c r="AG10171" s="3"/>
      <c r="AH10171" s="3"/>
    </row>
    <row r="10172" spans="1:34" ht="14.25" customHeight="1" x14ac:dyDescent="0.25">
      <c r="A10172" s="3"/>
      <c r="B10172" s="3"/>
      <c r="C10172" s="3"/>
      <c r="D10172" s="3"/>
      <c r="E10172" s="3"/>
      <c r="F10172" s="3"/>
      <c r="G10172" s="3"/>
      <c r="H10172" s="11"/>
      <c r="I10172" s="12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  <c r="AA10172" s="3"/>
      <c r="AB10172" s="3"/>
      <c r="AC10172" s="3"/>
      <c r="AD10172" s="3"/>
      <c r="AE10172" s="3"/>
      <c r="AF10172" s="3"/>
      <c r="AG10172" s="3"/>
      <c r="AH10172" s="3"/>
    </row>
    <row r="10173" spans="1:34" ht="14.25" customHeight="1" x14ac:dyDescent="0.25">
      <c r="A10173" s="3"/>
      <c r="B10173" s="3"/>
      <c r="C10173" s="3"/>
      <c r="D10173" s="3"/>
      <c r="E10173" s="3"/>
      <c r="F10173" s="3"/>
      <c r="G10173" s="3"/>
      <c r="H10173" s="11"/>
      <c r="I10173" s="12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  <c r="AA10173" s="3"/>
      <c r="AB10173" s="3"/>
      <c r="AC10173" s="3"/>
      <c r="AD10173" s="3"/>
      <c r="AE10173" s="3"/>
      <c r="AF10173" s="3"/>
      <c r="AG10173" s="3"/>
      <c r="AH10173" s="3"/>
    </row>
    <row r="10174" spans="1:34" ht="14.25" customHeight="1" x14ac:dyDescent="0.25">
      <c r="A10174" s="3"/>
      <c r="B10174" s="3"/>
      <c r="C10174" s="3"/>
      <c r="D10174" s="3"/>
      <c r="E10174" s="3"/>
      <c r="F10174" s="3"/>
      <c r="G10174" s="3"/>
      <c r="H10174" s="11"/>
      <c r="I10174" s="12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  <c r="AA10174" s="3"/>
      <c r="AB10174" s="3"/>
      <c r="AC10174" s="3"/>
      <c r="AD10174" s="3"/>
      <c r="AE10174" s="3"/>
      <c r="AF10174" s="3"/>
      <c r="AG10174" s="3"/>
      <c r="AH10174" s="3"/>
    </row>
    <row r="10175" spans="1:34" ht="14.25" customHeight="1" x14ac:dyDescent="0.25">
      <c r="A10175" s="3"/>
      <c r="B10175" s="3"/>
      <c r="C10175" s="3"/>
      <c r="D10175" s="3"/>
      <c r="E10175" s="3"/>
      <c r="F10175" s="3"/>
      <c r="G10175" s="3"/>
      <c r="H10175" s="11"/>
      <c r="I10175" s="12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  <c r="AA10175" s="3"/>
      <c r="AB10175" s="3"/>
      <c r="AC10175" s="3"/>
      <c r="AD10175" s="3"/>
      <c r="AE10175" s="3"/>
      <c r="AF10175" s="3"/>
      <c r="AG10175" s="3"/>
      <c r="AH10175" s="3"/>
    </row>
    <row r="10176" spans="1:34" ht="14.25" customHeight="1" x14ac:dyDescent="0.25">
      <c r="A10176" s="3"/>
      <c r="B10176" s="3"/>
      <c r="C10176" s="3"/>
      <c r="D10176" s="3"/>
      <c r="E10176" s="3"/>
      <c r="F10176" s="3"/>
      <c r="G10176" s="3"/>
      <c r="H10176" s="11"/>
      <c r="I10176" s="12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  <c r="AA10176" s="3"/>
      <c r="AB10176" s="3"/>
      <c r="AC10176" s="3"/>
      <c r="AD10176" s="3"/>
      <c r="AE10176" s="3"/>
      <c r="AF10176" s="3"/>
      <c r="AG10176" s="3"/>
      <c r="AH10176" s="3"/>
    </row>
    <row r="10177" spans="1:34" ht="14.25" customHeight="1" x14ac:dyDescent="0.25">
      <c r="A10177" s="3"/>
      <c r="B10177" s="3"/>
      <c r="C10177" s="3"/>
      <c r="D10177" s="3"/>
      <c r="E10177" s="3"/>
      <c r="F10177" s="3"/>
      <c r="G10177" s="3"/>
      <c r="H10177" s="11"/>
      <c r="I10177" s="12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  <c r="AA10177" s="3"/>
      <c r="AB10177" s="3"/>
      <c r="AC10177" s="3"/>
      <c r="AD10177" s="3"/>
      <c r="AE10177" s="3"/>
      <c r="AF10177" s="3"/>
      <c r="AG10177" s="3"/>
      <c r="AH10177" s="3"/>
    </row>
    <row r="10178" spans="1:34" ht="14.25" customHeight="1" x14ac:dyDescent="0.25">
      <c r="A10178" s="3"/>
      <c r="B10178" s="3"/>
      <c r="C10178" s="3"/>
      <c r="D10178" s="3"/>
      <c r="E10178" s="3"/>
      <c r="F10178" s="3"/>
      <c r="G10178" s="3"/>
      <c r="H10178" s="11"/>
      <c r="I10178" s="12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  <c r="AA10178" s="3"/>
      <c r="AB10178" s="3"/>
      <c r="AC10178" s="3"/>
      <c r="AD10178" s="3"/>
      <c r="AE10178" s="3"/>
      <c r="AF10178" s="3"/>
      <c r="AG10178" s="3"/>
      <c r="AH10178" s="3"/>
    </row>
    <row r="10179" spans="1:34" ht="14.25" customHeight="1" x14ac:dyDescent="0.25">
      <c r="A10179" s="3"/>
      <c r="B10179" s="3"/>
      <c r="C10179" s="3"/>
      <c r="D10179" s="3"/>
      <c r="E10179" s="3"/>
      <c r="F10179" s="3"/>
      <c r="G10179" s="3"/>
      <c r="H10179" s="11"/>
      <c r="I10179" s="12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  <c r="AA10179" s="3"/>
      <c r="AB10179" s="3"/>
      <c r="AC10179" s="3"/>
      <c r="AD10179" s="3"/>
      <c r="AE10179" s="3"/>
      <c r="AF10179" s="3"/>
      <c r="AG10179" s="3"/>
      <c r="AH10179" s="3"/>
    </row>
    <row r="10180" spans="1:34" ht="14.25" customHeight="1" x14ac:dyDescent="0.25">
      <c r="A10180" s="3"/>
      <c r="B10180" s="3"/>
      <c r="C10180" s="3"/>
      <c r="D10180" s="3"/>
      <c r="E10180" s="3"/>
      <c r="F10180" s="3"/>
      <c r="G10180" s="3"/>
      <c r="H10180" s="11"/>
      <c r="I10180" s="12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  <c r="AA10180" s="3"/>
      <c r="AB10180" s="3"/>
      <c r="AC10180" s="3"/>
      <c r="AD10180" s="3"/>
      <c r="AE10180" s="3"/>
      <c r="AF10180" s="3"/>
      <c r="AG10180" s="3"/>
      <c r="AH10180" s="3"/>
    </row>
    <row r="10181" spans="1:34" ht="14.25" customHeight="1" x14ac:dyDescent="0.25">
      <c r="A10181" s="3"/>
      <c r="B10181" s="3"/>
      <c r="C10181" s="3"/>
      <c r="D10181" s="3"/>
      <c r="E10181" s="3"/>
      <c r="F10181" s="3"/>
      <c r="G10181" s="3"/>
      <c r="H10181" s="11"/>
      <c r="I10181" s="12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  <c r="AA10181" s="3"/>
      <c r="AB10181" s="3"/>
      <c r="AC10181" s="3"/>
      <c r="AD10181" s="3"/>
      <c r="AE10181" s="3"/>
      <c r="AF10181" s="3"/>
      <c r="AG10181" s="3"/>
      <c r="AH10181" s="3"/>
    </row>
    <row r="10182" spans="1:34" ht="14.25" customHeight="1" x14ac:dyDescent="0.25">
      <c r="A10182" s="3"/>
      <c r="B10182" s="3"/>
      <c r="C10182" s="3"/>
      <c r="D10182" s="3"/>
      <c r="E10182" s="3"/>
      <c r="F10182" s="3"/>
      <c r="G10182" s="3"/>
      <c r="H10182" s="11"/>
      <c r="I10182" s="12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  <c r="AA10182" s="3"/>
      <c r="AB10182" s="3"/>
      <c r="AC10182" s="3"/>
      <c r="AD10182" s="3"/>
      <c r="AE10182" s="3"/>
      <c r="AF10182" s="3"/>
      <c r="AG10182" s="3"/>
      <c r="AH10182" s="3"/>
    </row>
    <row r="10183" spans="1:34" ht="14.25" customHeight="1" x14ac:dyDescent="0.25">
      <c r="A10183" s="3"/>
      <c r="B10183" s="3"/>
      <c r="C10183" s="3"/>
      <c r="D10183" s="3"/>
      <c r="E10183" s="3"/>
      <c r="F10183" s="3"/>
      <c r="G10183" s="3"/>
      <c r="H10183" s="11"/>
      <c r="I10183" s="12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  <c r="AA10183" s="3"/>
      <c r="AB10183" s="3"/>
      <c r="AC10183" s="3"/>
      <c r="AD10183" s="3"/>
      <c r="AE10183" s="3"/>
      <c r="AF10183" s="3"/>
      <c r="AG10183" s="3"/>
      <c r="AH10183" s="3"/>
    </row>
    <row r="10184" spans="1:34" ht="14.25" customHeight="1" x14ac:dyDescent="0.25">
      <c r="A10184" s="3"/>
      <c r="B10184" s="3"/>
      <c r="C10184" s="3"/>
      <c r="D10184" s="3"/>
      <c r="E10184" s="3"/>
      <c r="F10184" s="3"/>
      <c r="G10184" s="3"/>
      <c r="H10184" s="11"/>
      <c r="I10184" s="12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  <c r="AA10184" s="3"/>
      <c r="AB10184" s="3"/>
      <c r="AC10184" s="3"/>
      <c r="AD10184" s="3"/>
      <c r="AE10184" s="3"/>
      <c r="AF10184" s="3"/>
      <c r="AG10184" s="3"/>
      <c r="AH10184" s="3"/>
    </row>
    <row r="10185" spans="1:34" ht="14.25" customHeight="1" x14ac:dyDescent="0.25">
      <c r="A10185" s="3"/>
      <c r="B10185" s="3"/>
      <c r="C10185" s="3"/>
      <c r="D10185" s="3"/>
      <c r="E10185" s="3"/>
      <c r="F10185" s="3"/>
      <c r="G10185" s="3"/>
      <c r="H10185" s="11"/>
      <c r="I10185" s="12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  <c r="AA10185" s="3"/>
      <c r="AB10185" s="3"/>
      <c r="AC10185" s="3"/>
      <c r="AD10185" s="3"/>
      <c r="AE10185" s="3"/>
      <c r="AF10185" s="3"/>
      <c r="AG10185" s="3"/>
      <c r="AH10185" s="3"/>
    </row>
    <row r="10186" spans="1:34" ht="14.25" customHeight="1" x14ac:dyDescent="0.25">
      <c r="A10186" s="3"/>
      <c r="B10186" s="3"/>
      <c r="C10186" s="3"/>
      <c r="D10186" s="3"/>
      <c r="E10186" s="3"/>
      <c r="F10186" s="3"/>
      <c r="G10186" s="3"/>
      <c r="H10186" s="11"/>
      <c r="I10186" s="12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  <c r="AA10186" s="3"/>
      <c r="AB10186" s="3"/>
      <c r="AC10186" s="3"/>
      <c r="AD10186" s="3"/>
      <c r="AE10186" s="3"/>
      <c r="AF10186" s="3"/>
      <c r="AG10186" s="3"/>
      <c r="AH10186" s="3"/>
    </row>
    <row r="10187" spans="1:34" ht="14.25" customHeight="1" x14ac:dyDescent="0.25">
      <c r="A10187" s="3"/>
      <c r="B10187" s="3"/>
      <c r="C10187" s="3"/>
      <c r="D10187" s="3"/>
      <c r="E10187" s="3"/>
      <c r="F10187" s="3"/>
      <c r="G10187" s="3"/>
      <c r="H10187" s="11"/>
      <c r="I10187" s="12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  <c r="AA10187" s="3"/>
      <c r="AB10187" s="3"/>
      <c r="AC10187" s="3"/>
      <c r="AD10187" s="3"/>
      <c r="AE10187" s="3"/>
      <c r="AF10187" s="3"/>
      <c r="AG10187" s="3"/>
      <c r="AH10187" s="3"/>
    </row>
    <row r="10188" spans="1:34" ht="14.25" customHeight="1" x14ac:dyDescent="0.25">
      <c r="A10188" s="3"/>
      <c r="B10188" s="3"/>
      <c r="C10188" s="3"/>
      <c r="D10188" s="3"/>
      <c r="E10188" s="3"/>
      <c r="F10188" s="3"/>
      <c r="G10188" s="3"/>
      <c r="H10188" s="11"/>
      <c r="I10188" s="12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  <c r="AA10188" s="3"/>
      <c r="AB10188" s="3"/>
      <c r="AC10188" s="3"/>
      <c r="AD10188" s="3"/>
      <c r="AE10188" s="3"/>
      <c r="AF10188" s="3"/>
      <c r="AG10188" s="3"/>
      <c r="AH10188" s="3"/>
    </row>
    <row r="10189" spans="1:34" ht="14.25" customHeight="1" x14ac:dyDescent="0.25">
      <c r="A10189" s="3"/>
      <c r="B10189" s="3"/>
      <c r="C10189" s="3"/>
      <c r="D10189" s="3"/>
      <c r="E10189" s="3"/>
      <c r="F10189" s="3"/>
      <c r="G10189" s="3"/>
      <c r="H10189" s="11"/>
      <c r="I10189" s="12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  <c r="AA10189" s="3"/>
      <c r="AB10189" s="3"/>
      <c r="AC10189" s="3"/>
      <c r="AD10189" s="3"/>
      <c r="AE10189" s="3"/>
      <c r="AF10189" s="3"/>
      <c r="AG10189" s="3"/>
      <c r="AH10189" s="3"/>
    </row>
    <row r="10190" spans="1:34" ht="14.25" customHeight="1" x14ac:dyDescent="0.25">
      <c r="A10190" s="3"/>
      <c r="B10190" s="3"/>
      <c r="C10190" s="3"/>
      <c r="D10190" s="3"/>
      <c r="E10190" s="3"/>
      <c r="F10190" s="3"/>
      <c r="G10190" s="3"/>
      <c r="H10190" s="11"/>
      <c r="I10190" s="12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  <c r="AA10190" s="3"/>
      <c r="AB10190" s="3"/>
      <c r="AC10190" s="3"/>
      <c r="AD10190" s="3"/>
      <c r="AE10190" s="3"/>
      <c r="AF10190" s="3"/>
      <c r="AG10190" s="3"/>
      <c r="AH10190" s="3"/>
    </row>
    <row r="10191" spans="1:34" ht="14.25" customHeight="1" x14ac:dyDescent="0.25">
      <c r="A10191" s="3"/>
      <c r="B10191" s="3"/>
      <c r="C10191" s="3"/>
      <c r="D10191" s="3"/>
      <c r="E10191" s="3"/>
      <c r="F10191" s="3"/>
      <c r="G10191" s="3"/>
      <c r="H10191" s="11"/>
      <c r="I10191" s="12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  <c r="AA10191" s="3"/>
      <c r="AB10191" s="3"/>
      <c r="AC10191" s="3"/>
      <c r="AD10191" s="3"/>
      <c r="AE10191" s="3"/>
      <c r="AF10191" s="3"/>
      <c r="AG10191" s="3"/>
      <c r="AH10191" s="3"/>
    </row>
    <row r="10192" spans="1:34" ht="14.25" customHeight="1" x14ac:dyDescent="0.25">
      <c r="A10192" s="3"/>
      <c r="B10192" s="3"/>
      <c r="C10192" s="3"/>
      <c r="D10192" s="3"/>
      <c r="E10192" s="3"/>
      <c r="F10192" s="3"/>
      <c r="G10192" s="3"/>
      <c r="H10192" s="11"/>
      <c r="I10192" s="12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  <c r="AA10192" s="3"/>
      <c r="AB10192" s="3"/>
      <c r="AC10192" s="3"/>
      <c r="AD10192" s="3"/>
      <c r="AE10192" s="3"/>
      <c r="AF10192" s="3"/>
      <c r="AG10192" s="3"/>
      <c r="AH10192" s="3"/>
    </row>
    <row r="10193" spans="1:34" ht="14.25" customHeight="1" x14ac:dyDescent="0.25">
      <c r="A10193" s="3"/>
      <c r="B10193" s="3"/>
      <c r="C10193" s="3"/>
      <c r="D10193" s="3"/>
      <c r="E10193" s="3"/>
      <c r="F10193" s="3"/>
      <c r="G10193" s="3"/>
      <c r="H10193" s="11"/>
      <c r="I10193" s="12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  <c r="AA10193" s="3"/>
      <c r="AB10193" s="3"/>
      <c r="AC10193" s="3"/>
      <c r="AD10193" s="3"/>
      <c r="AE10193" s="3"/>
      <c r="AF10193" s="3"/>
      <c r="AG10193" s="3"/>
      <c r="AH10193" s="3"/>
    </row>
    <row r="10194" spans="1:34" ht="14.25" customHeight="1" x14ac:dyDescent="0.25">
      <c r="A10194" s="3"/>
      <c r="B10194" s="3"/>
      <c r="C10194" s="3"/>
      <c r="D10194" s="3"/>
      <c r="E10194" s="3"/>
      <c r="F10194" s="3"/>
      <c r="G10194" s="3"/>
      <c r="H10194" s="11"/>
      <c r="I10194" s="12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  <c r="AA10194" s="3"/>
      <c r="AB10194" s="3"/>
      <c r="AC10194" s="3"/>
      <c r="AD10194" s="3"/>
      <c r="AE10194" s="3"/>
      <c r="AF10194" s="3"/>
      <c r="AG10194" s="3"/>
      <c r="AH10194" s="3"/>
    </row>
    <row r="10195" spans="1:34" ht="14.25" customHeight="1" x14ac:dyDescent="0.25">
      <c r="A10195" s="3"/>
      <c r="B10195" s="3"/>
      <c r="C10195" s="3"/>
      <c r="D10195" s="3"/>
      <c r="E10195" s="3"/>
      <c r="F10195" s="3"/>
      <c r="G10195" s="3"/>
      <c r="H10195" s="11"/>
      <c r="I10195" s="12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  <c r="AA10195" s="3"/>
      <c r="AB10195" s="3"/>
      <c r="AC10195" s="3"/>
      <c r="AD10195" s="3"/>
      <c r="AE10195" s="3"/>
      <c r="AF10195" s="3"/>
      <c r="AG10195" s="3"/>
      <c r="AH10195" s="3"/>
    </row>
    <row r="10196" spans="1:34" ht="14.25" customHeight="1" x14ac:dyDescent="0.25">
      <c r="A10196" s="3"/>
      <c r="B10196" s="3"/>
      <c r="C10196" s="3"/>
      <c r="D10196" s="3"/>
      <c r="E10196" s="3"/>
      <c r="F10196" s="3"/>
      <c r="G10196" s="3"/>
      <c r="H10196" s="11"/>
      <c r="I10196" s="12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  <c r="AA10196" s="3"/>
      <c r="AB10196" s="3"/>
      <c r="AC10196" s="3"/>
      <c r="AD10196" s="3"/>
      <c r="AE10196" s="3"/>
      <c r="AF10196" s="3"/>
      <c r="AG10196" s="3"/>
      <c r="AH10196" s="3"/>
    </row>
    <row r="10197" spans="1:34" ht="14.25" customHeight="1" x14ac:dyDescent="0.25">
      <c r="A10197" s="3"/>
      <c r="B10197" s="3"/>
      <c r="C10197" s="3"/>
      <c r="D10197" s="3"/>
      <c r="E10197" s="3"/>
      <c r="F10197" s="3"/>
      <c r="G10197" s="3"/>
      <c r="H10197" s="11"/>
      <c r="I10197" s="12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  <c r="AA10197" s="3"/>
      <c r="AB10197" s="3"/>
      <c r="AC10197" s="3"/>
      <c r="AD10197" s="3"/>
      <c r="AE10197" s="3"/>
      <c r="AF10197" s="3"/>
      <c r="AG10197" s="3"/>
      <c r="AH10197" s="3"/>
    </row>
    <row r="10198" spans="1:34" ht="14.25" customHeight="1" x14ac:dyDescent="0.25">
      <c r="A10198" s="3"/>
      <c r="B10198" s="3"/>
      <c r="C10198" s="3"/>
      <c r="D10198" s="3"/>
      <c r="E10198" s="3"/>
      <c r="F10198" s="3"/>
      <c r="G10198" s="3"/>
      <c r="H10198" s="11"/>
      <c r="I10198" s="12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  <c r="AA10198" s="3"/>
      <c r="AB10198" s="3"/>
      <c r="AC10198" s="3"/>
      <c r="AD10198" s="3"/>
      <c r="AE10198" s="3"/>
      <c r="AF10198" s="3"/>
      <c r="AG10198" s="3"/>
      <c r="AH10198" s="3"/>
    </row>
    <row r="10199" spans="1:34" ht="14.25" customHeight="1" x14ac:dyDescent="0.25">
      <c r="A10199" s="3"/>
      <c r="B10199" s="3"/>
      <c r="C10199" s="3"/>
      <c r="D10199" s="3"/>
      <c r="E10199" s="3"/>
      <c r="F10199" s="3"/>
      <c r="G10199" s="3"/>
      <c r="H10199" s="11"/>
      <c r="I10199" s="12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  <c r="AA10199" s="3"/>
      <c r="AB10199" s="3"/>
      <c r="AC10199" s="3"/>
      <c r="AD10199" s="3"/>
      <c r="AE10199" s="3"/>
      <c r="AF10199" s="3"/>
      <c r="AG10199" s="3"/>
      <c r="AH10199" s="3"/>
    </row>
    <row r="10200" spans="1:34" ht="14.25" customHeight="1" x14ac:dyDescent="0.25">
      <c r="A10200" s="3"/>
      <c r="B10200" s="3"/>
      <c r="C10200" s="3"/>
      <c r="D10200" s="3"/>
      <c r="E10200" s="3"/>
      <c r="F10200" s="3"/>
      <c r="G10200" s="3"/>
      <c r="H10200" s="11"/>
      <c r="I10200" s="12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  <c r="AA10200" s="3"/>
      <c r="AB10200" s="3"/>
      <c r="AC10200" s="3"/>
      <c r="AD10200" s="3"/>
      <c r="AE10200" s="3"/>
      <c r="AF10200" s="3"/>
      <c r="AG10200" s="3"/>
      <c r="AH10200" s="3"/>
    </row>
    <row r="10201" spans="1:34" ht="14.25" customHeight="1" x14ac:dyDescent="0.25">
      <c r="A10201" s="3"/>
      <c r="B10201" s="3"/>
      <c r="C10201" s="3"/>
      <c r="D10201" s="3"/>
      <c r="E10201" s="3"/>
      <c r="F10201" s="3"/>
      <c r="G10201" s="3"/>
      <c r="H10201" s="11"/>
      <c r="I10201" s="12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  <c r="AA10201" s="3"/>
      <c r="AB10201" s="3"/>
      <c r="AC10201" s="3"/>
      <c r="AD10201" s="3"/>
      <c r="AE10201" s="3"/>
      <c r="AF10201" s="3"/>
      <c r="AG10201" s="3"/>
      <c r="AH10201" s="3"/>
    </row>
    <row r="10202" spans="1:34" ht="14.25" customHeight="1" x14ac:dyDescent="0.25">
      <c r="A10202" s="3"/>
      <c r="B10202" s="3"/>
      <c r="C10202" s="3"/>
      <c r="D10202" s="3"/>
      <c r="E10202" s="3"/>
      <c r="F10202" s="3"/>
      <c r="G10202" s="3"/>
      <c r="H10202" s="11"/>
      <c r="I10202" s="12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  <c r="AA10202" s="3"/>
      <c r="AB10202" s="3"/>
      <c r="AC10202" s="3"/>
      <c r="AD10202" s="3"/>
      <c r="AE10202" s="3"/>
      <c r="AF10202" s="3"/>
      <c r="AG10202" s="3"/>
      <c r="AH10202" s="3"/>
    </row>
    <row r="10203" spans="1:34" ht="14.25" customHeight="1" x14ac:dyDescent="0.25">
      <c r="A10203" s="3"/>
      <c r="B10203" s="3"/>
      <c r="C10203" s="3"/>
      <c r="D10203" s="3"/>
      <c r="E10203" s="3"/>
      <c r="F10203" s="3"/>
      <c r="G10203" s="3"/>
      <c r="H10203" s="11"/>
      <c r="I10203" s="12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  <c r="AA10203" s="3"/>
      <c r="AB10203" s="3"/>
      <c r="AC10203" s="3"/>
      <c r="AD10203" s="3"/>
      <c r="AE10203" s="3"/>
      <c r="AF10203" s="3"/>
      <c r="AG10203" s="3"/>
      <c r="AH10203" s="3"/>
    </row>
    <row r="10204" spans="1:34" ht="14.25" customHeight="1" x14ac:dyDescent="0.25">
      <c r="A10204" s="3"/>
      <c r="B10204" s="3"/>
      <c r="C10204" s="3"/>
      <c r="D10204" s="3"/>
      <c r="E10204" s="3"/>
      <c r="F10204" s="3"/>
      <c r="G10204" s="3"/>
      <c r="H10204" s="11"/>
      <c r="I10204" s="12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  <c r="AA10204" s="3"/>
      <c r="AB10204" s="3"/>
      <c r="AC10204" s="3"/>
      <c r="AD10204" s="3"/>
      <c r="AE10204" s="3"/>
      <c r="AF10204" s="3"/>
      <c r="AG10204" s="3"/>
      <c r="AH10204" s="3"/>
    </row>
    <row r="10205" spans="1:34" ht="14.25" customHeight="1" x14ac:dyDescent="0.25">
      <c r="A10205" s="3"/>
      <c r="B10205" s="3"/>
      <c r="C10205" s="3"/>
      <c r="D10205" s="3"/>
      <c r="E10205" s="3"/>
      <c r="F10205" s="3"/>
      <c r="G10205" s="3"/>
      <c r="H10205" s="11"/>
      <c r="I10205" s="12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  <c r="AA10205" s="3"/>
      <c r="AB10205" s="3"/>
      <c r="AC10205" s="3"/>
      <c r="AD10205" s="3"/>
      <c r="AE10205" s="3"/>
      <c r="AF10205" s="3"/>
      <c r="AG10205" s="3"/>
      <c r="AH10205" s="3"/>
    </row>
    <row r="10206" spans="1:34" ht="14.25" customHeight="1" x14ac:dyDescent="0.25">
      <c r="A10206" s="3"/>
      <c r="B10206" s="3"/>
      <c r="C10206" s="3"/>
      <c r="D10206" s="3"/>
      <c r="E10206" s="3"/>
      <c r="F10206" s="3"/>
      <c r="G10206" s="3"/>
      <c r="H10206" s="11"/>
      <c r="I10206" s="12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  <c r="AA10206" s="3"/>
      <c r="AB10206" s="3"/>
      <c r="AC10206" s="3"/>
      <c r="AD10206" s="3"/>
      <c r="AE10206" s="3"/>
      <c r="AF10206" s="3"/>
      <c r="AG10206" s="3"/>
      <c r="AH10206" s="3"/>
    </row>
    <row r="10207" spans="1:34" ht="14.25" customHeight="1" x14ac:dyDescent="0.25">
      <c r="A10207" s="3"/>
      <c r="B10207" s="3"/>
      <c r="C10207" s="3"/>
      <c r="D10207" s="3"/>
      <c r="E10207" s="3"/>
      <c r="F10207" s="3"/>
      <c r="G10207" s="3"/>
      <c r="H10207" s="11"/>
      <c r="I10207" s="12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  <c r="AA10207" s="3"/>
      <c r="AB10207" s="3"/>
      <c r="AC10207" s="3"/>
      <c r="AD10207" s="3"/>
      <c r="AE10207" s="3"/>
      <c r="AF10207" s="3"/>
      <c r="AG10207" s="3"/>
      <c r="AH10207" s="3"/>
    </row>
    <row r="10208" spans="1:34" ht="14.25" customHeight="1" x14ac:dyDescent="0.25">
      <c r="A10208" s="3"/>
      <c r="B10208" s="3"/>
      <c r="C10208" s="3"/>
      <c r="D10208" s="3"/>
      <c r="E10208" s="3"/>
      <c r="F10208" s="3"/>
      <c r="G10208" s="3"/>
      <c r="H10208" s="11"/>
      <c r="I10208" s="12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  <c r="AA10208" s="3"/>
      <c r="AB10208" s="3"/>
      <c r="AC10208" s="3"/>
      <c r="AD10208" s="3"/>
      <c r="AE10208" s="3"/>
      <c r="AF10208" s="3"/>
      <c r="AG10208" s="3"/>
      <c r="AH10208" s="3"/>
    </row>
    <row r="10209" spans="1:34" ht="14.25" customHeight="1" x14ac:dyDescent="0.25">
      <c r="A10209" s="3"/>
      <c r="B10209" s="3"/>
      <c r="C10209" s="3"/>
      <c r="D10209" s="3"/>
      <c r="E10209" s="3"/>
      <c r="F10209" s="3"/>
      <c r="G10209" s="3"/>
      <c r="H10209" s="11"/>
      <c r="I10209" s="12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  <c r="AA10209" s="3"/>
      <c r="AB10209" s="3"/>
      <c r="AC10209" s="3"/>
      <c r="AD10209" s="3"/>
      <c r="AE10209" s="3"/>
      <c r="AF10209" s="3"/>
      <c r="AG10209" s="3"/>
      <c r="AH10209" s="3"/>
    </row>
    <row r="10210" spans="1:34" ht="14.25" customHeight="1" x14ac:dyDescent="0.25">
      <c r="A10210" s="3"/>
      <c r="B10210" s="3"/>
      <c r="C10210" s="3"/>
      <c r="D10210" s="3"/>
      <c r="E10210" s="3"/>
      <c r="F10210" s="3"/>
      <c r="G10210" s="3"/>
      <c r="H10210" s="11"/>
      <c r="I10210" s="12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  <c r="AA10210" s="3"/>
      <c r="AB10210" s="3"/>
      <c r="AC10210" s="3"/>
      <c r="AD10210" s="3"/>
      <c r="AE10210" s="3"/>
      <c r="AF10210" s="3"/>
      <c r="AG10210" s="3"/>
      <c r="AH10210" s="3"/>
    </row>
    <row r="10211" spans="1:34" ht="14.25" customHeight="1" x14ac:dyDescent="0.25">
      <c r="A10211" s="3"/>
      <c r="B10211" s="3"/>
      <c r="C10211" s="3"/>
      <c r="D10211" s="3"/>
      <c r="E10211" s="3"/>
      <c r="F10211" s="3"/>
      <c r="G10211" s="3"/>
      <c r="H10211" s="11"/>
      <c r="I10211" s="12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  <c r="AA10211" s="3"/>
      <c r="AB10211" s="3"/>
      <c r="AC10211" s="3"/>
      <c r="AD10211" s="3"/>
      <c r="AE10211" s="3"/>
      <c r="AF10211" s="3"/>
      <c r="AG10211" s="3"/>
      <c r="AH10211" s="3"/>
    </row>
    <row r="10212" spans="1:34" ht="14.25" customHeight="1" x14ac:dyDescent="0.25">
      <c r="A10212" s="3"/>
      <c r="B10212" s="3"/>
      <c r="C10212" s="3"/>
      <c r="D10212" s="3"/>
      <c r="E10212" s="3"/>
      <c r="F10212" s="3"/>
      <c r="G10212" s="3"/>
      <c r="H10212" s="11"/>
      <c r="I10212" s="12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  <c r="AA10212" s="3"/>
      <c r="AB10212" s="3"/>
      <c r="AC10212" s="3"/>
      <c r="AD10212" s="3"/>
      <c r="AE10212" s="3"/>
      <c r="AF10212" s="3"/>
      <c r="AG10212" s="3"/>
      <c r="AH10212" s="3"/>
    </row>
    <row r="10213" spans="1:34" ht="14.25" customHeight="1" x14ac:dyDescent="0.25">
      <c r="A10213" s="3"/>
      <c r="B10213" s="3"/>
      <c r="C10213" s="3"/>
      <c r="D10213" s="3"/>
      <c r="E10213" s="3"/>
      <c r="F10213" s="3"/>
      <c r="G10213" s="3"/>
      <c r="H10213" s="11"/>
      <c r="I10213" s="12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  <c r="AA10213" s="3"/>
      <c r="AB10213" s="3"/>
      <c r="AC10213" s="3"/>
      <c r="AD10213" s="3"/>
      <c r="AE10213" s="3"/>
      <c r="AF10213" s="3"/>
      <c r="AG10213" s="3"/>
      <c r="AH10213" s="3"/>
    </row>
    <row r="10214" spans="1:34" ht="14.25" customHeight="1" x14ac:dyDescent="0.25">
      <c r="A10214" s="3"/>
      <c r="B10214" s="3"/>
      <c r="C10214" s="3"/>
      <c r="D10214" s="3"/>
      <c r="E10214" s="3"/>
      <c r="F10214" s="3"/>
      <c r="G10214" s="3"/>
      <c r="H10214" s="11"/>
      <c r="I10214" s="12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  <c r="AA10214" s="3"/>
      <c r="AB10214" s="3"/>
      <c r="AC10214" s="3"/>
      <c r="AD10214" s="3"/>
      <c r="AE10214" s="3"/>
      <c r="AF10214" s="3"/>
      <c r="AG10214" s="3"/>
      <c r="AH10214" s="3"/>
    </row>
    <row r="10215" spans="1:34" ht="14.25" customHeight="1" x14ac:dyDescent="0.25">
      <c r="A10215" s="3"/>
      <c r="B10215" s="3"/>
      <c r="C10215" s="3"/>
      <c r="D10215" s="3"/>
      <c r="E10215" s="3"/>
      <c r="F10215" s="3"/>
      <c r="G10215" s="3"/>
      <c r="H10215" s="11"/>
      <c r="I10215" s="12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  <c r="AA10215" s="3"/>
      <c r="AB10215" s="3"/>
      <c r="AC10215" s="3"/>
      <c r="AD10215" s="3"/>
      <c r="AE10215" s="3"/>
      <c r="AF10215" s="3"/>
      <c r="AG10215" s="3"/>
      <c r="AH10215" s="3"/>
    </row>
    <row r="10216" spans="1:34" ht="14.25" customHeight="1" x14ac:dyDescent="0.25">
      <c r="A10216" s="3"/>
      <c r="B10216" s="3"/>
      <c r="C10216" s="3"/>
      <c r="D10216" s="3"/>
      <c r="E10216" s="3"/>
      <c r="F10216" s="3"/>
      <c r="G10216" s="3"/>
      <c r="H10216" s="11"/>
      <c r="I10216" s="12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  <c r="AA10216" s="3"/>
      <c r="AB10216" s="3"/>
      <c r="AC10216" s="3"/>
      <c r="AD10216" s="3"/>
      <c r="AE10216" s="3"/>
      <c r="AF10216" s="3"/>
      <c r="AG10216" s="3"/>
      <c r="AH10216" s="3"/>
    </row>
    <row r="10217" spans="1:34" ht="14.25" customHeight="1" x14ac:dyDescent="0.25">
      <c r="A10217" s="3"/>
      <c r="B10217" s="3"/>
      <c r="C10217" s="3"/>
      <c r="D10217" s="3"/>
      <c r="E10217" s="3"/>
      <c r="F10217" s="3"/>
      <c r="G10217" s="3"/>
      <c r="H10217" s="11"/>
      <c r="I10217" s="12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  <c r="AA10217" s="3"/>
      <c r="AB10217" s="3"/>
      <c r="AC10217" s="3"/>
      <c r="AD10217" s="3"/>
      <c r="AE10217" s="3"/>
      <c r="AF10217" s="3"/>
      <c r="AG10217" s="3"/>
      <c r="AH10217" s="3"/>
    </row>
    <row r="10218" spans="1:34" ht="14.25" customHeight="1" x14ac:dyDescent="0.25">
      <c r="A10218" s="3"/>
      <c r="B10218" s="3"/>
      <c r="C10218" s="3"/>
      <c r="D10218" s="3"/>
      <c r="E10218" s="3"/>
      <c r="F10218" s="3"/>
      <c r="G10218" s="3"/>
      <c r="H10218" s="11"/>
      <c r="I10218" s="12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  <c r="AA10218" s="3"/>
      <c r="AB10218" s="3"/>
      <c r="AC10218" s="3"/>
      <c r="AD10218" s="3"/>
      <c r="AE10218" s="3"/>
      <c r="AF10218" s="3"/>
      <c r="AG10218" s="3"/>
      <c r="AH10218" s="3"/>
    </row>
    <row r="10219" spans="1:34" ht="14.25" customHeight="1" x14ac:dyDescent="0.25">
      <c r="A10219" s="3"/>
      <c r="B10219" s="3"/>
      <c r="C10219" s="3"/>
      <c r="D10219" s="3"/>
      <c r="E10219" s="3"/>
      <c r="F10219" s="3"/>
      <c r="G10219" s="3"/>
      <c r="H10219" s="11"/>
      <c r="I10219" s="12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  <c r="AA10219" s="3"/>
      <c r="AB10219" s="3"/>
      <c r="AC10219" s="3"/>
      <c r="AD10219" s="3"/>
      <c r="AE10219" s="3"/>
      <c r="AF10219" s="3"/>
      <c r="AG10219" s="3"/>
      <c r="AH10219" s="3"/>
    </row>
    <row r="10220" spans="1:34" ht="14.25" customHeight="1" x14ac:dyDescent="0.25">
      <c r="A10220" s="3"/>
      <c r="B10220" s="3"/>
      <c r="C10220" s="3"/>
      <c r="D10220" s="3"/>
      <c r="E10220" s="3"/>
      <c r="F10220" s="3"/>
      <c r="G10220" s="3"/>
      <c r="H10220" s="11"/>
      <c r="I10220" s="12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  <c r="AA10220" s="3"/>
      <c r="AB10220" s="3"/>
      <c r="AC10220" s="3"/>
      <c r="AD10220" s="3"/>
      <c r="AE10220" s="3"/>
      <c r="AF10220" s="3"/>
      <c r="AG10220" s="3"/>
      <c r="AH10220" s="3"/>
    </row>
    <row r="10221" spans="1:34" ht="14.25" customHeight="1" x14ac:dyDescent="0.25">
      <c r="A10221" s="3"/>
      <c r="B10221" s="3"/>
      <c r="C10221" s="3"/>
      <c r="D10221" s="3"/>
      <c r="E10221" s="3"/>
      <c r="F10221" s="3"/>
      <c r="G10221" s="3"/>
      <c r="H10221" s="11"/>
      <c r="I10221" s="12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  <c r="AA10221" s="3"/>
      <c r="AB10221" s="3"/>
      <c r="AC10221" s="3"/>
      <c r="AD10221" s="3"/>
      <c r="AE10221" s="3"/>
      <c r="AF10221" s="3"/>
      <c r="AG10221" s="3"/>
      <c r="AH10221" s="3"/>
    </row>
    <row r="10222" spans="1:34" ht="14.25" customHeight="1" x14ac:dyDescent="0.25">
      <c r="A10222" s="3"/>
      <c r="B10222" s="3"/>
      <c r="C10222" s="3"/>
      <c r="D10222" s="3"/>
      <c r="E10222" s="3"/>
      <c r="F10222" s="3"/>
      <c r="G10222" s="3"/>
      <c r="H10222" s="11"/>
      <c r="I10222" s="12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  <c r="AA10222" s="3"/>
      <c r="AB10222" s="3"/>
      <c r="AC10222" s="3"/>
      <c r="AD10222" s="3"/>
      <c r="AE10222" s="3"/>
      <c r="AF10222" s="3"/>
      <c r="AG10222" s="3"/>
      <c r="AH10222" s="3"/>
    </row>
    <row r="10223" spans="1:34" ht="14.25" customHeight="1" x14ac:dyDescent="0.25">
      <c r="A10223" s="3"/>
      <c r="B10223" s="3"/>
      <c r="C10223" s="3"/>
      <c r="D10223" s="3"/>
      <c r="E10223" s="3"/>
      <c r="F10223" s="3"/>
      <c r="G10223" s="3"/>
      <c r="H10223" s="11"/>
      <c r="I10223" s="12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  <c r="AA10223" s="3"/>
      <c r="AB10223" s="3"/>
      <c r="AC10223" s="3"/>
      <c r="AD10223" s="3"/>
      <c r="AE10223" s="3"/>
      <c r="AF10223" s="3"/>
      <c r="AG10223" s="3"/>
      <c r="AH10223" s="3"/>
    </row>
    <row r="10224" spans="1:34" ht="14.25" customHeight="1" x14ac:dyDescent="0.25">
      <c r="A10224" s="3"/>
      <c r="B10224" s="3"/>
      <c r="C10224" s="3"/>
      <c r="D10224" s="3"/>
      <c r="E10224" s="3"/>
      <c r="F10224" s="3"/>
      <c r="G10224" s="3"/>
      <c r="H10224" s="11"/>
      <c r="I10224" s="12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  <c r="AA10224" s="3"/>
      <c r="AB10224" s="3"/>
      <c r="AC10224" s="3"/>
      <c r="AD10224" s="3"/>
      <c r="AE10224" s="3"/>
      <c r="AF10224" s="3"/>
      <c r="AG10224" s="3"/>
      <c r="AH10224" s="3"/>
    </row>
    <row r="10225" spans="1:34" ht="14.25" customHeight="1" x14ac:dyDescent="0.25">
      <c r="A10225" s="3"/>
      <c r="B10225" s="3"/>
      <c r="C10225" s="3"/>
      <c r="D10225" s="3"/>
      <c r="E10225" s="3"/>
      <c r="F10225" s="3"/>
      <c r="G10225" s="3"/>
      <c r="H10225" s="11"/>
      <c r="I10225" s="12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  <c r="AA10225" s="3"/>
      <c r="AB10225" s="3"/>
      <c r="AC10225" s="3"/>
      <c r="AD10225" s="3"/>
      <c r="AE10225" s="3"/>
      <c r="AF10225" s="3"/>
      <c r="AG10225" s="3"/>
      <c r="AH10225" s="3"/>
    </row>
    <row r="10226" spans="1:34" ht="14.25" customHeight="1" x14ac:dyDescent="0.25">
      <c r="A10226" s="3"/>
      <c r="B10226" s="3"/>
      <c r="C10226" s="3"/>
      <c r="D10226" s="3"/>
      <c r="E10226" s="3"/>
      <c r="F10226" s="3"/>
      <c r="G10226" s="3"/>
      <c r="H10226" s="11"/>
      <c r="I10226" s="12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  <c r="AA10226" s="3"/>
      <c r="AB10226" s="3"/>
      <c r="AC10226" s="3"/>
      <c r="AD10226" s="3"/>
      <c r="AE10226" s="3"/>
      <c r="AF10226" s="3"/>
      <c r="AG10226" s="3"/>
      <c r="AH10226" s="3"/>
    </row>
    <row r="10227" spans="1:34" ht="14.25" customHeight="1" x14ac:dyDescent="0.25">
      <c r="A10227" s="3"/>
      <c r="B10227" s="3"/>
      <c r="C10227" s="3"/>
      <c r="D10227" s="3"/>
      <c r="E10227" s="3"/>
      <c r="F10227" s="3"/>
      <c r="G10227" s="3"/>
      <c r="H10227" s="11"/>
      <c r="I10227" s="12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  <c r="AA10227" s="3"/>
      <c r="AB10227" s="3"/>
      <c r="AC10227" s="3"/>
      <c r="AD10227" s="3"/>
      <c r="AE10227" s="3"/>
      <c r="AF10227" s="3"/>
      <c r="AG10227" s="3"/>
      <c r="AH10227" s="3"/>
    </row>
    <row r="10228" spans="1:34" ht="14.25" customHeight="1" x14ac:dyDescent="0.25">
      <c r="A10228" s="3"/>
      <c r="B10228" s="3"/>
      <c r="C10228" s="3"/>
      <c r="D10228" s="3"/>
      <c r="E10228" s="3"/>
      <c r="F10228" s="3"/>
      <c r="G10228" s="3"/>
      <c r="H10228" s="11"/>
      <c r="I10228" s="12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  <c r="AA10228" s="3"/>
      <c r="AB10228" s="3"/>
      <c r="AC10228" s="3"/>
      <c r="AD10228" s="3"/>
      <c r="AE10228" s="3"/>
      <c r="AF10228" s="3"/>
      <c r="AG10228" s="3"/>
      <c r="AH10228" s="3"/>
    </row>
    <row r="10229" spans="1:34" ht="14.25" customHeight="1" x14ac:dyDescent="0.25">
      <c r="A10229" s="3"/>
      <c r="B10229" s="3"/>
      <c r="C10229" s="3"/>
      <c r="D10229" s="3"/>
      <c r="E10229" s="3"/>
      <c r="F10229" s="3"/>
      <c r="G10229" s="3"/>
      <c r="H10229" s="11"/>
      <c r="I10229" s="12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  <c r="AA10229" s="3"/>
      <c r="AB10229" s="3"/>
      <c r="AC10229" s="3"/>
      <c r="AD10229" s="3"/>
      <c r="AE10229" s="3"/>
      <c r="AF10229" s="3"/>
      <c r="AG10229" s="3"/>
      <c r="AH10229" s="3"/>
    </row>
    <row r="10230" spans="1:34" ht="14.25" customHeight="1" x14ac:dyDescent="0.25">
      <c r="A10230" s="3"/>
      <c r="B10230" s="3"/>
      <c r="C10230" s="3"/>
      <c r="D10230" s="3"/>
      <c r="E10230" s="3"/>
      <c r="F10230" s="3"/>
      <c r="G10230" s="3"/>
      <c r="H10230" s="11"/>
      <c r="I10230" s="12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  <c r="AA10230" s="3"/>
      <c r="AB10230" s="3"/>
      <c r="AC10230" s="3"/>
      <c r="AD10230" s="3"/>
      <c r="AE10230" s="3"/>
      <c r="AF10230" s="3"/>
      <c r="AG10230" s="3"/>
      <c r="AH10230" s="3"/>
    </row>
    <row r="10231" spans="1:34" ht="14.25" customHeight="1" x14ac:dyDescent="0.25">
      <c r="A10231" s="3"/>
      <c r="B10231" s="3"/>
      <c r="C10231" s="3"/>
      <c r="D10231" s="3"/>
      <c r="E10231" s="3"/>
      <c r="F10231" s="3"/>
      <c r="G10231" s="3"/>
      <c r="H10231" s="11"/>
      <c r="I10231" s="12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  <c r="AA10231" s="3"/>
      <c r="AB10231" s="3"/>
      <c r="AC10231" s="3"/>
      <c r="AD10231" s="3"/>
      <c r="AE10231" s="3"/>
      <c r="AF10231" s="3"/>
      <c r="AG10231" s="3"/>
      <c r="AH10231" s="3"/>
    </row>
    <row r="10232" spans="1:34" ht="14.25" customHeight="1" x14ac:dyDescent="0.25">
      <c r="A10232" s="3"/>
      <c r="B10232" s="3"/>
      <c r="C10232" s="3"/>
      <c r="D10232" s="3"/>
      <c r="E10232" s="3"/>
      <c r="F10232" s="3"/>
      <c r="G10232" s="3"/>
      <c r="H10232" s="11"/>
      <c r="I10232" s="12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  <c r="AA10232" s="3"/>
      <c r="AB10232" s="3"/>
      <c r="AC10232" s="3"/>
      <c r="AD10232" s="3"/>
      <c r="AE10232" s="3"/>
      <c r="AF10232" s="3"/>
      <c r="AG10232" s="3"/>
      <c r="AH10232" s="3"/>
    </row>
    <row r="10233" spans="1:34" ht="14.25" customHeight="1" x14ac:dyDescent="0.25">
      <c r="A10233" s="3"/>
      <c r="B10233" s="3"/>
      <c r="C10233" s="3"/>
      <c r="D10233" s="3"/>
      <c r="E10233" s="3"/>
      <c r="F10233" s="3"/>
      <c r="G10233" s="3"/>
      <c r="H10233" s="11"/>
      <c r="I10233" s="12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  <c r="AA10233" s="3"/>
      <c r="AB10233" s="3"/>
      <c r="AC10233" s="3"/>
      <c r="AD10233" s="3"/>
      <c r="AE10233" s="3"/>
      <c r="AF10233" s="3"/>
      <c r="AG10233" s="3"/>
      <c r="AH10233" s="3"/>
    </row>
    <row r="10234" spans="1:34" ht="14.25" customHeight="1" x14ac:dyDescent="0.25">
      <c r="A10234" s="3"/>
      <c r="B10234" s="3"/>
      <c r="C10234" s="3"/>
      <c r="D10234" s="3"/>
      <c r="E10234" s="3"/>
      <c r="F10234" s="3"/>
      <c r="G10234" s="3"/>
      <c r="H10234" s="11"/>
      <c r="I10234" s="12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  <c r="AA10234" s="3"/>
      <c r="AB10234" s="3"/>
      <c r="AC10234" s="3"/>
      <c r="AD10234" s="3"/>
      <c r="AE10234" s="3"/>
      <c r="AF10234" s="3"/>
      <c r="AG10234" s="3"/>
      <c r="AH10234" s="3"/>
    </row>
    <row r="10235" spans="1:34" ht="14.25" customHeight="1" x14ac:dyDescent="0.25">
      <c r="A10235" s="3"/>
      <c r="B10235" s="3"/>
      <c r="C10235" s="3"/>
      <c r="D10235" s="3"/>
      <c r="E10235" s="3"/>
      <c r="F10235" s="3"/>
      <c r="G10235" s="3"/>
      <c r="H10235" s="11"/>
      <c r="I10235" s="12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  <c r="AA10235" s="3"/>
      <c r="AB10235" s="3"/>
      <c r="AC10235" s="3"/>
      <c r="AD10235" s="3"/>
      <c r="AE10235" s="3"/>
      <c r="AF10235" s="3"/>
      <c r="AG10235" s="3"/>
      <c r="AH10235" s="3"/>
    </row>
    <row r="10236" spans="1:34" ht="14.25" customHeight="1" x14ac:dyDescent="0.25">
      <c r="A10236" s="3"/>
      <c r="B10236" s="3"/>
      <c r="C10236" s="3"/>
      <c r="D10236" s="3"/>
      <c r="E10236" s="3"/>
      <c r="F10236" s="3"/>
      <c r="G10236" s="3"/>
      <c r="H10236" s="11"/>
      <c r="I10236" s="12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  <c r="AA10236" s="3"/>
      <c r="AB10236" s="3"/>
      <c r="AC10236" s="3"/>
      <c r="AD10236" s="3"/>
      <c r="AE10236" s="3"/>
      <c r="AF10236" s="3"/>
      <c r="AG10236" s="3"/>
      <c r="AH10236" s="3"/>
    </row>
    <row r="10237" spans="1:34" ht="14.25" customHeight="1" x14ac:dyDescent="0.25">
      <c r="A10237" s="3"/>
      <c r="B10237" s="3"/>
      <c r="C10237" s="3"/>
      <c r="D10237" s="3"/>
      <c r="E10237" s="3"/>
      <c r="F10237" s="3"/>
      <c r="G10237" s="3"/>
      <c r="H10237" s="11"/>
      <c r="I10237" s="12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  <c r="AA10237" s="3"/>
      <c r="AB10237" s="3"/>
      <c r="AC10237" s="3"/>
      <c r="AD10237" s="3"/>
      <c r="AE10237" s="3"/>
      <c r="AF10237" s="3"/>
      <c r="AG10237" s="3"/>
      <c r="AH10237" s="3"/>
    </row>
    <row r="10238" spans="1:34" ht="14.25" customHeight="1" x14ac:dyDescent="0.25">
      <c r="A10238" s="3"/>
      <c r="B10238" s="3"/>
      <c r="C10238" s="3"/>
      <c r="D10238" s="3"/>
      <c r="E10238" s="3"/>
      <c r="F10238" s="3"/>
      <c r="G10238" s="3"/>
      <c r="H10238" s="11"/>
      <c r="I10238" s="12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  <c r="AA10238" s="3"/>
      <c r="AB10238" s="3"/>
      <c r="AC10238" s="3"/>
      <c r="AD10238" s="3"/>
      <c r="AE10238" s="3"/>
      <c r="AF10238" s="3"/>
      <c r="AG10238" s="3"/>
      <c r="AH10238" s="3"/>
    </row>
    <row r="10239" spans="1:34" ht="14.25" customHeight="1" x14ac:dyDescent="0.25">
      <c r="A10239" s="3"/>
      <c r="B10239" s="3"/>
      <c r="C10239" s="3"/>
      <c r="D10239" s="3"/>
      <c r="E10239" s="3"/>
      <c r="F10239" s="3"/>
      <c r="G10239" s="3"/>
      <c r="H10239" s="11"/>
      <c r="I10239" s="12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  <c r="AA10239" s="3"/>
      <c r="AB10239" s="3"/>
      <c r="AC10239" s="3"/>
      <c r="AD10239" s="3"/>
      <c r="AE10239" s="3"/>
      <c r="AF10239" s="3"/>
      <c r="AG10239" s="3"/>
      <c r="AH10239" s="3"/>
    </row>
    <row r="10240" spans="1:34" ht="14.25" customHeight="1" x14ac:dyDescent="0.25">
      <c r="A10240" s="3"/>
      <c r="B10240" s="3"/>
      <c r="C10240" s="3"/>
      <c r="D10240" s="3"/>
      <c r="E10240" s="3"/>
      <c r="F10240" s="3"/>
      <c r="G10240" s="3"/>
      <c r="H10240" s="11"/>
      <c r="I10240" s="12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  <c r="AA10240" s="3"/>
      <c r="AB10240" s="3"/>
      <c r="AC10240" s="3"/>
      <c r="AD10240" s="3"/>
      <c r="AE10240" s="3"/>
      <c r="AF10240" s="3"/>
      <c r="AG10240" s="3"/>
      <c r="AH10240" s="3"/>
    </row>
    <row r="10241" spans="1:34" ht="14.25" customHeight="1" x14ac:dyDescent="0.25">
      <c r="A10241" s="3"/>
      <c r="B10241" s="3"/>
      <c r="C10241" s="3"/>
      <c r="D10241" s="3"/>
      <c r="E10241" s="3"/>
      <c r="F10241" s="3"/>
      <c r="G10241" s="3"/>
      <c r="H10241" s="11"/>
      <c r="I10241" s="12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  <c r="AA10241" s="3"/>
      <c r="AB10241" s="3"/>
      <c r="AC10241" s="3"/>
      <c r="AD10241" s="3"/>
      <c r="AE10241" s="3"/>
      <c r="AF10241" s="3"/>
      <c r="AG10241" s="3"/>
      <c r="AH10241" s="3"/>
    </row>
    <row r="10242" spans="1:34" ht="14.25" customHeight="1" x14ac:dyDescent="0.25">
      <c r="A10242" s="3"/>
      <c r="B10242" s="3"/>
      <c r="C10242" s="3"/>
      <c r="D10242" s="3"/>
      <c r="E10242" s="3"/>
      <c r="F10242" s="3"/>
      <c r="G10242" s="3"/>
      <c r="H10242" s="11"/>
      <c r="I10242" s="12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  <c r="AA10242" s="3"/>
      <c r="AB10242" s="3"/>
      <c r="AC10242" s="3"/>
      <c r="AD10242" s="3"/>
      <c r="AE10242" s="3"/>
      <c r="AF10242" s="3"/>
      <c r="AG10242" s="3"/>
      <c r="AH10242" s="3"/>
    </row>
    <row r="10243" spans="1:34" ht="14.25" customHeight="1" x14ac:dyDescent="0.25">
      <c r="A10243" s="3"/>
      <c r="B10243" s="3"/>
      <c r="C10243" s="3"/>
      <c r="D10243" s="3"/>
      <c r="E10243" s="3"/>
      <c r="F10243" s="3"/>
      <c r="G10243" s="3"/>
      <c r="H10243" s="11"/>
      <c r="I10243" s="12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  <c r="AA10243" s="3"/>
      <c r="AB10243" s="3"/>
      <c r="AC10243" s="3"/>
      <c r="AD10243" s="3"/>
      <c r="AE10243" s="3"/>
      <c r="AF10243" s="3"/>
      <c r="AG10243" s="3"/>
      <c r="AH10243" s="3"/>
    </row>
    <row r="10244" spans="1:34" ht="14.25" customHeight="1" x14ac:dyDescent="0.25">
      <c r="A10244" s="3"/>
      <c r="B10244" s="3"/>
      <c r="C10244" s="3"/>
      <c r="D10244" s="3"/>
      <c r="E10244" s="3"/>
      <c r="F10244" s="3"/>
      <c r="G10244" s="3"/>
      <c r="H10244" s="11"/>
      <c r="I10244" s="12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  <c r="AA10244" s="3"/>
      <c r="AB10244" s="3"/>
      <c r="AC10244" s="3"/>
      <c r="AD10244" s="3"/>
      <c r="AE10244" s="3"/>
      <c r="AF10244" s="3"/>
      <c r="AG10244" s="3"/>
      <c r="AH10244" s="3"/>
    </row>
    <row r="10245" spans="1:34" ht="14.25" customHeight="1" x14ac:dyDescent="0.25">
      <c r="A10245" s="3"/>
      <c r="B10245" s="3"/>
      <c r="C10245" s="3"/>
      <c r="D10245" s="3"/>
      <c r="E10245" s="3"/>
      <c r="F10245" s="3"/>
      <c r="G10245" s="3"/>
      <c r="H10245" s="11"/>
      <c r="I10245" s="12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  <c r="AA10245" s="3"/>
      <c r="AB10245" s="3"/>
      <c r="AC10245" s="3"/>
      <c r="AD10245" s="3"/>
      <c r="AE10245" s="3"/>
      <c r="AF10245" s="3"/>
      <c r="AG10245" s="3"/>
      <c r="AH10245" s="3"/>
    </row>
    <row r="10246" spans="1:34" ht="14.25" customHeight="1" x14ac:dyDescent="0.25">
      <c r="A10246" s="3"/>
      <c r="B10246" s="3"/>
      <c r="C10246" s="3"/>
      <c r="D10246" s="3"/>
      <c r="E10246" s="3"/>
      <c r="F10246" s="3"/>
      <c r="G10246" s="3"/>
      <c r="H10246" s="11"/>
      <c r="I10246" s="12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  <c r="AA10246" s="3"/>
      <c r="AB10246" s="3"/>
      <c r="AC10246" s="3"/>
      <c r="AD10246" s="3"/>
      <c r="AE10246" s="3"/>
      <c r="AF10246" s="3"/>
      <c r="AG10246" s="3"/>
      <c r="AH10246" s="3"/>
    </row>
    <row r="10247" spans="1:34" ht="14.25" customHeight="1" x14ac:dyDescent="0.25">
      <c r="A10247" s="3"/>
      <c r="B10247" s="3"/>
      <c r="C10247" s="3"/>
      <c r="D10247" s="3"/>
      <c r="E10247" s="3"/>
      <c r="F10247" s="3"/>
      <c r="G10247" s="3"/>
      <c r="H10247" s="11"/>
      <c r="I10247" s="12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  <c r="AA10247" s="3"/>
      <c r="AB10247" s="3"/>
      <c r="AC10247" s="3"/>
      <c r="AD10247" s="3"/>
      <c r="AE10247" s="3"/>
      <c r="AF10247" s="3"/>
      <c r="AG10247" s="3"/>
      <c r="AH10247" s="3"/>
    </row>
    <row r="10248" spans="1:34" ht="14.25" customHeight="1" x14ac:dyDescent="0.25">
      <c r="A10248" s="3"/>
      <c r="B10248" s="3"/>
      <c r="C10248" s="3"/>
      <c r="D10248" s="3"/>
      <c r="E10248" s="3"/>
      <c r="F10248" s="3"/>
      <c r="G10248" s="3"/>
      <c r="H10248" s="11"/>
      <c r="I10248" s="12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  <c r="AA10248" s="3"/>
      <c r="AB10248" s="3"/>
      <c r="AC10248" s="3"/>
      <c r="AD10248" s="3"/>
      <c r="AE10248" s="3"/>
      <c r="AF10248" s="3"/>
      <c r="AG10248" s="3"/>
      <c r="AH10248" s="3"/>
    </row>
    <row r="10249" spans="1:34" ht="14.25" customHeight="1" x14ac:dyDescent="0.25">
      <c r="A10249" s="3"/>
      <c r="B10249" s="3"/>
      <c r="C10249" s="3"/>
      <c r="D10249" s="3"/>
      <c r="E10249" s="3"/>
      <c r="F10249" s="3"/>
      <c r="G10249" s="3"/>
      <c r="H10249" s="11"/>
      <c r="I10249" s="12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  <c r="AA10249" s="3"/>
      <c r="AB10249" s="3"/>
      <c r="AC10249" s="3"/>
      <c r="AD10249" s="3"/>
      <c r="AE10249" s="3"/>
      <c r="AF10249" s="3"/>
      <c r="AG10249" s="3"/>
      <c r="AH10249" s="3"/>
    </row>
    <row r="10250" spans="1:34" ht="14.25" customHeight="1" x14ac:dyDescent="0.25">
      <c r="A10250" s="3"/>
      <c r="B10250" s="3"/>
      <c r="C10250" s="3"/>
      <c r="D10250" s="3"/>
      <c r="E10250" s="3"/>
      <c r="F10250" s="3"/>
      <c r="G10250" s="3"/>
      <c r="H10250" s="11"/>
      <c r="I10250" s="12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  <c r="AA10250" s="3"/>
      <c r="AB10250" s="3"/>
      <c r="AC10250" s="3"/>
      <c r="AD10250" s="3"/>
      <c r="AE10250" s="3"/>
      <c r="AF10250" s="3"/>
      <c r="AG10250" s="3"/>
      <c r="AH10250" s="3"/>
    </row>
    <row r="10251" spans="1:34" ht="14.25" customHeight="1" x14ac:dyDescent="0.25">
      <c r="A10251" s="3"/>
      <c r="B10251" s="3"/>
      <c r="C10251" s="3"/>
      <c r="D10251" s="3"/>
      <c r="E10251" s="3"/>
      <c r="F10251" s="3"/>
      <c r="G10251" s="3"/>
      <c r="H10251" s="11"/>
      <c r="I10251" s="12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  <c r="AA10251" s="3"/>
      <c r="AB10251" s="3"/>
      <c r="AC10251" s="3"/>
      <c r="AD10251" s="3"/>
      <c r="AE10251" s="3"/>
      <c r="AF10251" s="3"/>
      <c r="AG10251" s="3"/>
      <c r="AH10251" s="3"/>
    </row>
    <row r="10252" spans="1:34" ht="14.25" customHeight="1" x14ac:dyDescent="0.25">
      <c r="A10252" s="3"/>
      <c r="B10252" s="3"/>
      <c r="C10252" s="3"/>
      <c r="D10252" s="3"/>
      <c r="E10252" s="3"/>
      <c r="F10252" s="3"/>
      <c r="G10252" s="3"/>
      <c r="H10252" s="11"/>
      <c r="I10252" s="12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  <c r="AA10252" s="3"/>
      <c r="AB10252" s="3"/>
      <c r="AC10252" s="3"/>
      <c r="AD10252" s="3"/>
      <c r="AE10252" s="3"/>
      <c r="AF10252" s="3"/>
      <c r="AG10252" s="3"/>
      <c r="AH10252" s="3"/>
    </row>
    <row r="10253" spans="1:34" ht="14.25" customHeight="1" x14ac:dyDescent="0.25">
      <c r="A10253" s="3"/>
      <c r="B10253" s="3"/>
      <c r="C10253" s="3"/>
      <c r="D10253" s="3"/>
      <c r="E10253" s="3"/>
      <c r="F10253" s="3"/>
      <c r="G10253" s="3"/>
      <c r="H10253" s="11"/>
      <c r="I10253" s="12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  <c r="AA10253" s="3"/>
      <c r="AB10253" s="3"/>
      <c r="AC10253" s="3"/>
      <c r="AD10253" s="3"/>
      <c r="AE10253" s="3"/>
      <c r="AF10253" s="3"/>
      <c r="AG10253" s="3"/>
      <c r="AH10253" s="3"/>
    </row>
    <row r="10254" spans="1:34" ht="14.25" customHeight="1" x14ac:dyDescent="0.25">
      <c r="A10254" s="3"/>
      <c r="B10254" s="3"/>
      <c r="C10254" s="3"/>
      <c r="D10254" s="3"/>
      <c r="E10254" s="3"/>
      <c r="F10254" s="3"/>
      <c r="G10254" s="3"/>
      <c r="H10254" s="11"/>
      <c r="I10254" s="12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  <c r="AA10254" s="3"/>
      <c r="AB10254" s="3"/>
      <c r="AC10254" s="3"/>
      <c r="AD10254" s="3"/>
      <c r="AE10254" s="3"/>
      <c r="AF10254" s="3"/>
      <c r="AG10254" s="3"/>
      <c r="AH10254" s="3"/>
    </row>
    <row r="10255" spans="1:34" ht="14.25" customHeight="1" x14ac:dyDescent="0.25">
      <c r="A10255" s="3"/>
      <c r="B10255" s="3"/>
      <c r="C10255" s="3"/>
      <c r="D10255" s="3"/>
      <c r="E10255" s="3"/>
      <c r="F10255" s="3"/>
      <c r="G10255" s="3"/>
      <c r="H10255" s="11"/>
      <c r="I10255" s="12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  <c r="AA10255" s="3"/>
      <c r="AB10255" s="3"/>
      <c r="AC10255" s="3"/>
      <c r="AD10255" s="3"/>
      <c r="AE10255" s="3"/>
      <c r="AF10255" s="3"/>
      <c r="AG10255" s="3"/>
      <c r="AH10255" s="3"/>
    </row>
    <row r="10256" spans="1:34" ht="14.25" customHeight="1" x14ac:dyDescent="0.25">
      <c r="A10256" s="3"/>
      <c r="B10256" s="3"/>
      <c r="C10256" s="3"/>
      <c r="D10256" s="3"/>
      <c r="E10256" s="3"/>
      <c r="F10256" s="3"/>
      <c r="G10256" s="3"/>
      <c r="H10256" s="11"/>
      <c r="I10256" s="12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  <c r="AA10256" s="3"/>
      <c r="AB10256" s="3"/>
      <c r="AC10256" s="3"/>
      <c r="AD10256" s="3"/>
      <c r="AE10256" s="3"/>
      <c r="AF10256" s="3"/>
      <c r="AG10256" s="3"/>
      <c r="AH10256" s="3"/>
    </row>
    <row r="10257" spans="1:34" ht="14.25" customHeight="1" x14ac:dyDescent="0.25">
      <c r="A10257" s="3"/>
      <c r="B10257" s="3"/>
      <c r="C10257" s="3"/>
      <c r="D10257" s="3"/>
      <c r="E10257" s="3"/>
      <c r="F10257" s="3"/>
      <c r="G10257" s="3"/>
      <c r="H10257" s="11"/>
      <c r="I10257" s="12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  <c r="AA10257" s="3"/>
      <c r="AB10257" s="3"/>
      <c r="AC10257" s="3"/>
      <c r="AD10257" s="3"/>
      <c r="AE10257" s="3"/>
      <c r="AF10257" s="3"/>
      <c r="AG10257" s="3"/>
      <c r="AH10257" s="3"/>
    </row>
    <row r="10258" spans="1:34" ht="14.25" customHeight="1" x14ac:dyDescent="0.25">
      <c r="A10258" s="3"/>
      <c r="B10258" s="3"/>
      <c r="C10258" s="3"/>
      <c r="D10258" s="3"/>
      <c r="E10258" s="3"/>
      <c r="F10258" s="3"/>
      <c r="G10258" s="3"/>
      <c r="H10258" s="11"/>
      <c r="I10258" s="12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  <c r="AA10258" s="3"/>
      <c r="AB10258" s="3"/>
      <c r="AC10258" s="3"/>
      <c r="AD10258" s="3"/>
      <c r="AE10258" s="3"/>
      <c r="AF10258" s="3"/>
      <c r="AG10258" s="3"/>
      <c r="AH10258" s="3"/>
    </row>
    <row r="10259" spans="1:34" ht="14.25" customHeight="1" x14ac:dyDescent="0.25">
      <c r="A10259" s="3"/>
      <c r="B10259" s="3"/>
      <c r="C10259" s="3"/>
      <c r="D10259" s="3"/>
      <c r="E10259" s="3"/>
      <c r="F10259" s="3"/>
      <c r="G10259" s="3"/>
      <c r="H10259" s="11"/>
      <c r="I10259" s="12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  <c r="AA10259" s="3"/>
      <c r="AB10259" s="3"/>
      <c r="AC10259" s="3"/>
      <c r="AD10259" s="3"/>
      <c r="AE10259" s="3"/>
      <c r="AF10259" s="3"/>
      <c r="AG10259" s="3"/>
      <c r="AH10259" s="3"/>
    </row>
    <row r="10260" spans="1:34" ht="14.25" customHeight="1" x14ac:dyDescent="0.25">
      <c r="A10260" s="3"/>
      <c r="B10260" s="3"/>
      <c r="C10260" s="3"/>
      <c r="D10260" s="3"/>
      <c r="E10260" s="3"/>
      <c r="F10260" s="3"/>
      <c r="G10260" s="3"/>
      <c r="H10260" s="11"/>
      <c r="I10260" s="12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  <c r="AA10260" s="3"/>
      <c r="AB10260" s="3"/>
      <c r="AC10260" s="3"/>
      <c r="AD10260" s="3"/>
      <c r="AE10260" s="3"/>
      <c r="AF10260" s="3"/>
      <c r="AG10260" s="3"/>
      <c r="AH10260" s="3"/>
    </row>
    <row r="10261" spans="1:34" ht="14.25" customHeight="1" x14ac:dyDescent="0.25">
      <c r="A10261" s="3"/>
      <c r="B10261" s="3"/>
      <c r="C10261" s="3"/>
      <c r="D10261" s="3"/>
      <c r="E10261" s="3"/>
      <c r="F10261" s="3"/>
      <c r="G10261" s="3"/>
      <c r="H10261" s="11"/>
      <c r="I10261" s="12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  <c r="AA10261" s="3"/>
      <c r="AB10261" s="3"/>
      <c r="AC10261" s="3"/>
      <c r="AD10261" s="3"/>
      <c r="AE10261" s="3"/>
      <c r="AF10261" s="3"/>
      <c r="AG10261" s="3"/>
      <c r="AH10261" s="3"/>
    </row>
    <row r="10262" spans="1:34" ht="14.25" customHeight="1" x14ac:dyDescent="0.25">
      <c r="A10262" s="3"/>
      <c r="B10262" s="3"/>
      <c r="C10262" s="3"/>
      <c r="D10262" s="3"/>
      <c r="E10262" s="3"/>
      <c r="F10262" s="3"/>
      <c r="G10262" s="3"/>
      <c r="H10262" s="11"/>
      <c r="I10262" s="12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  <c r="AA10262" s="3"/>
      <c r="AB10262" s="3"/>
      <c r="AC10262" s="3"/>
      <c r="AD10262" s="3"/>
      <c r="AE10262" s="3"/>
      <c r="AF10262" s="3"/>
      <c r="AG10262" s="3"/>
      <c r="AH10262" s="3"/>
    </row>
    <row r="10263" spans="1:34" ht="14.25" customHeight="1" x14ac:dyDescent="0.25">
      <c r="A10263" s="3"/>
      <c r="B10263" s="3"/>
      <c r="C10263" s="3"/>
      <c r="D10263" s="3"/>
      <c r="E10263" s="3"/>
      <c r="F10263" s="3"/>
      <c r="G10263" s="3"/>
      <c r="H10263" s="11"/>
      <c r="I10263" s="12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  <c r="AA10263" s="3"/>
      <c r="AB10263" s="3"/>
      <c r="AC10263" s="3"/>
      <c r="AD10263" s="3"/>
      <c r="AE10263" s="3"/>
      <c r="AF10263" s="3"/>
      <c r="AG10263" s="3"/>
      <c r="AH10263" s="3"/>
    </row>
    <row r="10264" spans="1:34" ht="14.25" customHeight="1" x14ac:dyDescent="0.25">
      <c r="A10264" s="3"/>
      <c r="B10264" s="3"/>
      <c r="C10264" s="3"/>
      <c r="D10264" s="3"/>
      <c r="E10264" s="3"/>
      <c r="F10264" s="3"/>
      <c r="G10264" s="3"/>
      <c r="H10264" s="11"/>
      <c r="I10264" s="12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  <c r="AA10264" s="3"/>
      <c r="AB10264" s="3"/>
      <c r="AC10264" s="3"/>
      <c r="AD10264" s="3"/>
      <c r="AE10264" s="3"/>
      <c r="AF10264" s="3"/>
      <c r="AG10264" s="3"/>
      <c r="AH10264" s="3"/>
    </row>
    <row r="10265" spans="1:34" ht="14.25" customHeight="1" x14ac:dyDescent="0.25">
      <c r="A10265" s="3"/>
      <c r="B10265" s="3"/>
      <c r="C10265" s="3"/>
      <c r="D10265" s="3"/>
      <c r="E10265" s="3"/>
      <c r="F10265" s="3"/>
      <c r="G10265" s="3"/>
      <c r="H10265" s="11"/>
      <c r="I10265" s="12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  <c r="AA10265" s="3"/>
      <c r="AB10265" s="3"/>
      <c r="AC10265" s="3"/>
      <c r="AD10265" s="3"/>
      <c r="AE10265" s="3"/>
      <c r="AF10265" s="3"/>
      <c r="AG10265" s="3"/>
      <c r="AH10265" s="3"/>
    </row>
    <row r="10266" spans="1:34" ht="14.25" customHeight="1" x14ac:dyDescent="0.25">
      <c r="A10266" s="3"/>
      <c r="B10266" s="3"/>
      <c r="C10266" s="3"/>
      <c r="D10266" s="3"/>
      <c r="E10266" s="3"/>
      <c r="F10266" s="3"/>
      <c r="G10266" s="3"/>
      <c r="H10266" s="11"/>
      <c r="I10266" s="12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  <c r="AA10266" s="3"/>
      <c r="AB10266" s="3"/>
      <c r="AC10266" s="3"/>
      <c r="AD10266" s="3"/>
      <c r="AE10266" s="3"/>
      <c r="AF10266" s="3"/>
      <c r="AG10266" s="3"/>
      <c r="AH10266" s="3"/>
    </row>
    <row r="10267" spans="1:34" ht="14.25" customHeight="1" x14ac:dyDescent="0.25">
      <c r="A10267" s="3"/>
      <c r="B10267" s="3"/>
      <c r="C10267" s="3"/>
      <c r="D10267" s="3"/>
      <c r="E10267" s="3"/>
      <c r="F10267" s="3"/>
      <c r="G10267" s="3"/>
      <c r="H10267" s="11"/>
      <c r="I10267" s="12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  <c r="AA10267" s="3"/>
      <c r="AB10267" s="3"/>
      <c r="AC10267" s="3"/>
      <c r="AD10267" s="3"/>
      <c r="AE10267" s="3"/>
      <c r="AF10267" s="3"/>
      <c r="AG10267" s="3"/>
      <c r="AH10267" s="3"/>
    </row>
    <row r="10268" spans="1:34" ht="14.25" customHeight="1" x14ac:dyDescent="0.25">
      <c r="A10268" s="3"/>
      <c r="B10268" s="3"/>
      <c r="C10268" s="3"/>
      <c r="D10268" s="3"/>
      <c r="E10268" s="3"/>
      <c r="F10268" s="3"/>
      <c r="G10268" s="3"/>
      <c r="H10268" s="11"/>
      <c r="I10268" s="12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  <c r="AA10268" s="3"/>
      <c r="AB10268" s="3"/>
      <c r="AC10268" s="3"/>
      <c r="AD10268" s="3"/>
      <c r="AE10268" s="3"/>
      <c r="AF10268" s="3"/>
      <c r="AG10268" s="3"/>
      <c r="AH10268" s="3"/>
    </row>
    <row r="10269" spans="1:34" ht="14.25" customHeight="1" x14ac:dyDescent="0.25">
      <c r="A10269" s="3"/>
      <c r="B10269" s="3"/>
      <c r="C10269" s="3"/>
      <c r="D10269" s="3"/>
      <c r="E10269" s="3"/>
      <c r="F10269" s="3"/>
      <c r="G10269" s="3"/>
      <c r="H10269" s="11"/>
      <c r="I10269" s="12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  <c r="AA10269" s="3"/>
      <c r="AB10269" s="3"/>
      <c r="AC10269" s="3"/>
      <c r="AD10269" s="3"/>
      <c r="AE10269" s="3"/>
      <c r="AF10269" s="3"/>
      <c r="AG10269" s="3"/>
      <c r="AH10269" s="3"/>
    </row>
    <row r="10270" spans="1:34" ht="14.25" customHeight="1" x14ac:dyDescent="0.25">
      <c r="A10270" s="3"/>
      <c r="B10270" s="3"/>
      <c r="C10270" s="3"/>
      <c r="D10270" s="3"/>
      <c r="E10270" s="3"/>
      <c r="F10270" s="3"/>
      <c r="G10270" s="3"/>
      <c r="H10270" s="11"/>
      <c r="I10270" s="12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  <c r="AA10270" s="3"/>
      <c r="AB10270" s="3"/>
      <c r="AC10270" s="3"/>
      <c r="AD10270" s="3"/>
      <c r="AE10270" s="3"/>
      <c r="AF10270" s="3"/>
      <c r="AG10270" s="3"/>
      <c r="AH10270" s="3"/>
    </row>
    <row r="10271" spans="1:34" ht="14.25" customHeight="1" x14ac:dyDescent="0.25">
      <c r="A10271" s="3"/>
      <c r="B10271" s="3"/>
      <c r="C10271" s="3"/>
      <c r="D10271" s="3"/>
      <c r="E10271" s="3"/>
      <c r="F10271" s="3"/>
      <c r="G10271" s="3"/>
      <c r="H10271" s="11"/>
      <c r="I10271" s="12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  <c r="AA10271" s="3"/>
      <c r="AB10271" s="3"/>
      <c r="AC10271" s="3"/>
      <c r="AD10271" s="3"/>
      <c r="AE10271" s="3"/>
      <c r="AF10271" s="3"/>
      <c r="AG10271" s="3"/>
      <c r="AH10271" s="3"/>
    </row>
    <row r="10272" spans="1:34" ht="14.25" customHeight="1" x14ac:dyDescent="0.25">
      <c r="A10272" s="3"/>
      <c r="B10272" s="3"/>
      <c r="C10272" s="3"/>
      <c r="D10272" s="3"/>
      <c r="E10272" s="3"/>
      <c r="F10272" s="3"/>
      <c r="G10272" s="3"/>
      <c r="H10272" s="11"/>
      <c r="I10272" s="12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  <c r="AA10272" s="3"/>
      <c r="AB10272" s="3"/>
      <c r="AC10272" s="3"/>
      <c r="AD10272" s="3"/>
      <c r="AE10272" s="3"/>
      <c r="AF10272" s="3"/>
      <c r="AG10272" s="3"/>
      <c r="AH10272" s="3"/>
    </row>
    <row r="10273" spans="1:34" ht="14.25" customHeight="1" x14ac:dyDescent="0.25">
      <c r="A10273" s="3"/>
      <c r="B10273" s="3"/>
      <c r="C10273" s="3"/>
      <c r="D10273" s="3"/>
      <c r="E10273" s="3"/>
      <c r="F10273" s="3"/>
      <c r="G10273" s="3"/>
      <c r="H10273" s="11"/>
      <c r="I10273" s="12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  <c r="AA10273" s="3"/>
      <c r="AB10273" s="3"/>
      <c r="AC10273" s="3"/>
      <c r="AD10273" s="3"/>
      <c r="AE10273" s="3"/>
      <c r="AF10273" s="3"/>
      <c r="AG10273" s="3"/>
      <c r="AH10273" s="3"/>
    </row>
    <row r="10274" spans="1:34" ht="14.25" customHeight="1" x14ac:dyDescent="0.25">
      <c r="A10274" s="3"/>
      <c r="B10274" s="3"/>
      <c r="C10274" s="3"/>
      <c r="D10274" s="3"/>
      <c r="E10274" s="3"/>
      <c r="F10274" s="3"/>
      <c r="G10274" s="3"/>
      <c r="H10274" s="11"/>
      <c r="I10274" s="12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  <c r="AA10274" s="3"/>
      <c r="AB10274" s="3"/>
      <c r="AC10274" s="3"/>
      <c r="AD10274" s="3"/>
      <c r="AE10274" s="3"/>
      <c r="AF10274" s="3"/>
      <c r="AG10274" s="3"/>
      <c r="AH10274" s="3"/>
    </row>
    <row r="10275" spans="1:34" ht="14.25" customHeight="1" x14ac:dyDescent="0.25">
      <c r="A10275" s="3"/>
      <c r="B10275" s="3"/>
      <c r="C10275" s="3"/>
      <c r="D10275" s="3"/>
      <c r="E10275" s="3"/>
      <c r="F10275" s="3"/>
      <c r="G10275" s="3"/>
      <c r="H10275" s="11"/>
      <c r="I10275" s="12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  <c r="AA10275" s="3"/>
      <c r="AB10275" s="3"/>
      <c r="AC10275" s="3"/>
      <c r="AD10275" s="3"/>
      <c r="AE10275" s="3"/>
      <c r="AF10275" s="3"/>
      <c r="AG10275" s="3"/>
      <c r="AH10275" s="3"/>
    </row>
    <row r="10276" spans="1:34" ht="14.25" customHeight="1" x14ac:dyDescent="0.25">
      <c r="A10276" s="3"/>
      <c r="B10276" s="3"/>
      <c r="C10276" s="3"/>
      <c r="D10276" s="3"/>
      <c r="E10276" s="3"/>
      <c r="F10276" s="3"/>
      <c r="G10276" s="3"/>
      <c r="H10276" s="11"/>
      <c r="I10276" s="12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  <c r="AA10276" s="3"/>
      <c r="AB10276" s="3"/>
      <c r="AC10276" s="3"/>
      <c r="AD10276" s="3"/>
      <c r="AE10276" s="3"/>
      <c r="AF10276" s="3"/>
      <c r="AG10276" s="3"/>
      <c r="AH10276" s="3"/>
    </row>
    <row r="10277" spans="1:34" ht="14.25" customHeight="1" x14ac:dyDescent="0.25">
      <c r="A10277" s="3"/>
      <c r="B10277" s="3"/>
      <c r="C10277" s="3"/>
      <c r="D10277" s="3"/>
      <c r="E10277" s="3"/>
      <c r="F10277" s="3"/>
      <c r="G10277" s="3"/>
      <c r="H10277" s="11"/>
      <c r="I10277" s="12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  <c r="AA10277" s="3"/>
      <c r="AB10277" s="3"/>
      <c r="AC10277" s="3"/>
      <c r="AD10277" s="3"/>
      <c r="AE10277" s="3"/>
      <c r="AF10277" s="3"/>
      <c r="AG10277" s="3"/>
      <c r="AH10277" s="3"/>
    </row>
    <row r="10278" spans="1:34" ht="14.25" customHeight="1" x14ac:dyDescent="0.25">
      <c r="A10278" s="3"/>
      <c r="B10278" s="3"/>
      <c r="C10278" s="3"/>
      <c r="D10278" s="3"/>
      <c r="E10278" s="3"/>
      <c r="F10278" s="3"/>
      <c r="G10278" s="3"/>
      <c r="H10278" s="11"/>
      <c r="I10278" s="12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  <c r="AA10278" s="3"/>
      <c r="AB10278" s="3"/>
      <c r="AC10278" s="3"/>
      <c r="AD10278" s="3"/>
      <c r="AE10278" s="3"/>
      <c r="AF10278" s="3"/>
      <c r="AG10278" s="3"/>
      <c r="AH10278" s="3"/>
    </row>
    <row r="10279" spans="1:34" ht="14.25" customHeight="1" x14ac:dyDescent="0.25">
      <c r="A10279" s="3"/>
      <c r="B10279" s="3"/>
      <c r="C10279" s="3"/>
      <c r="D10279" s="3"/>
      <c r="E10279" s="3"/>
      <c r="F10279" s="3"/>
      <c r="G10279" s="3"/>
      <c r="H10279" s="11"/>
      <c r="I10279" s="12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  <c r="AA10279" s="3"/>
      <c r="AB10279" s="3"/>
      <c r="AC10279" s="3"/>
      <c r="AD10279" s="3"/>
      <c r="AE10279" s="3"/>
      <c r="AF10279" s="3"/>
      <c r="AG10279" s="3"/>
      <c r="AH10279" s="3"/>
    </row>
    <row r="10280" spans="1:34" ht="14.25" customHeight="1" x14ac:dyDescent="0.25">
      <c r="A10280" s="3"/>
      <c r="B10280" s="3"/>
      <c r="C10280" s="3"/>
      <c r="D10280" s="3"/>
      <c r="E10280" s="3"/>
      <c r="F10280" s="3"/>
      <c r="G10280" s="3"/>
      <c r="H10280" s="11"/>
      <c r="I10280" s="12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  <c r="AA10280" s="3"/>
      <c r="AB10280" s="3"/>
      <c r="AC10280" s="3"/>
      <c r="AD10280" s="3"/>
      <c r="AE10280" s="3"/>
      <c r="AF10280" s="3"/>
      <c r="AG10280" s="3"/>
      <c r="AH10280" s="3"/>
    </row>
    <row r="10281" spans="1:34" ht="14.25" customHeight="1" x14ac:dyDescent="0.25">
      <c r="A10281" s="3"/>
      <c r="B10281" s="3"/>
      <c r="C10281" s="3"/>
      <c r="D10281" s="3"/>
      <c r="E10281" s="3"/>
      <c r="F10281" s="3"/>
      <c r="G10281" s="3"/>
      <c r="H10281" s="11"/>
      <c r="I10281" s="12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  <c r="AA10281" s="3"/>
      <c r="AB10281" s="3"/>
      <c r="AC10281" s="3"/>
      <c r="AD10281" s="3"/>
      <c r="AE10281" s="3"/>
      <c r="AF10281" s="3"/>
      <c r="AG10281" s="3"/>
      <c r="AH10281" s="3"/>
    </row>
    <row r="10282" spans="1:34" ht="14.25" customHeight="1" x14ac:dyDescent="0.25">
      <c r="A10282" s="3"/>
      <c r="B10282" s="3"/>
      <c r="C10282" s="3"/>
      <c r="D10282" s="3"/>
      <c r="E10282" s="3"/>
      <c r="F10282" s="3"/>
      <c r="G10282" s="3"/>
      <c r="H10282" s="11"/>
      <c r="I10282" s="12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  <c r="AA10282" s="3"/>
      <c r="AB10282" s="3"/>
      <c r="AC10282" s="3"/>
      <c r="AD10282" s="3"/>
      <c r="AE10282" s="3"/>
      <c r="AF10282" s="3"/>
      <c r="AG10282" s="3"/>
      <c r="AH10282" s="3"/>
    </row>
    <row r="10283" spans="1:34" ht="14.25" customHeight="1" x14ac:dyDescent="0.25">
      <c r="A10283" s="3"/>
      <c r="B10283" s="3"/>
      <c r="C10283" s="3"/>
      <c r="D10283" s="3"/>
      <c r="E10283" s="3"/>
      <c r="F10283" s="3"/>
      <c r="G10283" s="3"/>
      <c r="H10283" s="11"/>
      <c r="I10283" s="12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  <c r="AA10283" s="3"/>
      <c r="AB10283" s="3"/>
      <c r="AC10283" s="3"/>
      <c r="AD10283" s="3"/>
      <c r="AE10283" s="3"/>
      <c r="AF10283" s="3"/>
      <c r="AG10283" s="3"/>
      <c r="AH10283" s="3"/>
    </row>
    <row r="10284" spans="1:34" ht="14.25" customHeight="1" x14ac:dyDescent="0.25">
      <c r="A10284" s="3"/>
      <c r="B10284" s="3"/>
      <c r="C10284" s="3"/>
      <c r="D10284" s="3"/>
      <c r="E10284" s="3"/>
      <c r="F10284" s="3"/>
      <c r="G10284" s="3"/>
      <c r="H10284" s="11"/>
      <c r="I10284" s="12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  <c r="AA10284" s="3"/>
      <c r="AB10284" s="3"/>
      <c r="AC10284" s="3"/>
      <c r="AD10284" s="3"/>
      <c r="AE10284" s="3"/>
      <c r="AF10284" s="3"/>
      <c r="AG10284" s="3"/>
      <c r="AH10284" s="3"/>
    </row>
    <row r="10285" spans="1:34" ht="14.25" customHeight="1" x14ac:dyDescent="0.25">
      <c r="A10285" s="3"/>
      <c r="B10285" s="3"/>
      <c r="C10285" s="3"/>
      <c r="D10285" s="3"/>
      <c r="E10285" s="3"/>
      <c r="F10285" s="3"/>
      <c r="G10285" s="3"/>
      <c r="H10285" s="11"/>
      <c r="I10285" s="12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  <c r="AA10285" s="3"/>
      <c r="AB10285" s="3"/>
      <c r="AC10285" s="3"/>
      <c r="AD10285" s="3"/>
      <c r="AE10285" s="3"/>
      <c r="AF10285" s="3"/>
      <c r="AG10285" s="3"/>
      <c r="AH10285" s="3"/>
    </row>
    <row r="10286" spans="1:34" ht="14.25" customHeight="1" x14ac:dyDescent="0.25">
      <c r="A10286" s="3"/>
      <c r="B10286" s="3"/>
      <c r="C10286" s="3"/>
      <c r="D10286" s="3"/>
      <c r="E10286" s="3"/>
      <c r="F10286" s="3"/>
      <c r="G10286" s="3"/>
      <c r="H10286" s="11"/>
      <c r="I10286" s="12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  <c r="AA10286" s="3"/>
      <c r="AB10286" s="3"/>
      <c r="AC10286" s="3"/>
      <c r="AD10286" s="3"/>
      <c r="AE10286" s="3"/>
      <c r="AF10286" s="3"/>
      <c r="AG10286" s="3"/>
      <c r="AH10286" s="3"/>
    </row>
    <row r="10287" spans="1:34" ht="14.25" customHeight="1" x14ac:dyDescent="0.25">
      <c r="A10287" s="3"/>
      <c r="B10287" s="3"/>
      <c r="C10287" s="3"/>
      <c r="D10287" s="3"/>
      <c r="E10287" s="3"/>
      <c r="F10287" s="3"/>
      <c r="G10287" s="3"/>
      <c r="H10287" s="11"/>
      <c r="I10287" s="12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  <c r="AA10287" s="3"/>
      <c r="AB10287" s="3"/>
      <c r="AC10287" s="3"/>
      <c r="AD10287" s="3"/>
      <c r="AE10287" s="3"/>
      <c r="AF10287" s="3"/>
      <c r="AG10287" s="3"/>
      <c r="AH10287" s="3"/>
    </row>
    <row r="10288" spans="1:34" ht="14.25" customHeight="1" x14ac:dyDescent="0.25">
      <c r="A10288" s="3"/>
      <c r="B10288" s="3"/>
      <c r="C10288" s="3"/>
      <c r="D10288" s="3"/>
      <c r="E10288" s="3"/>
      <c r="F10288" s="3"/>
      <c r="G10288" s="3"/>
      <c r="H10288" s="11"/>
      <c r="I10288" s="12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  <c r="AA10288" s="3"/>
      <c r="AB10288" s="3"/>
      <c r="AC10288" s="3"/>
      <c r="AD10288" s="3"/>
      <c r="AE10288" s="3"/>
      <c r="AF10288" s="3"/>
      <c r="AG10288" s="3"/>
      <c r="AH10288" s="3"/>
    </row>
    <row r="10289" spans="1:34" ht="14.25" customHeight="1" x14ac:dyDescent="0.25">
      <c r="A10289" s="3"/>
      <c r="B10289" s="3"/>
      <c r="C10289" s="3"/>
      <c r="D10289" s="3"/>
      <c r="E10289" s="3"/>
      <c r="F10289" s="3"/>
      <c r="G10289" s="3"/>
      <c r="H10289" s="11"/>
      <c r="I10289" s="12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  <c r="AA10289" s="3"/>
      <c r="AB10289" s="3"/>
      <c r="AC10289" s="3"/>
      <c r="AD10289" s="3"/>
      <c r="AE10289" s="3"/>
      <c r="AF10289" s="3"/>
      <c r="AG10289" s="3"/>
      <c r="AH10289" s="3"/>
    </row>
    <row r="10290" spans="1:34" ht="14.25" customHeight="1" x14ac:dyDescent="0.25">
      <c r="A10290" s="3"/>
      <c r="B10290" s="3"/>
      <c r="C10290" s="3"/>
      <c r="D10290" s="3"/>
      <c r="E10290" s="3"/>
      <c r="F10290" s="3"/>
      <c r="G10290" s="3"/>
      <c r="H10290" s="11"/>
      <c r="I10290" s="12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  <c r="AA10290" s="3"/>
      <c r="AB10290" s="3"/>
      <c r="AC10290" s="3"/>
      <c r="AD10290" s="3"/>
      <c r="AE10290" s="3"/>
      <c r="AF10290" s="3"/>
      <c r="AG10290" s="3"/>
      <c r="AH10290" s="3"/>
    </row>
    <row r="10291" spans="1:34" ht="14.25" customHeight="1" x14ac:dyDescent="0.25">
      <c r="A10291" s="3"/>
      <c r="B10291" s="3"/>
      <c r="C10291" s="3"/>
      <c r="D10291" s="3"/>
      <c r="E10291" s="3"/>
      <c r="F10291" s="3"/>
      <c r="G10291" s="3"/>
      <c r="H10291" s="11"/>
      <c r="I10291" s="12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  <c r="AA10291" s="3"/>
      <c r="AB10291" s="3"/>
      <c r="AC10291" s="3"/>
      <c r="AD10291" s="3"/>
      <c r="AE10291" s="3"/>
      <c r="AF10291" s="3"/>
      <c r="AG10291" s="3"/>
      <c r="AH10291" s="3"/>
    </row>
    <row r="10292" spans="1:34" ht="14.25" customHeight="1" x14ac:dyDescent="0.25">
      <c r="A10292" s="3"/>
      <c r="B10292" s="3"/>
      <c r="C10292" s="3"/>
      <c r="D10292" s="3"/>
      <c r="E10292" s="3"/>
      <c r="F10292" s="3"/>
      <c r="G10292" s="3"/>
      <c r="H10292" s="11"/>
      <c r="I10292" s="12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  <c r="AA10292" s="3"/>
      <c r="AB10292" s="3"/>
      <c r="AC10292" s="3"/>
      <c r="AD10292" s="3"/>
      <c r="AE10292" s="3"/>
      <c r="AF10292" s="3"/>
      <c r="AG10292" s="3"/>
      <c r="AH10292" s="3"/>
    </row>
    <row r="10293" spans="1:34" ht="14.25" customHeight="1" x14ac:dyDescent="0.25">
      <c r="A10293" s="3"/>
      <c r="B10293" s="3"/>
      <c r="C10293" s="3"/>
      <c r="D10293" s="3"/>
      <c r="E10293" s="3"/>
      <c r="F10293" s="3"/>
      <c r="G10293" s="3"/>
      <c r="H10293" s="11"/>
      <c r="I10293" s="12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  <c r="AA10293" s="3"/>
      <c r="AB10293" s="3"/>
      <c r="AC10293" s="3"/>
      <c r="AD10293" s="3"/>
      <c r="AE10293" s="3"/>
      <c r="AF10293" s="3"/>
      <c r="AG10293" s="3"/>
      <c r="AH10293" s="3"/>
    </row>
    <row r="10294" spans="1:34" ht="14.25" customHeight="1" x14ac:dyDescent="0.25">
      <c r="A10294" s="3"/>
      <c r="B10294" s="3"/>
      <c r="C10294" s="3"/>
      <c r="D10294" s="3"/>
      <c r="E10294" s="3"/>
      <c r="F10294" s="3"/>
      <c r="G10294" s="3"/>
      <c r="H10294" s="11"/>
      <c r="I10294" s="12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  <c r="AA10294" s="3"/>
      <c r="AB10294" s="3"/>
      <c r="AC10294" s="3"/>
      <c r="AD10294" s="3"/>
      <c r="AE10294" s="3"/>
      <c r="AF10294" s="3"/>
      <c r="AG10294" s="3"/>
      <c r="AH10294" s="3"/>
    </row>
    <row r="10295" spans="1:34" ht="14.25" customHeight="1" x14ac:dyDescent="0.25">
      <c r="A10295" s="3"/>
      <c r="B10295" s="3"/>
      <c r="C10295" s="3"/>
      <c r="D10295" s="3"/>
      <c r="E10295" s="3"/>
      <c r="F10295" s="3"/>
      <c r="G10295" s="3"/>
      <c r="H10295" s="11"/>
      <c r="I10295" s="12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  <c r="AA10295" s="3"/>
      <c r="AB10295" s="3"/>
      <c r="AC10295" s="3"/>
      <c r="AD10295" s="3"/>
      <c r="AE10295" s="3"/>
      <c r="AF10295" s="3"/>
      <c r="AG10295" s="3"/>
      <c r="AH10295" s="3"/>
    </row>
    <row r="10296" spans="1:34" ht="14.25" customHeight="1" x14ac:dyDescent="0.25">
      <c r="A10296" s="3"/>
      <c r="B10296" s="3"/>
      <c r="C10296" s="3"/>
      <c r="D10296" s="3"/>
      <c r="E10296" s="3"/>
      <c r="F10296" s="3"/>
      <c r="G10296" s="3"/>
      <c r="H10296" s="11"/>
      <c r="I10296" s="12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  <c r="AA10296" s="3"/>
      <c r="AB10296" s="3"/>
      <c r="AC10296" s="3"/>
      <c r="AD10296" s="3"/>
      <c r="AE10296" s="3"/>
      <c r="AF10296" s="3"/>
      <c r="AG10296" s="3"/>
      <c r="AH10296" s="3"/>
    </row>
    <row r="10297" spans="1:34" ht="14.25" customHeight="1" x14ac:dyDescent="0.25">
      <c r="A10297" s="3"/>
      <c r="B10297" s="3"/>
      <c r="C10297" s="3"/>
      <c r="D10297" s="3"/>
      <c r="E10297" s="3"/>
      <c r="F10297" s="3"/>
      <c r="G10297" s="3"/>
      <c r="H10297" s="11"/>
      <c r="I10297" s="12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  <c r="AA10297" s="3"/>
      <c r="AB10297" s="3"/>
      <c r="AC10297" s="3"/>
      <c r="AD10297" s="3"/>
      <c r="AE10297" s="3"/>
      <c r="AF10297" s="3"/>
      <c r="AG10297" s="3"/>
      <c r="AH10297" s="3"/>
    </row>
    <row r="10298" spans="1:34" ht="14.25" customHeight="1" x14ac:dyDescent="0.25">
      <c r="A10298" s="3"/>
      <c r="B10298" s="3"/>
      <c r="C10298" s="3"/>
      <c r="D10298" s="3"/>
      <c r="E10298" s="3"/>
      <c r="F10298" s="3"/>
      <c r="G10298" s="3"/>
      <c r="H10298" s="11"/>
      <c r="I10298" s="12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  <c r="AA10298" s="3"/>
      <c r="AB10298" s="3"/>
      <c r="AC10298" s="3"/>
      <c r="AD10298" s="3"/>
      <c r="AE10298" s="3"/>
      <c r="AF10298" s="3"/>
      <c r="AG10298" s="3"/>
      <c r="AH10298" s="3"/>
    </row>
    <row r="10299" spans="1:34" ht="14.25" customHeight="1" x14ac:dyDescent="0.25">
      <c r="A10299" s="3"/>
      <c r="B10299" s="3"/>
      <c r="C10299" s="3"/>
      <c r="D10299" s="3"/>
      <c r="E10299" s="3"/>
      <c r="F10299" s="3"/>
      <c r="G10299" s="3"/>
      <c r="H10299" s="11"/>
      <c r="I10299" s="12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  <c r="AA10299" s="3"/>
      <c r="AB10299" s="3"/>
      <c r="AC10299" s="3"/>
      <c r="AD10299" s="3"/>
      <c r="AE10299" s="3"/>
      <c r="AF10299" s="3"/>
      <c r="AG10299" s="3"/>
      <c r="AH10299" s="3"/>
    </row>
    <row r="10300" spans="1:34" ht="14.25" customHeight="1" x14ac:dyDescent="0.25">
      <c r="A10300" s="3"/>
      <c r="B10300" s="3"/>
      <c r="C10300" s="3"/>
      <c r="D10300" s="3"/>
      <c r="E10300" s="3"/>
      <c r="F10300" s="3"/>
      <c r="G10300" s="3"/>
      <c r="H10300" s="11"/>
      <c r="I10300" s="12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  <c r="AA10300" s="3"/>
      <c r="AB10300" s="3"/>
      <c r="AC10300" s="3"/>
      <c r="AD10300" s="3"/>
      <c r="AE10300" s="3"/>
      <c r="AF10300" s="3"/>
      <c r="AG10300" s="3"/>
      <c r="AH10300" s="3"/>
    </row>
    <row r="10301" spans="1:34" ht="14.25" customHeight="1" x14ac:dyDescent="0.25">
      <c r="A10301" s="3"/>
      <c r="B10301" s="3"/>
      <c r="C10301" s="3"/>
      <c r="D10301" s="3"/>
      <c r="E10301" s="3"/>
      <c r="F10301" s="3"/>
      <c r="G10301" s="3"/>
      <c r="H10301" s="11"/>
      <c r="I10301" s="12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  <c r="AA10301" s="3"/>
      <c r="AB10301" s="3"/>
      <c r="AC10301" s="3"/>
      <c r="AD10301" s="3"/>
      <c r="AE10301" s="3"/>
      <c r="AF10301" s="3"/>
      <c r="AG10301" s="3"/>
      <c r="AH10301" s="3"/>
    </row>
    <row r="10302" spans="1:34" ht="14.25" customHeight="1" x14ac:dyDescent="0.25">
      <c r="A10302" s="3"/>
      <c r="B10302" s="3"/>
      <c r="C10302" s="3"/>
      <c r="D10302" s="3"/>
      <c r="E10302" s="3"/>
      <c r="F10302" s="3"/>
      <c r="G10302" s="3"/>
      <c r="H10302" s="11"/>
      <c r="I10302" s="12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  <c r="AA10302" s="3"/>
      <c r="AB10302" s="3"/>
      <c r="AC10302" s="3"/>
      <c r="AD10302" s="3"/>
      <c r="AE10302" s="3"/>
      <c r="AF10302" s="3"/>
      <c r="AG10302" s="3"/>
      <c r="AH10302" s="3"/>
    </row>
    <row r="10303" spans="1:34" ht="14.25" customHeight="1" x14ac:dyDescent="0.25">
      <c r="A10303" s="3"/>
      <c r="B10303" s="3"/>
      <c r="C10303" s="3"/>
      <c r="D10303" s="3"/>
      <c r="E10303" s="3"/>
      <c r="F10303" s="3"/>
      <c r="G10303" s="3"/>
      <c r="H10303" s="11"/>
      <c r="I10303" s="12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  <c r="AA10303" s="3"/>
      <c r="AB10303" s="3"/>
      <c r="AC10303" s="3"/>
      <c r="AD10303" s="3"/>
      <c r="AE10303" s="3"/>
      <c r="AF10303" s="3"/>
      <c r="AG10303" s="3"/>
      <c r="AH10303" s="3"/>
    </row>
    <row r="10304" spans="1:34" ht="14.25" customHeight="1" x14ac:dyDescent="0.25">
      <c r="A10304" s="3"/>
      <c r="B10304" s="3"/>
      <c r="C10304" s="3"/>
      <c r="D10304" s="3"/>
      <c r="E10304" s="3"/>
      <c r="F10304" s="3"/>
      <c r="G10304" s="3"/>
      <c r="H10304" s="11"/>
      <c r="I10304" s="12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  <c r="AA10304" s="3"/>
      <c r="AB10304" s="3"/>
      <c r="AC10304" s="3"/>
      <c r="AD10304" s="3"/>
      <c r="AE10304" s="3"/>
      <c r="AF10304" s="3"/>
      <c r="AG10304" s="3"/>
      <c r="AH10304" s="3"/>
    </row>
    <row r="10305" spans="1:34" ht="14.25" customHeight="1" x14ac:dyDescent="0.25">
      <c r="A10305" s="3"/>
      <c r="B10305" s="3"/>
      <c r="C10305" s="3"/>
      <c r="D10305" s="3"/>
      <c r="E10305" s="3"/>
      <c r="F10305" s="3"/>
      <c r="G10305" s="3"/>
      <c r="H10305" s="11"/>
      <c r="I10305" s="12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  <c r="AA10305" s="3"/>
      <c r="AB10305" s="3"/>
      <c r="AC10305" s="3"/>
      <c r="AD10305" s="3"/>
      <c r="AE10305" s="3"/>
      <c r="AF10305" s="3"/>
      <c r="AG10305" s="3"/>
      <c r="AH10305" s="3"/>
    </row>
    <row r="10306" spans="1:34" ht="14.25" customHeight="1" x14ac:dyDescent="0.25">
      <c r="A10306" s="3"/>
      <c r="B10306" s="3"/>
      <c r="C10306" s="3"/>
      <c r="D10306" s="3"/>
      <c r="E10306" s="3"/>
      <c r="F10306" s="3"/>
      <c r="G10306" s="3"/>
      <c r="H10306" s="11"/>
      <c r="I10306" s="12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  <c r="AA10306" s="3"/>
      <c r="AB10306" s="3"/>
      <c r="AC10306" s="3"/>
      <c r="AD10306" s="3"/>
      <c r="AE10306" s="3"/>
      <c r="AF10306" s="3"/>
      <c r="AG10306" s="3"/>
      <c r="AH10306" s="3"/>
    </row>
    <row r="10307" spans="1:34" ht="14.25" customHeight="1" x14ac:dyDescent="0.25">
      <c r="A10307" s="3"/>
      <c r="B10307" s="3"/>
      <c r="C10307" s="3"/>
      <c r="D10307" s="3"/>
      <c r="E10307" s="3"/>
      <c r="F10307" s="3"/>
      <c r="G10307" s="3"/>
      <c r="H10307" s="11"/>
      <c r="I10307" s="12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  <c r="AA10307" s="3"/>
      <c r="AB10307" s="3"/>
      <c r="AC10307" s="3"/>
      <c r="AD10307" s="3"/>
      <c r="AE10307" s="3"/>
      <c r="AF10307" s="3"/>
      <c r="AG10307" s="3"/>
      <c r="AH10307" s="3"/>
    </row>
    <row r="10308" spans="1:34" ht="14.25" customHeight="1" x14ac:dyDescent="0.25">
      <c r="A10308" s="3"/>
      <c r="B10308" s="3"/>
      <c r="C10308" s="3"/>
      <c r="D10308" s="3"/>
      <c r="E10308" s="3"/>
      <c r="F10308" s="3"/>
      <c r="G10308" s="3"/>
      <c r="H10308" s="11"/>
      <c r="I10308" s="12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  <c r="AA10308" s="3"/>
      <c r="AB10308" s="3"/>
      <c r="AC10308" s="3"/>
      <c r="AD10308" s="3"/>
      <c r="AE10308" s="3"/>
      <c r="AF10308" s="3"/>
      <c r="AG10308" s="3"/>
      <c r="AH10308" s="3"/>
    </row>
    <row r="10309" spans="1:34" ht="14.25" customHeight="1" x14ac:dyDescent="0.25">
      <c r="A10309" s="3"/>
      <c r="B10309" s="3"/>
      <c r="C10309" s="3"/>
      <c r="D10309" s="3"/>
      <c r="E10309" s="3"/>
      <c r="F10309" s="3"/>
      <c r="G10309" s="3"/>
      <c r="H10309" s="11"/>
      <c r="I10309" s="12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  <c r="AA10309" s="3"/>
      <c r="AB10309" s="3"/>
      <c r="AC10309" s="3"/>
      <c r="AD10309" s="3"/>
      <c r="AE10309" s="3"/>
      <c r="AF10309" s="3"/>
      <c r="AG10309" s="3"/>
      <c r="AH10309" s="3"/>
    </row>
    <row r="10310" spans="1:34" ht="14.25" customHeight="1" x14ac:dyDescent="0.25">
      <c r="A10310" s="3"/>
      <c r="B10310" s="3"/>
      <c r="C10310" s="3"/>
      <c r="D10310" s="3"/>
      <c r="E10310" s="3"/>
      <c r="F10310" s="3"/>
      <c r="G10310" s="3"/>
      <c r="H10310" s="11"/>
      <c r="I10310" s="12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  <c r="AA10310" s="3"/>
      <c r="AB10310" s="3"/>
      <c r="AC10310" s="3"/>
      <c r="AD10310" s="3"/>
      <c r="AE10310" s="3"/>
      <c r="AF10310" s="3"/>
      <c r="AG10310" s="3"/>
      <c r="AH10310" s="3"/>
    </row>
    <row r="10311" spans="1:34" ht="14.25" customHeight="1" x14ac:dyDescent="0.25">
      <c r="A10311" s="3"/>
      <c r="B10311" s="3"/>
      <c r="C10311" s="3"/>
      <c r="D10311" s="3"/>
      <c r="E10311" s="3"/>
      <c r="F10311" s="3"/>
      <c r="G10311" s="3"/>
      <c r="H10311" s="11"/>
      <c r="I10311" s="12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  <c r="AA10311" s="3"/>
      <c r="AB10311" s="3"/>
      <c r="AC10311" s="3"/>
      <c r="AD10311" s="3"/>
      <c r="AE10311" s="3"/>
      <c r="AF10311" s="3"/>
      <c r="AG10311" s="3"/>
      <c r="AH10311" s="3"/>
    </row>
    <row r="10312" spans="1:34" ht="14.25" customHeight="1" x14ac:dyDescent="0.25">
      <c r="A10312" s="3"/>
      <c r="B10312" s="3"/>
      <c r="C10312" s="3"/>
      <c r="D10312" s="3"/>
      <c r="E10312" s="3"/>
      <c r="F10312" s="3"/>
      <c r="G10312" s="3"/>
      <c r="H10312" s="11"/>
      <c r="I10312" s="12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  <c r="AA10312" s="3"/>
      <c r="AB10312" s="3"/>
      <c r="AC10312" s="3"/>
      <c r="AD10312" s="3"/>
      <c r="AE10312" s="3"/>
      <c r="AF10312" s="3"/>
      <c r="AG10312" s="3"/>
      <c r="AH10312" s="3"/>
    </row>
    <row r="10313" spans="1:34" ht="14.25" customHeight="1" x14ac:dyDescent="0.25">
      <c r="A10313" s="3"/>
      <c r="B10313" s="3"/>
      <c r="C10313" s="3"/>
      <c r="D10313" s="3"/>
      <c r="E10313" s="3"/>
      <c r="F10313" s="3"/>
      <c r="G10313" s="3"/>
      <c r="H10313" s="11"/>
      <c r="I10313" s="12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  <c r="AA10313" s="3"/>
      <c r="AB10313" s="3"/>
      <c r="AC10313" s="3"/>
      <c r="AD10313" s="3"/>
      <c r="AE10313" s="3"/>
      <c r="AF10313" s="3"/>
      <c r="AG10313" s="3"/>
      <c r="AH10313" s="3"/>
    </row>
    <row r="10314" spans="1:34" ht="14.25" customHeight="1" x14ac:dyDescent="0.25">
      <c r="A10314" s="3"/>
      <c r="B10314" s="3"/>
      <c r="C10314" s="3"/>
      <c r="D10314" s="3"/>
      <c r="E10314" s="3"/>
      <c r="F10314" s="3"/>
      <c r="G10314" s="3"/>
      <c r="H10314" s="11"/>
      <c r="I10314" s="12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  <c r="AA10314" s="3"/>
      <c r="AB10314" s="3"/>
      <c r="AC10314" s="3"/>
      <c r="AD10314" s="3"/>
      <c r="AE10314" s="3"/>
      <c r="AF10314" s="3"/>
      <c r="AG10314" s="3"/>
      <c r="AH10314" s="3"/>
    </row>
    <row r="10315" spans="1:34" ht="14.25" customHeight="1" x14ac:dyDescent="0.25">
      <c r="A10315" s="3"/>
      <c r="B10315" s="3"/>
      <c r="C10315" s="3"/>
      <c r="D10315" s="3"/>
      <c r="E10315" s="3"/>
      <c r="F10315" s="3"/>
      <c r="G10315" s="3"/>
      <c r="H10315" s="11"/>
      <c r="I10315" s="12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  <c r="AA10315" s="3"/>
      <c r="AB10315" s="3"/>
      <c r="AC10315" s="3"/>
      <c r="AD10315" s="3"/>
      <c r="AE10315" s="3"/>
      <c r="AF10315" s="3"/>
      <c r="AG10315" s="3"/>
      <c r="AH10315" s="3"/>
    </row>
    <row r="10316" spans="1:34" ht="14.25" customHeight="1" x14ac:dyDescent="0.25">
      <c r="A10316" s="3"/>
      <c r="B10316" s="3"/>
      <c r="C10316" s="3"/>
      <c r="D10316" s="3"/>
      <c r="E10316" s="3"/>
      <c r="F10316" s="3"/>
      <c r="G10316" s="3"/>
      <c r="H10316" s="11"/>
      <c r="I10316" s="12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  <c r="AA10316" s="3"/>
      <c r="AB10316" s="3"/>
      <c r="AC10316" s="3"/>
      <c r="AD10316" s="3"/>
      <c r="AE10316" s="3"/>
      <c r="AF10316" s="3"/>
      <c r="AG10316" s="3"/>
      <c r="AH10316" s="3"/>
    </row>
    <row r="10317" spans="1:34" ht="14.25" customHeight="1" x14ac:dyDescent="0.25">
      <c r="A10317" s="3"/>
      <c r="B10317" s="3"/>
      <c r="C10317" s="3"/>
      <c r="D10317" s="3"/>
      <c r="E10317" s="3"/>
      <c r="F10317" s="3"/>
      <c r="G10317" s="3"/>
      <c r="H10317" s="11"/>
      <c r="I10317" s="12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  <c r="AA10317" s="3"/>
      <c r="AB10317" s="3"/>
      <c r="AC10317" s="3"/>
      <c r="AD10317" s="3"/>
      <c r="AE10317" s="3"/>
      <c r="AF10317" s="3"/>
      <c r="AG10317" s="3"/>
      <c r="AH10317" s="3"/>
    </row>
    <row r="10318" spans="1:34" ht="14.25" customHeight="1" x14ac:dyDescent="0.25">
      <c r="A10318" s="3"/>
      <c r="B10318" s="3"/>
      <c r="C10318" s="3"/>
      <c r="D10318" s="3"/>
      <c r="E10318" s="3"/>
      <c r="F10318" s="3"/>
      <c r="G10318" s="3"/>
      <c r="H10318" s="11"/>
      <c r="I10318" s="12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  <c r="AA10318" s="3"/>
      <c r="AB10318" s="3"/>
      <c r="AC10318" s="3"/>
      <c r="AD10318" s="3"/>
      <c r="AE10318" s="3"/>
      <c r="AF10318" s="3"/>
      <c r="AG10318" s="3"/>
      <c r="AH10318" s="3"/>
    </row>
    <row r="10319" spans="1:34" ht="14.25" customHeight="1" x14ac:dyDescent="0.25">
      <c r="A10319" s="3"/>
      <c r="B10319" s="3"/>
      <c r="C10319" s="3"/>
      <c r="D10319" s="3"/>
      <c r="E10319" s="3"/>
      <c r="F10319" s="3"/>
      <c r="G10319" s="3"/>
      <c r="H10319" s="11"/>
      <c r="I10319" s="12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  <c r="AA10319" s="3"/>
      <c r="AB10319" s="3"/>
      <c r="AC10319" s="3"/>
      <c r="AD10319" s="3"/>
      <c r="AE10319" s="3"/>
      <c r="AF10319" s="3"/>
      <c r="AG10319" s="3"/>
      <c r="AH10319" s="3"/>
    </row>
    <row r="10320" spans="1:34" ht="14.25" customHeight="1" x14ac:dyDescent="0.25">
      <c r="A10320" s="3"/>
      <c r="B10320" s="3"/>
      <c r="C10320" s="3"/>
      <c r="D10320" s="3"/>
      <c r="E10320" s="3"/>
      <c r="F10320" s="3"/>
      <c r="G10320" s="3"/>
      <c r="H10320" s="11"/>
      <c r="I10320" s="12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  <c r="AA10320" s="3"/>
      <c r="AB10320" s="3"/>
      <c r="AC10320" s="3"/>
      <c r="AD10320" s="3"/>
      <c r="AE10320" s="3"/>
      <c r="AF10320" s="3"/>
      <c r="AG10320" s="3"/>
      <c r="AH10320" s="3"/>
    </row>
    <row r="10321" spans="1:34" ht="14.25" customHeight="1" x14ac:dyDescent="0.25">
      <c r="A10321" s="3"/>
      <c r="B10321" s="3"/>
      <c r="C10321" s="3"/>
      <c r="D10321" s="3"/>
      <c r="E10321" s="3"/>
      <c r="F10321" s="3"/>
      <c r="G10321" s="3"/>
      <c r="H10321" s="11"/>
      <c r="I10321" s="12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  <c r="AA10321" s="3"/>
      <c r="AB10321" s="3"/>
      <c r="AC10321" s="3"/>
      <c r="AD10321" s="3"/>
      <c r="AE10321" s="3"/>
      <c r="AF10321" s="3"/>
      <c r="AG10321" s="3"/>
      <c r="AH10321" s="3"/>
    </row>
    <row r="10322" spans="1:34" ht="14.25" customHeight="1" x14ac:dyDescent="0.25">
      <c r="A10322" s="3"/>
      <c r="B10322" s="3"/>
      <c r="C10322" s="3"/>
      <c r="D10322" s="3"/>
      <c r="E10322" s="3"/>
      <c r="F10322" s="3"/>
      <c r="G10322" s="3"/>
      <c r="H10322" s="11"/>
      <c r="I10322" s="12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  <c r="AA10322" s="3"/>
      <c r="AB10322" s="3"/>
      <c r="AC10322" s="3"/>
      <c r="AD10322" s="3"/>
      <c r="AE10322" s="3"/>
      <c r="AF10322" s="3"/>
      <c r="AG10322" s="3"/>
      <c r="AH10322" s="3"/>
    </row>
    <row r="10323" spans="1:34" ht="14.25" customHeight="1" x14ac:dyDescent="0.25">
      <c r="A10323" s="3"/>
      <c r="B10323" s="3"/>
      <c r="C10323" s="3"/>
      <c r="D10323" s="3"/>
      <c r="E10323" s="3"/>
      <c r="F10323" s="3"/>
      <c r="G10323" s="3"/>
      <c r="H10323" s="11"/>
      <c r="I10323" s="12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  <c r="AA10323" s="3"/>
      <c r="AB10323" s="3"/>
      <c r="AC10323" s="3"/>
      <c r="AD10323" s="3"/>
      <c r="AE10323" s="3"/>
      <c r="AF10323" s="3"/>
      <c r="AG10323" s="3"/>
      <c r="AH10323" s="3"/>
    </row>
    <row r="10324" spans="1:34" ht="14.25" customHeight="1" x14ac:dyDescent="0.25">
      <c r="A10324" s="3"/>
      <c r="B10324" s="3"/>
      <c r="C10324" s="3"/>
      <c r="D10324" s="3"/>
      <c r="E10324" s="3"/>
      <c r="F10324" s="3"/>
      <c r="G10324" s="3"/>
      <c r="H10324" s="11"/>
      <c r="I10324" s="12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  <c r="AA10324" s="3"/>
      <c r="AB10324" s="3"/>
      <c r="AC10324" s="3"/>
      <c r="AD10324" s="3"/>
      <c r="AE10324" s="3"/>
      <c r="AF10324" s="3"/>
      <c r="AG10324" s="3"/>
      <c r="AH10324" s="3"/>
    </row>
    <row r="10325" spans="1:34" ht="14.25" customHeight="1" x14ac:dyDescent="0.25">
      <c r="A10325" s="3"/>
      <c r="B10325" s="3"/>
      <c r="C10325" s="3"/>
      <c r="D10325" s="3"/>
      <c r="E10325" s="3"/>
      <c r="F10325" s="3"/>
      <c r="G10325" s="3"/>
      <c r="H10325" s="11"/>
      <c r="I10325" s="12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  <c r="AA10325" s="3"/>
      <c r="AB10325" s="3"/>
      <c r="AC10325" s="3"/>
      <c r="AD10325" s="3"/>
      <c r="AE10325" s="3"/>
      <c r="AF10325" s="3"/>
      <c r="AG10325" s="3"/>
      <c r="AH10325" s="3"/>
    </row>
    <row r="10326" spans="1:34" ht="14.25" customHeight="1" x14ac:dyDescent="0.25">
      <c r="A10326" s="3"/>
      <c r="B10326" s="3"/>
      <c r="C10326" s="3"/>
      <c r="D10326" s="3"/>
      <c r="E10326" s="3"/>
      <c r="F10326" s="3"/>
      <c r="G10326" s="3"/>
      <c r="H10326" s="11"/>
      <c r="I10326" s="12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  <c r="AA10326" s="3"/>
      <c r="AB10326" s="3"/>
      <c r="AC10326" s="3"/>
      <c r="AD10326" s="3"/>
      <c r="AE10326" s="3"/>
      <c r="AF10326" s="3"/>
      <c r="AG10326" s="3"/>
      <c r="AH10326" s="3"/>
    </row>
    <row r="10327" spans="1:34" ht="14.25" customHeight="1" x14ac:dyDescent="0.25">
      <c r="A10327" s="3"/>
      <c r="B10327" s="3"/>
      <c r="C10327" s="3"/>
      <c r="D10327" s="3"/>
      <c r="E10327" s="3"/>
      <c r="F10327" s="3"/>
      <c r="G10327" s="3"/>
      <c r="H10327" s="11"/>
      <c r="I10327" s="12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  <c r="AA10327" s="3"/>
      <c r="AB10327" s="3"/>
      <c r="AC10327" s="3"/>
      <c r="AD10327" s="3"/>
      <c r="AE10327" s="3"/>
      <c r="AF10327" s="3"/>
      <c r="AG10327" s="3"/>
      <c r="AH10327" s="3"/>
    </row>
    <row r="10328" spans="1:34" ht="14.25" customHeight="1" x14ac:dyDescent="0.25">
      <c r="A10328" s="3"/>
      <c r="B10328" s="3"/>
      <c r="C10328" s="3"/>
      <c r="D10328" s="3"/>
      <c r="E10328" s="3"/>
      <c r="F10328" s="3"/>
      <c r="G10328" s="3"/>
      <c r="H10328" s="11"/>
      <c r="I10328" s="12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  <c r="AA10328" s="3"/>
      <c r="AB10328" s="3"/>
      <c r="AC10328" s="3"/>
      <c r="AD10328" s="3"/>
      <c r="AE10328" s="3"/>
      <c r="AF10328" s="3"/>
      <c r="AG10328" s="3"/>
      <c r="AH10328" s="3"/>
    </row>
    <row r="10329" spans="1:34" ht="14.25" customHeight="1" x14ac:dyDescent="0.25">
      <c r="A10329" s="3"/>
      <c r="B10329" s="3"/>
      <c r="C10329" s="3"/>
      <c r="D10329" s="3"/>
      <c r="E10329" s="3"/>
      <c r="F10329" s="3"/>
      <c r="G10329" s="3"/>
      <c r="H10329" s="11"/>
      <c r="I10329" s="12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  <c r="AA10329" s="3"/>
      <c r="AB10329" s="3"/>
      <c r="AC10329" s="3"/>
      <c r="AD10329" s="3"/>
      <c r="AE10329" s="3"/>
      <c r="AF10329" s="3"/>
      <c r="AG10329" s="3"/>
      <c r="AH10329" s="3"/>
    </row>
    <row r="10330" spans="1:34" ht="14.25" customHeight="1" x14ac:dyDescent="0.25">
      <c r="A10330" s="3"/>
      <c r="B10330" s="3"/>
      <c r="C10330" s="3"/>
      <c r="D10330" s="3"/>
      <c r="E10330" s="3"/>
      <c r="F10330" s="3"/>
      <c r="G10330" s="3"/>
      <c r="H10330" s="11"/>
      <c r="I10330" s="12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  <c r="AA10330" s="3"/>
      <c r="AB10330" s="3"/>
      <c r="AC10330" s="3"/>
      <c r="AD10330" s="3"/>
      <c r="AE10330" s="3"/>
      <c r="AF10330" s="3"/>
      <c r="AG10330" s="3"/>
      <c r="AH10330" s="3"/>
    </row>
    <row r="10331" spans="1:34" ht="14.25" customHeight="1" x14ac:dyDescent="0.25">
      <c r="A10331" s="3"/>
      <c r="B10331" s="3"/>
      <c r="C10331" s="3"/>
      <c r="D10331" s="3"/>
      <c r="E10331" s="3"/>
      <c r="F10331" s="3"/>
      <c r="G10331" s="3"/>
      <c r="H10331" s="11"/>
      <c r="I10331" s="12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  <c r="AA10331" s="3"/>
      <c r="AB10331" s="3"/>
      <c r="AC10331" s="3"/>
      <c r="AD10331" s="3"/>
      <c r="AE10331" s="3"/>
      <c r="AF10331" s="3"/>
      <c r="AG10331" s="3"/>
      <c r="AH10331" s="3"/>
    </row>
    <row r="10332" spans="1:34" ht="14.25" customHeight="1" x14ac:dyDescent="0.25">
      <c r="A10332" s="3"/>
      <c r="B10332" s="3"/>
      <c r="C10332" s="3"/>
      <c r="D10332" s="3"/>
      <c r="E10332" s="3"/>
      <c r="F10332" s="3"/>
      <c r="G10332" s="3"/>
      <c r="H10332" s="11"/>
      <c r="I10332" s="12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  <c r="AA10332" s="3"/>
      <c r="AB10332" s="3"/>
      <c r="AC10332" s="3"/>
      <c r="AD10332" s="3"/>
      <c r="AE10332" s="3"/>
      <c r="AF10332" s="3"/>
      <c r="AG10332" s="3"/>
      <c r="AH10332" s="3"/>
    </row>
    <row r="10333" spans="1:34" ht="14.25" customHeight="1" x14ac:dyDescent="0.25">
      <c r="A10333" s="3"/>
      <c r="B10333" s="3"/>
      <c r="C10333" s="3"/>
      <c r="D10333" s="3"/>
      <c r="E10333" s="3"/>
      <c r="F10333" s="3"/>
      <c r="G10333" s="3"/>
      <c r="H10333" s="11"/>
      <c r="I10333" s="12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  <c r="AA10333" s="3"/>
      <c r="AB10333" s="3"/>
      <c r="AC10333" s="3"/>
      <c r="AD10333" s="3"/>
      <c r="AE10333" s="3"/>
      <c r="AF10333" s="3"/>
      <c r="AG10333" s="3"/>
      <c r="AH10333" s="3"/>
    </row>
    <row r="10334" spans="1:34" ht="14.25" customHeight="1" x14ac:dyDescent="0.25">
      <c r="A10334" s="3"/>
      <c r="B10334" s="3"/>
      <c r="C10334" s="3"/>
      <c r="D10334" s="3"/>
      <c r="E10334" s="3"/>
      <c r="F10334" s="3"/>
      <c r="G10334" s="3"/>
      <c r="H10334" s="11"/>
      <c r="I10334" s="12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  <c r="AA10334" s="3"/>
      <c r="AB10334" s="3"/>
      <c r="AC10334" s="3"/>
      <c r="AD10334" s="3"/>
      <c r="AE10334" s="3"/>
      <c r="AF10334" s="3"/>
      <c r="AG10334" s="3"/>
      <c r="AH10334" s="3"/>
    </row>
    <row r="10335" spans="1:34" ht="14.25" customHeight="1" x14ac:dyDescent="0.25">
      <c r="A10335" s="3"/>
      <c r="B10335" s="3"/>
      <c r="C10335" s="3"/>
      <c r="D10335" s="3"/>
      <c r="E10335" s="3"/>
      <c r="F10335" s="3"/>
      <c r="G10335" s="3"/>
      <c r="H10335" s="11"/>
      <c r="I10335" s="12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  <c r="AA10335" s="3"/>
      <c r="AB10335" s="3"/>
      <c r="AC10335" s="3"/>
      <c r="AD10335" s="3"/>
      <c r="AE10335" s="3"/>
      <c r="AF10335" s="3"/>
      <c r="AG10335" s="3"/>
      <c r="AH10335" s="3"/>
    </row>
    <row r="10336" spans="1:34" ht="14.25" customHeight="1" x14ac:dyDescent="0.25">
      <c r="A10336" s="3"/>
      <c r="B10336" s="3"/>
      <c r="C10336" s="3"/>
      <c r="D10336" s="3"/>
      <c r="E10336" s="3"/>
      <c r="F10336" s="3"/>
      <c r="G10336" s="3"/>
      <c r="H10336" s="11"/>
      <c r="I10336" s="12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  <c r="AA10336" s="3"/>
      <c r="AB10336" s="3"/>
      <c r="AC10336" s="3"/>
      <c r="AD10336" s="3"/>
      <c r="AE10336" s="3"/>
      <c r="AF10336" s="3"/>
      <c r="AG10336" s="3"/>
      <c r="AH10336" s="3"/>
    </row>
    <row r="10337" spans="1:34" ht="14.25" customHeight="1" x14ac:dyDescent="0.25">
      <c r="A10337" s="3"/>
      <c r="B10337" s="3"/>
      <c r="C10337" s="3"/>
      <c r="D10337" s="3"/>
      <c r="E10337" s="3"/>
      <c r="F10337" s="3"/>
      <c r="G10337" s="3"/>
      <c r="H10337" s="11"/>
      <c r="I10337" s="12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  <c r="AA10337" s="3"/>
      <c r="AB10337" s="3"/>
      <c r="AC10337" s="3"/>
      <c r="AD10337" s="3"/>
      <c r="AE10337" s="3"/>
      <c r="AF10337" s="3"/>
      <c r="AG10337" s="3"/>
      <c r="AH10337" s="3"/>
    </row>
    <row r="10338" spans="1:34" ht="14.25" customHeight="1" x14ac:dyDescent="0.25">
      <c r="A10338" s="3"/>
      <c r="B10338" s="3"/>
      <c r="C10338" s="3"/>
      <c r="D10338" s="3"/>
      <c r="E10338" s="3"/>
      <c r="F10338" s="3"/>
      <c r="G10338" s="3"/>
      <c r="H10338" s="11"/>
      <c r="I10338" s="12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  <c r="AA10338" s="3"/>
      <c r="AB10338" s="3"/>
      <c r="AC10338" s="3"/>
      <c r="AD10338" s="3"/>
      <c r="AE10338" s="3"/>
      <c r="AF10338" s="3"/>
      <c r="AG10338" s="3"/>
      <c r="AH10338" s="3"/>
    </row>
    <row r="10339" spans="1:34" ht="14.25" customHeight="1" x14ac:dyDescent="0.25">
      <c r="A10339" s="3"/>
      <c r="B10339" s="3"/>
      <c r="C10339" s="3"/>
      <c r="D10339" s="3"/>
      <c r="E10339" s="3"/>
      <c r="F10339" s="3"/>
      <c r="G10339" s="3"/>
      <c r="H10339" s="11"/>
      <c r="I10339" s="12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  <c r="AA10339" s="3"/>
      <c r="AB10339" s="3"/>
      <c r="AC10339" s="3"/>
      <c r="AD10339" s="3"/>
      <c r="AE10339" s="3"/>
      <c r="AF10339" s="3"/>
      <c r="AG10339" s="3"/>
      <c r="AH10339" s="3"/>
    </row>
    <row r="10340" spans="1:34" ht="14.25" customHeight="1" x14ac:dyDescent="0.25">
      <c r="A10340" s="3"/>
      <c r="B10340" s="3"/>
      <c r="C10340" s="3"/>
      <c r="D10340" s="3"/>
      <c r="E10340" s="3"/>
      <c r="F10340" s="3"/>
      <c r="G10340" s="3"/>
      <c r="H10340" s="11"/>
      <c r="I10340" s="12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  <c r="AA10340" s="3"/>
      <c r="AB10340" s="3"/>
      <c r="AC10340" s="3"/>
      <c r="AD10340" s="3"/>
      <c r="AE10340" s="3"/>
      <c r="AF10340" s="3"/>
      <c r="AG10340" s="3"/>
      <c r="AH10340" s="3"/>
    </row>
    <row r="10341" spans="1:34" ht="14.25" customHeight="1" x14ac:dyDescent="0.25">
      <c r="A10341" s="3"/>
      <c r="B10341" s="3"/>
      <c r="C10341" s="3"/>
      <c r="D10341" s="3"/>
      <c r="E10341" s="3"/>
      <c r="F10341" s="3"/>
      <c r="G10341" s="3"/>
      <c r="H10341" s="11"/>
      <c r="I10341" s="12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  <c r="AA10341" s="3"/>
      <c r="AB10341" s="3"/>
      <c r="AC10341" s="3"/>
      <c r="AD10341" s="3"/>
      <c r="AE10341" s="3"/>
      <c r="AF10341" s="3"/>
      <c r="AG10341" s="3"/>
      <c r="AH10341" s="3"/>
    </row>
    <row r="10342" spans="1:34" ht="14.25" customHeight="1" x14ac:dyDescent="0.25">
      <c r="A10342" s="3"/>
      <c r="B10342" s="3"/>
      <c r="C10342" s="3"/>
      <c r="D10342" s="3"/>
      <c r="E10342" s="3"/>
      <c r="F10342" s="3"/>
      <c r="G10342" s="3"/>
      <c r="H10342" s="11"/>
      <c r="I10342" s="12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  <c r="AA10342" s="3"/>
      <c r="AB10342" s="3"/>
      <c r="AC10342" s="3"/>
      <c r="AD10342" s="3"/>
      <c r="AE10342" s="3"/>
      <c r="AF10342" s="3"/>
      <c r="AG10342" s="3"/>
      <c r="AH10342" s="3"/>
    </row>
    <row r="10343" spans="1:34" ht="14.25" customHeight="1" x14ac:dyDescent="0.25">
      <c r="A10343" s="3"/>
      <c r="B10343" s="3"/>
      <c r="C10343" s="3"/>
      <c r="D10343" s="3"/>
      <c r="E10343" s="3"/>
      <c r="F10343" s="3"/>
      <c r="G10343" s="3"/>
      <c r="H10343" s="11"/>
      <c r="I10343" s="12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  <c r="AA10343" s="3"/>
      <c r="AB10343" s="3"/>
      <c r="AC10343" s="3"/>
      <c r="AD10343" s="3"/>
      <c r="AE10343" s="3"/>
      <c r="AF10343" s="3"/>
      <c r="AG10343" s="3"/>
      <c r="AH10343" s="3"/>
    </row>
    <row r="10344" spans="1:34" ht="14.25" customHeight="1" x14ac:dyDescent="0.25">
      <c r="A10344" s="3"/>
      <c r="B10344" s="3"/>
      <c r="C10344" s="3"/>
      <c r="D10344" s="3"/>
      <c r="E10344" s="3"/>
      <c r="F10344" s="3"/>
      <c r="G10344" s="3"/>
      <c r="H10344" s="11"/>
      <c r="I10344" s="12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  <c r="AA10344" s="3"/>
      <c r="AB10344" s="3"/>
      <c r="AC10344" s="3"/>
      <c r="AD10344" s="3"/>
      <c r="AE10344" s="3"/>
      <c r="AF10344" s="3"/>
      <c r="AG10344" s="3"/>
      <c r="AH10344" s="3"/>
    </row>
    <row r="10345" spans="1:34" ht="14.25" customHeight="1" x14ac:dyDescent="0.25">
      <c r="A10345" s="3"/>
      <c r="B10345" s="3"/>
      <c r="C10345" s="3"/>
      <c r="D10345" s="3"/>
      <c r="E10345" s="3"/>
      <c r="F10345" s="3"/>
      <c r="G10345" s="3"/>
      <c r="H10345" s="11"/>
      <c r="I10345" s="12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  <c r="AA10345" s="3"/>
      <c r="AB10345" s="3"/>
      <c r="AC10345" s="3"/>
      <c r="AD10345" s="3"/>
      <c r="AE10345" s="3"/>
      <c r="AF10345" s="3"/>
      <c r="AG10345" s="3"/>
      <c r="AH10345" s="3"/>
    </row>
    <row r="10346" spans="1:34" ht="14.25" customHeight="1" x14ac:dyDescent="0.25">
      <c r="A10346" s="3"/>
      <c r="B10346" s="3"/>
      <c r="C10346" s="3"/>
      <c r="D10346" s="3"/>
      <c r="E10346" s="3"/>
      <c r="F10346" s="3"/>
      <c r="G10346" s="3"/>
      <c r="H10346" s="11"/>
      <c r="I10346" s="12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  <c r="AA10346" s="3"/>
      <c r="AB10346" s="3"/>
      <c r="AC10346" s="3"/>
      <c r="AD10346" s="3"/>
      <c r="AE10346" s="3"/>
      <c r="AF10346" s="3"/>
      <c r="AG10346" s="3"/>
      <c r="AH10346" s="3"/>
    </row>
    <row r="10347" spans="1:34" ht="14.25" customHeight="1" x14ac:dyDescent="0.25">
      <c r="A10347" s="3"/>
      <c r="B10347" s="3"/>
      <c r="C10347" s="3"/>
      <c r="D10347" s="3"/>
      <c r="E10347" s="3"/>
      <c r="F10347" s="3"/>
      <c r="G10347" s="3"/>
      <c r="H10347" s="11"/>
      <c r="I10347" s="12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  <c r="AA10347" s="3"/>
      <c r="AB10347" s="3"/>
      <c r="AC10347" s="3"/>
      <c r="AD10347" s="3"/>
      <c r="AE10347" s="3"/>
      <c r="AF10347" s="3"/>
      <c r="AG10347" s="3"/>
      <c r="AH10347" s="3"/>
    </row>
    <row r="10348" spans="1:34" ht="14.25" customHeight="1" x14ac:dyDescent="0.25">
      <c r="A10348" s="3"/>
      <c r="B10348" s="3"/>
      <c r="C10348" s="3"/>
      <c r="D10348" s="3"/>
      <c r="E10348" s="3"/>
      <c r="F10348" s="3"/>
      <c r="G10348" s="3"/>
      <c r="H10348" s="11"/>
      <c r="I10348" s="12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  <c r="AA10348" s="3"/>
      <c r="AB10348" s="3"/>
      <c r="AC10348" s="3"/>
      <c r="AD10348" s="3"/>
      <c r="AE10348" s="3"/>
      <c r="AF10348" s="3"/>
      <c r="AG10348" s="3"/>
      <c r="AH10348" s="3"/>
    </row>
    <row r="10349" spans="1:34" ht="14.25" customHeight="1" x14ac:dyDescent="0.25">
      <c r="A10349" s="3"/>
      <c r="B10349" s="3"/>
      <c r="C10349" s="3"/>
      <c r="D10349" s="3"/>
      <c r="E10349" s="3"/>
      <c r="F10349" s="3"/>
      <c r="G10349" s="3"/>
      <c r="H10349" s="11"/>
      <c r="I10349" s="12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  <c r="AA10349" s="3"/>
      <c r="AB10349" s="3"/>
      <c r="AC10349" s="3"/>
      <c r="AD10349" s="3"/>
      <c r="AE10349" s="3"/>
      <c r="AF10349" s="3"/>
      <c r="AG10349" s="3"/>
      <c r="AH10349" s="3"/>
    </row>
    <row r="10350" spans="1:34" ht="14.25" customHeight="1" x14ac:dyDescent="0.25">
      <c r="A10350" s="3"/>
      <c r="B10350" s="3"/>
      <c r="C10350" s="3"/>
      <c r="D10350" s="3"/>
      <c r="E10350" s="3"/>
      <c r="F10350" s="3"/>
      <c r="G10350" s="3"/>
      <c r="H10350" s="11"/>
      <c r="I10350" s="12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  <c r="AA10350" s="3"/>
      <c r="AB10350" s="3"/>
      <c r="AC10350" s="3"/>
      <c r="AD10350" s="3"/>
      <c r="AE10350" s="3"/>
      <c r="AF10350" s="3"/>
      <c r="AG10350" s="3"/>
      <c r="AH10350" s="3"/>
    </row>
    <row r="10351" spans="1:34" ht="14.25" customHeight="1" x14ac:dyDescent="0.25">
      <c r="A10351" s="3"/>
      <c r="B10351" s="3"/>
      <c r="C10351" s="3"/>
      <c r="D10351" s="3"/>
      <c r="E10351" s="3"/>
      <c r="F10351" s="3"/>
      <c r="G10351" s="3"/>
      <c r="H10351" s="11"/>
      <c r="I10351" s="12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  <c r="AA10351" s="3"/>
      <c r="AB10351" s="3"/>
      <c r="AC10351" s="3"/>
      <c r="AD10351" s="3"/>
      <c r="AE10351" s="3"/>
      <c r="AF10351" s="3"/>
      <c r="AG10351" s="3"/>
      <c r="AH10351" s="3"/>
    </row>
    <row r="10352" spans="1:34" ht="14.25" customHeight="1" x14ac:dyDescent="0.25">
      <c r="A10352" s="3"/>
      <c r="B10352" s="3"/>
      <c r="C10352" s="3"/>
      <c r="D10352" s="3"/>
      <c r="E10352" s="3"/>
      <c r="F10352" s="3"/>
      <c r="G10352" s="3"/>
      <c r="H10352" s="11"/>
      <c r="I10352" s="12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  <c r="AA10352" s="3"/>
      <c r="AB10352" s="3"/>
      <c r="AC10352" s="3"/>
      <c r="AD10352" s="3"/>
      <c r="AE10352" s="3"/>
      <c r="AF10352" s="3"/>
      <c r="AG10352" s="3"/>
      <c r="AH10352" s="3"/>
    </row>
    <row r="10353" spans="1:34" ht="14.25" customHeight="1" x14ac:dyDescent="0.25">
      <c r="A10353" s="3"/>
      <c r="B10353" s="3"/>
      <c r="C10353" s="3"/>
      <c r="D10353" s="3"/>
      <c r="E10353" s="3"/>
      <c r="F10353" s="3"/>
      <c r="G10353" s="3"/>
      <c r="H10353" s="11"/>
      <c r="I10353" s="12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  <c r="AA10353" s="3"/>
      <c r="AB10353" s="3"/>
      <c r="AC10353" s="3"/>
      <c r="AD10353" s="3"/>
      <c r="AE10353" s="3"/>
      <c r="AF10353" s="3"/>
      <c r="AG10353" s="3"/>
      <c r="AH10353" s="3"/>
    </row>
    <row r="10354" spans="1:34" ht="14.25" customHeight="1" x14ac:dyDescent="0.25">
      <c r="A10354" s="3"/>
      <c r="B10354" s="3"/>
      <c r="C10354" s="3"/>
      <c r="D10354" s="3"/>
      <c r="E10354" s="3"/>
      <c r="F10354" s="3"/>
      <c r="G10354" s="3"/>
      <c r="H10354" s="11"/>
      <c r="I10354" s="12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  <c r="AA10354" s="3"/>
      <c r="AB10354" s="3"/>
      <c r="AC10354" s="3"/>
      <c r="AD10354" s="3"/>
      <c r="AE10354" s="3"/>
      <c r="AF10354" s="3"/>
      <c r="AG10354" s="3"/>
      <c r="AH10354" s="3"/>
    </row>
    <row r="10355" spans="1:34" ht="14.25" customHeight="1" x14ac:dyDescent="0.25">
      <c r="A10355" s="3"/>
      <c r="B10355" s="3"/>
      <c r="C10355" s="3"/>
      <c r="D10355" s="3"/>
      <c r="E10355" s="3"/>
      <c r="F10355" s="3"/>
      <c r="G10355" s="3"/>
      <c r="H10355" s="11"/>
      <c r="I10355" s="12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  <c r="AA10355" s="3"/>
      <c r="AB10355" s="3"/>
      <c r="AC10355" s="3"/>
      <c r="AD10355" s="3"/>
      <c r="AE10355" s="3"/>
      <c r="AF10355" s="3"/>
      <c r="AG10355" s="3"/>
      <c r="AH10355" s="3"/>
    </row>
    <row r="10356" spans="1:34" ht="14.25" customHeight="1" x14ac:dyDescent="0.25">
      <c r="A10356" s="3"/>
      <c r="B10356" s="3"/>
      <c r="C10356" s="3"/>
      <c r="D10356" s="3"/>
      <c r="E10356" s="3"/>
      <c r="F10356" s="3"/>
      <c r="G10356" s="3"/>
      <c r="H10356" s="11"/>
      <c r="I10356" s="12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  <c r="AA10356" s="3"/>
      <c r="AB10356" s="3"/>
      <c r="AC10356" s="3"/>
      <c r="AD10356" s="3"/>
      <c r="AE10356" s="3"/>
      <c r="AF10356" s="3"/>
      <c r="AG10356" s="3"/>
      <c r="AH10356" s="3"/>
    </row>
    <row r="10357" spans="1:34" ht="14.25" customHeight="1" x14ac:dyDescent="0.25">
      <c r="A10357" s="3"/>
      <c r="B10357" s="3"/>
      <c r="C10357" s="3"/>
      <c r="D10357" s="3"/>
      <c r="E10357" s="3"/>
      <c r="F10357" s="3"/>
      <c r="G10357" s="3"/>
      <c r="H10357" s="11"/>
      <c r="I10357" s="12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  <c r="AA10357" s="3"/>
      <c r="AB10357" s="3"/>
      <c r="AC10357" s="3"/>
      <c r="AD10357" s="3"/>
      <c r="AE10357" s="3"/>
      <c r="AF10357" s="3"/>
      <c r="AG10357" s="3"/>
      <c r="AH10357" s="3"/>
    </row>
    <row r="10358" spans="1:34" ht="14.25" customHeight="1" x14ac:dyDescent="0.25">
      <c r="A10358" s="3"/>
      <c r="B10358" s="3"/>
      <c r="C10358" s="3"/>
      <c r="D10358" s="3"/>
      <c r="E10358" s="3"/>
      <c r="F10358" s="3"/>
      <c r="G10358" s="3"/>
      <c r="H10358" s="11"/>
      <c r="I10358" s="12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  <c r="AA10358" s="3"/>
      <c r="AB10358" s="3"/>
      <c r="AC10358" s="3"/>
      <c r="AD10358" s="3"/>
      <c r="AE10358" s="3"/>
      <c r="AF10358" s="3"/>
      <c r="AG10358" s="3"/>
      <c r="AH10358" s="3"/>
    </row>
    <row r="10359" spans="1:34" ht="14.25" customHeight="1" x14ac:dyDescent="0.25">
      <c r="A10359" s="3"/>
      <c r="B10359" s="3"/>
      <c r="C10359" s="3"/>
      <c r="D10359" s="3"/>
      <c r="E10359" s="3"/>
      <c r="F10359" s="3"/>
      <c r="G10359" s="3"/>
      <c r="H10359" s="11"/>
      <c r="I10359" s="12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  <c r="AA10359" s="3"/>
      <c r="AB10359" s="3"/>
      <c r="AC10359" s="3"/>
      <c r="AD10359" s="3"/>
      <c r="AE10359" s="3"/>
      <c r="AF10359" s="3"/>
      <c r="AG10359" s="3"/>
      <c r="AH10359" s="3"/>
    </row>
    <row r="10360" spans="1:34" ht="14.25" customHeight="1" x14ac:dyDescent="0.25">
      <c r="A10360" s="3"/>
      <c r="B10360" s="3"/>
      <c r="C10360" s="3"/>
      <c r="D10360" s="3"/>
      <c r="E10360" s="3"/>
      <c r="F10360" s="3"/>
      <c r="G10360" s="3"/>
      <c r="H10360" s="11"/>
      <c r="I10360" s="12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  <c r="AA10360" s="3"/>
      <c r="AB10360" s="3"/>
      <c r="AC10360" s="3"/>
      <c r="AD10360" s="3"/>
      <c r="AE10360" s="3"/>
      <c r="AF10360" s="3"/>
      <c r="AG10360" s="3"/>
      <c r="AH10360" s="3"/>
    </row>
    <row r="10361" spans="1:34" ht="14.25" customHeight="1" x14ac:dyDescent="0.25">
      <c r="A10361" s="3"/>
      <c r="B10361" s="3"/>
      <c r="C10361" s="3"/>
      <c r="D10361" s="3"/>
      <c r="E10361" s="3"/>
      <c r="F10361" s="3"/>
      <c r="G10361" s="3"/>
      <c r="H10361" s="11"/>
      <c r="I10361" s="12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  <c r="AA10361" s="3"/>
      <c r="AB10361" s="3"/>
      <c r="AC10361" s="3"/>
      <c r="AD10361" s="3"/>
      <c r="AE10361" s="3"/>
      <c r="AF10361" s="3"/>
      <c r="AG10361" s="3"/>
      <c r="AH10361" s="3"/>
    </row>
    <row r="10362" spans="1:34" ht="14.25" customHeight="1" x14ac:dyDescent="0.25">
      <c r="A10362" s="3"/>
      <c r="B10362" s="3"/>
      <c r="C10362" s="3"/>
      <c r="D10362" s="3"/>
      <c r="E10362" s="3"/>
      <c r="F10362" s="3"/>
      <c r="G10362" s="3"/>
      <c r="H10362" s="11"/>
      <c r="I10362" s="12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  <c r="AA10362" s="3"/>
      <c r="AB10362" s="3"/>
      <c r="AC10362" s="3"/>
      <c r="AD10362" s="3"/>
      <c r="AE10362" s="3"/>
      <c r="AF10362" s="3"/>
      <c r="AG10362" s="3"/>
      <c r="AH10362" s="3"/>
    </row>
    <row r="10363" spans="1:34" ht="14.25" customHeight="1" x14ac:dyDescent="0.25">
      <c r="A10363" s="3"/>
      <c r="B10363" s="3"/>
      <c r="C10363" s="3"/>
      <c r="D10363" s="3"/>
      <c r="E10363" s="3"/>
      <c r="F10363" s="3"/>
      <c r="G10363" s="3"/>
      <c r="H10363" s="11"/>
      <c r="I10363" s="12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  <c r="AA10363" s="3"/>
      <c r="AB10363" s="3"/>
      <c r="AC10363" s="3"/>
      <c r="AD10363" s="3"/>
      <c r="AE10363" s="3"/>
      <c r="AF10363" s="3"/>
      <c r="AG10363" s="3"/>
      <c r="AH10363" s="3"/>
    </row>
    <row r="10364" spans="1:34" ht="14.25" customHeight="1" x14ac:dyDescent="0.25">
      <c r="A10364" s="3"/>
      <c r="B10364" s="3"/>
      <c r="C10364" s="3"/>
      <c r="D10364" s="3"/>
      <c r="E10364" s="3"/>
      <c r="F10364" s="3"/>
      <c r="G10364" s="3"/>
      <c r="H10364" s="11"/>
      <c r="I10364" s="12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  <c r="AA10364" s="3"/>
      <c r="AB10364" s="3"/>
      <c r="AC10364" s="3"/>
      <c r="AD10364" s="3"/>
      <c r="AE10364" s="3"/>
      <c r="AF10364" s="3"/>
      <c r="AG10364" s="3"/>
      <c r="AH10364" s="3"/>
    </row>
    <row r="10365" spans="1:34" ht="14.25" customHeight="1" x14ac:dyDescent="0.25">
      <c r="A10365" s="3"/>
      <c r="B10365" s="3"/>
      <c r="C10365" s="3"/>
      <c r="D10365" s="3"/>
      <c r="E10365" s="3"/>
      <c r="F10365" s="3"/>
      <c r="G10365" s="3"/>
      <c r="H10365" s="11"/>
      <c r="I10365" s="12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  <c r="AA10365" s="3"/>
      <c r="AB10365" s="3"/>
      <c r="AC10365" s="3"/>
      <c r="AD10365" s="3"/>
      <c r="AE10365" s="3"/>
      <c r="AF10365" s="3"/>
      <c r="AG10365" s="3"/>
      <c r="AH10365" s="3"/>
    </row>
    <row r="10366" spans="1:34" ht="14.25" customHeight="1" x14ac:dyDescent="0.25">
      <c r="A10366" s="3"/>
      <c r="B10366" s="3"/>
      <c r="C10366" s="3"/>
      <c r="D10366" s="3"/>
      <c r="E10366" s="3"/>
      <c r="F10366" s="3"/>
      <c r="G10366" s="3"/>
      <c r="H10366" s="11"/>
      <c r="I10366" s="12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  <c r="AA10366" s="3"/>
      <c r="AB10366" s="3"/>
      <c r="AC10366" s="3"/>
      <c r="AD10366" s="3"/>
      <c r="AE10366" s="3"/>
      <c r="AF10366" s="3"/>
      <c r="AG10366" s="3"/>
      <c r="AH10366" s="3"/>
    </row>
    <row r="10367" spans="1:34" ht="14.25" customHeight="1" x14ac:dyDescent="0.25">
      <c r="A10367" s="3"/>
      <c r="B10367" s="3"/>
      <c r="C10367" s="3"/>
      <c r="D10367" s="3"/>
      <c r="E10367" s="3"/>
      <c r="F10367" s="3"/>
      <c r="G10367" s="3"/>
      <c r="H10367" s="11"/>
      <c r="I10367" s="12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  <c r="AA10367" s="3"/>
      <c r="AB10367" s="3"/>
      <c r="AC10367" s="3"/>
      <c r="AD10367" s="3"/>
      <c r="AE10367" s="3"/>
      <c r="AF10367" s="3"/>
      <c r="AG10367" s="3"/>
      <c r="AH10367" s="3"/>
    </row>
    <row r="10368" spans="1:34" ht="14.25" customHeight="1" x14ac:dyDescent="0.25">
      <c r="A10368" s="3"/>
      <c r="B10368" s="3"/>
      <c r="C10368" s="3"/>
      <c r="D10368" s="3"/>
      <c r="E10368" s="3"/>
      <c r="F10368" s="3"/>
      <c r="G10368" s="3"/>
      <c r="H10368" s="11"/>
      <c r="I10368" s="12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  <c r="AA10368" s="3"/>
      <c r="AB10368" s="3"/>
      <c r="AC10368" s="3"/>
      <c r="AD10368" s="3"/>
      <c r="AE10368" s="3"/>
      <c r="AF10368" s="3"/>
      <c r="AG10368" s="3"/>
      <c r="AH10368" s="3"/>
    </row>
    <row r="10369" spans="1:34" ht="14.25" customHeight="1" x14ac:dyDescent="0.25">
      <c r="A10369" s="3"/>
      <c r="B10369" s="3"/>
      <c r="C10369" s="3"/>
      <c r="D10369" s="3"/>
      <c r="E10369" s="3"/>
      <c r="F10369" s="3"/>
      <c r="G10369" s="3"/>
      <c r="H10369" s="11"/>
      <c r="I10369" s="12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  <c r="AA10369" s="3"/>
      <c r="AB10369" s="3"/>
      <c r="AC10369" s="3"/>
      <c r="AD10369" s="3"/>
      <c r="AE10369" s="3"/>
      <c r="AF10369" s="3"/>
      <c r="AG10369" s="3"/>
      <c r="AH10369" s="3"/>
    </row>
    <row r="10370" spans="1:34" ht="14.25" customHeight="1" x14ac:dyDescent="0.25">
      <c r="A10370" s="3"/>
      <c r="B10370" s="3"/>
      <c r="C10370" s="3"/>
      <c r="D10370" s="3"/>
      <c r="E10370" s="3"/>
      <c r="F10370" s="3"/>
      <c r="G10370" s="3"/>
      <c r="H10370" s="11"/>
      <c r="I10370" s="12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  <c r="AA10370" s="3"/>
      <c r="AB10370" s="3"/>
      <c r="AC10370" s="3"/>
      <c r="AD10370" s="3"/>
      <c r="AE10370" s="3"/>
      <c r="AF10370" s="3"/>
      <c r="AG10370" s="3"/>
      <c r="AH10370" s="3"/>
    </row>
    <row r="10371" spans="1:34" ht="14.25" customHeight="1" x14ac:dyDescent="0.25">
      <c r="A10371" s="3"/>
      <c r="B10371" s="3"/>
      <c r="C10371" s="3"/>
      <c r="D10371" s="3"/>
      <c r="E10371" s="3"/>
      <c r="F10371" s="3"/>
      <c r="G10371" s="3"/>
      <c r="H10371" s="11"/>
      <c r="I10371" s="12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  <c r="AA10371" s="3"/>
      <c r="AB10371" s="3"/>
      <c r="AC10371" s="3"/>
      <c r="AD10371" s="3"/>
      <c r="AE10371" s="3"/>
      <c r="AF10371" s="3"/>
      <c r="AG10371" s="3"/>
      <c r="AH10371" s="3"/>
    </row>
    <row r="10372" spans="1:34" ht="14.25" customHeight="1" x14ac:dyDescent="0.25">
      <c r="A10372" s="3"/>
      <c r="B10372" s="3"/>
      <c r="C10372" s="3"/>
      <c r="D10372" s="3"/>
      <c r="E10372" s="3"/>
      <c r="F10372" s="3"/>
      <c r="G10372" s="3"/>
      <c r="H10372" s="11"/>
      <c r="I10372" s="12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  <c r="AA10372" s="3"/>
      <c r="AB10372" s="3"/>
      <c r="AC10372" s="3"/>
      <c r="AD10372" s="3"/>
      <c r="AE10372" s="3"/>
      <c r="AF10372" s="3"/>
      <c r="AG10372" s="3"/>
      <c r="AH10372" s="3"/>
    </row>
    <row r="10373" spans="1:34" ht="14.25" customHeight="1" x14ac:dyDescent="0.25">
      <c r="A10373" s="3"/>
      <c r="B10373" s="3"/>
      <c r="C10373" s="3"/>
      <c r="D10373" s="3"/>
      <c r="E10373" s="3"/>
      <c r="F10373" s="3"/>
      <c r="G10373" s="3"/>
      <c r="H10373" s="11"/>
      <c r="I10373" s="12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  <c r="AA10373" s="3"/>
      <c r="AB10373" s="3"/>
      <c r="AC10373" s="3"/>
      <c r="AD10373" s="3"/>
      <c r="AE10373" s="3"/>
      <c r="AF10373" s="3"/>
      <c r="AG10373" s="3"/>
      <c r="AH10373" s="3"/>
    </row>
    <row r="10374" spans="1:34" ht="14.25" customHeight="1" x14ac:dyDescent="0.25">
      <c r="A10374" s="3"/>
      <c r="B10374" s="3"/>
      <c r="C10374" s="3"/>
      <c r="D10374" s="3"/>
      <c r="E10374" s="3"/>
      <c r="F10374" s="3"/>
      <c r="G10374" s="3"/>
      <c r="H10374" s="11"/>
      <c r="I10374" s="12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  <c r="AA10374" s="3"/>
      <c r="AB10374" s="3"/>
      <c r="AC10374" s="3"/>
      <c r="AD10374" s="3"/>
      <c r="AE10374" s="3"/>
      <c r="AF10374" s="3"/>
      <c r="AG10374" s="3"/>
      <c r="AH10374" s="3"/>
    </row>
    <row r="10375" spans="1:34" ht="14.25" customHeight="1" x14ac:dyDescent="0.25">
      <c r="A10375" s="3"/>
      <c r="B10375" s="3"/>
      <c r="C10375" s="3"/>
      <c r="D10375" s="3"/>
      <c r="E10375" s="3"/>
      <c r="F10375" s="3"/>
      <c r="G10375" s="3"/>
      <c r="H10375" s="11"/>
      <c r="I10375" s="12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  <c r="AA10375" s="3"/>
      <c r="AB10375" s="3"/>
      <c r="AC10375" s="3"/>
      <c r="AD10375" s="3"/>
      <c r="AE10375" s="3"/>
      <c r="AF10375" s="3"/>
      <c r="AG10375" s="3"/>
      <c r="AH10375" s="3"/>
    </row>
    <row r="10376" spans="1:34" ht="14.25" customHeight="1" x14ac:dyDescent="0.25">
      <c r="A10376" s="3"/>
      <c r="B10376" s="3"/>
      <c r="C10376" s="3"/>
      <c r="D10376" s="3"/>
      <c r="E10376" s="3"/>
      <c r="F10376" s="3"/>
      <c r="G10376" s="3"/>
      <c r="H10376" s="11"/>
      <c r="I10376" s="12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  <c r="AA10376" s="3"/>
      <c r="AB10376" s="3"/>
      <c r="AC10376" s="3"/>
      <c r="AD10376" s="3"/>
      <c r="AE10376" s="3"/>
      <c r="AF10376" s="3"/>
      <c r="AG10376" s="3"/>
      <c r="AH10376" s="3"/>
    </row>
    <row r="10377" spans="1:34" ht="14.25" customHeight="1" x14ac:dyDescent="0.25">
      <c r="A10377" s="3"/>
      <c r="B10377" s="3"/>
      <c r="C10377" s="3"/>
      <c r="D10377" s="3"/>
      <c r="E10377" s="3"/>
      <c r="F10377" s="3"/>
      <c r="G10377" s="3"/>
      <c r="H10377" s="11"/>
      <c r="I10377" s="12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  <c r="AA10377" s="3"/>
      <c r="AB10377" s="3"/>
      <c r="AC10377" s="3"/>
      <c r="AD10377" s="3"/>
      <c r="AE10377" s="3"/>
      <c r="AF10377" s="3"/>
      <c r="AG10377" s="3"/>
      <c r="AH10377" s="3"/>
    </row>
    <row r="10378" spans="1:34" ht="14.25" customHeight="1" x14ac:dyDescent="0.25">
      <c r="A10378" s="3"/>
      <c r="B10378" s="3"/>
      <c r="C10378" s="3"/>
      <c r="D10378" s="3"/>
      <c r="E10378" s="3"/>
      <c r="F10378" s="3"/>
      <c r="G10378" s="3"/>
      <c r="H10378" s="11"/>
      <c r="I10378" s="12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  <c r="AA10378" s="3"/>
      <c r="AB10378" s="3"/>
      <c r="AC10378" s="3"/>
      <c r="AD10378" s="3"/>
      <c r="AE10378" s="3"/>
      <c r="AF10378" s="3"/>
      <c r="AG10378" s="3"/>
      <c r="AH10378" s="3"/>
    </row>
    <row r="10379" spans="1:34" ht="14.25" customHeight="1" x14ac:dyDescent="0.25">
      <c r="A10379" s="3"/>
      <c r="B10379" s="3"/>
      <c r="C10379" s="3"/>
      <c r="D10379" s="3"/>
      <c r="E10379" s="3"/>
      <c r="F10379" s="3"/>
      <c r="G10379" s="3"/>
      <c r="H10379" s="11"/>
      <c r="I10379" s="12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  <c r="AA10379" s="3"/>
      <c r="AB10379" s="3"/>
      <c r="AC10379" s="3"/>
      <c r="AD10379" s="3"/>
      <c r="AE10379" s="3"/>
      <c r="AF10379" s="3"/>
      <c r="AG10379" s="3"/>
      <c r="AH10379" s="3"/>
    </row>
    <row r="10380" spans="1:34" ht="14.25" customHeight="1" x14ac:dyDescent="0.25">
      <c r="A10380" s="3"/>
      <c r="B10380" s="3"/>
      <c r="C10380" s="3"/>
      <c r="D10380" s="3"/>
      <c r="E10380" s="3"/>
      <c r="F10380" s="3"/>
      <c r="G10380" s="3"/>
      <c r="H10380" s="11"/>
      <c r="I10380" s="12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  <c r="AA10380" s="3"/>
      <c r="AB10380" s="3"/>
      <c r="AC10380" s="3"/>
      <c r="AD10380" s="3"/>
      <c r="AE10380" s="3"/>
      <c r="AF10380" s="3"/>
      <c r="AG10380" s="3"/>
      <c r="AH10380" s="3"/>
    </row>
    <row r="10381" spans="1:34" ht="14.25" customHeight="1" x14ac:dyDescent="0.25">
      <c r="A10381" s="3"/>
      <c r="B10381" s="3"/>
      <c r="C10381" s="3"/>
      <c r="D10381" s="3"/>
      <c r="E10381" s="3"/>
      <c r="F10381" s="3"/>
      <c r="G10381" s="3"/>
      <c r="H10381" s="11"/>
      <c r="I10381" s="12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  <c r="AA10381" s="3"/>
      <c r="AB10381" s="3"/>
      <c r="AC10381" s="3"/>
      <c r="AD10381" s="3"/>
      <c r="AE10381" s="3"/>
      <c r="AF10381" s="3"/>
      <c r="AG10381" s="3"/>
      <c r="AH10381" s="3"/>
    </row>
    <row r="10382" spans="1:34" ht="14.25" customHeight="1" x14ac:dyDescent="0.25">
      <c r="A10382" s="3"/>
      <c r="B10382" s="3"/>
      <c r="C10382" s="3"/>
      <c r="D10382" s="3"/>
      <c r="E10382" s="3"/>
      <c r="F10382" s="3"/>
      <c r="G10382" s="3"/>
      <c r="H10382" s="11"/>
      <c r="I10382" s="12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  <c r="AA10382" s="3"/>
      <c r="AB10382" s="3"/>
      <c r="AC10382" s="3"/>
      <c r="AD10382" s="3"/>
      <c r="AE10382" s="3"/>
      <c r="AF10382" s="3"/>
      <c r="AG10382" s="3"/>
      <c r="AH10382" s="3"/>
    </row>
    <row r="10383" spans="1:34" ht="14.25" customHeight="1" x14ac:dyDescent="0.25">
      <c r="A10383" s="3"/>
      <c r="B10383" s="3"/>
      <c r="C10383" s="3"/>
      <c r="D10383" s="3"/>
      <c r="E10383" s="3"/>
      <c r="F10383" s="3"/>
      <c r="G10383" s="3"/>
      <c r="H10383" s="11"/>
      <c r="I10383" s="12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  <c r="AA10383" s="3"/>
      <c r="AB10383" s="3"/>
      <c r="AC10383" s="3"/>
      <c r="AD10383" s="3"/>
      <c r="AE10383" s="3"/>
      <c r="AF10383" s="3"/>
      <c r="AG10383" s="3"/>
      <c r="AH10383" s="3"/>
    </row>
    <row r="10384" spans="1:34" ht="14.25" customHeight="1" x14ac:dyDescent="0.25">
      <c r="A10384" s="3"/>
      <c r="B10384" s="3"/>
      <c r="C10384" s="3"/>
      <c r="D10384" s="3"/>
      <c r="E10384" s="3"/>
      <c r="F10384" s="3"/>
      <c r="G10384" s="3"/>
      <c r="H10384" s="11"/>
      <c r="I10384" s="12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  <c r="AA10384" s="3"/>
      <c r="AB10384" s="3"/>
      <c r="AC10384" s="3"/>
      <c r="AD10384" s="3"/>
      <c r="AE10384" s="3"/>
      <c r="AF10384" s="3"/>
      <c r="AG10384" s="3"/>
      <c r="AH10384" s="3"/>
    </row>
    <row r="10385" spans="1:34" ht="14.25" customHeight="1" x14ac:dyDescent="0.25">
      <c r="A10385" s="3"/>
      <c r="B10385" s="3"/>
      <c r="C10385" s="3"/>
      <c r="D10385" s="3"/>
      <c r="E10385" s="3"/>
      <c r="F10385" s="3"/>
      <c r="G10385" s="3"/>
      <c r="H10385" s="11"/>
      <c r="I10385" s="12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  <c r="AA10385" s="3"/>
      <c r="AB10385" s="3"/>
      <c r="AC10385" s="3"/>
      <c r="AD10385" s="3"/>
      <c r="AE10385" s="3"/>
      <c r="AF10385" s="3"/>
      <c r="AG10385" s="3"/>
      <c r="AH10385" s="3"/>
    </row>
    <row r="10386" spans="1:34" ht="14.25" customHeight="1" x14ac:dyDescent="0.25">
      <c r="A10386" s="3"/>
      <c r="B10386" s="3"/>
      <c r="C10386" s="3"/>
      <c r="D10386" s="3"/>
      <c r="E10386" s="3"/>
      <c r="F10386" s="3"/>
      <c r="G10386" s="3"/>
      <c r="H10386" s="11"/>
      <c r="I10386" s="12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  <c r="AA10386" s="3"/>
      <c r="AB10386" s="3"/>
      <c r="AC10386" s="3"/>
      <c r="AD10386" s="3"/>
      <c r="AE10386" s="3"/>
      <c r="AF10386" s="3"/>
      <c r="AG10386" s="3"/>
      <c r="AH10386" s="3"/>
    </row>
    <row r="10387" spans="1:34" ht="14.25" customHeight="1" x14ac:dyDescent="0.25">
      <c r="A10387" s="3"/>
      <c r="B10387" s="3"/>
      <c r="C10387" s="3"/>
      <c r="D10387" s="3"/>
      <c r="E10387" s="3"/>
      <c r="F10387" s="3"/>
      <c r="G10387" s="3"/>
      <c r="H10387" s="11"/>
      <c r="I10387" s="12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  <c r="AA10387" s="3"/>
      <c r="AB10387" s="3"/>
      <c r="AC10387" s="3"/>
      <c r="AD10387" s="3"/>
      <c r="AE10387" s="3"/>
      <c r="AF10387" s="3"/>
      <c r="AG10387" s="3"/>
      <c r="AH10387" s="3"/>
    </row>
    <row r="10388" spans="1:34" ht="14.25" customHeight="1" x14ac:dyDescent="0.25">
      <c r="A10388" s="3"/>
      <c r="B10388" s="3"/>
      <c r="C10388" s="3"/>
      <c r="D10388" s="3"/>
      <c r="E10388" s="3"/>
      <c r="F10388" s="3"/>
      <c r="G10388" s="3"/>
      <c r="H10388" s="11"/>
      <c r="I10388" s="12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  <c r="AA10388" s="3"/>
      <c r="AB10388" s="3"/>
      <c r="AC10388" s="3"/>
      <c r="AD10388" s="3"/>
      <c r="AE10388" s="3"/>
      <c r="AF10388" s="3"/>
      <c r="AG10388" s="3"/>
      <c r="AH10388" s="3"/>
    </row>
    <row r="10389" spans="1:34" ht="14.25" customHeight="1" x14ac:dyDescent="0.25">
      <c r="A10389" s="3"/>
      <c r="B10389" s="3"/>
      <c r="C10389" s="3"/>
      <c r="D10389" s="3"/>
      <c r="E10389" s="3"/>
      <c r="F10389" s="3"/>
      <c r="G10389" s="3"/>
      <c r="H10389" s="11"/>
      <c r="I10389" s="12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  <c r="AA10389" s="3"/>
      <c r="AB10389" s="3"/>
      <c r="AC10389" s="3"/>
      <c r="AD10389" s="3"/>
      <c r="AE10389" s="3"/>
      <c r="AF10389" s="3"/>
      <c r="AG10389" s="3"/>
      <c r="AH10389" s="3"/>
    </row>
    <row r="10390" spans="1:34" ht="14.25" customHeight="1" x14ac:dyDescent="0.25">
      <c r="A10390" s="3"/>
      <c r="B10390" s="3"/>
      <c r="C10390" s="3"/>
      <c r="D10390" s="3"/>
      <c r="E10390" s="3"/>
      <c r="F10390" s="3"/>
      <c r="G10390" s="3"/>
      <c r="H10390" s="11"/>
      <c r="I10390" s="12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  <c r="AA10390" s="3"/>
      <c r="AB10390" s="3"/>
      <c r="AC10390" s="3"/>
      <c r="AD10390" s="3"/>
      <c r="AE10390" s="3"/>
      <c r="AF10390" s="3"/>
      <c r="AG10390" s="3"/>
      <c r="AH10390" s="3"/>
    </row>
    <row r="10391" spans="1:34" ht="14.25" customHeight="1" x14ac:dyDescent="0.25">
      <c r="A10391" s="3"/>
      <c r="B10391" s="3"/>
      <c r="C10391" s="3"/>
      <c r="D10391" s="3"/>
      <c r="E10391" s="3"/>
      <c r="F10391" s="3"/>
      <c r="G10391" s="3"/>
      <c r="H10391" s="11"/>
      <c r="I10391" s="12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  <c r="AA10391" s="3"/>
      <c r="AB10391" s="3"/>
      <c r="AC10391" s="3"/>
      <c r="AD10391" s="3"/>
      <c r="AE10391" s="3"/>
      <c r="AF10391" s="3"/>
      <c r="AG10391" s="3"/>
      <c r="AH10391" s="3"/>
    </row>
    <row r="10392" spans="1:34" ht="14.25" customHeight="1" x14ac:dyDescent="0.25">
      <c r="A10392" s="3"/>
      <c r="B10392" s="3"/>
      <c r="C10392" s="3"/>
      <c r="D10392" s="3"/>
      <c r="E10392" s="3"/>
      <c r="F10392" s="3"/>
      <c r="G10392" s="3"/>
      <c r="H10392" s="11"/>
      <c r="I10392" s="12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  <c r="AA10392" s="3"/>
      <c r="AB10392" s="3"/>
      <c r="AC10392" s="3"/>
      <c r="AD10392" s="3"/>
      <c r="AE10392" s="3"/>
      <c r="AF10392" s="3"/>
      <c r="AG10392" s="3"/>
      <c r="AH10392" s="3"/>
    </row>
    <row r="10393" spans="1:34" ht="14.25" customHeight="1" x14ac:dyDescent="0.25">
      <c r="A10393" s="3"/>
      <c r="B10393" s="3"/>
      <c r="C10393" s="3"/>
      <c r="D10393" s="3"/>
      <c r="E10393" s="3"/>
      <c r="F10393" s="3"/>
      <c r="G10393" s="3"/>
      <c r="H10393" s="11"/>
      <c r="I10393" s="12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  <c r="AA10393" s="3"/>
      <c r="AB10393" s="3"/>
      <c r="AC10393" s="3"/>
      <c r="AD10393" s="3"/>
      <c r="AE10393" s="3"/>
      <c r="AF10393" s="3"/>
      <c r="AG10393" s="3"/>
      <c r="AH10393" s="3"/>
    </row>
    <row r="10394" spans="1:34" ht="14.25" customHeight="1" x14ac:dyDescent="0.25">
      <c r="A10394" s="3"/>
      <c r="B10394" s="3"/>
      <c r="C10394" s="3"/>
      <c r="D10394" s="3"/>
      <c r="E10394" s="3"/>
      <c r="F10394" s="3"/>
      <c r="G10394" s="3"/>
      <c r="H10394" s="11"/>
      <c r="I10394" s="12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  <c r="AA10394" s="3"/>
      <c r="AB10394" s="3"/>
      <c r="AC10394" s="3"/>
      <c r="AD10394" s="3"/>
      <c r="AE10394" s="3"/>
      <c r="AF10394" s="3"/>
      <c r="AG10394" s="3"/>
      <c r="AH10394" s="3"/>
    </row>
    <row r="10395" spans="1:34" ht="14.25" customHeight="1" x14ac:dyDescent="0.25">
      <c r="A10395" s="3"/>
      <c r="B10395" s="3"/>
      <c r="C10395" s="3"/>
      <c r="D10395" s="3"/>
      <c r="E10395" s="3"/>
      <c r="F10395" s="3"/>
      <c r="G10395" s="3"/>
      <c r="H10395" s="11"/>
      <c r="I10395" s="12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  <c r="AA10395" s="3"/>
      <c r="AB10395" s="3"/>
      <c r="AC10395" s="3"/>
      <c r="AD10395" s="3"/>
      <c r="AE10395" s="3"/>
      <c r="AF10395" s="3"/>
      <c r="AG10395" s="3"/>
      <c r="AH10395" s="3"/>
    </row>
    <row r="10396" spans="1:34" ht="14.25" customHeight="1" x14ac:dyDescent="0.25">
      <c r="A10396" s="3"/>
      <c r="B10396" s="3"/>
      <c r="C10396" s="3"/>
      <c r="D10396" s="3"/>
      <c r="E10396" s="3"/>
      <c r="F10396" s="3"/>
      <c r="G10396" s="3"/>
      <c r="H10396" s="11"/>
      <c r="I10396" s="12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  <c r="AA10396" s="3"/>
      <c r="AB10396" s="3"/>
      <c r="AC10396" s="3"/>
      <c r="AD10396" s="3"/>
      <c r="AE10396" s="3"/>
      <c r="AF10396" s="3"/>
      <c r="AG10396" s="3"/>
      <c r="AH10396" s="3"/>
    </row>
    <row r="10397" spans="1:34" ht="14.25" customHeight="1" x14ac:dyDescent="0.25">
      <c r="A10397" s="3"/>
      <c r="B10397" s="3"/>
      <c r="C10397" s="3"/>
      <c r="D10397" s="3"/>
      <c r="E10397" s="3"/>
      <c r="F10397" s="3"/>
      <c r="G10397" s="3"/>
      <c r="H10397" s="11"/>
      <c r="I10397" s="12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  <c r="AA10397" s="3"/>
      <c r="AB10397" s="3"/>
      <c r="AC10397" s="3"/>
      <c r="AD10397" s="3"/>
      <c r="AE10397" s="3"/>
      <c r="AF10397" s="3"/>
      <c r="AG10397" s="3"/>
      <c r="AH10397" s="3"/>
    </row>
    <row r="10398" spans="1:34" ht="14.25" customHeight="1" x14ac:dyDescent="0.25">
      <c r="A10398" s="3"/>
      <c r="B10398" s="3"/>
      <c r="C10398" s="3"/>
      <c r="D10398" s="3"/>
      <c r="E10398" s="3"/>
      <c r="F10398" s="3"/>
      <c r="G10398" s="3"/>
      <c r="H10398" s="11"/>
      <c r="I10398" s="12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  <c r="AA10398" s="3"/>
      <c r="AB10398" s="3"/>
      <c r="AC10398" s="3"/>
      <c r="AD10398" s="3"/>
      <c r="AE10398" s="3"/>
      <c r="AF10398" s="3"/>
      <c r="AG10398" s="3"/>
      <c r="AH10398" s="3"/>
    </row>
    <row r="10399" spans="1:34" ht="14.25" customHeight="1" x14ac:dyDescent="0.25">
      <c r="A10399" s="3"/>
      <c r="B10399" s="3"/>
      <c r="C10399" s="3"/>
      <c r="D10399" s="3"/>
      <c r="E10399" s="3"/>
      <c r="F10399" s="3"/>
      <c r="G10399" s="3"/>
      <c r="H10399" s="11"/>
      <c r="I10399" s="12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  <c r="AA10399" s="3"/>
      <c r="AB10399" s="3"/>
      <c r="AC10399" s="3"/>
      <c r="AD10399" s="3"/>
      <c r="AE10399" s="3"/>
      <c r="AF10399" s="3"/>
      <c r="AG10399" s="3"/>
      <c r="AH10399" s="3"/>
    </row>
    <row r="10400" spans="1:34" ht="14.25" customHeight="1" x14ac:dyDescent="0.25">
      <c r="A10400" s="3"/>
      <c r="B10400" s="3"/>
      <c r="C10400" s="3"/>
      <c r="D10400" s="3"/>
      <c r="E10400" s="3"/>
      <c r="F10400" s="3"/>
      <c r="G10400" s="3"/>
      <c r="H10400" s="11"/>
      <c r="I10400" s="12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  <c r="AA10400" s="3"/>
      <c r="AB10400" s="3"/>
      <c r="AC10400" s="3"/>
      <c r="AD10400" s="3"/>
      <c r="AE10400" s="3"/>
      <c r="AF10400" s="3"/>
      <c r="AG10400" s="3"/>
      <c r="AH10400" s="3"/>
    </row>
    <row r="10401" spans="1:34" ht="14.25" customHeight="1" x14ac:dyDescent="0.25">
      <c r="A10401" s="3"/>
      <c r="B10401" s="3"/>
      <c r="C10401" s="3"/>
      <c r="D10401" s="3"/>
      <c r="E10401" s="3"/>
      <c r="F10401" s="3"/>
      <c r="G10401" s="3"/>
      <c r="H10401" s="11"/>
      <c r="I10401" s="12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  <c r="AA10401" s="3"/>
      <c r="AB10401" s="3"/>
      <c r="AC10401" s="3"/>
      <c r="AD10401" s="3"/>
      <c r="AE10401" s="3"/>
      <c r="AF10401" s="3"/>
      <c r="AG10401" s="3"/>
      <c r="AH10401" s="3"/>
    </row>
    <row r="10402" spans="1:34" ht="14.25" customHeight="1" x14ac:dyDescent="0.25">
      <c r="A10402" s="3"/>
      <c r="B10402" s="3"/>
      <c r="C10402" s="3"/>
      <c r="D10402" s="3"/>
      <c r="E10402" s="3"/>
      <c r="F10402" s="3"/>
      <c r="G10402" s="3"/>
      <c r="H10402" s="11"/>
      <c r="I10402" s="12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  <c r="AA10402" s="3"/>
      <c r="AB10402" s="3"/>
      <c r="AC10402" s="3"/>
      <c r="AD10402" s="3"/>
      <c r="AE10402" s="3"/>
      <c r="AF10402" s="3"/>
      <c r="AG10402" s="3"/>
      <c r="AH10402" s="3"/>
    </row>
    <row r="10403" spans="1:34" ht="14.25" customHeight="1" x14ac:dyDescent="0.25">
      <c r="A10403" s="3"/>
      <c r="B10403" s="3"/>
      <c r="C10403" s="3"/>
      <c r="D10403" s="3"/>
      <c r="E10403" s="3"/>
      <c r="F10403" s="3"/>
      <c r="G10403" s="3"/>
      <c r="H10403" s="11"/>
      <c r="I10403" s="12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  <c r="AA10403" s="3"/>
      <c r="AB10403" s="3"/>
      <c r="AC10403" s="3"/>
      <c r="AD10403" s="3"/>
      <c r="AE10403" s="3"/>
      <c r="AF10403" s="3"/>
      <c r="AG10403" s="3"/>
      <c r="AH10403" s="3"/>
    </row>
    <row r="10404" spans="1:34" ht="14.25" customHeight="1" x14ac:dyDescent="0.25">
      <c r="A10404" s="3"/>
      <c r="B10404" s="3"/>
      <c r="C10404" s="3"/>
      <c r="D10404" s="3"/>
      <c r="E10404" s="3"/>
      <c r="F10404" s="3"/>
      <c r="G10404" s="3"/>
      <c r="H10404" s="11"/>
      <c r="I10404" s="12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  <c r="AA10404" s="3"/>
      <c r="AB10404" s="3"/>
      <c r="AC10404" s="3"/>
      <c r="AD10404" s="3"/>
      <c r="AE10404" s="3"/>
      <c r="AF10404" s="3"/>
      <c r="AG10404" s="3"/>
      <c r="AH10404" s="3"/>
    </row>
    <row r="10405" spans="1:34" ht="14.25" customHeight="1" x14ac:dyDescent="0.25">
      <c r="A10405" s="3"/>
      <c r="B10405" s="3"/>
      <c r="C10405" s="3"/>
      <c r="D10405" s="3"/>
      <c r="E10405" s="3"/>
      <c r="F10405" s="3"/>
      <c r="G10405" s="3"/>
      <c r="H10405" s="11"/>
      <c r="I10405" s="12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  <c r="AA10405" s="3"/>
      <c r="AB10405" s="3"/>
      <c r="AC10405" s="3"/>
      <c r="AD10405" s="3"/>
      <c r="AE10405" s="3"/>
      <c r="AF10405" s="3"/>
      <c r="AG10405" s="3"/>
      <c r="AH10405" s="3"/>
    </row>
    <row r="10406" spans="1:34" ht="14.25" customHeight="1" x14ac:dyDescent="0.25">
      <c r="A10406" s="3"/>
      <c r="B10406" s="3"/>
      <c r="C10406" s="3"/>
      <c r="D10406" s="3"/>
      <c r="E10406" s="3"/>
      <c r="F10406" s="3"/>
      <c r="G10406" s="3"/>
      <c r="H10406" s="11"/>
      <c r="I10406" s="12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  <c r="AA10406" s="3"/>
      <c r="AB10406" s="3"/>
      <c r="AC10406" s="3"/>
      <c r="AD10406" s="3"/>
      <c r="AE10406" s="3"/>
      <c r="AF10406" s="3"/>
      <c r="AG10406" s="3"/>
      <c r="AH10406" s="3"/>
    </row>
    <row r="10407" spans="1:34" ht="14.25" customHeight="1" x14ac:dyDescent="0.25">
      <c r="A10407" s="3"/>
      <c r="B10407" s="3"/>
      <c r="C10407" s="3"/>
      <c r="D10407" s="3"/>
      <c r="E10407" s="3"/>
      <c r="F10407" s="3"/>
      <c r="G10407" s="3"/>
      <c r="H10407" s="11"/>
      <c r="I10407" s="12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  <c r="AA10407" s="3"/>
      <c r="AB10407" s="3"/>
      <c r="AC10407" s="3"/>
      <c r="AD10407" s="3"/>
      <c r="AE10407" s="3"/>
      <c r="AF10407" s="3"/>
      <c r="AG10407" s="3"/>
      <c r="AH10407" s="3"/>
    </row>
    <row r="10408" spans="1:34" ht="14.25" customHeight="1" x14ac:dyDescent="0.25">
      <c r="A10408" s="3"/>
      <c r="B10408" s="3"/>
      <c r="C10408" s="3"/>
      <c r="D10408" s="3"/>
      <c r="E10408" s="3"/>
      <c r="F10408" s="3"/>
      <c r="G10408" s="3"/>
      <c r="H10408" s="11"/>
      <c r="I10408" s="12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  <c r="AA10408" s="3"/>
      <c r="AB10408" s="3"/>
      <c r="AC10408" s="3"/>
      <c r="AD10408" s="3"/>
      <c r="AE10408" s="3"/>
      <c r="AF10408" s="3"/>
      <c r="AG10408" s="3"/>
      <c r="AH10408" s="3"/>
    </row>
    <row r="10409" spans="1:34" ht="14.25" customHeight="1" x14ac:dyDescent="0.25">
      <c r="A10409" s="3"/>
      <c r="B10409" s="3"/>
      <c r="C10409" s="3"/>
      <c r="D10409" s="3"/>
      <c r="E10409" s="3"/>
      <c r="F10409" s="3"/>
      <c r="G10409" s="3"/>
      <c r="H10409" s="11"/>
      <c r="I10409" s="12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  <c r="AA10409" s="3"/>
      <c r="AB10409" s="3"/>
      <c r="AC10409" s="3"/>
      <c r="AD10409" s="3"/>
      <c r="AE10409" s="3"/>
      <c r="AF10409" s="3"/>
      <c r="AG10409" s="3"/>
      <c r="AH10409" s="3"/>
    </row>
    <row r="10410" spans="1:34" ht="14.25" customHeight="1" x14ac:dyDescent="0.25">
      <c r="A10410" s="3"/>
      <c r="B10410" s="3"/>
      <c r="C10410" s="3"/>
      <c r="D10410" s="3"/>
      <c r="E10410" s="3"/>
      <c r="F10410" s="3"/>
      <c r="G10410" s="3"/>
      <c r="H10410" s="11"/>
      <c r="I10410" s="12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  <c r="AA10410" s="3"/>
      <c r="AB10410" s="3"/>
      <c r="AC10410" s="3"/>
      <c r="AD10410" s="3"/>
      <c r="AE10410" s="3"/>
      <c r="AF10410" s="3"/>
      <c r="AG10410" s="3"/>
      <c r="AH10410" s="3"/>
    </row>
    <row r="10411" spans="1:34" ht="14.25" customHeight="1" x14ac:dyDescent="0.25">
      <c r="A10411" s="3"/>
      <c r="B10411" s="3"/>
      <c r="C10411" s="3"/>
      <c r="D10411" s="3"/>
      <c r="E10411" s="3"/>
      <c r="F10411" s="3"/>
      <c r="G10411" s="3"/>
      <c r="H10411" s="11"/>
      <c r="I10411" s="12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  <c r="AA10411" s="3"/>
      <c r="AB10411" s="3"/>
      <c r="AC10411" s="3"/>
      <c r="AD10411" s="3"/>
      <c r="AE10411" s="3"/>
      <c r="AF10411" s="3"/>
      <c r="AG10411" s="3"/>
      <c r="AH10411" s="3"/>
    </row>
    <row r="10412" spans="1:34" ht="14.25" customHeight="1" x14ac:dyDescent="0.25">
      <c r="A10412" s="3"/>
      <c r="B10412" s="3"/>
      <c r="C10412" s="3"/>
      <c r="D10412" s="3"/>
      <c r="E10412" s="3"/>
      <c r="F10412" s="3"/>
      <c r="G10412" s="3"/>
      <c r="H10412" s="11"/>
      <c r="I10412" s="12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  <c r="AA10412" s="3"/>
      <c r="AB10412" s="3"/>
      <c r="AC10412" s="3"/>
      <c r="AD10412" s="3"/>
      <c r="AE10412" s="3"/>
      <c r="AF10412" s="3"/>
      <c r="AG10412" s="3"/>
      <c r="AH10412" s="3"/>
    </row>
    <row r="10413" spans="1:34" ht="14.25" customHeight="1" x14ac:dyDescent="0.25">
      <c r="A10413" s="3"/>
      <c r="B10413" s="3"/>
      <c r="C10413" s="3"/>
      <c r="D10413" s="3"/>
      <c r="E10413" s="3"/>
      <c r="F10413" s="3"/>
      <c r="G10413" s="3"/>
      <c r="H10413" s="11"/>
      <c r="I10413" s="12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  <c r="AA10413" s="3"/>
      <c r="AB10413" s="3"/>
      <c r="AC10413" s="3"/>
      <c r="AD10413" s="3"/>
      <c r="AE10413" s="3"/>
      <c r="AF10413" s="3"/>
      <c r="AG10413" s="3"/>
      <c r="AH10413" s="3"/>
    </row>
    <row r="10414" spans="1:34" ht="14.25" customHeight="1" x14ac:dyDescent="0.25">
      <c r="A10414" s="3"/>
      <c r="B10414" s="3"/>
      <c r="C10414" s="3"/>
      <c r="D10414" s="3"/>
      <c r="E10414" s="3"/>
      <c r="F10414" s="3"/>
      <c r="G10414" s="3"/>
      <c r="H10414" s="11"/>
      <c r="I10414" s="12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  <c r="AA10414" s="3"/>
      <c r="AB10414" s="3"/>
      <c r="AC10414" s="3"/>
      <c r="AD10414" s="3"/>
      <c r="AE10414" s="3"/>
      <c r="AF10414" s="3"/>
      <c r="AG10414" s="3"/>
      <c r="AH10414" s="3"/>
    </row>
    <row r="10415" spans="1:34" ht="14.25" customHeight="1" x14ac:dyDescent="0.25">
      <c r="A10415" s="3"/>
      <c r="B10415" s="3"/>
      <c r="C10415" s="3"/>
      <c r="D10415" s="3"/>
      <c r="E10415" s="3"/>
      <c r="F10415" s="3"/>
      <c r="G10415" s="3"/>
      <c r="H10415" s="11"/>
      <c r="I10415" s="12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  <c r="AA10415" s="3"/>
      <c r="AB10415" s="3"/>
      <c r="AC10415" s="3"/>
      <c r="AD10415" s="3"/>
      <c r="AE10415" s="3"/>
      <c r="AF10415" s="3"/>
      <c r="AG10415" s="3"/>
      <c r="AH10415" s="3"/>
    </row>
    <row r="10416" spans="1:34" ht="14.25" customHeight="1" x14ac:dyDescent="0.25">
      <c r="A10416" s="3"/>
      <c r="B10416" s="3"/>
      <c r="C10416" s="3"/>
      <c r="D10416" s="3"/>
      <c r="E10416" s="3"/>
      <c r="F10416" s="3"/>
      <c r="G10416" s="3"/>
      <c r="H10416" s="11"/>
      <c r="I10416" s="12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  <c r="AA10416" s="3"/>
      <c r="AB10416" s="3"/>
      <c r="AC10416" s="3"/>
      <c r="AD10416" s="3"/>
      <c r="AE10416" s="3"/>
      <c r="AF10416" s="3"/>
      <c r="AG10416" s="3"/>
      <c r="AH10416" s="3"/>
    </row>
    <row r="10417" spans="1:34" ht="14.25" customHeight="1" x14ac:dyDescent="0.25">
      <c r="A10417" s="3"/>
      <c r="B10417" s="3"/>
      <c r="C10417" s="3"/>
      <c r="D10417" s="3"/>
      <c r="E10417" s="3"/>
      <c r="F10417" s="3"/>
      <c r="G10417" s="3"/>
      <c r="H10417" s="11"/>
      <c r="I10417" s="12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  <c r="AA10417" s="3"/>
      <c r="AB10417" s="3"/>
      <c r="AC10417" s="3"/>
      <c r="AD10417" s="3"/>
      <c r="AE10417" s="3"/>
      <c r="AF10417" s="3"/>
      <c r="AG10417" s="3"/>
      <c r="AH10417" s="3"/>
    </row>
    <row r="10418" spans="1:34" ht="14.25" customHeight="1" x14ac:dyDescent="0.25">
      <c r="A10418" s="3"/>
      <c r="B10418" s="3"/>
      <c r="C10418" s="3"/>
      <c r="D10418" s="3"/>
      <c r="E10418" s="3"/>
      <c r="F10418" s="3"/>
      <c r="G10418" s="3"/>
      <c r="H10418" s="11"/>
      <c r="I10418" s="12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  <c r="AA10418" s="3"/>
      <c r="AB10418" s="3"/>
      <c r="AC10418" s="3"/>
      <c r="AD10418" s="3"/>
      <c r="AE10418" s="3"/>
      <c r="AF10418" s="3"/>
      <c r="AG10418" s="3"/>
      <c r="AH10418" s="3"/>
    </row>
    <row r="10419" spans="1:34" ht="14.25" customHeight="1" x14ac:dyDescent="0.25">
      <c r="A10419" s="3"/>
      <c r="B10419" s="3"/>
      <c r="C10419" s="3"/>
      <c r="D10419" s="3"/>
      <c r="E10419" s="3"/>
      <c r="F10419" s="3"/>
      <c r="G10419" s="3"/>
      <c r="H10419" s="11"/>
      <c r="I10419" s="12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  <c r="AA10419" s="3"/>
      <c r="AB10419" s="3"/>
      <c r="AC10419" s="3"/>
      <c r="AD10419" s="3"/>
      <c r="AE10419" s="3"/>
      <c r="AF10419" s="3"/>
      <c r="AG10419" s="3"/>
      <c r="AH10419" s="3"/>
    </row>
    <row r="10420" spans="1:34" ht="14.25" customHeight="1" x14ac:dyDescent="0.25">
      <c r="A10420" s="3"/>
      <c r="B10420" s="3"/>
      <c r="C10420" s="3"/>
      <c r="D10420" s="3"/>
      <c r="E10420" s="3"/>
      <c r="F10420" s="3"/>
      <c r="G10420" s="3"/>
      <c r="H10420" s="11"/>
      <c r="I10420" s="12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  <c r="AA10420" s="3"/>
      <c r="AB10420" s="3"/>
      <c r="AC10420" s="3"/>
      <c r="AD10420" s="3"/>
      <c r="AE10420" s="3"/>
      <c r="AF10420" s="3"/>
      <c r="AG10420" s="3"/>
      <c r="AH10420" s="3"/>
    </row>
    <row r="10421" spans="1:34" ht="14.25" customHeight="1" x14ac:dyDescent="0.25">
      <c r="A10421" s="3"/>
      <c r="B10421" s="3"/>
      <c r="C10421" s="3"/>
      <c r="D10421" s="3"/>
      <c r="E10421" s="3"/>
      <c r="F10421" s="3"/>
      <c r="G10421" s="3"/>
      <c r="H10421" s="11"/>
      <c r="I10421" s="12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  <c r="AA10421" s="3"/>
      <c r="AB10421" s="3"/>
      <c r="AC10421" s="3"/>
      <c r="AD10421" s="3"/>
      <c r="AE10421" s="3"/>
      <c r="AF10421" s="3"/>
      <c r="AG10421" s="3"/>
      <c r="AH10421" s="3"/>
    </row>
    <row r="10422" spans="1:34" ht="14.25" customHeight="1" x14ac:dyDescent="0.25">
      <c r="A10422" s="3"/>
      <c r="B10422" s="3"/>
      <c r="C10422" s="3"/>
      <c r="D10422" s="3"/>
      <c r="E10422" s="3"/>
      <c r="F10422" s="3"/>
      <c r="G10422" s="3"/>
      <c r="H10422" s="11"/>
      <c r="I10422" s="12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  <c r="AA10422" s="3"/>
      <c r="AB10422" s="3"/>
      <c r="AC10422" s="3"/>
      <c r="AD10422" s="3"/>
      <c r="AE10422" s="3"/>
      <c r="AF10422" s="3"/>
      <c r="AG10422" s="3"/>
      <c r="AH10422" s="3"/>
    </row>
    <row r="10423" spans="1:34" ht="14.25" customHeight="1" x14ac:dyDescent="0.25">
      <c r="A10423" s="3"/>
      <c r="B10423" s="3"/>
      <c r="C10423" s="3"/>
      <c r="D10423" s="3"/>
      <c r="E10423" s="3"/>
      <c r="F10423" s="3"/>
      <c r="G10423" s="3"/>
      <c r="H10423" s="11"/>
      <c r="I10423" s="12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  <c r="AA10423" s="3"/>
      <c r="AB10423" s="3"/>
      <c r="AC10423" s="3"/>
      <c r="AD10423" s="3"/>
      <c r="AE10423" s="3"/>
      <c r="AF10423" s="3"/>
      <c r="AG10423" s="3"/>
      <c r="AH10423" s="3"/>
    </row>
    <row r="10424" spans="1:34" ht="14.25" customHeight="1" x14ac:dyDescent="0.25">
      <c r="A10424" s="3"/>
      <c r="B10424" s="3"/>
      <c r="C10424" s="3"/>
      <c r="D10424" s="3"/>
      <c r="E10424" s="3"/>
      <c r="F10424" s="3"/>
      <c r="G10424" s="3"/>
      <c r="H10424" s="11"/>
      <c r="I10424" s="12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  <c r="AA10424" s="3"/>
      <c r="AB10424" s="3"/>
      <c r="AC10424" s="3"/>
      <c r="AD10424" s="3"/>
      <c r="AE10424" s="3"/>
      <c r="AF10424" s="3"/>
      <c r="AG10424" s="3"/>
      <c r="AH10424" s="3"/>
    </row>
    <row r="10425" spans="1:34" ht="14.25" customHeight="1" x14ac:dyDescent="0.25">
      <c r="A10425" s="3"/>
      <c r="B10425" s="3"/>
      <c r="C10425" s="3"/>
      <c r="D10425" s="3"/>
      <c r="E10425" s="3"/>
      <c r="F10425" s="3"/>
      <c r="G10425" s="3"/>
      <c r="H10425" s="11"/>
      <c r="I10425" s="12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  <c r="AA10425" s="3"/>
      <c r="AB10425" s="3"/>
      <c r="AC10425" s="3"/>
      <c r="AD10425" s="3"/>
      <c r="AE10425" s="3"/>
      <c r="AF10425" s="3"/>
      <c r="AG10425" s="3"/>
      <c r="AH10425" s="3"/>
    </row>
    <row r="10426" spans="1:34" ht="14.25" customHeight="1" x14ac:dyDescent="0.25">
      <c r="A10426" s="3"/>
      <c r="B10426" s="3"/>
      <c r="C10426" s="3"/>
      <c r="D10426" s="3"/>
      <c r="E10426" s="3"/>
      <c r="F10426" s="3"/>
      <c r="G10426" s="3"/>
      <c r="H10426" s="11"/>
      <c r="I10426" s="12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  <c r="AA10426" s="3"/>
      <c r="AB10426" s="3"/>
      <c r="AC10426" s="3"/>
      <c r="AD10426" s="3"/>
      <c r="AE10426" s="3"/>
      <c r="AF10426" s="3"/>
      <c r="AG10426" s="3"/>
      <c r="AH10426" s="3"/>
    </row>
    <row r="10427" spans="1:34" ht="14.25" customHeight="1" x14ac:dyDescent="0.25">
      <c r="A10427" s="3"/>
      <c r="B10427" s="3"/>
      <c r="C10427" s="3"/>
      <c r="D10427" s="3"/>
      <c r="E10427" s="3"/>
      <c r="F10427" s="3"/>
      <c r="G10427" s="3"/>
      <c r="H10427" s="11"/>
      <c r="I10427" s="12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  <c r="AA10427" s="3"/>
      <c r="AB10427" s="3"/>
      <c r="AC10427" s="3"/>
      <c r="AD10427" s="3"/>
      <c r="AE10427" s="3"/>
      <c r="AF10427" s="3"/>
      <c r="AG10427" s="3"/>
      <c r="AH10427" s="3"/>
    </row>
    <row r="10428" spans="1:34" ht="14.25" customHeight="1" x14ac:dyDescent="0.25">
      <c r="A10428" s="3"/>
      <c r="B10428" s="3"/>
      <c r="C10428" s="3"/>
      <c r="D10428" s="3"/>
      <c r="E10428" s="3"/>
      <c r="F10428" s="3"/>
      <c r="G10428" s="3"/>
      <c r="H10428" s="11"/>
      <c r="I10428" s="12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  <c r="AA10428" s="3"/>
      <c r="AB10428" s="3"/>
      <c r="AC10428" s="3"/>
      <c r="AD10428" s="3"/>
      <c r="AE10428" s="3"/>
      <c r="AF10428" s="3"/>
      <c r="AG10428" s="3"/>
      <c r="AH10428" s="3"/>
    </row>
    <row r="10429" spans="1:34" ht="14.25" customHeight="1" x14ac:dyDescent="0.25">
      <c r="A10429" s="3"/>
      <c r="B10429" s="3"/>
      <c r="C10429" s="3"/>
      <c r="D10429" s="3"/>
      <c r="E10429" s="3"/>
      <c r="F10429" s="3"/>
      <c r="G10429" s="3"/>
      <c r="H10429" s="11"/>
      <c r="I10429" s="12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  <c r="AA10429" s="3"/>
      <c r="AB10429" s="3"/>
      <c r="AC10429" s="3"/>
      <c r="AD10429" s="3"/>
      <c r="AE10429" s="3"/>
      <c r="AF10429" s="3"/>
      <c r="AG10429" s="3"/>
      <c r="AH10429" s="3"/>
    </row>
    <row r="10430" spans="1:34" ht="14.25" customHeight="1" x14ac:dyDescent="0.25">
      <c r="A10430" s="3"/>
      <c r="B10430" s="3"/>
      <c r="C10430" s="3"/>
      <c r="D10430" s="3"/>
      <c r="E10430" s="3"/>
      <c r="F10430" s="3"/>
      <c r="G10430" s="3"/>
      <c r="H10430" s="11"/>
      <c r="I10430" s="12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  <c r="AA10430" s="3"/>
      <c r="AB10430" s="3"/>
      <c r="AC10430" s="3"/>
      <c r="AD10430" s="3"/>
      <c r="AE10430" s="3"/>
      <c r="AF10430" s="3"/>
      <c r="AG10430" s="3"/>
      <c r="AH10430" s="3"/>
    </row>
    <row r="10431" spans="1:34" ht="14.25" customHeight="1" x14ac:dyDescent="0.25">
      <c r="A10431" s="3"/>
      <c r="B10431" s="3"/>
      <c r="C10431" s="3"/>
      <c r="D10431" s="3"/>
      <c r="E10431" s="3"/>
      <c r="F10431" s="3"/>
      <c r="G10431" s="3"/>
      <c r="H10431" s="11"/>
      <c r="I10431" s="12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  <c r="AA10431" s="3"/>
      <c r="AB10431" s="3"/>
      <c r="AC10431" s="3"/>
      <c r="AD10431" s="3"/>
      <c r="AE10431" s="3"/>
      <c r="AF10431" s="3"/>
      <c r="AG10431" s="3"/>
      <c r="AH10431" s="3"/>
    </row>
    <row r="10432" spans="1:34" ht="14.25" customHeight="1" x14ac:dyDescent="0.25">
      <c r="A10432" s="3"/>
      <c r="B10432" s="3"/>
      <c r="C10432" s="3"/>
      <c r="D10432" s="3"/>
      <c r="E10432" s="3"/>
      <c r="F10432" s="3"/>
      <c r="G10432" s="3"/>
      <c r="H10432" s="11"/>
      <c r="I10432" s="12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  <c r="AA10432" s="3"/>
      <c r="AB10432" s="3"/>
      <c r="AC10432" s="3"/>
      <c r="AD10432" s="3"/>
      <c r="AE10432" s="3"/>
      <c r="AF10432" s="3"/>
      <c r="AG10432" s="3"/>
      <c r="AH10432" s="3"/>
    </row>
    <row r="10433" spans="1:34" ht="14.25" customHeight="1" x14ac:dyDescent="0.25">
      <c r="A10433" s="3"/>
      <c r="B10433" s="3"/>
      <c r="C10433" s="3"/>
      <c r="D10433" s="3"/>
      <c r="E10433" s="3"/>
      <c r="F10433" s="3"/>
      <c r="G10433" s="3"/>
      <c r="H10433" s="11"/>
      <c r="I10433" s="12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  <c r="AA10433" s="3"/>
      <c r="AB10433" s="3"/>
      <c r="AC10433" s="3"/>
      <c r="AD10433" s="3"/>
      <c r="AE10433" s="3"/>
      <c r="AF10433" s="3"/>
      <c r="AG10433" s="3"/>
      <c r="AH10433" s="3"/>
    </row>
    <row r="10434" spans="1:34" ht="14.25" customHeight="1" x14ac:dyDescent="0.25">
      <c r="A10434" s="3"/>
      <c r="B10434" s="3"/>
      <c r="C10434" s="3"/>
      <c r="D10434" s="3"/>
      <c r="E10434" s="3"/>
      <c r="F10434" s="3"/>
      <c r="G10434" s="3"/>
      <c r="H10434" s="11"/>
      <c r="I10434" s="12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  <c r="AA10434" s="3"/>
      <c r="AB10434" s="3"/>
      <c r="AC10434" s="3"/>
      <c r="AD10434" s="3"/>
      <c r="AE10434" s="3"/>
      <c r="AF10434" s="3"/>
      <c r="AG10434" s="3"/>
      <c r="AH10434" s="3"/>
    </row>
    <row r="10435" spans="1:34" ht="14.25" customHeight="1" x14ac:dyDescent="0.25">
      <c r="A10435" s="3"/>
      <c r="B10435" s="3"/>
      <c r="C10435" s="3"/>
      <c r="D10435" s="3"/>
      <c r="E10435" s="3"/>
      <c r="F10435" s="3"/>
      <c r="G10435" s="3"/>
      <c r="H10435" s="11"/>
      <c r="I10435" s="12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  <c r="AA10435" s="3"/>
      <c r="AB10435" s="3"/>
      <c r="AC10435" s="3"/>
      <c r="AD10435" s="3"/>
      <c r="AE10435" s="3"/>
      <c r="AF10435" s="3"/>
      <c r="AG10435" s="3"/>
      <c r="AH10435" s="3"/>
    </row>
    <row r="10436" spans="1:34" ht="14.25" customHeight="1" x14ac:dyDescent="0.25">
      <c r="A10436" s="3"/>
      <c r="B10436" s="3"/>
      <c r="C10436" s="3"/>
      <c r="D10436" s="3"/>
      <c r="E10436" s="3"/>
      <c r="F10436" s="3"/>
      <c r="G10436" s="3"/>
      <c r="H10436" s="11"/>
      <c r="I10436" s="12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  <c r="AA10436" s="3"/>
      <c r="AB10436" s="3"/>
      <c r="AC10436" s="3"/>
      <c r="AD10436" s="3"/>
      <c r="AE10436" s="3"/>
      <c r="AF10436" s="3"/>
      <c r="AG10436" s="3"/>
      <c r="AH10436" s="3"/>
    </row>
    <row r="10437" spans="1:34" ht="14.25" customHeight="1" x14ac:dyDescent="0.25">
      <c r="A10437" s="3"/>
      <c r="B10437" s="3"/>
      <c r="C10437" s="3"/>
      <c r="D10437" s="3"/>
      <c r="E10437" s="3"/>
      <c r="F10437" s="3"/>
      <c r="G10437" s="3"/>
      <c r="H10437" s="11"/>
      <c r="I10437" s="12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  <c r="AA10437" s="3"/>
      <c r="AB10437" s="3"/>
      <c r="AC10437" s="3"/>
      <c r="AD10437" s="3"/>
      <c r="AE10437" s="3"/>
      <c r="AF10437" s="3"/>
      <c r="AG10437" s="3"/>
      <c r="AH10437" s="3"/>
    </row>
    <row r="10438" spans="1:34" ht="14.25" customHeight="1" x14ac:dyDescent="0.25">
      <c r="A10438" s="3"/>
      <c r="B10438" s="3"/>
      <c r="C10438" s="3"/>
      <c r="D10438" s="3"/>
      <c r="E10438" s="3"/>
      <c r="F10438" s="3"/>
      <c r="G10438" s="3"/>
      <c r="H10438" s="11"/>
      <c r="I10438" s="12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  <c r="AA10438" s="3"/>
      <c r="AB10438" s="3"/>
      <c r="AC10438" s="3"/>
      <c r="AD10438" s="3"/>
      <c r="AE10438" s="3"/>
      <c r="AF10438" s="3"/>
      <c r="AG10438" s="3"/>
      <c r="AH10438" s="3"/>
    </row>
    <row r="10439" spans="1:34" ht="14.25" customHeight="1" x14ac:dyDescent="0.25">
      <c r="A10439" s="3"/>
      <c r="B10439" s="3"/>
      <c r="C10439" s="3"/>
      <c r="D10439" s="3"/>
      <c r="E10439" s="3"/>
      <c r="F10439" s="3"/>
      <c r="G10439" s="3"/>
      <c r="H10439" s="11"/>
      <c r="I10439" s="12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  <c r="AA10439" s="3"/>
      <c r="AB10439" s="3"/>
      <c r="AC10439" s="3"/>
      <c r="AD10439" s="3"/>
      <c r="AE10439" s="3"/>
      <c r="AF10439" s="3"/>
      <c r="AG10439" s="3"/>
      <c r="AH10439" s="3"/>
    </row>
    <row r="10440" spans="1:34" ht="14.25" customHeight="1" x14ac:dyDescent="0.25">
      <c r="A10440" s="3"/>
      <c r="B10440" s="3"/>
      <c r="C10440" s="3"/>
      <c r="D10440" s="3"/>
      <c r="E10440" s="3"/>
      <c r="F10440" s="3"/>
      <c r="G10440" s="3"/>
      <c r="H10440" s="11"/>
      <c r="I10440" s="12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  <c r="AA10440" s="3"/>
      <c r="AB10440" s="3"/>
      <c r="AC10440" s="3"/>
      <c r="AD10440" s="3"/>
      <c r="AE10440" s="3"/>
      <c r="AF10440" s="3"/>
      <c r="AG10440" s="3"/>
      <c r="AH10440" s="3"/>
    </row>
    <row r="10441" spans="1:34" ht="14.25" customHeight="1" x14ac:dyDescent="0.25">
      <c r="A10441" s="3"/>
      <c r="B10441" s="3"/>
      <c r="C10441" s="3"/>
      <c r="D10441" s="3"/>
      <c r="E10441" s="3"/>
      <c r="F10441" s="3"/>
      <c r="G10441" s="3"/>
      <c r="H10441" s="11"/>
      <c r="I10441" s="12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  <c r="AA10441" s="3"/>
      <c r="AB10441" s="3"/>
      <c r="AC10441" s="3"/>
      <c r="AD10441" s="3"/>
      <c r="AE10441" s="3"/>
      <c r="AF10441" s="3"/>
      <c r="AG10441" s="3"/>
      <c r="AH10441" s="3"/>
    </row>
    <row r="10442" spans="1:34" ht="14.25" customHeight="1" x14ac:dyDescent="0.25">
      <c r="A10442" s="3"/>
      <c r="B10442" s="3"/>
      <c r="C10442" s="3"/>
      <c r="D10442" s="3"/>
      <c r="E10442" s="3"/>
      <c r="F10442" s="3"/>
      <c r="G10442" s="3"/>
      <c r="H10442" s="11"/>
      <c r="I10442" s="12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  <c r="AA10442" s="3"/>
      <c r="AB10442" s="3"/>
      <c r="AC10442" s="3"/>
      <c r="AD10442" s="3"/>
      <c r="AE10442" s="3"/>
      <c r="AF10442" s="3"/>
      <c r="AG10442" s="3"/>
      <c r="AH10442" s="3"/>
    </row>
    <row r="10443" spans="1:34" ht="14.25" customHeight="1" x14ac:dyDescent="0.25">
      <c r="A10443" s="3"/>
      <c r="B10443" s="3"/>
      <c r="C10443" s="3"/>
      <c r="D10443" s="3"/>
      <c r="E10443" s="3"/>
      <c r="F10443" s="3"/>
      <c r="G10443" s="3"/>
      <c r="H10443" s="11"/>
      <c r="I10443" s="12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  <c r="AA10443" s="3"/>
      <c r="AB10443" s="3"/>
      <c r="AC10443" s="3"/>
      <c r="AD10443" s="3"/>
      <c r="AE10443" s="3"/>
      <c r="AF10443" s="3"/>
      <c r="AG10443" s="3"/>
      <c r="AH10443" s="3"/>
    </row>
    <row r="10444" spans="1:34" ht="14.25" customHeight="1" x14ac:dyDescent="0.25">
      <c r="A10444" s="3"/>
      <c r="B10444" s="3"/>
      <c r="C10444" s="3"/>
      <c r="D10444" s="3"/>
      <c r="E10444" s="3"/>
      <c r="F10444" s="3"/>
      <c r="G10444" s="3"/>
      <c r="H10444" s="11"/>
      <c r="I10444" s="12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  <c r="AA10444" s="3"/>
      <c r="AB10444" s="3"/>
      <c r="AC10444" s="3"/>
      <c r="AD10444" s="3"/>
      <c r="AE10444" s="3"/>
      <c r="AF10444" s="3"/>
      <c r="AG10444" s="3"/>
      <c r="AH10444" s="3"/>
    </row>
    <row r="10445" spans="1:34" ht="14.25" customHeight="1" x14ac:dyDescent="0.25">
      <c r="A10445" s="3"/>
      <c r="B10445" s="3"/>
      <c r="C10445" s="3"/>
      <c r="D10445" s="3"/>
      <c r="E10445" s="3"/>
      <c r="F10445" s="3"/>
      <c r="G10445" s="3"/>
      <c r="H10445" s="11"/>
      <c r="I10445" s="12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  <c r="AA10445" s="3"/>
      <c r="AB10445" s="3"/>
      <c r="AC10445" s="3"/>
      <c r="AD10445" s="3"/>
      <c r="AE10445" s="3"/>
      <c r="AF10445" s="3"/>
      <c r="AG10445" s="3"/>
      <c r="AH10445" s="3"/>
    </row>
    <row r="10446" spans="1:34" ht="14.25" customHeight="1" x14ac:dyDescent="0.25">
      <c r="A10446" s="3"/>
      <c r="B10446" s="3"/>
      <c r="C10446" s="3"/>
      <c r="D10446" s="3"/>
      <c r="E10446" s="3"/>
      <c r="F10446" s="3"/>
      <c r="G10446" s="3"/>
      <c r="H10446" s="11"/>
      <c r="I10446" s="12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  <c r="AA10446" s="3"/>
      <c r="AB10446" s="3"/>
      <c r="AC10446" s="3"/>
      <c r="AD10446" s="3"/>
      <c r="AE10446" s="3"/>
      <c r="AF10446" s="3"/>
      <c r="AG10446" s="3"/>
      <c r="AH10446" s="3"/>
    </row>
    <row r="10447" spans="1:34" ht="14.25" customHeight="1" x14ac:dyDescent="0.25">
      <c r="A10447" s="3"/>
      <c r="B10447" s="3"/>
      <c r="C10447" s="3"/>
      <c r="D10447" s="3"/>
      <c r="E10447" s="3"/>
      <c r="F10447" s="3"/>
      <c r="G10447" s="3"/>
      <c r="H10447" s="11"/>
      <c r="I10447" s="12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  <c r="AA10447" s="3"/>
      <c r="AB10447" s="3"/>
      <c r="AC10447" s="3"/>
      <c r="AD10447" s="3"/>
      <c r="AE10447" s="3"/>
      <c r="AF10447" s="3"/>
      <c r="AG10447" s="3"/>
      <c r="AH10447" s="3"/>
    </row>
    <row r="10448" spans="1:34" ht="14.25" customHeight="1" x14ac:dyDescent="0.25">
      <c r="A10448" s="3"/>
      <c r="B10448" s="3"/>
      <c r="C10448" s="3"/>
      <c r="D10448" s="3"/>
      <c r="E10448" s="3"/>
      <c r="F10448" s="3"/>
      <c r="G10448" s="3"/>
      <c r="H10448" s="11"/>
      <c r="I10448" s="12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  <c r="AA10448" s="3"/>
      <c r="AB10448" s="3"/>
      <c r="AC10448" s="3"/>
      <c r="AD10448" s="3"/>
      <c r="AE10448" s="3"/>
      <c r="AF10448" s="3"/>
      <c r="AG10448" s="3"/>
      <c r="AH10448" s="3"/>
    </row>
    <row r="10449" spans="1:34" ht="14.25" customHeight="1" x14ac:dyDescent="0.25">
      <c r="A10449" s="3"/>
      <c r="B10449" s="3"/>
      <c r="C10449" s="3"/>
      <c r="D10449" s="3"/>
      <c r="E10449" s="3"/>
      <c r="F10449" s="3"/>
      <c r="G10449" s="3"/>
      <c r="H10449" s="11"/>
      <c r="I10449" s="12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  <c r="AA10449" s="3"/>
      <c r="AB10449" s="3"/>
      <c r="AC10449" s="3"/>
      <c r="AD10449" s="3"/>
      <c r="AE10449" s="3"/>
      <c r="AF10449" s="3"/>
      <c r="AG10449" s="3"/>
      <c r="AH10449" s="3"/>
    </row>
    <row r="10450" spans="1:34" ht="14.25" customHeight="1" x14ac:dyDescent="0.25">
      <c r="A10450" s="3"/>
      <c r="B10450" s="3"/>
      <c r="C10450" s="3"/>
      <c r="D10450" s="3"/>
      <c r="E10450" s="3"/>
      <c r="F10450" s="3"/>
      <c r="G10450" s="3"/>
      <c r="H10450" s="11"/>
      <c r="I10450" s="12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  <c r="AA10450" s="3"/>
      <c r="AB10450" s="3"/>
      <c r="AC10450" s="3"/>
      <c r="AD10450" s="3"/>
      <c r="AE10450" s="3"/>
      <c r="AF10450" s="3"/>
      <c r="AG10450" s="3"/>
      <c r="AH10450" s="3"/>
    </row>
    <row r="10451" spans="1:34" ht="14.25" customHeight="1" x14ac:dyDescent="0.25">
      <c r="A10451" s="3"/>
      <c r="B10451" s="3"/>
      <c r="C10451" s="3"/>
      <c r="D10451" s="3"/>
      <c r="E10451" s="3"/>
      <c r="F10451" s="3"/>
      <c r="G10451" s="3"/>
      <c r="H10451" s="11"/>
      <c r="I10451" s="12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  <c r="AA10451" s="3"/>
      <c r="AB10451" s="3"/>
      <c r="AC10451" s="3"/>
      <c r="AD10451" s="3"/>
      <c r="AE10451" s="3"/>
      <c r="AF10451" s="3"/>
      <c r="AG10451" s="3"/>
      <c r="AH10451" s="3"/>
    </row>
    <row r="10452" spans="1:34" ht="14.25" customHeight="1" x14ac:dyDescent="0.25">
      <c r="A10452" s="3"/>
      <c r="B10452" s="3"/>
      <c r="C10452" s="3"/>
      <c r="D10452" s="3"/>
      <c r="E10452" s="3"/>
      <c r="F10452" s="3"/>
      <c r="G10452" s="3"/>
      <c r="H10452" s="11"/>
      <c r="I10452" s="12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  <c r="AA10452" s="3"/>
      <c r="AB10452" s="3"/>
      <c r="AC10452" s="3"/>
      <c r="AD10452" s="3"/>
      <c r="AE10452" s="3"/>
      <c r="AF10452" s="3"/>
      <c r="AG10452" s="3"/>
      <c r="AH10452" s="3"/>
    </row>
    <row r="10453" spans="1:34" ht="14.25" customHeight="1" x14ac:dyDescent="0.25">
      <c r="A10453" s="3"/>
      <c r="B10453" s="3"/>
      <c r="C10453" s="3"/>
      <c r="D10453" s="3"/>
      <c r="E10453" s="3"/>
      <c r="F10453" s="3"/>
      <c r="G10453" s="3"/>
      <c r="H10453" s="11"/>
      <c r="I10453" s="12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  <c r="AA10453" s="3"/>
      <c r="AB10453" s="3"/>
      <c r="AC10453" s="3"/>
      <c r="AD10453" s="3"/>
      <c r="AE10453" s="3"/>
      <c r="AF10453" s="3"/>
      <c r="AG10453" s="3"/>
      <c r="AH10453" s="3"/>
    </row>
    <row r="10454" spans="1:34" ht="14.25" customHeight="1" x14ac:dyDescent="0.25">
      <c r="A10454" s="3"/>
      <c r="B10454" s="3"/>
      <c r="C10454" s="3"/>
      <c r="D10454" s="3"/>
      <c r="E10454" s="3"/>
      <c r="F10454" s="3"/>
      <c r="G10454" s="3"/>
      <c r="H10454" s="11"/>
      <c r="I10454" s="12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  <c r="AA10454" s="3"/>
      <c r="AB10454" s="3"/>
      <c r="AC10454" s="3"/>
      <c r="AD10454" s="3"/>
      <c r="AE10454" s="3"/>
      <c r="AF10454" s="3"/>
      <c r="AG10454" s="3"/>
      <c r="AH10454" s="3"/>
    </row>
    <row r="10455" spans="1:34" ht="14.25" customHeight="1" x14ac:dyDescent="0.25">
      <c r="A10455" s="3"/>
      <c r="B10455" s="3"/>
      <c r="C10455" s="3"/>
      <c r="D10455" s="3"/>
      <c r="E10455" s="3"/>
      <c r="F10455" s="3"/>
      <c r="G10455" s="3"/>
      <c r="H10455" s="11"/>
      <c r="I10455" s="12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  <c r="AA10455" s="3"/>
      <c r="AB10455" s="3"/>
      <c r="AC10455" s="3"/>
      <c r="AD10455" s="3"/>
      <c r="AE10455" s="3"/>
      <c r="AF10455" s="3"/>
      <c r="AG10455" s="3"/>
      <c r="AH10455" s="3"/>
    </row>
    <row r="10456" spans="1:34" ht="14.25" customHeight="1" x14ac:dyDescent="0.25">
      <c r="A10456" s="3"/>
      <c r="B10456" s="3"/>
      <c r="C10456" s="3"/>
      <c r="D10456" s="3"/>
      <c r="E10456" s="3"/>
      <c r="F10456" s="3"/>
      <c r="G10456" s="3"/>
      <c r="H10456" s="11"/>
      <c r="I10456" s="12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  <c r="AA10456" s="3"/>
      <c r="AB10456" s="3"/>
      <c r="AC10456" s="3"/>
      <c r="AD10456" s="3"/>
      <c r="AE10456" s="3"/>
      <c r="AF10456" s="3"/>
      <c r="AG10456" s="3"/>
      <c r="AH10456" s="3"/>
    </row>
    <row r="10457" spans="1:34" ht="14.25" customHeight="1" x14ac:dyDescent="0.25">
      <c r="A10457" s="3"/>
      <c r="B10457" s="3"/>
      <c r="C10457" s="3"/>
      <c r="D10457" s="3"/>
      <c r="E10457" s="3"/>
      <c r="F10457" s="3"/>
      <c r="G10457" s="3"/>
      <c r="H10457" s="11"/>
      <c r="I10457" s="12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  <c r="AA10457" s="3"/>
      <c r="AB10457" s="3"/>
      <c r="AC10457" s="3"/>
      <c r="AD10457" s="3"/>
      <c r="AE10457" s="3"/>
      <c r="AF10457" s="3"/>
      <c r="AG10457" s="3"/>
      <c r="AH10457" s="3"/>
    </row>
    <row r="10458" spans="1:34" ht="14.25" customHeight="1" x14ac:dyDescent="0.25">
      <c r="A10458" s="3"/>
      <c r="B10458" s="3"/>
      <c r="C10458" s="3"/>
      <c r="D10458" s="3"/>
      <c r="E10458" s="3"/>
      <c r="F10458" s="3"/>
      <c r="G10458" s="3"/>
      <c r="H10458" s="11"/>
      <c r="I10458" s="12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  <c r="AA10458" s="3"/>
      <c r="AB10458" s="3"/>
      <c r="AC10458" s="3"/>
      <c r="AD10458" s="3"/>
      <c r="AE10458" s="3"/>
      <c r="AF10458" s="3"/>
      <c r="AG10458" s="3"/>
      <c r="AH10458" s="3"/>
    </row>
    <row r="10459" spans="1:34" ht="14.25" customHeight="1" x14ac:dyDescent="0.25">
      <c r="A10459" s="3"/>
      <c r="B10459" s="3"/>
      <c r="C10459" s="3"/>
      <c r="D10459" s="3"/>
      <c r="E10459" s="3"/>
      <c r="F10459" s="3"/>
      <c r="G10459" s="3"/>
      <c r="H10459" s="11"/>
      <c r="I10459" s="12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  <c r="AA10459" s="3"/>
      <c r="AB10459" s="3"/>
      <c r="AC10459" s="3"/>
      <c r="AD10459" s="3"/>
      <c r="AE10459" s="3"/>
      <c r="AF10459" s="3"/>
      <c r="AG10459" s="3"/>
      <c r="AH10459" s="3"/>
    </row>
    <row r="10460" spans="1:34" ht="14.25" customHeight="1" x14ac:dyDescent="0.25">
      <c r="A10460" s="3"/>
      <c r="B10460" s="3"/>
      <c r="C10460" s="3"/>
      <c r="D10460" s="3"/>
      <c r="E10460" s="3"/>
      <c r="F10460" s="3"/>
      <c r="G10460" s="3"/>
      <c r="H10460" s="11"/>
      <c r="I10460" s="12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  <c r="AA10460" s="3"/>
      <c r="AB10460" s="3"/>
      <c r="AC10460" s="3"/>
      <c r="AD10460" s="3"/>
      <c r="AE10460" s="3"/>
      <c r="AF10460" s="3"/>
      <c r="AG10460" s="3"/>
      <c r="AH10460" s="3"/>
    </row>
    <row r="10461" spans="1:34" ht="14.25" customHeight="1" x14ac:dyDescent="0.25">
      <c r="A10461" s="3"/>
      <c r="B10461" s="3"/>
      <c r="C10461" s="3"/>
      <c r="D10461" s="3"/>
      <c r="E10461" s="3"/>
      <c r="F10461" s="3"/>
      <c r="G10461" s="3"/>
      <c r="H10461" s="11"/>
      <c r="I10461" s="12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  <c r="AA10461" s="3"/>
      <c r="AB10461" s="3"/>
      <c r="AC10461" s="3"/>
      <c r="AD10461" s="3"/>
      <c r="AE10461" s="3"/>
      <c r="AF10461" s="3"/>
      <c r="AG10461" s="3"/>
      <c r="AH10461" s="3"/>
    </row>
    <row r="10462" spans="1:34" ht="14.25" customHeight="1" x14ac:dyDescent="0.25">
      <c r="A10462" s="3"/>
      <c r="B10462" s="3"/>
      <c r="C10462" s="3"/>
      <c r="D10462" s="3"/>
      <c r="E10462" s="3"/>
      <c r="F10462" s="3"/>
      <c r="G10462" s="3"/>
      <c r="H10462" s="11"/>
      <c r="I10462" s="12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  <c r="AA10462" s="3"/>
      <c r="AB10462" s="3"/>
      <c r="AC10462" s="3"/>
      <c r="AD10462" s="3"/>
      <c r="AE10462" s="3"/>
      <c r="AF10462" s="3"/>
      <c r="AG10462" s="3"/>
      <c r="AH10462" s="3"/>
    </row>
    <row r="10463" spans="1:34" ht="14.25" customHeight="1" x14ac:dyDescent="0.25">
      <c r="A10463" s="3"/>
      <c r="B10463" s="3"/>
      <c r="C10463" s="3"/>
      <c r="D10463" s="3"/>
      <c r="E10463" s="3"/>
      <c r="F10463" s="3"/>
      <c r="G10463" s="3"/>
      <c r="H10463" s="11"/>
      <c r="I10463" s="12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  <c r="AA10463" s="3"/>
      <c r="AB10463" s="3"/>
      <c r="AC10463" s="3"/>
      <c r="AD10463" s="3"/>
      <c r="AE10463" s="3"/>
      <c r="AF10463" s="3"/>
      <c r="AG10463" s="3"/>
      <c r="AH10463" s="3"/>
    </row>
    <row r="10464" spans="1:34" ht="14.25" customHeight="1" x14ac:dyDescent="0.25">
      <c r="A10464" s="3"/>
      <c r="B10464" s="3"/>
      <c r="C10464" s="3"/>
      <c r="D10464" s="3"/>
      <c r="E10464" s="3"/>
      <c r="F10464" s="3"/>
      <c r="G10464" s="3"/>
      <c r="H10464" s="11"/>
      <c r="I10464" s="12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  <c r="AA10464" s="3"/>
      <c r="AB10464" s="3"/>
      <c r="AC10464" s="3"/>
      <c r="AD10464" s="3"/>
      <c r="AE10464" s="3"/>
      <c r="AF10464" s="3"/>
      <c r="AG10464" s="3"/>
      <c r="AH10464" s="3"/>
    </row>
    <row r="10465" spans="1:34" ht="14.25" customHeight="1" x14ac:dyDescent="0.25">
      <c r="A10465" s="3"/>
      <c r="B10465" s="3"/>
      <c r="C10465" s="3"/>
      <c r="D10465" s="3"/>
      <c r="E10465" s="3"/>
      <c r="F10465" s="3"/>
      <c r="G10465" s="3"/>
      <c r="H10465" s="11"/>
      <c r="I10465" s="12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  <c r="AA10465" s="3"/>
      <c r="AB10465" s="3"/>
      <c r="AC10465" s="3"/>
      <c r="AD10465" s="3"/>
      <c r="AE10465" s="3"/>
      <c r="AF10465" s="3"/>
      <c r="AG10465" s="3"/>
      <c r="AH10465" s="3"/>
    </row>
    <row r="10466" spans="1:34" ht="14.25" customHeight="1" x14ac:dyDescent="0.25">
      <c r="A10466" s="3"/>
      <c r="B10466" s="3"/>
      <c r="C10466" s="3"/>
      <c r="D10466" s="3"/>
      <c r="E10466" s="3"/>
      <c r="F10466" s="3"/>
      <c r="G10466" s="3"/>
      <c r="H10466" s="11"/>
      <c r="I10466" s="12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  <c r="AA10466" s="3"/>
      <c r="AB10466" s="3"/>
      <c r="AC10466" s="3"/>
      <c r="AD10466" s="3"/>
      <c r="AE10466" s="3"/>
      <c r="AF10466" s="3"/>
      <c r="AG10466" s="3"/>
      <c r="AH10466" s="3"/>
    </row>
    <row r="10467" spans="1:34" ht="14.25" customHeight="1" x14ac:dyDescent="0.25">
      <c r="A10467" s="3"/>
      <c r="B10467" s="3"/>
      <c r="C10467" s="3"/>
      <c r="D10467" s="3"/>
      <c r="E10467" s="3"/>
      <c r="F10467" s="3"/>
      <c r="G10467" s="3"/>
      <c r="H10467" s="11"/>
      <c r="I10467" s="12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  <c r="AA10467" s="3"/>
      <c r="AB10467" s="3"/>
      <c r="AC10467" s="3"/>
      <c r="AD10467" s="3"/>
      <c r="AE10467" s="3"/>
      <c r="AF10467" s="3"/>
      <c r="AG10467" s="3"/>
      <c r="AH10467" s="3"/>
    </row>
    <row r="10468" spans="1:34" ht="14.25" customHeight="1" x14ac:dyDescent="0.25">
      <c r="A10468" s="3"/>
      <c r="B10468" s="3"/>
      <c r="C10468" s="3"/>
      <c r="D10468" s="3"/>
      <c r="E10468" s="3"/>
      <c r="F10468" s="3"/>
      <c r="G10468" s="3"/>
      <c r="H10468" s="11"/>
      <c r="I10468" s="12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  <c r="AA10468" s="3"/>
      <c r="AB10468" s="3"/>
      <c r="AC10468" s="3"/>
      <c r="AD10468" s="3"/>
      <c r="AE10468" s="3"/>
      <c r="AF10468" s="3"/>
      <c r="AG10468" s="3"/>
      <c r="AH10468" s="3"/>
    </row>
    <row r="10469" spans="1:34" ht="14.25" customHeight="1" x14ac:dyDescent="0.25">
      <c r="A10469" s="3"/>
      <c r="B10469" s="3"/>
      <c r="C10469" s="3"/>
      <c r="D10469" s="3"/>
      <c r="E10469" s="3"/>
      <c r="F10469" s="3"/>
      <c r="G10469" s="3"/>
      <c r="H10469" s="11"/>
      <c r="I10469" s="12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  <c r="AA10469" s="3"/>
      <c r="AB10469" s="3"/>
      <c r="AC10469" s="3"/>
      <c r="AD10469" s="3"/>
      <c r="AE10469" s="3"/>
      <c r="AF10469" s="3"/>
      <c r="AG10469" s="3"/>
      <c r="AH10469" s="3"/>
    </row>
    <row r="10470" spans="1:34" ht="14.25" customHeight="1" x14ac:dyDescent="0.25">
      <c r="A10470" s="3"/>
      <c r="B10470" s="3"/>
      <c r="C10470" s="3"/>
      <c r="D10470" s="3"/>
      <c r="E10470" s="3"/>
      <c r="F10470" s="3"/>
      <c r="G10470" s="3"/>
      <c r="H10470" s="11"/>
      <c r="I10470" s="12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  <c r="AA10470" s="3"/>
      <c r="AB10470" s="3"/>
      <c r="AC10470" s="3"/>
      <c r="AD10470" s="3"/>
      <c r="AE10470" s="3"/>
      <c r="AF10470" s="3"/>
      <c r="AG10470" s="3"/>
      <c r="AH10470" s="3"/>
    </row>
    <row r="10471" spans="1:34" ht="14.25" customHeight="1" x14ac:dyDescent="0.25">
      <c r="A10471" s="3"/>
      <c r="B10471" s="3"/>
      <c r="C10471" s="3"/>
      <c r="D10471" s="3"/>
      <c r="E10471" s="3"/>
      <c r="F10471" s="3"/>
      <c r="G10471" s="3"/>
      <c r="H10471" s="11"/>
      <c r="I10471" s="12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  <c r="AA10471" s="3"/>
      <c r="AB10471" s="3"/>
      <c r="AC10471" s="3"/>
      <c r="AD10471" s="3"/>
      <c r="AE10471" s="3"/>
      <c r="AF10471" s="3"/>
      <c r="AG10471" s="3"/>
      <c r="AH10471" s="3"/>
    </row>
    <row r="10472" spans="1:34" ht="14.25" customHeight="1" x14ac:dyDescent="0.25">
      <c r="A10472" s="3"/>
      <c r="B10472" s="3"/>
      <c r="C10472" s="3"/>
      <c r="D10472" s="3"/>
      <c r="E10472" s="3"/>
      <c r="F10472" s="3"/>
      <c r="G10472" s="3"/>
      <c r="H10472" s="11"/>
      <c r="I10472" s="12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  <c r="AA10472" s="3"/>
      <c r="AB10472" s="3"/>
      <c r="AC10472" s="3"/>
      <c r="AD10472" s="3"/>
      <c r="AE10472" s="3"/>
      <c r="AF10472" s="3"/>
      <c r="AG10472" s="3"/>
      <c r="AH10472" s="3"/>
    </row>
    <row r="10473" spans="1:34" ht="14.25" customHeight="1" x14ac:dyDescent="0.25">
      <c r="A10473" s="3"/>
      <c r="B10473" s="3"/>
      <c r="C10473" s="3"/>
      <c r="D10473" s="3"/>
      <c r="E10473" s="3"/>
      <c r="F10473" s="3"/>
      <c r="G10473" s="3"/>
      <c r="H10473" s="11"/>
      <c r="I10473" s="12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  <c r="AA10473" s="3"/>
      <c r="AB10473" s="3"/>
      <c r="AC10473" s="3"/>
      <c r="AD10473" s="3"/>
      <c r="AE10473" s="3"/>
      <c r="AF10473" s="3"/>
      <c r="AG10473" s="3"/>
      <c r="AH10473" s="3"/>
    </row>
    <row r="10474" spans="1:34" ht="14.25" customHeight="1" x14ac:dyDescent="0.25">
      <c r="A10474" s="3"/>
      <c r="B10474" s="3"/>
      <c r="C10474" s="3"/>
      <c r="D10474" s="3"/>
      <c r="E10474" s="3"/>
      <c r="F10474" s="3"/>
      <c r="G10474" s="3"/>
      <c r="H10474" s="11"/>
      <c r="I10474" s="12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  <c r="AA10474" s="3"/>
      <c r="AB10474" s="3"/>
      <c r="AC10474" s="3"/>
      <c r="AD10474" s="3"/>
      <c r="AE10474" s="3"/>
      <c r="AF10474" s="3"/>
      <c r="AG10474" s="3"/>
      <c r="AH10474" s="3"/>
    </row>
    <row r="10475" spans="1:34" ht="14.25" customHeight="1" x14ac:dyDescent="0.25">
      <c r="A10475" s="3"/>
      <c r="B10475" s="3"/>
      <c r="C10475" s="3"/>
      <c r="D10475" s="3"/>
      <c r="E10475" s="3"/>
      <c r="F10475" s="3"/>
      <c r="G10475" s="3"/>
      <c r="H10475" s="11"/>
      <c r="I10475" s="12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  <c r="AA10475" s="3"/>
      <c r="AB10475" s="3"/>
      <c r="AC10475" s="3"/>
      <c r="AD10475" s="3"/>
      <c r="AE10475" s="3"/>
      <c r="AF10475" s="3"/>
      <c r="AG10475" s="3"/>
      <c r="AH10475" s="3"/>
    </row>
    <row r="10476" spans="1:34" ht="14.25" customHeight="1" x14ac:dyDescent="0.25">
      <c r="A10476" s="3"/>
      <c r="B10476" s="3"/>
      <c r="C10476" s="3"/>
      <c r="D10476" s="3"/>
      <c r="E10476" s="3"/>
      <c r="F10476" s="3"/>
      <c r="G10476" s="3"/>
      <c r="H10476" s="11"/>
      <c r="I10476" s="12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  <c r="AA10476" s="3"/>
      <c r="AB10476" s="3"/>
      <c r="AC10476" s="3"/>
      <c r="AD10476" s="3"/>
      <c r="AE10476" s="3"/>
      <c r="AF10476" s="3"/>
      <c r="AG10476" s="3"/>
      <c r="AH10476" s="3"/>
    </row>
    <row r="10477" spans="1:34" ht="14.25" customHeight="1" x14ac:dyDescent="0.25">
      <c r="A10477" s="3"/>
      <c r="B10477" s="3"/>
      <c r="C10477" s="3"/>
      <c r="D10477" s="3"/>
      <c r="E10477" s="3"/>
      <c r="F10477" s="3"/>
      <c r="G10477" s="3"/>
      <c r="H10477" s="11"/>
      <c r="I10477" s="12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  <c r="AA10477" s="3"/>
      <c r="AB10477" s="3"/>
      <c r="AC10477" s="3"/>
      <c r="AD10477" s="3"/>
      <c r="AE10477" s="3"/>
      <c r="AF10477" s="3"/>
      <c r="AG10477" s="3"/>
      <c r="AH10477" s="3"/>
    </row>
    <row r="10478" spans="1:34" ht="14.25" customHeight="1" x14ac:dyDescent="0.25">
      <c r="A10478" s="3"/>
      <c r="B10478" s="3"/>
      <c r="C10478" s="3"/>
      <c r="D10478" s="3"/>
      <c r="E10478" s="3"/>
      <c r="F10478" s="3"/>
      <c r="G10478" s="3"/>
      <c r="H10478" s="11"/>
      <c r="I10478" s="12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  <c r="AA10478" s="3"/>
      <c r="AB10478" s="3"/>
      <c r="AC10478" s="3"/>
      <c r="AD10478" s="3"/>
      <c r="AE10478" s="3"/>
      <c r="AF10478" s="3"/>
      <c r="AG10478" s="3"/>
      <c r="AH10478" s="3"/>
    </row>
    <row r="10479" spans="1:34" ht="14.25" customHeight="1" x14ac:dyDescent="0.25">
      <c r="A10479" s="3"/>
      <c r="B10479" s="3"/>
      <c r="C10479" s="3"/>
      <c r="D10479" s="3"/>
      <c r="E10479" s="3"/>
      <c r="F10479" s="3"/>
      <c r="G10479" s="3"/>
      <c r="H10479" s="11"/>
      <c r="I10479" s="12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  <c r="AA10479" s="3"/>
      <c r="AB10479" s="3"/>
      <c r="AC10479" s="3"/>
      <c r="AD10479" s="3"/>
      <c r="AE10479" s="3"/>
      <c r="AF10479" s="3"/>
      <c r="AG10479" s="3"/>
      <c r="AH10479" s="3"/>
    </row>
    <row r="10480" spans="1:34" ht="14.25" customHeight="1" x14ac:dyDescent="0.25">
      <c r="A10480" s="3"/>
      <c r="B10480" s="3"/>
      <c r="C10480" s="3"/>
      <c r="D10480" s="3"/>
      <c r="E10480" s="3"/>
      <c r="F10480" s="3"/>
      <c r="G10480" s="3"/>
      <c r="H10480" s="11"/>
      <c r="I10480" s="12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  <c r="AA10480" s="3"/>
      <c r="AB10480" s="3"/>
      <c r="AC10480" s="3"/>
      <c r="AD10480" s="3"/>
      <c r="AE10480" s="3"/>
      <c r="AF10480" s="3"/>
      <c r="AG10480" s="3"/>
      <c r="AH10480" s="3"/>
    </row>
    <row r="10481" spans="1:34" ht="14.25" customHeight="1" x14ac:dyDescent="0.25">
      <c r="A10481" s="3"/>
      <c r="B10481" s="3"/>
      <c r="C10481" s="3"/>
      <c r="D10481" s="3"/>
      <c r="E10481" s="3"/>
      <c r="F10481" s="3"/>
      <c r="G10481" s="3"/>
      <c r="H10481" s="11"/>
      <c r="I10481" s="12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  <c r="AA10481" s="3"/>
      <c r="AB10481" s="3"/>
      <c r="AC10481" s="3"/>
      <c r="AD10481" s="3"/>
      <c r="AE10481" s="3"/>
      <c r="AF10481" s="3"/>
      <c r="AG10481" s="3"/>
      <c r="AH10481" s="3"/>
    </row>
    <row r="10482" spans="1:34" ht="14.25" customHeight="1" x14ac:dyDescent="0.25">
      <c r="A10482" s="3"/>
      <c r="B10482" s="3"/>
      <c r="C10482" s="3"/>
      <c r="D10482" s="3"/>
      <c r="E10482" s="3"/>
      <c r="F10482" s="3"/>
      <c r="G10482" s="3"/>
      <c r="H10482" s="11"/>
      <c r="I10482" s="12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  <c r="AA10482" s="3"/>
      <c r="AB10482" s="3"/>
      <c r="AC10482" s="3"/>
      <c r="AD10482" s="3"/>
      <c r="AE10482" s="3"/>
      <c r="AF10482" s="3"/>
      <c r="AG10482" s="3"/>
      <c r="AH10482" s="3"/>
    </row>
    <row r="10483" spans="1:34" ht="14.25" customHeight="1" x14ac:dyDescent="0.25">
      <c r="A10483" s="3"/>
      <c r="B10483" s="3"/>
      <c r="C10483" s="3"/>
      <c r="D10483" s="3"/>
      <c r="E10483" s="3"/>
      <c r="F10483" s="3"/>
      <c r="G10483" s="3"/>
      <c r="H10483" s="11"/>
      <c r="I10483" s="12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  <c r="AA10483" s="3"/>
      <c r="AB10483" s="3"/>
      <c r="AC10483" s="3"/>
      <c r="AD10483" s="3"/>
      <c r="AE10483" s="3"/>
      <c r="AF10483" s="3"/>
      <c r="AG10483" s="3"/>
      <c r="AH10483" s="3"/>
    </row>
    <row r="10484" spans="1:34" ht="14.25" customHeight="1" x14ac:dyDescent="0.25">
      <c r="A10484" s="3"/>
      <c r="B10484" s="3"/>
      <c r="C10484" s="3"/>
      <c r="D10484" s="3"/>
      <c r="E10484" s="3"/>
      <c r="F10484" s="3"/>
      <c r="G10484" s="3"/>
      <c r="H10484" s="11"/>
      <c r="I10484" s="12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  <c r="AA10484" s="3"/>
      <c r="AB10484" s="3"/>
      <c r="AC10484" s="3"/>
      <c r="AD10484" s="3"/>
      <c r="AE10484" s="3"/>
      <c r="AF10484" s="3"/>
      <c r="AG10484" s="3"/>
      <c r="AH10484" s="3"/>
    </row>
    <row r="10485" spans="1:34" ht="14.25" customHeight="1" x14ac:dyDescent="0.25">
      <c r="A10485" s="3"/>
      <c r="B10485" s="3"/>
      <c r="C10485" s="3"/>
      <c r="D10485" s="3"/>
      <c r="E10485" s="3"/>
      <c r="F10485" s="3"/>
      <c r="G10485" s="3"/>
      <c r="H10485" s="11"/>
      <c r="I10485" s="12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  <c r="AA10485" s="3"/>
      <c r="AB10485" s="3"/>
      <c r="AC10485" s="3"/>
      <c r="AD10485" s="3"/>
      <c r="AE10485" s="3"/>
      <c r="AF10485" s="3"/>
      <c r="AG10485" s="3"/>
      <c r="AH10485" s="3"/>
    </row>
    <row r="10486" spans="1:34" ht="14.25" customHeight="1" x14ac:dyDescent="0.25">
      <c r="A10486" s="3"/>
      <c r="B10486" s="3"/>
      <c r="C10486" s="3"/>
      <c r="D10486" s="3"/>
      <c r="E10486" s="3"/>
      <c r="F10486" s="3"/>
      <c r="G10486" s="3"/>
      <c r="H10486" s="11"/>
      <c r="I10486" s="12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  <c r="AA10486" s="3"/>
      <c r="AB10486" s="3"/>
      <c r="AC10486" s="3"/>
      <c r="AD10486" s="3"/>
      <c r="AE10486" s="3"/>
      <c r="AF10486" s="3"/>
      <c r="AG10486" s="3"/>
      <c r="AH10486" s="3"/>
    </row>
    <row r="10487" spans="1:34" ht="14.25" customHeight="1" x14ac:dyDescent="0.25">
      <c r="A10487" s="3"/>
      <c r="B10487" s="3"/>
      <c r="C10487" s="3"/>
      <c r="D10487" s="3"/>
      <c r="E10487" s="3"/>
      <c r="F10487" s="3"/>
      <c r="G10487" s="3"/>
      <c r="H10487" s="11"/>
      <c r="I10487" s="12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  <c r="AA10487" s="3"/>
      <c r="AB10487" s="3"/>
      <c r="AC10487" s="3"/>
      <c r="AD10487" s="3"/>
      <c r="AE10487" s="3"/>
      <c r="AF10487" s="3"/>
      <c r="AG10487" s="3"/>
      <c r="AH10487" s="3"/>
    </row>
    <row r="10488" spans="1:34" ht="14.25" customHeight="1" x14ac:dyDescent="0.25">
      <c r="A10488" s="3"/>
      <c r="B10488" s="3"/>
      <c r="C10488" s="3"/>
      <c r="D10488" s="3"/>
      <c r="E10488" s="3"/>
      <c r="F10488" s="3"/>
      <c r="G10488" s="3"/>
      <c r="H10488" s="11"/>
      <c r="I10488" s="12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  <c r="AA10488" s="3"/>
      <c r="AB10488" s="3"/>
      <c r="AC10488" s="3"/>
      <c r="AD10488" s="3"/>
      <c r="AE10488" s="3"/>
      <c r="AF10488" s="3"/>
      <c r="AG10488" s="3"/>
      <c r="AH10488" s="3"/>
    </row>
    <row r="10489" spans="1:34" ht="14.25" customHeight="1" x14ac:dyDescent="0.25">
      <c r="A10489" s="3"/>
      <c r="B10489" s="3"/>
      <c r="C10489" s="3"/>
      <c r="D10489" s="3"/>
      <c r="E10489" s="3"/>
      <c r="F10489" s="3"/>
      <c r="G10489" s="3"/>
      <c r="H10489" s="11"/>
      <c r="I10489" s="12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  <c r="AA10489" s="3"/>
      <c r="AB10489" s="3"/>
      <c r="AC10489" s="3"/>
      <c r="AD10489" s="3"/>
      <c r="AE10489" s="3"/>
      <c r="AF10489" s="3"/>
      <c r="AG10489" s="3"/>
      <c r="AH10489" s="3"/>
    </row>
    <row r="10490" spans="1:34" ht="14.25" customHeight="1" x14ac:dyDescent="0.25">
      <c r="A10490" s="3"/>
      <c r="B10490" s="3"/>
      <c r="C10490" s="3"/>
      <c r="D10490" s="3"/>
      <c r="E10490" s="3"/>
      <c r="F10490" s="3"/>
      <c r="G10490" s="3"/>
      <c r="H10490" s="11"/>
      <c r="I10490" s="12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  <c r="AA10490" s="3"/>
      <c r="AB10490" s="3"/>
      <c r="AC10490" s="3"/>
      <c r="AD10490" s="3"/>
      <c r="AE10490" s="3"/>
      <c r="AF10490" s="3"/>
      <c r="AG10490" s="3"/>
      <c r="AH10490" s="3"/>
    </row>
    <row r="10491" spans="1:34" ht="14.25" customHeight="1" x14ac:dyDescent="0.25">
      <c r="A10491" s="3"/>
      <c r="B10491" s="3"/>
      <c r="C10491" s="3"/>
      <c r="D10491" s="3"/>
      <c r="E10491" s="3"/>
      <c r="F10491" s="3"/>
      <c r="G10491" s="3"/>
      <c r="H10491" s="11"/>
      <c r="I10491" s="12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  <c r="AA10491" s="3"/>
      <c r="AB10491" s="3"/>
      <c r="AC10491" s="3"/>
      <c r="AD10491" s="3"/>
      <c r="AE10491" s="3"/>
      <c r="AF10491" s="3"/>
      <c r="AG10491" s="3"/>
      <c r="AH10491" s="3"/>
    </row>
    <row r="10492" spans="1:34" ht="14.25" customHeight="1" x14ac:dyDescent="0.25">
      <c r="A10492" s="3"/>
      <c r="B10492" s="3"/>
      <c r="C10492" s="3"/>
      <c r="D10492" s="3"/>
      <c r="E10492" s="3"/>
      <c r="F10492" s="3"/>
      <c r="G10492" s="3"/>
      <c r="H10492" s="11"/>
      <c r="I10492" s="12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  <c r="AA10492" s="3"/>
      <c r="AB10492" s="3"/>
      <c r="AC10492" s="3"/>
      <c r="AD10492" s="3"/>
      <c r="AE10492" s="3"/>
      <c r="AF10492" s="3"/>
      <c r="AG10492" s="3"/>
      <c r="AH10492" s="3"/>
    </row>
    <row r="10493" spans="1:34" ht="14.25" customHeight="1" x14ac:dyDescent="0.25">
      <c r="A10493" s="3"/>
      <c r="B10493" s="3"/>
      <c r="C10493" s="3"/>
      <c r="D10493" s="3"/>
      <c r="E10493" s="3"/>
      <c r="F10493" s="3"/>
      <c r="G10493" s="3"/>
      <c r="H10493" s="11"/>
      <c r="I10493" s="12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  <c r="AA10493" s="3"/>
      <c r="AB10493" s="3"/>
      <c r="AC10493" s="3"/>
      <c r="AD10493" s="3"/>
      <c r="AE10493" s="3"/>
      <c r="AF10493" s="3"/>
      <c r="AG10493" s="3"/>
      <c r="AH10493" s="3"/>
    </row>
    <row r="10494" spans="1:34" ht="14.25" customHeight="1" x14ac:dyDescent="0.25">
      <c r="A10494" s="3"/>
      <c r="B10494" s="3"/>
      <c r="C10494" s="3"/>
      <c r="D10494" s="3"/>
      <c r="E10494" s="3"/>
      <c r="F10494" s="3"/>
      <c r="G10494" s="3"/>
      <c r="H10494" s="11"/>
      <c r="I10494" s="12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  <c r="AA10494" s="3"/>
      <c r="AB10494" s="3"/>
      <c r="AC10494" s="3"/>
      <c r="AD10494" s="3"/>
      <c r="AE10494" s="3"/>
      <c r="AF10494" s="3"/>
      <c r="AG10494" s="3"/>
      <c r="AH10494" s="3"/>
    </row>
    <row r="10495" spans="1:34" ht="14.25" customHeight="1" x14ac:dyDescent="0.25">
      <c r="A10495" s="3"/>
      <c r="B10495" s="3"/>
      <c r="C10495" s="3"/>
      <c r="D10495" s="3"/>
      <c r="E10495" s="3"/>
      <c r="F10495" s="3"/>
      <c r="G10495" s="3"/>
      <c r="H10495" s="11"/>
      <c r="I10495" s="12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  <c r="AA10495" s="3"/>
      <c r="AB10495" s="3"/>
      <c r="AC10495" s="3"/>
      <c r="AD10495" s="3"/>
      <c r="AE10495" s="3"/>
      <c r="AF10495" s="3"/>
      <c r="AG10495" s="3"/>
      <c r="AH10495" s="3"/>
    </row>
    <row r="10496" spans="1:34" ht="14.25" customHeight="1" x14ac:dyDescent="0.25">
      <c r="A10496" s="3"/>
      <c r="B10496" s="3"/>
      <c r="C10496" s="3"/>
      <c r="D10496" s="3"/>
      <c r="E10496" s="3"/>
      <c r="F10496" s="3"/>
      <c r="G10496" s="3"/>
      <c r="H10496" s="11"/>
      <c r="I10496" s="12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  <c r="AA10496" s="3"/>
      <c r="AB10496" s="3"/>
      <c r="AC10496" s="3"/>
      <c r="AD10496" s="3"/>
      <c r="AE10496" s="3"/>
      <c r="AF10496" s="3"/>
      <c r="AG10496" s="3"/>
      <c r="AH10496" s="3"/>
    </row>
    <row r="10497" spans="1:34" ht="14.25" customHeight="1" x14ac:dyDescent="0.25">
      <c r="A10497" s="3"/>
      <c r="B10497" s="3"/>
      <c r="C10497" s="3"/>
      <c r="D10497" s="3"/>
      <c r="E10497" s="3"/>
      <c r="F10497" s="3"/>
      <c r="G10497" s="3"/>
      <c r="H10497" s="11"/>
      <c r="I10497" s="12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  <c r="AA10497" s="3"/>
      <c r="AB10497" s="3"/>
      <c r="AC10497" s="3"/>
      <c r="AD10497" s="3"/>
      <c r="AE10497" s="3"/>
      <c r="AF10497" s="3"/>
      <c r="AG10497" s="3"/>
      <c r="AH10497" s="3"/>
    </row>
    <row r="10498" spans="1:34" ht="14.25" customHeight="1" x14ac:dyDescent="0.25">
      <c r="A10498" s="3"/>
      <c r="B10498" s="3"/>
      <c r="C10498" s="3"/>
      <c r="D10498" s="3"/>
      <c r="E10498" s="3"/>
      <c r="F10498" s="3"/>
      <c r="G10498" s="3"/>
      <c r="H10498" s="11"/>
      <c r="I10498" s="12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  <c r="AA10498" s="3"/>
      <c r="AB10498" s="3"/>
      <c r="AC10498" s="3"/>
      <c r="AD10498" s="3"/>
      <c r="AE10498" s="3"/>
      <c r="AF10498" s="3"/>
      <c r="AG10498" s="3"/>
      <c r="AH10498" s="3"/>
    </row>
    <row r="10499" spans="1:34" ht="14.25" customHeight="1" x14ac:dyDescent="0.25">
      <c r="A10499" s="3"/>
      <c r="B10499" s="3"/>
      <c r="C10499" s="3"/>
      <c r="D10499" s="3"/>
      <c r="E10499" s="3"/>
      <c r="F10499" s="3"/>
      <c r="G10499" s="3"/>
      <c r="H10499" s="11"/>
      <c r="I10499" s="12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  <c r="AA10499" s="3"/>
      <c r="AB10499" s="3"/>
      <c r="AC10499" s="3"/>
      <c r="AD10499" s="3"/>
      <c r="AE10499" s="3"/>
      <c r="AF10499" s="3"/>
      <c r="AG10499" s="3"/>
      <c r="AH10499" s="3"/>
    </row>
    <row r="10500" spans="1:34" ht="14.25" customHeight="1" x14ac:dyDescent="0.25">
      <c r="A10500" s="3"/>
      <c r="B10500" s="3"/>
      <c r="C10500" s="3"/>
      <c r="D10500" s="3"/>
      <c r="E10500" s="3"/>
      <c r="F10500" s="3"/>
      <c r="G10500" s="3"/>
      <c r="H10500" s="11"/>
      <c r="I10500" s="12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  <c r="AA10500" s="3"/>
      <c r="AB10500" s="3"/>
      <c r="AC10500" s="3"/>
      <c r="AD10500" s="3"/>
      <c r="AE10500" s="3"/>
      <c r="AF10500" s="3"/>
      <c r="AG10500" s="3"/>
      <c r="AH10500" s="3"/>
    </row>
    <row r="10501" spans="1:34" ht="14.25" customHeight="1" x14ac:dyDescent="0.25">
      <c r="A10501" s="3"/>
      <c r="B10501" s="3"/>
      <c r="C10501" s="3"/>
      <c r="D10501" s="3"/>
      <c r="E10501" s="3"/>
      <c r="F10501" s="3"/>
      <c r="G10501" s="3"/>
      <c r="H10501" s="11"/>
      <c r="I10501" s="12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  <c r="AA10501" s="3"/>
      <c r="AB10501" s="3"/>
      <c r="AC10501" s="3"/>
      <c r="AD10501" s="3"/>
      <c r="AE10501" s="3"/>
      <c r="AF10501" s="3"/>
      <c r="AG10501" s="3"/>
      <c r="AH10501" s="3"/>
    </row>
    <row r="10502" spans="1:34" ht="14.25" customHeight="1" x14ac:dyDescent="0.25">
      <c r="A10502" s="3"/>
      <c r="B10502" s="3"/>
      <c r="C10502" s="3"/>
      <c r="D10502" s="3"/>
      <c r="E10502" s="3"/>
      <c r="F10502" s="3"/>
      <c r="G10502" s="3"/>
      <c r="H10502" s="11"/>
      <c r="I10502" s="12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  <c r="AA10502" s="3"/>
      <c r="AB10502" s="3"/>
      <c r="AC10502" s="3"/>
      <c r="AD10502" s="3"/>
      <c r="AE10502" s="3"/>
      <c r="AF10502" s="3"/>
      <c r="AG10502" s="3"/>
      <c r="AH10502" s="3"/>
    </row>
    <row r="10503" spans="1:34" ht="14.25" customHeight="1" x14ac:dyDescent="0.25">
      <c r="A10503" s="3"/>
      <c r="B10503" s="3"/>
      <c r="C10503" s="3"/>
      <c r="D10503" s="3"/>
      <c r="E10503" s="3"/>
      <c r="F10503" s="3"/>
      <c r="G10503" s="3"/>
      <c r="H10503" s="11"/>
      <c r="I10503" s="12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  <c r="AA10503" s="3"/>
      <c r="AB10503" s="3"/>
      <c r="AC10503" s="3"/>
      <c r="AD10503" s="3"/>
      <c r="AE10503" s="3"/>
      <c r="AF10503" s="3"/>
      <c r="AG10503" s="3"/>
      <c r="AH10503" s="3"/>
    </row>
    <row r="10504" spans="1:34" ht="14.25" customHeight="1" x14ac:dyDescent="0.25">
      <c r="A10504" s="3"/>
      <c r="B10504" s="3"/>
      <c r="C10504" s="3"/>
      <c r="D10504" s="3"/>
      <c r="E10504" s="3"/>
      <c r="F10504" s="3"/>
      <c r="G10504" s="3"/>
      <c r="H10504" s="11"/>
      <c r="I10504" s="12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  <c r="AA10504" s="3"/>
      <c r="AB10504" s="3"/>
      <c r="AC10504" s="3"/>
      <c r="AD10504" s="3"/>
      <c r="AE10504" s="3"/>
      <c r="AF10504" s="3"/>
      <c r="AG10504" s="3"/>
      <c r="AH10504" s="3"/>
    </row>
    <row r="10505" spans="1:34" ht="14.25" customHeight="1" x14ac:dyDescent="0.25">
      <c r="A10505" s="3"/>
      <c r="B10505" s="3"/>
      <c r="C10505" s="3"/>
      <c r="D10505" s="3"/>
      <c r="E10505" s="3"/>
      <c r="F10505" s="3"/>
      <c r="G10505" s="3"/>
      <c r="H10505" s="11"/>
      <c r="I10505" s="12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  <c r="AA10505" s="3"/>
      <c r="AB10505" s="3"/>
      <c r="AC10505" s="3"/>
      <c r="AD10505" s="3"/>
      <c r="AE10505" s="3"/>
      <c r="AF10505" s="3"/>
      <c r="AG10505" s="3"/>
      <c r="AH10505" s="3"/>
    </row>
    <row r="10506" spans="1:34" ht="14.25" customHeight="1" x14ac:dyDescent="0.25">
      <c r="A10506" s="3"/>
      <c r="B10506" s="3"/>
      <c r="C10506" s="3"/>
      <c r="D10506" s="3"/>
      <c r="E10506" s="3"/>
      <c r="F10506" s="3"/>
      <c r="G10506" s="3"/>
      <c r="H10506" s="11"/>
      <c r="I10506" s="12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  <c r="AA10506" s="3"/>
      <c r="AB10506" s="3"/>
      <c r="AC10506" s="3"/>
      <c r="AD10506" s="3"/>
      <c r="AE10506" s="3"/>
      <c r="AF10506" s="3"/>
      <c r="AG10506" s="3"/>
      <c r="AH10506" s="3"/>
    </row>
    <row r="10507" spans="1:34" ht="14.25" customHeight="1" x14ac:dyDescent="0.25">
      <c r="A10507" s="3"/>
      <c r="B10507" s="3"/>
      <c r="C10507" s="3"/>
      <c r="D10507" s="3"/>
      <c r="E10507" s="3"/>
      <c r="F10507" s="3"/>
      <c r="G10507" s="3"/>
      <c r="H10507" s="11"/>
      <c r="I10507" s="12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  <c r="AA10507" s="3"/>
      <c r="AB10507" s="3"/>
      <c r="AC10507" s="3"/>
      <c r="AD10507" s="3"/>
      <c r="AE10507" s="3"/>
      <c r="AF10507" s="3"/>
      <c r="AG10507" s="3"/>
      <c r="AH10507" s="3"/>
    </row>
    <row r="10508" spans="1:34" ht="14.25" customHeight="1" x14ac:dyDescent="0.25">
      <c r="A10508" s="3"/>
      <c r="B10508" s="3"/>
      <c r="C10508" s="3"/>
      <c r="D10508" s="3"/>
      <c r="E10508" s="3"/>
      <c r="F10508" s="3"/>
      <c r="G10508" s="3"/>
      <c r="H10508" s="11"/>
      <c r="I10508" s="12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  <c r="AA10508" s="3"/>
      <c r="AB10508" s="3"/>
      <c r="AC10508" s="3"/>
      <c r="AD10508" s="3"/>
      <c r="AE10508" s="3"/>
      <c r="AF10508" s="3"/>
      <c r="AG10508" s="3"/>
      <c r="AH10508" s="3"/>
    </row>
    <row r="10509" spans="1:34" ht="14.25" customHeight="1" x14ac:dyDescent="0.25">
      <c r="A10509" s="3"/>
      <c r="B10509" s="3"/>
      <c r="C10509" s="3"/>
      <c r="D10509" s="3"/>
      <c r="E10509" s="3"/>
      <c r="F10509" s="3"/>
      <c r="G10509" s="3"/>
      <c r="H10509" s="11"/>
      <c r="I10509" s="12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  <c r="AA10509" s="3"/>
      <c r="AB10509" s="3"/>
      <c r="AC10509" s="3"/>
      <c r="AD10509" s="3"/>
      <c r="AE10509" s="3"/>
      <c r="AF10509" s="3"/>
      <c r="AG10509" s="3"/>
      <c r="AH10509" s="3"/>
    </row>
    <row r="10510" spans="1:34" ht="14.25" customHeight="1" x14ac:dyDescent="0.25">
      <c r="A10510" s="3"/>
      <c r="B10510" s="3"/>
      <c r="C10510" s="3"/>
      <c r="D10510" s="3"/>
      <c r="E10510" s="3"/>
      <c r="F10510" s="3"/>
      <c r="G10510" s="3"/>
      <c r="H10510" s="11"/>
      <c r="I10510" s="12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  <c r="AA10510" s="3"/>
      <c r="AB10510" s="3"/>
      <c r="AC10510" s="3"/>
      <c r="AD10510" s="3"/>
      <c r="AE10510" s="3"/>
      <c r="AF10510" s="3"/>
      <c r="AG10510" s="3"/>
      <c r="AH10510" s="3"/>
    </row>
    <row r="10511" spans="1:34" ht="14.25" customHeight="1" x14ac:dyDescent="0.25">
      <c r="A10511" s="3"/>
      <c r="B10511" s="3"/>
      <c r="C10511" s="3"/>
      <c r="D10511" s="3"/>
      <c r="E10511" s="3"/>
      <c r="F10511" s="3"/>
      <c r="G10511" s="3"/>
      <c r="H10511" s="11"/>
      <c r="I10511" s="12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  <c r="AA10511" s="3"/>
      <c r="AB10511" s="3"/>
      <c r="AC10511" s="3"/>
      <c r="AD10511" s="3"/>
      <c r="AE10511" s="3"/>
      <c r="AF10511" s="3"/>
      <c r="AG10511" s="3"/>
      <c r="AH10511" s="3"/>
    </row>
    <row r="10512" spans="1:34" ht="14.25" customHeight="1" x14ac:dyDescent="0.25">
      <c r="A10512" s="3"/>
      <c r="B10512" s="3"/>
      <c r="C10512" s="3"/>
      <c r="D10512" s="3"/>
      <c r="E10512" s="3"/>
      <c r="F10512" s="3"/>
      <c r="G10512" s="3"/>
      <c r="H10512" s="11"/>
      <c r="I10512" s="12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  <c r="AA10512" s="3"/>
      <c r="AB10512" s="3"/>
      <c r="AC10512" s="3"/>
      <c r="AD10512" s="3"/>
      <c r="AE10512" s="3"/>
      <c r="AF10512" s="3"/>
      <c r="AG10512" s="3"/>
      <c r="AH10512" s="3"/>
    </row>
    <row r="10513" spans="1:34" ht="14.25" customHeight="1" x14ac:dyDescent="0.25">
      <c r="A10513" s="3"/>
      <c r="B10513" s="3"/>
      <c r="C10513" s="3"/>
      <c r="D10513" s="3"/>
      <c r="E10513" s="3"/>
      <c r="F10513" s="3"/>
      <c r="G10513" s="3"/>
      <c r="H10513" s="11"/>
      <c r="I10513" s="12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  <c r="AA10513" s="3"/>
      <c r="AB10513" s="3"/>
      <c r="AC10513" s="3"/>
      <c r="AD10513" s="3"/>
      <c r="AE10513" s="3"/>
      <c r="AF10513" s="3"/>
      <c r="AG10513" s="3"/>
      <c r="AH10513" s="3"/>
    </row>
    <row r="10514" spans="1:34" ht="14.25" customHeight="1" x14ac:dyDescent="0.25">
      <c r="A10514" s="3"/>
      <c r="B10514" s="3"/>
      <c r="C10514" s="3"/>
      <c r="D10514" s="3"/>
      <c r="E10514" s="3"/>
      <c r="F10514" s="3"/>
      <c r="G10514" s="3"/>
      <c r="H10514" s="11"/>
      <c r="I10514" s="12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  <c r="AA10514" s="3"/>
      <c r="AB10514" s="3"/>
      <c r="AC10514" s="3"/>
      <c r="AD10514" s="3"/>
      <c r="AE10514" s="3"/>
      <c r="AF10514" s="3"/>
      <c r="AG10514" s="3"/>
      <c r="AH10514" s="3"/>
    </row>
    <row r="10515" spans="1:34" ht="14.25" customHeight="1" x14ac:dyDescent="0.25">
      <c r="A10515" s="3"/>
      <c r="B10515" s="3"/>
      <c r="C10515" s="3"/>
      <c r="D10515" s="3"/>
      <c r="E10515" s="3"/>
      <c r="F10515" s="3"/>
      <c r="G10515" s="3"/>
      <c r="H10515" s="11"/>
      <c r="I10515" s="12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  <c r="AA10515" s="3"/>
      <c r="AB10515" s="3"/>
      <c r="AC10515" s="3"/>
      <c r="AD10515" s="3"/>
      <c r="AE10515" s="3"/>
      <c r="AF10515" s="3"/>
      <c r="AG10515" s="3"/>
      <c r="AH10515" s="3"/>
    </row>
    <row r="10516" spans="1:34" ht="14.25" customHeight="1" x14ac:dyDescent="0.25">
      <c r="A10516" s="3"/>
      <c r="B10516" s="3"/>
      <c r="C10516" s="3"/>
      <c r="D10516" s="3"/>
      <c r="E10516" s="3"/>
      <c r="F10516" s="3"/>
      <c r="G10516" s="3"/>
      <c r="H10516" s="11"/>
      <c r="I10516" s="12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  <c r="AA10516" s="3"/>
      <c r="AB10516" s="3"/>
      <c r="AC10516" s="3"/>
      <c r="AD10516" s="3"/>
      <c r="AE10516" s="3"/>
      <c r="AF10516" s="3"/>
      <c r="AG10516" s="3"/>
      <c r="AH10516" s="3"/>
    </row>
    <row r="10517" spans="1:34" ht="14.25" customHeight="1" x14ac:dyDescent="0.25">
      <c r="A10517" s="3"/>
      <c r="B10517" s="3"/>
      <c r="C10517" s="3"/>
      <c r="D10517" s="3"/>
      <c r="E10517" s="3"/>
      <c r="F10517" s="3"/>
      <c r="G10517" s="3"/>
      <c r="H10517" s="11"/>
      <c r="I10517" s="12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  <c r="AA10517" s="3"/>
      <c r="AB10517" s="3"/>
      <c r="AC10517" s="3"/>
      <c r="AD10517" s="3"/>
      <c r="AE10517" s="3"/>
      <c r="AF10517" s="3"/>
      <c r="AG10517" s="3"/>
      <c r="AH10517" s="3"/>
    </row>
    <row r="10518" spans="1:34" ht="14.25" customHeight="1" x14ac:dyDescent="0.25">
      <c r="A10518" s="3"/>
      <c r="B10518" s="3"/>
      <c r="C10518" s="3"/>
      <c r="D10518" s="3"/>
      <c r="E10518" s="3"/>
      <c r="F10518" s="3"/>
      <c r="G10518" s="3"/>
      <c r="H10518" s="11"/>
      <c r="I10518" s="12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  <c r="AA10518" s="3"/>
      <c r="AB10518" s="3"/>
      <c r="AC10518" s="3"/>
      <c r="AD10518" s="3"/>
      <c r="AE10518" s="3"/>
      <c r="AF10518" s="3"/>
      <c r="AG10518" s="3"/>
      <c r="AH10518" s="3"/>
    </row>
    <row r="10519" spans="1:34" ht="14.25" customHeight="1" x14ac:dyDescent="0.25">
      <c r="A10519" s="3"/>
      <c r="B10519" s="3"/>
      <c r="C10519" s="3"/>
      <c r="D10519" s="3"/>
      <c r="E10519" s="3"/>
      <c r="F10519" s="3"/>
      <c r="G10519" s="3"/>
      <c r="H10519" s="11"/>
      <c r="I10519" s="12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  <c r="AA10519" s="3"/>
      <c r="AB10519" s="3"/>
      <c r="AC10519" s="3"/>
      <c r="AD10519" s="3"/>
      <c r="AE10519" s="3"/>
      <c r="AF10519" s="3"/>
      <c r="AG10519" s="3"/>
      <c r="AH10519" s="3"/>
    </row>
    <row r="10520" spans="1:34" ht="14.25" customHeight="1" x14ac:dyDescent="0.25">
      <c r="A10520" s="3"/>
      <c r="B10520" s="3"/>
      <c r="C10520" s="3"/>
      <c r="D10520" s="3"/>
      <c r="E10520" s="3"/>
      <c r="F10520" s="3"/>
      <c r="G10520" s="3"/>
      <c r="H10520" s="11"/>
      <c r="I10520" s="12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  <c r="AA10520" s="3"/>
      <c r="AB10520" s="3"/>
      <c r="AC10520" s="3"/>
      <c r="AD10520" s="3"/>
      <c r="AE10520" s="3"/>
      <c r="AF10520" s="3"/>
      <c r="AG10520" s="3"/>
      <c r="AH10520" s="3"/>
    </row>
    <row r="10521" spans="1:34" ht="14.25" customHeight="1" x14ac:dyDescent="0.25">
      <c r="A10521" s="3"/>
      <c r="B10521" s="3"/>
      <c r="C10521" s="3"/>
      <c r="D10521" s="3"/>
      <c r="E10521" s="3"/>
      <c r="F10521" s="3"/>
      <c r="G10521" s="3"/>
      <c r="H10521" s="11"/>
      <c r="I10521" s="12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  <c r="AA10521" s="3"/>
      <c r="AB10521" s="3"/>
      <c r="AC10521" s="3"/>
      <c r="AD10521" s="3"/>
      <c r="AE10521" s="3"/>
      <c r="AF10521" s="3"/>
      <c r="AG10521" s="3"/>
      <c r="AH10521" s="3"/>
    </row>
    <row r="10522" spans="1:34" ht="14.25" customHeight="1" x14ac:dyDescent="0.25">
      <c r="A10522" s="3"/>
      <c r="B10522" s="3"/>
      <c r="C10522" s="3"/>
      <c r="D10522" s="3"/>
      <c r="E10522" s="3"/>
      <c r="F10522" s="3"/>
      <c r="G10522" s="3"/>
      <c r="H10522" s="11"/>
      <c r="I10522" s="12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  <c r="AA10522" s="3"/>
      <c r="AB10522" s="3"/>
      <c r="AC10522" s="3"/>
      <c r="AD10522" s="3"/>
      <c r="AE10522" s="3"/>
      <c r="AF10522" s="3"/>
      <c r="AG10522" s="3"/>
      <c r="AH10522" s="3"/>
    </row>
    <row r="10523" spans="1:34" ht="14.25" customHeight="1" x14ac:dyDescent="0.25">
      <c r="A10523" s="3"/>
      <c r="B10523" s="3"/>
      <c r="C10523" s="3"/>
      <c r="D10523" s="3"/>
      <c r="E10523" s="3"/>
      <c r="F10523" s="3"/>
      <c r="G10523" s="3"/>
      <c r="H10523" s="11"/>
      <c r="I10523" s="12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  <c r="AA10523" s="3"/>
      <c r="AB10523" s="3"/>
      <c r="AC10523" s="3"/>
      <c r="AD10523" s="3"/>
      <c r="AE10523" s="3"/>
      <c r="AF10523" s="3"/>
      <c r="AG10523" s="3"/>
      <c r="AH10523" s="3"/>
    </row>
    <row r="10524" spans="1:34" ht="14.25" customHeight="1" x14ac:dyDescent="0.25">
      <c r="A10524" s="3"/>
      <c r="B10524" s="3"/>
      <c r="C10524" s="3"/>
      <c r="D10524" s="3"/>
      <c r="E10524" s="3"/>
      <c r="F10524" s="3"/>
      <c r="G10524" s="3"/>
      <c r="H10524" s="11"/>
      <c r="I10524" s="12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  <c r="AA10524" s="3"/>
      <c r="AB10524" s="3"/>
      <c r="AC10524" s="3"/>
      <c r="AD10524" s="3"/>
      <c r="AE10524" s="3"/>
      <c r="AF10524" s="3"/>
      <c r="AG10524" s="3"/>
      <c r="AH10524" s="3"/>
    </row>
    <row r="10525" spans="1:34" ht="14.25" customHeight="1" x14ac:dyDescent="0.25">
      <c r="A10525" s="3"/>
      <c r="B10525" s="3"/>
      <c r="C10525" s="3"/>
      <c r="D10525" s="3"/>
      <c r="E10525" s="3"/>
      <c r="F10525" s="3"/>
      <c r="G10525" s="14"/>
      <c r="H10525" s="11"/>
      <c r="I10525" s="12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  <c r="AA10525" s="3"/>
      <c r="AB10525" s="3"/>
      <c r="AC10525" s="3"/>
      <c r="AD10525" s="3"/>
      <c r="AE10525" s="3"/>
      <c r="AF10525" s="3"/>
      <c r="AG10525" s="3"/>
      <c r="AH10525" s="3"/>
    </row>
    <row r="10526" spans="1:34" ht="14.25" customHeight="1" x14ac:dyDescent="0.25">
      <c r="A10526" s="3"/>
      <c r="B10526" s="3"/>
      <c r="C10526" s="3"/>
      <c r="D10526" s="3"/>
      <c r="E10526" s="3"/>
      <c r="F10526" s="3"/>
      <c r="G10526" s="3"/>
      <c r="H10526" s="11"/>
      <c r="I10526" s="12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  <c r="AA10526" s="3"/>
      <c r="AB10526" s="3"/>
      <c r="AC10526" s="3"/>
      <c r="AD10526" s="3"/>
      <c r="AE10526" s="3"/>
      <c r="AF10526" s="3"/>
      <c r="AG10526" s="3"/>
      <c r="AH10526" s="3"/>
    </row>
    <row r="10527" spans="1:34" ht="14.25" customHeight="1" x14ac:dyDescent="0.25">
      <c r="A10527" s="3"/>
      <c r="B10527" s="3"/>
      <c r="C10527" s="3"/>
      <c r="D10527" s="3"/>
      <c r="E10527" s="3"/>
      <c r="F10527" s="3"/>
      <c r="G10527" s="3"/>
      <c r="H10527" s="11"/>
      <c r="I10527" s="12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  <c r="AA10527" s="3"/>
      <c r="AB10527" s="3"/>
      <c r="AC10527" s="3"/>
      <c r="AD10527" s="3"/>
      <c r="AE10527" s="3"/>
      <c r="AF10527" s="3"/>
      <c r="AG10527" s="3"/>
      <c r="AH10527" s="3"/>
    </row>
    <row r="10528" spans="1:34" ht="14.25" customHeight="1" x14ac:dyDescent="0.25">
      <c r="A10528" s="3"/>
      <c r="B10528" s="3"/>
      <c r="C10528" s="3"/>
      <c r="D10528" s="3"/>
      <c r="E10528" s="3"/>
      <c r="F10528" s="3"/>
      <c r="G10528" s="3"/>
      <c r="H10528" s="11"/>
      <c r="I10528" s="12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  <c r="AA10528" s="3"/>
      <c r="AB10528" s="3"/>
      <c r="AC10528" s="3"/>
      <c r="AD10528" s="3"/>
      <c r="AE10528" s="3"/>
      <c r="AF10528" s="3"/>
      <c r="AG10528" s="3"/>
      <c r="AH10528" s="3"/>
    </row>
    <row r="10529" spans="1:34" ht="14.25" customHeight="1" x14ac:dyDescent="0.25">
      <c r="A10529" s="3"/>
      <c r="B10529" s="3"/>
      <c r="C10529" s="3"/>
      <c r="D10529" s="3"/>
      <c r="E10529" s="3"/>
      <c r="F10529" s="3"/>
      <c r="G10529" s="3"/>
      <c r="H10529" s="11"/>
      <c r="I10529" s="12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  <c r="AA10529" s="3"/>
      <c r="AB10529" s="3"/>
      <c r="AC10529" s="3"/>
      <c r="AD10529" s="3"/>
      <c r="AE10529" s="3"/>
      <c r="AF10529" s="3"/>
      <c r="AG10529" s="3"/>
      <c r="AH10529" s="3"/>
    </row>
    <row r="10530" spans="1:34" ht="14.25" customHeight="1" x14ac:dyDescent="0.25">
      <c r="A10530" s="3"/>
      <c r="B10530" s="3"/>
      <c r="C10530" s="3"/>
      <c r="D10530" s="3"/>
      <c r="E10530" s="3"/>
      <c r="F10530" s="3"/>
      <c r="G10530" s="3"/>
      <c r="H10530" s="11"/>
      <c r="I10530" s="12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  <c r="AA10530" s="3"/>
      <c r="AB10530" s="3"/>
      <c r="AC10530" s="3"/>
      <c r="AD10530" s="3"/>
      <c r="AE10530" s="3"/>
      <c r="AF10530" s="3"/>
      <c r="AG10530" s="3"/>
      <c r="AH10530" s="3"/>
    </row>
    <row r="10531" spans="1:34" ht="14.25" customHeight="1" x14ac:dyDescent="0.25">
      <c r="A10531" s="3"/>
      <c r="B10531" s="3"/>
      <c r="C10531" s="3"/>
      <c r="D10531" s="3"/>
      <c r="E10531" s="3"/>
      <c r="F10531" s="3"/>
      <c r="G10531" s="3"/>
      <c r="H10531" s="11"/>
      <c r="I10531" s="12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  <c r="AA10531" s="3"/>
      <c r="AB10531" s="3"/>
      <c r="AC10531" s="3"/>
      <c r="AD10531" s="3"/>
      <c r="AE10531" s="3"/>
      <c r="AF10531" s="3"/>
      <c r="AG10531" s="3"/>
      <c r="AH10531" s="3"/>
    </row>
    <row r="10532" spans="1:34" ht="14.25" customHeight="1" x14ac:dyDescent="0.25">
      <c r="A10532" s="3"/>
      <c r="B10532" s="3"/>
      <c r="C10532" s="3"/>
      <c r="D10532" s="3"/>
      <c r="E10532" s="3"/>
      <c r="F10532" s="3"/>
      <c r="G10532" s="3"/>
      <c r="H10532" s="11"/>
      <c r="I10532" s="12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  <c r="AA10532" s="3"/>
      <c r="AB10532" s="3"/>
      <c r="AC10532" s="3"/>
      <c r="AD10532" s="3"/>
      <c r="AE10532" s="3"/>
      <c r="AF10532" s="3"/>
      <c r="AG10532" s="3"/>
      <c r="AH10532" s="3"/>
    </row>
    <row r="10533" spans="1:34" ht="14.25" customHeight="1" x14ac:dyDescent="0.25">
      <c r="A10533" s="3"/>
      <c r="B10533" s="3"/>
      <c r="C10533" s="3"/>
      <c r="D10533" s="3"/>
      <c r="E10533" s="3"/>
      <c r="F10533" s="3"/>
      <c r="G10533" s="3"/>
      <c r="H10533" s="11"/>
      <c r="I10533" s="12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  <c r="AA10533" s="3"/>
      <c r="AB10533" s="3"/>
      <c r="AC10533" s="3"/>
      <c r="AD10533" s="3"/>
      <c r="AE10533" s="3"/>
      <c r="AF10533" s="3"/>
      <c r="AG10533" s="3"/>
      <c r="AH10533" s="3"/>
    </row>
    <row r="10534" spans="1:34" ht="14.25" customHeight="1" x14ac:dyDescent="0.25">
      <c r="A10534" s="3"/>
      <c r="B10534" s="3"/>
      <c r="C10534" s="3"/>
      <c r="D10534" s="3"/>
      <c r="E10534" s="3"/>
      <c r="F10534" s="3"/>
      <c r="G10534" s="3"/>
      <c r="H10534" s="11"/>
      <c r="I10534" s="12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  <c r="AA10534" s="3"/>
      <c r="AB10534" s="3"/>
      <c r="AC10534" s="3"/>
      <c r="AD10534" s="3"/>
      <c r="AE10534" s="3"/>
      <c r="AF10534" s="3"/>
      <c r="AG10534" s="3"/>
      <c r="AH10534" s="3"/>
    </row>
    <row r="10535" spans="1:34" ht="14.25" customHeight="1" x14ac:dyDescent="0.25">
      <c r="A10535" s="3"/>
      <c r="B10535" s="3"/>
      <c r="C10535" s="3"/>
      <c r="D10535" s="3"/>
      <c r="E10535" s="3"/>
      <c r="F10535" s="3"/>
      <c r="G10535" s="3"/>
      <c r="H10535" s="11"/>
      <c r="I10535" s="12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  <c r="AA10535" s="3"/>
      <c r="AB10535" s="3"/>
      <c r="AC10535" s="3"/>
      <c r="AD10535" s="3"/>
      <c r="AE10535" s="3"/>
      <c r="AF10535" s="3"/>
      <c r="AG10535" s="3"/>
      <c r="AH10535" s="3"/>
    </row>
    <row r="10536" spans="1:34" ht="14.25" customHeight="1" x14ac:dyDescent="0.25">
      <c r="A10536" s="3"/>
      <c r="B10536" s="3"/>
      <c r="C10536" s="3"/>
      <c r="D10536" s="3"/>
      <c r="E10536" s="3"/>
      <c r="F10536" s="3"/>
      <c r="G10536" s="3"/>
      <c r="H10536" s="11"/>
      <c r="I10536" s="12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  <c r="AA10536" s="3"/>
      <c r="AB10536" s="3"/>
      <c r="AC10536" s="3"/>
      <c r="AD10536" s="3"/>
      <c r="AE10536" s="3"/>
      <c r="AF10536" s="3"/>
      <c r="AG10536" s="3"/>
      <c r="AH10536" s="3"/>
    </row>
    <row r="10537" spans="1:34" ht="14.25" customHeight="1" x14ac:dyDescent="0.25">
      <c r="A10537" s="3"/>
      <c r="B10537" s="3"/>
      <c r="C10537" s="3"/>
      <c r="D10537" s="3"/>
      <c r="E10537" s="3"/>
      <c r="F10537" s="3"/>
      <c r="G10537" s="3"/>
      <c r="H10537" s="11"/>
      <c r="I10537" s="12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  <c r="AA10537" s="3"/>
      <c r="AB10537" s="3"/>
      <c r="AC10537" s="3"/>
      <c r="AD10537" s="3"/>
      <c r="AE10537" s="3"/>
      <c r="AF10537" s="3"/>
      <c r="AG10537" s="3"/>
      <c r="AH10537" s="3"/>
    </row>
    <row r="10538" spans="1:34" ht="14.25" customHeight="1" x14ac:dyDescent="0.25">
      <c r="A10538" s="3"/>
      <c r="B10538" s="3"/>
      <c r="C10538" s="3"/>
      <c r="D10538" s="3"/>
      <c r="E10538" s="3"/>
      <c r="F10538" s="3"/>
      <c r="G10538" s="3"/>
      <c r="H10538" s="11"/>
      <c r="I10538" s="12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  <c r="AA10538" s="3"/>
      <c r="AB10538" s="3"/>
      <c r="AC10538" s="3"/>
      <c r="AD10538" s="3"/>
      <c r="AE10538" s="3"/>
      <c r="AF10538" s="3"/>
      <c r="AG10538" s="3"/>
      <c r="AH10538" s="3"/>
    </row>
    <row r="10539" spans="1:34" ht="14.25" customHeight="1" x14ac:dyDescent="0.25">
      <c r="A10539" s="3"/>
      <c r="B10539" s="3"/>
      <c r="C10539" s="3"/>
      <c r="D10539" s="3"/>
      <c r="E10539" s="3"/>
      <c r="F10539" s="3"/>
      <c r="G10539" s="3"/>
      <c r="H10539" s="11"/>
      <c r="I10539" s="12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  <c r="AA10539" s="3"/>
      <c r="AB10539" s="3"/>
      <c r="AC10539" s="3"/>
      <c r="AD10539" s="3"/>
      <c r="AE10539" s="3"/>
      <c r="AF10539" s="3"/>
      <c r="AG10539" s="3"/>
      <c r="AH10539" s="3"/>
    </row>
    <row r="10540" spans="1:34" ht="14.25" customHeight="1" x14ac:dyDescent="0.25">
      <c r="A10540" s="3"/>
      <c r="B10540" s="3"/>
      <c r="C10540" s="3"/>
      <c r="D10540" s="3"/>
      <c r="E10540" s="3"/>
      <c r="F10540" s="3"/>
      <c r="G10540" s="3"/>
      <c r="H10540" s="11"/>
      <c r="I10540" s="12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  <c r="AA10540" s="3"/>
      <c r="AB10540" s="3"/>
      <c r="AC10540" s="3"/>
      <c r="AD10540" s="3"/>
      <c r="AE10540" s="3"/>
      <c r="AF10540" s="3"/>
      <c r="AG10540" s="3"/>
      <c r="AH10540" s="3"/>
    </row>
    <row r="10541" spans="1:34" ht="14.25" customHeight="1" x14ac:dyDescent="0.25">
      <c r="A10541" s="3"/>
      <c r="B10541" s="3"/>
      <c r="C10541" s="3"/>
      <c r="D10541" s="3"/>
      <c r="E10541" s="3"/>
      <c r="F10541" s="3"/>
      <c r="G10541" s="3"/>
      <c r="H10541" s="11"/>
      <c r="I10541" s="12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  <c r="AA10541" s="3"/>
      <c r="AB10541" s="3"/>
      <c r="AC10541" s="3"/>
      <c r="AD10541" s="3"/>
      <c r="AE10541" s="3"/>
      <c r="AF10541" s="3"/>
      <c r="AG10541" s="3"/>
      <c r="AH10541" s="3"/>
    </row>
    <row r="10542" spans="1:34" ht="14.25" customHeight="1" x14ac:dyDescent="0.25">
      <c r="A10542" s="3"/>
      <c r="B10542" s="3"/>
      <c r="C10542" s="3"/>
      <c r="D10542" s="3"/>
      <c r="E10542" s="3"/>
      <c r="F10542" s="3"/>
      <c r="G10542" s="3"/>
      <c r="H10542" s="11"/>
      <c r="I10542" s="12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  <c r="AA10542" s="3"/>
      <c r="AB10542" s="3"/>
      <c r="AC10542" s="3"/>
      <c r="AD10542" s="3"/>
      <c r="AE10542" s="3"/>
      <c r="AF10542" s="3"/>
      <c r="AG10542" s="3"/>
      <c r="AH10542" s="3"/>
    </row>
    <row r="10543" spans="1:34" ht="14.25" customHeight="1" x14ac:dyDescent="0.25">
      <c r="A10543" s="3"/>
      <c r="B10543" s="3"/>
      <c r="C10543" s="3"/>
      <c r="D10543" s="3"/>
      <c r="E10543" s="3"/>
      <c r="F10543" s="3"/>
      <c r="G10543" s="3"/>
      <c r="H10543" s="11"/>
      <c r="I10543" s="12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  <c r="AA10543" s="3"/>
      <c r="AB10543" s="3"/>
      <c r="AC10543" s="3"/>
      <c r="AD10543" s="3"/>
      <c r="AE10543" s="3"/>
      <c r="AF10543" s="3"/>
      <c r="AG10543" s="3"/>
      <c r="AH10543" s="3"/>
    </row>
    <row r="10544" spans="1:34" ht="14.25" customHeight="1" x14ac:dyDescent="0.25">
      <c r="A10544" s="3"/>
      <c r="B10544" s="3"/>
      <c r="C10544" s="3"/>
      <c r="D10544" s="3"/>
      <c r="E10544" s="3"/>
      <c r="F10544" s="3"/>
      <c r="G10544" s="3"/>
      <c r="H10544" s="11"/>
      <c r="I10544" s="12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  <c r="AA10544" s="3"/>
      <c r="AB10544" s="3"/>
      <c r="AC10544" s="3"/>
      <c r="AD10544" s="3"/>
      <c r="AE10544" s="3"/>
      <c r="AF10544" s="3"/>
      <c r="AG10544" s="3"/>
      <c r="AH10544" s="3"/>
    </row>
    <row r="10545" spans="1:34" ht="14.25" customHeight="1" x14ac:dyDescent="0.25">
      <c r="A10545" s="3"/>
      <c r="B10545" s="3"/>
      <c r="C10545" s="3"/>
      <c r="D10545" s="3"/>
      <c r="E10545" s="3"/>
      <c r="F10545" s="3"/>
      <c r="G10545" s="3"/>
      <c r="H10545" s="11"/>
      <c r="I10545" s="12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  <c r="AA10545" s="3"/>
      <c r="AB10545" s="3"/>
      <c r="AC10545" s="3"/>
      <c r="AD10545" s="3"/>
      <c r="AE10545" s="3"/>
      <c r="AF10545" s="3"/>
      <c r="AG10545" s="3"/>
      <c r="AH10545" s="3"/>
    </row>
    <row r="10546" spans="1:34" ht="14.25" customHeight="1" x14ac:dyDescent="0.25">
      <c r="A10546" s="3"/>
      <c r="B10546" s="3"/>
      <c r="C10546" s="3"/>
      <c r="D10546" s="3"/>
      <c r="E10546" s="3"/>
      <c r="F10546" s="3"/>
      <c r="G10546" s="3"/>
      <c r="H10546" s="11"/>
      <c r="I10546" s="12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  <c r="AA10546" s="3"/>
      <c r="AB10546" s="3"/>
      <c r="AC10546" s="3"/>
      <c r="AD10546" s="3"/>
      <c r="AE10546" s="3"/>
      <c r="AF10546" s="3"/>
      <c r="AG10546" s="3"/>
      <c r="AH10546" s="3"/>
    </row>
    <row r="10547" spans="1:34" ht="14.25" customHeight="1" x14ac:dyDescent="0.25">
      <c r="A10547" s="3"/>
      <c r="B10547" s="3"/>
      <c r="C10547" s="3"/>
      <c r="D10547" s="3"/>
      <c r="E10547" s="3"/>
      <c r="F10547" s="3"/>
      <c r="G10547" s="3"/>
      <c r="H10547" s="11"/>
      <c r="I10547" s="12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  <c r="AA10547" s="3"/>
      <c r="AB10547" s="3"/>
      <c r="AC10547" s="3"/>
      <c r="AD10547" s="3"/>
      <c r="AE10547" s="3"/>
      <c r="AF10547" s="3"/>
      <c r="AG10547" s="3"/>
      <c r="AH10547" s="3"/>
    </row>
    <row r="10548" spans="1:34" ht="14.25" customHeight="1" x14ac:dyDescent="0.25">
      <c r="A10548" s="3"/>
      <c r="B10548" s="3"/>
      <c r="C10548" s="3"/>
      <c r="D10548" s="3"/>
      <c r="E10548" s="3"/>
      <c r="F10548" s="3"/>
      <c r="G10548" s="3"/>
      <c r="H10548" s="11"/>
      <c r="I10548" s="12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  <c r="AA10548" s="3"/>
      <c r="AB10548" s="3"/>
      <c r="AC10548" s="3"/>
      <c r="AD10548" s="3"/>
      <c r="AE10548" s="3"/>
      <c r="AF10548" s="3"/>
      <c r="AG10548" s="3"/>
      <c r="AH10548" s="3"/>
    </row>
    <row r="10549" spans="1:34" ht="14.25" customHeight="1" x14ac:dyDescent="0.25">
      <c r="A10549" s="3"/>
      <c r="B10549" s="3"/>
      <c r="C10549" s="3"/>
      <c r="D10549" s="3"/>
      <c r="E10549" s="3"/>
      <c r="F10549" s="3"/>
      <c r="G10549" s="3"/>
      <c r="H10549" s="11"/>
      <c r="I10549" s="12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  <c r="AA10549" s="3"/>
      <c r="AB10549" s="3"/>
      <c r="AC10549" s="3"/>
      <c r="AD10549" s="3"/>
      <c r="AE10549" s="3"/>
      <c r="AF10549" s="3"/>
      <c r="AG10549" s="3"/>
      <c r="AH10549" s="3"/>
    </row>
    <row r="10550" spans="1:34" ht="14.25" customHeight="1" x14ac:dyDescent="0.25">
      <c r="A10550" s="3"/>
      <c r="B10550" s="3"/>
      <c r="C10550" s="3"/>
      <c r="D10550" s="3"/>
      <c r="E10550" s="3"/>
      <c r="F10550" s="3"/>
      <c r="G10550" s="3"/>
      <c r="H10550" s="11"/>
      <c r="I10550" s="12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  <c r="AA10550" s="3"/>
      <c r="AB10550" s="3"/>
      <c r="AC10550" s="3"/>
      <c r="AD10550" s="3"/>
      <c r="AE10550" s="3"/>
      <c r="AF10550" s="3"/>
      <c r="AG10550" s="3"/>
      <c r="AH10550" s="3"/>
    </row>
    <row r="10551" spans="1:34" ht="14.25" customHeight="1" x14ac:dyDescent="0.25">
      <c r="A10551" s="3"/>
      <c r="B10551" s="3"/>
      <c r="C10551" s="3"/>
      <c r="D10551" s="3"/>
      <c r="E10551" s="3"/>
      <c r="F10551" s="3"/>
      <c r="G10551" s="3"/>
      <c r="H10551" s="11"/>
      <c r="I10551" s="12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  <c r="AA10551" s="3"/>
      <c r="AB10551" s="3"/>
      <c r="AC10551" s="3"/>
      <c r="AD10551" s="3"/>
      <c r="AE10551" s="3"/>
      <c r="AF10551" s="3"/>
      <c r="AG10551" s="3"/>
      <c r="AH10551" s="3"/>
    </row>
    <row r="10552" spans="1:34" ht="14.25" customHeight="1" x14ac:dyDescent="0.25">
      <c r="A10552" s="3"/>
      <c r="B10552" s="3"/>
      <c r="C10552" s="3"/>
      <c r="D10552" s="3"/>
      <c r="E10552" s="3"/>
      <c r="F10552" s="3"/>
      <c r="G10552" s="3"/>
      <c r="H10552" s="11"/>
      <c r="I10552" s="12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  <c r="AA10552" s="3"/>
      <c r="AB10552" s="3"/>
      <c r="AC10552" s="3"/>
      <c r="AD10552" s="3"/>
      <c r="AE10552" s="3"/>
      <c r="AF10552" s="3"/>
      <c r="AG10552" s="3"/>
      <c r="AH10552" s="3"/>
    </row>
    <row r="10553" spans="1:34" ht="14.25" customHeight="1" x14ac:dyDescent="0.25">
      <c r="A10553" s="3"/>
      <c r="B10553" s="3"/>
      <c r="C10553" s="3"/>
      <c r="D10553" s="3"/>
      <c r="E10553" s="3"/>
      <c r="F10553" s="3"/>
      <c r="G10553" s="3"/>
      <c r="H10553" s="11"/>
      <c r="I10553" s="12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  <c r="AA10553" s="3"/>
      <c r="AB10553" s="3"/>
      <c r="AC10553" s="3"/>
      <c r="AD10553" s="3"/>
      <c r="AE10553" s="3"/>
      <c r="AF10553" s="3"/>
      <c r="AG10553" s="3"/>
      <c r="AH10553" s="3"/>
    </row>
    <row r="10554" spans="1:34" ht="14.25" customHeight="1" x14ac:dyDescent="0.25">
      <c r="A10554" s="3"/>
      <c r="B10554" s="3"/>
      <c r="C10554" s="3"/>
      <c r="D10554" s="3"/>
      <c r="E10554" s="3"/>
      <c r="F10554" s="3"/>
      <c r="G10554" s="3"/>
      <c r="H10554" s="11"/>
      <c r="I10554" s="12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  <c r="AA10554" s="3"/>
      <c r="AB10554" s="3"/>
      <c r="AC10554" s="3"/>
      <c r="AD10554" s="3"/>
      <c r="AE10554" s="3"/>
      <c r="AF10554" s="3"/>
      <c r="AG10554" s="3"/>
      <c r="AH10554" s="3"/>
    </row>
    <row r="10555" spans="1:34" ht="14.25" customHeight="1" x14ac:dyDescent="0.25">
      <c r="A10555" s="3"/>
      <c r="B10555" s="3"/>
      <c r="C10555" s="3"/>
      <c r="D10555" s="3"/>
      <c r="E10555" s="3"/>
      <c r="F10555" s="3"/>
      <c r="G10555" s="3"/>
      <c r="H10555" s="11"/>
      <c r="I10555" s="12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  <c r="AA10555" s="3"/>
      <c r="AB10555" s="3"/>
      <c r="AC10555" s="3"/>
      <c r="AD10555" s="3"/>
      <c r="AE10555" s="3"/>
      <c r="AF10555" s="3"/>
      <c r="AG10555" s="3"/>
      <c r="AH10555" s="3"/>
    </row>
    <row r="10556" spans="1:34" ht="14.25" customHeight="1" x14ac:dyDescent="0.25">
      <c r="A10556" s="3"/>
      <c r="B10556" s="3"/>
      <c r="C10556" s="3"/>
      <c r="D10556" s="3"/>
      <c r="E10556" s="3"/>
      <c r="F10556" s="3"/>
      <c r="G10556" s="3"/>
      <c r="H10556" s="11"/>
      <c r="I10556" s="12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  <c r="AA10556" s="3"/>
      <c r="AB10556" s="3"/>
      <c r="AC10556" s="3"/>
      <c r="AD10556" s="3"/>
      <c r="AE10556" s="3"/>
      <c r="AF10556" s="3"/>
      <c r="AG10556" s="3"/>
      <c r="AH10556" s="3"/>
    </row>
    <row r="10557" spans="1:34" ht="14.25" customHeight="1" x14ac:dyDescent="0.25">
      <c r="A10557" s="3"/>
      <c r="B10557" s="3"/>
      <c r="C10557" s="3"/>
      <c r="D10557" s="3"/>
      <c r="E10557" s="3"/>
      <c r="F10557" s="3"/>
      <c r="G10557" s="3"/>
      <c r="H10557" s="11"/>
      <c r="I10557" s="12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  <c r="AA10557" s="3"/>
      <c r="AB10557" s="3"/>
      <c r="AC10557" s="3"/>
      <c r="AD10557" s="3"/>
      <c r="AE10557" s="3"/>
      <c r="AF10557" s="3"/>
      <c r="AG10557" s="3"/>
      <c r="AH10557" s="3"/>
    </row>
    <row r="10558" spans="1:34" ht="14.25" customHeight="1" x14ac:dyDescent="0.25">
      <c r="A10558" s="3"/>
      <c r="B10558" s="3"/>
      <c r="C10558" s="3"/>
      <c r="D10558" s="3"/>
      <c r="E10558" s="3"/>
      <c r="F10558" s="3"/>
      <c r="G10558" s="3"/>
      <c r="H10558" s="11"/>
      <c r="I10558" s="12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  <c r="AA10558" s="3"/>
      <c r="AB10558" s="3"/>
      <c r="AC10558" s="3"/>
      <c r="AD10558" s="3"/>
      <c r="AE10558" s="3"/>
      <c r="AF10558" s="3"/>
      <c r="AG10558" s="3"/>
      <c r="AH10558" s="3"/>
    </row>
    <row r="10559" spans="1:34" ht="14.25" customHeight="1" x14ac:dyDescent="0.25">
      <c r="A10559" s="3"/>
      <c r="B10559" s="3"/>
      <c r="C10559" s="3"/>
      <c r="D10559" s="3"/>
      <c r="E10559" s="3"/>
      <c r="F10559" s="3"/>
      <c r="G10559" s="3"/>
      <c r="H10559" s="11"/>
      <c r="I10559" s="12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  <c r="AA10559" s="3"/>
      <c r="AB10559" s="3"/>
      <c r="AC10559" s="3"/>
      <c r="AD10559" s="3"/>
      <c r="AE10559" s="3"/>
      <c r="AF10559" s="3"/>
      <c r="AG10559" s="3"/>
      <c r="AH10559" s="3"/>
    </row>
    <row r="10560" spans="1:34" ht="14.25" customHeight="1" x14ac:dyDescent="0.25">
      <c r="A10560" s="3"/>
      <c r="B10560" s="3"/>
      <c r="C10560" s="3"/>
      <c r="D10560" s="3"/>
      <c r="E10560" s="3"/>
      <c r="F10560" s="3"/>
      <c r="G10560" s="3"/>
      <c r="H10560" s="11"/>
      <c r="I10560" s="12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  <c r="AA10560" s="3"/>
      <c r="AB10560" s="3"/>
      <c r="AC10560" s="3"/>
      <c r="AD10560" s="3"/>
      <c r="AE10560" s="3"/>
      <c r="AF10560" s="3"/>
      <c r="AG10560" s="3"/>
      <c r="AH10560" s="3"/>
    </row>
    <row r="10561" spans="1:34" ht="14.25" customHeight="1" x14ac:dyDescent="0.25">
      <c r="A10561" s="3"/>
      <c r="B10561" s="3"/>
      <c r="C10561" s="3"/>
      <c r="D10561" s="3"/>
      <c r="E10561" s="3"/>
      <c r="F10561" s="3"/>
      <c r="G10561" s="3"/>
      <c r="H10561" s="11"/>
      <c r="I10561" s="12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  <c r="AA10561" s="16"/>
      <c r="AB10561" s="3"/>
      <c r="AC10561" s="3"/>
      <c r="AD10561" s="3"/>
      <c r="AE10561" s="3"/>
      <c r="AF10561" s="3"/>
      <c r="AG10561" s="3"/>
      <c r="AH10561" s="3"/>
    </row>
    <row r="10562" spans="1:34" ht="14.25" customHeight="1" x14ac:dyDescent="0.25">
      <c r="A10562" s="3"/>
      <c r="B10562" s="3"/>
      <c r="C10562" s="3"/>
      <c r="D10562" s="3"/>
      <c r="E10562" s="3"/>
      <c r="F10562" s="3"/>
      <c r="G10562" s="3"/>
      <c r="H10562" s="11"/>
      <c r="I10562" s="12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  <c r="AA10562" s="16"/>
      <c r="AB10562" s="3"/>
      <c r="AC10562" s="3"/>
      <c r="AD10562" s="3"/>
      <c r="AE10562" s="3"/>
      <c r="AF10562" s="3"/>
      <c r="AG10562" s="3"/>
      <c r="AH10562" s="3"/>
    </row>
    <row r="10563" spans="1:34" ht="14.25" customHeight="1" x14ac:dyDescent="0.25">
      <c r="A10563" s="3"/>
      <c r="B10563" s="3"/>
      <c r="C10563" s="3"/>
      <c r="D10563" s="3"/>
      <c r="E10563" s="3"/>
      <c r="F10563" s="3"/>
      <c r="G10563" s="3"/>
      <c r="H10563" s="11"/>
      <c r="I10563" s="12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  <c r="AA10563" s="3"/>
      <c r="AB10563" s="3"/>
      <c r="AC10563" s="3"/>
      <c r="AD10563" s="3"/>
      <c r="AE10563" s="3"/>
      <c r="AF10563" s="3"/>
      <c r="AG10563" s="3"/>
      <c r="AH10563" s="3"/>
    </row>
    <row r="10564" spans="1:34" ht="14.25" customHeight="1" x14ac:dyDescent="0.25">
      <c r="A10564" s="3"/>
      <c r="B10564" s="3"/>
      <c r="C10564" s="3"/>
      <c r="D10564" s="3"/>
      <c r="E10564" s="3"/>
      <c r="F10564" s="3"/>
      <c r="G10564" s="3"/>
      <c r="H10564" s="11"/>
      <c r="I10564" s="12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  <c r="AA10564" s="3"/>
      <c r="AB10564" s="3"/>
      <c r="AC10564" s="3"/>
      <c r="AD10564" s="3"/>
      <c r="AE10564" s="3"/>
      <c r="AF10564" s="3"/>
      <c r="AG10564" s="3"/>
      <c r="AH10564" s="3"/>
    </row>
    <row r="10565" spans="1:34" ht="14.25" customHeight="1" x14ac:dyDescent="0.25">
      <c r="A10565" s="3"/>
      <c r="B10565" s="3"/>
      <c r="C10565" s="3"/>
      <c r="D10565" s="3"/>
      <c r="E10565" s="3"/>
      <c r="F10565" s="3"/>
      <c r="G10565" s="3"/>
      <c r="H10565" s="11"/>
      <c r="I10565" s="12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  <c r="AA10565" s="3"/>
      <c r="AB10565" s="3"/>
      <c r="AC10565" s="3"/>
      <c r="AD10565" s="3"/>
      <c r="AE10565" s="3"/>
      <c r="AF10565" s="3"/>
      <c r="AG10565" s="3"/>
      <c r="AH10565" s="3"/>
    </row>
    <row r="10566" spans="1:34" ht="14.25" customHeight="1" x14ac:dyDescent="0.25">
      <c r="A10566" s="3"/>
      <c r="B10566" s="3"/>
      <c r="C10566" s="3"/>
      <c r="D10566" s="3"/>
      <c r="E10566" s="3"/>
      <c r="F10566" s="3"/>
      <c r="G10566" s="3"/>
      <c r="H10566" s="11"/>
      <c r="I10566" s="12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  <c r="AA10566" s="3"/>
      <c r="AB10566" s="3"/>
      <c r="AC10566" s="3"/>
      <c r="AD10566" s="3"/>
      <c r="AE10566" s="3"/>
      <c r="AF10566" s="3"/>
      <c r="AG10566" s="3"/>
      <c r="AH10566" s="3"/>
    </row>
    <row r="10567" spans="1:34" ht="14.25" customHeight="1" x14ac:dyDescent="0.25">
      <c r="A10567" s="3"/>
      <c r="B10567" s="3"/>
      <c r="C10567" s="3"/>
      <c r="D10567" s="3"/>
      <c r="E10567" s="3"/>
      <c r="F10567" s="3"/>
      <c r="G10567" s="3"/>
      <c r="H10567" s="11"/>
      <c r="I10567" s="12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  <c r="AA10567" s="3"/>
      <c r="AB10567" s="3"/>
      <c r="AC10567" s="3"/>
      <c r="AD10567" s="3"/>
      <c r="AE10567" s="3"/>
      <c r="AF10567" s="3"/>
      <c r="AG10567" s="3"/>
      <c r="AH10567" s="3"/>
    </row>
    <row r="10568" spans="1:34" ht="14.25" customHeight="1" x14ac:dyDescent="0.25">
      <c r="A10568" s="3"/>
      <c r="B10568" s="3"/>
      <c r="C10568" s="3"/>
      <c r="D10568" s="3"/>
      <c r="E10568" s="3"/>
      <c r="F10568" s="3"/>
      <c r="G10568" s="3"/>
      <c r="H10568" s="11"/>
      <c r="I10568" s="12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  <c r="AA10568" s="3"/>
      <c r="AB10568" s="3"/>
      <c r="AC10568" s="3"/>
      <c r="AD10568" s="3"/>
      <c r="AE10568" s="3"/>
      <c r="AF10568" s="3"/>
      <c r="AG10568" s="3"/>
      <c r="AH10568" s="3"/>
    </row>
    <row r="10569" spans="1:34" ht="14.25" customHeight="1" x14ac:dyDescent="0.25">
      <c r="A10569" s="3"/>
      <c r="B10569" s="3"/>
      <c r="C10569" s="3"/>
      <c r="D10569" s="3"/>
      <c r="E10569" s="3"/>
      <c r="F10569" s="3"/>
      <c r="G10569" s="3"/>
      <c r="H10569" s="11"/>
      <c r="I10569" s="12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  <c r="AA10569" s="3"/>
      <c r="AB10569" s="3"/>
      <c r="AC10569" s="3"/>
      <c r="AD10569" s="3"/>
      <c r="AE10569" s="3"/>
      <c r="AF10569" s="3"/>
      <c r="AG10569" s="3"/>
      <c r="AH10569" s="3"/>
    </row>
    <row r="10570" spans="1:34" ht="14.25" customHeight="1" x14ac:dyDescent="0.25">
      <c r="A10570" s="3"/>
      <c r="B10570" s="3"/>
      <c r="C10570" s="3"/>
      <c r="D10570" s="3"/>
      <c r="E10570" s="3"/>
      <c r="F10570" s="3"/>
      <c r="G10570" s="3"/>
      <c r="H10570" s="11"/>
      <c r="I10570" s="12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  <c r="AA10570" s="3"/>
      <c r="AB10570" s="3"/>
      <c r="AC10570" s="3"/>
      <c r="AD10570" s="3"/>
      <c r="AE10570" s="3"/>
      <c r="AF10570" s="3"/>
      <c r="AG10570" s="3"/>
      <c r="AH10570" s="3"/>
    </row>
    <row r="10571" spans="1:34" ht="14.25" customHeight="1" x14ac:dyDescent="0.25">
      <c r="A10571" s="3"/>
      <c r="B10571" s="3"/>
      <c r="C10571" s="3"/>
      <c r="D10571" s="3"/>
      <c r="E10571" s="3"/>
      <c r="F10571" s="3"/>
      <c r="G10571" s="3"/>
      <c r="H10571" s="11"/>
      <c r="I10571" s="12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  <c r="AA10571" s="3"/>
      <c r="AB10571" s="3"/>
      <c r="AC10571" s="3"/>
      <c r="AD10571" s="3"/>
      <c r="AE10571" s="3"/>
      <c r="AF10571" s="3"/>
      <c r="AG10571" s="3"/>
      <c r="AH10571" s="3"/>
    </row>
    <row r="10572" spans="1:34" ht="14.25" customHeight="1" x14ac:dyDescent="0.25">
      <c r="A10572" s="3"/>
      <c r="B10572" s="3"/>
      <c r="C10572" s="3"/>
      <c r="D10572" s="3"/>
      <c r="E10572" s="3"/>
      <c r="F10572" s="3"/>
      <c r="G10572" s="3"/>
      <c r="H10572" s="11"/>
      <c r="I10572" s="12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  <c r="AA10572" s="3"/>
      <c r="AB10572" s="3"/>
      <c r="AC10572" s="3"/>
      <c r="AD10572" s="3"/>
      <c r="AE10572" s="3"/>
      <c r="AF10572" s="3"/>
      <c r="AG10572" s="3"/>
      <c r="AH10572" s="3"/>
    </row>
    <row r="10573" spans="1:34" ht="14.25" customHeight="1" x14ac:dyDescent="0.25">
      <c r="A10573" s="3"/>
      <c r="B10573" s="3"/>
      <c r="C10573" s="3"/>
      <c r="D10573" s="3"/>
      <c r="E10573" s="3"/>
      <c r="F10573" s="3"/>
      <c r="G10573" s="3"/>
      <c r="H10573" s="11"/>
      <c r="I10573" s="12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  <c r="AA10573" s="3"/>
      <c r="AB10573" s="3"/>
      <c r="AC10573" s="3"/>
      <c r="AD10573" s="3"/>
      <c r="AE10573" s="3"/>
      <c r="AF10573" s="3"/>
      <c r="AG10573" s="3"/>
      <c r="AH10573" s="3"/>
    </row>
    <row r="10574" spans="1:34" ht="14.25" customHeight="1" x14ac:dyDescent="0.25">
      <c r="A10574" s="3"/>
      <c r="B10574" s="3"/>
      <c r="C10574" s="3"/>
      <c r="D10574" s="3"/>
      <c r="E10574" s="3"/>
      <c r="F10574" s="3"/>
      <c r="G10574" s="3"/>
      <c r="H10574" s="11"/>
      <c r="I10574" s="12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  <c r="AA10574" s="3"/>
      <c r="AB10574" s="3"/>
      <c r="AC10574" s="3"/>
      <c r="AD10574" s="3"/>
      <c r="AE10574" s="3"/>
      <c r="AF10574" s="3"/>
      <c r="AG10574" s="3"/>
      <c r="AH10574" s="3"/>
    </row>
    <row r="10575" spans="1:34" ht="14.25" customHeight="1" x14ac:dyDescent="0.25">
      <c r="A10575" s="3"/>
      <c r="B10575" s="3"/>
      <c r="C10575" s="3"/>
      <c r="D10575" s="3"/>
      <c r="E10575" s="3"/>
      <c r="F10575" s="3"/>
      <c r="G10575" s="3"/>
      <c r="H10575" s="11"/>
      <c r="I10575" s="12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  <c r="AA10575" s="3"/>
      <c r="AB10575" s="3"/>
      <c r="AC10575" s="3"/>
      <c r="AD10575" s="3"/>
      <c r="AE10575" s="3"/>
      <c r="AF10575" s="3"/>
      <c r="AG10575" s="3"/>
      <c r="AH10575" s="3"/>
    </row>
    <row r="10576" spans="1:34" ht="14.25" customHeight="1" x14ac:dyDescent="0.25">
      <c r="A10576" s="3"/>
      <c r="B10576" s="3"/>
      <c r="C10576" s="3"/>
      <c r="D10576" s="3"/>
      <c r="E10576" s="3"/>
      <c r="F10576" s="3"/>
      <c r="G10576" s="3"/>
      <c r="H10576" s="11"/>
      <c r="I10576" s="12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  <c r="AA10576" s="3"/>
      <c r="AB10576" s="3"/>
      <c r="AC10576" s="3"/>
      <c r="AD10576" s="3"/>
      <c r="AE10576" s="3"/>
      <c r="AF10576" s="3"/>
      <c r="AG10576" s="3"/>
      <c r="AH10576" s="3"/>
    </row>
    <row r="10577" spans="1:34" ht="14.25" customHeight="1" x14ac:dyDescent="0.25">
      <c r="A10577" s="3"/>
      <c r="B10577" s="3"/>
      <c r="C10577" s="3"/>
      <c r="D10577" s="3"/>
      <c r="E10577" s="3"/>
      <c r="F10577" s="3"/>
      <c r="G10577" s="3"/>
      <c r="H10577" s="11"/>
      <c r="I10577" s="12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  <c r="AA10577" s="3"/>
      <c r="AB10577" s="3"/>
      <c r="AC10577" s="3"/>
      <c r="AD10577" s="3"/>
      <c r="AE10577" s="3"/>
      <c r="AF10577" s="3"/>
      <c r="AG10577" s="3"/>
      <c r="AH10577" s="3"/>
    </row>
    <row r="10578" spans="1:34" ht="14.25" customHeight="1" x14ac:dyDescent="0.25">
      <c r="A10578" s="3"/>
      <c r="B10578" s="3"/>
      <c r="C10578" s="3"/>
      <c r="D10578" s="3"/>
      <c r="E10578" s="3"/>
      <c r="F10578" s="3"/>
      <c r="G10578" s="3"/>
      <c r="H10578" s="11"/>
      <c r="I10578" s="12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  <c r="AA10578" s="3"/>
      <c r="AB10578" s="3"/>
      <c r="AC10578" s="3"/>
      <c r="AD10578" s="3"/>
      <c r="AE10578" s="3"/>
      <c r="AF10578" s="3"/>
      <c r="AG10578" s="3"/>
      <c r="AH10578" s="3"/>
    </row>
    <row r="10579" spans="1:34" ht="14.25" customHeight="1" x14ac:dyDescent="0.25">
      <c r="A10579" s="3"/>
      <c r="B10579" s="3"/>
      <c r="C10579" s="3"/>
      <c r="D10579" s="3"/>
      <c r="E10579" s="3"/>
      <c r="F10579" s="3"/>
      <c r="G10579" s="3"/>
      <c r="H10579" s="11"/>
      <c r="I10579" s="12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  <c r="AA10579" s="3"/>
      <c r="AB10579" s="3"/>
      <c r="AC10579" s="3"/>
      <c r="AD10579" s="3"/>
      <c r="AE10579" s="3"/>
      <c r="AF10579" s="3"/>
      <c r="AG10579" s="3"/>
      <c r="AH10579" s="3"/>
    </row>
    <row r="10580" spans="1:34" ht="14.25" customHeight="1" x14ac:dyDescent="0.25">
      <c r="A10580" s="3"/>
      <c r="B10580" s="3"/>
      <c r="C10580" s="3"/>
      <c r="D10580" s="3"/>
      <c r="E10580" s="3"/>
      <c r="F10580" s="3"/>
      <c r="G10580" s="3"/>
      <c r="H10580" s="11"/>
      <c r="I10580" s="12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  <c r="AA10580" s="3"/>
      <c r="AB10580" s="3"/>
      <c r="AC10580" s="3"/>
      <c r="AD10580" s="3"/>
      <c r="AE10580" s="3"/>
      <c r="AF10580" s="3"/>
      <c r="AG10580" s="3"/>
      <c r="AH10580" s="3"/>
    </row>
    <row r="10581" spans="1:34" ht="14.25" customHeight="1" x14ac:dyDescent="0.25">
      <c r="A10581" s="3"/>
      <c r="B10581" s="3"/>
      <c r="C10581" s="3"/>
      <c r="D10581" s="3"/>
      <c r="E10581" s="3"/>
      <c r="F10581" s="3"/>
      <c r="G10581" s="3"/>
      <c r="H10581" s="11"/>
      <c r="I10581" s="12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  <c r="AA10581" s="3"/>
      <c r="AB10581" s="3"/>
      <c r="AC10581" s="3"/>
      <c r="AD10581" s="3"/>
      <c r="AE10581" s="3"/>
      <c r="AF10581" s="3"/>
      <c r="AG10581" s="3"/>
      <c r="AH10581" s="3"/>
    </row>
    <row r="10582" spans="1:34" ht="14.25" customHeight="1" x14ac:dyDescent="0.25">
      <c r="A10582" s="3"/>
      <c r="B10582" s="3"/>
      <c r="C10582" s="3"/>
      <c r="D10582" s="3"/>
      <c r="E10582" s="3"/>
      <c r="F10582" s="3"/>
      <c r="G10582" s="3"/>
      <c r="H10582" s="11"/>
      <c r="I10582" s="12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  <c r="AA10582" s="3"/>
      <c r="AB10582" s="3"/>
      <c r="AC10582" s="3"/>
      <c r="AD10582" s="3"/>
      <c r="AE10582" s="3"/>
      <c r="AF10582" s="3"/>
      <c r="AG10582" s="3"/>
      <c r="AH10582" s="3"/>
    </row>
    <row r="10583" spans="1:34" ht="14.25" customHeight="1" x14ac:dyDescent="0.25">
      <c r="A10583" s="3"/>
      <c r="B10583" s="3"/>
      <c r="C10583" s="3"/>
      <c r="D10583" s="3"/>
      <c r="E10583" s="3"/>
      <c r="F10583" s="3"/>
      <c r="G10583" s="3"/>
      <c r="H10583" s="11"/>
      <c r="I10583" s="12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  <c r="AA10583" s="3"/>
      <c r="AB10583" s="3"/>
      <c r="AC10583" s="3"/>
      <c r="AD10583" s="3"/>
      <c r="AE10583" s="3"/>
      <c r="AF10583" s="3"/>
      <c r="AG10583" s="3"/>
      <c r="AH10583" s="3"/>
    </row>
    <row r="10584" spans="1:34" ht="14.25" customHeight="1" x14ac:dyDescent="0.25">
      <c r="A10584" s="3"/>
      <c r="B10584" s="3"/>
      <c r="C10584" s="3"/>
      <c r="D10584" s="3"/>
      <c r="E10584" s="3"/>
      <c r="F10584" s="3"/>
      <c r="G10584" s="3"/>
      <c r="H10584" s="11"/>
      <c r="I10584" s="12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  <c r="AA10584" s="3"/>
      <c r="AB10584" s="3"/>
      <c r="AC10584" s="3"/>
      <c r="AD10584" s="3"/>
      <c r="AE10584" s="3"/>
      <c r="AF10584" s="3"/>
      <c r="AG10584" s="3"/>
      <c r="AH10584" s="3"/>
    </row>
    <row r="10585" spans="1:34" ht="14.25" customHeight="1" x14ac:dyDescent="0.25">
      <c r="A10585" s="3"/>
      <c r="B10585" s="3"/>
      <c r="C10585" s="3"/>
      <c r="D10585" s="3"/>
      <c r="E10585" s="3"/>
      <c r="F10585" s="3"/>
      <c r="G10585" s="3"/>
      <c r="H10585" s="11"/>
      <c r="I10585" s="12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  <c r="AA10585" s="3"/>
      <c r="AB10585" s="3"/>
      <c r="AC10585" s="3"/>
      <c r="AD10585" s="3"/>
      <c r="AE10585" s="3"/>
      <c r="AF10585" s="3"/>
      <c r="AG10585" s="3"/>
      <c r="AH10585" s="3"/>
    </row>
    <row r="10586" spans="1:34" ht="14.25" customHeight="1" x14ac:dyDescent="0.25">
      <c r="A10586" s="3"/>
      <c r="B10586" s="3"/>
      <c r="C10586" s="3"/>
      <c r="D10586" s="3"/>
      <c r="E10586" s="3"/>
      <c r="F10586" s="3"/>
      <c r="G10586" s="3"/>
      <c r="H10586" s="11"/>
      <c r="I10586" s="12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  <c r="AA10586" s="3"/>
      <c r="AB10586" s="3"/>
      <c r="AC10586" s="3"/>
      <c r="AD10586" s="3"/>
      <c r="AE10586" s="3"/>
      <c r="AF10586" s="3"/>
      <c r="AG10586" s="3"/>
      <c r="AH10586" s="3"/>
    </row>
    <row r="10587" spans="1:34" ht="14.25" customHeight="1" x14ac:dyDescent="0.25">
      <c r="A10587" s="3"/>
      <c r="B10587" s="3"/>
      <c r="C10587" s="3"/>
      <c r="D10587" s="3"/>
      <c r="E10587" s="3"/>
      <c r="F10587" s="3"/>
      <c r="G10587" s="3"/>
      <c r="H10587" s="11"/>
      <c r="I10587" s="12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  <c r="AA10587" s="3"/>
      <c r="AB10587" s="3"/>
      <c r="AC10587" s="3"/>
      <c r="AD10587" s="3"/>
      <c r="AE10587" s="3"/>
      <c r="AF10587" s="3"/>
      <c r="AG10587" s="3"/>
      <c r="AH10587" s="3"/>
    </row>
    <row r="10588" spans="1:34" ht="14.25" customHeight="1" x14ac:dyDescent="0.25">
      <c r="A10588" s="3"/>
      <c r="B10588" s="3"/>
      <c r="C10588" s="3"/>
      <c r="D10588" s="3"/>
      <c r="E10588" s="3"/>
      <c r="F10588" s="3"/>
      <c r="G10588" s="3"/>
      <c r="H10588" s="11"/>
      <c r="I10588" s="12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  <c r="AA10588" s="3"/>
      <c r="AB10588" s="3"/>
      <c r="AC10588" s="3"/>
      <c r="AD10588" s="3"/>
      <c r="AE10588" s="3"/>
      <c r="AF10588" s="3"/>
      <c r="AG10588" s="3"/>
      <c r="AH10588" s="3"/>
    </row>
    <row r="10589" spans="1:34" ht="14.25" customHeight="1" x14ac:dyDescent="0.25">
      <c r="A10589" s="3"/>
      <c r="B10589" s="3"/>
      <c r="C10589" s="3"/>
      <c r="D10589" s="3"/>
      <c r="E10589" s="3"/>
      <c r="F10589" s="3"/>
      <c r="G10589" s="3"/>
      <c r="H10589" s="11"/>
      <c r="I10589" s="12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  <c r="AA10589" s="3"/>
      <c r="AB10589" s="3"/>
      <c r="AC10589" s="3"/>
      <c r="AD10589" s="3"/>
      <c r="AE10589" s="3"/>
      <c r="AF10589" s="3"/>
      <c r="AG10589" s="3"/>
      <c r="AH10589" s="3"/>
    </row>
    <row r="10590" spans="1:34" ht="14.25" customHeight="1" x14ac:dyDescent="0.25">
      <c r="A10590" s="3"/>
      <c r="B10590" s="3"/>
      <c r="C10590" s="3"/>
      <c r="D10590" s="3"/>
      <c r="E10590" s="3"/>
      <c r="F10590" s="3"/>
      <c r="G10590" s="3"/>
      <c r="H10590" s="11"/>
      <c r="I10590" s="12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  <c r="AA10590" s="3"/>
      <c r="AB10590" s="3"/>
      <c r="AC10590" s="3"/>
      <c r="AD10590" s="3"/>
      <c r="AE10590" s="3"/>
      <c r="AF10590" s="3"/>
      <c r="AG10590" s="3"/>
      <c r="AH10590" s="3"/>
    </row>
    <row r="10591" spans="1:34" ht="14.25" customHeight="1" x14ac:dyDescent="0.25">
      <c r="A10591" s="3"/>
      <c r="B10591" s="3"/>
      <c r="C10591" s="3"/>
      <c r="D10591" s="3"/>
      <c r="E10591" s="3"/>
      <c r="F10591" s="3"/>
      <c r="G10591" s="3"/>
      <c r="H10591" s="11"/>
      <c r="I10591" s="12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  <c r="AA10591" s="3"/>
      <c r="AB10591" s="3"/>
      <c r="AC10591" s="3"/>
      <c r="AD10591" s="3"/>
      <c r="AE10591" s="3"/>
      <c r="AF10591" s="3"/>
      <c r="AG10591" s="3"/>
      <c r="AH10591" s="3"/>
    </row>
    <row r="10592" spans="1:34" ht="14.25" customHeight="1" x14ac:dyDescent="0.25">
      <c r="A10592" s="3"/>
      <c r="B10592" s="3"/>
      <c r="C10592" s="3"/>
      <c r="D10592" s="3"/>
      <c r="E10592" s="3"/>
      <c r="F10592" s="3"/>
      <c r="G10592" s="3"/>
      <c r="H10592" s="11"/>
      <c r="I10592" s="12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  <c r="AA10592" s="3"/>
      <c r="AB10592" s="3"/>
      <c r="AC10592" s="3"/>
      <c r="AD10592" s="3"/>
      <c r="AE10592" s="3"/>
      <c r="AF10592" s="3"/>
      <c r="AG10592" s="3"/>
      <c r="AH10592" s="3"/>
    </row>
    <row r="10593" spans="1:34" ht="14.25" customHeight="1" x14ac:dyDescent="0.25">
      <c r="A10593" s="3"/>
      <c r="B10593" s="3"/>
      <c r="C10593" s="3"/>
      <c r="D10593" s="3"/>
      <c r="E10593" s="3"/>
      <c r="F10593" s="3"/>
      <c r="G10593" s="3"/>
      <c r="H10593" s="11"/>
      <c r="I10593" s="12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  <c r="AA10593" s="3"/>
      <c r="AB10593" s="3"/>
      <c r="AC10593" s="3"/>
      <c r="AD10593" s="3"/>
      <c r="AE10593" s="3"/>
      <c r="AF10593" s="3"/>
      <c r="AG10593" s="3"/>
      <c r="AH10593" s="3"/>
    </row>
    <row r="10594" spans="1:34" ht="14.25" customHeight="1" x14ac:dyDescent="0.25">
      <c r="A10594" s="3"/>
      <c r="B10594" s="3"/>
      <c r="C10594" s="3"/>
      <c r="D10594" s="3"/>
      <c r="E10594" s="3"/>
      <c r="F10594" s="3"/>
      <c r="G10594" s="3"/>
      <c r="H10594" s="11"/>
      <c r="I10594" s="12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  <c r="AA10594" s="3"/>
      <c r="AB10594" s="3"/>
      <c r="AC10594" s="3"/>
      <c r="AD10594" s="3"/>
      <c r="AE10594" s="3"/>
      <c r="AF10594" s="3"/>
      <c r="AG10594" s="3"/>
      <c r="AH10594" s="3"/>
    </row>
    <row r="10595" spans="1:34" ht="14.25" customHeight="1" x14ac:dyDescent="0.25">
      <c r="A10595" s="3"/>
      <c r="B10595" s="3"/>
      <c r="C10595" s="3"/>
      <c r="D10595" s="3"/>
      <c r="E10595" s="3"/>
      <c r="F10595" s="3"/>
      <c r="G10595" s="3"/>
      <c r="H10595" s="11"/>
      <c r="I10595" s="12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  <c r="AA10595" s="3"/>
      <c r="AB10595" s="3"/>
      <c r="AC10595" s="3"/>
      <c r="AD10595" s="3"/>
      <c r="AE10595" s="3"/>
      <c r="AF10595" s="3"/>
      <c r="AG10595" s="3"/>
      <c r="AH10595" s="3"/>
    </row>
    <row r="10596" spans="1:34" ht="14.25" customHeight="1" x14ac:dyDescent="0.25">
      <c r="A10596" s="3"/>
      <c r="B10596" s="3"/>
      <c r="C10596" s="3"/>
      <c r="D10596" s="3"/>
      <c r="E10596" s="3"/>
      <c r="F10596" s="3"/>
      <c r="G10596" s="3"/>
      <c r="H10596" s="11"/>
      <c r="I10596" s="12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  <c r="AA10596" s="3"/>
      <c r="AB10596" s="3"/>
      <c r="AC10596" s="3"/>
      <c r="AD10596" s="3"/>
      <c r="AE10596" s="3"/>
      <c r="AF10596" s="3"/>
      <c r="AG10596" s="3"/>
      <c r="AH10596" s="3"/>
    </row>
    <row r="10597" spans="1:34" ht="14.25" customHeight="1" x14ac:dyDescent="0.25">
      <c r="A10597" s="3"/>
      <c r="B10597" s="3"/>
      <c r="C10597" s="3"/>
      <c r="D10597" s="3"/>
      <c r="E10597" s="3"/>
      <c r="F10597" s="3"/>
      <c r="G10597" s="3"/>
      <c r="H10597" s="11"/>
      <c r="I10597" s="12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  <c r="AA10597" s="3"/>
      <c r="AB10597" s="3"/>
      <c r="AC10597" s="3"/>
      <c r="AD10597" s="3"/>
      <c r="AE10597" s="3"/>
      <c r="AF10597" s="3"/>
      <c r="AG10597" s="3"/>
      <c r="AH10597" s="3"/>
    </row>
    <row r="10598" spans="1:34" ht="14.25" customHeight="1" x14ac:dyDescent="0.25">
      <c r="A10598" s="3"/>
      <c r="B10598" s="3"/>
      <c r="C10598" s="3"/>
      <c r="D10598" s="3"/>
      <c r="E10598" s="3"/>
      <c r="F10598" s="3"/>
      <c r="G10598" s="3"/>
      <c r="H10598" s="11"/>
      <c r="I10598" s="12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  <c r="AA10598" s="3"/>
      <c r="AB10598" s="3"/>
      <c r="AC10598" s="3"/>
      <c r="AD10598" s="3"/>
      <c r="AE10598" s="3"/>
      <c r="AF10598" s="3"/>
      <c r="AG10598" s="3"/>
      <c r="AH10598" s="3"/>
    </row>
    <row r="10599" spans="1:34" ht="14.25" customHeight="1" x14ac:dyDescent="0.25">
      <c r="A10599" s="3"/>
      <c r="B10599" s="3"/>
      <c r="C10599" s="3"/>
      <c r="D10599" s="3"/>
      <c r="E10599" s="3"/>
      <c r="F10599" s="3"/>
      <c r="G10599" s="3"/>
      <c r="H10599" s="11"/>
      <c r="I10599" s="12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  <c r="AA10599" s="3"/>
      <c r="AB10599" s="3"/>
      <c r="AC10599" s="3"/>
      <c r="AD10599" s="3"/>
      <c r="AE10599" s="3"/>
      <c r="AF10599" s="3"/>
      <c r="AG10599" s="3"/>
      <c r="AH10599" s="3"/>
    </row>
    <row r="10600" spans="1:34" ht="14.25" customHeight="1" x14ac:dyDescent="0.25">
      <c r="A10600" s="3"/>
      <c r="B10600" s="3"/>
      <c r="C10600" s="3"/>
      <c r="D10600" s="3"/>
      <c r="E10600" s="3"/>
      <c r="F10600" s="3"/>
      <c r="G10600" s="3"/>
      <c r="H10600" s="11"/>
      <c r="I10600" s="12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  <c r="AA10600" s="3"/>
      <c r="AB10600" s="3"/>
      <c r="AC10600" s="3"/>
      <c r="AD10600" s="3"/>
      <c r="AE10600" s="3"/>
      <c r="AF10600" s="3"/>
      <c r="AG10600" s="3"/>
      <c r="AH10600" s="3"/>
    </row>
    <row r="10601" spans="1:34" ht="14.25" customHeight="1" x14ac:dyDescent="0.25">
      <c r="A10601" s="3"/>
      <c r="B10601" s="3"/>
      <c r="C10601" s="3"/>
      <c r="D10601" s="3"/>
      <c r="E10601" s="3"/>
      <c r="F10601" s="3"/>
      <c r="G10601" s="3"/>
      <c r="H10601" s="11"/>
      <c r="I10601" s="12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  <c r="AA10601" s="3"/>
      <c r="AB10601" s="3"/>
      <c r="AC10601" s="3"/>
      <c r="AD10601" s="3"/>
      <c r="AE10601" s="3"/>
      <c r="AF10601" s="3"/>
      <c r="AG10601" s="3"/>
      <c r="AH10601" s="3"/>
    </row>
    <row r="10602" spans="1:34" ht="14.25" customHeight="1" x14ac:dyDescent="0.25">
      <c r="A10602" s="3"/>
      <c r="B10602" s="3"/>
      <c r="C10602" s="3"/>
      <c r="D10602" s="3"/>
      <c r="E10602" s="3"/>
      <c r="F10602" s="3"/>
      <c r="G10602" s="3"/>
      <c r="H10602" s="11"/>
      <c r="I10602" s="12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  <c r="AA10602" s="3"/>
      <c r="AB10602" s="3"/>
      <c r="AC10602" s="3"/>
      <c r="AD10602" s="3"/>
      <c r="AE10602" s="3"/>
      <c r="AF10602" s="3"/>
      <c r="AG10602" s="3"/>
      <c r="AH10602" s="3"/>
    </row>
    <row r="10603" spans="1:34" ht="14.25" customHeight="1" x14ac:dyDescent="0.25">
      <c r="A10603" s="3"/>
      <c r="B10603" s="3"/>
      <c r="C10603" s="3"/>
      <c r="D10603" s="3"/>
      <c r="E10603" s="3"/>
      <c r="F10603" s="3"/>
      <c r="G10603" s="3"/>
      <c r="H10603" s="11"/>
      <c r="I10603" s="12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  <c r="AA10603" s="3"/>
      <c r="AB10603" s="3"/>
      <c r="AC10603" s="3"/>
      <c r="AD10603" s="3"/>
      <c r="AE10603" s="3"/>
      <c r="AF10603" s="3"/>
      <c r="AG10603" s="3"/>
      <c r="AH10603" s="3"/>
    </row>
    <row r="10604" spans="1:34" ht="14.25" customHeight="1" x14ac:dyDescent="0.25">
      <c r="A10604" s="3"/>
      <c r="B10604" s="3"/>
      <c r="C10604" s="3"/>
      <c r="D10604" s="3"/>
      <c r="E10604" s="3"/>
      <c r="F10604" s="3"/>
      <c r="G10604" s="3"/>
      <c r="H10604" s="11"/>
      <c r="I10604" s="12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  <c r="AA10604" s="3"/>
      <c r="AB10604" s="3"/>
      <c r="AC10604" s="3"/>
      <c r="AD10604" s="3"/>
      <c r="AE10604" s="3"/>
      <c r="AF10604" s="3"/>
      <c r="AG10604" s="3"/>
      <c r="AH10604" s="3"/>
    </row>
    <row r="10605" spans="1:34" ht="14.25" customHeight="1" x14ac:dyDescent="0.25">
      <c r="A10605" s="3"/>
      <c r="B10605" s="3"/>
      <c r="C10605" s="3"/>
      <c r="D10605" s="3"/>
      <c r="E10605" s="3"/>
      <c r="F10605" s="3"/>
      <c r="G10605" s="3"/>
      <c r="H10605" s="11"/>
      <c r="I10605" s="12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  <c r="AA10605" s="3"/>
      <c r="AB10605" s="3"/>
      <c r="AC10605" s="3"/>
      <c r="AD10605" s="3"/>
      <c r="AE10605" s="3"/>
      <c r="AF10605" s="3"/>
      <c r="AG10605" s="3"/>
      <c r="AH10605" s="3"/>
    </row>
    <row r="10606" spans="1:34" ht="14.25" customHeight="1" x14ac:dyDescent="0.25">
      <c r="A10606" s="3"/>
      <c r="B10606" s="3"/>
      <c r="C10606" s="3"/>
      <c r="D10606" s="3"/>
      <c r="E10606" s="3"/>
      <c r="F10606" s="3"/>
      <c r="G10606" s="3"/>
      <c r="H10606" s="11"/>
      <c r="I10606" s="12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  <c r="AA10606" s="3"/>
      <c r="AB10606" s="3"/>
      <c r="AC10606" s="3"/>
      <c r="AD10606" s="3"/>
      <c r="AE10606" s="3"/>
      <c r="AF10606" s="3"/>
      <c r="AG10606" s="3"/>
      <c r="AH10606" s="3"/>
    </row>
    <row r="10607" spans="1:34" ht="14.25" customHeight="1" x14ac:dyDescent="0.25">
      <c r="A10607" s="3"/>
      <c r="B10607" s="3"/>
      <c r="C10607" s="3"/>
      <c r="D10607" s="3"/>
      <c r="E10607" s="3"/>
      <c r="F10607" s="3"/>
      <c r="G10607" s="3"/>
      <c r="H10607" s="11"/>
      <c r="I10607" s="12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  <c r="AA10607" s="3"/>
      <c r="AB10607" s="3"/>
      <c r="AC10607" s="3"/>
      <c r="AD10607" s="3"/>
      <c r="AE10607" s="3"/>
      <c r="AF10607" s="3"/>
      <c r="AG10607" s="3"/>
      <c r="AH10607" s="3"/>
    </row>
    <row r="10608" spans="1:34" ht="14.25" customHeight="1" x14ac:dyDescent="0.25">
      <c r="A10608" s="3"/>
      <c r="B10608" s="3"/>
      <c r="C10608" s="3"/>
      <c r="D10608" s="3"/>
      <c r="E10608" s="3"/>
      <c r="F10608" s="3"/>
      <c r="G10608" s="3"/>
      <c r="H10608" s="11"/>
      <c r="I10608" s="12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  <c r="AA10608" s="3"/>
      <c r="AB10608" s="3"/>
      <c r="AC10608" s="3"/>
      <c r="AD10608" s="3"/>
      <c r="AE10608" s="3"/>
      <c r="AF10608" s="3"/>
      <c r="AG10608" s="3"/>
      <c r="AH10608" s="3"/>
    </row>
    <row r="10609" spans="1:34" ht="14.25" customHeight="1" x14ac:dyDescent="0.25">
      <c r="A10609" s="3"/>
      <c r="B10609" s="3"/>
      <c r="C10609" s="3"/>
      <c r="D10609" s="3"/>
      <c r="E10609" s="3"/>
      <c r="F10609" s="3"/>
      <c r="G10609" s="3"/>
      <c r="H10609" s="11"/>
      <c r="I10609" s="12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  <c r="AA10609" s="3"/>
      <c r="AB10609" s="3"/>
      <c r="AC10609" s="3"/>
      <c r="AD10609" s="3"/>
      <c r="AE10609" s="3"/>
      <c r="AF10609" s="3"/>
      <c r="AG10609" s="3"/>
      <c r="AH10609" s="3"/>
    </row>
    <row r="10610" spans="1:34" ht="14.25" customHeight="1" x14ac:dyDescent="0.25">
      <c r="A10610" s="3"/>
      <c r="B10610" s="3"/>
      <c r="C10610" s="3"/>
      <c r="D10610" s="3"/>
      <c r="E10610" s="3"/>
      <c r="F10610" s="3"/>
      <c r="G10610" s="3"/>
      <c r="H10610" s="11"/>
      <c r="I10610" s="12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  <c r="AA10610" s="3"/>
      <c r="AB10610" s="3"/>
      <c r="AC10610" s="3"/>
      <c r="AD10610" s="3"/>
      <c r="AE10610" s="3"/>
      <c r="AF10610" s="3"/>
      <c r="AG10610" s="3"/>
      <c r="AH10610" s="3"/>
    </row>
    <row r="10611" spans="1:34" ht="14.25" customHeight="1" x14ac:dyDescent="0.25">
      <c r="A10611" s="3"/>
      <c r="B10611" s="3"/>
      <c r="C10611" s="3"/>
      <c r="D10611" s="3"/>
      <c r="E10611" s="3"/>
      <c r="F10611" s="3"/>
      <c r="G10611" s="3"/>
      <c r="H10611" s="11"/>
      <c r="I10611" s="12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  <c r="AA10611" s="3"/>
      <c r="AB10611" s="3"/>
      <c r="AC10611" s="3"/>
      <c r="AD10611" s="3"/>
      <c r="AE10611" s="3"/>
      <c r="AF10611" s="3"/>
      <c r="AG10611" s="3"/>
      <c r="AH10611" s="3"/>
    </row>
    <row r="10612" spans="1:34" ht="14.25" customHeight="1" x14ac:dyDescent="0.25">
      <c r="A10612" s="3"/>
      <c r="B10612" s="3"/>
      <c r="C10612" s="3"/>
      <c r="D10612" s="3"/>
      <c r="E10612" s="3"/>
      <c r="F10612" s="3"/>
      <c r="G10612" s="3"/>
      <c r="H10612" s="11"/>
      <c r="I10612" s="12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  <c r="AA10612" s="3"/>
      <c r="AB10612" s="3"/>
      <c r="AC10612" s="3"/>
      <c r="AD10612" s="3"/>
      <c r="AE10612" s="3"/>
      <c r="AF10612" s="3"/>
      <c r="AG10612" s="3"/>
      <c r="AH10612" s="3"/>
    </row>
    <row r="10613" spans="1:34" ht="14.25" customHeight="1" x14ac:dyDescent="0.25">
      <c r="A10613" s="3"/>
      <c r="B10613" s="3"/>
      <c r="C10613" s="3"/>
      <c r="D10613" s="3"/>
      <c r="E10613" s="3"/>
      <c r="F10613" s="3"/>
      <c r="G10613" s="3"/>
      <c r="H10613" s="11"/>
      <c r="I10613" s="12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  <c r="AA10613" s="3"/>
      <c r="AB10613" s="3"/>
      <c r="AC10613" s="3"/>
      <c r="AD10613" s="3"/>
      <c r="AE10613" s="3"/>
      <c r="AF10613" s="3"/>
      <c r="AG10613" s="3"/>
      <c r="AH10613" s="3"/>
    </row>
    <row r="10614" spans="1:34" ht="14.25" customHeight="1" x14ac:dyDescent="0.25">
      <c r="A10614" s="3"/>
      <c r="B10614" s="3"/>
      <c r="C10614" s="3"/>
      <c r="D10614" s="3"/>
      <c r="E10614" s="3"/>
      <c r="F10614" s="3"/>
      <c r="G10614" s="3"/>
      <c r="H10614" s="11"/>
      <c r="I10614" s="12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  <c r="AA10614" s="3"/>
      <c r="AB10614" s="3"/>
      <c r="AC10614" s="3"/>
      <c r="AD10614" s="3"/>
      <c r="AE10614" s="3"/>
      <c r="AF10614" s="3"/>
      <c r="AG10614" s="3"/>
      <c r="AH10614" s="3"/>
    </row>
    <row r="10615" spans="1:34" ht="14.25" customHeight="1" x14ac:dyDescent="0.25">
      <c r="A10615" s="3"/>
      <c r="B10615" s="3"/>
      <c r="C10615" s="3"/>
      <c r="D10615" s="3"/>
      <c r="E10615" s="3"/>
      <c r="F10615" s="3"/>
      <c r="G10615" s="3"/>
      <c r="H10615" s="11"/>
      <c r="I10615" s="12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  <c r="AA10615" s="3"/>
      <c r="AB10615" s="3"/>
      <c r="AC10615" s="3"/>
      <c r="AD10615" s="3"/>
      <c r="AE10615" s="3"/>
      <c r="AF10615" s="3"/>
      <c r="AG10615" s="3"/>
      <c r="AH10615" s="3"/>
    </row>
    <row r="10616" spans="1:34" ht="14.25" customHeight="1" x14ac:dyDescent="0.25">
      <c r="A10616" s="3"/>
      <c r="B10616" s="3"/>
      <c r="C10616" s="3"/>
      <c r="D10616" s="3"/>
      <c r="E10616" s="3"/>
      <c r="F10616" s="3"/>
      <c r="G10616" s="3"/>
      <c r="H10616" s="11"/>
      <c r="I10616" s="12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  <c r="AA10616" s="3"/>
      <c r="AB10616" s="3"/>
      <c r="AC10616" s="3"/>
      <c r="AD10616" s="3"/>
      <c r="AE10616" s="3"/>
      <c r="AF10616" s="3"/>
      <c r="AG10616" s="3"/>
      <c r="AH10616" s="3"/>
    </row>
    <row r="10617" spans="1:34" ht="14.25" customHeight="1" x14ac:dyDescent="0.25">
      <c r="A10617" s="3"/>
      <c r="B10617" s="3"/>
      <c r="C10617" s="3"/>
      <c r="D10617" s="3"/>
      <c r="E10617" s="3"/>
      <c r="F10617" s="3"/>
      <c r="G10617" s="3"/>
      <c r="H10617" s="11"/>
      <c r="I10617" s="12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  <c r="AA10617" s="3"/>
      <c r="AB10617" s="3"/>
      <c r="AC10617" s="3"/>
      <c r="AD10617" s="3"/>
      <c r="AE10617" s="3"/>
      <c r="AF10617" s="3"/>
      <c r="AG10617" s="3"/>
      <c r="AH10617" s="3"/>
    </row>
    <row r="10618" spans="1:34" ht="14.25" customHeight="1" x14ac:dyDescent="0.25">
      <c r="A10618" s="3"/>
      <c r="B10618" s="3"/>
      <c r="C10618" s="3"/>
      <c r="D10618" s="3"/>
      <c r="E10618" s="3"/>
      <c r="F10618" s="3"/>
      <c r="G10618" s="3"/>
      <c r="H10618" s="11"/>
      <c r="I10618" s="12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  <c r="AA10618" s="3"/>
      <c r="AB10618" s="3"/>
      <c r="AC10618" s="3"/>
      <c r="AD10618" s="3"/>
      <c r="AE10618" s="3"/>
      <c r="AF10618" s="3"/>
      <c r="AG10618" s="3"/>
      <c r="AH10618" s="3"/>
    </row>
    <row r="10619" spans="1:34" ht="14.25" customHeight="1" x14ac:dyDescent="0.25">
      <c r="A10619" s="3"/>
      <c r="B10619" s="3"/>
      <c r="C10619" s="3"/>
      <c r="D10619" s="3"/>
      <c r="E10619" s="3"/>
      <c r="F10619" s="3"/>
      <c r="G10619" s="3"/>
      <c r="H10619" s="11"/>
      <c r="I10619" s="12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  <c r="AA10619" s="3"/>
      <c r="AB10619" s="3"/>
      <c r="AC10619" s="3"/>
      <c r="AD10619" s="3"/>
      <c r="AE10619" s="3"/>
      <c r="AF10619" s="3"/>
      <c r="AG10619" s="3"/>
      <c r="AH10619" s="3"/>
    </row>
    <row r="10620" spans="1:34" ht="14.25" customHeight="1" x14ac:dyDescent="0.25">
      <c r="A10620" s="3"/>
      <c r="B10620" s="3"/>
      <c r="C10620" s="3"/>
      <c r="D10620" s="3"/>
      <c r="E10620" s="3"/>
      <c r="F10620" s="3"/>
      <c r="G10620" s="3"/>
      <c r="H10620" s="11"/>
      <c r="I10620" s="12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  <c r="AA10620" s="3"/>
      <c r="AB10620" s="3"/>
      <c r="AC10620" s="3"/>
      <c r="AD10620" s="3"/>
      <c r="AE10620" s="3"/>
      <c r="AF10620" s="3"/>
      <c r="AG10620" s="3"/>
      <c r="AH10620" s="3"/>
    </row>
    <row r="10621" spans="1:34" ht="14.25" customHeight="1" x14ac:dyDescent="0.25">
      <c r="A10621" s="3"/>
      <c r="B10621" s="3"/>
      <c r="C10621" s="3"/>
      <c r="D10621" s="3"/>
      <c r="E10621" s="3"/>
      <c r="F10621" s="3"/>
      <c r="G10621" s="3"/>
      <c r="H10621" s="11"/>
      <c r="I10621" s="12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  <c r="AA10621" s="3"/>
      <c r="AB10621" s="3"/>
      <c r="AC10621" s="3"/>
      <c r="AD10621" s="3"/>
      <c r="AE10621" s="3"/>
      <c r="AF10621" s="3"/>
      <c r="AG10621" s="3"/>
      <c r="AH10621" s="3"/>
    </row>
    <row r="10622" spans="1:34" ht="14.25" customHeight="1" x14ac:dyDescent="0.25">
      <c r="A10622" s="3"/>
      <c r="B10622" s="3"/>
      <c r="C10622" s="3"/>
      <c r="D10622" s="3"/>
      <c r="E10622" s="3"/>
      <c r="F10622" s="3"/>
      <c r="G10622" s="3"/>
      <c r="H10622" s="11"/>
      <c r="I10622" s="12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  <c r="AA10622" s="3"/>
      <c r="AB10622" s="3"/>
      <c r="AC10622" s="3"/>
      <c r="AD10622" s="3"/>
      <c r="AE10622" s="3"/>
      <c r="AF10622" s="3"/>
      <c r="AG10622" s="3"/>
      <c r="AH10622" s="3"/>
    </row>
    <row r="10623" spans="1:34" ht="14.25" customHeight="1" x14ac:dyDescent="0.25">
      <c r="A10623" s="3"/>
      <c r="B10623" s="3"/>
      <c r="C10623" s="3"/>
      <c r="D10623" s="3"/>
      <c r="E10623" s="3"/>
      <c r="F10623" s="3"/>
      <c r="G10623" s="3"/>
      <c r="H10623" s="11"/>
      <c r="I10623" s="12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  <c r="AA10623" s="3"/>
      <c r="AB10623" s="3"/>
      <c r="AC10623" s="3"/>
      <c r="AD10623" s="3"/>
      <c r="AE10623" s="3"/>
      <c r="AF10623" s="3"/>
      <c r="AG10623" s="3"/>
      <c r="AH10623" s="3"/>
    </row>
    <row r="10624" spans="1:34" ht="14.25" customHeight="1" x14ac:dyDescent="0.25">
      <c r="A10624" s="3"/>
      <c r="B10624" s="3"/>
      <c r="C10624" s="3"/>
      <c r="D10624" s="3"/>
      <c r="E10624" s="3"/>
      <c r="F10624" s="3"/>
      <c r="G10624" s="3"/>
      <c r="H10624" s="11"/>
      <c r="I10624" s="12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  <c r="AA10624" s="3"/>
      <c r="AB10624" s="3"/>
      <c r="AC10624" s="3"/>
      <c r="AD10624" s="3"/>
      <c r="AE10624" s="3"/>
      <c r="AF10624" s="3"/>
      <c r="AG10624" s="3"/>
      <c r="AH10624" s="3"/>
    </row>
    <row r="10625" spans="1:34" ht="14.25" customHeight="1" x14ac:dyDescent="0.25">
      <c r="A10625" s="3"/>
      <c r="B10625" s="3"/>
      <c r="C10625" s="3"/>
      <c r="D10625" s="3"/>
      <c r="E10625" s="3"/>
      <c r="F10625" s="3"/>
      <c r="G10625" s="3"/>
      <c r="H10625" s="11"/>
      <c r="I10625" s="12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  <c r="AA10625" s="3"/>
      <c r="AB10625" s="3"/>
      <c r="AC10625" s="3"/>
      <c r="AD10625" s="3"/>
      <c r="AE10625" s="3"/>
      <c r="AF10625" s="3"/>
      <c r="AG10625" s="3"/>
      <c r="AH10625" s="3"/>
    </row>
    <row r="10626" spans="1:34" ht="14.25" customHeight="1" x14ac:dyDescent="0.25">
      <c r="A10626" s="3"/>
      <c r="B10626" s="3"/>
      <c r="C10626" s="3"/>
      <c r="D10626" s="3"/>
      <c r="E10626" s="3"/>
      <c r="F10626" s="3"/>
      <c r="G10626" s="3"/>
      <c r="H10626" s="11"/>
      <c r="I10626" s="12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  <c r="AA10626" s="3"/>
      <c r="AB10626" s="3"/>
      <c r="AC10626" s="3"/>
      <c r="AD10626" s="3"/>
      <c r="AE10626" s="3"/>
      <c r="AF10626" s="3"/>
      <c r="AG10626" s="3"/>
      <c r="AH10626" s="3"/>
    </row>
    <row r="10627" spans="1:34" ht="14.25" customHeight="1" x14ac:dyDescent="0.25">
      <c r="A10627" s="3"/>
      <c r="B10627" s="3"/>
      <c r="C10627" s="3"/>
      <c r="D10627" s="3"/>
      <c r="E10627" s="3"/>
      <c r="F10627" s="3"/>
      <c r="G10627" s="3"/>
      <c r="H10627" s="11"/>
      <c r="I10627" s="12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  <c r="AA10627" s="3"/>
      <c r="AB10627" s="3"/>
      <c r="AC10627" s="3"/>
      <c r="AD10627" s="3"/>
      <c r="AE10627" s="3"/>
      <c r="AF10627" s="3"/>
      <c r="AG10627" s="3"/>
      <c r="AH10627" s="3"/>
    </row>
    <row r="10628" spans="1:34" ht="14.25" customHeight="1" x14ac:dyDescent="0.25">
      <c r="A10628" s="3"/>
      <c r="B10628" s="3"/>
      <c r="C10628" s="3"/>
      <c r="D10628" s="3"/>
      <c r="E10628" s="3"/>
      <c r="F10628" s="3"/>
      <c r="G10628" s="3"/>
      <c r="H10628" s="11"/>
      <c r="I10628" s="12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  <c r="AA10628" s="3"/>
      <c r="AB10628" s="3"/>
      <c r="AC10628" s="3"/>
      <c r="AD10628" s="3"/>
      <c r="AE10628" s="3"/>
      <c r="AF10628" s="3"/>
      <c r="AG10628" s="3"/>
      <c r="AH10628" s="3"/>
    </row>
    <row r="10629" spans="1:34" ht="14.25" customHeight="1" x14ac:dyDescent="0.25">
      <c r="A10629" s="3"/>
      <c r="B10629" s="3"/>
      <c r="C10629" s="3"/>
      <c r="D10629" s="3"/>
      <c r="E10629" s="3"/>
      <c r="F10629" s="3"/>
      <c r="G10629" s="3"/>
      <c r="H10629" s="11"/>
      <c r="I10629" s="12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  <c r="AA10629" s="3"/>
      <c r="AB10629" s="3"/>
      <c r="AC10629" s="3"/>
      <c r="AD10629" s="3"/>
      <c r="AE10629" s="3"/>
      <c r="AF10629" s="3"/>
      <c r="AG10629" s="3"/>
      <c r="AH10629" s="3"/>
    </row>
    <row r="10630" spans="1:34" ht="14.25" customHeight="1" x14ac:dyDescent="0.25">
      <c r="A10630" s="3"/>
      <c r="B10630" s="3"/>
      <c r="C10630" s="3"/>
      <c r="D10630" s="3"/>
      <c r="E10630" s="3"/>
      <c r="F10630" s="3"/>
      <c r="G10630" s="3"/>
      <c r="H10630" s="11"/>
      <c r="I10630" s="12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  <c r="AA10630" s="3"/>
      <c r="AB10630" s="3"/>
      <c r="AC10630" s="3"/>
      <c r="AD10630" s="3"/>
      <c r="AE10630" s="3"/>
      <c r="AF10630" s="3"/>
      <c r="AG10630" s="3"/>
      <c r="AH10630" s="3"/>
    </row>
    <row r="10631" spans="1:34" ht="14.25" customHeight="1" x14ac:dyDescent="0.25">
      <c r="A10631" s="3"/>
      <c r="B10631" s="3"/>
      <c r="C10631" s="3"/>
      <c r="D10631" s="3"/>
      <c r="E10631" s="3"/>
      <c r="F10631" s="3"/>
      <c r="G10631" s="3"/>
      <c r="H10631" s="11"/>
      <c r="I10631" s="12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  <c r="AA10631" s="3"/>
      <c r="AB10631" s="3"/>
      <c r="AC10631" s="3"/>
      <c r="AD10631" s="3"/>
      <c r="AE10631" s="3"/>
      <c r="AF10631" s="3"/>
      <c r="AG10631" s="3"/>
      <c r="AH10631" s="3"/>
    </row>
    <row r="10632" spans="1:34" ht="14.25" customHeight="1" x14ac:dyDescent="0.25">
      <c r="A10632" s="3"/>
      <c r="B10632" s="3"/>
      <c r="C10632" s="3"/>
      <c r="D10632" s="3"/>
      <c r="E10632" s="3"/>
      <c r="F10632" s="3"/>
      <c r="G10632" s="3"/>
      <c r="H10632" s="11"/>
      <c r="I10632" s="12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  <c r="AA10632" s="3"/>
      <c r="AB10632" s="3"/>
      <c r="AC10632" s="3"/>
      <c r="AD10632" s="3"/>
      <c r="AE10632" s="3"/>
      <c r="AF10632" s="3"/>
      <c r="AG10632" s="3"/>
      <c r="AH10632" s="3"/>
    </row>
    <row r="10633" spans="1:34" ht="14.25" customHeight="1" x14ac:dyDescent="0.25">
      <c r="A10633" s="3"/>
      <c r="B10633" s="3"/>
      <c r="C10633" s="3"/>
      <c r="D10633" s="3"/>
      <c r="E10633" s="3"/>
      <c r="F10633" s="3"/>
      <c r="G10633" s="3"/>
      <c r="H10633" s="11"/>
      <c r="I10633" s="12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  <c r="AA10633" s="3"/>
      <c r="AB10633" s="3"/>
      <c r="AC10633" s="3"/>
      <c r="AD10633" s="3"/>
      <c r="AE10633" s="3"/>
      <c r="AF10633" s="3"/>
      <c r="AG10633" s="3"/>
      <c r="AH10633" s="3"/>
    </row>
    <row r="10634" spans="1:34" ht="14.25" customHeight="1" x14ac:dyDescent="0.25">
      <c r="A10634" s="3"/>
      <c r="B10634" s="3"/>
      <c r="C10634" s="3"/>
      <c r="D10634" s="3"/>
      <c r="E10634" s="3"/>
      <c r="F10634" s="3"/>
      <c r="G10634" s="3"/>
      <c r="H10634" s="11"/>
      <c r="I10634" s="12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  <c r="AA10634" s="3"/>
      <c r="AB10634" s="3"/>
      <c r="AC10634" s="3"/>
      <c r="AD10634" s="3"/>
      <c r="AE10634" s="3"/>
      <c r="AF10634" s="3"/>
      <c r="AG10634" s="3"/>
      <c r="AH10634" s="3"/>
    </row>
    <row r="10635" spans="1:34" ht="14.25" customHeight="1" x14ac:dyDescent="0.25">
      <c r="A10635" s="3"/>
      <c r="B10635" s="3"/>
      <c r="C10635" s="3"/>
      <c r="D10635" s="3"/>
      <c r="E10635" s="3"/>
      <c r="F10635" s="3"/>
      <c r="G10635" s="3"/>
      <c r="H10635" s="11"/>
      <c r="I10635" s="12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  <c r="AA10635" s="3"/>
      <c r="AB10635" s="3"/>
      <c r="AC10635" s="3"/>
      <c r="AD10635" s="3"/>
      <c r="AE10635" s="3"/>
      <c r="AF10635" s="3"/>
      <c r="AG10635" s="3"/>
      <c r="AH10635" s="3"/>
    </row>
    <row r="10636" spans="1:34" ht="14.25" customHeight="1" x14ac:dyDescent="0.25">
      <c r="A10636" s="3"/>
      <c r="B10636" s="3"/>
      <c r="C10636" s="3"/>
      <c r="D10636" s="3"/>
      <c r="E10636" s="3"/>
      <c r="F10636" s="3"/>
      <c r="G10636" s="3"/>
      <c r="H10636" s="11"/>
      <c r="I10636" s="12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  <c r="AA10636" s="3"/>
      <c r="AB10636" s="3"/>
      <c r="AC10636" s="3"/>
      <c r="AD10636" s="3"/>
      <c r="AE10636" s="3"/>
      <c r="AF10636" s="3"/>
      <c r="AG10636" s="3"/>
      <c r="AH10636" s="3"/>
    </row>
    <row r="10637" spans="1:34" ht="14.25" customHeight="1" x14ac:dyDescent="0.25">
      <c r="A10637" s="3"/>
      <c r="B10637" s="3"/>
      <c r="C10637" s="3"/>
      <c r="D10637" s="3"/>
      <c r="E10637" s="3"/>
      <c r="F10637" s="3"/>
      <c r="G10637" s="3"/>
      <c r="H10637" s="11"/>
      <c r="I10637" s="12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  <c r="AA10637" s="3"/>
      <c r="AB10637" s="3"/>
      <c r="AC10637" s="3"/>
      <c r="AD10637" s="3"/>
      <c r="AE10637" s="3"/>
      <c r="AF10637" s="3"/>
      <c r="AG10637" s="3"/>
      <c r="AH10637" s="3"/>
    </row>
    <row r="10638" spans="1:34" ht="14.25" customHeight="1" x14ac:dyDescent="0.25">
      <c r="A10638" s="3"/>
      <c r="B10638" s="3"/>
      <c r="C10638" s="3"/>
      <c r="D10638" s="3"/>
      <c r="E10638" s="3"/>
      <c r="F10638" s="3"/>
      <c r="G10638" s="3"/>
      <c r="H10638" s="11"/>
      <c r="I10638" s="12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  <c r="AA10638" s="3"/>
      <c r="AB10638" s="3"/>
      <c r="AC10638" s="3"/>
      <c r="AD10638" s="3"/>
      <c r="AE10638" s="3"/>
      <c r="AF10638" s="3"/>
      <c r="AG10638" s="3"/>
      <c r="AH10638" s="3"/>
    </row>
    <row r="10639" spans="1:34" ht="14.25" customHeight="1" x14ac:dyDescent="0.25">
      <c r="A10639" s="3"/>
      <c r="B10639" s="3"/>
      <c r="C10639" s="3"/>
      <c r="D10639" s="3"/>
      <c r="E10639" s="3"/>
      <c r="F10639" s="3"/>
      <c r="G10639" s="3"/>
      <c r="H10639" s="11"/>
      <c r="I10639" s="12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  <c r="AA10639" s="3"/>
      <c r="AB10639" s="3"/>
      <c r="AC10639" s="3"/>
      <c r="AD10639" s="3"/>
      <c r="AE10639" s="3"/>
      <c r="AF10639" s="3"/>
      <c r="AG10639" s="3"/>
      <c r="AH10639" s="3"/>
    </row>
    <row r="10640" spans="1:34" ht="14.25" customHeight="1" x14ac:dyDescent="0.25">
      <c r="A10640" s="3"/>
      <c r="B10640" s="3"/>
      <c r="C10640" s="3"/>
      <c r="D10640" s="3"/>
      <c r="E10640" s="3"/>
      <c r="F10640" s="3"/>
      <c r="G10640" s="3"/>
      <c r="H10640" s="11"/>
      <c r="I10640" s="12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  <c r="AA10640" s="3"/>
      <c r="AB10640" s="3"/>
      <c r="AC10640" s="3"/>
      <c r="AD10640" s="3"/>
      <c r="AE10640" s="3"/>
      <c r="AF10640" s="3"/>
      <c r="AG10640" s="3"/>
      <c r="AH10640" s="3"/>
    </row>
    <row r="10641" spans="1:34" ht="14.25" customHeight="1" x14ac:dyDescent="0.25">
      <c r="A10641" s="3"/>
      <c r="B10641" s="3"/>
      <c r="C10641" s="3"/>
      <c r="D10641" s="3"/>
      <c r="E10641" s="3"/>
      <c r="F10641" s="3"/>
      <c r="G10641" s="3"/>
      <c r="H10641" s="11"/>
      <c r="I10641" s="12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  <c r="AA10641" s="3"/>
      <c r="AB10641" s="3"/>
      <c r="AC10641" s="3"/>
      <c r="AD10641" s="3"/>
      <c r="AE10641" s="3"/>
      <c r="AF10641" s="3"/>
      <c r="AG10641" s="3"/>
      <c r="AH10641" s="3"/>
    </row>
    <row r="10642" spans="1:34" ht="14.25" customHeight="1" x14ac:dyDescent="0.25">
      <c r="A10642" s="3"/>
      <c r="B10642" s="3"/>
      <c r="C10642" s="3"/>
      <c r="D10642" s="3"/>
      <c r="E10642" s="3"/>
      <c r="F10642" s="3"/>
      <c r="G10642" s="3"/>
      <c r="H10642" s="11"/>
      <c r="I10642" s="12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  <c r="AA10642" s="3"/>
      <c r="AB10642" s="3"/>
      <c r="AC10642" s="3"/>
      <c r="AD10642" s="3"/>
      <c r="AE10642" s="3"/>
      <c r="AF10642" s="3"/>
      <c r="AG10642" s="3"/>
      <c r="AH10642" s="3"/>
    </row>
    <row r="10643" spans="1:34" ht="14.25" customHeight="1" x14ac:dyDescent="0.25">
      <c r="A10643" s="3"/>
      <c r="B10643" s="3"/>
      <c r="C10643" s="3"/>
      <c r="D10643" s="3"/>
      <c r="E10643" s="3"/>
      <c r="F10643" s="3"/>
      <c r="G10643" s="3"/>
      <c r="H10643" s="11"/>
      <c r="I10643" s="12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  <c r="AA10643" s="3"/>
      <c r="AB10643" s="3"/>
      <c r="AC10643" s="3"/>
      <c r="AD10643" s="3"/>
      <c r="AE10643" s="3"/>
      <c r="AF10643" s="3"/>
      <c r="AG10643" s="3"/>
      <c r="AH10643" s="3"/>
    </row>
    <row r="10644" spans="1:34" ht="14.25" customHeight="1" x14ac:dyDescent="0.25">
      <c r="A10644" s="3"/>
      <c r="B10644" s="3"/>
      <c r="C10644" s="3"/>
      <c r="D10644" s="3"/>
      <c r="E10644" s="3"/>
      <c r="F10644" s="3"/>
      <c r="G10644" s="3"/>
      <c r="H10644" s="11"/>
      <c r="I10644" s="12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  <c r="AA10644" s="3"/>
      <c r="AB10644" s="3"/>
      <c r="AC10644" s="3"/>
      <c r="AD10644" s="3"/>
      <c r="AE10644" s="3"/>
      <c r="AF10644" s="3"/>
      <c r="AG10644" s="3"/>
      <c r="AH10644" s="3"/>
    </row>
    <row r="10645" spans="1:34" ht="14.25" customHeight="1" x14ac:dyDescent="0.25">
      <c r="A10645" s="3"/>
      <c r="B10645" s="3"/>
      <c r="C10645" s="3"/>
      <c r="D10645" s="3"/>
      <c r="E10645" s="3"/>
      <c r="F10645" s="3"/>
      <c r="G10645" s="3"/>
      <c r="H10645" s="11"/>
      <c r="I10645" s="12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  <c r="AA10645" s="3"/>
      <c r="AB10645" s="3"/>
      <c r="AC10645" s="3"/>
      <c r="AD10645" s="3"/>
      <c r="AE10645" s="3"/>
      <c r="AF10645" s="3"/>
      <c r="AG10645" s="3"/>
      <c r="AH10645" s="3"/>
    </row>
    <row r="10646" spans="1:34" ht="14.25" customHeight="1" x14ac:dyDescent="0.25">
      <c r="A10646" s="3"/>
      <c r="B10646" s="3"/>
      <c r="C10646" s="3"/>
      <c r="D10646" s="3"/>
      <c r="E10646" s="3"/>
      <c r="F10646" s="3"/>
      <c r="G10646" s="3"/>
      <c r="H10646" s="11"/>
      <c r="I10646" s="12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  <c r="AA10646" s="3"/>
      <c r="AB10646" s="3"/>
      <c r="AC10646" s="3"/>
      <c r="AD10646" s="3"/>
      <c r="AE10646" s="3"/>
      <c r="AF10646" s="3"/>
      <c r="AG10646" s="3"/>
      <c r="AH10646" s="3"/>
    </row>
    <row r="10647" spans="1:34" ht="14.25" customHeight="1" x14ac:dyDescent="0.25">
      <c r="A10647" s="3"/>
      <c r="B10647" s="3"/>
      <c r="C10647" s="3"/>
      <c r="D10647" s="3"/>
      <c r="E10647" s="3"/>
      <c r="F10647" s="3"/>
      <c r="G10647" s="3"/>
      <c r="H10647" s="11"/>
      <c r="I10647" s="12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  <c r="AA10647" s="3"/>
      <c r="AB10647" s="3"/>
      <c r="AC10647" s="3"/>
      <c r="AD10647" s="3"/>
      <c r="AE10647" s="3"/>
      <c r="AF10647" s="3"/>
      <c r="AG10647" s="3"/>
      <c r="AH10647" s="3"/>
    </row>
    <row r="10648" spans="1:34" ht="14.25" customHeight="1" x14ac:dyDescent="0.25">
      <c r="A10648" s="3"/>
      <c r="B10648" s="3"/>
      <c r="C10648" s="3"/>
      <c r="D10648" s="3"/>
      <c r="E10648" s="3"/>
      <c r="F10648" s="3"/>
      <c r="G10648" s="3"/>
      <c r="H10648" s="11"/>
      <c r="I10648" s="12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  <c r="AA10648" s="3"/>
      <c r="AB10648" s="3"/>
      <c r="AC10648" s="3"/>
      <c r="AD10648" s="3"/>
      <c r="AE10648" s="3"/>
      <c r="AF10648" s="3"/>
      <c r="AG10648" s="3"/>
      <c r="AH10648" s="3"/>
    </row>
    <row r="10649" spans="1:34" ht="14.25" customHeight="1" x14ac:dyDescent="0.25">
      <c r="A10649" s="3"/>
      <c r="B10649" s="3"/>
      <c r="C10649" s="3"/>
      <c r="D10649" s="3"/>
      <c r="E10649" s="3"/>
      <c r="F10649" s="3"/>
      <c r="G10649" s="3"/>
      <c r="H10649" s="11"/>
      <c r="I10649" s="12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  <c r="AA10649" s="3"/>
      <c r="AB10649" s="3"/>
      <c r="AC10649" s="3"/>
      <c r="AD10649" s="3"/>
      <c r="AE10649" s="3"/>
      <c r="AF10649" s="3"/>
      <c r="AG10649" s="3"/>
      <c r="AH10649" s="3"/>
    </row>
    <row r="10650" spans="1:34" ht="14.25" customHeight="1" x14ac:dyDescent="0.25">
      <c r="A10650" s="3"/>
      <c r="B10650" s="3"/>
      <c r="C10650" s="3"/>
      <c r="D10650" s="3"/>
      <c r="E10650" s="3"/>
      <c r="F10650" s="3"/>
      <c r="G10650" s="3"/>
      <c r="H10650" s="11"/>
      <c r="I10650" s="12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  <c r="AA10650" s="3"/>
      <c r="AB10650" s="3"/>
      <c r="AC10650" s="3"/>
      <c r="AD10650" s="3"/>
      <c r="AE10650" s="3"/>
      <c r="AF10650" s="3"/>
      <c r="AG10650" s="3"/>
      <c r="AH10650" s="3"/>
    </row>
    <row r="10651" spans="1:34" ht="14.25" customHeight="1" x14ac:dyDescent="0.25">
      <c r="A10651" s="3"/>
      <c r="B10651" s="3"/>
      <c r="C10651" s="3"/>
      <c r="D10651" s="3"/>
      <c r="E10651" s="3"/>
      <c r="F10651" s="3"/>
      <c r="G10651" s="3"/>
      <c r="H10651" s="11"/>
      <c r="I10651" s="12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  <c r="AA10651" s="3"/>
      <c r="AB10651" s="3"/>
      <c r="AC10651" s="3"/>
      <c r="AD10651" s="3"/>
      <c r="AE10651" s="3"/>
      <c r="AF10651" s="3"/>
      <c r="AG10651" s="3"/>
      <c r="AH10651" s="3"/>
    </row>
    <row r="10652" spans="1:34" ht="14.25" customHeight="1" x14ac:dyDescent="0.25">
      <c r="A10652" s="3"/>
      <c r="B10652" s="3"/>
      <c r="C10652" s="3"/>
      <c r="D10652" s="3"/>
      <c r="E10652" s="3"/>
      <c r="F10652" s="3"/>
      <c r="G10652" s="3"/>
      <c r="H10652" s="11"/>
      <c r="I10652" s="12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  <c r="AA10652" s="3"/>
      <c r="AB10652" s="3"/>
      <c r="AC10652" s="3"/>
      <c r="AD10652" s="3"/>
      <c r="AE10652" s="3"/>
      <c r="AF10652" s="3"/>
      <c r="AG10652" s="3"/>
      <c r="AH10652" s="3"/>
    </row>
    <row r="10653" spans="1:34" ht="14.25" customHeight="1" x14ac:dyDescent="0.25">
      <c r="A10653" s="3"/>
      <c r="B10653" s="3"/>
      <c r="C10653" s="3"/>
      <c r="D10653" s="3"/>
      <c r="E10653" s="3"/>
      <c r="F10653" s="3"/>
      <c r="G10653" s="3"/>
      <c r="H10653" s="11"/>
      <c r="I10653" s="12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  <c r="AA10653" s="3"/>
      <c r="AB10653" s="3"/>
      <c r="AC10653" s="3"/>
      <c r="AD10653" s="3"/>
      <c r="AE10653" s="3"/>
      <c r="AF10653" s="3"/>
      <c r="AG10653" s="3"/>
      <c r="AH10653" s="3"/>
    </row>
    <row r="10654" spans="1:34" ht="14.25" customHeight="1" x14ac:dyDescent="0.25">
      <c r="A10654" s="3"/>
      <c r="B10654" s="3"/>
      <c r="C10654" s="3"/>
      <c r="D10654" s="3"/>
      <c r="E10654" s="3"/>
      <c r="F10654" s="3"/>
      <c r="G10654" s="3"/>
      <c r="H10654" s="11"/>
      <c r="I10654" s="12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  <c r="AA10654" s="3"/>
      <c r="AB10654" s="3"/>
      <c r="AC10654" s="3"/>
      <c r="AD10654" s="3"/>
      <c r="AE10654" s="3"/>
      <c r="AF10654" s="3"/>
      <c r="AG10654" s="3"/>
      <c r="AH10654" s="3"/>
    </row>
    <row r="10655" spans="1:34" ht="14.25" customHeight="1" x14ac:dyDescent="0.25">
      <c r="A10655" s="3"/>
      <c r="B10655" s="3"/>
      <c r="C10655" s="3"/>
      <c r="D10655" s="3"/>
      <c r="E10655" s="3"/>
      <c r="F10655" s="3"/>
      <c r="G10655" s="3"/>
      <c r="H10655" s="11"/>
      <c r="I10655" s="12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  <c r="AA10655" s="3"/>
      <c r="AB10655" s="3"/>
      <c r="AC10655" s="3"/>
      <c r="AD10655" s="3"/>
      <c r="AE10655" s="3"/>
      <c r="AF10655" s="3"/>
      <c r="AG10655" s="3"/>
      <c r="AH10655" s="3"/>
    </row>
    <row r="10656" spans="1:34" ht="14.25" customHeight="1" x14ac:dyDescent="0.25">
      <c r="A10656" s="3"/>
      <c r="B10656" s="3"/>
      <c r="C10656" s="3"/>
      <c r="D10656" s="3"/>
      <c r="E10656" s="3"/>
      <c r="F10656" s="3"/>
      <c r="G10656" s="3"/>
      <c r="H10656" s="11"/>
      <c r="I10656" s="12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  <c r="AA10656" s="3"/>
      <c r="AB10656" s="3"/>
      <c r="AC10656" s="3"/>
      <c r="AD10656" s="3"/>
      <c r="AE10656" s="3"/>
      <c r="AF10656" s="3"/>
      <c r="AG10656" s="3"/>
      <c r="AH10656" s="3"/>
    </row>
    <row r="10657" spans="1:34" ht="14.25" customHeight="1" x14ac:dyDescent="0.25">
      <c r="A10657" s="3"/>
      <c r="B10657" s="3"/>
      <c r="C10657" s="3"/>
      <c r="D10657" s="3"/>
      <c r="E10657" s="3"/>
      <c r="F10657" s="3"/>
      <c r="G10657" s="3"/>
      <c r="H10657" s="11"/>
      <c r="I10657" s="12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  <c r="AA10657" s="3"/>
      <c r="AB10657" s="3"/>
      <c r="AC10657" s="3"/>
      <c r="AD10657" s="3"/>
      <c r="AE10657" s="3"/>
      <c r="AF10657" s="3"/>
      <c r="AG10657" s="3"/>
      <c r="AH10657" s="3"/>
    </row>
    <row r="10658" spans="1:34" ht="14.25" customHeight="1" x14ac:dyDescent="0.25">
      <c r="A10658" s="3"/>
      <c r="B10658" s="3"/>
      <c r="C10658" s="3"/>
      <c r="D10658" s="3"/>
      <c r="E10658" s="3"/>
      <c r="F10658" s="3"/>
      <c r="G10658" s="3"/>
      <c r="H10658" s="11"/>
      <c r="I10658" s="12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  <c r="AA10658" s="3"/>
      <c r="AB10658" s="3"/>
      <c r="AC10658" s="3"/>
      <c r="AD10658" s="3"/>
      <c r="AE10658" s="3"/>
      <c r="AF10658" s="3"/>
      <c r="AG10658" s="3"/>
      <c r="AH10658" s="3"/>
    </row>
    <row r="10659" spans="1:34" ht="14.25" customHeight="1" x14ac:dyDescent="0.25">
      <c r="A10659" s="3"/>
      <c r="B10659" s="3"/>
      <c r="C10659" s="3"/>
      <c r="D10659" s="3"/>
      <c r="E10659" s="3"/>
      <c r="F10659" s="3"/>
      <c r="G10659" s="3"/>
      <c r="H10659" s="11"/>
      <c r="I10659" s="12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  <c r="AA10659" s="3"/>
      <c r="AB10659" s="3"/>
      <c r="AC10659" s="3"/>
      <c r="AD10659" s="3"/>
      <c r="AE10659" s="3"/>
      <c r="AF10659" s="3"/>
      <c r="AG10659" s="3"/>
      <c r="AH10659" s="3"/>
    </row>
    <row r="10660" spans="1:34" ht="14.25" customHeight="1" x14ac:dyDescent="0.25">
      <c r="A10660" s="3"/>
      <c r="B10660" s="3"/>
      <c r="C10660" s="3"/>
      <c r="D10660" s="3"/>
      <c r="E10660" s="3"/>
      <c r="F10660" s="3"/>
      <c r="G10660" s="3"/>
      <c r="H10660" s="11"/>
      <c r="I10660" s="12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  <c r="AA10660" s="3"/>
      <c r="AB10660" s="3"/>
      <c r="AC10660" s="3"/>
      <c r="AD10660" s="3"/>
      <c r="AE10660" s="3"/>
      <c r="AF10660" s="3"/>
      <c r="AG10660" s="3"/>
      <c r="AH10660" s="3"/>
    </row>
    <row r="10661" spans="1:34" ht="14.25" customHeight="1" x14ac:dyDescent="0.25">
      <c r="A10661" s="3"/>
      <c r="B10661" s="3"/>
      <c r="C10661" s="3"/>
      <c r="D10661" s="3"/>
      <c r="E10661" s="3"/>
      <c r="F10661" s="3"/>
      <c r="G10661" s="3"/>
      <c r="H10661" s="11"/>
      <c r="I10661" s="12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  <c r="AA10661" s="3"/>
      <c r="AB10661" s="3"/>
      <c r="AC10661" s="3"/>
      <c r="AD10661" s="3"/>
      <c r="AE10661" s="3"/>
      <c r="AF10661" s="3"/>
      <c r="AG10661" s="3"/>
      <c r="AH10661" s="3"/>
    </row>
    <row r="10662" spans="1:34" ht="14.25" customHeight="1" x14ac:dyDescent="0.25">
      <c r="A10662" s="3"/>
      <c r="B10662" s="3"/>
      <c r="C10662" s="3"/>
      <c r="D10662" s="3"/>
      <c r="E10662" s="3"/>
      <c r="F10662" s="3"/>
      <c r="G10662" s="3"/>
      <c r="H10662" s="11"/>
      <c r="I10662" s="12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  <c r="AA10662" s="3"/>
      <c r="AB10662" s="3"/>
      <c r="AC10662" s="3"/>
      <c r="AD10662" s="3"/>
      <c r="AE10662" s="3"/>
      <c r="AF10662" s="3"/>
      <c r="AG10662" s="3"/>
      <c r="AH10662" s="3"/>
    </row>
    <row r="10663" spans="1:34" ht="14.25" customHeight="1" x14ac:dyDescent="0.25">
      <c r="A10663" s="3"/>
      <c r="B10663" s="3"/>
      <c r="C10663" s="3"/>
      <c r="D10663" s="3"/>
      <c r="E10663" s="3"/>
      <c r="F10663" s="3"/>
      <c r="G10663" s="3"/>
      <c r="H10663" s="11"/>
      <c r="I10663" s="12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  <c r="AA10663" s="3"/>
      <c r="AB10663" s="3"/>
      <c r="AC10663" s="3"/>
      <c r="AD10663" s="3"/>
      <c r="AE10663" s="3"/>
      <c r="AF10663" s="3"/>
      <c r="AG10663" s="3"/>
      <c r="AH10663" s="3"/>
    </row>
    <row r="10664" spans="1:34" ht="14.25" customHeight="1" x14ac:dyDescent="0.25">
      <c r="A10664" s="3"/>
      <c r="B10664" s="3"/>
      <c r="C10664" s="3"/>
      <c r="D10664" s="3"/>
      <c r="E10664" s="3"/>
      <c r="F10664" s="3"/>
      <c r="G10664" s="3"/>
      <c r="H10664" s="11"/>
      <c r="I10664" s="12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  <c r="AA10664" s="3"/>
      <c r="AB10664" s="3"/>
      <c r="AC10664" s="3"/>
      <c r="AD10664" s="3"/>
      <c r="AE10664" s="3"/>
      <c r="AF10664" s="3"/>
      <c r="AG10664" s="3"/>
      <c r="AH10664" s="3"/>
    </row>
    <row r="10665" spans="1:34" ht="14.25" customHeight="1" x14ac:dyDescent="0.25">
      <c r="A10665" s="3"/>
      <c r="B10665" s="3"/>
      <c r="C10665" s="3"/>
      <c r="D10665" s="3"/>
      <c r="E10665" s="3"/>
      <c r="F10665" s="3"/>
      <c r="G10665" s="3"/>
      <c r="H10665" s="11"/>
      <c r="I10665" s="12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  <c r="AA10665" s="3"/>
      <c r="AB10665" s="3"/>
      <c r="AC10665" s="3"/>
      <c r="AD10665" s="3"/>
      <c r="AE10665" s="3"/>
      <c r="AF10665" s="3"/>
      <c r="AG10665" s="3"/>
      <c r="AH10665" s="3"/>
    </row>
    <row r="10666" spans="1:34" ht="14.25" customHeight="1" x14ac:dyDescent="0.25">
      <c r="A10666" s="3"/>
      <c r="B10666" s="3"/>
      <c r="C10666" s="3"/>
      <c r="D10666" s="3"/>
      <c r="E10666" s="3"/>
      <c r="F10666" s="3"/>
      <c r="G10666" s="3"/>
      <c r="H10666" s="11"/>
      <c r="I10666" s="12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  <c r="AA10666" s="3"/>
      <c r="AB10666" s="3"/>
      <c r="AC10666" s="3"/>
      <c r="AD10666" s="3"/>
      <c r="AE10666" s="3"/>
      <c r="AF10666" s="3"/>
      <c r="AG10666" s="3"/>
      <c r="AH10666" s="3"/>
    </row>
    <row r="10667" spans="1:34" ht="14.25" customHeight="1" x14ac:dyDescent="0.25">
      <c r="A10667" s="3"/>
      <c r="B10667" s="3"/>
      <c r="C10667" s="3"/>
      <c r="D10667" s="3"/>
      <c r="E10667" s="3"/>
      <c r="F10667" s="3"/>
      <c r="G10667" s="3"/>
      <c r="H10667" s="11"/>
      <c r="I10667" s="12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  <c r="AA10667" s="3"/>
      <c r="AB10667" s="3"/>
      <c r="AC10667" s="3"/>
      <c r="AD10667" s="3"/>
      <c r="AE10667" s="3"/>
      <c r="AF10667" s="3"/>
      <c r="AG10667" s="3"/>
      <c r="AH10667" s="3"/>
    </row>
    <row r="10668" spans="1:34" ht="14.25" customHeight="1" x14ac:dyDescent="0.25">
      <c r="A10668" s="3"/>
      <c r="B10668" s="3"/>
      <c r="C10668" s="3"/>
      <c r="D10668" s="3"/>
      <c r="E10668" s="3"/>
      <c r="F10668" s="3"/>
      <c r="G10668" s="3"/>
      <c r="H10668" s="11"/>
      <c r="I10668" s="12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  <c r="AA10668" s="3"/>
      <c r="AB10668" s="3"/>
      <c r="AC10668" s="3"/>
      <c r="AD10668" s="3"/>
      <c r="AE10668" s="3"/>
      <c r="AF10668" s="3"/>
      <c r="AG10668" s="3"/>
      <c r="AH10668" s="3"/>
    </row>
    <row r="10669" spans="1:34" ht="14.25" customHeight="1" x14ac:dyDescent="0.25">
      <c r="A10669" s="3"/>
      <c r="B10669" s="3"/>
      <c r="C10669" s="3"/>
      <c r="D10669" s="3"/>
      <c r="E10669" s="3"/>
      <c r="F10669" s="3"/>
      <c r="G10669" s="3"/>
      <c r="H10669" s="11"/>
      <c r="I10669" s="12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  <c r="AA10669" s="3"/>
      <c r="AB10669" s="3"/>
      <c r="AC10669" s="3"/>
      <c r="AD10669" s="3"/>
      <c r="AE10669" s="3"/>
      <c r="AF10669" s="3"/>
      <c r="AG10669" s="3"/>
      <c r="AH10669" s="3"/>
    </row>
    <row r="10670" spans="1:34" ht="14.25" customHeight="1" x14ac:dyDescent="0.25">
      <c r="A10670" s="3"/>
      <c r="B10670" s="3"/>
      <c r="C10670" s="3"/>
      <c r="D10670" s="3"/>
      <c r="E10670" s="3"/>
      <c r="F10670" s="3"/>
      <c r="G10670" s="3"/>
      <c r="H10670" s="11"/>
      <c r="I10670" s="12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  <c r="AA10670" s="3"/>
      <c r="AB10670" s="3"/>
      <c r="AC10670" s="3"/>
      <c r="AD10670" s="3"/>
      <c r="AE10670" s="3"/>
      <c r="AF10670" s="3"/>
      <c r="AG10670" s="3"/>
      <c r="AH10670" s="3"/>
    </row>
    <row r="10671" spans="1:34" ht="14.25" customHeight="1" x14ac:dyDescent="0.25">
      <c r="A10671" s="3"/>
      <c r="B10671" s="3"/>
      <c r="C10671" s="3"/>
      <c r="D10671" s="3"/>
      <c r="E10671" s="3"/>
      <c r="F10671" s="3"/>
      <c r="G10671" s="3"/>
      <c r="H10671" s="11"/>
      <c r="I10671" s="12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  <c r="AA10671" s="3"/>
      <c r="AB10671" s="3"/>
      <c r="AC10671" s="3"/>
      <c r="AD10671" s="3"/>
      <c r="AE10671" s="3"/>
      <c r="AF10671" s="3"/>
      <c r="AG10671" s="3"/>
      <c r="AH10671" s="3"/>
    </row>
    <row r="10672" spans="1:34" ht="14.25" customHeight="1" x14ac:dyDescent="0.25">
      <c r="A10672" s="3"/>
      <c r="B10672" s="3"/>
      <c r="C10672" s="3"/>
      <c r="D10672" s="3"/>
      <c r="E10672" s="3"/>
      <c r="F10672" s="3"/>
      <c r="G10672" s="3"/>
      <c r="H10672" s="11"/>
      <c r="I10672" s="12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  <c r="AA10672" s="3"/>
      <c r="AB10672" s="3"/>
      <c r="AC10672" s="3"/>
      <c r="AD10672" s="3"/>
      <c r="AE10672" s="3"/>
      <c r="AF10672" s="3"/>
      <c r="AG10672" s="3"/>
      <c r="AH10672" s="3"/>
    </row>
    <row r="10673" spans="1:34" ht="14.25" customHeight="1" x14ac:dyDescent="0.25">
      <c r="A10673" s="3"/>
      <c r="B10673" s="3"/>
      <c r="C10673" s="3"/>
      <c r="D10673" s="3"/>
      <c r="E10673" s="3"/>
      <c r="F10673" s="3"/>
      <c r="G10673" s="3"/>
      <c r="H10673" s="11"/>
      <c r="I10673" s="12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  <c r="AA10673" s="3"/>
      <c r="AB10673" s="3"/>
      <c r="AC10673" s="3"/>
      <c r="AD10673" s="3"/>
      <c r="AE10673" s="3"/>
      <c r="AF10673" s="3"/>
      <c r="AG10673" s="3"/>
      <c r="AH10673" s="3"/>
    </row>
    <row r="10674" spans="1:34" ht="14.25" customHeight="1" x14ac:dyDescent="0.25">
      <c r="A10674" s="3"/>
      <c r="B10674" s="3"/>
      <c r="C10674" s="3"/>
      <c r="D10674" s="3"/>
      <c r="E10674" s="3"/>
      <c r="F10674" s="3"/>
      <c r="G10674" s="3"/>
      <c r="H10674" s="11"/>
      <c r="I10674" s="12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  <c r="AA10674" s="3"/>
      <c r="AB10674" s="3"/>
      <c r="AC10674" s="3"/>
      <c r="AD10674" s="3"/>
      <c r="AE10674" s="3"/>
      <c r="AF10674" s="3"/>
      <c r="AG10674" s="3"/>
      <c r="AH10674" s="3"/>
    </row>
    <row r="10675" spans="1:34" ht="14.25" customHeight="1" x14ac:dyDescent="0.25">
      <c r="A10675" s="3"/>
      <c r="B10675" s="3"/>
      <c r="C10675" s="3"/>
      <c r="D10675" s="3"/>
      <c r="E10675" s="3"/>
      <c r="F10675" s="3"/>
      <c r="G10675" s="3"/>
      <c r="H10675" s="11"/>
      <c r="I10675" s="12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  <c r="AA10675" s="3"/>
      <c r="AB10675" s="3"/>
      <c r="AC10675" s="3"/>
      <c r="AD10675" s="3"/>
      <c r="AE10675" s="3"/>
      <c r="AF10675" s="3"/>
      <c r="AG10675" s="3"/>
      <c r="AH10675" s="3"/>
    </row>
    <row r="10676" spans="1:34" ht="14.25" customHeight="1" x14ac:dyDescent="0.25">
      <c r="A10676" s="3"/>
      <c r="B10676" s="3"/>
      <c r="C10676" s="3"/>
      <c r="D10676" s="3"/>
      <c r="E10676" s="3"/>
      <c r="F10676" s="3"/>
      <c r="G10676" s="3"/>
      <c r="H10676" s="11"/>
      <c r="I10676" s="12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  <c r="AA10676" s="3"/>
      <c r="AB10676" s="3"/>
      <c r="AC10676" s="3"/>
      <c r="AD10676" s="3"/>
      <c r="AE10676" s="3"/>
      <c r="AF10676" s="3"/>
      <c r="AG10676" s="3"/>
      <c r="AH10676" s="3"/>
    </row>
    <row r="10677" spans="1:34" ht="14.25" customHeight="1" x14ac:dyDescent="0.25">
      <c r="A10677" s="3"/>
      <c r="B10677" s="3"/>
      <c r="C10677" s="3"/>
      <c r="D10677" s="3"/>
      <c r="E10677" s="3"/>
      <c r="F10677" s="3"/>
      <c r="G10677" s="3"/>
      <c r="H10677" s="11"/>
      <c r="I10677" s="12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  <c r="AA10677" s="3"/>
      <c r="AB10677" s="3"/>
      <c r="AC10677" s="3"/>
      <c r="AD10677" s="3"/>
      <c r="AE10677" s="3"/>
      <c r="AF10677" s="3"/>
      <c r="AG10677" s="3"/>
      <c r="AH10677" s="3"/>
    </row>
    <row r="10678" spans="1:34" ht="14.25" customHeight="1" x14ac:dyDescent="0.25">
      <c r="A10678" s="3"/>
      <c r="B10678" s="3"/>
      <c r="C10678" s="3"/>
      <c r="D10678" s="3"/>
      <c r="E10678" s="3"/>
      <c r="F10678" s="3"/>
      <c r="G10678" s="3"/>
      <c r="H10678" s="11"/>
      <c r="I10678" s="12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  <c r="AA10678" s="3"/>
      <c r="AB10678" s="3"/>
      <c r="AC10678" s="3"/>
      <c r="AD10678" s="3"/>
      <c r="AE10678" s="3"/>
      <c r="AF10678" s="3"/>
      <c r="AG10678" s="3"/>
      <c r="AH10678" s="3"/>
    </row>
    <row r="10679" spans="1:34" ht="14.25" customHeight="1" x14ac:dyDescent="0.25">
      <c r="A10679" s="3"/>
      <c r="B10679" s="3"/>
      <c r="C10679" s="3"/>
      <c r="D10679" s="3"/>
      <c r="E10679" s="3"/>
      <c r="F10679" s="3"/>
      <c r="G10679" s="3"/>
      <c r="H10679" s="11"/>
      <c r="I10679" s="12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  <c r="AA10679" s="3"/>
      <c r="AB10679" s="3"/>
      <c r="AC10679" s="3"/>
      <c r="AD10679" s="3"/>
      <c r="AE10679" s="3"/>
      <c r="AF10679" s="3"/>
      <c r="AG10679" s="3"/>
      <c r="AH10679" s="3"/>
    </row>
    <row r="10680" spans="1:34" ht="14.25" customHeight="1" x14ac:dyDescent="0.25">
      <c r="A10680" s="3"/>
      <c r="B10680" s="3"/>
      <c r="C10680" s="3"/>
      <c r="D10680" s="3"/>
      <c r="E10680" s="3"/>
      <c r="F10680" s="3"/>
      <c r="G10680" s="3"/>
      <c r="H10680" s="11"/>
      <c r="I10680" s="12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  <c r="AA10680" s="3"/>
      <c r="AB10680" s="3"/>
      <c r="AC10680" s="3"/>
      <c r="AD10680" s="3"/>
      <c r="AE10680" s="3"/>
      <c r="AF10680" s="3"/>
      <c r="AG10680" s="3"/>
      <c r="AH10680" s="3"/>
    </row>
    <row r="10681" spans="1:34" ht="14.25" customHeight="1" x14ac:dyDescent="0.25">
      <c r="A10681" s="3"/>
      <c r="B10681" s="3"/>
      <c r="C10681" s="3"/>
      <c r="D10681" s="3"/>
      <c r="E10681" s="3"/>
      <c r="F10681" s="3"/>
      <c r="G10681" s="3"/>
      <c r="H10681" s="11"/>
      <c r="I10681" s="12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  <c r="AA10681" s="3"/>
      <c r="AB10681" s="3"/>
      <c r="AC10681" s="3"/>
      <c r="AD10681" s="3"/>
      <c r="AE10681" s="3"/>
      <c r="AF10681" s="3"/>
      <c r="AG10681" s="3"/>
      <c r="AH10681" s="3"/>
    </row>
    <row r="10682" spans="1:34" ht="14.25" customHeight="1" x14ac:dyDescent="0.25">
      <c r="A10682" s="3"/>
      <c r="B10682" s="3"/>
      <c r="C10682" s="3"/>
      <c r="D10682" s="3"/>
      <c r="E10682" s="3"/>
      <c r="F10682" s="3"/>
      <c r="G10682" s="3"/>
      <c r="H10682" s="11"/>
      <c r="I10682" s="12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  <c r="AA10682" s="3"/>
      <c r="AB10682" s="3"/>
      <c r="AC10682" s="3"/>
      <c r="AD10682" s="3"/>
      <c r="AE10682" s="3"/>
      <c r="AF10682" s="3"/>
      <c r="AG10682" s="3"/>
      <c r="AH10682" s="3"/>
    </row>
    <row r="10683" spans="1:34" ht="14.25" customHeight="1" x14ac:dyDescent="0.25">
      <c r="A10683" s="3"/>
      <c r="B10683" s="3"/>
      <c r="C10683" s="3"/>
      <c r="D10683" s="3"/>
      <c r="E10683" s="3"/>
      <c r="F10683" s="3"/>
      <c r="G10683" s="3"/>
      <c r="H10683" s="11"/>
      <c r="I10683" s="12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  <c r="AA10683" s="3"/>
      <c r="AB10683" s="3"/>
      <c r="AC10683" s="3"/>
      <c r="AD10683" s="3"/>
      <c r="AE10683" s="3"/>
      <c r="AF10683" s="3"/>
      <c r="AG10683" s="3"/>
      <c r="AH10683" s="3"/>
    </row>
    <row r="10684" spans="1:34" ht="14.25" customHeight="1" x14ac:dyDescent="0.25">
      <c r="A10684" s="3"/>
      <c r="B10684" s="3"/>
      <c r="C10684" s="3"/>
      <c r="D10684" s="3"/>
      <c r="E10684" s="3"/>
      <c r="F10684" s="3"/>
      <c r="G10684" s="3"/>
      <c r="H10684" s="11"/>
      <c r="I10684" s="12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  <c r="AA10684" s="3"/>
      <c r="AB10684" s="3"/>
      <c r="AC10684" s="3"/>
      <c r="AD10684" s="3"/>
      <c r="AE10684" s="3"/>
      <c r="AF10684" s="3"/>
      <c r="AG10684" s="3"/>
      <c r="AH10684" s="3"/>
    </row>
    <row r="10685" spans="1:34" ht="14.25" customHeight="1" x14ac:dyDescent="0.25">
      <c r="A10685" s="3"/>
      <c r="B10685" s="3"/>
      <c r="C10685" s="3"/>
      <c r="D10685" s="3"/>
      <c r="E10685" s="3"/>
      <c r="F10685" s="3"/>
      <c r="G10685" s="3"/>
      <c r="H10685" s="11"/>
      <c r="I10685" s="12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  <c r="AA10685" s="3"/>
      <c r="AB10685" s="3"/>
      <c r="AC10685" s="3"/>
      <c r="AD10685" s="3"/>
      <c r="AE10685" s="3"/>
      <c r="AF10685" s="3"/>
      <c r="AG10685" s="3"/>
      <c r="AH10685" s="3"/>
    </row>
    <row r="10686" spans="1:34" ht="14.25" customHeight="1" x14ac:dyDescent="0.25">
      <c r="A10686" s="3"/>
      <c r="B10686" s="3"/>
      <c r="C10686" s="3"/>
      <c r="D10686" s="3"/>
      <c r="E10686" s="3"/>
      <c r="F10686" s="3"/>
      <c r="G10686" s="3"/>
      <c r="H10686" s="11"/>
      <c r="I10686" s="12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  <c r="AA10686" s="3"/>
      <c r="AB10686" s="3"/>
      <c r="AC10686" s="3"/>
      <c r="AD10686" s="3"/>
      <c r="AE10686" s="3"/>
      <c r="AF10686" s="3"/>
      <c r="AG10686" s="3"/>
      <c r="AH10686" s="3"/>
    </row>
    <row r="10687" spans="1:34" ht="14.25" customHeight="1" x14ac:dyDescent="0.25">
      <c r="A10687" s="3"/>
      <c r="B10687" s="3"/>
      <c r="C10687" s="3"/>
      <c r="D10687" s="3"/>
      <c r="E10687" s="3"/>
      <c r="F10687" s="3"/>
      <c r="G10687" s="3"/>
      <c r="H10687" s="11"/>
      <c r="I10687" s="12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  <c r="AA10687" s="3"/>
      <c r="AB10687" s="3"/>
      <c r="AC10687" s="3"/>
      <c r="AD10687" s="3"/>
      <c r="AE10687" s="3"/>
      <c r="AF10687" s="3"/>
      <c r="AG10687" s="3"/>
      <c r="AH10687" s="3"/>
    </row>
    <row r="10688" spans="1:34" ht="14.25" customHeight="1" x14ac:dyDescent="0.25">
      <c r="A10688" s="3"/>
      <c r="B10688" s="3"/>
      <c r="C10688" s="3"/>
      <c r="D10688" s="3"/>
      <c r="E10688" s="3"/>
      <c r="F10688" s="3"/>
      <c r="G10688" s="3"/>
      <c r="H10688" s="11"/>
      <c r="I10688" s="12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  <c r="AA10688" s="3"/>
      <c r="AB10688" s="3"/>
      <c r="AC10688" s="3"/>
      <c r="AD10688" s="3"/>
      <c r="AE10688" s="3"/>
      <c r="AF10688" s="3"/>
      <c r="AG10688" s="3"/>
      <c r="AH10688" s="3"/>
    </row>
    <row r="10689" spans="1:34" ht="14.25" customHeight="1" x14ac:dyDescent="0.25">
      <c r="A10689" s="3"/>
      <c r="B10689" s="3"/>
      <c r="C10689" s="3"/>
      <c r="D10689" s="3"/>
      <c r="E10689" s="3"/>
      <c r="F10689" s="3"/>
      <c r="G10689" s="3"/>
      <c r="H10689" s="11"/>
      <c r="I10689" s="12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  <c r="AA10689" s="3"/>
      <c r="AB10689" s="3"/>
      <c r="AC10689" s="3"/>
      <c r="AD10689" s="3"/>
      <c r="AE10689" s="3"/>
      <c r="AF10689" s="3"/>
      <c r="AG10689" s="3"/>
      <c r="AH10689" s="3"/>
    </row>
    <row r="10690" spans="1:34" ht="14.25" customHeight="1" x14ac:dyDescent="0.25">
      <c r="A10690" s="3"/>
      <c r="B10690" s="3"/>
      <c r="C10690" s="3"/>
      <c r="D10690" s="3"/>
      <c r="E10690" s="3"/>
      <c r="F10690" s="3"/>
      <c r="G10690" s="3"/>
      <c r="H10690" s="11"/>
      <c r="I10690" s="12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  <c r="AA10690" s="3"/>
      <c r="AB10690" s="3"/>
      <c r="AC10690" s="3"/>
      <c r="AD10690" s="3"/>
      <c r="AE10690" s="3"/>
      <c r="AF10690" s="3"/>
      <c r="AG10690" s="3"/>
      <c r="AH10690" s="3"/>
    </row>
    <row r="10691" spans="1:34" ht="14.25" customHeight="1" x14ac:dyDescent="0.25">
      <c r="A10691" s="3"/>
      <c r="B10691" s="3"/>
      <c r="C10691" s="3"/>
      <c r="D10691" s="3"/>
      <c r="E10691" s="3"/>
      <c r="F10691" s="3"/>
      <c r="G10691" s="3"/>
      <c r="H10691" s="11"/>
      <c r="I10691" s="12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  <c r="AA10691" s="3"/>
      <c r="AB10691" s="3"/>
      <c r="AC10691" s="3"/>
      <c r="AD10691" s="3"/>
      <c r="AE10691" s="3"/>
      <c r="AF10691" s="3"/>
      <c r="AG10691" s="3"/>
      <c r="AH10691" s="3"/>
    </row>
    <row r="10692" spans="1:34" ht="14.25" customHeight="1" x14ac:dyDescent="0.25">
      <c r="A10692" s="3"/>
      <c r="B10692" s="3"/>
      <c r="C10692" s="3"/>
      <c r="D10692" s="3"/>
      <c r="E10692" s="3"/>
      <c r="F10692" s="3"/>
      <c r="G10692" s="3"/>
      <c r="H10692" s="11"/>
      <c r="I10692" s="12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  <c r="AA10692" s="3"/>
      <c r="AB10692" s="3"/>
      <c r="AC10692" s="3"/>
      <c r="AD10692" s="3"/>
      <c r="AE10692" s="3"/>
      <c r="AF10692" s="3"/>
      <c r="AG10692" s="3"/>
      <c r="AH10692" s="3"/>
    </row>
    <row r="10693" spans="1:34" ht="14.25" customHeight="1" x14ac:dyDescent="0.25">
      <c r="A10693" s="3"/>
      <c r="B10693" s="3"/>
      <c r="C10693" s="3"/>
      <c r="D10693" s="3"/>
      <c r="E10693" s="3"/>
      <c r="F10693" s="3"/>
      <c r="G10693" s="3"/>
      <c r="H10693" s="11"/>
      <c r="I10693" s="12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  <c r="AA10693" s="3"/>
      <c r="AB10693" s="3"/>
      <c r="AC10693" s="3"/>
      <c r="AD10693" s="3"/>
      <c r="AE10693" s="3"/>
      <c r="AF10693" s="3"/>
      <c r="AG10693" s="3"/>
      <c r="AH10693" s="3"/>
    </row>
    <row r="10694" spans="1:34" ht="14.25" customHeight="1" x14ac:dyDescent="0.25">
      <c r="A10694" s="3"/>
      <c r="B10694" s="3"/>
      <c r="C10694" s="3"/>
      <c r="D10694" s="3"/>
      <c r="E10694" s="3"/>
      <c r="F10694" s="3"/>
      <c r="G10694" s="3"/>
      <c r="H10694" s="11"/>
      <c r="I10694" s="12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  <c r="AA10694" s="3"/>
      <c r="AB10694" s="3"/>
      <c r="AC10694" s="3"/>
      <c r="AD10694" s="3"/>
      <c r="AE10694" s="3"/>
      <c r="AF10694" s="3"/>
      <c r="AG10694" s="3"/>
      <c r="AH10694" s="3"/>
    </row>
    <row r="10695" spans="1:34" ht="14.25" customHeight="1" x14ac:dyDescent="0.25">
      <c r="A10695" s="3"/>
      <c r="B10695" s="3"/>
      <c r="C10695" s="3"/>
      <c r="D10695" s="3"/>
      <c r="E10695" s="3"/>
      <c r="F10695" s="3"/>
      <c r="G10695" s="3"/>
      <c r="H10695" s="11"/>
      <c r="I10695" s="12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  <c r="AA10695" s="3"/>
      <c r="AB10695" s="3"/>
      <c r="AC10695" s="3"/>
      <c r="AD10695" s="3"/>
      <c r="AE10695" s="3"/>
      <c r="AF10695" s="3"/>
      <c r="AG10695" s="3"/>
      <c r="AH10695" s="3"/>
    </row>
    <row r="10696" spans="1:34" ht="14.25" customHeight="1" x14ac:dyDescent="0.25">
      <c r="A10696" s="3"/>
      <c r="B10696" s="3"/>
      <c r="C10696" s="3"/>
      <c r="D10696" s="3"/>
      <c r="E10696" s="3"/>
      <c r="F10696" s="3"/>
      <c r="G10696" s="3"/>
      <c r="H10696" s="11"/>
      <c r="I10696" s="12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  <c r="AA10696" s="3"/>
      <c r="AB10696" s="3"/>
      <c r="AC10696" s="3"/>
      <c r="AD10696" s="3"/>
      <c r="AE10696" s="3"/>
      <c r="AF10696" s="3"/>
      <c r="AG10696" s="3"/>
      <c r="AH10696" s="3"/>
    </row>
    <row r="10697" spans="1:34" ht="14.25" customHeight="1" x14ac:dyDescent="0.25">
      <c r="A10697" s="3"/>
      <c r="B10697" s="3"/>
      <c r="C10697" s="3"/>
      <c r="D10697" s="3"/>
      <c r="E10697" s="3"/>
      <c r="F10697" s="3"/>
      <c r="G10697" s="3"/>
      <c r="H10697" s="11"/>
      <c r="I10697" s="12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  <c r="AA10697" s="3"/>
      <c r="AB10697" s="3"/>
      <c r="AC10697" s="3"/>
      <c r="AD10697" s="3"/>
      <c r="AE10697" s="3"/>
      <c r="AF10697" s="3"/>
      <c r="AG10697" s="3"/>
      <c r="AH10697" s="3"/>
    </row>
    <row r="10698" spans="1:34" ht="14.25" customHeight="1" x14ac:dyDescent="0.25">
      <c r="A10698" s="3"/>
      <c r="B10698" s="3"/>
      <c r="C10698" s="3"/>
      <c r="D10698" s="3"/>
      <c r="E10698" s="3"/>
      <c r="F10698" s="3"/>
      <c r="G10698" s="3"/>
      <c r="H10698" s="11"/>
      <c r="I10698" s="12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  <c r="AA10698" s="3"/>
      <c r="AB10698" s="3"/>
      <c r="AC10698" s="3"/>
      <c r="AD10698" s="3"/>
      <c r="AE10698" s="3"/>
      <c r="AF10698" s="3"/>
      <c r="AG10698" s="3"/>
      <c r="AH10698" s="3"/>
    </row>
    <row r="10699" spans="1:34" ht="14.25" customHeight="1" x14ac:dyDescent="0.25">
      <c r="A10699" s="3"/>
      <c r="B10699" s="3"/>
      <c r="C10699" s="3"/>
      <c r="D10699" s="3"/>
      <c r="E10699" s="3"/>
      <c r="F10699" s="3"/>
      <c r="G10699" s="3"/>
      <c r="H10699" s="11"/>
      <c r="I10699" s="12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  <c r="AA10699" s="3"/>
      <c r="AB10699" s="3"/>
      <c r="AC10699" s="3"/>
      <c r="AD10699" s="3"/>
      <c r="AE10699" s="3"/>
      <c r="AF10699" s="3"/>
      <c r="AG10699" s="3"/>
      <c r="AH10699" s="3"/>
    </row>
    <row r="10700" spans="1:34" ht="14.25" customHeight="1" x14ac:dyDescent="0.25">
      <c r="A10700" s="3"/>
      <c r="B10700" s="3"/>
      <c r="C10700" s="3"/>
      <c r="D10700" s="3"/>
      <c r="E10700" s="3"/>
      <c r="F10700" s="3"/>
      <c r="G10700" s="3"/>
      <c r="H10700" s="11"/>
      <c r="I10700" s="12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  <c r="AA10700" s="3"/>
      <c r="AB10700" s="3"/>
      <c r="AC10700" s="3"/>
      <c r="AD10700" s="3"/>
      <c r="AE10700" s="3"/>
      <c r="AF10700" s="3"/>
      <c r="AG10700" s="3"/>
      <c r="AH10700" s="3"/>
    </row>
    <row r="10701" spans="1:34" ht="14.25" customHeight="1" x14ac:dyDescent="0.25">
      <c r="A10701" s="3"/>
      <c r="B10701" s="3"/>
      <c r="C10701" s="3"/>
      <c r="D10701" s="3"/>
      <c r="E10701" s="3"/>
      <c r="F10701" s="3"/>
      <c r="G10701" s="3"/>
      <c r="H10701" s="11"/>
      <c r="I10701" s="12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  <c r="AA10701" s="3"/>
      <c r="AB10701" s="3"/>
      <c r="AC10701" s="3"/>
      <c r="AD10701" s="3"/>
      <c r="AE10701" s="3"/>
      <c r="AF10701" s="3"/>
      <c r="AG10701" s="3"/>
      <c r="AH10701" s="3"/>
    </row>
    <row r="10702" spans="1:34" ht="14.25" customHeight="1" x14ac:dyDescent="0.25">
      <c r="A10702" s="3"/>
      <c r="B10702" s="3"/>
      <c r="C10702" s="3"/>
      <c r="D10702" s="3"/>
      <c r="E10702" s="3"/>
      <c r="F10702" s="3"/>
      <c r="G10702" s="3"/>
      <c r="H10702" s="11"/>
      <c r="I10702" s="12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  <c r="AA10702" s="3"/>
      <c r="AB10702" s="3"/>
      <c r="AC10702" s="3"/>
      <c r="AD10702" s="3"/>
      <c r="AE10702" s="3"/>
      <c r="AF10702" s="3"/>
      <c r="AG10702" s="3"/>
      <c r="AH10702" s="3"/>
    </row>
    <row r="10703" spans="1:34" ht="14.25" customHeight="1" x14ac:dyDescent="0.25">
      <c r="A10703" s="3"/>
      <c r="B10703" s="3"/>
      <c r="C10703" s="3"/>
      <c r="D10703" s="3"/>
      <c r="E10703" s="3"/>
      <c r="F10703" s="3"/>
      <c r="G10703" s="3"/>
      <c r="H10703" s="11"/>
      <c r="I10703" s="12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  <c r="AA10703" s="3"/>
      <c r="AB10703" s="3"/>
      <c r="AC10703" s="3"/>
      <c r="AD10703" s="3"/>
      <c r="AE10703" s="3"/>
      <c r="AF10703" s="3"/>
      <c r="AG10703" s="3"/>
      <c r="AH10703" s="3"/>
    </row>
    <row r="10704" spans="1:34" ht="14.25" customHeight="1" x14ac:dyDescent="0.25">
      <c r="A10704" s="3"/>
      <c r="B10704" s="3"/>
      <c r="C10704" s="3"/>
      <c r="D10704" s="3"/>
      <c r="E10704" s="3"/>
      <c r="F10704" s="3"/>
      <c r="G10704" s="3"/>
      <c r="H10704" s="11"/>
      <c r="I10704" s="12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  <c r="AA10704" s="3"/>
      <c r="AB10704" s="3"/>
      <c r="AC10704" s="3"/>
      <c r="AD10704" s="3"/>
      <c r="AE10704" s="3"/>
      <c r="AF10704" s="3"/>
      <c r="AG10704" s="3"/>
      <c r="AH10704" s="3"/>
    </row>
    <row r="10705" spans="1:34" ht="14.25" customHeight="1" x14ac:dyDescent="0.25">
      <c r="A10705" s="3"/>
      <c r="B10705" s="3"/>
      <c r="C10705" s="3"/>
      <c r="D10705" s="3"/>
      <c r="E10705" s="3"/>
      <c r="F10705" s="3"/>
      <c r="G10705" s="3"/>
      <c r="H10705" s="11"/>
      <c r="I10705" s="12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  <c r="AA10705" s="3"/>
      <c r="AB10705" s="3"/>
      <c r="AC10705" s="3"/>
      <c r="AD10705" s="3"/>
      <c r="AE10705" s="3"/>
      <c r="AF10705" s="3"/>
      <c r="AG10705" s="3"/>
      <c r="AH10705" s="3"/>
    </row>
    <row r="10706" spans="1:34" ht="14.25" customHeight="1" x14ac:dyDescent="0.25">
      <c r="A10706" s="3"/>
      <c r="B10706" s="3"/>
      <c r="C10706" s="3"/>
      <c r="D10706" s="3"/>
      <c r="E10706" s="3"/>
      <c r="F10706" s="3"/>
      <c r="G10706" s="3"/>
      <c r="H10706" s="11"/>
      <c r="I10706" s="12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  <c r="AA10706" s="3"/>
      <c r="AB10706" s="3"/>
      <c r="AC10706" s="3"/>
      <c r="AD10706" s="3"/>
      <c r="AE10706" s="3"/>
      <c r="AF10706" s="3"/>
      <c r="AG10706" s="3"/>
      <c r="AH10706" s="3"/>
    </row>
    <row r="10707" spans="1:34" ht="14.25" customHeight="1" x14ac:dyDescent="0.25">
      <c r="A10707" s="3"/>
      <c r="B10707" s="3"/>
      <c r="C10707" s="3"/>
      <c r="D10707" s="3"/>
      <c r="E10707" s="3"/>
      <c r="F10707" s="3"/>
      <c r="G10707" s="3"/>
      <c r="H10707" s="11"/>
      <c r="I10707" s="12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  <c r="AA10707" s="3"/>
      <c r="AB10707" s="3"/>
      <c r="AC10707" s="3"/>
      <c r="AD10707" s="3"/>
      <c r="AE10707" s="3"/>
      <c r="AF10707" s="3"/>
      <c r="AG10707" s="3"/>
      <c r="AH10707" s="3"/>
    </row>
    <row r="10708" spans="1:34" ht="14.25" customHeight="1" x14ac:dyDescent="0.25">
      <c r="A10708" s="3"/>
      <c r="B10708" s="3"/>
      <c r="C10708" s="3"/>
      <c r="D10708" s="3"/>
      <c r="E10708" s="3"/>
      <c r="F10708" s="3"/>
      <c r="G10708" s="3"/>
      <c r="H10708" s="11"/>
      <c r="I10708" s="12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  <c r="AA10708" s="3"/>
      <c r="AB10708" s="3"/>
      <c r="AC10708" s="3"/>
      <c r="AD10708" s="3"/>
      <c r="AE10708" s="3"/>
      <c r="AF10708" s="3"/>
      <c r="AG10708" s="3"/>
      <c r="AH10708" s="3"/>
    </row>
    <row r="10709" spans="1:34" ht="14.25" customHeight="1" x14ac:dyDescent="0.25">
      <c r="A10709" s="3"/>
      <c r="B10709" s="3"/>
      <c r="C10709" s="3"/>
      <c r="D10709" s="3"/>
      <c r="E10709" s="3"/>
      <c r="F10709" s="3"/>
      <c r="G10709" s="3"/>
      <c r="H10709" s="11"/>
      <c r="I10709" s="12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  <c r="AA10709" s="3"/>
      <c r="AB10709" s="3"/>
      <c r="AC10709" s="3"/>
      <c r="AD10709" s="3"/>
      <c r="AE10709" s="3"/>
      <c r="AF10709" s="3"/>
      <c r="AG10709" s="3"/>
      <c r="AH10709" s="3"/>
    </row>
    <row r="10710" spans="1:34" ht="14.25" customHeight="1" x14ac:dyDescent="0.25">
      <c r="A10710" s="3"/>
      <c r="B10710" s="3"/>
      <c r="C10710" s="3"/>
      <c r="D10710" s="3"/>
      <c r="E10710" s="3"/>
      <c r="F10710" s="3"/>
      <c r="G10710" s="3"/>
      <c r="H10710" s="11"/>
      <c r="I10710" s="12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  <c r="AA10710" s="3"/>
      <c r="AB10710" s="3"/>
      <c r="AC10710" s="3"/>
      <c r="AD10710" s="3"/>
      <c r="AE10710" s="3"/>
      <c r="AF10710" s="3"/>
      <c r="AG10710" s="3"/>
      <c r="AH10710" s="3"/>
    </row>
    <row r="10711" spans="1:34" ht="14.25" customHeight="1" x14ac:dyDescent="0.25">
      <c r="A10711" s="3"/>
      <c r="B10711" s="3"/>
      <c r="C10711" s="3"/>
      <c r="D10711" s="3"/>
      <c r="E10711" s="3"/>
      <c r="F10711" s="3"/>
      <c r="G10711" s="14"/>
      <c r="H10711" s="11"/>
      <c r="I10711" s="12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  <c r="AA10711" s="3"/>
      <c r="AB10711" s="3"/>
      <c r="AC10711" s="3"/>
      <c r="AD10711" s="3"/>
      <c r="AE10711" s="3"/>
      <c r="AF10711" s="3"/>
      <c r="AG10711" s="3"/>
      <c r="AH10711" s="3"/>
    </row>
    <row r="10712" spans="1:34" ht="14.25" customHeight="1" x14ac:dyDescent="0.25">
      <c r="A10712" s="3"/>
      <c r="B10712" s="3"/>
      <c r="C10712" s="3"/>
      <c r="D10712" s="3"/>
      <c r="E10712" s="3"/>
      <c r="F10712" s="3"/>
      <c r="G10712" s="3"/>
      <c r="H10712" s="11"/>
      <c r="I10712" s="12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  <c r="AA10712" s="3"/>
      <c r="AB10712" s="3"/>
      <c r="AC10712" s="3"/>
      <c r="AD10712" s="3"/>
      <c r="AE10712" s="3"/>
      <c r="AF10712" s="3"/>
      <c r="AG10712" s="3"/>
      <c r="AH10712" s="3"/>
    </row>
    <row r="10713" spans="1:34" ht="14.25" customHeight="1" x14ac:dyDescent="0.25">
      <c r="A10713" s="3"/>
      <c r="B10713" s="3"/>
      <c r="C10713" s="3"/>
      <c r="D10713" s="3"/>
      <c r="E10713" s="3"/>
      <c r="F10713" s="3"/>
      <c r="G10713" s="3"/>
      <c r="H10713" s="11"/>
      <c r="I10713" s="12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  <c r="AA10713" s="3"/>
      <c r="AB10713" s="3"/>
      <c r="AC10713" s="3"/>
      <c r="AD10713" s="3"/>
      <c r="AE10713" s="3"/>
      <c r="AF10713" s="3"/>
      <c r="AG10713" s="3"/>
      <c r="AH10713" s="3"/>
    </row>
    <row r="10714" spans="1:34" ht="14.25" customHeight="1" x14ac:dyDescent="0.25">
      <c r="A10714" s="3"/>
      <c r="B10714" s="3"/>
      <c r="C10714" s="3"/>
      <c r="D10714" s="3"/>
      <c r="E10714" s="3"/>
      <c r="F10714" s="3"/>
      <c r="G10714" s="3"/>
      <c r="H10714" s="11"/>
      <c r="I10714" s="12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  <c r="AA10714" s="3"/>
      <c r="AB10714" s="3"/>
      <c r="AC10714" s="3"/>
      <c r="AD10714" s="3"/>
      <c r="AE10714" s="3"/>
      <c r="AF10714" s="3"/>
      <c r="AG10714" s="3"/>
      <c r="AH10714" s="3"/>
    </row>
    <row r="10715" spans="1:34" ht="14.25" customHeight="1" x14ac:dyDescent="0.25">
      <c r="A10715" s="3"/>
      <c r="B10715" s="3"/>
      <c r="C10715" s="3"/>
      <c r="D10715" s="3"/>
      <c r="E10715" s="3"/>
      <c r="F10715" s="3"/>
      <c r="G10715" s="3"/>
      <c r="H10715" s="11"/>
      <c r="I10715" s="12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  <c r="AA10715" s="3"/>
      <c r="AB10715" s="3"/>
      <c r="AC10715" s="3"/>
      <c r="AD10715" s="3"/>
      <c r="AE10715" s="3"/>
      <c r="AF10715" s="3"/>
      <c r="AG10715" s="3"/>
      <c r="AH10715" s="3"/>
    </row>
    <row r="10716" spans="1:34" ht="14.25" customHeight="1" x14ac:dyDescent="0.25">
      <c r="A10716" s="3"/>
      <c r="B10716" s="3"/>
      <c r="C10716" s="3"/>
      <c r="D10716" s="3"/>
      <c r="E10716" s="3"/>
      <c r="F10716" s="3"/>
      <c r="G10716" s="3"/>
      <c r="H10716" s="11"/>
      <c r="I10716" s="12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  <c r="AA10716" s="3"/>
      <c r="AB10716" s="3"/>
      <c r="AC10716" s="3"/>
      <c r="AD10716" s="3"/>
      <c r="AE10716" s="3"/>
      <c r="AF10716" s="3"/>
      <c r="AG10716" s="3"/>
      <c r="AH10716" s="3"/>
    </row>
    <row r="10717" spans="1:34" ht="14.25" customHeight="1" x14ac:dyDescent="0.25">
      <c r="A10717" s="3"/>
      <c r="B10717" s="3"/>
      <c r="C10717" s="3"/>
      <c r="D10717" s="3"/>
      <c r="E10717" s="3"/>
      <c r="F10717" s="3"/>
      <c r="G10717" s="3"/>
      <c r="H10717" s="11"/>
      <c r="I10717" s="12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  <c r="AA10717" s="3"/>
      <c r="AB10717" s="3"/>
      <c r="AC10717" s="3"/>
      <c r="AD10717" s="3"/>
      <c r="AE10717" s="3"/>
      <c r="AF10717" s="3"/>
      <c r="AG10717" s="3"/>
      <c r="AH10717" s="3"/>
    </row>
    <row r="10718" spans="1:34" ht="14.25" customHeight="1" x14ac:dyDescent="0.25">
      <c r="A10718" s="3"/>
      <c r="B10718" s="3"/>
      <c r="C10718" s="3"/>
      <c r="D10718" s="3"/>
      <c r="E10718" s="3"/>
      <c r="F10718" s="3"/>
      <c r="G10718" s="3"/>
      <c r="H10718" s="11"/>
      <c r="I10718" s="12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  <c r="AA10718" s="3"/>
      <c r="AB10718" s="3"/>
      <c r="AC10718" s="3"/>
      <c r="AD10718" s="3"/>
      <c r="AE10718" s="3"/>
      <c r="AF10718" s="3"/>
      <c r="AG10718" s="3"/>
      <c r="AH10718" s="3"/>
    </row>
    <row r="10719" spans="1:34" ht="14.25" customHeight="1" x14ac:dyDescent="0.25">
      <c r="A10719" s="3"/>
      <c r="B10719" s="3"/>
      <c r="C10719" s="3"/>
      <c r="D10719" s="3"/>
      <c r="E10719" s="3"/>
      <c r="F10719" s="3"/>
      <c r="G10719" s="3"/>
      <c r="H10719" s="11"/>
      <c r="I10719" s="12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  <c r="AA10719" s="3"/>
      <c r="AB10719" s="3"/>
      <c r="AC10719" s="3"/>
      <c r="AD10719" s="3"/>
      <c r="AE10719" s="3"/>
      <c r="AF10719" s="3"/>
      <c r="AG10719" s="3"/>
      <c r="AH10719" s="3"/>
    </row>
    <row r="10720" spans="1:34" ht="14.25" customHeight="1" x14ac:dyDescent="0.25">
      <c r="A10720" s="3"/>
      <c r="B10720" s="3"/>
      <c r="C10720" s="3"/>
      <c r="D10720" s="3"/>
      <c r="E10720" s="3"/>
      <c r="F10720" s="3"/>
      <c r="G10720" s="3"/>
      <c r="H10720" s="11"/>
      <c r="I10720" s="12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  <c r="AA10720" s="3"/>
      <c r="AB10720" s="3"/>
      <c r="AC10720" s="3"/>
      <c r="AD10720" s="3"/>
      <c r="AE10720" s="3"/>
      <c r="AF10720" s="3"/>
      <c r="AG10720" s="3"/>
      <c r="AH10720" s="3"/>
    </row>
    <row r="10721" spans="1:34" ht="14.25" customHeight="1" x14ac:dyDescent="0.25">
      <c r="A10721" s="3"/>
      <c r="B10721" s="3"/>
      <c r="C10721" s="3"/>
      <c r="D10721" s="3"/>
      <c r="E10721" s="3"/>
      <c r="F10721" s="3"/>
      <c r="G10721" s="3"/>
      <c r="H10721" s="11"/>
      <c r="I10721" s="12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  <c r="AA10721" s="3"/>
      <c r="AB10721" s="3"/>
      <c r="AC10721" s="3"/>
      <c r="AD10721" s="3"/>
      <c r="AE10721" s="3"/>
      <c r="AF10721" s="3"/>
      <c r="AG10721" s="3"/>
      <c r="AH10721" s="3"/>
    </row>
    <row r="10722" spans="1:34" ht="14.25" customHeight="1" x14ac:dyDescent="0.25">
      <c r="A10722" s="3"/>
      <c r="B10722" s="3"/>
      <c r="C10722" s="3"/>
      <c r="D10722" s="3"/>
      <c r="E10722" s="3"/>
      <c r="F10722" s="3"/>
      <c r="G10722" s="3"/>
      <c r="H10722" s="11"/>
      <c r="I10722" s="12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  <c r="AA10722" s="3"/>
      <c r="AB10722" s="3"/>
      <c r="AC10722" s="3"/>
      <c r="AD10722" s="3"/>
      <c r="AE10722" s="3"/>
      <c r="AF10722" s="3"/>
      <c r="AG10722" s="3"/>
      <c r="AH10722" s="3"/>
    </row>
    <row r="10723" spans="1:34" ht="14.25" customHeight="1" x14ac:dyDescent="0.25">
      <c r="A10723" s="3"/>
      <c r="B10723" s="3"/>
      <c r="C10723" s="3"/>
      <c r="D10723" s="3"/>
      <c r="E10723" s="3"/>
      <c r="F10723" s="3"/>
      <c r="G10723" s="3"/>
      <c r="H10723" s="11"/>
      <c r="I10723" s="12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  <c r="AA10723" s="3"/>
      <c r="AB10723" s="3"/>
      <c r="AC10723" s="3"/>
      <c r="AD10723" s="3"/>
      <c r="AE10723" s="3"/>
      <c r="AF10723" s="3"/>
      <c r="AG10723" s="3"/>
      <c r="AH10723" s="3"/>
    </row>
    <row r="10724" spans="1:34" ht="14.25" customHeight="1" x14ac:dyDescent="0.25">
      <c r="A10724" s="3"/>
      <c r="B10724" s="3"/>
      <c r="C10724" s="3"/>
      <c r="D10724" s="3"/>
      <c r="E10724" s="3"/>
      <c r="F10724" s="3"/>
      <c r="G10724" s="3"/>
      <c r="H10724" s="11"/>
      <c r="I10724" s="12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  <c r="AA10724" s="3"/>
      <c r="AB10724" s="3"/>
      <c r="AC10724" s="3"/>
      <c r="AD10724" s="3"/>
      <c r="AE10724" s="3"/>
      <c r="AF10724" s="3"/>
      <c r="AG10724" s="3"/>
      <c r="AH10724" s="3"/>
    </row>
    <row r="10725" spans="1:34" ht="14.25" customHeight="1" x14ac:dyDescent="0.25">
      <c r="A10725" s="3"/>
      <c r="B10725" s="3"/>
      <c r="C10725" s="3"/>
      <c r="D10725" s="3"/>
      <c r="E10725" s="3"/>
      <c r="F10725" s="3"/>
      <c r="G10725" s="3"/>
      <c r="H10725" s="11"/>
      <c r="I10725" s="12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  <c r="AA10725" s="3"/>
      <c r="AB10725" s="3"/>
      <c r="AC10725" s="3"/>
      <c r="AD10725" s="3"/>
      <c r="AE10725" s="3"/>
      <c r="AF10725" s="3"/>
      <c r="AG10725" s="3"/>
      <c r="AH10725" s="3"/>
    </row>
    <row r="10726" spans="1:34" ht="14.25" customHeight="1" x14ac:dyDescent="0.25">
      <c r="A10726" s="3"/>
      <c r="B10726" s="3"/>
      <c r="C10726" s="3"/>
      <c r="D10726" s="3"/>
      <c r="E10726" s="3"/>
      <c r="F10726" s="3"/>
      <c r="G10726" s="3"/>
      <c r="H10726" s="11"/>
      <c r="I10726" s="12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  <c r="AA10726" s="3"/>
      <c r="AB10726" s="3"/>
      <c r="AC10726" s="3"/>
      <c r="AD10726" s="3"/>
      <c r="AE10726" s="3"/>
      <c r="AF10726" s="3"/>
      <c r="AG10726" s="3"/>
      <c r="AH10726" s="3"/>
    </row>
    <row r="10727" spans="1:34" ht="14.25" customHeight="1" x14ac:dyDescent="0.25">
      <c r="A10727" s="3"/>
      <c r="B10727" s="3"/>
      <c r="C10727" s="3"/>
      <c r="D10727" s="3"/>
      <c r="E10727" s="3"/>
      <c r="F10727" s="3"/>
      <c r="G10727" s="3"/>
      <c r="H10727" s="11"/>
      <c r="I10727" s="12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  <c r="AA10727" s="3"/>
      <c r="AB10727" s="3"/>
      <c r="AC10727" s="3"/>
      <c r="AD10727" s="3"/>
      <c r="AE10727" s="3"/>
      <c r="AF10727" s="3"/>
      <c r="AG10727" s="3"/>
      <c r="AH10727" s="3"/>
    </row>
    <row r="10728" spans="1:34" ht="14.25" customHeight="1" x14ac:dyDescent="0.25">
      <c r="A10728" s="3"/>
      <c r="B10728" s="3"/>
      <c r="C10728" s="3"/>
      <c r="D10728" s="3"/>
      <c r="E10728" s="3"/>
      <c r="F10728" s="3"/>
      <c r="G10728" s="3"/>
      <c r="H10728" s="11"/>
      <c r="I10728" s="12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  <c r="AA10728" s="3"/>
      <c r="AB10728" s="3"/>
      <c r="AC10728" s="3"/>
      <c r="AD10728" s="3"/>
      <c r="AE10728" s="3"/>
      <c r="AF10728" s="3"/>
      <c r="AG10728" s="3"/>
      <c r="AH10728" s="3"/>
    </row>
    <row r="10729" spans="1:34" ht="14.25" customHeight="1" x14ac:dyDescent="0.25">
      <c r="A10729" s="3"/>
      <c r="B10729" s="3"/>
      <c r="C10729" s="3"/>
      <c r="D10729" s="3"/>
      <c r="E10729" s="3"/>
      <c r="F10729" s="3"/>
      <c r="G10729" s="3"/>
      <c r="H10729" s="11"/>
      <c r="I10729" s="12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  <c r="AA10729" s="3"/>
      <c r="AB10729" s="3"/>
      <c r="AC10729" s="3"/>
      <c r="AD10729" s="3"/>
      <c r="AE10729" s="3"/>
      <c r="AF10729" s="3"/>
      <c r="AG10729" s="3"/>
      <c r="AH10729" s="3"/>
    </row>
    <row r="10730" spans="1:34" ht="14.25" customHeight="1" x14ac:dyDescent="0.25">
      <c r="A10730" s="3"/>
      <c r="B10730" s="3"/>
      <c r="C10730" s="3"/>
      <c r="D10730" s="3"/>
      <c r="E10730" s="3"/>
      <c r="F10730" s="3"/>
      <c r="G10730" s="3"/>
      <c r="H10730" s="11"/>
      <c r="I10730" s="12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  <c r="AA10730" s="3"/>
      <c r="AB10730" s="3"/>
      <c r="AC10730" s="3"/>
      <c r="AD10730" s="3"/>
      <c r="AE10730" s="3"/>
      <c r="AF10730" s="3"/>
      <c r="AG10730" s="3"/>
      <c r="AH10730" s="3"/>
    </row>
    <row r="10731" spans="1:34" ht="14.25" customHeight="1" x14ac:dyDescent="0.25">
      <c r="A10731" s="3"/>
      <c r="B10731" s="3"/>
      <c r="C10731" s="3"/>
      <c r="D10731" s="3"/>
      <c r="E10731" s="3"/>
      <c r="F10731" s="3"/>
      <c r="G10731" s="3"/>
      <c r="H10731" s="11"/>
      <c r="I10731" s="12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  <c r="AA10731" s="3"/>
      <c r="AB10731" s="3"/>
      <c r="AC10731" s="3"/>
      <c r="AD10731" s="3"/>
      <c r="AE10731" s="3"/>
      <c r="AF10731" s="3"/>
      <c r="AG10731" s="3"/>
      <c r="AH10731" s="3"/>
    </row>
    <row r="10732" spans="1:34" ht="14.25" customHeight="1" x14ac:dyDescent="0.25">
      <c r="A10732" s="3"/>
      <c r="B10732" s="3"/>
      <c r="C10732" s="3"/>
      <c r="D10732" s="3"/>
      <c r="E10732" s="3"/>
      <c r="F10732" s="3"/>
      <c r="G10732" s="3"/>
      <c r="H10732" s="11"/>
      <c r="I10732" s="12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  <c r="AA10732" s="3"/>
      <c r="AB10732" s="3"/>
      <c r="AC10732" s="3"/>
      <c r="AD10732" s="3"/>
      <c r="AE10732" s="3"/>
      <c r="AF10732" s="3"/>
      <c r="AG10732" s="3"/>
      <c r="AH10732" s="3"/>
    </row>
    <row r="10733" spans="1:34" ht="14.25" customHeight="1" x14ac:dyDescent="0.25">
      <c r="A10733" s="3"/>
      <c r="B10733" s="3"/>
      <c r="C10733" s="3"/>
      <c r="D10733" s="3"/>
      <c r="E10733" s="3"/>
      <c r="F10733" s="3"/>
      <c r="G10733" s="3"/>
      <c r="H10733" s="11"/>
      <c r="I10733" s="12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  <c r="AA10733" s="3"/>
      <c r="AB10733" s="3"/>
      <c r="AC10733" s="3"/>
      <c r="AD10733" s="3"/>
      <c r="AE10733" s="3"/>
      <c r="AF10733" s="3"/>
      <c r="AG10733" s="3"/>
      <c r="AH10733" s="3"/>
    </row>
    <row r="10734" spans="1:34" ht="14.25" customHeight="1" x14ac:dyDescent="0.25">
      <c r="A10734" s="3"/>
      <c r="B10734" s="3"/>
      <c r="C10734" s="3"/>
      <c r="D10734" s="3"/>
      <c r="E10734" s="3"/>
      <c r="F10734" s="3"/>
      <c r="G10734" s="3"/>
      <c r="H10734" s="11"/>
      <c r="I10734" s="12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  <c r="AA10734" s="3"/>
      <c r="AB10734" s="3"/>
      <c r="AC10734" s="3"/>
      <c r="AD10734" s="3"/>
      <c r="AE10734" s="3"/>
      <c r="AF10734" s="3"/>
      <c r="AG10734" s="3"/>
      <c r="AH10734" s="3"/>
    </row>
    <row r="10735" spans="1:34" ht="14.25" customHeight="1" x14ac:dyDescent="0.25">
      <c r="A10735" s="3"/>
      <c r="B10735" s="3"/>
      <c r="C10735" s="3"/>
      <c r="D10735" s="3"/>
      <c r="E10735" s="3"/>
      <c r="F10735" s="3"/>
      <c r="G10735" s="3"/>
      <c r="H10735" s="11"/>
      <c r="I10735" s="12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  <c r="AA10735" s="3"/>
      <c r="AB10735" s="3"/>
      <c r="AC10735" s="3"/>
      <c r="AD10735" s="3"/>
      <c r="AE10735" s="3"/>
      <c r="AF10735" s="3"/>
      <c r="AG10735" s="3"/>
      <c r="AH10735" s="3"/>
    </row>
    <row r="10736" spans="1:34" ht="14.25" customHeight="1" x14ac:dyDescent="0.25">
      <c r="A10736" s="3"/>
      <c r="B10736" s="3"/>
      <c r="C10736" s="3"/>
      <c r="D10736" s="3"/>
      <c r="E10736" s="3"/>
      <c r="F10736" s="3"/>
      <c r="G10736" s="3"/>
      <c r="H10736" s="11"/>
      <c r="I10736" s="12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  <c r="AA10736" s="3"/>
      <c r="AB10736" s="3"/>
      <c r="AC10736" s="3"/>
      <c r="AD10736" s="3"/>
      <c r="AE10736" s="3"/>
      <c r="AF10736" s="3"/>
      <c r="AG10736" s="3"/>
      <c r="AH10736" s="3"/>
    </row>
    <row r="10737" spans="1:34" ht="14.25" customHeight="1" x14ac:dyDescent="0.25">
      <c r="A10737" s="3"/>
      <c r="B10737" s="3"/>
      <c r="C10737" s="3"/>
      <c r="D10737" s="3"/>
      <c r="E10737" s="3"/>
      <c r="F10737" s="3"/>
      <c r="G10737" s="3"/>
      <c r="H10737" s="11"/>
      <c r="I10737" s="12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  <c r="AA10737" s="3"/>
      <c r="AB10737" s="3"/>
      <c r="AC10737" s="3"/>
      <c r="AD10737" s="3"/>
      <c r="AE10737" s="3"/>
      <c r="AF10737" s="3"/>
      <c r="AG10737" s="3"/>
      <c r="AH10737" s="3"/>
    </row>
    <row r="10738" spans="1:34" ht="14.25" customHeight="1" x14ac:dyDescent="0.25">
      <c r="A10738" s="3"/>
      <c r="B10738" s="3"/>
      <c r="C10738" s="3"/>
      <c r="D10738" s="3"/>
      <c r="E10738" s="3"/>
      <c r="F10738" s="3"/>
      <c r="G10738" s="3"/>
      <c r="H10738" s="11"/>
      <c r="I10738" s="12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  <c r="AA10738" s="3"/>
      <c r="AB10738" s="3"/>
      <c r="AC10738" s="3"/>
      <c r="AD10738" s="3"/>
      <c r="AE10738" s="3"/>
      <c r="AF10738" s="3"/>
      <c r="AG10738" s="3"/>
      <c r="AH10738" s="3"/>
    </row>
    <row r="10739" spans="1:34" ht="14.25" customHeight="1" x14ac:dyDescent="0.25">
      <c r="A10739" s="3"/>
      <c r="B10739" s="3"/>
      <c r="C10739" s="3"/>
      <c r="D10739" s="3"/>
      <c r="E10739" s="3"/>
      <c r="F10739" s="3"/>
      <c r="G10739" s="3"/>
      <c r="H10739" s="11"/>
      <c r="I10739" s="12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  <c r="AA10739" s="3"/>
      <c r="AB10739" s="3"/>
      <c r="AC10739" s="3"/>
      <c r="AD10739" s="3"/>
      <c r="AE10739" s="3"/>
      <c r="AF10739" s="3"/>
      <c r="AG10739" s="3"/>
      <c r="AH10739" s="3"/>
    </row>
    <row r="10740" spans="1:34" ht="14.25" customHeight="1" x14ac:dyDescent="0.25">
      <c r="A10740" s="3"/>
      <c r="B10740" s="3"/>
      <c r="C10740" s="3"/>
      <c r="D10740" s="3"/>
      <c r="E10740" s="3"/>
      <c r="F10740" s="3"/>
      <c r="G10740" s="3"/>
      <c r="H10740" s="11"/>
      <c r="I10740" s="12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  <c r="AA10740" s="3"/>
      <c r="AB10740" s="3"/>
      <c r="AC10740" s="3"/>
      <c r="AD10740" s="3"/>
      <c r="AE10740" s="3"/>
      <c r="AF10740" s="3"/>
      <c r="AG10740" s="3"/>
      <c r="AH10740" s="3"/>
    </row>
    <row r="10741" spans="1:34" ht="14.25" customHeight="1" x14ac:dyDescent="0.25">
      <c r="A10741" s="3"/>
      <c r="B10741" s="3"/>
      <c r="C10741" s="3"/>
      <c r="D10741" s="3"/>
      <c r="E10741" s="3"/>
      <c r="F10741" s="3"/>
      <c r="G10741" s="3"/>
      <c r="H10741" s="11"/>
      <c r="I10741" s="12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  <c r="AA10741" s="3"/>
      <c r="AB10741" s="3"/>
      <c r="AC10741" s="3"/>
      <c r="AD10741" s="3"/>
      <c r="AE10741" s="3"/>
      <c r="AF10741" s="3"/>
      <c r="AG10741" s="3"/>
      <c r="AH10741" s="3"/>
    </row>
    <row r="10742" spans="1:34" ht="14.25" customHeight="1" x14ac:dyDescent="0.25">
      <c r="A10742" s="3"/>
      <c r="B10742" s="3"/>
      <c r="C10742" s="3"/>
      <c r="D10742" s="3"/>
      <c r="E10742" s="3"/>
      <c r="F10742" s="3"/>
      <c r="G10742" s="3"/>
      <c r="H10742" s="11"/>
      <c r="I10742" s="12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  <c r="AA10742" s="3"/>
      <c r="AB10742" s="3"/>
      <c r="AC10742" s="3"/>
      <c r="AD10742" s="3"/>
      <c r="AE10742" s="3"/>
      <c r="AF10742" s="3"/>
      <c r="AG10742" s="3"/>
      <c r="AH10742" s="3"/>
    </row>
    <row r="10743" spans="1:34" ht="14.25" customHeight="1" x14ac:dyDescent="0.25">
      <c r="A10743" s="3"/>
      <c r="B10743" s="3"/>
      <c r="C10743" s="3"/>
      <c r="D10743" s="3"/>
      <c r="E10743" s="3"/>
      <c r="F10743" s="3"/>
      <c r="G10743" s="3"/>
      <c r="H10743" s="11"/>
      <c r="I10743" s="12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  <c r="AA10743" s="3"/>
      <c r="AB10743" s="3"/>
      <c r="AC10743" s="3"/>
      <c r="AD10743" s="3"/>
      <c r="AE10743" s="3"/>
      <c r="AF10743" s="3"/>
      <c r="AG10743" s="3"/>
      <c r="AH10743" s="3"/>
    </row>
    <row r="10744" spans="1:34" ht="14.25" customHeight="1" x14ac:dyDescent="0.25">
      <c r="A10744" s="3"/>
      <c r="B10744" s="3"/>
      <c r="C10744" s="3"/>
      <c r="D10744" s="3"/>
      <c r="E10744" s="3"/>
      <c r="F10744" s="3"/>
      <c r="G10744" s="3"/>
      <c r="H10744" s="11"/>
      <c r="I10744" s="12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  <c r="AA10744" s="3"/>
      <c r="AB10744" s="3"/>
      <c r="AC10744" s="3"/>
      <c r="AD10744" s="3"/>
      <c r="AE10744" s="3"/>
      <c r="AF10744" s="3"/>
      <c r="AG10744" s="3"/>
      <c r="AH10744" s="3"/>
    </row>
    <row r="10745" spans="1:34" ht="14.25" customHeight="1" x14ac:dyDescent="0.25">
      <c r="A10745" s="3"/>
      <c r="B10745" s="3"/>
      <c r="C10745" s="3"/>
      <c r="D10745" s="3"/>
      <c r="E10745" s="3"/>
      <c r="F10745" s="3"/>
      <c r="G10745" s="3"/>
      <c r="H10745" s="11"/>
      <c r="I10745" s="12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  <c r="AA10745" s="3"/>
      <c r="AB10745" s="3"/>
      <c r="AC10745" s="3"/>
      <c r="AD10745" s="3"/>
      <c r="AE10745" s="3"/>
      <c r="AF10745" s="3"/>
      <c r="AG10745" s="3"/>
      <c r="AH10745" s="3"/>
    </row>
    <row r="10746" spans="1:34" ht="14.25" customHeight="1" x14ac:dyDescent="0.25">
      <c r="A10746" s="3"/>
      <c r="B10746" s="3"/>
      <c r="C10746" s="3"/>
      <c r="D10746" s="3"/>
      <c r="E10746" s="3"/>
      <c r="F10746" s="3"/>
      <c r="G10746" s="3"/>
      <c r="H10746" s="11"/>
      <c r="I10746" s="12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  <c r="AA10746" s="3"/>
      <c r="AB10746" s="3"/>
      <c r="AC10746" s="3"/>
      <c r="AD10746" s="3"/>
      <c r="AE10746" s="3"/>
      <c r="AF10746" s="3"/>
      <c r="AG10746" s="3"/>
      <c r="AH10746" s="3"/>
    </row>
    <row r="10747" spans="1:34" ht="14.25" customHeight="1" x14ac:dyDescent="0.25">
      <c r="A10747" s="3"/>
      <c r="B10747" s="3"/>
      <c r="C10747" s="3"/>
      <c r="D10747" s="3"/>
      <c r="E10747" s="3"/>
      <c r="F10747" s="3"/>
      <c r="G10747" s="3"/>
      <c r="H10747" s="11"/>
      <c r="I10747" s="12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  <c r="AA10747" s="3"/>
      <c r="AB10747" s="3"/>
      <c r="AC10747" s="3"/>
      <c r="AD10747" s="3"/>
      <c r="AE10747" s="3"/>
      <c r="AF10747" s="3"/>
      <c r="AG10747" s="3"/>
      <c r="AH10747" s="3"/>
    </row>
    <row r="10748" spans="1:34" ht="14.25" customHeight="1" x14ac:dyDescent="0.25">
      <c r="A10748" s="3"/>
      <c r="B10748" s="3"/>
      <c r="C10748" s="3"/>
      <c r="D10748" s="3"/>
      <c r="E10748" s="3"/>
      <c r="F10748" s="3"/>
      <c r="G10748" s="3"/>
      <c r="H10748" s="11"/>
      <c r="I10748" s="12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  <c r="AA10748" s="3"/>
      <c r="AB10748" s="3"/>
      <c r="AC10748" s="3"/>
      <c r="AD10748" s="3"/>
      <c r="AE10748" s="3"/>
      <c r="AF10748" s="3"/>
      <c r="AG10748" s="3"/>
      <c r="AH10748" s="3"/>
    </row>
    <row r="10749" spans="1:34" ht="14.25" customHeight="1" x14ac:dyDescent="0.25">
      <c r="A10749" s="3"/>
      <c r="B10749" s="3"/>
      <c r="C10749" s="3"/>
      <c r="D10749" s="3"/>
      <c r="E10749" s="3"/>
      <c r="F10749" s="3"/>
      <c r="G10749" s="3"/>
      <c r="H10749" s="11"/>
      <c r="I10749" s="12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  <c r="AA10749" s="3"/>
      <c r="AB10749" s="3"/>
      <c r="AC10749" s="3"/>
      <c r="AD10749" s="3"/>
      <c r="AE10749" s="3"/>
      <c r="AF10749" s="3"/>
      <c r="AG10749" s="3"/>
      <c r="AH10749" s="3"/>
    </row>
    <row r="10750" spans="1:34" ht="14.25" customHeight="1" x14ac:dyDescent="0.25">
      <c r="A10750" s="3"/>
      <c r="B10750" s="3"/>
      <c r="C10750" s="3"/>
      <c r="D10750" s="3"/>
      <c r="E10750" s="3"/>
      <c r="F10750" s="3"/>
      <c r="G10750" s="3"/>
      <c r="H10750" s="11"/>
      <c r="I10750" s="12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  <c r="AA10750" s="3"/>
      <c r="AB10750" s="3"/>
      <c r="AC10750" s="3"/>
      <c r="AD10750" s="3"/>
      <c r="AE10750" s="3"/>
      <c r="AF10750" s="3"/>
      <c r="AG10750" s="3"/>
      <c r="AH10750" s="3"/>
    </row>
    <row r="10751" spans="1:34" ht="14.25" customHeight="1" x14ac:dyDescent="0.25">
      <c r="A10751" s="3"/>
      <c r="B10751" s="3"/>
      <c r="C10751" s="3"/>
      <c r="D10751" s="3"/>
      <c r="E10751" s="3"/>
      <c r="F10751" s="3"/>
      <c r="G10751" s="3"/>
      <c r="H10751" s="11"/>
      <c r="I10751" s="12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  <c r="AA10751" s="3"/>
      <c r="AB10751" s="3"/>
      <c r="AC10751" s="3"/>
      <c r="AD10751" s="3"/>
      <c r="AE10751" s="3"/>
      <c r="AF10751" s="3"/>
      <c r="AG10751" s="3"/>
      <c r="AH10751" s="3"/>
    </row>
    <row r="10752" spans="1:34" ht="14.25" customHeight="1" x14ac:dyDescent="0.25">
      <c r="A10752" s="3"/>
      <c r="B10752" s="3"/>
      <c r="C10752" s="3"/>
      <c r="D10752" s="3"/>
      <c r="E10752" s="3"/>
      <c r="F10752" s="3"/>
      <c r="G10752" s="3"/>
      <c r="H10752" s="11"/>
      <c r="I10752" s="12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  <c r="AA10752" s="3"/>
      <c r="AB10752" s="3"/>
      <c r="AC10752" s="3"/>
      <c r="AD10752" s="3"/>
      <c r="AE10752" s="3"/>
      <c r="AF10752" s="3"/>
      <c r="AG10752" s="3"/>
      <c r="AH10752" s="3"/>
    </row>
    <row r="10753" spans="1:34" ht="14.25" customHeight="1" x14ac:dyDescent="0.25">
      <c r="A10753" s="3"/>
      <c r="B10753" s="3"/>
      <c r="C10753" s="3"/>
      <c r="D10753" s="3"/>
      <c r="E10753" s="3"/>
      <c r="F10753" s="3"/>
      <c r="G10753" s="3"/>
      <c r="H10753" s="11"/>
      <c r="I10753" s="12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  <c r="AA10753" s="3"/>
      <c r="AB10753" s="3"/>
      <c r="AC10753" s="3"/>
      <c r="AD10753" s="3"/>
      <c r="AE10753" s="3"/>
      <c r="AF10753" s="3"/>
      <c r="AG10753" s="3"/>
      <c r="AH10753" s="3"/>
    </row>
    <row r="10754" spans="1:34" ht="14.25" customHeight="1" x14ac:dyDescent="0.25">
      <c r="A10754" s="3"/>
      <c r="B10754" s="3"/>
      <c r="C10754" s="3"/>
      <c r="D10754" s="3"/>
      <c r="E10754" s="3"/>
      <c r="F10754" s="3"/>
      <c r="G10754" s="3"/>
      <c r="H10754" s="11"/>
      <c r="I10754" s="12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  <c r="AA10754" s="3"/>
      <c r="AB10754" s="3"/>
      <c r="AC10754" s="3"/>
      <c r="AD10754" s="3"/>
      <c r="AE10754" s="3"/>
      <c r="AF10754" s="3"/>
      <c r="AG10754" s="3"/>
      <c r="AH10754" s="3"/>
    </row>
    <row r="10755" spans="1:34" ht="14.25" customHeight="1" x14ac:dyDescent="0.25">
      <c r="A10755" s="3"/>
      <c r="B10755" s="3"/>
      <c r="C10755" s="3"/>
      <c r="D10755" s="3"/>
      <c r="E10755" s="3"/>
      <c r="F10755" s="3"/>
      <c r="G10755" s="3"/>
      <c r="H10755" s="11"/>
      <c r="I10755" s="12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  <c r="AA10755" s="3"/>
      <c r="AB10755" s="3"/>
      <c r="AC10755" s="3"/>
      <c r="AD10755" s="3"/>
      <c r="AE10755" s="3"/>
      <c r="AF10755" s="3"/>
      <c r="AG10755" s="3"/>
      <c r="AH10755" s="3"/>
    </row>
    <row r="10756" spans="1:34" ht="14.25" customHeight="1" x14ac:dyDescent="0.25">
      <c r="A10756" s="3"/>
      <c r="B10756" s="3"/>
      <c r="C10756" s="3"/>
      <c r="D10756" s="3"/>
      <c r="E10756" s="3"/>
      <c r="F10756" s="3"/>
      <c r="G10756" s="3"/>
      <c r="H10756" s="11"/>
      <c r="I10756" s="12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  <c r="AA10756" s="3"/>
      <c r="AB10756" s="3"/>
      <c r="AC10756" s="3"/>
      <c r="AD10756" s="3"/>
      <c r="AE10756" s="3"/>
      <c r="AF10756" s="3"/>
      <c r="AG10756" s="3"/>
      <c r="AH10756" s="3"/>
    </row>
    <row r="10757" spans="1:34" ht="14.25" customHeight="1" x14ac:dyDescent="0.25">
      <c r="A10757" s="3"/>
      <c r="B10757" s="3"/>
      <c r="C10757" s="3"/>
      <c r="D10757" s="3"/>
      <c r="E10757" s="3"/>
      <c r="F10757" s="3"/>
      <c r="G10757" s="3"/>
      <c r="H10757" s="11"/>
      <c r="I10757" s="12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  <c r="AA10757" s="3"/>
      <c r="AB10757" s="3"/>
      <c r="AC10757" s="3"/>
      <c r="AD10757" s="3"/>
      <c r="AE10757" s="3"/>
      <c r="AF10757" s="3"/>
      <c r="AG10757" s="3"/>
      <c r="AH10757" s="3"/>
    </row>
    <row r="10758" spans="1:34" ht="14.25" customHeight="1" x14ac:dyDescent="0.25">
      <c r="A10758" s="3"/>
      <c r="B10758" s="3"/>
      <c r="C10758" s="3"/>
      <c r="D10758" s="3"/>
      <c r="E10758" s="3"/>
      <c r="F10758" s="3"/>
      <c r="G10758" s="3"/>
      <c r="H10758" s="11"/>
      <c r="I10758" s="12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  <c r="AA10758" s="3"/>
      <c r="AB10758" s="3"/>
      <c r="AC10758" s="3"/>
      <c r="AD10758" s="3"/>
      <c r="AE10758" s="3"/>
      <c r="AF10758" s="3"/>
      <c r="AG10758" s="3"/>
      <c r="AH10758" s="3"/>
    </row>
    <row r="10759" spans="1:34" ht="14.25" customHeight="1" x14ac:dyDescent="0.25">
      <c r="A10759" s="3"/>
      <c r="B10759" s="3"/>
      <c r="C10759" s="3"/>
      <c r="D10759" s="3"/>
      <c r="E10759" s="3"/>
      <c r="F10759" s="3"/>
      <c r="G10759" s="3"/>
      <c r="H10759" s="11"/>
      <c r="I10759" s="12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  <c r="AA10759" s="3"/>
      <c r="AB10759" s="3"/>
      <c r="AC10759" s="3"/>
      <c r="AD10759" s="3"/>
      <c r="AE10759" s="3"/>
      <c r="AF10759" s="3"/>
      <c r="AG10759" s="3"/>
      <c r="AH10759" s="3"/>
    </row>
    <row r="10760" spans="1:34" ht="14.25" customHeight="1" x14ac:dyDescent="0.25">
      <c r="A10760" s="3"/>
      <c r="B10760" s="3"/>
      <c r="C10760" s="3"/>
      <c r="D10760" s="3"/>
      <c r="E10760" s="3"/>
      <c r="F10760" s="3"/>
      <c r="G10760" s="3"/>
      <c r="H10760" s="11"/>
      <c r="I10760" s="12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  <c r="AA10760" s="3"/>
      <c r="AB10760" s="3"/>
      <c r="AC10760" s="3"/>
      <c r="AD10760" s="3"/>
      <c r="AE10760" s="3"/>
      <c r="AF10760" s="3"/>
      <c r="AG10760" s="3"/>
      <c r="AH10760" s="3"/>
    </row>
    <row r="10761" spans="1:34" ht="14.25" customHeight="1" x14ac:dyDescent="0.25">
      <c r="A10761" s="3"/>
      <c r="B10761" s="3"/>
      <c r="C10761" s="3"/>
      <c r="D10761" s="3"/>
      <c r="E10761" s="3"/>
      <c r="F10761" s="3"/>
      <c r="G10761" s="3"/>
      <c r="H10761" s="11"/>
      <c r="I10761" s="12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  <c r="AA10761" s="3"/>
      <c r="AB10761" s="3"/>
      <c r="AC10761" s="3"/>
      <c r="AD10761" s="3"/>
      <c r="AE10761" s="3"/>
      <c r="AF10761" s="3"/>
      <c r="AG10761" s="3"/>
      <c r="AH10761" s="3"/>
    </row>
    <row r="10762" spans="1:34" ht="14.25" customHeight="1" x14ac:dyDescent="0.25">
      <c r="A10762" s="3"/>
      <c r="B10762" s="3"/>
      <c r="C10762" s="3"/>
      <c r="D10762" s="3"/>
      <c r="E10762" s="3"/>
      <c r="F10762" s="3"/>
      <c r="G10762" s="3"/>
      <c r="H10762" s="11"/>
      <c r="I10762" s="12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  <c r="AA10762" s="3"/>
      <c r="AB10762" s="3"/>
      <c r="AC10762" s="3"/>
      <c r="AD10762" s="3"/>
      <c r="AE10762" s="3"/>
      <c r="AF10762" s="3"/>
      <c r="AG10762" s="3"/>
      <c r="AH10762" s="3"/>
    </row>
    <row r="10763" spans="1:34" ht="14.25" customHeight="1" x14ac:dyDescent="0.25">
      <c r="A10763" s="3"/>
      <c r="B10763" s="3"/>
      <c r="C10763" s="3"/>
      <c r="D10763" s="3"/>
      <c r="E10763" s="3"/>
      <c r="F10763" s="3"/>
      <c r="G10763" s="3"/>
      <c r="H10763" s="11"/>
      <c r="I10763" s="12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  <c r="AA10763" s="3"/>
      <c r="AB10763" s="3"/>
      <c r="AC10763" s="3"/>
      <c r="AD10763" s="3"/>
      <c r="AE10763" s="3"/>
      <c r="AF10763" s="3"/>
      <c r="AG10763" s="3"/>
      <c r="AH10763" s="3"/>
    </row>
    <row r="10764" spans="1:34" ht="14.25" customHeight="1" x14ac:dyDescent="0.25">
      <c r="A10764" s="3"/>
      <c r="B10764" s="3"/>
      <c r="C10764" s="3"/>
      <c r="D10764" s="3"/>
      <c r="E10764" s="3"/>
      <c r="F10764" s="3"/>
      <c r="G10764" s="3"/>
      <c r="H10764" s="11"/>
      <c r="I10764" s="12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  <c r="AA10764" s="3"/>
      <c r="AB10764" s="3"/>
      <c r="AC10764" s="3"/>
      <c r="AD10764" s="3"/>
      <c r="AE10764" s="3"/>
      <c r="AF10764" s="3"/>
      <c r="AG10764" s="3"/>
      <c r="AH10764" s="3"/>
    </row>
    <row r="10765" spans="1:34" ht="14.25" customHeight="1" x14ac:dyDescent="0.25">
      <c r="A10765" s="3"/>
      <c r="B10765" s="3"/>
      <c r="C10765" s="3"/>
      <c r="D10765" s="3"/>
      <c r="E10765" s="3"/>
      <c r="F10765" s="3"/>
      <c r="G10765" s="3"/>
      <c r="H10765" s="11"/>
      <c r="I10765" s="12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  <c r="AA10765" s="3"/>
      <c r="AB10765" s="3"/>
      <c r="AC10765" s="3"/>
      <c r="AD10765" s="3"/>
      <c r="AE10765" s="3"/>
      <c r="AF10765" s="3"/>
      <c r="AG10765" s="3"/>
      <c r="AH10765" s="3"/>
    </row>
    <row r="10766" spans="1:34" ht="14.25" customHeight="1" x14ac:dyDescent="0.25">
      <c r="A10766" s="3"/>
      <c r="B10766" s="3"/>
      <c r="C10766" s="3"/>
      <c r="D10766" s="3"/>
      <c r="E10766" s="3"/>
      <c r="F10766" s="3"/>
      <c r="G10766" s="3"/>
      <c r="H10766" s="11"/>
      <c r="I10766" s="12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  <c r="AA10766" s="3"/>
      <c r="AB10766" s="3"/>
      <c r="AC10766" s="3"/>
      <c r="AD10766" s="3"/>
      <c r="AE10766" s="3"/>
      <c r="AF10766" s="3"/>
      <c r="AG10766" s="3"/>
      <c r="AH10766" s="3"/>
    </row>
    <row r="10767" spans="1:34" ht="14.25" customHeight="1" x14ac:dyDescent="0.25">
      <c r="A10767" s="3"/>
      <c r="B10767" s="3"/>
      <c r="C10767" s="3"/>
      <c r="D10767" s="3"/>
      <c r="E10767" s="3"/>
      <c r="F10767" s="3"/>
      <c r="G10767" s="3"/>
      <c r="H10767" s="11"/>
      <c r="I10767" s="12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  <c r="AA10767" s="3"/>
      <c r="AB10767" s="3"/>
      <c r="AC10767" s="3"/>
      <c r="AD10767" s="3"/>
      <c r="AE10767" s="3"/>
      <c r="AF10767" s="3"/>
      <c r="AG10767" s="3"/>
      <c r="AH10767" s="3"/>
    </row>
    <row r="10768" spans="1:34" ht="14.25" customHeight="1" x14ac:dyDescent="0.25">
      <c r="A10768" s="3"/>
      <c r="B10768" s="3"/>
      <c r="C10768" s="3"/>
      <c r="D10768" s="3"/>
      <c r="E10768" s="3"/>
      <c r="F10768" s="3"/>
      <c r="G10768" s="3"/>
      <c r="H10768" s="11"/>
      <c r="I10768" s="12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  <c r="AA10768" s="3"/>
      <c r="AB10768" s="3"/>
      <c r="AC10768" s="3"/>
      <c r="AD10768" s="3"/>
      <c r="AE10768" s="3"/>
      <c r="AF10768" s="3"/>
      <c r="AG10768" s="3"/>
      <c r="AH10768" s="3"/>
    </row>
    <row r="10769" spans="1:34" ht="14.25" customHeight="1" x14ac:dyDescent="0.25">
      <c r="A10769" s="3"/>
      <c r="B10769" s="3"/>
      <c r="C10769" s="3"/>
      <c r="D10769" s="3"/>
      <c r="E10769" s="3"/>
      <c r="F10769" s="3"/>
      <c r="G10769" s="3"/>
      <c r="H10769" s="11"/>
      <c r="I10769" s="12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  <c r="AA10769" s="3"/>
      <c r="AB10769" s="3"/>
      <c r="AC10769" s="3"/>
      <c r="AD10769" s="3"/>
      <c r="AE10769" s="3"/>
      <c r="AF10769" s="3"/>
      <c r="AG10769" s="3"/>
      <c r="AH10769" s="3"/>
    </row>
    <row r="10770" spans="1:34" ht="14.25" customHeight="1" x14ac:dyDescent="0.25">
      <c r="A10770" s="3"/>
      <c r="B10770" s="3"/>
      <c r="C10770" s="3"/>
      <c r="D10770" s="3"/>
      <c r="E10770" s="3"/>
      <c r="F10770" s="3"/>
      <c r="G10770" s="3"/>
      <c r="H10770" s="11"/>
      <c r="I10770" s="12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  <c r="AA10770" s="3"/>
      <c r="AB10770" s="3"/>
      <c r="AC10770" s="3"/>
      <c r="AD10770" s="3"/>
      <c r="AE10770" s="3"/>
      <c r="AF10770" s="3"/>
      <c r="AG10770" s="3"/>
      <c r="AH10770" s="3"/>
    </row>
    <row r="10771" spans="1:34" ht="14.25" customHeight="1" x14ac:dyDescent="0.25">
      <c r="A10771" s="3"/>
      <c r="B10771" s="3"/>
      <c r="C10771" s="3"/>
      <c r="D10771" s="3"/>
      <c r="E10771" s="3"/>
      <c r="F10771" s="3"/>
      <c r="G10771" s="3"/>
      <c r="H10771" s="11"/>
      <c r="I10771" s="12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  <c r="AA10771" s="3"/>
      <c r="AB10771" s="3"/>
      <c r="AC10771" s="3"/>
      <c r="AD10771" s="3"/>
      <c r="AE10771" s="3"/>
      <c r="AF10771" s="3"/>
      <c r="AG10771" s="3"/>
      <c r="AH10771" s="3"/>
    </row>
    <row r="10772" spans="1:34" ht="14.25" customHeight="1" x14ac:dyDescent="0.25">
      <c r="A10772" s="3"/>
      <c r="B10772" s="3"/>
      <c r="C10772" s="3"/>
      <c r="D10772" s="3"/>
      <c r="E10772" s="3"/>
      <c r="F10772" s="3"/>
      <c r="G10772" s="3"/>
      <c r="H10772" s="11"/>
      <c r="I10772" s="12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  <c r="AA10772" s="3"/>
      <c r="AB10772" s="3"/>
      <c r="AC10772" s="3"/>
      <c r="AD10772" s="3"/>
      <c r="AE10772" s="3"/>
      <c r="AF10772" s="3"/>
      <c r="AG10772" s="3"/>
      <c r="AH10772" s="3"/>
    </row>
    <row r="10773" spans="1:34" ht="14.25" customHeight="1" x14ac:dyDescent="0.25">
      <c r="A10773" s="3"/>
      <c r="B10773" s="3"/>
      <c r="C10773" s="3"/>
      <c r="D10773" s="3"/>
      <c r="E10773" s="3"/>
      <c r="F10773" s="3"/>
      <c r="G10773" s="3"/>
      <c r="H10773" s="11"/>
      <c r="I10773" s="12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  <c r="AA10773" s="3"/>
      <c r="AB10773" s="3"/>
      <c r="AC10773" s="3"/>
      <c r="AD10773" s="3"/>
      <c r="AE10773" s="3"/>
      <c r="AF10773" s="3"/>
      <c r="AG10773" s="3"/>
      <c r="AH10773" s="3"/>
    </row>
    <row r="10774" spans="1:34" ht="14.25" customHeight="1" x14ac:dyDescent="0.25">
      <c r="A10774" s="3"/>
      <c r="B10774" s="3"/>
      <c r="C10774" s="3"/>
      <c r="D10774" s="3"/>
      <c r="E10774" s="3"/>
      <c r="F10774" s="3"/>
      <c r="G10774" s="3"/>
      <c r="H10774" s="11"/>
      <c r="I10774" s="12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  <c r="AA10774" s="3"/>
      <c r="AB10774" s="3"/>
      <c r="AC10774" s="3"/>
      <c r="AD10774" s="3"/>
      <c r="AE10774" s="3"/>
      <c r="AF10774" s="3"/>
      <c r="AG10774" s="3"/>
      <c r="AH10774" s="3"/>
    </row>
    <row r="10775" spans="1:34" ht="14.25" customHeight="1" x14ac:dyDescent="0.25">
      <c r="A10775" s="3"/>
      <c r="B10775" s="3"/>
      <c r="C10775" s="3"/>
      <c r="D10775" s="3"/>
      <c r="E10775" s="3"/>
      <c r="F10775" s="3"/>
      <c r="G10775" s="3"/>
      <c r="H10775" s="11"/>
      <c r="I10775" s="12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  <c r="AA10775" s="3"/>
      <c r="AB10775" s="3"/>
      <c r="AC10775" s="3"/>
      <c r="AD10775" s="3"/>
      <c r="AE10775" s="3"/>
      <c r="AF10775" s="3"/>
      <c r="AG10775" s="3"/>
      <c r="AH10775" s="3"/>
    </row>
    <row r="10776" spans="1:34" ht="14.25" customHeight="1" x14ac:dyDescent="0.25">
      <c r="A10776" s="3"/>
      <c r="B10776" s="3"/>
      <c r="C10776" s="3"/>
      <c r="D10776" s="3"/>
      <c r="E10776" s="3"/>
      <c r="F10776" s="3"/>
      <c r="G10776" s="3"/>
      <c r="H10776" s="11"/>
      <c r="I10776" s="12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  <c r="AA10776" s="3"/>
      <c r="AB10776" s="3"/>
      <c r="AC10776" s="3"/>
      <c r="AD10776" s="3"/>
      <c r="AE10776" s="3"/>
      <c r="AF10776" s="3"/>
      <c r="AG10776" s="3"/>
      <c r="AH10776" s="3"/>
    </row>
    <row r="10777" spans="1:34" ht="14.25" customHeight="1" x14ac:dyDescent="0.25">
      <c r="A10777" s="3"/>
      <c r="B10777" s="3"/>
      <c r="C10777" s="3"/>
      <c r="D10777" s="3"/>
      <c r="E10777" s="3"/>
      <c r="F10777" s="3"/>
      <c r="G10777" s="3"/>
      <c r="H10777" s="11"/>
      <c r="I10777" s="12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  <c r="AA10777" s="3"/>
      <c r="AB10777" s="3"/>
      <c r="AC10777" s="3"/>
      <c r="AD10777" s="3"/>
      <c r="AE10777" s="3"/>
      <c r="AF10777" s="3"/>
      <c r="AG10777" s="3"/>
      <c r="AH10777" s="3"/>
    </row>
    <row r="10778" spans="1:34" ht="14.25" customHeight="1" x14ac:dyDescent="0.25">
      <c r="A10778" s="3"/>
      <c r="B10778" s="3"/>
      <c r="C10778" s="3"/>
      <c r="D10778" s="3"/>
      <c r="E10778" s="3"/>
      <c r="F10778" s="3"/>
      <c r="G10778" s="3"/>
      <c r="H10778" s="11"/>
      <c r="I10778" s="12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  <c r="AA10778" s="3"/>
      <c r="AB10778" s="3"/>
      <c r="AC10778" s="3"/>
      <c r="AD10778" s="3"/>
      <c r="AE10778" s="3"/>
      <c r="AF10778" s="3"/>
      <c r="AG10778" s="3"/>
      <c r="AH10778" s="3"/>
    </row>
    <row r="10779" spans="1:34" ht="14.25" customHeight="1" x14ac:dyDescent="0.25">
      <c r="A10779" s="3"/>
      <c r="B10779" s="3"/>
      <c r="C10779" s="3"/>
      <c r="D10779" s="3"/>
      <c r="E10779" s="3"/>
      <c r="F10779" s="3"/>
      <c r="G10779" s="3"/>
      <c r="H10779" s="11"/>
      <c r="I10779" s="12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  <c r="AA10779" s="3"/>
      <c r="AB10779" s="3"/>
      <c r="AC10779" s="3"/>
      <c r="AD10779" s="3"/>
      <c r="AE10779" s="3"/>
      <c r="AF10779" s="3"/>
      <c r="AG10779" s="3"/>
      <c r="AH10779" s="3"/>
    </row>
    <row r="10780" spans="1:34" ht="14.25" customHeight="1" x14ac:dyDescent="0.25">
      <c r="A10780" s="3"/>
      <c r="B10780" s="3"/>
      <c r="C10780" s="3"/>
      <c r="D10780" s="3"/>
      <c r="E10780" s="3"/>
      <c r="F10780" s="3"/>
      <c r="G10780" s="3"/>
      <c r="H10780" s="11"/>
      <c r="I10780" s="12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  <c r="AA10780" s="3"/>
      <c r="AB10780" s="3"/>
      <c r="AC10780" s="3"/>
      <c r="AD10780" s="3"/>
      <c r="AE10780" s="3"/>
      <c r="AF10780" s="3"/>
      <c r="AG10780" s="3"/>
      <c r="AH10780" s="3"/>
    </row>
    <row r="10781" spans="1:34" ht="14.25" customHeight="1" x14ac:dyDescent="0.25">
      <c r="A10781" s="3"/>
      <c r="B10781" s="3"/>
      <c r="C10781" s="3"/>
      <c r="D10781" s="3"/>
      <c r="E10781" s="3"/>
      <c r="F10781" s="3"/>
      <c r="G10781" s="3"/>
      <c r="H10781" s="11"/>
      <c r="I10781" s="12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  <c r="AA10781" s="3"/>
      <c r="AB10781" s="3"/>
      <c r="AC10781" s="3"/>
      <c r="AD10781" s="3"/>
      <c r="AE10781" s="3"/>
      <c r="AF10781" s="3"/>
      <c r="AG10781" s="3"/>
      <c r="AH10781" s="3"/>
    </row>
    <row r="10782" spans="1:34" ht="14.25" customHeight="1" x14ac:dyDescent="0.25">
      <c r="A10782" s="3"/>
      <c r="B10782" s="3"/>
      <c r="C10782" s="3"/>
      <c r="D10782" s="3"/>
      <c r="E10782" s="3"/>
      <c r="F10782" s="3"/>
      <c r="G10782" s="3"/>
      <c r="H10782" s="11"/>
      <c r="I10782" s="12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  <c r="AA10782" s="3"/>
      <c r="AB10782" s="3"/>
      <c r="AC10782" s="3"/>
      <c r="AD10782" s="3"/>
      <c r="AE10782" s="3"/>
      <c r="AF10782" s="3"/>
      <c r="AG10782" s="3"/>
      <c r="AH10782" s="3"/>
    </row>
    <row r="10783" spans="1:34" ht="14.25" customHeight="1" x14ac:dyDescent="0.25">
      <c r="A10783" s="3"/>
      <c r="B10783" s="3"/>
      <c r="C10783" s="3"/>
      <c r="D10783" s="3"/>
      <c r="E10783" s="3"/>
      <c r="F10783" s="3"/>
      <c r="G10783" s="3"/>
      <c r="H10783" s="11"/>
      <c r="I10783" s="12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  <c r="AA10783" s="3"/>
      <c r="AB10783" s="3"/>
      <c r="AC10783" s="3"/>
      <c r="AD10783" s="3"/>
      <c r="AE10783" s="3"/>
      <c r="AF10783" s="3"/>
      <c r="AG10783" s="3"/>
      <c r="AH10783" s="3"/>
    </row>
    <row r="10784" spans="1:34" ht="14.25" customHeight="1" x14ac:dyDescent="0.25">
      <c r="A10784" s="3"/>
      <c r="B10784" s="3"/>
      <c r="C10784" s="3"/>
      <c r="D10784" s="3"/>
      <c r="E10784" s="3"/>
      <c r="F10784" s="3"/>
      <c r="G10784" s="3"/>
      <c r="H10784" s="11"/>
      <c r="I10784" s="12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  <c r="AA10784" s="3"/>
      <c r="AB10784" s="3"/>
      <c r="AC10784" s="3"/>
      <c r="AD10784" s="3"/>
      <c r="AE10784" s="3"/>
      <c r="AF10784" s="3"/>
      <c r="AG10784" s="3"/>
      <c r="AH10784" s="3"/>
    </row>
    <row r="10785" spans="1:34" ht="14.25" customHeight="1" x14ac:dyDescent="0.25">
      <c r="A10785" s="3"/>
      <c r="B10785" s="3"/>
      <c r="C10785" s="3"/>
      <c r="D10785" s="3"/>
      <c r="E10785" s="3"/>
      <c r="F10785" s="3"/>
      <c r="G10785" s="3"/>
      <c r="H10785" s="11"/>
      <c r="I10785" s="12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  <c r="AA10785" s="3"/>
      <c r="AB10785" s="3"/>
      <c r="AC10785" s="3"/>
      <c r="AD10785" s="3"/>
      <c r="AE10785" s="3"/>
      <c r="AF10785" s="3"/>
      <c r="AG10785" s="3"/>
      <c r="AH10785" s="3"/>
    </row>
    <row r="10786" spans="1:34" ht="14.25" customHeight="1" x14ac:dyDescent="0.25">
      <c r="A10786" s="3"/>
      <c r="B10786" s="3"/>
      <c r="C10786" s="3"/>
      <c r="D10786" s="3"/>
      <c r="E10786" s="3"/>
      <c r="F10786" s="3"/>
      <c r="G10786" s="3"/>
      <c r="H10786" s="11"/>
      <c r="I10786" s="12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  <c r="AA10786" s="3"/>
      <c r="AB10786" s="3"/>
      <c r="AC10786" s="3"/>
      <c r="AD10786" s="3"/>
      <c r="AE10786" s="3"/>
      <c r="AF10786" s="3"/>
      <c r="AG10786" s="3"/>
      <c r="AH10786" s="3"/>
    </row>
    <row r="10787" spans="1:34" ht="14.25" customHeight="1" x14ac:dyDescent="0.25">
      <c r="A10787" s="3"/>
      <c r="B10787" s="3"/>
      <c r="C10787" s="3"/>
      <c r="D10787" s="3"/>
      <c r="E10787" s="3"/>
      <c r="F10787" s="3"/>
      <c r="G10787" s="3"/>
      <c r="H10787" s="11"/>
      <c r="I10787" s="12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  <c r="AA10787" s="3"/>
      <c r="AB10787" s="3"/>
      <c r="AC10787" s="3"/>
      <c r="AD10787" s="3"/>
      <c r="AE10787" s="3"/>
      <c r="AF10787" s="3"/>
      <c r="AG10787" s="3"/>
      <c r="AH10787" s="3"/>
    </row>
    <row r="10788" spans="1:34" ht="14.25" customHeight="1" x14ac:dyDescent="0.25">
      <c r="A10788" s="3"/>
      <c r="B10788" s="3"/>
      <c r="C10788" s="3"/>
      <c r="D10788" s="3"/>
      <c r="E10788" s="3"/>
      <c r="F10788" s="3"/>
      <c r="G10788" s="3"/>
      <c r="H10788" s="11"/>
      <c r="I10788" s="12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  <c r="AA10788" s="3"/>
      <c r="AB10788" s="3"/>
      <c r="AC10788" s="3"/>
      <c r="AD10788" s="3"/>
      <c r="AE10788" s="3"/>
      <c r="AF10788" s="3"/>
      <c r="AG10788" s="3"/>
      <c r="AH10788" s="3"/>
    </row>
    <row r="10789" spans="1:34" ht="14.25" customHeight="1" x14ac:dyDescent="0.25">
      <c r="A10789" s="3"/>
      <c r="B10789" s="3"/>
      <c r="C10789" s="3"/>
      <c r="D10789" s="3"/>
      <c r="E10789" s="3"/>
      <c r="F10789" s="3"/>
      <c r="G10789" s="3"/>
      <c r="H10789" s="11"/>
      <c r="I10789" s="12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  <c r="AA10789" s="3"/>
      <c r="AB10789" s="3"/>
      <c r="AC10789" s="3"/>
      <c r="AD10789" s="3"/>
      <c r="AE10789" s="3"/>
      <c r="AF10789" s="3"/>
      <c r="AG10789" s="3"/>
      <c r="AH10789" s="3"/>
    </row>
    <row r="10790" spans="1:34" ht="14.25" customHeight="1" x14ac:dyDescent="0.25">
      <c r="A10790" s="3"/>
      <c r="B10790" s="3"/>
      <c r="C10790" s="3"/>
      <c r="D10790" s="3"/>
      <c r="E10790" s="3"/>
      <c r="F10790" s="3"/>
      <c r="G10790" s="3"/>
      <c r="H10790" s="11"/>
      <c r="I10790" s="12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  <c r="AA10790" s="3"/>
      <c r="AB10790" s="3"/>
      <c r="AC10790" s="3"/>
      <c r="AD10790" s="3"/>
      <c r="AE10790" s="3"/>
      <c r="AF10790" s="3"/>
      <c r="AG10790" s="3"/>
      <c r="AH10790" s="3"/>
    </row>
    <row r="10791" spans="1:34" ht="14.25" customHeight="1" x14ac:dyDescent="0.25">
      <c r="A10791" s="3"/>
      <c r="B10791" s="3"/>
      <c r="C10791" s="3"/>
      <c r="D10791" s="3"/>
      <c r="E10791" s="3"/>
      <c r="F10791" s="3"/>
      <c r="G10791" s="3"/>
      <c r="H10791" s="11"/>
      <c r="I10791" s="12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  <c r="AA10791" s="3"/>
      <c r="AB10791" s="3"/>
      <c r="AC10791" s="3"/>
      <c r="AD10791" s="3"/>
      <c r="AE10791" s="3"/>
      <c r="AF10791" s="3"/>
      <c r="AG10791" s="3"/>
      <c r="AH10791" s="3"/>
    </row>
    <row r="10792" spans="1:34" ht="14.25" customHeight="1" x14ac:dyDescent="0.25">
      <c r="A10792" s="3"/>
      <c r="B10792" s="3"/>
      <c r="C10792" s="3"/>
      <c r="D10792" s="3"/>
      <c r="E10792" s="3"/>
      <c r="F10792" s="3"/>
      <c r="G10792" s="3"/>
      <c r="H10792" s="11"/>
      <c r="I10792" s="12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  <c r="AA10792" s="3"/>
      <c r="AB10792" s="3"/>
      <c r="AC10792" s="3"/>
      <c r="AD10792" s="3"/>
      <c r="AE10792" s="3"/>
      <c r="AF10792" s="3"/>
      <c r="AG10792" s="3"/>
      <c r="AH10792" s="3"/>
    </row>
    <row r="10793" spans="1:34" ht="14.25" customHeight="1" x14ac:dyDescent="0.25">
      <c r="A10793" s="3"/>
      <c r="B10793" s="3"/>
      <c r="C10793" s="3"/>
      <c r="D10793" s="3"/>
      <c r="E10793" s="3"/>
      <c r="F10793" s="3"/>
      <c r="G10793" s="3"/>
      <c r="H10793" s="11"/>
      <c r="I10793" s="12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  <c r="AA10793" s="3"/>
      <c r="AB10793" s="3"/>
      <c r="AC10793" s="3"/>
      <c r="AD10793" s="3"/>
      <c r="AE10793" s="3"/>
      <c r="AF10793" s="3"/>
      <c r="AG10793" s="3"/>
      <c r="AH10793" s="3"/>
    </row>
    <row r="10794" spans="1:34" ht="14.25" customHeight="1" x14ac:dyDescent="0.25">
      <c r="A10794" s="3"/>
      <c r="B10794" s="3"/>
      <c r="C10794" s="3"/>
      <c r="D10794" s="3"/>
      <c r="E10794" s="3"/>
      <c r="F10794" s="3"/>
      <c r="G10794" s="3"/>
      <c r="H10794" s="11"/>
      <c r="I10794" s="12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  <c r="AA10794" s="3"/>
      <c r="AB10794" s="3"/>
      <c r="AC10794" s="3"/>
      <c r="AD10794" s="3"/>
      <c r="AE10794" s="3"/>
      <c r="AF10794" s="3"/>
      <c r="AG10794" s="3"/>
      <c r="AH10794" s="3"/>
    </row>
    <row r="10795" spans="1:34" ht="14.25" customHeight="1" x14ac:dyDescent="0.25">
      <c r="A10795" s="3"/>
      <c r="B10795" s="3"/>
      <c r="C10795" s="3"/>
      <c r="D10795" s="3"/>
      <c r="E10795" s="3"/>
      <c r="F10795" s="3"/>
      <c r="G10795" s="3"/>
      <c r="H10795" s="11"/>
      <c r="I10795" s="12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  <c r="AA10795" s="3"/>
      <c r="AB10795" s="3"/>
      <c r="AC10795" s="3"/>
      <c r="AD10795" s="3"/>
      <c r="AE10795" s="3"/>
      <c r="AF10795" s="3"/>
      <c r="AG10795" s="3"/>
      <c r="AH10795" s="3"/>
    </row>
    <row r="10796" spans="1:34" ht="14.25" customHeight="1" x14ac:dyDescent="0.25">
      <c r="A10796" s="3"/>
      <c r="B10796" s="3"/>
      <c r="C10796" s="3"/>
      <c r="D10796" s="3"/>
      <c r="E10796" s="3"/>
      <c r="F10796" s="3"/>
      <c r="G10796" s="3"/>
      <c r="H10796" s="11"/>
      <c r="I10796" s="12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  <c r="AA10796" s="3"/>
      <c r="AB10796" s="3"/>
      <c r="AC10796" s="3"/>
      <c r="AD10796" s="3"/>
      <c r="AE10796" s="3"/>
      <c r="AF10796" s="3"/>
      <c r="AG10796" s="3"/>
      <c r="AH10796" s="3"/>
    </row>
    <row r="10797" spans="1:34" ht="14.25" customHeight="1" x14ac:dyDescent="0.25">
      <c r="A10797" s="3"/>
      <c r="B10797" s="3"/>
      <c r="C10797" s="3"/>
      <c r="D10797" s="3"/>
      <c r="E10797" s="3"/>
      <c r="F10797" s="3"/>
      <c r="G10797" s="3"/>
      <c r="H10797" s="11"/>
      <c r="I10797" s="12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  <c r="AA10797" s="3"/>
      <c r="AB10797" s="3"/>
      <c r="AC10797" s="3"/>
      <c r="AD10797" s="3"/>
      <c r="AE10797" s="3"/>
      <c r="AF10797" s="3"/>
      <c r="AG10797" s="3"/>
      <c r="AH10797" s="3"/>
    </row>
    <row r="10798" spans="1:34" ht="14.25" customHeight="1" x14ac:dyDescent="0.25">
      <c r="A10798" s="3"/>
      <c r="B10798" s="3"/>
      <c r="C10798" s="3"/>
      <c r="D10798" s="3"/>
      <c r="E10798" s="3"/>
      <c r="F10798" s="3"/>
      <c r="G10798" s="3"/>
      <c r="H10798" s="11"/>
      <c r="I10798" s="12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  <c r="AA10798" s="3"/>
      <c r="AB10798" s="3"/>
      <c r="AC10798" s="3"/>
      <c r="AD10798" s="3"/>
      <c r="AE10798" s="3"/>
      <c r="AF10798" s="3"/>
      <c r="AG10798" s="3"/>
      <c r="AH10798" s="3"/>
    </row>
    <row r="10799" spans="1:34" ht="14.25" customHeight="1" x14ac:dyDescent="0.25">
      <c r="A10799" s="3"/>
      <c r="B10799" s="3"/>
      <c r="C10799" s="3"/>
      <c r="D10799" s="3"/>
      <c r="E10799" s="3"/>
      <c r="F10799" s="3"/>
      <c r="G10799" s="3"/>
      <c r="H10799" s="11"/>
      <c r="I10799" s="12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  <c r="AA10799" s="3"/>
      <c r="AB10799" s="3"/>
      <c r="AC10799" s="3"/>
      <c r="AD10799" s="3"/>
      <c r="AE10799" s="3"/>
      <c r="AF10799" s="3"/>
      <c r="AG10799" s="3"/>
      <c r="AH10799" s="3"/>
    </row>
    <row r="10800" spans="1:34" ht="14.25" customHeight="1" x14ac:dyDescent="0.25">
      <c r="A10800" s="3"/>
      <c r="B10800" s="3"/>
      <c r="C10800" s="3"/>
      <c r="D10800" s="3"/>
      <c r="E10800" s="3"/>
      <c r="F10800" s="3"/>
      <c r="G10800" s="3"/>
      <c r="H10800" s="11"/>
      <c r="I10800" s="12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  <c r="AA10800" s="3"/>
      <c r="AB10800" s="3"/>
      <c r="AC10800" s="3"/>
      <c r="AD10800" s="3"/>
      <c r="AE10800" s="3"/>
      <c r="AF10800" s="3"/>
      <c r="AG10800" s="3"/>
      <c r="AH10800" s="3"/>
    </row>
    <row r="10801" spans="1:34" ht="14.25" customHeight="1" x14ac:dyDescent="0.25">
      <c r="A10801" s="3"/>
      <c r="B10801" s="3"/>
      <c r="C10801" s="3"/>
      <c r="D10801" s="3"/>
      <c r="E10801" s="3"/>
      <c r="F10801" s="3"/>
      <c r="G10801" s="3"/>
      <c r="H10801" s="11"/>
      <c r="I10801" s="12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  <c r="AA10801" s="3"/>
      <c r="AB10801" s="3"/>
      <c r="AC10801" s="3"/>
      <c r="AD10801" s="3"/>
      <c r="AE10801" s="3"/>
      <c r="AF10801" s="3"/>
      <c r="AG10801" s="3"/>
      <c r="AH10801" s="3"/>
    </row>
    <row r="10802" spans="1:34" ht="14.25" customHeight="1" x14ac:dyDescent="0.25">
      <c r="A10802" s="3"/>
      <c r="B10802" s="3"/>
      <c r="C10802" s="3"/>
      <c r="D10802" s="3"/>
      <c r="E10802" s="3"/>
      <c r="F10802" s="3"/>
      <c r="G10802" s="3"/>
      <c r="H10802" s="11"/>
      <c r="I10802" s="12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  <c r="AA10802" s="3"/>
      <c r="AB10802" s="3"/>
      <c r="AC10802" s="3"/>
      <c r="AD10802" s="3"/>
      <c r="AE10802" s="3"/>
      <c r="AF10802" s="3"/>
      <c r="AG10802" s="3"/>
      <c r="AH10802" s="3"/>
    </row>
    <row r="10803" spans="1:34" ht="14.25" customHeight="1" x14ac:dyDescent="0.25">
      <c r="A10803" s="3"/>
      <c r="B10803" s="3"/>
      <c r="C10803" s="3"/>
      <c r="D10803" s="3"/>
      <c r="E10803" s="3"/>
      <c r="F10803" s="3"/>
      <c r="G10803" s="3"/>
      <c r="H10803" s="11"/>
      <c r="I10803" s="12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  <c r="AA10803" s="3"/>
      <c r="AB10803" s="3"/>
      <c r="AC10803" s="3"/>
      <c r="AD10803" s="3"/>
      <c r="AE10803" s="3"/>
      <c r="AF10803" s="3"/>
      <c r="AG10803" s="3"/>
      <c r="AH10803" s="3"/>
    </row>
    <row r="10804" spans="1:34" ht="14.25" customHeight="1" x14ac:dyDescent="0.25">
      <c r="A10804" s="3"/>
      <c r="B10804" s="3"/>
      <c r="C10804" s="3"/>
      <c r="D10804" s="3"/>
      <c r="E10804" s="3"/>
      <c r="F10804" s="3"/>
      <c r="G10804" s="3"/>
      <c r="H10804" s="11"/>
      <c r="I10804" s="12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  <c r="AA10804" s="3"/>
      <c r="AB10804" s="3"/>
      <c r="AC10804" s="3"/>
      <c r="AD10804" s="3"/>
      <c r="AE10804" s="3"/>
      <c r="AF10804" s="3"/>
      <c r="AG10804" s="3"/>
      <c r="AH10804" s="3"/>
    </row>
    <row r="10805" spans="1:34" ht="14.25" customHeight="1" x14ac:dyDescent="0.25">
      <c r="A10805" s="3"/>
      <c r="B10805" s="3"/>
      <c r="C10805" s="3"/>
      <c r="D10805" s="3"/>
      <c r="E10805" s="3"/>
      <c r="F10805" s="3"/>
      <c r="G10805" s="3"/>
      <c r="H10805" s="11"/>
      <c r="I10805" s="12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  <c r="AA10805" s="3"/>
      <c r="AB10805" s="3"/>
      <c r="AC10805" s="3"/>
      <c r="AD10805" s="3"/>
      <c r="AE10805" s="3"/>
      <c r="AF10805" s="3"/>
      <c r="AG10805" s="3"/>
      <c r="AH10805" s="3"/>
    </row>
    <row r="10806" spans="1:34" ht="14.25" customHeight="1" x14ac:dyDescent="0.25">
      <c r="A10806" s="3"/>
      <c r="B10806" s="3"/>
      <c r="C10806" s="3"/>
      <c r="D10806" s="3"/>
      <c r="E10806" s="3"/>
      <c r="F10806" s="3"/>
      <c r="G10806" s="3"/>
      <c r="H10806" s="11"/>
      <c r="I10806" s="12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  <c r="AA10806" s="3"/>
      <c r="AB10806" s="3"/>
      <c r="AC10806" s="3"/>
      <c r="AD10806" s="3"/>
      <c r="AE10806" s="3"/>
      <c r="AF10806" s="3"/>
      <c r="AG10806" s="3"/>
      <c r="AH10806" s="3"/>
    </row>
    <row r="10807" spans="1:34" ht="14.25" customHeight="1" x14ac:dyDescent="0.25">
      <c r="A10807" s="3"/>
      <c r="B10807" s="3"/>
      <c r="C10807" s="3"/>
      <c r="D10807" s="3"/>
      <c r="E10807" s="3"/>
      <c r="F10807" s="3"/>
      <c r="G10807" s="3"/>
      <c r="H10807" s="11"/>
      <c r="I10807" s="12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  <c r="AA10807" s="3"/>
      <c r="AB10807" s="3"/>
      <c r="AC10807" s="3"/>
      <c r="AD10807" s="3"/>
      <c r="AE10807" s="3"/>
      <c r="AF10807" s="3"/>
      <c r="AG10807" s="3"/>
      <c r="AH10807" s="3"/>
    </row>
    <row r="10808" spans="1:34" ht="14.25" customHeight="1" x14ac:dyDescent="0.25">
      <c r="A10808" s="3"/>
      <c r="B10808" s="3"/>
      <c r="C10808" s="3"/>
      <c r="D10808" s="3"/>
      <c r="E10808" s="3"/>
      <c r="F10808" s="3"/>
      <c r="G10808" s="3"/>
      <c r="H10808" s="11"/>
      <c r="I10808" s="12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  <c r="AA10808" s="3"/>
      <c r="AB10808" s="3"/>
      <c r="AC10808" s="3"/>
      <c r="AD10808" s="3"/>
      <c r="AE10808" s="3"/>
      <c r="AF10808" s="3"/>
      <c r="AG10808" s="3"/>
      <c r="AH10808" s="3"/>
    </row>
    <row r="10809" spans="1:34" ht="14.25" customHeight="1" x14ac:dyDescent="0.25">
      <c r="A10809" s="3"/>
      <c r="B10809" s="3"/>
      <c r="C10809" s="3"/>
      <c r="D10809" s="3"/>
      <c r="E10809" s="3"/>
      <c r="F10809" s="3"/>
      <c r="G10809" s="3"/>
      <c r="H10809" s="11"/>
      <c r="I10809" s="12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  <c r="AA10809" s="3"/>
      <c r="AB10809" s="3"/>
      <c r="AC10809" s="3"/>
      <c r="AD10809" s="3"/>
      <c r="AE10809" s="3"/>
      <c r="AF10809" s="3"/>
      <c r="AG10809" s="3"/>
      <c r="AH10809" s="3"/>
    </row>
    <row r="10810" spans="1:34" ht="14.25" customHeight="1" x14ac:dyDescent="0.25">
      <c r="A10810" s="3"/>
      <c r="B10810" s="3"/>
      <c r="C10810" s="3"/>
      <c r="D10810" s="3"/>
      <c r="E10810" s="3"/>
      <c r="F10810" s="3"/>
      <c r="G10810" s="3"/>
      <c r="H10810" s="11"/>
      <c r="I10810" s="12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  <c r="AA10810" s="3"/>
      <c r="AB10810" s="3"/>
      <c r="AC10810" s="3"/>
      <c r="AD10810" s="3"/>
      <c r="AE10810" s="3"/>
      <c r="AF10810" s="3"/>
      <c r="AG10810" s="3"/>
      <c r="AH10810" s="3"/>
    </row>
    <row r="10811" spans="1:34" ht="14.25" customHeight="1" x14ac:dyDescent="0.25">
      <c r="A10811" s="3"/>
      <c r="B10811" s="3"/>
      <c r="C10811" s="3"/>
      <c r="D10811" s="3"/>
      <c r="E10811" s="3"/>
      <c r="F10811" s="3"/>
      <c r="G10811" s="3"/>
      <c r="H10811" s="11"/>
      <c r="I10811" s="12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  <c r="AA10811" s="3"/>
      <c r="AB10811" s="3"/>
      <c r="AC10811" s="3"/>
      <c r="AD10811" s="3"/>
      <c r="AE10811" s="3"/>
      <c r="AF10811" s="3"/>
      <c r="AG10811" s="3"/>
      <c r="AH10811" s="3"/>
    </row>
    <row r="10812" spans="1:34" ht="14.25" customHeight="1" x14ac:dyDescent="0.25">
      <c r="A10812" s="3"/>
      <c r="B10812" s="3"/>
      <c r="C10812" s="3"/>
      <c r="D10812" s="3"/>
      <c r="E10812" s="3"/>
      <c r="F10812" s="3"/>
      <c r="G10812" s="3"/>
      <c r="H10812" s="11"/>
      <c r="I10812" s="12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  <c r="AA10812" s="3"/>
      <c r="AB10812" s="3"/>
      <c r="AC10812" s="3"/>
      <c r="AD10812" s="3"/>
      <c r="AE10812" s="3"/>
      <c r="AF10812" s="3"/>
      <c r="AG10812" s="3"/>
      <c r="AH10812" s="3"/>
    </row>
    <row r="10813" spans="1:34" ht="14.25" customHeight="1" x14ac:dyDescent="0.25">
      <c r="A10813" s="3"/>
      <c r="B10813" s="3"/>
      <c r="C10813" s="3"/>
      <c r="D10813" s="3"/>
      <c r="E10813" s="3"/>
      <c r="F10813" s="3"/>
      <c r="G10813" s="3"/>
      <c r="H10813" s="11"/>
      <c r="I10813" s="12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  <c r="AA10813" s="3"/>
      <c r="AB10813" s="3"/>
      <c r="AC10813" s="3"/>
      <c r="AD10813" s="3"/>
      <c r="AE10813" s="3"/>
      <c r="AF10813" s="3"/>
      <c r="AG10813" s="3"/>
      <c r="AH10813" s="3"/>
    </row>
    <row r="10814" spans="1:34" ht="14.25" customHeight="1" x14ac:dyDescent="0.25">
      <c r="A10814" s="3"/>
      <c r="B10814" s="3"/>
      <c r="C10814" s="3"/>
      <c r="D10814" s="3"/>
      <c r="E10814" s="3"/>
      <c r="F10814" s="3"/>
      <c r="G10814" s="3"/>
      <c r="H10814" s="11"/>
      <c r="I10814" s="12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  <c r="AA10814" s="3"/>
      <c r="AB10814" s="3"/>
      <c r="AC10814" s="3"/>
      <c r="AD10814" s="3"/>
      <c r="AE10814" s="3"/>
      <c r="AF10814" s="3"/>
      <c r="AG10814" s="3"/>
      <c r="AH10814" s="3"/>
    </row>
    <row r="10815" spans="1:34" ht="14.25" customHeight="1" x14ac:dyDescent="0.25">
      <c r="A10815" s="3"/>
      <c r="B10815" s="3"/>
      <c r="C10815" s="3"/>
      <c r="D10815" s="3"/>
      <c r="E10815" s="3"/>
      <c r="F10815" s="3"/>
      <c r="G10815" s="3"/>
      <c r="H10815" s="11"/>
      <c r="I10815" s="12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  <c r="AA10815" s="3"/>
      <c r="AB10815" s="3"/>
      <c r="AC10815" s="3"/>
      <c r="AD10815" s="3"/>
      <c r="AE10815" s="3"/>
      <c r="AF10815" s="3"/>
      <c r="AG10815" s="3"/>
      <c r="AH10815" s="3"/>
    </row>
    <row r="10816" spans="1:34" ht="14.25" customHeight="1" x14ac:dyDescent="0.25">
      <c r="A10816" s="3"/>
      <c r="B10816" s="3"/>
      <c r="C10816" s="3"/>
      <c r="D10816" s="3"/>
      <c r="E10816" s="3"/>
      <c r="F10816" s="3"/>
      <c r="G10816" s="3"/>
      <c r="H10816" s="11"/>
      <c r="I10816" s="12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  <c r="AA10816" s="3"/>
      <c r="AB10816" s="3"/>
      <c r="AC10816" s="3"/>
      <c r="AD10816" s="3"/>
      <c r="AE10816" s="3"/>
      <c r="AF10816" s="3"/>
      <c r="AG10816" s="3"/>
      <c r="AH10816" s="3"/>
    </row>
    <row r="10817" spans="1:34" ht="14.25" customHeight="1" x14ac:dyDescent="0.25">
      <c r="A10817" s="3"/>
      <c r="B10817" s="3"/>
      <c r="C10817" s="3"/>
      <c r="D10817" s="3"/>
      <c r="E10817" s="3"/>
      <c r="F10817" s="3"/>
      <c r="G10817" s="3"/>
      <c r="H10817" s="11"/>
      <c r="I10817" s="12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  <c r="AA10817" s="3"/>
      <c r="AB10817" s="3"/>
      <c r="AC10817" s="3"/>
      <c r="AD10817" s="3"/>
      <c r="AE10817" s="3"/>
      <c r="AF10817" s="3"/>
      <c r="AG10817" s="3"/>
      <c r="AH10817" s="3"/>
    </row>
    <row r="10818" spans="1:34" ht="14.25" customHeight="1" x14ac:dyDescent="0.25">
      <c r="A10818" s="3"/>
      <c r="B10818" s="3"/>
      <c r="C10818" s="3"/>
      <c r="D10818" s="3"/>
      <c r="E10818" s="3"/>
      <c r="F10818" s="3"/>
      <c r="G10818" s="3"/>
      <c r="H10818" s="11"/>
      <c r="I10818" s="12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  <c r="AA10818" s="3"/>
      <c r="AB10818" s="3"/>
      <c r="AC10818" s="3"/>
      <c r="AD10818" s="3"/>
      <c r="AE10818" s="3"/>
      <c r="AF10818" s="3"/>
      <c r="AG10818" s="3"/>
      <c r="AH10818" s="3"/>
    </row>
    <row r="10819" spans="1:34" ht="14.25" customHeight="1" x14ac:dyDescent="0.25">
      <c r="A10819" s="3"/>
      <c r="B10819" s="3"/>
      <c r="C10819" s="3"/>
      <c r="D10819" s="3"/>
      <c r="E10819" s="3"/>
      <c r="F10819" s="3"/>
      <c r="G10819" s="3"/>
      <c r="H10819" s="11"/>
      <c r="I10819" s="12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  <c r="AA10819" s="3"/>
      <c r="AB10819" s="3"/>
      <c r="AC10819" s="3"/>
      <c r="AD10819" s="3"/>
      <c r="AE10819" s="3"/>
      <c r="AF10819" s="3"/>
      <c r="AG10819" s="3"/>
      <c r="AH10819" s="3"/>
    </row>
    <row r="10820" spans="1:34" ht="14.25" customHeight="1" x14ac:dyDescent="0.25">
      <c r="A10820" s="3"/>
      <c r="B10820" s="3"/>
      <c r="C10820" s="3"/>
      <c r="D10820" s="3"/>
      <c r="E10820" s="3"/>
      <c r="F10820" s="3"/>
      <c r="G10820" s="3"/>
      <c r="H10820" s="11"/>
      <c r="I10820" s="12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  <c r="AA10820" s="3"/>
      <c r="AB10820" s="3"/>
      <c r="AC10820" s="3"/>
      <c r="AD10820" s="3"/>
      <c r="AE10820" s="3"/>
      <c r="AF10820" s="3"/>
      <c r="AG10820" s="3"/>
      <c r="AH10820" s="3"/>
    </row>
    <row r="10821" spans="1:34" ht="14.25" customHeight="1" x14ac:dyDescent="0.25">
      <c r="A10821" s="3"/>
      <c r="B10821" s="3"/>
      <c r="C10821" s="3"/>
      <c r="D10821" s="3"/>
      <c r="E10821" s="3"/>
      <c r="F10821" s="3"/>
      <c r="G10821" s="3"/>
      <c r="H10821" s="11"/>
      <c r="I10821" s="12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  <c r="AA10821" s="3"/>
      <c r="AB10821" s="3"/>
      <c r="AC10821" s="3"/>
      <c r="AD10821" s="3"/>
      <c r="AE10821" s="3"/>
      <c r="AF10821" s="3"/>
      <c r="AG10821" s="3"/>
      <c r="AH10821" s="3"/>
    </row>
    <row r="10822" spans="1:34" ht="14.25" customHeight="1" x14ac:dyDescent="0.25">
      <c r="A10822" s="3"/>
      <c r="B10822" s="3"/>
      <c r="C10822" s="3"/>
      <c r="D10822" s="3"/>
      <c r="E10822" s="3"/>
      <c r="F10822" s="3"/>
      <c r="G10822" s="3"/>
      <c r="H10822" s="11"/>
      <c r="I10822" s="12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  <c r="AA10822" s="3"/>
      <c r="AB10822" s="3"/>
      <c r="AC10822" s="3"/>
      <c r="AD10822" s="3"/>
      <c r="AE10822" s="3"/>
      <c r="AF10822" s="3"/>
      <c r="AG10822" s="3"/>
      <c r="AH10822" s="3"/>
    </row>
    <row r="10823" spans="1:34" ht="14.25" customHeight="1" x14ac:dyDescent="0.25">
      <c r="A10823" s="3"/>
      <c r="B10823" s="3"/>
      <c r="C10823" s="3"/>
      <c r="D10823" s="3"/>
      <c r="E10823" s="3"/>
      <c r="F10823" s="3"/>
      <c r="G10823" s="3"/>
      <c r="H10823" s="11"/>
      <c r="I10823" s="12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  <c r="AA10823" s="3"/>
      <c r="AB10823" s="3"/>
      <c r="AC10823" s="3"/>
      <c r="AD10823" s="3"/>
      <c r="AE10823" s="3"/>
      <c r="AF10823" s="3"/>
      <c r="AG10823" s="3"/>
      <c r="AH10823" s="3"/>
    </row>
    <row r="10824" spans="1:34" ht="14.25" customHeight="1" x14ac:dyDescent="0.25">
      <c r="A10824" s="3"/>
      <c r="B10824" s="3"/>
      <c r="C10824" s="3"/>
      <c r="D10824" s="3"/>
      <c r="E10824" s="3"/>
      <c r="F10824" s="3"/>
      <c r="G10824" s="3"/>
      <c r="H10824" s="11"/>
      <c r="I10824" s="12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  <c r="AA10824" s="3"/>
      <c r="AB10824" s="3"/>
      <c r="AC10824" s="3"/>
      <c r="AD10824" s="3"/>
      <c r="AE10824" s="3"/>
      <c r="AF10824" s="3"/>
      <c r="AG10824" s="3"/>
      <c r="AH10824" s="3"/>
    </row>
    <row r="10825" spans="1:34" ht="14.25" customHeight="1" x14ac:dyDescent="0.25">
      <c r="A10825" s="3"/>
      <c r="B10825" s="3"/>
      <c r="C10825" s="3"/>
      <c r="D10825" s="3"/>
      <c r="E10825" s="3"/>
      <c r="F10825" s="3"/>
      <c r="G10825" s="3"/>
      <c r="H10825" s="11"/>
      <c r="I10825" s="12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  <c r="AA10825" s="3"/>
      <c r="AB10825" s="3"/>
      <c r="AC10825" s="3"/>
      <c r="AD10825" s="3"/>
      <c r="AE10825" s="3"/>
      <c r="AF10825" s="3"/>
      <c r="AG10825" s="3"/>
      <c r="AH10825" s="3"/>
    </row>
    <row r="10826" spans="1:34" ht="14.25" customHeight="1" x14ac:dyDescent="0.25">
      <c r="A10826" s="3"/>
      <c r="B10826" s="3"/>
      <c r="C10826" s="3"/>
      <c r="D10826" s="3"/>
      <c r="E10826" s="3"/>
      <c r="F10826" s="3"/>
      <c r="G10826" s="3"/>
      <c r="H10826" s="11"/>
      <c r="I10826" s="12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  <c r="AA10826" s="3"/>
      <c r="AB10826" s="3"/>
      <c r="AC10826" s="3"/>
      <c r="AD10826" s="3"/>
      <c r="AE10826" s="3"/>
      <c r="AF10826" s="3"/>
      <c r="AG10826" s="3"/>
      <c r="AH10826" s="3"/>
    </row>
    <row r="10827" spans="1:34" ht="14.25" customHeight="1" x14ac:dyDescent="0.25">
      <c r="A10827" s="3"/>
      <c r="B10827" s="3"/>
      <c r="C10827" s="3"/>
      <c r="D10827" s="3"/>
      <c r="E10827" s="3"/>
      <c r="F10827" s="3"/>
      <c r="G10827" s="3"/>
      <c r="H10827" s="11"/>
      <c r="I10827" s="12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  <c r="AA10827" s="3"/>
      <c r="AB10827" s="3"/>
      <c r="AC10827" s="3"/>
      <c r="AD10827" s="3"/>
      <c r="AE10827" s="3"/>
      <c r="AF10827" s="3"/>
      <c r="AG10827" s="3"/>
      <c r="AH10827" s="3"/>
    </row>
    <row r="10828" spans="1:34" ht="14.25" customHeight="1" x14ac:dyDescent="0.25">
      <c r="A10828" s="3"/>
      <c r="B10828" s="3"/>
      <c r="C10828" s="3"/>
      <c r="D10828" s="3"/>
      <c r="E10828" s="3"/>
      <c r="F10828" s="3"/>
      <c r="G10828" s="3"/>
      <c r="H10828" s="11"/>
      <c r="I10828" s="12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  <c r="AA10828" s="3"/>
      <c r="AB10828" s="3"/>
      <c r="AC10828" s="3"/>
      <c r="AD10828" s="3"/>
      <c r="AE10828" s="3"/>
      <c r="AF10828" s="3"/>
      <c r="AG10828" s="3"/>
      <c r="AH10828" s="3"/>
    </row>
    <row r="10829" spans="1:34" ht="14.25" customHeight="1" x14ac:dyDescent="0.25">
      <c r="A10829" s="3"/>
      <c r="B10829" s="3"/>
      <c r="C10829" s="3"/>
      <c r="D10829" s="3"/>
      <c r="E10829" s="3"/>
      <c r="F10829" s="3"/>
      <c r="G10829" s="3"/>
      <c r="H10829" s="11"/>
      <c r="I10829" s="12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  <c r="AA10829" s="3"/>
      <c r="AB10829" s="3"/>
      <c r="AC10829" s="3"/>
      <c r="AD10829" s="3"/>
      <c r="AE10829" s="3"/>
      <c r="AF10829" s="3"/>
      <c r="AG10829" s="3"/>
      <c r="AH10829" s="3"/>
    </row>
    <row r="10830" spans="1:34" ht="14.25" customHeight="1" x14ac:dyDescent="0.25">
      <c r="A10830" s="3"/>
      <c r="B10830" s="3"/>
      <c r="C10830" s="3"/>
      <c r="D10830" s="3"/>
      <c r="E10830" s="3"/>
      <c r="F10830" s="3"/>
      <c r="G10830" s="3"/>
      <c r="H10830" s="11"/>
      <c r="I10830" s="12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  <c r="AA10830" s="3"/>
      <c r="AB10830" s="3"/>
      <c r="AC10830" s="3"/>
      <c r="AD10830" s="3"/>
      <c r="AE10830" s="3"/>
      <c r="AF10830" s="3"/>
      <c r="AG10830" s="3"/>
      <c r="AH10830" s="3"/>
    </row>
    <row r="10831" spans="1:34" ht="14.25" customHeight="1" x14ac:dyDescent="0.25">
      <c r="A10831" s="3"/>
      <c r="B10831" s="3"/>
      <c r="C10831" s="3"/>
      <c r="D10831" s="3"/>
      <c r="E10831" s="3"/>
      <c r="F10831" s="3"/>
      <c r="G10831" s="3"/>
      <c r="H10831" s="11"/>
      <c r="I10831" s="12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  <c r="AA10831" s="3"/>
      <c r="AB10831" s="3"/>
      <c r="AC10831" s="3"/>
      <c r="AD10831" s="3"/>
      <c r="AE10831" s="3"/>
      <c r="AF10831" s="3"/>
      <c r="AG10831" s="3"/>
      <c r="AH10831" s="3"/>
    </row>
    <row r="10832" spans="1:34" ht="14.25" customHeight="1" x14ac:dyDescent="0.25">
      <c r="A10832" s="3"/>
      <c r="B10832" s="3"/>
      <c r="C10832" s="3"/>
      <c r="D10832" s="3"/>
      <c r="E10832" s="3"/>
      <c r="F10832" s="3"/>
      <c r="G10832" s="3"/>
      <c r="H10832" s="11"/>
      <c r="I10832" s="12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  <c r="AA10832" s="3"/>
      <c r="AB10832" s="3"/>
      <c r="AC10832" s="3"/>
      <c r="AD10832" s="3"/>
      <c r="AE10832" s="3"/>
      <c r="AF10832" s="3"/>
      <c r="AG10832" s="3"/>
      <c r="AH10832" s="3"/>
    </row>
    <row r="10833" spans="1:34" ht="14.25" customHeight="1" x14ac:dyDescent="0.25">
      <c r="A10833" s="3"/>
      <c r="B10833" s="3"/>
      <c r="C10833" s="3"/>
      <c r="D10833" s="3"/>
      <c r="E10833" s="3"/>
      <c r="F10833" s="3"/>
      <c r="G10833" s="3"/>
      <c r="H10833" s="11"/>
      <c r="I10833" s="12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  <c r="AA10833" s="3"/>
      <c r="AB10833" s="3"/>
      <c r="AC10833" s="3"/>
      <c r="AD10833" s="3"/>
      <c r="AE10833" s="3"/>
      <c r="AF10833" s="3"/>
      <c r="AG10833" s="3"/>
      <c r="AH10833" s="3"/>
    </row>
    <row r="10834" spans="1:34" ht="14.25" customHeight="1" x14ac:dyDescent="0.25">
      <c r="A10834" s="3"/>
      <c r="B10834" s="3"/>
      <c r="C10834" s="3"/>
      <c r="D10834" s="3"/>
      <c r="E10834" s="3"/>
      <c r="F10834" s="3"/>
      <c r="G10834" s="3"/>
      <c r="H10834" s="11"/>
      <c r="I10834" s="12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  <c r="AA10834" s="3"/>
      <c r="AB10834" s="3"/>
      <c r="AC10834" s="3"/>
      <c r="AD10834" s="3"/>
      <c r="AE10834" s="3"/>
      <c r="AF10834" s="3"/>
      <c r="AG10834" s="3"/>
      <c r="AH10834" s="3"/>
    </row>
    <row r="10835" spans="1:34" ht="14.25" customHeight="1" x14ac:dyDescent="0.25">
      <c r="A10835" s="3"/>
      <c r="B10835" s="3"/>
      <c r="C10835" s="3"/>
      <c r="D10835" s="3"/>
      <c r="E10835" s="3"/>
      <c r="F10835" s="3"/>
      <c r="G10835" s="3"/>
      <c r="H10835" s="11"/>
      <c r="I10835" s="12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  <c r="AA10835" s="3"/>
      <c r="AB10835" s="3"/>
      <c r="AC10835" s="3"/>
      <c r="AD10835" s="3"/>
      <c r="AE10835" s="3"/>
      <c r="AF10835" s="3"/>
      <c r="AG10835" s="3"/>
      <c r="AH10835" s="3"/>
    </row>
    <row r="10836" spans="1:34" ht="14.25" customHeight="1" x14ac:dyDescent="0.25">
      <c r="A10836" s="3"/>
      <c r="B10836" s="3"/>
      <c r="C10836" s="3"/>
      <c r="D10836" s="3"/>
      <c r="E10836" s="3"/>
      <c r="F10836" s="3"/>
      <c r="G10836" s="3"/>
      <c r="H10836" s="11"/>
      <c r="I10836" s="12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  <c r="AA10836" s="3"/>
      <c r="AB10836" s="3"/>
      <c r="AC10836" s="3"/>
      <c r="AD10836" s="3"/>
      <c r="AE10836" s="3"/>
      <c r="AF10836" s="3"/>
      <c r="AG10836" s="3"/>
      <c r="AH10836" s="3"/>
    </row>
    <row r="10837" spans="1:34" ht="14.25" customHeight="1" x14ac:dyDescent="0.25">
      <c r="A10837" s="3"/>
      <c r="B10837" s="3"/>
      <c r="C10837" s="3"/>
      <c r="D10837" s="3"/>
      <c r="E10837" s="3"/>
      <c r="F10837" s="3"/>
      <c r="G10837" s="3"/>
      <c r="H10837" s="11"/>
      <c r="I10837" s="12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  <c r="AA10837" s="3"/>
      <c r="AB10837" s="3"/>
      <c r="AC10837" s="3"/>
      <c r="AD10837" s="3"/>
      <c r="AE10837" s="3"/>
      <c r="AF10837" s="3"/>
      <c r="AG10837" s="3"/>
      <c r="AH10837" s="3"/>
    </row>
    <row r="10838" spans="1:34" ht="14.25" customHeight="1" x14ac:dyDescent="0.25">
      <c r="A10838" s="3"/>
      <c r="B10838" s="3"/>
      <c r="C10838" s="3"/>
      <c r="D10838" s="3"/>
      <c r="E10838" s="3"/>
      <c r="F10838" s="3"/>
      <c r="G10838" s="3"/>
      <c r="H10838" s="11"/>
      <c r="I10838" s="12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  <c r="AA10838" s="3"/>
      <c r="AB10838" s="3"/>
      <c r="AC10838" s="3"/>
      <c r="AD10838" s="3"/>
      <c r="AE10838" s="3"/>
      <c r="AF10838" s="3"/>
      <c r="AG10838" s="3"/>
      <c r="AH10838" s="3"/>
    </row>
    <row r="10839" spans="1:34" ht="14.25" customHeight="1" x14ac:dyDescent="0.25">
      <c r="A10839" s="3"/>
      <c r="B10839" s="3"/>
      <c r="C10839" s="3"/>
      <c r="D10839" s="3"/>
      <c r="E10839" s="3"/>
      <c r="F10839" s="3"/>
      <c r="G10839" s="3"/>
      <c r="H10839" s="11"/>
      <c r="I10839" s="12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  <c r="AA10839" s="3"/>
      <c r="AB10839" s="3"/>
      <c r="AC10839" s="3"/>
      <c r="AD10839" s="3"/>
      <c r="AE10839" s="3"/>
      <c r="AF10839" s="3"/>
      <c r="AG10839" s="3"/>
      <c r="AH10839" s="3"/>
    </row>
    <row r="10840" spans="1:34" ht="14.25" customHeight="1" x14ac:dyDescent="0.25">
      <c r="A10840" s="3"/>
      <c r="B10840" s="3"/>
      <c r="C10840" s="3"/>
      <c r="D10840" s="3"/>
      <c r="E10840" s="3"/>
      <c r="F10840" s="3"/>
      <c r="G10840" s="3"/>
      <c r="H10840" s="11"/>
      <c r="I10840" s="12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  <c r="AA10840" s="3"/>
      <c r="AB10840" s="3"/>
      <c r="AC10840" s="3"/>
      <c r="AD10840" s="3"/>
      <c r="AE10840" s="3"/>
      <c r="AF10840" s="3"/>
      <c r="AG10840" s="3"/>
      <c r="AH10840" s="3"/>
    </row>
    <row r="10841" spans="1:34" ht="14.25" customHeight="1" x14ac:dyDescent="0.25">
      <c r="A10841" s="3"/>
      <c r="B10841" s="3"/>
      <c r="C10841" s="3"/>
      <c r="D10841" s="3"/>
      <c r="E10841" s="3"/>
      <c r="F10841" s="3"/>
      <c r="G10841" s="3"/>
      <c r="H10841" s="11"/>
      <c r="I10841" s="12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  <c r="AA10841" s="3"/>
      <c r="AB10841" s="3"/>
      <c r="AC10841" s="3"/>
      <c r="AD10841" s="3"/>
      <c r="AE10841" s="3"/>
      <c r="AF10841" s="3"/>
      <c r="AG10841" s="3"/>
      <c r="AH10841" s="3"/>
    </row>
    <row r="10842" spans="1:34" ht="14.25" customHeight="1" x14ac:dyDescent="0.25">
      <c r="A10842" s="3"/>
      <c r="B10842" s="3"/>
      <c r="C10842" s="3"/>
      <c r="D10842" s="3"/>
      <c r="E10842" s="3"/>
      <c r="F10842" s="3"/>
      <c r="G10842" s="3"/>
      <c r="H10842" s="11"/>
      <c r="I10842" s="12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  <c r="AA10842" s="3"/>
      <c r="AB10842" s="3"/>
      <c r="AC10842" s="3"/>
      <c r="AD10842" s="3"/>
      <c r="AE10842" s="3"/>
      <c r="AF10842" s="3"/>
      <c r="AG10842" s="3"/>
      <c r="AH10842" s="3"/>
    </row>
    <row r="10843" spans="1:34" ht="14.25" customHeight="1" x14ac:dyDescent="0.25">
      <c r="A10843" s="3"/>
      <c r="B10843" s="3"/>
      <c r="C10843" s="3"/>
      <c r="D10843" s="3"/>
      <c r="E10843" s="3"/>
      <c r="F10843" s="3"/>
      <c r="G10843" s="3"/>
      <c r="H10843" s="11"/>
      <c r="I10843" s="12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  <c r="AA10843" s="3"/>
      <c r="AB10843" s="3"/>
      <c r="AC10843" s="3"/>
      <c r="AD10843" s="3"/>
      <c r="AE10843" s="3"/>
      <c r="AF10843" s="3"/>
      <c r="AG10843" s="3"/>
      <c r="AH10843" s="3"/>
    </row>
    <row r="10844" spans="1:34" ht="14.25" customHeight="1" x14ac:dyDescent="0.25">
      <c r="A10844" s="3"/>
      <c r="B10844" s="3"/>
      <c r="C10844" s="3"/>
      <c r="D10844" s="3"/>
      <c r="E10844" s="3"/>
      <c r="F10844" s="3"/>
      <c r="G10844" s="3"/>
      <c r="H10844" s="11"/>
      <c r="I10844" s="12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  <c r="AA10844" s="3"/>
      <c r="AB10844" s="3"/>
      <c r="AC10844" s="3"/>
      <c r="AD10844" s="3"/>
      <c r="AE10844" s="3"/>
      <c r="AF10844" s="3"/>
      <c r="AG10844" s="3"/>
      <c r="AH10844" s="3"/>
    </row>
    <row r="10845" spans="1:34" ht="14.25" customHeight="1" x14ac:dyDescent="0.25">
      <c r="A10845" s="3"/>
      <c r="B10845" s="3"/>
      <c r="C10845" s="3"/>
      <c r="D10845" s="3"/>
      <c r="E10845" s="3"/>
      <c r="F10845" s="3"/>
      <c r="G10845" s="3"/>
      <c r="H10845" s="11"/>
      <c r="I10845" s="12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  <c r="AA10845" s="3"/>
      <c r="AB10845" s="3"/>
      <c r="AC10845" s="3"/>
      <c r="AD10845" s="3"/>
      <c r="AE10845" s="3"/>
      <c r="AF10845" s="3"/>
      <c r="AG10845" s="3"/>
      <c r="AH10845" s="3"/>
    </row>
    <row r="10846" spans="1:34" ht="14.25" customHeight="1" x14ac:dyDescent="0.25">
      <c r="A10846" s="3"/>
      <c r="B10846" s="3"/>
      <c r="C10846" s="3"/>
      <c r="D10846" s="3"/>
      <c r="E10846" s="3"/>
      <c r="F10846" s="3"/>
      <c r="G10846" s="3"/>
      <c r="H10846" s="11"/>
      <c r="I10846" s="12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  <c r="AA10846" s="3"/>
      <c r="AB10846" s="3"/>
      <c r="AC10846" s="3"/>
      <c r="AD10846" s="3"/>
      <c r="AE10846" s="3"/>
      <c r="AF10846" s="3"/>
      <c r="AG10846" s="3"/>
      <c r="AH10846" s="3"/>
    </row>
    <row r="10847" spans="1:34" ht="14.25" customHeight="1" x14ac:dyDescent="0.25">
      <c r="A10847" s="3"/>
      <c r="B10847" s="3"/>
      <c r="C10847" s="3"/>
      <c r="D10847" s="3"/>
      <c r="E10847" s="3"/>
      <c r="F10847" s="3"/>
      <c r="G10847" s="3"/>
      <c r="H10847" s="11"/>
      <c r="I10847" s="12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  <c r="AA10847" s="3"/>
      <c r="AB10847" s="3"/>
      <c r="AC10847" s="3"/>
      <c r="AD10847" s="3"/>
      <c r="AE10847" s="3"/>
      <c r="AF10847" s="3"/>
      <c r="AG10847" s="3"/>
      <c r="AH10847" s="3"/>
    </row>
    <row r="10848" spans="1:34" ht="14.25" customHeight="1" x14ac:dyDescent="0.25">
      <c r="A10848" s="3"/>
      <c r="B10848" s="3"/>
      <c r="C10848" s="3"/>
      <c r="D10848" s="3"/>
      <c r="E10848" s="3"/>
      <c r="F10848" s="3"/>
      <c r="G10848" s="3"/>
      <c r="H10848" s="11"/>
      <c r="I10848" s="12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  <c r="AA10848" s="3"/>
      <c r="AB10848" s="3"/>
      <c r="AC10848" s="3"/>
      <c r="AD10848" s="3"/>
      <c r="AE10848" s="3"/>
      <c r="AF10848" s="3"/>
      <c r="AG10848" s="3"/>
      <c r="AH10848" s="3"/>
    </row>
    <row r="10849" spans="1:34" ht="14.25" customHeight="1" x14ac:dyDescent="0.25">
      <c r="A10849" s="3"/>
      <c r="B10849" s="3"/>
      <c r="C10849" s="3"/>
      <c r="D10849" s="3"/>
      <c r="E10849" s="3"/>
      <c r="F10849" s="3"/>
      <c r="G10849" s="3"/>
      <c r="H10849" s="11"/>
      <c r="I10849" s="12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  <c r="AA10849" s="3"/>
      <c r="AB10849" s="3"/>
      <c r="AC10849" s="3"/>
      <c r="AD10849" s="3"/>
      <c r="AE10849" s="3"/>
      <c r="AF10849" s="3"/>
      <c r="AG10849" s="3"/>
      <c r="AH10849" s="3"/>
    </row>
    <row r="10850" spans="1:34" ht="14.25" customHeight="1" x14ac:dyDescent="0.25">
      <c r="A10850" s="3"/>
      <c r="B10850" s="3"/>
      <c r="C10850" s="3"/>
      <c r="D10850" s="3"/>
      <c r="E10850" s="3"/>
      <c r="F10850" s="3"/>
      <c r="G10850" s="3"/>
      <c r="H10850" s="11"/>
      <c r="I10850" s="12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  <c r="AA10850" s="3"/>
      <c r="AB10850" s="3"/>
      <c r="AC10850" s="3"/>
      <c r="AD10850" s="3"/>
      <c r="AE10850" s="3"/>
      <c r="AF10850" s="3"/>
      <c r="AG10850" s="3"/>
      <c r="AH10850" s="3"/>
    </row>
    <row r="10851" spans="1:34" ht="14.25" customHeight="1" x14ac:dyDescent="0.25">
      <c r="A10851" s="3"/>
      <c r="B10851" s="3"/>
      <c r="C10851" s="3"/>
      <c r="D10851" s="3"/>
      <c r="E10851" s="3"/>
      <c r="F10851" s="3"/>
      <c r="G10851" s="3"/>
      <c r="H10851" s="11"/>
      <c r="I10851" s="12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  <c r="AA10851" s="3"/>
      <c r="AB10851" s="3"/>
      <c r="AC10851" s="3"/>
      <c r="AD10851" s="3"/>
      <c r="AE10851" s="3"/>
      <c r="AF10851" s="3"/>
      <c r="AG10851" s="3"/>
      <c r="AH10851" s="3"/>
    </row>
    <row r="10852" spans="1:34" ht="14.25" customHeight="1" x14ac:dyDescent="0.25">
      <c r="A10852" s="3"/>
      <c r="B10852" s="3"/>
      <c r="C10852" s="3"/>
      <c r="D10852" s="3"/>
      <c r="E10852" s="3"/>
      <c r="F10852" s="3"/>
      <c r="G10852" s="3"/>
      <c r="H10852" s="11"/>
      <c r="I10852" s="12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  <c r="AA10852" s="3"/>
      <c r="AB10852" s="3"/>
      <c r="AC10852" s="3"/>
      <c r="AD10852" s="3"/>
      <c r="AE10852" s="3"/>
      <c r="AF10852" s="3"/>
      <c r="AG10852" s="3"/>
      <c r="AH10852" s="3"/>
    </row>
    <row r="10853" spans="1:34" ht="14.25" customHeight="1" x14ac:dyDescent="0.25">
      <c r="A10853" s="3"/>
      <c r="B10853" s="3"/>
      <c r="C10853" s="3"/>
      <c r="D10853" s="3"/>
      <c r="E10853" s="3"/>
      <c r="F10853" s="3"/>
      <c r="G10853" s="3"/>
      <c r="H10853" s="11"/>
      <c r="I10853" s="12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  <c r="AA10853" s="3"/>
      <c r="AB10853" s="3"/>
      <c r="AC10853" s="3"/>
      <c r="AD10853" s="3"/>
      <c r="AE10853" s="3"/>
      <c r="AF10853" s="3"/>
      <c r="AG10853" s="3"/>
      <c r="AH10853" s="3"/>
    </row>
    <row r="10854" spans="1:34" ht="14.25" customHeight="1" x14ac:dyDescent="0.25">
      <c r="A10854" s="3"/>
      <c r="B10854" s="3"/>
      <c r="C10854" s="3"/>
      <c r="D10854" s="3"/>
      <c r="E10854" s="3"/>
      <c r="F10854" s="3"/>
      <c r="G10854" s="3"/>
      <c r="H10854" s="11"/>
      <c r="I10854" s="12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  <c r="AA10854" s="3"/>
      <c r="AB10854" s="3"/>
      <c r="AC10854" s="3"/>
      <c r="AD10854" s="3"/>
      <c r="AE10854" s="3"/>
      <c r="AF10854" s="3"/>
      <c r="AG10854" s="3"/>
      <c r="AH10854" s="3"/>
    </row>
    <row r="10855" spans="1:34" ht="14.25" customHeight="1" x14ac:dyDescent="0.25">
      <c r="A10855" s="3"/>
      <c r="B10855" s="3"/>
      <c r="C10855" s="3"/>
      <c r="D10855" s="3"/>
      <c r="E10855" s="3"/>
      <c r="F10855" s="3"/>
      <c r="G10855" s="3"/>
      <c r="H10855" s="11"/>
      <c r="I10855" s="12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  <c r="AA10855" s="3"/>
      <c r="AB10855" s="3"/>
      <c r="AC10855" s="3"/>
      <c r="AD10855" s="3"/>
      <c r="AE10855" s="3"/>
      <c r="AF10855" s="3"/>
      <c r="AG10855" s="3"/>
      <c r="AH10855" s="3"/>
    </row>
    <row r="10856" spans="1:34" ht="14.25" customHeight="1" x14ac:dyDescent="0.25">
      <c r="A10856" s="3"/>
      <c r="B10856" s="3"/>
      <c r="C10856" s="3"/>
      <c r="D10856" s="3"/>
      <c r="E10856" s="3"/>
      <c r="F10856" s="3"/>
      <c r="G10856" s="3"/>
      <c r="H10856" s="11"/>
      <c r="I10856" s="12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  <c r="AA10856" s="3"/>
      <c r="AB10856" s="3"/>
      <c r="AC10856" s="3"/>
      <c r="AD10856" s="3"/>
      <c r="AE10856" s="3"/>
      <c r="AF10856" s="3"/>
      <c r="AG10856" s="3"/>
      <c r="AH10856" s="3"/>
    </row>
    <row r="10857" spans="1:34" ht="14.25" customHeight="1" x14ac:dyDescent="0.25">
      <c r="A10857" s="3"/>
      <c r="B10857" s="3"/>
      <c r="C10857" s="3"/>
      <c r="D10857" s="3"/>
      <c r="E10857" s="3"/>
      <c r="F10857" s="3"/>
      <c r="G10857" s="3"/>
      <c r="H10857" s="11"/>
      <c r="I10857" s="12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  <c r="AA10857" s="3"/>
      <c r="AB10857" s="3"/>
      <c r="AC10857" s="3"/>
      <c r="AD10857" s="3"/>
      <c r="AE10857" s="3"/>
      <c r="AF10857" s="3"/>
      <c r="AG10857" s="3"/>
      <c r="AH10857" s="3"/>
    </row>
    <row r="10858" spans="1:34" ht="14.25" customHeight="1" x14ac:dyDescent="0.25">
      <c r="A10858" s="3"/>
      <c r="B10858" s="3"/>
      <c r="C10858" s="3"/>
      <c r="D10858" s="3"/>
      <c r="E10858" s="3"/>
      <c r="F10858" s="3"/>
      <c r="G10858" s="3"/>
      <c r="H10858" s="11"/>
      <c r="I10858" s="12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  <c r="AA10858" s="3"/>
      <c r="AB10858" s="3"/>
      <c r="AC10858" s="3"/>
      <c r="AD10858" s="3"/>
      <c r="AE10858" s="3"/>
      <c r="AF10858" s="3"/>
      <c r="AG10858" s="3"/>
      <c r="AH10858" s="3"/>
    </row>
    <row r="10859" spans="1:34" ht="14.25" customHeight="1" x14ac:dyDescent="0.25">
      <c r="A10859" s="3"/>
      <c r="B10859" s="3"/>
      <c r="C10859" s="3"/>
      <c r="D10859" s="3"/>
      <c r="E10859" s="3"/>
      <c r="F10859" s="3"/>
      <c r="G10859" s="3"/>
      <c r="H10859" s="11"/>
      <c r="I10859" s="12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  <c r="AA10859" s="3"/>
      <c r="AB10859" s="3"/>
      <c r="AC10859" s="3"/>
      <c r="AD10859" s="3"/>
      <c r="AE10859" s="3"/>
      <c r="AF10859" s="3"/>
      <c r="AG10859" s="3"/>
      <c r="AH10859" s="3"/>
    </row>
    <row r="10860" spans="1:34" ht="14.25" customHeight="1" x14ac:dyDescent="0.25">
      <c r="A10860" s="3"/>
      <c r="B10860" s="3"/>
      <c r="C10860" s="3"/>
      <c r="D10860" s="3"/>
      <c r="E10860" s="3"/>
      <c r="F10860" s="3"/>
      <c r="G10860" s="3"/>
      <c r="H10860" s="11"/>
      <c r="I10860" s="12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  <c r="AA10860" s="3"/>
      <c r="AB10860" s="3"/>
      <c r="AC10860" s="3"/>
      <c r="AD10860" s="3"/>
      <c r="AE10860" s="3"/>
      <c r="AF10860" s="3"/>
      <c r="AG10860" s="3"/>
      <c r="AH10860" s="3"/>
    </row>
    <row r="10861" spans="1:34" ht="14.25" customHeight="1" x14ac:dyDescent="0.25">
      <c r="A10861" s="3"/>
      <c r="B10861" s="3"/>
      <c r="C10861" s="3"/>
      <c r="D10861" s="3"/>
      <c r="E10861" s="3"/>
      <c r="F10861" s="3"/>
      <c r="G10861" s="3"/>
      <c r="H10861" s="11"/>
      <c r="I10861" s="12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  <c r="AA10861" s="3"/>
      <c r="AB10861" s="3"/>
      <c r="AC10861" s="3"/>
      <c r="AD10861" s="3"/>
      <c r="AE10861" s="3"/>
      <c r="AF10861" s="3"/>
      <c r="AG10861" s="3"/>
      <c r="AH10861" s="3"/>
    </row>
    <row r="10862" spans="1:34" ht="14.25" customHeight="1" x14ac:dyDescent="0.25">
      <c r="A10862" s="3"/>
      <c r="B10862" s="3"/>
      <c r="C10862" s="3"/>
      <c r="D10862" s="3"/>
      <c r="E10862" s="3"/>
      <c r="F10862" s="3"/>
      <c r="G10862" s="3"/>
      <c r="H10862" s="11"/>
      <c r="I10862" s="12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  <c r="AA10862" s="3"/>
      <c r="AB10862" s="3"/>
      <c r="AC10862" s="3"/>
      <c r="AD10862" s="3"/>
      <c r="AE10862" s="3"/>
      <c r="AF10862" s="3"/>
      <c r="AG10862" s="3"/>
      <c r="AH10862" s="3"/>
    </row>
    <row r="10863" spans="1:34" ht="14.25" customHeight="1" x14ac:dyDescent="0.25">
      <c r="A10863" s="3"/>
      <c r="B10863" s="3"/>
      <c r="C10863" s="3"/>
      <c r="D10863" s="3"/>
      <c r="E10863" s="3"/>
      <c r="F10863" s="3"/>
      <c r="G10863" s="3"/>
      <c r="H10863" s="11"/>
      <c r="I10863" s="12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  <c r="AA10863" s="3"/>
      <c r="AB10863" s="3"/>
      <c r="AC10863" s="3"/>
      <c r="AD10863" s="3"/>
      <c r="AE10863" s="3"/>
      <c r="AF10863" s="3"/>
      <c r="AG10863" s="3"/>
      <c r="AH10863" s="3"/>
    </row>
    <row r="10864" spans="1:34" ht="14.25" customHeight="1" x14ac:dyDescent="0.25">
      <c r="A10864" s="3"/>
      <c r="B10864" s="3"/>
      <c r="C10864" s="3"/>
      <c r="D10864" s="3"/>
      <c r="E10864" s="3"/>
      <c r="F10864" s="3"/>
      <c r="G10864" s="3"/>
      <c r="H10864" s="11"/>
      <c r="I10864" s="12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  <c r="AA10864" s="3"/>
      <c r="AB10864" s="3"/>
      <c r="AC10864" s="3"/>
      <c r="AD10864" s="3"/>
      <c r="AE10864" s="3"/>
      <c r="AF10864" s="3"/>
      <c r="AG10864" s="3"/>
      <c r="AH10864" s="3"/>
    </row>
    <row r="10865" spans="1:34" ht="14.25" customHeight="1" x14ac:dyDescent="0.25">
      <c r="A10865" s="3"/>
      <c r="B10865" s="3"/>
      <c r="C10865" s="3"/>
      <c r="D10865" s="3"/>
      <c r="E10865" s="3"/>
      <c r="F10865" s="3"/>
      <c r="G10865" s="3"/>
      <c r="H10865" s="11"/>
      <c r="I10865" s="12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  <c r="AA10865" s="3"/>
      <c r="AB10865" s="3"/>
      <c r="AC10865" s="3"/>
      <c r="AD10865" s="3"/>
      <c r="AE10865" s="3"/>
      <c r="AF10865" s="3"/>
      <c r="AG10865" s="3"/>
      <c r="AH10865" s="3"/>
    </row>
    <row r="10866" spans="1:34" ht="14.25" customHeight="1" x14ac:dyDescent="0.25">
      <c r="A10866" s="3"/>
      <c r="B10866" s="3"/>
      <c r="C10866" s="3"/>
      <c r="D10866" s="3"/>
      <c r="E10866" s="3"/>
      <c r="F10866" s="3"/>
      <c r="G10866" s="3"/>
      <c r="H10866" s="11"/>
      <c r="I10866" s="12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  <c r="AA10866" s="3"/>
      <c r="AB10866" s="3"/>
      <c r="AC10866" s="3"/>
      <c r="AD10866" s="3"/>
      <c r="AE10866" s="3"/>
      <c r="AF10866" s="3"/>
      <c r="AG10866" s="3"/>
      <c r="AH10866" s="3"/>
    </row>
    <row r="10867" spans="1:34" ht="14.25" customHeight="1" x14ac:dyDescent="0.25">
      <c r="A10867" s="3"/>
      <c r="B10867" s="3"/>
      <c r="C10867" s="3"/>
      <c r="D10867" s="3"/>
      <c r="E10867" s="3"/>
      <c r="F10867" s="3"/>
      <c r="G10867" s="3"/>
      <c r="H10867" s="11"/>
      <c r="I10867" s="12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  <c r="AA10867" s="3"/>
      <c r="AB10867" s="3"/>
      <c r="AC10867" s="3"/>
      <c r="AD10867" s="3"/>
      <c r="AE10867" s="3"/>
      <c r="AF10867" s="3"/>
      <c r="AG10867" s="3"/>
      <c r="AH10867" s="3"/>
    </row>
    <row r="10868" spans="1:34" ht="14.25" customHeight="1" x14ac:dyDescent="0.25">
      <c r="A10868" s="3"/>
      <c r="B10868" s="3"/>
      <c r="C10868" s="3"/>
      <c r="D10868" s="3"/>
      <c r="E10868" s="3"/>
      <c r="F10868" s="3"/>
      <c r="G10868" s="3"/>
      <c r="H10868" s="11"/>
      <c r="I10868" s="12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  <c r="AA10868" s="3"/>
      <c r="AB10868" s="3"/>
      <c r="AC10868" s="3"/>
      <c r="AD10868" s="3"/>
      <c r="AE10868" s="3"/>
      <c r="AF10868" s="3"/>
      <c r="AG10868" s="3"/>
      <c r="AH10868" s="3"/>
    </row>
    <row r="10869" spans="1:34" ht="14.25" customHeight="1" x14ac:dyDescent="0.25">
      <c r="A10869" s="3"/>
      <c r="B10869" s="3"/>
      <c r="C10869" s="3"/>
      <c r="D10869" s="3"/>
      <c r="E10869" s="3"/>
      <c r="F10869" s="3"/>
      <c r="G10869" s="3"/>
      <c r="H10869" s="11"/>
      <c r="I10869" s="12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  <c r="AA10869" s="3"/>
      <c r="AB10869" s="3"/>
      <c r="AC10869" s="3"/>
      <c r="AD10869" s="3"/>
      <c r="AE10869" s="3"/>
      <c r="AF10869" s="3"/>
      <c r="AG10869" s="3"/>
      <c r="AH10869" s="3"/>
    </row>
    <row r="10870" spans="1:34" ht="14.25" customHeight="1" x14ac:dyDescent="0.25">
      <c r="A10870" s="3"/>
      <c r="B10870" s="3"/>
      <c r="C10870" s="3"/>
      <c r="D10870" s="3"/>
      <c r="E10870" s="3"/>
      <c r="F10870" s="3"/>
      <c r="G10870" s="3"/>
      <c r="H10870" s="11"/>
      <c r="I10870" s="12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  <c r="AA10870" s="3"/>
      <c r="AB10870" s="3"/>
      <c r="AC10870" s="3"/>
      <c r="AD10870" s="3"/>
      <c r="AE10870" s="3"/>
      <c r="AF10870" s="3"/>
      <c r="AG10870" s="3"/>
      <c r="AH10870" s="3"/>
    </row>
    <row r="10871" spans="1:34" ht="14.25" customHeight="1" x14ac:dyDescent="0.25">
      <c r="A10871" s="3"/>
      <c r="B10871" s="3"/>
      <c r="C10871" s="3"/>
      <c r="D10871" s="3"/>
      <c r="E10871" s="3"/>
      <c r="F10871" s="3"/>
      <c r="G10871" s="3"/>
      <c r="H10871" s="11"/>
      <c r="I10871" s="12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  <c r="AA10871" s="3"/>
      <c r="AB10871" s="3"/>
      <c r="AC10871" s="3"/>
      <c r="AD10871" s="3"/>
      <c r="AE10871" s="3"/>
      <c r="AF10871" s="3"/>
      <c r="AG10871" s="3"/>
      <c r="AH10871" s="3"/>
    </row>
    <row r="10872" spans="1:34" ht="14.25" customHeight="1" x14ac:dyDescent="0.25">
      <c r="A10872" s="3"/>
      <c r="B10872" s="3"/>
      <c r="C10872" s="3"/>
      <c r="D10872" s="3"/>
      <c r="E10872" s="3"/>
      <c r="F10872" s="3"/>
      <c r="G10872" s="3"/>
      <c r="H10872" s="11"/>
      <c r="I10872" s="12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  <c r="AA10872" s="3"/>
      <c r="AB10872" s="3"/>
      <c r="AC10872" s="3"/>
      <c r="AD10872" s="3"/>
      <c r="AE10872" s="3"/>
      <c r="AF10872" s="3"/>
      <c r="AG10872" s="3"/>
      <c r="AH10872" s="3"/>
    </row>
    <row r="10873" spans="1:34" ht="14.25" customHeight="1" x14ac:dyDescent="0.25">
      <c r="A10873" s="3"/>
      <c r="B10873" s="3"/>
      <c r="C10873" s="3"/>
      <c r="D10873" s="3"/>
      <c r="E10873" s="3"/>
      <c r="F10873" s="3"/>
      <c r="G10873" s="3"/>
      <c r="H10873" s="11"/>
      <c r="I10873" s="12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  <c r="AA10873" s="3"/>
      <c r="AB10873" s="3"/>
      <c r="AC10873" s="3"/>
      <c r="AD10873" s="3"/>
      <c r="AE10873" s="3"/>
      <c r="AF10873" s="3"/>
      <c r="AG10873" s="3"/>
      <c r="AH10873" s="3"/>
    </row>
    <row r="10874" spans="1:34" ht="14.25" customHeight="1" x14ac:dyDescent="0.25">
      <c r="A10874" s="3"/>
      <c r="B10874" s="3"/>
      <c r="C10874" s="3"/>
      <c r="D10874" s="3"/>
      <c r="E10874" s="3"/>
      <c r="F10874" s="3"/>
      <c r="G10874" s="3"/>
      <c r="H10874" s="11"/>
      <c r="I10874" s="12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  <c r="AA10874" s="3"/>
      <c r="AB10874" s="3"/>
      <c r="AC10874" s="3"/>
      <c r="AD10874" s="3"/>
      <c r="AE10874" s="3"/>
      <c r="AF10874" s="3"/>
      <c r="AG10874" s="3"/>
      <c r="AH10874" s="3"/>
    </row>
    <row r="10875" spans="1:34" ht="14.25" customHeight="1" x14ac:dyDescent="0.25">
      <c r="A10875" s="3"/>
      <c r="B10875" s="3"/>
      <c r="C10875" s="3"/>
      <c r="D10875" s="3"/>
      <c r="E10875" s="3"/>
      <c r="F10875" s="3"/>
      <c r="G10875" s="3"/>
      <c r="H10875" s="11"/>
      <c r="I10875" s="12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  <c r="AA10875" s="3"/>
      <c r="AB10875" s="3"/>
      <c r="AC10875" s="3"/>
      <c r="AD10875" s="3"/>
      <c r="AE10875" s="3"/>
      <c r="AF10875" s="3"/>
      <c r="AG10875" s="3"/>
      <c r="AH10875" s="3"/>
    </row>
    <row r="10876" spans="1:34" ht="14.25" customHeight="1" x14ac:dyDescent="0.25">
      <c r="A10876" s="3"/>
      <c r="B10876" s="3"/>
      <c r="C10876" s="3"/>
      <c r="D10876" s="3"/>
      <c r="E10876" s="3"/>
      <c r="F10876" s="3"/>
      <c r="G10876" s="3"/>
      <c r="H10876" s="11"/>
      <c r="I10876" s="12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  <c r="AA10876" s="3"/>
      <c r="AB10876" s="3"/>
      <c r="AC10876" s="3"/>
      <c r="AD10876" s="3"/>
      <c r="AE10876" s="3"/>
      <c r="AF10876" s="3"/>
      <c r="AG10876" s="3"/>
      <c r="AH10876" s="3"/>
    </row>
    <row r="10877" spans="1:34" ht="14.25" customHeight="1" x14ac:dyDescent="0.25">
      <c r="A10877" s="3"/>
      <c r="B10877" s="3"/>
      <c r="C10877" s="3"/>
      <c r="D10877" s="3"/>
      <c r="E10877" s="3"/>
      <c r="F10877" s="3"/>
      <c r="G10877" s="3"/>
      <c r="H10877" s="11"/>
      <c r="I10877" s="12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  <c r="AA10877" s="3"/>
      <c r="AB10877" s="3"/>
      <c r="AC10877" s="3"/>
      <c r="AD10877" s="3"/>
      <c r="AE10877" s="3"/>
      <c r="AF10877" s="3"/>
      <c r="AG10877" s="3"/>
      <c r="AH10877" s="3"/>
    </row>
    <row r="10878" spans="1:34" ht="14.25" customHeight="1" x14ac:dyDescent="0.25">
      <c r="A10878" s="3"/>
      <c r="B10878" s="3"/>
      <c r="C10878" s="3"/>
      <c r="D10878" s="3"/>
      <c r="E10878" s="3"/>
      <c r="F10878" s="3"/>
      <c r="G10878" s="3"/>
      <c r="H10878" s="11"/>
      <c r="I10878" s="12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  <c r="AA10878" s="3"/>
      <c r="AB10878" s="3"/>
      <c r="AC10878" s="3"/>
      <c r="AD10878" s="3"/>
      <c r="AE10878" s="3"/>
      <c r="AF10878" s="3"/>
      <c r="AG10878" s="3"/>
      <c r="AH10878" s="3"/>
    </row>
    <row r="10879" spans="1:34" ht="14.25" customHeight="1" x14ac:dyDescent="0.25">
      <c r="A10879" s="3"/>
      <c r="B10879" s="3"/>
      <c r="C10879" s="3"/>
      <c r="D10879" s="3"/>
      <c r="E10879" s="3"/>
      <c r="F10879" s="3"/>
      <c r="G10879" s="3"/>
      <c r="H10879" s="11"/>
      <c r="I10879" s="12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  <c r="AA10879" s="3"/>
      <c r="AB10879" s="3"/>
      <c r="AC10879" s="3"/>
      <c r="AD10879" s="3"/>
      <c r="AE10879" s="3"/>
      <c r="AF10879" s="3"/>
      <c r="AG10879" s="3"/>
      <c r="AH10879" s="3"/>
    </row>
    <row r="10880" spans="1:34" ht="14.25" customHeight="1" x14ac:dyDescent="0.25">
      <c r="A10880" s="3"/>
      <c r="B10880" s="3"/>
      <c r="C10880" s="3"/>
      <c r="D10880" s="3"/>
      <c r="E10880" s="3"/>
      <c r="F10880" s="3"/>
      <c r="G10880" s="3"/>
      <c r="H10880" s="11"/>
      <c r="I10880" s="12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  <c r="AA10880" s="3"/>
      <c r="AB10880" s="3"/>
      <c r="AC10880" s="3"/>
      <c r="AD10880" s="3"/>
      <c r="AE10880" s="3"/>
      <c r="AF10880" s="3"/>
      <c r="AG10880" s="3"/>
      <c r="AH10880" s="3"/>
    </row>
    <row r="10881" spans="1:34" ht="14.25" customHeight="1" x14ac:dyDescent="0.25">
      <c r="A10881" s="3"/>
      <c r="B10881" s="3"/>
      <c r="C10881" s="3"/>
      <c r="D10881" s="3"/>
      <c r="E10881" s="3"/>
      <c r="F10881" s="3"/>
      <c r="G10881" s="3"/>
      <c r="H10881" s="11"/>
      <c r="I10881" s="12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  <c r="AA10881" s="3"/>
      <c r="AB10881" s="3"/>
      <c r="AC10881" s="3"/>
      <c r="AD10881" s="3"/>
      <c r="AE10881" s="3"/>
      <c r="AF10881" s="3"/>
      <c r="AG10881" s="3"/>
      <c r="AH10881" s="3"/>
    </row>
    <row r="10882" spans="1:34" ht="14.25" customHeight="1" x14ac:dyDescent="0.25">
      <c r="A10882" s="3"/>
      <c r="B10882" s="3"/>
      <c r="C10882" s="3"/>
      <c r="D10882" s="3"/>
      <c r="E10882" s="3"/>
      <c r="F10882" s="3"/>
      <c r="G10882" s="3"/>
      <c r="H10882" s="11"/>
      <c r="I10882" s="12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  <c r="AA10882" s="3"/>
      <c r="AB10882" s="3"/>
      <c r="AC10882" s="3"/>
      <c r="AD10882" s="3"/>
      <c r="AE10882" s="3"/>
      <c r="AF10882" s="3"/>
      <c r="AG10882" s="3"/>
      <c r="AH10882" s="3"/>
    </row>
    <row r="10883" spans="1:34" ht="14.25" customHeight="1" x14ac:dyDescent="0.25">
      <c r="A10883" s="3"/>
      <c r="B10883" s="3"/>
      <c r="C10883" s="3"/>
      <c r="D10883" s="3"/>
      <c r="E10883" s="3"/>
      <c r="F10883" s="3"/>
      <c r="G10883" s="3"/>
      <c r="H10883" s="11"/>
      <c r="I10883" s="12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  <c r="AA10883" s="3"/>
      <c r="AB10883" s="3"/>
      <c r="AC10883" s="3"/>
      <c r="AD10883" s="3"/>
      <c r="AE10883" s="3"/>
      <c r="AF10883" s="3"/>
      <c r="AG10883" s="3"/>
      <c r="AH10883" s="3"/>
    </row>
    <row r="10884" spans="1:34" ht="14.25" customHeight="1" x14ac:dyDescent="0.25">
      <c r="A10884" s="3"/>
      <c r="B10884" s="3"/>
      <c r="C10884" s="3"/>
      <c r="D10884" s="3"/>
      <c r="E10884" s="3"/>
      <c r="F10884" s="3"/>
      <c r="G10884" s="3"/>
      <c r="H10884" s="11"/>
      <c r="I10884" s="12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  <c r="AA10884" s="3"/>
      <c r="AB10884" s="3"/>
      <c r="AC10884" s="3"/>
      <c r="AD10884" s="3"/>
      <c r="AE10884" s="3"/>
      <c r="AF10884" s="3"/>
      <c r="AG10884" s="3"/>
      <c r="AH10884" s="3"/>
    </row>
    <row r="10885" spans="1:34" ht="14.25" customHeight="1" x14ac:dyDescent="0.25">
      <c r="A10885" s="3"/>
      <c r="B10885" s="3"/>
      <c r="C10885" s="3"/>
      <c r="D10885" s="3"/>
      <c r="E10885" s="3"/>
      <c r="F10885" s="3"/>
      <c r="G10885" s="3"/>
      <c r="H10885" s="11"/>
      <c r="I10885" s="12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  <c r="AA10885" s="3"/>
      <c r="AB10885" s="3"/>
      <c r="AC10885" s="3"/>
      <c r="AD10885" s="3"/>
      <c r="AE10885" s="3"/>
      <c r="AF10885" s="3"/>
      <c r="AG10885" s="3"/>
      <c r="AH10885" s="3"/>
    </row>
    <row r="10886" spans="1:34" ht="14.25" customHeight="1" x14ac:dyDescent="0.25">
      <c r="A10886" s="3"/>
      <c r="B10886" s="3"/>
      <c r="C10886" s="3"/>
      <c r="D10886" s="3"/>
      <c r="E10886" s="3"/>
      <c r="F10886" s="3"/>
      <c r="G10886" s="3"/>
      <c r="H10886" s="11"/>
      <c r="I10886" s="12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  <c r="AA10886" s="3"/>
      <c r="AB10886" s="3"/>
      <c r="AC10886" s="3"/>
      <c r="AD10886" s="3"/>
      <c r="AE10886" s="3"/>
      <c r="AF10886" s="3"/>
      <c r="AG10886" s="3"/>
      <c r="AH10886" s="3"/>
    </row>
    <row r="10887" spans="1:34" ht="14.25" customHeight="1" x14ac:dyDescent="0.25">
      <c r="A10887" s="3"/>
      <c r="B10887" s="3"/>
      <c r="C10887" s="3"/>
      <c r="D10887" s="3"/>
      <c r="E10887" s="3"/>
      <c r="F10887" s="3"/>
      <c r="G10887" s="3"/>
      <c r="H10887" s="11"/>
      <c r="I10887" s="12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  <c r="AA10887" s="3"/>
      <c r="AB10887" s="3"/>
      <c r="AC10887" s="3"/>
      <c r="AD10887" s="3"/>
      <c r="AE10887" s="3"/>
      <c r="AF10887" s="3"/>
      <c r="AG10887" s="3"/>
      <c r="AH10887" s="3"/>
    </row>
    <row r="10888" spans="1:34" ht="14.25" customHeight="1" x14ac:dyDescent="0.25">
      <c r="A10888" s="3"/>
      <c r="B10888" s="3"/>
      <c r="C10888" s="3"/>
      <c r="D10888" s="3"/>
      <c r="E10888" s="3"/>
      <c r="F10888" s="3"/>
      <c r="G10888" s="3"/>
      <c r="H10888" s="11"/>
      <c r="I10888" s="12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  <c r="AA10888" s="3"/>
      <c r="AB10888" s="3"/>
      <c r="AC10888" s="3"/>
      <c r="AD10888" s="3"/>
      <c r="AE10888" s="3"/>
      <c r="AF10888" s="3"/>
      <c r="AG10888" s="3"/>
      <c r="AH10888" s="3"/>
    </row>
    <row r="10889" spans="1:34" ht="14.25" customHeight="1" x14ac:dyDescent="0.25">
      <c r="A10889" s="3"/>
      <c r="B10889" s="3"/>
      <c r="C10889" s="3"/>
      <c r="D10889" s="3"/>
      <c r="E10889" s="3"/>
      <c r="F10889" s="3"/>
      <c r="G10889" s="3"/>
      <c r="H10889" s="11"/>
      <c r="I10889" s="12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  <c r="AA10889" s="3"/>
      <c r="AB10889" s="3"/>
      <c r="AC10889" s="3"/>
      <c r="AD10889" s="3"/>
      <c r="AE10889" s="3"/>
      <c r="AF10889" s="3"/>
      <c r="AG10889" s="3"/>
      <c r="AH10889" s="3"/>
    </row>
    <row r="10890" spans="1:34" ht="14.25" customHeight="1" x14ac:dyDescent="0.25">
      <c r="A10890" s="3"/>
      <c r="B10890" s="3"/>
      <c r="C10890" s="3"/>
      <c r="D10890" s="3"/>
      <c r="E10890" s="3"/>
      <c r="F10890" s="3"/>
      <c r="G10890" s="3"/>
      <c r="H10890" s="11"/>
      <c r="I10890" s="12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  <c r="AA10890" s="3"/>
      <c r="AB10890" s="3"/>
      <c r="AC10890" s="3"/>
      <c r="AD10890" s="3"/>
      <c r="AE10890" s="3"/>
      <c r="AF10890" s="3"/>
      <c r="AG10890" s="3"/>
      <c r="AH10890" s="3"/>
    </row>
    <row r="10891" spans="1:34" ht="14.25" customHeight="1" x14ac:dyDescent="0.25">
      <c r="A10891" s="3"/>
      <c r="B10891" s="3"/>
      <c r="C10891" s="3"/>
      <c r="D10891" s="3"/>
      <c r="E10891" s="3"/>
      <c r="F10891" s="3"/>
      <c r="G10891" s="3"/>
      <c r="H10891" s="11"/>
      <c r="I10891" s="12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  <c r="AA10891" s="3"/>
      <c r="AB10891" s="3"/>
      <c r="AC10891" s="3"/>
      <c r="AD10891" s="3"/>
      <c r="AE10891" s="3"/>
      <c r="AF10891" s="3"/>
      <c r="AG10891" s="3"/>
      <c r="AH10891" s="3"/>
    </row>
    <row r="10892" spans="1:34" ht="14.25" customHeight="1" x14ac:dyDescent="0.25">
      <c r="A10892" s="3"/>
      <c r="B10892" s="3"/>
      <c r="C10892" s="3"/>
      <c r="D10892" s="3"/>
      <c r="E10892" s="3"/>
      <c r="F10892" s="3"/>
      <c r="G10892" s="3"/>
      <c r="H10892" s="11"/>
      <c r="I10892" s="12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  <c r="AA10892" s="3"/>
      <c r="AB10892" s="3"/>
      <c r="AC10892" s="3"/>
      <c r="AD10892" s="3"/>
      <c r="AE10892" s="3"/>
      <c r="AF10892" s="3"/>
      <c r="AG10892" s="3"/>
      <c r="AH10892" s="3"/>
    </row>
    <row r="10893" spans="1:34" ht="14.25" customHeight="1" x14ac:dyDescent="0.25">
      <c r="A10893" s="3"/>
      <c r="B10893" s="3"/>
      <c r="C10893" s="3"/>
      <c r="D10893" s="3"/>
      <c r="E10893" s="3"/>
      <c r="F10893" s="3"/>
      <c r="G10893" s="3"/>
      <c r="H10893" s="11"/>
      <c r="I10893" s="12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  <c r="AA10893" s="3"/>
      <c r="AB10893" s="3"/>
      <c r="AC10893" s="3"/>
      <c r="AD10893" s="3"/>
      <c r="AE10893" s="3"/>
      <c r="AF10893" s="3"/>
      <c r="AG10893" s="3"/>
      <c r="AH10893" s="3"/>
    </row>
    <row r="10894" spans="1:34" ht="14.25" customHeight="1" x14ac:dyDescent="0.25">
      <c r="A10894" s="3"/>
      <c r="B10894" s="3"/>
      <c r="C10894" s="3"/>
      <c r="D10894" s="3"/>
      <c r="E10894" s="3"/>
      <c r="F10894" s="3"/>
      <c r="G10894" s="3"/>
      <c r="H10894" s="11"/>
      <c r="I10894" s="12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  <c r="AA10894" s="3"/>
      <c r="AB10894" s="3"/>
      <c r="AC10894" s="3"/>
      <c r="AD10894" s="3"/>
      <c r="AE10894" s="3"/>
      <c r="AF10894" s="3"/>
      <c r="AG10894" s="3"/>
      <c r="AH10894" s="3"/>
    </row>
    <row r="10895" spans="1:34" ht="14.25" customHeight="1" x14ac:dyDescent="0.25">
      <c r="A10895" s="3"/>
      <c r="B10895" s="3"/>
      <c r="C10895" s="3"/>
      <c r="D10895" s="3"/>
      <c r="E10895" s="3"/>
      <c r="F10895" s="3"/>
      <c r="G10895" s="3"/>
      <c r="H10895" s="11"/>
      <c r="I10895" s="12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  <c r="AA10895" s="3"/>
      <c r="AB10895" s="3"/>
      <c r="AC10895" s="3"/>
      <c r="AD10895" s="3"/>
      <c r="AE10895" s="3"/>
      <c r="AF10895" s="3"/>
      <c r="AG10895" s="3"/>
      <c r="AH10895" s="3"/>
    </row>
    <row r="10896" spans="1:34" ht="14.25" customHeight="1" x14ac:dyDescent="0.25">
      <c r="A10896" s="3"/>
      <c r="B10896" s="3"/>
      <c r="C10896" s="3"/>
      <c r="D10896" s="3"/>
      <c r="E10896" s="3"/>
      <c r="F10896" s="3"/>
      <c r="G10896" s="3"/>
      <c r="H10896" s="11"/>
      <c r="I10896" s="12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  <c r="AA10896" s="3"/>
      <c r="AB10896" s="3"/>
      <c r="AC10896" s="3"/>
      <c r="AD10896" s="3"/>
      <c r="AE10896" s="3"/>
      <c r="AF10896" s="3"/>
      <c r="AG10896" s="3"/>
      <c r="AH10896" s="3"/>
    </row>
    <row r="10897" spans="1:34" ht="14.25" customHeight="1" x14ac:dyDescent="0.25">
      <c r="A10897" s="3"/>
      <c r="B10897" s="3"/>
      <c r="C10897" s="3"/>
      <c r="D10897" s="3"/>
      <c r="E10897" s="3"/>
      <c r="F10897" s="3"/>
      <c r="G10897" s="3"/>
      <c r="H10897" s="11"/>
      <c r="I10897" s="12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  <c r="AA10897" s="3"/>
      <c r="AB10897" s="3"/>
      <c r="AC10897" s="3"/>
      <c r="AD10897" s="3"/>
      <c r="AE10897" s="3"/>
      <c r="AF10897" s="3"/>
      <c r="AG10897" s="3"/>
      <c r="AH10897" s="3"/>
    </row>
    <row r="10898" spans="1:34" ht="14.25" customHeight="1" x14ac:dyDescent="0.25">
      <c r="A10898" s="3"/>
      <c r="B10898" s="3"/>
      <c r="C10898" s="3"/>
      <c r="D10898" s="3"/>
      <c r="E10898" s="3"/>
      <c r="F10898" s="3"/>
      <c r="G10898" s="3"/>
      <c r="H10898" s="11"/>
      <c r="I10898" s="12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  <c r="AA10898" s="3"/>
      <c r="AB10898" s="3"/>
      <c r="AC10898" s="3"/>
      <c r="AD10898" s="3"/>
      <c r="AE10898" s="3"/>
      <c r="AF10898" s="3"/>
      <c r="AG10898" s="3"/>
      <c r="AH10898" s="3"/>
    </row>
    <row r="10899" spans="1:34" ht="14.25" customHeight="1" x14ac:dyDescent="0.25">
      <c r="A10899" s="3"/>
      <c r="B10899" s="3"/>
      <c r="C10899" s="3"/>
      <c r="D10899" s="3"/>
      <c r="E10899" s="3"/>
      <c r="F10899" s="3"/>
      <c r="G10899" s="3"/>
      <c r="H10899" s="11"/>
      <c r="I10899" s="12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  <c r="AA10899" s="3"/>
      <c r="AB10899" s="3"/>
      <c r="AC10899" s="3"/>
      <c r="AD10899" s="3"/>
      <c r="AE10899" s="3"/>
      <c r="AF10899" s="3"/>
      <c r="AG10899" s="3"/>
      <c r="AH10899" s="3"/>
    </row>
    <row r="10900" spans="1:34" ht="14.25" customHeight="1" x14ac:dyDescent="0.25">
      <c r="A10900" s="3"/>
      <c r="B10900" s="3"/>
      <c r="C10900" s="3"/>
      <c r="D10900" s="3"/>
      <c r="E10900" s="3"/>
      <c r="F10900" s="3"/>
      <c r="G10900" s="3"/>
      <c r="H10900" s="11"/>
      <c r="I10900" s="12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  <c r="AA10900" s="3"/>
      <c r="AB10900" s="3"/>
      <c r="AC10900" s="3"/>
      <c r="AD10900" s="3"/>
      <c r="AE10900" s="3"/>
      <c r="AF10900" s="3"/>
      <c r="AG10900" s="3"/>
      <c r="AH10900" s="3"/>
    </row>
    <row r="10901" spans="1:34" ht="14.25" customHeight="1" x14ac:dyDescent="0.25">
      <c r="A10901" s="3"/>
      <c r="B10901" s="3"/>
      <c r="C10901" s="3"/>
      <c r="D10901" s="3"/>
      <c r="E10901" s="3"/>
      <c r="F10901" s="3"/>
      <c r="G10901" s="3"/>
      <c r="H10901" s="11"/>
      <c r="I10901" s="12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  <c r="AA10901" s="3"/>
      <c r="AB10901" s="3"/>
      <c r="AC10901" s="3"/>
      <c r="AD10901" s="3"/>
      <c r="AE10901" s="3"/>
      <c r="AF10901" s="3"/>
      <c r="AG10901" s="3"/>
      <c r="AH10901" s="3"/>
    </row>
    <row r="10902" spans="1:34" ht="14.25" customHeight="1" x14ac:dyDescent="0.25">
      <c r="A10902" s="3"/>
      <c r="B10902" s="3"/>
      <c r="C10902" s="3"/>
      <c r="D10902" s="3"/>
      <c r="E10902" s="3"/>
      <c r="F10902" s="3"/>
      <c r="G10902" s="3"/>
      <c r="H10902" s="11"/>
      <c r="I10902" s="12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  <c r="AA10902" s="3"/>
      <c r="AB10902" s="3"/>
      <c r="AC10902" s="3"/>
      <c r="AD10902" s="3"/>
      <c r="AE10902" s="3"/>
      <c r="AF10902" s="3"/>
      <c r="AG10902" s="3"/>
      <c r="AH10902" s="3"/>
    </row>
    <row r="10903" spans="1:34" ht="14.25" customHeight="1" x14ac:dyDescent="0.25">
      <c r="A10903" s="3"/>
      <c r="B10903" s="3"/>
      <c r="C10903" s="3"/>
      <c r="D10903" s="3"/>
      <c r="E10903" s="3"/>
      <c r="F10903" s="3"/>
      <c r="G10903" s="3"/>
      <c r="H10903" s="11"/>
      <c r="I10903" s="12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  <c r="AA10903" s="3"/>
      <c r="AB10903" s="3"/>
      <c r="AC10903" s="3"/>
      <c r="AD10903" s="3"/>
      <c r="AE10903" s="3"/>
      <c r="AF10903" s="3"/>
      <c r="AG10903" s="3"/>
      <c r="AH10903" s="3"/>
    </row>
    <row r="10904" spans="1:34" ht="14.25" customHeight="1" x14ac:dyDescent="0.25">
      <c r="A10904" s="3"/>
      <c r="B10904" s="3"/>
      <c r="C10904" s="3"/>
      <c r="D10904" s="3"/>
      <c r="E10904" s="3"/>
      <c r="F10904" s="3"/>
      <c r="G10904" s="3"/>
      <c r="H10904" s="11"/>
      <c r="I10904" s="12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  <c r="AA10904" s="3"/>
      <c r="AB10904" s="3"/>
      <c r="AC10904" s="3"/>
      <c r="AD10904" s="3"/>
      <c r="AE10904" s="3"/>
      <c r="AF10904" s="3"/>
      <c r="AG10904" s="3"/>
      <c r="AH10904" s="3"/>
    </row>
    <row r="10905" spans="1:34" ht="14.25" customHeight="1" x14ac:dyDescent="0.25">
      <c r="A10905" s="3"/>
      <c r="B10905" s="3"/>
      <c r="C10905" s="3"/>
      <c r="D10905" s="3"/>
      <c r="E10905" s="3"/>
      <c r="F10905" s="3"/>
      <c r="G10905" s="3"/>
      <c r="H10905" s="11"/>
      <c r="I10905" s="12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  <c r="AA10905" s="3"/>
      <c r="AB10905" s="3"/>
      <c r="AC10905" s="3"/>
      <c r="AD10905" s="3"/>
      <c r="AE10905" s="3"/>
      <c r="AF10905" s="3"/>
      <c r="AG10905" s="3"/>
      <c r="AH10905" s="3"/>
    </row>
    <row r="10906" spans="1:34" ht="14.25" customHeight="1" x14ac:dyDescent="0.25">
      <c r="A10906" s="3"/>
      <c r="B10906" s="3"/>
      <c r="C10906" s="3"/>
      <c r="D10906" s="3"/>
      <c r="E10906" s="3"/>
      <c r="F10906" s="3"/>
      <c r="G10906" s="3"/>
      <c r="H10906" s="11"/>
      <c r="I10906" s="12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  <c r="AA10906" s="3"/>
      <c r="AB10906" s="3"/>
      <c r="AC10906" s="3"/>
      <c r="AD10906" s="3"/>
      <c r="AE10906" s="3"/>
      <c r="AF10906" s="3"/>
      <c r="AG10906" s="3"/>
      <c r="AH10906" s="3"/>
    </row>
    <row r="10907" spans="1:34" ht="14.25" customHeight="1" x14ac:dyDescent="0.25">
      <c r="A10907" s="3"/>
      <c r="B10907" s="3"/>
      <c r="C10907" s="3"/>
      <c r="D10907" s="3"/>
      <c r="E10907" s="3"/>
      <c r="F10907" s="3"/>
      <c r="G10907" s="3"/>
      <c r="H10907" s="11"/>
      <c r="I10907" s="12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  <c r="AA10907" s="3"/>
      <c r="AB10907" s="3"/>
      <c r="AC10907" s="3"/>
      <c r="AD10907" s="3"/>
      <c r="AE10907" s="3"/>
      <c r="AF10907" s="3"/>
      <c r="AG10907" s="3"/>
      <c r="AH10907" s="3"/>
    </row>
    <row r="10908" spans="1:34" ht="14.25" customHeight="1" x14ac:dyDescent="0.25">
      <c r="A10908" s="3"/>
      <c r="B10908" s="3"/>
      <c r="C10908" s="3"/>
      <c r="D10908" s="3"/>
      <c r="E10908" s="3"/>
      <c r="F10908" s="3"/>
      <c r="G10908" s="3"/>
      <c r="H10908" s="11"/>
      <c r="I10908" s="12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  <c r="AA10908" s="3"/>
      <c r="AB10908" s="3"/>
      <c r="AC10908" s="3"/>
      <c r="AD10908" s="3"/>
      <c r="AE10908" s="3"/>
      <c r="AF10908" s="3"/>
      <c r="AG10908" s="3"/>
      <c r="AH10908" s="3"/>
    </row>
    <row r="10909" spans="1:34" ht="14.25" customHeight="1" x14ac:dyDescent="0.25">
      <c r="A10909" s="3"/>
      <c r="B10909" s="3"/>
      <c r="C10909" s="3"/>
      <c r="D10909" s="3"/>
      <c r="E10909" s="3"/>
      <c r="F10909" s="3"/>
      <c r="G10909" s="3"/>
      <c r="H10909" s="11"/>
      <c r="I10909" s="12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  <c r="AA10909" s="3"/>
      <c r="AB10909" s="3"/>
      <c r="AC10909" s="3"/>
      <c r="AD10909" s="3"/>
      <c r="AE10909" s="3"/>
      <c r="AF10909" s="3"/>
      <c r="AG10909" s="3"/>
      <c r="AH10909" s="3"/>
    </row>
    <row r="10910" spans="1:34" ht="14.25" customHeight="1" x14ac:dyDescent="0.25">
      <c r="A10910" s="3"/>
      <c r="B10910" s="3"/>
      <c r="C10910" s="3"/>
      <c r="D10910" s="3"/>
      <c r="E10910" s="3"/>
      <c r="F10910" s="3"/>
      <c r="G10910" s="3"/>
      <c r="H10910" s="11"/>
      <c r="I10910" s="12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  <c r="AA10910" s="3"/>
      <c r="AB10910" s="3"/>
      <c r="AC10910" s="3"/>
      <c r="AD10910" s="3"/>
      <c r="AE10910" s="3"/>
      <c r="AF10910" s="3"/>
      <c r="AG10910" s="3"/>
      <c r="AH10910" s="3"/>
    </row>
    <row r="10911" spans="1:34" ht="14.25" customHeight="1" x14ac:dyDescent="0.25">
      <c r="A10911" s="3"/>
      <c r="B10911" s="3"/>
      <c r="C10911" s="3"/>
      <c r="D10911" s="3"/>
      <c r="E10911" s="3"/>
      <c r="F10911" s="3"/>
      <c r="G10911" s="3"/>
      <c r="H10911" s="11"/>
      <c r="I10911" s="12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  <c r="AA10911" s="3"/>
      <c r="AB10911" s="3"/>
      <c r="AC10911" s="3"/>
      <c r="AD10911" s="3"/>
      <c r="AE10911" s="3"/>
      <c r="AF10911" s="3"/>
      <c r="AG10911" s="3"/>
      <c r="AH10911" s="3"/>
    </row>
    <row r="10912" spans="1:34" ht="14.25" customHeight="1" x14ac:dyDescent="0.25">
      <c r="A10912" s="3"/>
      <c r="B10912" s="3"/>
      <c r="C10912" s="3"/>
      <c r="D10912" s="3"/>
      <c r="E10912" s="3"/>
      <c r="F10912" s="3"/>
      <c r="G10912" s="3"/>
      <c r="H10912" s="11"/>
      <c r="I10912" s="12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  <c r="AA10912" s="3"/>
      <c r="AB10912" s="3"/>
      <c r="AC10912" s="3"/>
      <c r="AD10912" s="3"/>
      <c r="AE10912" s="3"/>
      <c r="AF10912" s="3"/>
      <c r="AG10912" s="3"/>
      <c r="AH10912" s="3"/>
    </row>
    <row r="10913" spans="1:34" ht="14.25" customHeight="1" x14ac:dyDescent="0.25">
      <c r="A10913" s="3"/>
      <c r="B10913" s="3"/>
      <c r="C10913" s="3"/>
      <c r="D10913" s="3"/>
      <c r="E10913" s="3"/>
      <c r="F10913" s="3"/>
      <c r="G10913" s="3"/>
      <c r="H10913" s="11"/>
      <c r="I10913" s="12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  <c r="AA10913" s="3"/>
      <c r="AB10913" s="3"/>
      <c r="AC10913" s="3"/>
      <c r="AD10913" s="3"/>
      <c r="AE10913" s="3"/>
      <c r="AF10913" s="3"/>
      <c r="AG10913" s="3"/>
      <c r="AH10913" s="3"/>
    </row>
    <row r="10914" spans="1:34" ht="14.25" customHeight="1" x14ac:dyDescent="0.25">
      <c r="A10914" s="3"/>
      <c r="B10914" s="3"/>
      <c r="C10914" s="3"/>
      <c r="D10914" s="3"/>
      <c r="E10914" s="3"/>
      <c r="F10914" s="3"/>
      <c r="G10914" s="3"/>
      <c r="H10914" s="11"/>
      <c r="I10914" s="12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  <c r="AA10914" s="3"/>
      <c r="AB10914" s="3"/>
      <c r="AC10914" s="3"/>
      <c r="AD10914" s="3"/>
      <c r="AE10914" s="3"/>
      <c r="AF10914" s="3"/>
      <c r="AG10914" s="3"/>
      <c r="AH10914" s="3"/>
    </row>
    <row r="10915" spans="1:34" ht="14.25" customHeight="1" x14ac:dyDescent="0.25">
      <c r="A10915" s="3"/>
      <c r="B10915" s="3"/>
      <c r="C10915" s="3"/>
      <c r="D10915" s="3"/>
      <c r="E10915" s="3"/>
      <c r="F10915" s="3"/>
      <c r="G10915" s="3"/>
      <c r="H10915" s="11"/>
      <c r="I10915" s="12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  <c r="AA10915" s="3"/>
      <c r="AB10915" s="3"/>
      <c r="AC10915" s="3"/>
      <c r="AD10915" s="3"/>
      <c r="AE10915" s="3"/>
      <c r="AF10915" s="3"/>
      <c r="AG10915" s="3"/>
      <c r="AH10915" s="3"/>
    </row>
    <row r="10916" spans="1:34" ht="14.25" customHeight="1" x14ac:dyDescent="0.25">
      <c r="A10916" s="3"/>
      <c r="B10916" s="3"/>
      <c r="C10916" s="3"/>
      <c r="D10916" s="3"/>
      <c r="E10916" s="3"/>
      <c r="F10916" s="3"/>
      <c r="G10916" s="3"/>
      <c r="H10916" s="11"/>
      <c r="I10916" s="12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  <c r="AA10916" s="3"/>
      <c r="AB10916" s="3"/>
      <c r="AC10916" s="3"/>
      <c r="AD10916" s="3"/>
      <c r="AE10916" s="3"/>
      <c r="AF10916" s="3"/>
      <c r="AG10916" s="3"/>
      <c r="AH10916" s="3"/>
    </row>
    <row r="10917" spans="1:34" ht="14.25" customHeight="1" x14ac:dyDescent="0.25">
      <c r="A10917" s="3"/>
      <c r="B10917" s="3"/>
      <c r="C10917" s="3"/>
      <c r="D10917" s="3"/>
      <c r="E10917" s="3"/>
      <c r="F10917" s="3"/>
      <c r="G10917" s="3"/>
      <c r="H10917" s="11"/>
      <c r="I10917" s="12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  <c r="AA10917" s="3"/>
      <c r="AB10917" s="3"/>
      <c r="AC10917" s="3"/>
      <c r="AD10917" s="3"/>
      <c r="AE10917" s="3"/>
      <c r="AF10917" s="3"/>
      <c r="AG10917" s="3"/>
      <c r="AH10917" s="3"/>
    </row>
    <row r="10918" spans="1:34" ht="14.25" customHeight="1" x14ac:dyDescent="0.25">
      <c r="A10918" s="3"/>
      <c r="B10918" s="3"/>
      <c r="C10918" s="3"/>
      <c r="D10918" s="3"/>
      <c r="E10918" s="3"/>
      <c r="F10918" s="3"/>
      <c r="G10918" s="3"/>
      <c r="H10918" s="11"/>
      <c r="I10918" s="12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  <c r="AA10918" s="3"/>
      <c r="AB10918" s="3"/>
      <c r="AC10918" s="3"/>
      <c r="AD10918" s="3"/>
      <c r="AE10918" s="3"/>
      <c r="AF10918" s="3"/>
      <c r="AG10918" s="3"/>
      <c r="AH10918" s="3"/>
    </row>
    <row r="10919" spans="1:34" ht="14.25" customHeight="1" x14ac:dyDescent="0.25">
      <c r="A10919" s="3"/>
      <c r="B10919" s="3"/>
      <c r="C10919" s="3"/>
      <c r="D10919" s="3"/>
      <c r="E10919" s="3"/>
      <c r="F10919" s="3"/>
      <c r="G10919" s="3"/>
      <c r="H10919" s="11"/>
      <c r="I10919" s="12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  <c r="AA10919" s="3"/>
      <c r="AB10919" s="3"/>
      <c r="AC10919" s="3"/>
      <c r="AD10919" s="3"/>
      <c r="AE10919" s="3"/>
      <c r="AF10919" s="3"/>
      <c r="AG10919" s="3"/>
      <c r="AH10919" s="3"/>
    </row>
    <row r="10920" spans="1:34" ht="14.25" customHeight="1" x14ac:dyDescent="0.25">
      <c r="A10920" s="3"/>
      <c r="B10920" s="3"/>
      <c r="C10920" s="3"/>
      <c r="D10920" s="3"/>
      <c r="E10920" s="3"/>
      <c r="F10920" s="3"/>
      <c r="G10920" s="3"/>
      <c r="H10920" s="11"/>
      <c r="I10920" s="12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  <c r="AA10920" s="3"/>
      <c r="AB10920" s="3"/>
      <c r="AC10920" s="3"/>
      <c r="AD10920" s="3"/>
      <c r="AE10920" s="3"/>
      <c r="AF10920" s="3"/>
      <c r="AG10920" s="3"/>
      <c r="AH10920" s="3"/>
    </row>
    <row r="10921" spans="1:34" ht="14.25" customHeight="1" x14ac:dyDescent="0.25">
      <c r="A10921" s="3"/>
      <c r="B10921" s="3"/>
      <c r="C10921" s="3"/>
      <c r="D10921" s="3"/>
      <c r="E10921" s="3"/>
      <c r="F10921" s="3"/>
      <c r="G10921" s="3"/>
      <c r="H10921" s="11"/>
      <c r="I10921" s="12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  <c r="AA10921" s="3"/>
      <c r="AB10921" s="3"/>
      <c r="AC10921" s="3"/>
      <c r="AD10921" s="3"/>
      <c r="AE10921" s="3"/>
      <c r="AF10921" s="3"/>
      <c r="AG10921" s="3"/>
      <c r="AH10921" s="3"/>
    </row>
    <row r="10922" spans="1:34" ht="14.25" customHeight="1" x14ac:dyDescent="0.25">
      <c r="A10922" s="3"/>
      <c r="B10922" s="3"/>
      <c r="C10922" s="3"/>
      <c r="D10922" s="3"/>
      <c r="E10922" s="3"/>
      <c r="F10922" s="3"/>
      <c r="G10922" s="3"/>
      <c r="H10922" s="11"/>
      <c r="I10922" s="12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  <c r="AA10922" s="3"/>
      <c r="AB10922" s="3"/>
      <c r="AC10922" s="3"/>
      <c r="AD10922" s="3"/>
      <c r="AE10922" s="3"/>
      <c r="AF10922" s="3"/>
      <c r="AG10922" s="3"/>
      <c r="AH10922" s="3"/>
    </row>
    <row r="10923" spans="1:34" ht="14.25" customHeight="1" x14ac:dyDescent="0.25">
      <c r="A10923" s="3"/>
      <c r="B10923" s="3"/>
      <c r="C10923" s="3"/>
      <c r="D10923" s="3"/>
      <c r="E10923" s="3"/>
      <c r="F10923" s="3"/>
      <c r="G10923" s="3"/>
      <c r="H10923" s="11"/>
      <c r="I10923" s="12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  <c r="AA10923" s="3"/>
      <c r="AB10923" s="3"/>
      <c r="AC10923" s="3"/>
      <c r="AD10923" s="3"/>
      <c r="AE10923" s="3"/>
      <c r="AF10923" s="3"/>
      <c r="AG10923" s="3"/>
      <c r="AH10923" s="3"/>
    </row>
    <row r="10924" spans="1:34" ht="14.25" customHeight="1" x14ac:dyDescent="0.25">
      <c r="A10924" s="3"/>
      <c r="B10924" s="3"/>
      <c r="C10924" s="3"/>
      <c r="D10924" s="3"/>
      <c r="E10924" s="3"/>
      <c r="F10924" s="3"/>
      <c r="G10924" s="3"/>
      <c r="H10924" s="11"/>
      <c r="I10924" s="12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  <c r="AA10924" s="3"/>
      <c r="AB10924" s="3"/>
      <c r="AC10924" s="3"/>
      <c r="AD10924" s="3"/>
      <c r="AE10924" s="3"/>
      <c r="AF10924" s="3"/>
      <c r="AG10924" s="3"/>
      <c r="AH10924" s="3"/>
    </row>
    <row r="10925" spans="1:34" ht="14.25" customHeight="1" x14ac:dyDescent="0.25">
      <c r="A10925" s="3"/>
      <c r="B10925" s="3"/>
      <c r="C10925" s="3"/>
      <c r="D10925" s="3"/>
      <c r="E10925" s="3"/>
      <c r="F10925" s="3"/>
      <c r="G10925" s="3"/>
      <c r="H10925" s="11"/>
      <c r="I10925" s="12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  <c r="AA10925" s="3"/>
      <c r="AB10925" s="3"/>
      <c r="AC10925" s="3"/>
      <c r="AD10925" s="3"/>
      <c r="AE10925" s="3"/>
      <c r="AF10925" s="3"/>
      <c r="AG10925" s="3"/>
      <c r="AH10925" s="3"/>
    </row>
    <row r="10926" spans="1:34" ht="14.25" customHeight="1" x14ac:dyDescent="0.25">
      <c r="A10926" s="3"/>
      <c r="B10926" s="3"/>
      <c r="C10926" s="3"/>
      <c r="D10926" s="3"/>
      <c r="E10926" s="3"/>
      <c r="F10926" s="3"/>
      <c r="G10926" s="3"/>
      <c r="H10926" s="11"/>
      <c r="I10926" s="12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  <c r="AA10926" s="3"/>
      <c r="AB10926" s="3"/>
      <c r="AC10926" s="3"/>
      <c r="AD10926" s="3"/>
      <c r="AE10926" s="3"/>
      <c r="AF10926" s="3"/>
      <c r="AG10926" s="3"/>
      <c r="AH10926" s="3"/>
    </row>
    <row r="10927" spans="1:34" ht="14.25" customHeight="1" x14ac:dyDescent="0.25">
      <c r="A10927" s="3"/>
      <c r="B10927" s="3"/>
      <c r="C10927" s="3"/>
      <c r="D10927" s="3"/>
      <c r="E10927" s="3"/>
      <c r="F10927" s="3"/>
      <c r="G10927" s="3"/>
      <c r="H10927" s="11"/>
      <c r="I10927" s="12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  <c r="AA10927" s="3"/>
      <c r="AB10927" s="3"/>
      <c r="AC10927" s="3"/>
      <c r="AD10927" s="3"/>
      <c r="AE10927" s="3"/>
      <c r="AF10927" s="3"/>
      <c r="AG10927" s="3"/>
      <c r="AH10927" s="3"/>
    </row>
    <row r="10928" spans="1:34" ht="14.25" customHeight="1" x14ac:dyDescent="0.25">
      <c r="A10928" s="3"/>
      <c r="B10928" s="3"/>
      <c r="C10928" s="3"/>
      <c r="D10928" s="3"/>
      <c r="E10928" s="3"/>
      <c r="F10928" s="3"/>
      <c r="G10928" s="3"/>
      <c r="H10928" s="11"/>
      <c r="I10928" s="12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  <c r="AA10928" s="3"/>
      <c r="AB10928" s="3"/>
      <c r="AC10928" s="3"/>
      <c r="AD10928" s="3"/>
      <c r="AE10928" s="3"/>
      <c r="AF10928" s="3"/>
      <c r="AG10928" s="3"/>
      <c r="AH10928" s="3"/>
    </row>
    <row r="10929" spans="1:34" ht="14.25" customHeight="1" x14ac:dyDescent="0.25">
      <c r="A10929" s="3"/>
      <c r="B10929" s="3"/>
      <c r="C10929" s="3"/>
      <c r="D10929" s="3"/>
      <c r="E10929" s="3"/>
      <c r="F10929" s="3"/>
      <c r="G10929" s="3"/>
      <c r="H10929" s="11"/>
      <c r="I10929" s="12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  <c r="AA10929" s="3"/>
      <c r="AB10929" s="3"/>
      <c r="AC10929" s="3"/>
      <c r="AD10929" s="3"/>
      <c r="AE10929" s="3"/>
      <c r="AF10929" s="3"/>
      <c r="AG10929" s="3"/>
      <c r="AH10929" s="3"/>
    </row>
    <row r="10930" spans="1:34" ht="14.25" customHeight="1" x14ac:dyDescent="0.25">
      <c r="A10930" s="3"/>
      <c r="B10930" s="3"/>
      <c r="C10930" s="3"/>
      <c r="D10930" s="3"/>
      <c r="E10930" s="3"/>
      <c r="F10930" s="3"/>
      <c r="G10930" s="3"/>
      <c r="H10930" s="11"/>
      <c r="I10930" s="12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  <c r="AA10930" s="3"/>
      <c r="AB10930" s="3"/>
      <c r="AC10930" s="3"/>
      <c r="AD10930" s="3"/>
      <c r="AE10930" s="3"/>
      <c r="AF10930" s="3"/>
      <c r="AG10930" s="3"/>
      <c r="AH10930" s="3"/>
    </row>
    <row r="10931" spans="1:34" ht="14.25" customHeight="1" x14ac:dyDescent="0.25">
      <c r="A10931" s="3"/>
      <c r="B10931" s="3"/>
      <c r="C10931" s="3"/>
      <c r="D10931" s="3"/>
      <c r="E10931" s="3"/>
      <c r="F10931" s="3"/>
      <c r="G10931" s="3"/>
      <c r="H10931" s="11"/>
      <c r="I10931" s="12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  <c r="AA10931" s="3"/>
      <c r="AB10931" s="3"/>
      <c r="AC10931" s="3"/>
      <c r="AD10931" s="3"/>
      <c r="AE10931" s="3"/>
      <c r="AF10931" s="3"/>
      <c r="AG10931" s="3"/>
      <c r="AH10931" s="3"/>
    </row>
    <row r="10932" spans="1:34" ht="14.25" customHeight="1" x14ac:dyDescent="0.25">
      <c r="A10932" s="3"/>
      <c r="B10932" s="3"/>
      <c r="C10932" s="3"/>
      <c r="D10932" s="3"/>
      <c r="E10932" s="3"/>
      <c r="F10932" s="3"/>
      <c r="G10932" s="3"/>
      <c r="H10932" s="11"/>
      <c r="I10932" s="12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  <c r="AA10932" s="3"/>
      <c r="AB10932" s="3"/>
      <c r="AC10932" s="3"/>
      <c r="AD10932" s="3"/>
      <c r="AE10932" s="3"/>
      <c r="AF10932" s="3"/>
      <c r="AG10932" s="3"/>
      <c r="AH10932" s="3"/>
    </row>
    <row r="10933" spans="1:34" ht="14.25" customHeight="1" x14ac:dyDescent="0.25">
      <c r="A10933" s="3"/>
      <c r="B10933" s="3"/>
      <c r="C10933" s="3"/>
      <c r="D10933" s="3"/>
      <c r="E10933" s="3"/>
      <c r="F10933" s="3"/>
      <c r="G10933" s="3"/>
      <c r="H10933" s="11"/>
      <c r="I10933" s="12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  <c r="AA10933" s="3"/>
      <c r="AB10933" s="3"/>
      <c r="AC10933" s="3"/>
      <c r="AD10933" s="3"/>
      <c r="AE10933" s="3"/>
      <c r="AF10933" s="3"/>
      <c r="AG10933" s="3"/>
      <c r="AH10933" s="3"/>
    </row>
    <row r="10934" spans="1:34" ht="14.25" customHeight="1" x14ac:dyDescent="0.25">
      <c r="A10934" s="3"/>
      <c r="B10934" s="3"/>
      <c r="C10934" s="3"/>
      <c r="D10934" s="3"/>
      <c r="E10934" s="3"/>
      <c r="F10934" s="3"/>
      <c r="G10934" s="3"/>
      <c r="H10934" s="11"/>
      <c r="I10934" s="12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  <c r="AA10934" s="3"/>
      <c r="AB10934" s="3"/>
      <c r="AC10934" s="3"/>
      <c r="AD10934" s="3"/>
      <c r="AE10934" s="3"/>
      <c r="AF10934" s="3"/>
      <c r="AG10934" s="3"/>
      <c r="AH10934" s="3"/>
    </row>
    <row r="10935" spans="1:34" ht="14.25" customHeight="1" x14ac:dyDescent="0.25">
      <c r="A10935" s="3"/>
      <c r="B10935" s="3"/>
      <c r="C10935" s="3"/>
      <c r="D10935" s="3"/>
      <c r="E10935" s="3"/>
      <c r="F10935" s="3"/>
      <c r="G10935" s="3"/>
      <c r="H10935" s="11"/>
      <c r="I10935" s="12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  <c r="AA10935" s="3"/>
      <c r="AB10935" s="3"/>
      <c r="AC10935" s="3"/>
      <c r="AD10935" s="3"/>
      <c r="AE10935" s="3"/>
      <c r="AF10935" s="3"/>
      <c r="AG10935" s="3"/>
      <c r="AH10935" s="3"/>
    </row>
    <row r="10936" spans="1:34" ht="14.25" customHeight="1" x14ac:dyDescent="0.25">
      <c r="A10936" s="3"/>
      <c r="B10936" s="3"/>
      <c r="C10936" s="3"/>
      <c r="D10936" s="3"/>
      <c r="E10936" s="3"/>
      <c r="F10936" s="3"/>
      <c r="G10936" s="3"/>
      <c r="H10936" s="11"/>
      <c r="I10936" s="12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  <c r="AA10936" s="3"/>
      <c r="AB10936" s="3"/>
      <c r="AC10936" s="3"/>
      <c r="AD10936" s="3"/>
      <c r="AE10936" s="3"/>
      <c r="AF10936" s="3"/>
      <c r="AG10936" s="3"/>
      <c r="AH10936" s="3"/>
    </row>
    <row r="10937" spans="1:34" ht="14.25" customHeight="1" x14ac:dyDescent="0.25">
      <c r="A10937" s="3"/>
      <c r="B10937" s="3"/>
      <c r="C10937" s="3"/>
      <c r="D10937" s="3"/>
      <c r="E10937" s="3"/>
      <c r="F10937" s="3"/>
      <c r="G10937" s="3"/>
      <c r="H10937" s="11"/>
      <c r="I10937" s="12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  <c r="AA10937" s="3"/>
      <c r="AB10937" s="3"/>
      <c r="AC10937" s="3"/>
      <c r="AD10937" s="3"/>
      <c r="AE10937" s="3"/>
      <c r="AF10937" s="3"/>
      <c r="AG10937" s="3"/>
      <c r="AH10937" s="3"/>
    </row>
    <row r="10938" spans="1:34" ht="14.25" customHeight="1" x14ac:dyDescent="0.25">
      <c r="A10938" s="3"/>
      <c r="B10938" s="3"/>
      <c r="C10938" s="3"/>
      <c r="D10938" s="3"/>
      <c r="E10938" s="3"/>
      <c r="F10938" s="3"/>
      <c r="G10938" s="3"/>
      <c r="H10938" s="11"/>
      <c r="I10938" s="12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  <c r="AA10938" s="3"/>
      <c r="AB10938" s="3"/>
      <c r="AC10938" s="3"/>
      <c r="AD10938" s="3"/>
      <c r="AE10938" s="3"/>
      <c r="AF10938" s="3"/>
      <c r="AG10938" s="3"/>
      <c r="AH10938" s="3"/>
    </row>
    <row r="10939" spans="1:34" ht="14.25" customHeight="1" x14ac:dyDescent="0.25">
      <c r="A10939" s="3"/>
      <c r="B10939" s="3"/>
      <c r="C10939" s="3"/>
      <c r="D10939" s="3"/>
      <c r="E10939" s="3"/>
      <c r="F10939" s="3"/>
      <c r="G10939" s="3"/>
      <c r="H10939" s="11"/>
      <c r="I10939" s="12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  <c r="AA10939" s="3"/>
      <c r="AB10939" s="3"/>
      <c r="AC10939" s="3"/>
      <c r="AD10939" s="3"/>
      <c r="AE10939" s="3"/>
      <c r="AF10939" s="3"/>
      <c r="AG10939" s="3"/>
      <c r="AH10939" s="3"/>
    </row>
    <row r="10940" spans="1:34" ht="14.25" customHeight="1" x14ac:dyDescent="0.25">
      <c r="A10940" s="3"/>
      <c r="B10940" s="3"/>
      <c r="C10940" s="3"/>
      <c r="D10940" s="3"/>
      <c r="E10940" s="3"/>
      <c r="F10940" s="3"/>
      <c r="G10940" s="3"/>
      <c r="H10940" s="11"/>
      <c r="I10940" s="12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  <c r="AA10940" s="3"/>
      <c r="AB10940" s="3"/>
      <c r="AC10940" s="3"/>
      <c r="AD10940" s="3"/>
      <c r="AE10940" s="3"/>
      <c r="AF10940" s="3"/>
      <c r="AG10940" s="3"/>
      <c r="AH10940" s="3"/>
    </row>
    <row r="10941" spans="1:34" ht="14.25" customHeight="1" x14ac:dyDescent="0.25">
      <c r="A10941" s="3"/>
      <c r="B10941" s="3"/>
      <c r="C10941" s="3"/>
      <c r="D10941" s="3"/>
      <c r="E10941" s="3"/>
      <c r="F10941" s="3"/>
      <c r="G10941" s="3"/>
      <c r="H10941" s="11"/>
      <c r="I10941" s="12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  <c r="AA10941" s="3"/>
      <c r="AB10941" s="3"/>
      <c r="AC10941" s="3"/>
      <c r="AD10941" s="3"/>
      <c r="AE10941" s="3"/>
      <c r="AF10941" s="3"/>
      <c r="AG10941" s="3"/>
      <c r="AH10941" s="3"/>
    </row>
    <row r="10942" spans="1:34" ht="14.25" customHeight="1" x14ac:dyDescent="0.25">
      <c r="A10942" s="3"/>
      <c r="B10942" s="3"/>
      <c r="C10942" s="3"/>
      <c r="D10942" s="3"/>
      <c r="E10942" s="3"/>
      <c r="F10942" s="3"/>
      <c r="G10942" s="3"/>
      <c r="H10942" s="11"/>
      <c r="I10942" s="12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  <c r="AA10942" s="3"/>
      <c r="AB10942" s="3"/>
      <c r="AC10942" s="3"/>
      <c r="AD10942" s="3"/>
      <c r="AE10942" s="3"/>
      <c r="AF10942" s="3"/>
      <c r="AG10942" s="3"/>
      <c r="AH10942" s="3"/>
    </row>
    <row r="10943" spans="1:34" ht="14.25" customHeight="1" x14ac:dyDescent="0.25">
      <c r="A10943" s="3"/>
      <c r="B10943" s="3"/>
      <c r="C10943" s="3"/>
      <c r="D10943" s="3"/>
      <c r="E10943" s="3"/>
      <c r="F10943" s="3"/>
      <c r="G10943" s="3"/>
      <c r="H10943" s="11"/>
      <c r="I10943" s="12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  <c r="AA10943" s="3"/>
      <c r="AB10943" s="3"/>
      <c r="AC10943" s="3"/>
      <c r="AD10943" s="3"/>
      <c r="AE10943" s="3"/>
      <c r="AF10943" s="3"/>
      <c r="AG10943" s="3"/>
      <c r="AH10943" s="3"/>
    </row>
    <row r="10944" spans="1:34" ht="14.25" customHeight="1" x14ac:dyDescent="0.25">
      <c r="A10944" s="3"/>
      <c r="B10944" s="3"/>
      <c r="C10944" s="3"/>
      <c r="D10944" s="3"/>
      <c r="E10944" s="3"/>
      <c r="F10944" s="3"/>
      <c r="G10944" s="3"/>
      <c r="H10944" s="11"/>
      <c r="I10944" s="12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  <c r="AA10944" s="3"/>
      <c r="AB10944" s="3"/>
      <c r="AC10944" s="3"/>
      <c r="AD10944" s="3"/>
      <c r="AE10944" s="3"/>
      <c r="AF10944" s="3"/>
      <c r="AG10944" s="3"/>
      <c r="AH10944" s="3"/>
    </row>
    <row r="10945" spans="1:34" ht="14.25" customHeight="1" x14ac:dyDescent="0.25">
      <c r="A10945" s="3"/>
      <c r="B10945" s="3"/>
      <c r="C10945" s="3"/>
      <c r="D10945" s="3"/>
      <c r="E10945" s="3"/>
      <c r="F10945" s="3"/>
      <c r="G10945" s="3"/>
      <c r="H10945" s="11"/>
      <c r="I10945" s="12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  <c r="AA10945" s="3"/>
      <c r="AB10945" s="3"/>
      <c r="AC10945" s="3"/>
      <c r="AD10945" s="3"/>
      <c r="AE10945" s="3"/>
      <c r="AF10945" s="3"/>
      <c r="AG10945" s="3"/>
      <c r="AH10945" s="3"/>
    </row>
    <row r="10946" spans="1:34" ht="14.25" customHeight="1" x14ac:dyDescent="0.25">
      <c r="A10946" s="3"/>
      <c r="B10946" s="3"/>
      <c r="C10946" s="3"/>
      <c r="D10946" s="3"/>
      <c r="E10946" s="3"/>
      <c r="F10946" s="3"/>
      <c r="G10946" s="3"/>
      <c r="H10946" s="11"/>
      <c r="I10946" s="12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  <c r="AA10946" s="3"/>
      <c r="AB10946" s="3"/>
      <c r="AC10946" s="3"/>
      <c r="AD10946" s="3"/>
      <c r="AE10946" s="3"/>
      <c r="AF10946" s="3"/>
      <c r="AG10946" s="3"/>
      <c r="AH10946" s="3"/>
    </row>
    <row r="10947" spans="1:34" ht="14.25" customHeight="1" x14ac:dyDescent="0.25">
      <c r="A10947" s="3"/>
      <c r="B10947" s="3"/>
      <c r="C10947" s="3"/>
      <c r="D10947" s="3"/>
      <c r="E10947" s="3"/>
      <c r="F10947" s="3"/>
      <c r="G10947" s="3"/>
      <c r="H10947" s="11"/>
      <c r="I10947" s="12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  <c r="AA10947" s="3"/>
      <c r="AB10947" s="3"/>
      <c r="AC10947" s="3"/>
      <c r="AD10947" s="3"/>
      <c r="AE10947" s="3"/>
      <c r="AF10947" s="3"/>
      <c r="AG10947" s="3"/>
      <c r="AH10947" s="3"/>
    </row>
    <row r="10948" spans="1:34" ht="14.25" customHeight="1" x14ac:dyDescent="0.25">
      <c r="A10948" s="3"/>
      <c r="B10948" s="3"/>
      <c r="C10948" s="3"/>
      <c r="D10948" s="3"/>
      <c r="E10948" s="3"/>
      <c r="F10948" s="3"/>
      <c r="G10948" s="3"/>
      <c r="H10948" s="11"/>
      <c r="I10948" s="12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  <c r="AA10948" s="3"/>
      <c r="AB10948" s="3"/>
      <c r="AC10948" s="3"/>
      <c r="AD10948" s="3"/>
      <c r="AE10948" s="3"/>
      <c r="AF10948" s="3"/>
      <c r="AG10948" s="3"/>
      <c r="AH10948" s="3"/>
    </row>
    <row r="10949" spans="1:34" ht="14.25" customHeight="1" x14ac:dyDescent="0.25">
      <c r="A10949" s="3"/>
      <c r="B10949" s="3"/>
      <c r="C10949" s="3"/>
      <c r="D10949" s="3"/>
      <c r="E10949" s="3"/>
      <c r="F10949" s="3"/>
      <c r="G10949" s="3"/>
      <c r="H10949" s="11"/>
      <c r="I10949" s="12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  <c r="AA10949" s="3"/>
      <c r="AB10949" s="3"/>
      <c r="AC10949" s="3"/>
      <c r="AD10949" s="3"/>
      <c r="AE10949" s="3"/>
      <c r="AF10949" s="3"/>
      <c r="AG10949" s="3"/>
      <c r="AH10949" s="3"/>
    </row>
    <row r="10950" spans="1:34" ht="14.25" customHeight="1" x14ac:dyDescent="0.25">
      <c r="A10950" s="3"/>
      <c r="B10950" s="3"/>
      <c r="C10950" s="3"/>
      <c r="D10950" s="3"/>
      <c r="E10950" s="3"/>
      <c r="F10950" s="3"/>
      <c r="G10950" s="3"/>
      <c r="H10950" s="11"/>
      <c r="I10950" s="12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  <c r="AA10950" s="3"/>
      <c r="AB10950" s="3"/>
      <c r="AC10950" s="3"/>
      <c r="AD10950" s="3"/>
      <c r="AE10950" s="3"/>
      <c r="AF10950" s="3"/>
      <c r="AG10950" s="3"/>
      <c r="AH10950" s="3"/>
    </row>
    <row r="10951" spans="1:34" ht="14.25" customHeight="1" x14ac:dyDescent="0.25">
      <c r="A10951" s="3"/>
      <c r="B10951" s="3"/>
      <c r="C10951" s="3"/>
      <c r="D10951" s="3"/>
      <c r="E10951" s="3"/>
      <c r="F10951" s="3"/>
      <c r="G10951" s="3"/>
      <c r="H10951" s="11"/>
      <c r="I10951" s="12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  <c r="AA10951" s="3"/>
      <c r="AB10951" s="3"/>
      <c r="AC10951" s="3"/>
      <c r="AD10951" s="3"/>
      <c r="AE10951" s="3"/>
      <c r="AF10951" s="3"/>
      <c r="AG10951" s="3"/>
      <c r="AH10951" s="3"/>
    </row>
    <row r="10952" spans="1:34" ht="14.25" customHeight="1" x14ac:dyDescent="0.25">
      <c r="A10952" s="3"/>
      <c r="B10952" s="3"/>
      <c r="C10952" s="3"/>
      <c r="D10952" s="3"/>
      <c r="E10952" s="3"/>
      <c r="F10952" s="3"/>
      <c r="G10952" s="3"/>
      <c r="H10952" s="11"/>
      <c r="I10952" s="12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  <c r="AA10952" s="3"/>
      <c r="AB10952" s="3"/>
      <c r="AC10952" s="3"/>
      <c r="AD10952" s="3"/>
      <c r="AE10952" s="3"/>
      <c r="AF10952" s="3"/>
      <c r="AG10952" s="3"/>
      <c r="AH10952" s="3"/>
    </row>
    <row r="10953" spans="1:34" ht="14.25" customHeight="1" x14ac:dyDescent="0.25">
      <c r="A10953" s="3"/>
      <c r="B10953" s="3"/>
      <c r="C10953" s="3"/>
      <c r="D10953" s="3"/>
      <c r="E10953" s="3"/>
      <c r="F10953" s="3"/>
      <c r="G10953" s="3"/>
      <c r="H10953" s="11"/>
      <c r="I10953" s="12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  <c r="AA10953" s="3"/>
      <c r="AB10953" s="3"/>
      <c r="AC10953" s="3"/>
      <c r="AD10953" s="3"/>
      <c r="AE10953" s="3"/>
      <c r="AF10953" s="3"/>
      <c r="AG10953" s="3"/>
      <c r="AH10953" s="3"/>
    </row>
    <row r="10954" spans="1:34" ht="14.25" customHeight="1" x14ac:dyDescent="0.25">
      <c r="A10954" s="3"/>
      <c r="B10954" s="3"/>
      <c r="C10954" s="3"/>
      <c r="D10954" s="3"/>
      <c r="E10954" s="3"/>
      <c r="F10954" s="3"/>
      <c r="G10954" s="3"/>
      <c r="H10954" s="11"/>
      <c r="I10954" s="12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  <c r="AA10954" s="3"/>
      <c r="AB10954" s="3"/>
      <c r="AC10954" s="3"/>
      <c r="AD10954" s="3"/>
      <c r="AE10954" s="3"/>
      <c r="AF10954" s="3"/>
      <c r="AG10954" s="3"/>
      <c r="AH10954" s="3"/>
    </row>
    <row r="10955" spans="1:34" ht="14.25" customHeight="1" x14ac:dyDescent="0.25">
      <c r="A10955" s="3"/>
      <c r="B10955" s="3"/>
      <c r="C10955" s="3"/>
      <c r="D10955" s="3"/>
      <c r="E10955" s="3"/>
      <c r="F10955" s="3"/>
      <c r="G10955" s="3"/>
      <c r="H10955" s="11"/>
      <c r="I10955" s="12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  <c r="AA10955" s="3"/>
      <c r="AB10955" s="3"/>
      <c r="AC10955" s="3"/>
      <c r="AD10955" s="3"/>
      <c r="AE10955" s="3"/>
      <c r="AF10955" s="3"/>
      <c r="AG10955" s="3"/>
      <c r="AH10955" s="3"/>
    </row>
    <row r="10956" spans="1:34" ht="14.25" customHeight="1" x14ac:dyDescent="0.25">
      <c r="A10956" s="3"/>
      <c r="B10956" s="3"/>
      <c r="C10956" s="3"/>
      <c r="D10956" s="3"/>
      <c r="E10956" s="3"/>
      <c r="F10956" s="3"/>
      <c r="G10956" s="3"/>
      <c r="H10956" s="11"/>
      <c r="I10956" s="12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  <c r="AA10956" s="3"/>
      <c r="AB10956" s="3"/>
      <c r="AC10956" s="3"/>
      <c r="AD10956" s="3"/>
      <c r="AE10956" s="3"/>
      <c r="AF10956" s="3"/>
      <c r="AG10956" s="3"/>
      <c r="AH10956" s="3"/>
    </row>
    <row r="10957" spans="1:34" ht="14.25" customHeight="1" x14ac:dyDescent="0.25">
      <c r="A10957" s="3"/>
      <c r="B10957" s="3"/>
      <c r="C10957" s="3"/>
      <c r="D10957" s="3"/>
      <c r="E10957" s="3"/>
      <c r="F10957" s="3"/>
      <c r="G10957" s="3"/>
      <c r="H10957" s="11"/>
      <c r="I10957" s="12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  <c r="AA10957" s="3"/>
      <c r="AB10957" s="3"/>
      <c r="AC10957" s="3"/>
      <c r="AD10957" s="3"/>
      <c r="AE10957" s="3"/>
      <c r="AF10957" s="3"/>
      <c r="AG10957" s="3"/>
      <c r="AH10957" s="3"/>
    </row>
    <row r="10958" spans="1:34" ht="14.25" customHeight="1" x14ac:dyDescent="0.25">
      <c r="A10958" s="3"/>
      <c r="B10958" s="3"/>
      <c r="C10958" s="3"/>
      <c r="D10958" s="3"/>
      <c r="E10958" s="3"/>
      <c r="F10958" s="3"/>
      <c r="G10958" s="3"/>
      <c r="H10958" s="11"/>
      <c r="I10958" s="12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  <c r="AA10958" s="3"/>
      <c r="AB10958" s="3"/>
      <c r="AC10958" s="3"/>
      <c r="AD10958" s="3"/>
      <c r="AE10958" s="3"/>
      <c r="AF10958" s="3"/>
      <c r="AG10958" s="3"/>
      <c r="AH10958" s="3"/>
    </row>
    <row r="10959" spans="1:34" ht="14.25" customHeight="1" x14ac:dyDescent="0.25">
      <c r="A10959" s="3"/>
      <c r="B10959" s="3"/>
      <c r="C10959" s="3"/>
      <c r="D10959" s="3"/>
      <c r="E10959" s="3"/>
      <c r="F10959" s="3"/>
      <c r="G10959" s="3"/>
      <c r="H10959" s="11"/>
      <c r="I10959" s="12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  <c r="AA10959" s="3"/>
      <c r="AB10959" s="3"/>
      <c r="AC10959" s="3"/>
      <c r="AD10959" s="3"/>
      <c r="AE10959" s="3"/>
      <c r="AF10959" s="3"/>
      <c r="AG10959" s="3"/>
      <c r="AH10959" s="3"/>
    </row>
    <row r="10960" spans="1:34" ht="14.25" customHeight="1" x14ac:dyDescent="0.25">
      <c r="A10960" s="3"/>
      <c r="B10960" s="3"/>
      <c r="C10960" s="3"/>
      <c r="D10960" s="3"/>
      <c r="E10960" s="3"/>
      <c r="F10960" s="3"/>
      <c r="G10960" s="3"/>
      <c r="H10960" s="11"/>
      <c r="I10960" s="12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  <c r="AA10960" s="3"/>
      <c r="AB10960" s="3"/>
      <c r="AC10960" s="3"/>
      <c r="AD10960" s="3"/>
      <c r="AE10960" s="3"/>
      <c r="AF10960" s="3"/>
      <c r="AG10960" s="3"/>
      <c r="AH10960" s="3"/>
    </row>
    <row r="10961" spans="1:34" ht="14.25" customHeight="1" x14ac:dyDescent="0.25">
      <c r="A10961" s="3"/>
      <c r="B10961" s="3"/>
      <c r="C10961" s="3"/>
      <c r="D10961" s="3"/>
      <c r="E10961" s="3"/>
      <c r="F10961" s="3"/>
      <c r="G10961" s="3"/>
      <c r="H10961" s="11"/>
      <c r="I10961" s="12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  <c r="AA10961" s="3"/>
      <c r="AB10961" s="3"/>
      <c r="AC10961" s="3"/>
      <c r="AD10961" s="3"/>
      <c r="AE10961" s="3"/>
      <c r="AF10961" s="3"/>
      <c r="AG10961" s="3"/>
      <c r="AH10961" s="3"/>
    </row>
    <row r="10962" spans="1:34" ht="14.25" customHeight="1" x14ac:dyDescent="0.25">
      <c r="A10962" s="3"/>
      <c r="B10962" s="3"/>
      <c r="C10962" s="3"/>
      <c r="D10962" s="3"/>
      <c r="E10962" s="3"/>
      <c r="F10962" s="3"/>
      <c r="G10962" s="3"/>
      <c r="H10962" s="11"/>
      <c r="I10962" s="12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  <c r="AA10962" s="3"/>
      <c r="AB10962" s="3"/>
      <c r="AC10962" s="3"/>
      <c r="AD10962" s="3"/>
      <c r="AE10962" s="3"/>
      <c r="AF10962" s="3"/>
      <c r="AG10962" s="3"/>
      <c r="AH10962" s="3"/>
    </row>
    <row r="10963" spans="1:34" ht="14.25" customHeight="1" x14ac:dyDescent="0.25">
      <c r="A10963" s="3"/>
      <c r="B10963" s="3"/>
      <c r="C10963" s="3"/>
      <c r="D10963" s="3"/>
      <c r="E10963" s="3"/>
      <c r="F10963" s="3"/>
      <c r="G10963" s="3"/>
      <c r="H10963" s="11"/>
      <c r="I10963" s="12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  <c r="AA10963" s="3"/>
      <c r="AB10963" s="3"/>
      <c r="AC10963" s="3"/>
      <c r="AD10963" s="3"/>
      <c r="AE10963" s="3"/>
      <c r="AF10963" s="3"/>
      <c r="AG10963" s="3"/>
      <c r="AH10963" s="3"/>
    </row>
    <row r="10964" spans="1:34" ht="14.25" customHeight="1" x14ac:dyDescent="0.25">
      <c r="A10964" s="3"/>
      <c r="B10964" s="3"/>
      <c r="C10964" s="3"/>
      <c r="D10964" s="3"/>
      <c r="E10964" s="3"/>
      <c r="F10964" s="3"/>
      <c r="G10964" s="3"/>
      <c r="H10964" s="11"/>
      <c r="I10964" s="12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  <c r="AA10964" s="3"/>
      <c r="AB10964" s="3"/>
      <c r="AC10964" s="3"/>
      <c r="AD10964" s="3"/>
      <c r="AE10964" s="3"/>
      <c r="AF10964" s="3"/>
      <c r="AG10964" s="3"/>
      <c r="AH10964" s="3"/>
    </row>
    <row r="10965" spans="1:34" ht="14.25" customHeight="1" x14ac:dyDescent="0.25">
      <c r="A10965" s="3"/>
      <c r="B10965" s="3"/>
      <c r="C10965" s="3"/>
      <c r="D10965" s="3"/>
      <c r="E10965" s="3"/>
      <c r="F10965" s="3"/>
      <c r="G10965" s="3"/>
      <c r="H10965" s="11"/>
      <c r="I10965" s="12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  <c r="AA10965" s="3"/>
      <c r="AB10965" s="3"/>
      <c r="AC10965" s="3"/>
      <c r="AD10965" s="3"/>
      <c r="AE10965" s="3"/>
      <c r="AF10965" s="3"/>
      <c r="AG10965" s="3"/>
      <c r="AH10965" s="3"/>
    </row>
    <row r="10966" spans="1:34" ht="14.25" customHeight="1" x14ac:dyDescent="0.25">
      <c r="A10966" s="3"/>
      <c r="B10966" s="3"/>
      <c r="C10966" s="3"/>
      <c r="D10966" s="3"/>
      <c r="E10966" s="3"/>
      <c r="F10966" s="3"/>
      <c r="G10966" s="3"/>
      <c r="H10966" s="11"/>
      <c r="I10966" s="12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  <c r="AA10966" s="3"/>
      <c r="AB10966" s="3"/>
      <c r="AC10966" s="3"/>
      <c r="AD10966" s="3"/>
      <c r="AE10966" s="3"/>
      <c r="AF10966" s="3"/>
      <c r="AG10966" s="3"/>
      <c r="AH10966" s="3"/>
    </row>
    <row r="10967" spans="1:34" ht="14.25" customHeight="1" x14ac:dyDescent="0.25">
      <c r="A10967" s="3"/>
      <c r="B10967" s="3"/>
      <c r="C10967" s="3"/>
      <c r="D10967" s="3"/>
      <c r="E10967" s="3"/>
      <c r="F10967" s="3"/>
      <c r="G10967" s="3"/>
      <c r="H10967" s="11"/>
      <c r="I10967" s="12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  <c r="AA10967" s="3"/>
      <c r="AB10967" s="3"/>
      <c r="AC10967" s="3"/>
      <c r="AD10967" s="3"/>
      <c r="AE10967" s="3"/>
      <c r="AF10967" s="3"/>
      <c r="AG10967" s="3"/>
      <c r="AH10967" s="3"/>
    </row>
    <row r="10968" spans="1:34" ht="14.25" customHeight="1" x14ac:dyDescent="0.25">
      <c r="A10968" s="3"/>
      <c r="B10968" s="3"/>
      <c r="C10968" s="3"/>
      <c r="D10968" s="3"/>
      <c r="E10968" s="3"/>
      <c r="F10968" s="3"/>
      <c r="G10968" s="3"/>
      <c r="H10968" s="11"/>
      <c r="I10968" s="12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  <c r="AA10968" s="3"/>
      <c r="AB10968" s="3"/>
      <c r="AC10968" s="3"/>
      <c r="AD10968" s="3"/>
      <c r="AE10968" s="3"/>
      <c r="AF10968" s="3"/>
      <c r="AG10968" s="3"/>
      <c r="AH10968" s="3"/>
    </row>
    <row r="10969" spans="1:34" ht="14.25" customHeight="1" x14ac:dyDescent="0.25">
      <c r="A10969" s="3"/>
      <c r="B10969" s="3"/>
      <c r="C10969" s="3"/>
      <c r="D10969" s="3"/>
      <c r="E10969" s="3"/>
      <c r="F10969" s="3"/>
      <c r="G10969" s="3"/>
      <c r="H10969" s="11"/>
      <c r="I10969" s="12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  <c r="AA10969" s="3"/>
      <c r="AB10969" s="3"/>
      <c r="AC10969" s="3"/>
      <c r="AD10969" s="3"/>
      <c r="AE10969" s="3"/>
      <c r="AF10969" s="3"/>
      <c r="AG10969" s="3"/>
      <c r="AH10969" s="3"/>
    </row>
    <row r="10970" spans="1:34" ht="14.25" customHeight="1" x14ac:dyDescent="0.25">
      <c r="A10970" s="3"/>
      <c r="B10970" s="3"/>
      <c r="C10970" s="3"/>
      <c r="D10970" s="3"/>
      <c r="E10970" s="3"/>
      <c r="F10970" s="3"/>
      <c r="G10970" s="3"/>
      <c r="H10970" s="11"/>
      <c r="I10970" s="12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  <c r="AA10970" s="3"/>
      <c r="AB10970" s="3"/>
      <c r="AC10970" s="3"/>
      <c r="AD10970" s="3"/>
      <c r="AE10970" s="3"/>
      <c r="AF10970" s="3"/>
      <c r="AG10970" s="3"/>
      <c r="AH10970" s="3"/>
    </row>
    <row r="10971" spans="1:34" ht="14.25" customHeight="1" x14ac:dyDescent="0.25">
      <c r="A10971" s="3"/>
      <c r="B10971" s="3"/>
      <c r="C10971" s="3"/>
      <c r="D10971" s="3"/>
      <c r="E10971" s="3"/>
      <c r="F10971" s="3"/>
      <c r="G10971" s="3"/>
      <c r="H10971" s="11"/>
      <c r="I10971" s="12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  <c r="AA10971" s="3"/>
      <c r="AB10971" s="3"/>
      <c r="AC10971" s="3"/>
      <c r="AD10971" s="3"/>
      <c r="AE10971" s="3"/>
      <c r="AF10971" s="3"/>
      <c r="AG10971" s="3"/>
      <c r="AH10971" s="3"/>
    </row>
    <row r="10972" spans="1:34" ht="14.25" customHeight="1" x14ac:dyDescent="0.25">
      <c r="A10972" s="3"/>
      <c r="B10972" s="3"/>
      <c r="C10972" s="3"/>
      <c r="D10972" s="3"/>
      <c r="E10972" s="3"/>
      <c r="F10972" s="3"/>
      <c r="G10972" s="3"/>
      <c r="H10972" s="11"/>
      <c r="I10972" s="12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  <c r="AA10972" s="3"/>
      <c r="AB10972" s="3"/>
      <c r="AC10972" s="3"/>
      <c r="AD10972" s="3"/>
      <c r="AE10972" s="3"/>
      <c r="AF10972" s="3"/>
      <c r="AG10972" s="3"/>
      <c r="AH10972" s="3"/>
    </row>
    <row r="10973" spans="1:34" ht="14.25" customHeight="1" x14ac:dyDescent="0.25">
      <c r="A10973" s="3"/>
      <c r="B10973" s="3"/>
      <c r="C10973" s="3"/>
      <c r="D10973" s="3"/>
      <c r="E10973" s="3"/>
      <c r="F10973" s="3"/>
      <c r="G10973" s="3"/>
      <c r="H10973" s="11"/>
      <c r="I10973" s="12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  <c r="AA10973" s="3"/>
      <c r="AB10973" s="3"/>
      <c r="AC10973" s="3"/>
      <c r="AD10973" s="3"/>
      <c r="AE10973" s="3"/>
      <c r="AF10973" s="3"/>
      <c r="AG10973" s="3"/>
      <c r="AH10973" s="3"/>
    </row>
    <row r="10974" spans="1:34" ht="14.25" customHeight="1" x14ac:dyDescent="0.25">
      <c r="A10974" s="3"/>
      <c r="B10974" s="3"/>
      <c r="C10974" s="3"/>
      <c r="D10974" s="3"/>
      <c r="E10974" s="3"/>
      <c r="F10974" s="3"/>
      <c r="G10974" s="3"/>
      <c r="H10974" s="11"/>
      <c r="I10974" s="12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  <c r="AA10974" s="3"/>
      <c r="AB10974" s="3"/>
      <c r="AC10974" s="3"/>
      <c r="AD10974" s="3"/>
      <c r="AE10974" s="3"/>
      <c r="AF10974" s="3"/>
      <c r="AG10974" s="3"/>
      <c r="AH10974" s="3"/>
    </row>
    <row r="10975" spans="1:34" ht="14.25" customHeight="1" x14ac:dyDescent="0.25">
      <c r="A10975" s="3"/>
      <c r="B10975" s="3"/>
      <c r="C10975" s="3"/>
      <c r="D10975" s="3"/>
      <c r="E10975" s="3"/>
      <c r="F10975" s="3"/>
      <c r="G10975" s="3"/>
      <c r="H10975" s="11"/>
      <c r="I10975" s="12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  <c r="AA10975" s="3"/>
      <c r="AB10975" s="3"/>
      <c r="AC10975" s="3"/>
      <c r="AD10975" s="3"/>
      <c r="AE10975" s="3"/>
      <c r="AF10975" s="3"/>
      <c r="AG10975" s="3"/>
      <c r="AH10975" s="3"/>
    </row>
    <row r="10976" spans="1:34" ht="14.25" customHeight="1" x14ac:dyDescent="0.25">
      <c r="A10976" s="3"/>
      <c r="B10976" s="3"/>
      <c r="C10976" s="3"/>
      <c r="D10976" s="3"/>
      <c r="E10976" s="3"/>
      <c r="F10976" s="3"/>
      <c r="G10976" s="3"/>
      <c r="H10976" s="11"/>
      <c r="I10976" s="12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  <c r="AA10976" s="3"/>
      <c r="AB10976" s="3"/>
      <c r="AC10976" s="3"/>
      <c r="AD10976" s="3"/>
      <c r="AE10976" s="3"/>
      <c r="AF10976" s="3"/>
      <c r="AG10976" s="3"/>
      <c r="AH10976" s="3"/>
    </row>
    <row r="10977" spans="1:34" ht="14.25" customHeight="1" x14ac:dyDescent="0.25">
      <c r="A10977" s="3"/>
      <c r="B10977" s="3"/>
      <c r="C10977" s="3"/>
      <c r="D10977" s="3"/>
      <c r="E10977" s="3"/>
      <c r="F10977" s="3"/>
      <c r="G10977" s="3"/>
      <c r="H10977" s="11"/>
      <c r="I10977" s="12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  <c r="AA10977" s="3"/>
      <c r="AB10977" s="3"/>
      <c r="AC10977" s="3"/>
      <c r="AD10977" s="3"/>
      <c r="AE10977" s="3"/>
      <c r="AF10977" s="3"/>
      <c r="AG10977" s="3"/>
      <c r="AH10977" s="3"/>
    </row>
    <row r="10978" spans="1:34" ht="14.25" customHeight="1" x14ac:dyDescent="0.25">
      <c r="A10978" s="3"/>
      <c r="B10978" s="3"/>
      <c r="C10978" s="3"/>
      <c r="D10978" s="3"/>
      <c r="E10978" s="3"/>
      <c r="F10978" s="3"/>
      <c r="G10978" s="3"/>
      <c r="H10978" s="11"/>
      <c r="I10978" s="12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  <c r="AA10978" s="3"/>
      <c r="AB10978" s="3"/>
      <c r="AC10978" s="3"/>
      <c r="AD10978" s="3"/>
      <c r="AE10978" s="3"/>
      <c r="AF10978" s="3"/>
      <c r="AG10978" s="3"/>
      <c r="AH10978" s="3"/>
    </row>
    <row r="10979" spans="1:34" ht="14.25" customHeight="1" x14ac:dyDescent="0.25">
      <c r="A10979" s="3"/>
      <c r="B10979" s="3"/>
      <c r="C10979" s="3"/>
      <c r="D10979" s="3"/>
      <c r="E10979" s="3"/>
      <c r="F10979" s="3"/>
      <c r="G10979" s="3"/>
      <c r="H10979" s="11"/>
      <c r="I10979" s="12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  <c r="AA10979" s="3"/>
      <c r="AB10979" s="3"/>
      <c r="AC10979" s="3"/>
      <c r="AD10979" s="3"/>
      <c r="AE10979" s="3"/>
      <c r="AF10979" s="3"/>
      <c r="AG10979" s="3"/>
      <c r="AH10979" s="3"/>
    </row>
    <row r="10980" spans="1:34" ht="14.25" customHeight="1" x14ac:dyDescent="0.25">
      <c r="A10980" s="3"/>
      <c r="B10980" s="3"/>
      <c r="C10980" s="3"/>
      <c r="D10980" s="3"/>
      <c r="E10980" s="3"/>
      <c r="F10980" s="3"/>
      <c r="G10980" s="3"/>
      <c r="H10980" s="11"/>
      <c r="I10980" s="12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  <c r="AA10980" s="3"/>
      <c r="AB10980" s="3"/>
      <c r="AC10980" s="3"/>
      <c r="AD10980" s="3"/>
      <c r="AE10980" s="3"/>
      <c r="AF10980" s="3"/>
      <c r="AG10980" s="3"/>
      <c r="AH10980" s="3"/>
    </row>
    <row r="10981" spans="1:34" ht="14.25" customHeight="1" x14ac:dyDescent="0.25">
      <c r="A10981" s="3"/>
      <c r="B10981" s="3"/>
      <c r="C10981" s="3"/>
      <c r="D10981" s="3"/>
      <c r="E10981" s="3"/>
      <c r="F10981" s="3"/>
      <c r="G10981" s="3"/>
      <c r="H10981" s="11"/>
      <c r="I10981" s="12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  <c r="AA10981" s="3"/>
      <c r="AB10981" s="3"/>
      <c r="AC10981" s="3"/>
      <c r="AD10981" s="3"/>
      <c r="AE10981" s="3"/>
      <c r="AF10981" s="3"/>
      <c r="AG10981" s="3"/>
      <c r="AH10981" s="3"/>
    </row>
    <row r="10982" spans="1:34" ht="14.25" customHeight="1" x14ac:dyDescent="0.25">
      <c r="A10982" s="3"/>
      <c r="B10982" s="3"/>
      <c r="C10982" s="3"/>
      <c r="D10982" s="3"/>
      <c r="E10982" s="3"/>
      <c r="F10982" s="3"/>
      <c r="G10982" s="3"/>
      <c r="H10982" s="11"/>
      <c r="I10982" s="12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  <c r="AA10982" s="3"/>
      <c r="AB10982" s="3"/>
      <c r="AC10982" s="3"/>
      <c r="AD10982" s="3"/>
      <c r="AE10982" s="3"/>
      <c r="AF10982" s="3"/>
      <c r="AG10982" s="3"/>
      <c r="AH10982" s="3"/>
    </row>
    <row r="10983" spans="1:34" ht="14.25" customHeight="1" x14ac:dyDescent="0.25">
      <c r="A10983" s="3"/>
      <c r="B10983" s="3"/>
      <c r="C10983" s="3"/>
      <c r="D10983" s="3"/>
      <c r="E10983" s="3"/>
      <c r="F10983" s="3"/>
      <c r="G10983" s="3"/>
      <c r="H10983" s="11"/>
      <c r="I10983" s="12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  <c r="AA10983" s="3"/>
      <c r="AB10983" s="3"/>
      <c r="AC10983" s="3"/>
      <c r="AD10983" s="3"/>
      <c r="AE10983" s="3"/>
      <c r="AF10983" s="3"/>
      <c r="AG10983" s="3"/>
      <c r="AH10983" s="3"/>
    </row>
    <row r="10984" spans="1:34" ht="14.25" customHeight="1" x14ac:dyDescent="0.25">
      <c r="A10984" s="3"/>
      <c r="B10984" s="3"/>
      <c r="C10984" s="3"/>
      <c r="D10984" s="3"/>
      <c r="E10984" s="3"/>
      <c r="F10984" s="3"/>
      <c r="G10984" s="3"/>
      <c r="H10984" s="11"/>
      <c r="I10984" s="12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  <c r="AA10984" s="3"/>
      <c r="AB10984" s="3"/>
      <c r="AC10984" s="3"/>
      <c r="AD10984" s="3"/>
      <c r="AE10984" s="3"/>
      <c r="AF10984" s="3"/>
      <c r="AG10984" s="3"/>
      <c r="AH10984" s="3"/>
    </row>
    <row r="10985" spans="1:34" ht="14.25" customHeight="1" x14ac:dyDescent="0.25">
      <c r="A10985" s="3"/>
      <c r="B10985" s="3"/>
      <c r="C10985" s="3"/>
      <c r="D10985" s="3"/>
      <c r="E10985" s="3"/>
      <c r="F10985" s="3"/>
      <c r="G10985" s="3"/>
      <c r="H10985" s="11"/>
      <c r="I10985" s="12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  <c r="AA10985" s="3"/>
      <c r="AB10985" s="3"/>
      <c r="AC10985" s="3"/>
      <c r="AD10985" s="3"/>
      <c r="AE10985" s="3"/>
      <c r="AF10985" s="3"/>
      <c r="AG10985" s="3"/>
      <c r="AH10985" s="3"/>
    </row>
    <row r="10986" spans="1:34" ht="14.25" customHeight="1" x14ac:dyDescent="0.25">
      <c r="A10986" s="3"/>
      <c r="B10986" s="3"/>
      <c r="C10986" s="3"/>
      <c r="D10986" s="3"/>
      <c r="E10986" s="3"/>
      <c r="F10986" s="3"/>
      <c r="G10986" s="3"/>
      <c r="H10986" s="11"/>
      <c r="I10986" s="12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  <c r="AA10986" s="3"/>
      <c r="AB10986" s="3"/>
      <c r="AC10986" s="3"/>
      <c r="AD10986" s="3"/>
      <c r="AE10986" s="3"/>
      <c r="AF10986" s="3"/>
      <c r="AG10986" s="3"/>
      <c r="AH10986" s="3"/>
    </row>
    <row r="10987" spans="1:34" ht="14.25" customHeight="1" x14ac:dyDescent="0.25">
      <c r="A10987" s="3"/>
      <c r="B10987" s="3"/>
      <c r="C10987" s="3"/>
      <c r="D10987" s="3"/>
      <c r="E10987" s="3"/>
      <c r="F10987" s="3"/>
      <c r="G10987" s="3"/>
      <c r="H10987" s="11"/>
      <c r="I10987" s="12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  <c r="AA10987" s="3"/>
      <c r="AB10987" s="3"/>
      <c r="AC10987" s="3"/>
      <c r="AD10987" s="3"/>
      <c r="AE10987" s="3"/>
      <c r="AF10987" s="3"/>
      <c r="AG10987" s="3"/>
      <c r="AH10987" s="3"/>
    </row>
    <row r="10988" spans="1:34" ht="14.25" customHeight="1" x14ac:dyDescent="0.25">
      <c r="A10988" s="3"/>
      <c r="B10988" s="3"/>
      <c r="C10988" s="3"/>
      <c r="D10988" s="3"/>
      <c r="E10988" s="3"/>
      <c r="F10988" s="3"/>
      <c r="G10988" s="3"/>
      <c r="H10988" s="11"/>
      <c r="I10988" s="12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  <c r="AA10988" s="3"/>
      <c r="AB10988" s="3"/>
      <c r="AC10988" s="3"/>
      <c r="AD10988" s="3"/>
      <c r="AE10988" s="3"/>
      <c r="AF10988" s="3"/>
      <c r="AG10988" s="3"/>
      <c r="AH10988" s="3"/>
    </row>
    <row r="10989" spans="1:34" ht="14.25" customHeight="1" x14ac:dyDescent="0.25">
      <c r="A10989" s="3"/>
      <c r="B10989" s="3"/>
      <c r="C10989" s="3"/>
      <c r="D10989" s="3"/>
      <c r="E10989" s="3"/>
      <c r="F10989" s="3"/>
      <c r="G10989" s="3"/>
      <c r="H10989" s="11"/>
      <c r="I10989" s="12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  <c r="AA10989" s="3"/>
      <c r="AB10989" s="3"/>
      <c r="AC10989" s="3"/>
      <c r="AD10989" s="3"/>
      <c r="AE10989" s="3"/>
      <c r="AF10989" s="3"/>
      <c r="AG10989" s="3"/>
      <c r="AH10989" s="3"/>
    </row>
    <row r="10990" spans="1:34" ht="14.25" customHeight="1" x14ac:dyDescent="0.25">
      <c r="A10990" s="3"/>
      <c r="B10990" s="3"/>
      <c r="C10990" s="3"/>
      <c r="D10990" s="3"/>
      <c r="E10990" s="3"/>
      <c r="F10990" s="3"/>
      <c r="G10990" s="3"/>
      <c r="H10990" s="11"/>
      <c r="I10990" s="12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  <c r="AA10990" s="3"/>
      <c r="AB10990" s="3"/>
      <c r="AC10990" s="3"/>
      <c r="AD10990" s="3"/>
      <c r="AE10990" s="3"/>
      <c r="AF10990" s="3"/>
      <c r="AG10990" s="3"/>
      <c r="AH10990" s="3"/>
    </row>
    <row r="10991" spans="1:34" ht="14.25" customHeight="1" x14ac:dyDescent="0.25">
      <c r="A10991" s="3"/>
      <c r="B10991" s="3"/>
      <c r="C10991" s="3"/>
      <c r="D10991" s="3"/>
      <c r="E10991" s="3"/>
      <c r="F10991" s="3"/>
      <c r="G10991" s="3"/>
      <c r="H10991" s="11"/>
      <c r="I10991" s="12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  <c r="AA10991" s="3"/>
      <c r="AB10991" s="3"/>
      <c r="AC10991" s="3"/>
      <c r="AD10991" s="3"/>
      <c r="AE10991" s="3"/>
      <c r="AF10991" s="3"/>
      <c r="AG10991" s="3"/>
      <c r="AH10991" s="3"/>
    </row>
    <row r="10992" spans="1:34" ht="14.25" customHeight="1" x14ac:dyDescent="0.25">
      <c r="A10992" s="3"/>
      <c r="B10992" s="3"/>
      <c r="C10992" s="3"/>
      <c r="D10992" s="3"/>
      <c r="E10992" s="3"/>
      <c r="F10992" s="3"/>
      <c r="G10992" s="3"/>
      <c r="H10992" s="11"/>
      <c r="I10992" s="12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  <c r="AA10992" s="3"/>
      <c r="AB10992" s="3"/>
      <c r="AC10992" s="3"/>
      <c r="AD10992" s="3"/>
      <c r="AE10992" s="3"/>
      <c r="AF10992" s="3"/>
      <c r="AG10992" s="3"/>
      <c r="AH10992" s="3"/>
    </row>
    <row r="10993" spans="1:34" ht="14.25" customHeight="1" x14ac:dyDescent="0.25">
      <c r="A10993" s="3"/>
      <c r="B10993" s="3"/>
      <c r="C10993" s="3"/>
      <c r="D10993" s="3"/>
      <c r="E10993" s="3"/>
      <c r="F10993" s="3"/>
      <c r="G10993" s="3"/>
      <c r="H10993" s="11"/>
      <c r="I10993" s="12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  <c r="AA10993" s="3"/>
      <c r="AB10993" s="3"/>
      <c r="AC10993" s="3"/>
      <c r="AD10993" s="3"/>
      <c r="AE10993" s="3"/>
      <c r="AF10993" s="3"/>
      <c r="AG10993" s="3"/>
      <c r="AH10993" s="3"/>
    </row>
    <row r="10994" spans="1:34" ht="14.25" customHeight="1" x14ac:dyDescent="0.25">
      <c r="A10994" s="3"/>
      <c r="B10994" s="3"/>
      <c r="C10994" s="3"/>
      <c r="D10994" s="3"/>
      <c r="E10994" s="3"/>
      <c r="F10994" s="3"/>
      <c r="G10994" s="3"/>
      <c r="H10994" s="11"/>
      <c r="I10994" s="12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  <c r="AA10994" s="3"/>
      <c r="AB10994" s="3"/>
      <c r="AC10994" s="3"/>
      <c r="AD10994" s="3"/>
      <c r="AE10994" s="3"/>
      <c r="AF10994" s="3"/>
      <c r="AG10994" s="3"/>
      <c r="AH10994" s="3"/>
    </row>
    <row r="10995" spans="1:34" ht="14.25" customHeight="1" x14ac:dyDescent="0.25">
      <c r="A10995" s="3"/>
      <c r="B10995" s="3"/>
      <c r="C10995" s="3"/>
      <c r="D10995" s="3"/>
      <c r="E10995" s="3"/>
      <c r="F10995" s="3"/>
      <c r="G10995" s="3"/>
      <c r="H10995" s="11"/>
      <c r="I10995" s="12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  <c r="AA10995" s="3"/>
      <c r="AB10995" s="3"/>
      <c r="AC10995" s="3"/>
      <c r="AD10995" s="3"/>
      <c r="AE10995" s="3"/>
      <c r="AF10995" s="3"/>
      <c r="AG10995" s="3"/>
      <c r="AH10995" s="3"/>
    </row>
    <row r="10996" spans="1:34" ht="14.25" customHeight="1" x14ac:dyDescent="0.25">
      <c r="A10996" s="3"/>
      <c r="B10996" s="3"/>
      <c r="C10996" s="3"/>
      <c r="D10996" s="3"/>
      <c r="E10996" s="3"/>
      <c r="F10996" s="3"/>
      <c r="G10996" s="3"/>
      <c r="H10996" s="11"/>
      <c r="I10996" s="12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  <c r="AA10996" s="3"/>
      <c r="AB10996" s="3"/>
      <c r="AC10996" s="3"/>
      <c r="AD10996" s="3"/>
      <c r="AE10996" s="3"/>
      <c r="AF10996" s="3"/>
      <c r="AG10996" s="3"/>
      <c r="AH10996" s="3"/>
    </row>
    <row r="10997" spans="1:34" ht="14.25" customHeight="1" x14ac:dyDescent="0.25">
      <c r="A10997" s="3"/>
      <c r="B10997" s="3"/>
      <c r="C10997" s="3"/>
      <c r="D10997" s="3"/>
      <c r="E10997" s="3"/>
      <c r="F10997" s="3"/>
      <c r="G10997" s="3"/>
      <c r="H10997" s="11"/>
      <c r="I10997" s="12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  <c r="AA10997" s="3"/>
      <c r="AB10997" s="3"/>
      <c r="AC10997" s="3"/>
      <c r="AD10997" s="3"/>
      <c r="AE10997" s="3"/>
      <c r="AF10997" s="3"/>
      <c r="AG10997" s="3"/>
      <c r="AH10997" s="3"/>
    </row>
    <row r="10998" spans="1:34" ht="14.25" customHeight="1" x14ac:dyDescent="0.25">
      <c r="A10998" s="3"/>
      <c r="B10998" s="3"/>
      <c r="C10998" s="3"/>
      <c r="D10998" s="3"/>
      <c r="E10998" s="3"/>
      <c r="F10998" s="3"/>
      <c r="G10998" s="3"/>
      <c r="H10998" s="11"/>
      <c r="I10998" s="12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  <c r="AA10998" s="3"/>
      <c r="AB10998" s="3"/>
      <c r="AC10998" s="3"/>
      <c r="AD10998" s="3"/>
      <c r="AE10998" s="3"/>
      <c r="AF10998" s="3"/>
      <c r="AG10998" s="3"/>
      <c r="AH10998" s="3"/>
    </row>
    <row r="10999" spans="1:34" ht="14.25" customHeight="1" x14ac:dyDescent="0.25">
      <c r="A10999" s="3"/>
      <c r="B10999" s="3"/>
      <c r="C10999" s="3"/>
      <c r="D10999" s="3"/>
      <c r="E10999" s="3"/>
      <c r="F10999" s="3"/>
      <c r="G10999" s="3"/>
      <c r="H10999" s="11"/>
      <c r="I10999" s="12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  <c r="AA10999" s="3"/>
      <c r="AB10999" s="3"/>
      <c r="AC10999" s="3"/>
      <c r="AD10999" s="3"/>
      <c r="AE10999" s="3"/>
      <c r="AF10999" s="3"/>
      <c r="AG10999" s="3"/>
      <c r="AH10999" s="3"/>
    </row>
    <row r="11000" spans="1:34" ht="14.25" customHeight="1" x14ac:dyDescent="0.25">
      <c r="A11000" s="3"/>
      <c r="B11000" s="3"/>
      <c r="C11000" s="3"/>
      <c r="D11000" s="3"/>
      <c r="E11000" s="3"/>
      <c r="F11000" s="3"/>
      <c r="G11000" s="3"/>
      <c r="H11000" s="11"/>
      <c r="I11000" s="12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  <c r="AA11000" s="3"/>
      <c r="AB11000" s="3"/>
      <c r="AC11000" s="3"/>
      <c r="AD11000" s="3"/>
      <c r="AE11000" s="3"/>
      <c r="AF11000" s="3"/>
      <c r="AG11000" s="3"/>
      <c r="AH11000" s="3"/>
    </row>
    <row r="11001" spans="1:34" ht="14.25" customHeight="1" x14ac:dyDescent="0.25">
      <c r="A11001" s="3"/>
      <c r="B11001" s="3"/>
      <c r="C11001" s="3"/>
      <c r="D11001" s="3"/>
      <c r="E11001" s="3"/>
      <c r="F11001" s="3"/>
      <c r="G11001" s="3"/>
      <c r="H11001" s="11"/>
      <c r="I11001" s="12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  <c r="AA11001" s="3"/>
      <c r="AB11001" s="3"/>
      <c r="AC11001" s="3"/>
      <c r="AD11001" s="3"/>
      <c r="AE11001" s="3"/>
      <c r="AF11001" s="3"/>
      <c r="AG11001" s="3"/>
      <c r="AH11001" s="3"/>
    </row>
    <row r="11002" spans="1:34" ht="14.25" customHeight="1" x14ac:dyDescent="0.25">
      <c r="A11002" s="3"/>
      <c r="B11002" s="3"/>
      <c r="C11002" s="3"/>
      <c r="D11002" s="3"/>
      <c r="E11002" s="3"/>
      <c r="F11002" s="3"/>
      <c r="G11002" s="3"/>
      <c r="H11002" s="11"/>
      <c r="I11002" s="12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  <c r="AA11002" s="3"/>
      <c r="AB11002" s="3"/>
      <c r="AC11002" s="3"/>
      <c r="AD11002" s="3"/>
      <c r="AE11002" s="3"/>
      <c r="AF11002" s="3"/>
      <c r="AG11002" s="3"/>
      <c r="AH11002" s="3"/>
    </row>
    <row r="11003" spans="1:34" ht="14.25" customHeight="1" x14ac:dyDescent="0.25">
      <c r="A11003" s="3"/>
      <c r="B11003" s="3"/>
      <c r="C11003" s="3"/>
      <c r="D11003" s="3"/>
      <c r="E11003" s="3"/>
      <c r="F11003" s="3"/>
      <c r="G11003" s="3"/>
      <c r="H11003" s="11"/>
      <c r="I11003" s="12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  <c r="AA11003" s="3"/>
      <c r="AB11003" s="3"/>
      <c r="AC11003" s="3"/>
      <c r="AD11003" s="3"/>
      <c r="AE11003" s="3"/>
      <c r="AF11003" s="3"/>
      <c r="AG11003" s="3"/>
      <c r="AH11003" s="3"/>
    </row>
    <row r="11004" spans="1:34" ht="14.25" customHeight="1" x14ac:dyDescent="0.25">
      <c r="A11004" s="3"/>
      <c r="B11004" s="3"/>
      <c r="C11004" s="3"/>
      <c r="D11004" s="3"/>
      <c r="E11004" s="3"/>
      <c r="F11004" s="3"/>
      <c r="G11004" s="3"/>
      <c r="H11004" s="11"/>
      <c r="I11004" s="12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  <c r="AA11004" s="3"/>
      <c r="AB11004" s="3"/>
      <c r="AC11004" s="3"/>
      <c r="AD11004" s="3"/>
      <c r="AE11004" s="3"/>
      <c r="AF11004" s="3"/>
      <c r="AG11004" s="3"/>
      <c r="AH11004" s="3"/>
    </row>
    <row r="11005" spans="1:34" ht="14.25" customHeight="1" x14ac:dyDescent="0.25">
      <c r="A11005" s="3"/>
      <c r="B11005" s="3"/>
      <c r="C11005" s="3"/>
      <c r="D11005" s="3"/>
      <c r="E11005" s="3"/>
      <c r="F11005" s="3"/>
      <c r="G11005" s="3"/>
      <c r="H11005" s="11"/>
      <c r="I11005" s="12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  <c r="AA11005" s="3"/>
      <c r="AB11005" s="3"/>
      <c r="AC11005" s="3"/>
      <c r="AD11005" s="3"/>
      <c r="AE11005" s="3"/>
      <c r="AF11005" s="3"/>
      <c r="AG11005" s="3"/>
      <c r="AH11005" s="3"/>
    </row>
    <row r="11006" spans="1:34" ht="14.25" customHeight="1" x14ac:dyDescent="0.25">
      <c r="A11006" s="3"/>
      <c r="B11006" s="3"/>
      <c r="C11006" s="3"/>
      <c r="D11006" s="3"/>
      <c r="E11006" s="3"/>
      <c r="F11006" s="3"/>
      <c r="G11006" s="3"/>
      <c r="H11006" s="11"/>
      <c r="I11006" s="12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  <c r="AA11006" s="3"/>
      <c r="AB11006" s="3"/>
      <c r="AC11006" s="3"/>
      <c r="AD11006" s="3"/>
      <c r="AE11006" s="3"/>
      <c r="AF11006" s="3"/>
      <c r="AG11006" s="3"/>
      <c r="AH11006" s="3"/>
    </row>
    <row r="11007" spans="1:34" ht="14.25" customHeight="1" x14ac:dyDescent="0.25">
      <c r="A11007" s="3"/>
      <c r="B11007" s="3"/>
      <c r="C11007" s="3"/>
      <c r="D11007" s="3"/>
      <c r="E11007" s="3"/>
      <c r="F11007" s="3"/>
      <c r="G11007" s="3"/>
      <c r="H11007" s="11"/>
      <c r="I11007" s="12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  <c r="AA11007" s="3"/>
      <c r="AB11007" s="3"/>
      <c r="AC11007" s="3"/>
      <c r="AD11007" s="3"/>
      <c r="AE11007" s="3"/>
      <c r="AF11007" s="3"/>
      <c r="AG11007" s="3"/>
      <c r="AH11007" s="3"/>
    </row>
    <row r="11008" spans="1:34" ht="14.25" customHeight="1" x14ac:dyDescent="0.25">
      <c r="A11008" s="3"/>
      <c r="B11008" s="3"/>
      <c r="C11008" s="3"/>
      <c r="D11008" s="3"/>
      <c r="E11008" s="3"/>
      <c r="F11008" s="3"/>
      <c r="G11008" s="3"/>
      <c r="H11008" s="11"/>
      <c r="I11008" s="12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  <c r="AA11008" s="3"/>
      <c r="AB11008" s="3"/>
      <c r="AC11008" s="3"/>
      <c r="AD11008" s="3"/>
      <c r="AE11008" s="3"/>
      <c r="AF11008" s="3"/>
      <c r="AG11008" s="3"/>
      <c r="AH11008" s="3"/>
    </row>
    <row r="11009" spans="1:34" ht="14.25" customHeight="1" x14ac:dyDescent="0.25">
      <c r="A11009" s="3"/>
      <c r="B11009" s="3"/>
      <c r="C11009" s="3"/>
      <c r="D11009" s="3"/>
      <c r="E11009" s="3"/>
      <c r="F11009" s="3"/>
      <c r="G11009" s="3"/>
      <c r="H11009" s="11"/>
      <c r="I11009" s="12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  <c r="AA11009" s="3"/>
      <c r="AB11009" s="3"/>
      <c r="AC11009" s="3"/>
      <c r="AD11009" s="3"/>
      <c r="AE11009" s="3"/>
      <c r="AF11009" s="3"/>
      <c r="AG11009" s="3"/>
      <c r="AH11009" s="3"/>
    </row>
    <row r="11010" spans="1:34" ht="14.25" customHeight="1" x14ac:dyDescent="0.25">
      <c r="A11010" s="3"/>
      <c r="B11010" s="3"/>
      <c r="C11010" s="3"/>
      <c r="D11010" s="3"/>
      <c r="E11010" s="3"/>
      <c r="F11010" s="3"/>
      <c r="G11010" s="3"/>
      <c r="H11010" s="11"/>
      <c r="I11010" s="12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  <c r="AA11010" s="3"/>
      <c r="AB11010" s="3"/>
      <c r="AC11010" s="3"/>
      <c r="AD11010" s="3"/>
      <c r="AE11010" s="3"/>
      <c r="AF11010" s="3"/>
      <c r="AG11010" s="3"/>
      <c r="AH11010" s="3"/>
    </row>
    <row r="11011" spans="1:34" ht="14.25" customHeight="1" x14ac:dyDescent="0.25">
      <c r="A11011" s="3"/>
      <c r="B11011" s="3"/>
      <c r="C11011" s="3"/>
      <c r="D11011" s="3"/>
      <c r="E11011" s="3"/>
      <c r="F11011" s="3"/>
      <c r="G11011" s="3"/>
      <c r="H11011" s="11"/>
      <c r="I11011" s="12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  <c r="AA11011" s="3"/>
      <c r="AB11011" s="3"/>
      <c r="AC11011" s="3"/>
      <c r="AD11011" s="3"/>
      <c r="AE11011" s="3"/>
      <c r="AF11011" s="3"/>
      <c r="AG11011" s="3"/>
      <c r="AH11011" s="3"/>
    </row>
    <row r="11012" spans="1:34" ht="14.25" customHeight="1" x14ac:dyDescent="0.25">
      <c r="A11012" s="3"/>
      <c r="B11012" s="3"/>
      <c r="C11012" s="3"/>
      <c r="D11012" s="3"/>
      <c r="E11012" s="3"/>
      <c r="F11012" s="3"/>
      <c r="G11012" s="3"/>
      <c r="H11012" s="11"/>
      <c r="I11012" s="12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  <c r="AA11012" s="3"/>
      <c r="AB11012" s="3"/>
      <c r="AC11012" s="3"/>
      <c r="AD11012" s="3"/>
      <c r="AE11012" s="3"/>
      <c r="AF11012" s="3"/>
      <c r="AG11012" s="3"/>
      <c r="AH11012" s="3"/>
    </row>
    <row r="11013" spans="1:34" ht="14.25" customHeight="1" x14ac:dyDescent="0.25">
      <c r="A11013" s="3"/>
      <c r="B11013" s="3"/>
      <c r="C11013" s="3"/>
      <c r="D11013" s="3"/>
      <c r="E11013" s="3"/>
      <c r="F11013" s="3"/>
      <c r="G11013" s="3"/>
      <c r="H11013" s="11"/>
      <c r="I11013" s="12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  <c r="AA11013" s="3"/>
      <c r="AB11013" s="3"/>
      <c r="AC11013" s="3"/>
      <c r="AD11013" s="3"/>
      <c r="AE11013" s="3"/>
      <c r="AF11013" s="3"/>
      <c r="AG11013" s="3"/>
      <c r="AH11013" s="3"/>
    </row>
    <row r="11014" spans="1:34" ht="14.25" customHeight="1" x14ac:dyDescent="0.25">
      <c r="A11014" s="3"/>
      <c r="B11014" s="3"/>
      <c r="C11014" s="3"/>
      <c r="D11014" s="3"/>
      <c r="E11014" s="3"/>
      <c r="F11014" s="3"/>
      <c r="G11014" s="3"/>
      <c r="H11014" s="11"/>
      <c r="I11014" s="12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  <c r="AA11014" s="3"/>
      <c r="AB11014" s="3"/>
      <c r="AC11014" s="3"/>
      <c r="AD11014" s="3"/>
      <c r="AE11014" s="3"/>
      <c r="AF11014" s="3"/>
      <c r="AG11014" s="3"/>
      <c r="AH11014" s="3"/>
    </row>
    <row r="11015" spans="1:34" ht="14.25" customHeight="1" x14ac:dyDescent="0.25">
      <c r="A11015" s="3"/>
      <c r="B11015" s="3"/>
      <c r="C11015" s="3"/>
      <c r="D11015" s="3"/>
      <c r="E11015" s="3"/>
      <c r="F11015" s="3"/>
      <c r="G11015" s="3"/>
      <c r="H11015" s="11"/>
      <c r="I11015" s="12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  <c r="AA11015" s="3"/>
      <c r="AB11015" s="3"/>
      <c r="AC11015" s="3"/>
      <c r="AD11015" s="3"/>
      <c r="AE11015" s="3"/>
      <c r="AF11015" s="3"/>
      <c r="AG11015" s="3"/>
      <c r="AH11015" s="3"/>
    </row>
    <row r="11016" spans="1:34" ht="14.25" customHeight="1" x14ac:dyDescent="0.25">
      <c r="A11016" s="3"/>
      <c r="B11016" s="3"/>
      <c r="C11016" s="3"/>
      <c r="D11016" s="3"/>
      <c r="E11016" s="3"/>
      <c r="F11016" s="3"/>
      <c r="G11016" s="3"/>
      <c r="H11016" s="11"/>
      <c r="I11016" s="12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  <c r="AA11016" s="3"/>
      <c r="AB11016" s="3"/>
      <c r="AC11016" s="3"/>
      <c r="AD11016" s="3"/>
      <c r="AE11016" s="3"/>
      <c r="AF11016" s="3"/>
      <c r="AG11016" s="3"/>
      <c r="AH11016" s="3"/>
    </row>
    <row r="11017" spans="1:34" ht="14.25" customHeight="1" x14ac:dyDescent="0.25">
      <c r="A11017" s="3"/>
      <c r="B11017" s="3"/>
      <c r="C11017" s="3"/>
      <c r="D11017" s="3"/>
      <c r="E11017" s="3"/>
      <c r="F11017" s="3"/>
      <c r="G11017" s="3"/>
      <c r="H11017" s="11"/>
      <c r="I11017" s="12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  <c r="AA11017" s="3"/>
      <c r="AB11017" s="3"/>
      <c r="AC11017" s="3"/>
      <c r="AD11017" s="3"/>
      <c r="AE11017" s="3"/>
      <c r="AF11017" s="3"/>
      <c r="AG11017" s="3"/>
      <c r="AH11017" s="3"/>
    </row>
    <row r="11018" spans="1:34" ht="14.25" customHeight="1" x14ac:dyDescent="0.25">
      <c r="A11018" s="3"/>
      <c r="B11018" s="3"/>
      <c r="C11018" s="3"/>
      <c r="D11018" s="3"/>
      <c r="E11018" s="3"/>
      <c r="F11018" s="3"/>
      <c r="G11018" s="3"/>
      <c r="H11018" s="11"/>
      <c r="I11018" s="12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  <c r="AA11018" s="3"/>
      <c r="AB11018" s="3"/>
      <c r="AC11018" s="3"/>
      <c r="AD11018" s="3"/>
      <c r="AE11018" s="3"/>
      <c r="AF11018" s="3"/>
      <c r="AG11018" s="3"/>
      <c r="AH11018" s="3"/>
    </row>
    <row r="11019" spans="1:34" ht="14.25" customHeight="1" x14ac:dyDescent="0.25">
      <c r="A11019" s="3"/>
      <c r="B11019" s="3"/>
      <c r="C11019" s="3"/>
      <c r="D11019" s="3"/>
      <c r="E11019" s="3"/>
      <c r="F11019" s="3"/>
      <c r="G11019" s="3"/>
      <c r="H11019" s="11"/>
      <c r="I11019" s="12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  <c r="AA11019" s="3"/>
      <c r="AB11019" s="3"/>
      <c r="AC11019" s="3"/>
      <c r="AD11019" s="3"/>
      <c r="AE11019" s="3"/>
      <c r="AF11019" s="3"/>
      <c r="AG11019" s="3"/>
      <c r="AH11019" s="3"/>
    </row>
    <row r="11020" spans="1:34" ht="14.25" customHeight="1" x14ac:dyDescent="0.25">
      <c r="A11020" s="3"/>
      <c r="B11020" s="3"/>
      <c r="C11020" s="3"/>
      <c r="D11020" s="3"/>
      <c r="E11020" s="3"/>
      <c r="F11020" s="3"/>
      <c r="G11020" s="3"/>
      <c r="H11020" s="11"/>
      <c r="I11020" s="12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  <c r="AA11020" s="3"/>
      <c r="AB11020" s="3"/>
      <c r="AC11020" s="3"/>
      <c r="AD11020" s="3"/>
      <c r="AE11020" s="3"/>
      <c r="AF11020" s="3"/>
      <c r="AG11020" s="3"/>
      <c r="AH11020" s="3"/>
    </row>
    <row r="11021" spans="1:34" ht="14.25" customHeight="1" x14ac:dyDescent="0.25">
      <c r="A11021" s="3"/>
      <c r="B11021" s="3"/>
      <c r="C11021" s="3"/>
      <c r="D11021" s="3"/>
      <c r="E11021" s="3"/>
      <c r="F11021" s="3"/>
      <c r="G11021" s="3"/>
      <c r="H11021" s="11"/>
      <c r="I11021" s="12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  <c r="AA11021" s="3"/>
      <c r="AB11021" s="3"/>
      <c r="AC11021" s="3"/>
      <c r="AD11021" s="3"/>
      <c r="AE11021" s="3"/>
      <c r="AF11021" s="3"/>
      <c r="AG11021" s="3"/>
      <c r="AH11021" s="3"/>
    </row>
    <row r="11022" spans="1:34" ht="14.25" customHeight="1" x14ac:dyDescent="0.25">
      <c r="A11022" s="3"/>
      <c r="B11022" s="3"/>
      <c r="C11022" s="3"/>
      <c r="D11022" s="3"/>
      <c r="E11022" s="3"/>
      <c r="F11022" s="3"/>
      <c r="G11022" s="3"/>
      <c r="H11022" s="11"/>
      <c r="I11022" s="12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  <c r="AA11022" s="3"/>
      <c r="AB11022" s="3"/>
      <c r="AC11022" s="3"/>
      <c r="AD11022" s="3"/>
      <c r="AE11022" s="3"/>
      <c r="AF11022" s="3"/>
      <c r="AG11022" s="3"/>
      <c r="AH11022" s="3"/>
    </row>
    <row r="11023" spans="1:34" ht="14.25" customHeight="1" x14ac:dyDescent="0.25">
      <c r="A11023" s="3"/>
      <c r="B11023" s="3"/>
      <c r="C11023" s="3"/>
      <c r="D11023" s="3"/>
      <c r="E11023" s="3"/>
      <c r="F11023" s="3"/>
      <c r="G11023" s="3"/>
      <c r="H11023" s="11"/>
      <c r="I11023" s="12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  <c r="AA11023" s="3"/>
      <c r="AB11023" s="3"/>
      <c r="AC11023" s="3"/>
      <c r="AD11023" s="3"/>
      <c r="AE11023" s="3"/>
      <c r="AF11023" s="3"/>
      <c r="AG11023" s="3"/>
      <c r="AH11023" s="3"/>
    </row>
    <row r="11024" spans="1:34" ht="14.25" customHeight="1" x14ac:dyDescent="0.25">
      <c r="A11024" s="3"/>
      <c r="B11024" s="3"/>
      <c r="C11024" s="3"/>
      <c r="D11024" s="3"/>
      <c r="E11024" s="3"/>
      <c r="F11024" s="3"/>
      <c r="G11024" s="3"/>
      <c r="H11024" s="11"/>
      <c r="I11024" s="12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  <c r="AA11024" s="3"/>
      <c r="AB11024" s="3"/>
      <c r="AC11024" s="3"/>
      <c r="AD11024" s="3"/>
      <c r="AE11024" s="3"/>
      <c r="AF11024" s="3"/>
      <c r="AG11024" s="3"/>
      <c r="AH11024" s="3"/>
    </row>
    <row r="11025" spans="1:34" ht="14.25" customHeight="1" x14ac:dyDescent="0.25">
      <c r="A11025" s="3"/>
      <c r="B11025" s="3"/>
      <c r="C11025" s="3"/>
      <c r="D11025" s="3"/>
      <c r="E11025" s="3"/>
      <c r="F11025" s="3"/>
      <c r="G11025" s="3"/>
      <c r="H11025" s="11"/>
      <c r="I11025" s="12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  <c r="AA11025" s="3"/>
      <c r="AB11025" s="3"/>
      <c r="AC11025" s="3"/>
      <c r="AD11025" s="3"/>
      <c r="AE11025" s="3"/>
      <c r="AF11025" s="3"/>
      <c r="AG11025" s="3"/>
      <c r="AH11025" s="3"/>
    </row>
    <row r="11026" spans="1:34" ht="14.25" customHeight="1" x14ac:dyDescent="0.25">
      <c r="A11026" s="3"/>
      <c r="B11026" s="3"/>
      <c r="C11026" s="3"/>
      <c r="D11026" s="3"/>
      <c r="E11026" s="3"/>
      <c r="F11026" s="3"/>
      <c r="G11026" s="3"/>
      <c r="H11026" s="11"/>
      <c r="I11026" s="12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  <c r="AA11026" s="3"/>
      <c r="AB11026" s="3"/>
      <c r="AC11026" s="3"/>
      <c r="AD11026" s="3"/>
      <c r="AE11026" s="3"/>
      <c r="AF11026" s="3"/>
      <c r="AG11026" s="3"/>
      <c r="AH11026" s="3"/>
    </row>
    <row r="11027" spans="1:34" ht="14.25" customHeight="1" x14ac:dyDescent="0.25">
      <c r="A11027" s="3"/>
      <c r="B11027" s="3"/>
      <c r="C11027" s="3"/>
      <c r="D11027" s="3"/>
      <c r="E11027" s="3"/>
      <c r="F11027" s="3"/>
      <c r="G11027" s="3"/>
      <c r="H11027" s="11"/>
      <c r="I11027" s="12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  <c r="AA11027" s="3"/>
      <c r="AB11027" s="3"/>
      <c r="AC11027" s="3"/>
      <c r="AD11027" s="3"/>
      <c r="AE11027" s="3"/>
      <c r="AF11027" s="3"/>
      <c r="AG11027" s="3"/>
      <c r="AH11027" s="3"/>
    </row>
    <row r="11028" spans="1:34" ht="14.25" customHeight="1" x14ac:dyDescent="0.25">
      <c r="A11028" s="3"/>
      <c r="B11028" s="3"/>
      <c r="C11028" s="3"/>
      <c r="D11028" s="3"/>
      <c r="E11028" s="3"/>
      <c r="F11028" s="3"/>
      <c r="G11028" s="3"/>
      <c r="H11028" s="11"/>
      <c r="I11028" s="12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  <c r="AA11028" s="3"/>
      <c r="AB11028" s="3"/>
      <c r="AC11028" s="3"/>
      <c r="AD11028" s="3"/>
      <c r="AE11028" s="3"/>
      <c r="AF11028" s="3"/>
      <c r="AG11028" s="3"/>
      <c r="AH11028" s="3"/>
    </row>
    <row r="11029" spans="1:34" ht="14.25" customHeight="1" x14ac:dyDescent="0.25">
      <c r="A11029" s="3"/>
      <c r="B11029" s="3"/>
      <c r="C11029" s="3"/>
      <c r="D11029" s="3"/>
      <c r="E11029" s="3"/>
      <c r="F11029" s="3"/>
      <c r="G11029" s="3"/>
      <c r="H11029" s="11"/>
      <c r="I11029" s="12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  <c r="AA11029" s="3"/>
      <c r="AB11029" s="3"/>
      <c r="AC11029" s="3"/>
      <c r="AD11029" s="3"/>
      <c r="AE11029" s="3"/>
      <c r="AF11029" s="3"/>
      <c r="AG11029" s="3"/>
      <c r="AH11029" s="3"/>
    </row>
    <row r="11030" spans="1:34" ht="14.25" customHeight="1" x14ac:dyDescent="0.25">
      <c r="A11030" s="3"/>
      <c r="B11030" s="3"/>
      <c r="C11030" s="3"/>
      <c r="D11030" s="3"/>
      <c r="E11030" s="3"/>
      <c r="F11030" s="3"/>
      <c r="G11030" s="3"/>
      <c r="H11030" s="11"/>
      <c r="I11030" s="12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  <c r="AA11030" s="3"/>
      <c r="AB11030" s="3"/>
      <c r="AC11030" s="3"/>
      <c r="AD11030" s="3"/>
      <c r="AE11030" s="3"/>
      <c r="AF11030" s="3"/>
      <c r="AG11030" s="3"/>
      <c r="AH11030" s="3"/>
    </row>
    <row r="11031" spans="1:34" ht="14.25" customHeight="1" x14ac:dyDescent="0.25">
      <c r="A11031" s="3"/>
      <c r="B11031" s="3"/>
      <c r="C11031" s="3"/>
      <c r="D11031" s="3"/>
      <c r="E11031" s="3"/>
      <c r="F11031" s="3"/>
      <c r="G11031" s="3"/>
      <c r="H11031" s="11"/>
      <c r="I11031" s="12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  <c r="AA11031" s="3"/>
      <c r="AB11031" s="3"/>
      <c r="AC11031" s="3"/>
      <c r="AD11031" s="3"/>
      <c r="AE11031" s="3"/>
      <c r="AF11031" s="3"/>
      <c r="AG11031" s="3"/>
      <c r="AH11031" s="3"/>
    </row>
    <row r="11032" spans="1:34" ht="14.25" customHeight="1" x14ac:dyDescent="0.25">
      <c r="A11032" s="3"/>
      <c r="B11032" s="3"/>
      <c r="C11032" s="3"/>
      <c r="D11032" s="3"/>
      <c r="E11032" s="3"/>
      <c r="F11032" s="3"/>
      <c r="G11032" s="3"/>
      <c r="H11032" s="11"/>
      <c r="I11032" s="12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  <c r="AA11032" s="3"/>
      <c r="AB11032" s="3"/>
      <c r="AC11032" s="3"/>
      <c r="AD11032" s="3"/>
      <c r="AE11032" s="3"/>
      <c r="AF11032" s="3"/>
      <c r="AG11032" s="3"/>
      <c r="AH11032" s="3"/>
    </row>
    <row r="11033" spans="1:34" ht="14.25" customHeight="1" x14ac:dyDescent="0.25">
      <c r="A11033" s="3"/>
      <c r="B11033" s="3"/>
      <c r="C11033" s="3"/>
      <c r="D11033" s="3"/>
      <c r="E11033" s="3"/>
      <c r="F11033" s="3"/>
      <c r="G11033" s="3"/>
      <c r="H11033" s="11"/>
      <c r="I11033" s="12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  <c r="AA11033" s="3"/>
      <c r="AB11033" s="3"/>
      <c r="AC11033" s="3"/>
      <c r="AD11033" s="3"/>
      <c r="AE11033" s="3"/>
      <c r="AF11033" s="3"/>
      <c r="AG11033" s="3"/>
      <c r="AH11033" s="3"/>
    </row>
    <row r="11034" spans="1:34" ht="14.25" customHeight="1" x14ac:dyDescent="0.25">
      <c r="A11034" s="3"/>
      <c r="B11034" s="3"/>
      <c r="C11034" s="3"/>
      <c r="D11034" s="3"/>
      <c r="E11034" s="3"/>
      <c r="F11034" s="3"/>
      <c r="G11034" s="3"/>
      <c r="H11034" s="11"/>
      <c r="I11034" s="12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  <c r="AA11034" s="3"/>
      <c r="AB11034" s="3"/>
      <c r="AC11034" s="3"/>
      <c r="AD11034" s="3"/>
      <c r="AE11034" s="3"/>
      <c r="AF11034" s="3"/>
      <c r="AG11034" s="3"/>
      <c r="AH11034" s="3"/>
    </row>
    <row r="11035" spans="1:34" ht="14.25" customHeight="1" x14ac:dyDescent="0.25">
      <c r="A11035" s="3"/>
      <c r="B11035" s="3"/>
      <c r="C11035" s="3"/>
      <c r="D11035" s="3"/>
      <c r="E11035" s="3"/>
      <c r="F11035" s="3"/>
      <c r="G11035" s="3"/>
      <c r="H11035" s="11"/>
      <c r="I11035" s="12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  <c r="AA11035" s="3"/>
      <c r="AB11035" s="3"/>
      <c r="AC11035" s="3"/>
      <c r="AD11035" s="3"/>
      <c r="AE11035" s="3"/>
      <c r="AF11035" s="3"/>
      <c r="AG11035" s="3"/>
      <c r="AH11035" s="3"/>
    </row>
    <row r="11036" spans="1:34" ht="14.25" customHeight="1" x14ac:dyDescent="0.25">
      <c r="A11036" s="3"/>
      <c r="B11036" s="3"/>
      <c r="C11036" s="3"/>
      <c r="D11036" s="3"/>
      <c r="E11036" s="3"/>
      <c r="F11036" s="3"/>
      <c r="G11036" s="3"/>
      <c r="H11036" s="11"/>
      <c r="I11036" s="12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  <c r="AA11036" s="3"/>
      <c r="AB11036" s="3"/>
      <c r="AC11036" s="3"/>
      <c r="AD11036" s="3"/>
      <c r="AE11036" s="3"/>
      <c r="AF11036" s="3"/>
      <c r="AG11036" s="3"/>
      <c r="AH11036" s="3"/>
    </row>
    <row r="11037" spans="1:34" ht="14.25" customHeight="1" x14ac:dyDescent="0.25">
      <c r="A11037" s="3"/>
      <c r="B11037" s="3"/>
      <c r="C11037" s="3"/>
      <c r="D11037" s="3"/>
      <c r="E11037" s="3"/>
      <c r="F11037" s="3"/>
      <c r="G11037" s="3"/>
      <c r="H11037" s="11"/>
      <c r="I11037" s="12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  <c r="AA11037" s="3"/>
      <c r="AB11037" s="3"/>
      <c r="AC11037" s="3"/>
      <c r="AD11037" s="3"/>
      <c r="AE11037" s="3"/>
      <c r="AF11037" s="3"/>
      <c r="AG11037" s="3"/>
      <c r="AH11037" s="3"/>
    </row>
    <row r="11038" spans="1:34" ht="14.25" customHeight="1" x14ac:dyDescent="0.25">
      <c r="A11038" s="3"/>
      <c r="B11038" s="3"/>
      <c r="C11038" s="3"/>
      <c r="D11038" s="3"/>
      <c r="E11038" s="3"/>
      <c r="F11038" s="3"/>
      <c r="G11038" s="3"/>
      <c r="H11038" s="11"/>
      <c r="I11038" s="12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  <c r="AA11038" s="3"/>
      <c r="AB11038" s="3"/>
      <c r="AC11038" s="3"/>
      <c r="AD11038" s="3"/>
      <c r="AE11038" s="3"/>
      <c r="AF11038" s="3"/>
      <c r="AG11038" s="3"/>
      <c r="AH11038" s="3"/>
    </row>
    <row r="11039" spans="1:34" ht="14.25" customHeight="1" x14ac:dyDescent="0.25">
      <c r="A11039" s="3"/>
      <c r="B11039" s="3"/>
      <c r="C11039" s="3"/>
      <c r="D11039" s="3"/>
      <c r="E11039" s="3"/>
      <c r="F11039" s="3"/>
      <c r="G11039" s="3"/>
      <c r="H11039" s="11"/>
      <c r="I11039" s="12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  <c r="AA11039" s="3"/>
      <c r="AB11039" s="3"/>
      <c r="AC11039" s="3"/>
      <c r="AD11039" s="3"/>
      <c r="AE11039" s="3"/>
      <c r="AF11039" s="3"/>
      <c r="AG11039" s="3"/>
      <c r="AH11039" s="3"/>
    </row>
    <row r="11040" spans="1:34" ht="14.25" customHeight="1" x14ac:dyDescent="0.25">
      <c r="A11040" s="3"/>
      <c r="B11040" s="3"/>
      <c r="C11040" s="3"/>
      <c r="D11040" s="3"/>
      <c r="E11040" s="3"/>
      <c r="F11040" s="3"/>
      <c r="G11040" s="3"/>
      <c r="H11040" s="11"/>
      <c r="I11040" s="12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  <c r="AA11040" s="3"/>
      <c r="AB11040" s="3"/>
      <c r="AC11040" s="3"/>
      <c r="AD11040" s="3"/>
      <c r="AE11040" s="3"/>
      <c r="AF11040" s="3"/>
      <c r="AG11040" s="3"/>
      <c r="AH11040" s="3"/>
    </row>
    <row r="11041" spans="1:34" ht="14.25" customHeight="1" x14ac:dyDescent="0.25">
      <c r="A11041" s="3"/>
      <c r="B11041" s="3"/>
      <c r="C11041" s="3"/>
      <c r="D11041" s="3"/>
      <c r="E11041" s="3"/>
      <c r="F11041" s="3"/>
      <c r="G11041" s="3"/>
      <c r="H11041" s="11"/>
      <c r="I11041" s="12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  <c r="AA11041" s="3"/>
      <c r="AB11041" s="3"/>
      <c r="AC11041" s="3"/>
      <c r="AD11041" s="3"/>
      <c r="AE11041" s="3"/>
      <c r="AF11041" s="3"/>
      <c r="AG11041" s="3"/>
      <c r="AH11041" s="3"/>
    </row>
    <row r="11042" spans="1:34" ht="14.25" customHeight="1" x14ac:dyDescent="0.25">
      <c r="A11042" s="3"/>
      <c r="B11042" s="3"/>
      <c r="C11042" s="3"/>
      <c r="D11042" s="3"/>
      <c r="E11042" s="3"/>
      <c r="F11042" s="3"/>
      <c r="G11042" s="3"/>
      <c r="H11042" s="11"/>
      <c r="I11042" s="12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  <c r="AA11042" s="3"/>
      <c r="AB11042" s="3"/>
      <c r="AC11042" s="3"/>
      <c r="AD11042" s="3"/>
      <c r="AE11042" s="3"/>
      <c r="AF11042" s="3"/>
      <c r="AG11042" s="3"/>
      <c r="AH11042" s="3"/>
    </row>
    <row r="11043" spans="1:34" ht="14.25" customHeight="1" x14ac:dyDescent="0.25">
      <c r="A11043" s="3"/>
      <c r="B11043" s="3"/>
      <c r="C11043" s="3"/>
      <c r="D11043" s="3"/>
      <c r="E11043" s="3"/>
      <c r="F11043" s="3"/>
      <c r="G11043" s="3"/>
      <c r="H11043" s="11"/>
      <c r="I11043" s="12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  <c r="AA11043" s="3"/>
      <c r="AB11043" s="3"/>
      <c r="AC11043" s="3"/>
      <c r="AD11043" s="3"/>
      <c r="AE11043" s="3"/>
      <c r="AF11043" s="3"/>
      <c r="AG11043" s="3"/>
      <c r="AH11043" s="3"/>
    </row>
    <row r="11044" spans="1:34" ht="14.25" customHeight="1" x14ac:dyDescent="0.25">
      <c r="A11044" s="3"/>
      <c r="B11044" s="3"/>
      <c r="C11044" s="3"/>
      <c r="D11044" s="3"/>
      <c r="E11044" s="3"/>
      <c r="F11044" s="3"/>
      <c r="G11044" s="3"/>
      <c r="H11044" s="11"/>
      <c r="I11044" s="12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  <c r="AA11044" s="3"/>
      <c r="AB11044" s="3"/>
      <c r="AC11044" s="3"/>
      <c r="AD11044" s="3"/>
      <c r="AE11044" s="3"/>
      <c r="AF11044" s="3"/>
      <c r="AG11044" s="3"/>
      <c r="AH11044" s="3"/>
    </row>
    <row r="11045" spans="1:34" ht="14.25" customHeight="1" x14ac:dyDescent="0.25">
      <c r="A11045" s="3"/>
      <c r="B11045" s="3"/>
      <c r="C11045" s="3"/>
      <c r="D11045" s="3"/>
      <c r="E11045" s="3"/>
      <c r="F11045" s="3"/>
      <c r="G11045" s="3"/>
      <c r="H11045" s="11"/>
      <c r="I11045" s="12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  <c r="AA11045" s="3"/>
      <c r="AB11045" s="3"/>
      <c r="AC11045" s="3"/>
      <c r="AD11045" s="3"/>
      <c r="AE11045" s="3"/>
      <c r="AF11045" s="3"/>
      <c r="AG11045" s="3"/>
      <c r="AH11045" s="3"/>
    </row>
    <row r="11046" spans="1:34" ht="14.25" customHeight="1" x14ac:dyDescent="0.25">
      <c r="A11046" s="3"/>
      <c r="B11046" s="3"/>
      <c r="C11046" s="3"/>
      <c r="D11046" s="3"/>
      <c r="E11046" s="3"/>
      <c r="F11046" s="3"/>
      <c r="G11046" s="3"/>
      <c r="H11046" s="11"/>
      <c r="I11046" s="12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  <c r="AA11046" s="3"/>
      <c r="AB11046" s="3"/>
      <c r="AC11046" s="3"/>
      <c r="AD11046" s="3"/>
      <c r="AE11046" s="3"/>
      <c r="AF11046" s="3"/>
      <c r="AG11046" s="3"/>
      <c r="AH11046" s="3"/>
    </row>
    <row r="11047" spans="1:34" ht="14.25" customHeight="1" x14ac:dyDescent="0.25">
      <c r="A11047" s="3"/>
      <c r="B11047" s="3"/>
      <c r="C11047" s="3"/>
      <c r="D11047" s="3"/>
      <c r="E11047" s="3"/>
      <c r="F11047" s="3"/>
      <c r="G11047" s="3"/>
      <c r="H11047" s="11"/>
      <c r="I11047" s="12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  <c r="AA11047" s="3"/>
      <c r="AB11047" s="3"/>
      <c r="AC11047" s="3"/>
      <c r="AD11047" s="3"/>
      <c r="AE11047" s="3"/>
      <c r="AF11047" s="3"/>
      <c r="AG11047" s="3"/>
      <c r="AH11047" s="3"/>
    </row>
    <row r="11048" spans="1:34" ht="14.25" customHeight="1" x14ac:dyDescent="0.25">
      <c r="A11048" s="3"/>
      <c r="B11048" s="3"/>
      <c r="C11048" s="3"/>
      <c r="D11048" s="3"/>
      <c r="E11048" s="3"/>
      <c r="F11048" s="3"/>
      <c r="G11048" s="3"/>
      <c r="H11048" s="11"/>
      <c r="I11048" s="12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  <c r="AA11048" s="3"/>
      <c r="AB11048" s="3"/>
      <c r="AC11048" s="3"/>
      <c r="AD11048" s="3"/>
      <c r="AE11048" s="3"/>
      <c r="AF11048" s="3"/>
      <c r="AG11048" s="3"/>
      <c r="AH11048" s="3"/>
    </row>
    <row r="11049" spans="1:34" ht="14.25" customHeight="1" x14ac:dyDescent="0.25">
      <c r="A11049" s="3"/>
      <c r="B11049" s="3"/>
      <c r="C11049" s="3"/>
      <c r="D11049" s="3"/>
      <c r="E11049" s="3"/>
      <c r="F11049" s="3"/>
      <c r="G11049" s="3"/>
      <c r="H11049" s="11"/>
      <c r="I11049" s="12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  <c r="AA11049" s="3"/>
      <c r="AB11049" s="3"/>
      <c r="AC11049" s="3"/>
      <c r="AD11049" s="3"/>
      <c r="AE11049" s="3"/>
      <c r="AF11049" s="3"/>
      <c r="AG11049" s="3"/>
      <c r="AH11049" s="3"/>
    </row>
    <row r="11050" spans="1:34" ht="14.25" customHeight="1" x14ac:dyDescent="0.25">
      <c r="A11050" s="3"/>
      <c r="B11050" s="3"/>
      <c r="C11050" s="3"/>
      <c r="D11050" s="3"/>
      <c r="E11050" s="3"/>
      <c r="F11050" s="3"/>
      <c r="G11050" s="3"/>
      <c r="H11050" s="11"/>
      <c r="I11050" s="12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  <c r="AA11050" s="3"/>
      <c r="AB11050" s="3"/>
      <c r="AC11050" s="3"/>
      <c r="AD11050" s="3"/>
      <c r="AE11050" s="3"/>
      <c r="AF11050" s="3"/>
      <c r="AG11050" s="3"/>
      <c r="AH11050" s="3"/>
    </row>
    <row r="11051" spans="1:34" ht="14.25" customHeight="1" x14ac:dyDescent="0.25">
      <c r="A11051" s="3"/>
      <c r="B11051" s="3"/>
      <c r="C11051" s="3"/>
      <c r="D11051" s="3"/>
      <c r="E11051" s="3"/>
      <c r="F11051" s="3"/>
      <c r="G11051" s="3"/>
      <c r="H11051" s="11"/>
      <c r="I11051" s="12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  <c r="AA11051" s="3"/>
      <c r="AB11051" s="3"/>
      <c r="AC11051" s="3"/>
      <c r="AD11051" s="3"/>
      <c r="AE11051" s="3"/>
      <c r="AF11051" s="3"/>
      <c r="AG11051" s="3"/>
      <c r="AH11051" s="3"/>
    </row>
    <row r="11052" spans="1:34" ht="14.25" customHeight="1" x14ac:dyDescent="0.25">
      <c r="A11052" s="3"/>
      <c r="B11052" s="3"/>
      <c r="C11052" s="3"/>
      <c r="D11052" s="3"/>
      <c r="E11052" s="3"/>
      <c r="F11052" s="3"/>
      <c r="G11052" s="3"/>
      <c r="H11052" s="11"/>
      <c r="I11052" s="12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  <c r="AA11052" s="3"/>
      <c r="AB11052" s="3"/>
      <c r="AC11052" s="3"/>
      <c r="AD11052" s="3"/>
      <c r="AE11052" s="3"/>
      <c r="AF11052" s="3"/>
      <c r="AG11052" s="3"/>
      <c r="AH11052" s="3"/>
    </row>
    <row r="11053" spans="1:34" ht="14.25" customHeight="1" x14ac:dyDescent="0.25">
      <c r="A11053" s="3"/>
      <c r="B11053" s="3"/>
      <c r="C11053" s="3"/>
      <c r="D11053" s="3"/>
      <c r="E11053" s="3"/>
      <c r="F11053" s="3"/>
      <c r="G11053" s="3"/>
      <c r="H11053" s="11"/>
      <c r="I11053" s="12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  <c r="AA11053" s="3"/>
      <c r="AB11053" s="3"/>
      <c r="AC11053" s="3"/>
      <c r="AD11053" s="3"/>
      <c r="AE11053" s="3"/>
      <c r="AF11053" s="3"/>
      <c r="AG11053" s="3"/>
      <c r="AH11053" s="3"/>
    </row>
    <row r="11054" spans="1:34" ht="14.25" customHeight="1" x14ac:dyDescent="0.25">
      <c r="A11054" s="3"/>
      <c r="B11054" s="3"/>
      <c r="C11054" s="3"/>
      <c r="D11054" s="3"/>
      <c r="E11054" s="3"/>
      <c r="F11054" s="3"/>
      <c r="G11054" s="3"/>
      <c r="H11054" s="11"/>
      <c r="I11054" s="12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  <c r="AA11054" s="3"/>
      <c r="AB11054" s="3"/>
      <c r="AC11054" s="3"/>
      <c r="AD11054" s="3"/>
      <c r="AE11054" s="3"/>
      <c r="AF11054" s="3"/>
      <c r="AG11054" s="3"/>
      <c r="AH11054" s="3"/>
    </row>
    <row r="11055" spans="1:34" ht="14.25" customHeight="1" x14ac:dyDescent="0.25">
      <c r="A11055" s="3"/>
      <c r="B11055" s="3"/>
      <c r="C11055" s="3"/>
      <c r="D11055" s="3"/>
      <c r="E11055" s="3"/>
      <c r="F11055" s="3"/>
      <c r="G11055" s="3"/>
      <c r="H11055" s="11"/>
      <c r="I11055" s="12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  <c r="AA11055" s="3"/>
      <c r="AB11055" s="3"/>
      <c r="AC11055" s="3"/>
      <c r="AD11055" s="3"/>
      <c r="AE11055" s="3"/>
      <c r="AF11055" s="3"/>
      <c r="AG11055" s="3"/>
      <c r="AH11055" s="3"/>
    </row>
    <row r="11056" spans="1:34" ht="14.25" customHeight="1" x14ac:dyDescent="0.25">
      <c r="A11056" s="3"/>
      <c r="B11056" s="3"/>
      <c r="C11056" s="3"/>
      <c r="D11056" s="3"/>
      <c r="E11056" s="3"/>
      <c r="F11056" s="3"/>
      <c r="G11056" s="3"/>
      <c r="H11056" s="11"/>
      <c r="I11056" s="12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  <c r="AA11056" s="3"/>
      <c r="AB11056" s="3"/>
      <c r="AC11056" s="3"/>
      <c r="AD11056" s="3"/>
      <c r="AE11056" s="3"/>
      <c r="AF11056" s="3"/>
      <c r="AG11056" s="3"/>
      <c r="AH11056" s="3"/>
    </row>
    <row r="11057" spans="1:34" ht="14.25" customHeight="1" x14ac:dyDescent="0.25">
      <c r="A11057" s="3"/>
      <c r="B11057" s="3"/>
      <c r="C11057" s="3"/>
      <c r="D11057" s="3"/>
      <c r="E11057" s="3"/>
      <c r="F11057" s="3"/>
      <c r="G11057" s="3"/>
      <c r="H11057" s="11"/>
      <c r="I11057" s="12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  <c r="AA11057" s="3"/>
      <c r="AB11057" s="3"/>
      <c r="AC11057" s="3"/>
      <c r="AD11057" s="3"/>
      <c r="AE11057" s="3"/>
      <c r="AF11057" s="3"/>
      <c r="AG11057" s="3"/>
      <c r="AH11057" s="3"/>
    </row>
    <row r="11058" spans="1:34" ht="14.25" customHeight="1" x14ac:dyDescent="0.25">
      <c r="A11058" s="3"/>
      <c r="B11058" s="3"/>
      <c r="C11058" s="3"/>
      <c r="D11058" s="3"/>
      <c r="E11058" s="3"/>
      <c r="F11058" s="3"/>
      <c r="G11058" s="3"/>
      <c r="H11058" s="11"/>
      <c r="I11058" s="12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  <c r="AA11058" s="3"/>
      <c r="AB11058" s="3"/>
      <c r="AC11058" s="3"/>
      <c r="AD11058" s="3"/>
      <c r="AE11058" s="3"/>
      <c r="AF11058" s="3"/>
      <c r="AG11058" s="3"/>
      <c r="AH11058" s="3"/>
    </row>
    <row r="11059" spans="1:34" ht="14.25" customHeight="1" x14ac:dyDescent="0.25">
      <c r="A11059" s="3"/>
      <c r="B11059" s="3"/>
      <c r="C11059" s="3"/>
      <c r="D11059" s="3"/>
      <c r="E11059" s="3"/>
      <c r="F11059" s="3"/>
      <c r="G11059" s="3"/>
      <c r="H11059" s="11"/>
      <c r="I11059" s="12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  <c r="AA11059" s="3"/>
      <c r="AB11059" s="3"/>
      <c r="AC11059" s="3"/>
      <c r="AD11059" s="3"/>
      <c r="AE11059" s="3"/>
      <c r="AF11059" s="3"/>
      <c r="AG11059" s="3"/>
      <c r="AH11059" s="3"/>
    </row>
    <row r="11060" spans="1:34" ht="14.25" customHeight="1" x14ac:dyDescent="0.25">
      <c r="A11060" s="3"/>
      <c r="B11060" s="3"/>
      <c r="C11060" s="3"/>
      <c r="D11060" s="3"/>
      <c r="E11060" s="3"/>
      <c r="F11060" s="3"/>
      <c r="G11060" s="3"/>
      <c r="H11060" s="11"/>
      <c r="I11060" s="12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  <c r="AA11060" s="3"/>
      <c r="AB11060" s="3"/>
      <c r="AC11060" s="3"/>
      <c r="AD11060" s="3"/>
      <c r="AE11060" s="3"/>
      <c r="AF11060" s="3"/>
      <c r="AG11060" s="3"/>
      <c r="AH11060" s="3"/>
    </row>
    <row r="11061" spans="1:34" ht="14.25" customHeight="1" x14ac:dyDescent="0.25">
      <c r="A11061" s="3"/>
      <c r="B11061" s="3"/>
      <c r="C11061" s="3"/>
      <c r="D11061" s="3"/>
      <c r="E11061" s="3"/>
      <c r="F11061" s="3"/>
      <c r="G11061" s="3"/>
      <c r="H11061" s="11"/>
      <c r="I11061" s="12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  <c r="AA11061" s="3"/>
      <c r="AB11061" s="3"/>
      <c r="AC11061" s="3"/>
      <c r="AD11061" s="3"/>
      <c r="AE11061" s="3"/>
      <c r="AF11061" s="3"/>
      <c r="AG11061" s="3"/>
      <c r="AH11061" s="3"/>
    </row>
    <row r="11062" spans="1:34" ht="14.25" customHeight="1" x14ac:dyDescent="0.25">
      <c r="A11062" s="3"/>
      <c r="B11062" s="3"/>
      <c r="C11062" s="3"/>
      <c r="D11062" s="3"/>
      <c r="E11062" s="3"/>
      <c r="F11062" s="3"/>
      <c r="G11062" s="3"/>
      <c r="H11062" s="11"/>
      <c r="I11062" s="12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  <c r="AA11062" s="3"/>
      <c r="AB11062" s="3"/>
      <c r="AC11062" s="3"/>
      <c r="AD11062" s="3"/>
      <c r="AE11062" s="3"/>
      <c r="AF11062" s="3"/>
      <c r="AG11062" s="3"/>
      <c r="AH11062" s="3"/>
    </row>
    <row r="11063" spans="1:34" ht="14.25" customHeight="1" x14ac:dyDescent="0.25">
      <c r="A11063" s="3"/>
      <c r="B11063" s="3"/>
      <c r="C11063" s="3"/>
      <c r="D11063" s="3"/>
      <c r="E11063" s="3"/>
      <c r="F11063" s="3"/>
      <c r="G11063" s="3"/>
      <c r="H11063" s="11"/>
      <c r="I11063" s="12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  <c r="AA11063" s="3"/>
      <c r="AB11063" s="3"/>
      <c r="AC11063" s="3"/>
      <c r="AD11063" s="3"/>
      <c r="AE11063" s="3"/>
      <c r="AF11063" s="3"/>
      <c r="AG11063" s="3"/>
      <c r="AH11063" s="3"/>
    </row>
    <row r="11064" spans="1:34" ht="14.25" customHeight="1" x14ac:dyDescent="0.25">
      <c r="A11064" s="3"/>
      <c r="B11064" s="3"/>
      <c r="C11064" s="3"/>
      <c r="D11064" s="3"/>
      <c r="E11064" s="3"/>
      <c r="F11064" s="3"/>
      <c r="G11064" s="3"/>
      <c r="H11064" s="11"/>
      <c r="I11064" s="12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  <c r="AA11064" s="3"/>
      <c r="AB11064" s="3"/>
      <c r="AC11064" s="3"/>
      <c r="AD11064" s="3"/>
      <c r="AE11064" s="3"/>
      <c r="AF11064" s="3"/>
      <c r="AG11064" s="3"/>
      <c r="AH11064" s="3"/>
    </row>
    <row r="11065" spans="1:34" ht="14.25" customHeight="1" x14ac:dyDescent="0.25">
      <c r="A11065" s="3"/>
      <c r="B11065" s="3"/>
      <c r="C11065" s="3"/>
      <c r="D11065" s="3"/>
      <c r="E11065" s="3"/>
      <c r="F11065" s="3"/>
      <c r="G11065" s="3"/>
      <c r="H11065" s="11"/>
      <c r="I11065" s="12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  <c r="AA11065" s="3"/>
      <c r="AB11065" s="3"/>
      <c r="AC11065" s="3"/>
      <c r="AD11065" s="3"/>
      <c r="AE11065" s="3"/>
      <c r="AF11065" s="3"/>
      <c r="AG11065" s="3"/>
      <c r="AH11065" s="3"/>
    </row>
    <row r="11066" spans="1:34" ht="14.25" customHeight="1" x14ac:dyDescent="0.25">
      <c r="A11066" s="3"/>
      <c r="B11066" s="3"/>
      <c r="C11066" s="3"/>
      <c r="D11066" s="3"/>
      <c r="E11066" s="3"/>
      <c r="F11066" s="3"/>
      <c r="G11066" s="3"/>
      <c r="H11066" s="11"/>
      <c r="I11066" s="12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  <c r="AA11066" s="3"/>
      <c r="AB11066" s="3"/>
      <c r="AC11066" s="3"/>
      <c r="AD11066" s="3"/>
      <c r="AE11066" s="3"/>
      <c r="AF11066" s="3"/>
      <c r="AG11066" s="3"/>
      <c r="AH11066" s="3"/>
    </row>
    <row r="11067" spans="1:34" ht="14.25" customHeight="1" x14ac:dyDescent="0.25">
      <c r="A11067" s="3"/>
      <c r="B11067" s="3"/>
      <c r="C11067" s="3"/>
      <c r="D11067" s="3"/>
      <c r="E11067" s="3"/>
      <c r="F11067" s="3"/>
      <c r="G11067" s="3"/>
      <c r="H11067" s="11"/>
      <c r="I11067" s="12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  <c r="AA11067" s="3"/>
      <c r="AB11067" s="3"/>
      <c r="AC11067" s="3"/>
      <c r="AD11067" s="3"/>
      <c r="AE11067" s="3"/>
      <c r="AF11067" s="3"/>
      <c r="AG11067" s="3"/>
      <c r="AH11067" s="3"/>
    </row>
    <row r="11068" spans="1:34" ht="14.25" customHeight="1" x14ac:dyDescent="0.25">
      <c r="A11068" s="3"/>
      <c r="B11068" s="3"/>
      <c r="C11068" s="3"/>
      <c r="D11068" s="3"/>
      <c r="E11068" s="3"/>
      <c r="F11068" s="3"/>
      <c r="G11068" s="3"/>
      <c r="H11068" s="11"/>
      <c r="I11068" s="12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  <c r="AA11068" s="3"/>
      <c r="AB11068" s="3"/>
      <c r="AC11068" s="3"/>
      <c r="AD11068" s="3"/>
      <c r="AE11068" s="3"/>
      <c r="AF11068" s="3"/>
      <c r="AG11068" s="3"/>
      <c r="AH11068" s="3"/>
    </row>
    <row r="11069" spans="1:34" ht="14.25" customHeight="1" x14ac:dyDescent="0.25">
      <c r="A11069" s="3"/>
      <c r="B11069" s="3"/>
      <c r="C11069" s="3"/>
      <c r="D11069" s="3"/>
      <c r="E11069" s="3"/>
      <c r="F11069" s="3"/>
      <c r="G11069" s="3"/>
      <c r="H11069" s="11"/>
      <c r="I11069" s="12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  <c r="AA11069" s="3"/>
      <c r="AB11069" s="3"/>
      <c r="AC11069" s="3"/>
      <c r="AD11069" s="3"/>
      <c r="AE11069" s="3"/>
      <c r="AF11069" s="3"/>
      <c r="AG11069" s="3"/>
      <c r="AH11069" s="3"/>
    </row>
    <row r="11070" spans="1:34" ht="14.25" customHeight="1" x14ac:dyDescent="0.25">
      <c r="A11070" s="3"/>
      <c r="B11070" s="3"/>
      <c r="C11070" s="3"/>
      <c r="D11070" s="3"/>
      <c r="E11070" s="3"/>
      <c r="F11070" s="3"/>
      <c r="G11070" s="3"/>
      <c r="H11070" s="11"/>
      <c r="I11070" s="12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  <c r="AA11070" s="3"/>
      <c r="AB11070" s="3"/>
      <c r="AC11070" s="3"/>
      <c r="AD11070" s="3"/>
      <c r="AE11070" s="3"/>
      <c r="AF11070" s="3"/>
      <c r="AG11070" s="3"/>
      <c r="AH11070" s="3"/>
    </row>
    <row r="11071" spans="1:34" ht="14.25" customHeight="1" x14ac:dyDescent="0.25">
      <c r="A11071" s="3"/>
      <c r="B11071" s="3"/>
      <c r="C11071" s="3"/>
      <c r="D11071" s="3"/>
      <c r="E11071" s="3"/>
      <c r="F11071" s="3"/>
      <c r="G11071" s="3"/>
      <c r="H11071" s="11"/>
      <c r="I11071" s="12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  <c r="AA11071" s="3"/>
      <c r="AB11071" s="3"/>
      <c r="AC11071" s="3"/>
      <c r="AD11071" s="3"/>
      <c r="AE11071" s="3"/>
      <c r="AF11071" s="3"/>
      <c r="AG11071" s="3"/>
      <c r="AH11071" s="3"/>
    </row>
    <row r="11072" spans="1:34" ht="14.25" customHeight="1" x14ac:dyDescent="0.25">
      <c r="A11072" s="3"/>
      <c r="B11072" s="3"/>
      <c r="C11072" s="3"/>
      <c r="D11072" s="3"/>
      <c r="E11072" s="3"/>
      <c r="F11072" s="3"/>
      <c r="G11072" s="3"/>
      <c r="H11072" s="11"/>
      <c r="I11072" s="12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  <c r="AA11072" s="3"/>
      <c r="AB11072" s="3"/>
      <c r="AC11072" s="3"/>
      <c r="AD11072" s="3"/>
      <c r="AE11072" s="3"/>
      <c r="AF11072" s="3"/>
      <c r="AG11072" s="3"/>
      <c r="AH11072" s="3"/>
    </row>
    <row r="11073" spans="1:34" ht="14.25" customHeight="1" x14ac:dyDescent="0.25">
      <c r="A11073" s="3"/>
      <c r="B11073" s="3"/>
      <c r="C11073" s="3"/>
      <c r="D11073" s="3"/>
      <c r="E11073" s="3"/>
      <c r="F11073" s="3"/>
      <c r="G11073" s="3"/>
      <c r="H11073" s="11"/>
      <c r="I11073" s="12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  <c r="AA11073" s="3"/>
      <c r="AB11073" s="3"/>
      <c r="AC11073" s="3"/>
      <c r="AD11073" s="3"/>
      <c r="AE11073" s="3"/>
      <c r="AF11073" s="3"/>
      <c r="AG11073" s="3"/>
      <c r="AH11073" s="3"/>
    </row>
    <row r="11074" spans="1:34" ht="14.25" customHeight="1" x14ac:dyDescent="0.25">
      <c r="A11074" s="3"/>
      <c r="B11074" s="3"/>
      <c r="C11074" s="3"/>
      <c r="D11074" s="3"/>
      <c r="E11074" s="3"/>
      <c r="F11074" s="3"/>
      <c r="G11074" s="3"/>
      <c r="H11074" s="11"/>
      <c r="I11074" s="12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  <c r="AA11074" s="3"/>
      <c r="AB11074" s="3"/>
      <c r="AC11074" s="3"/>
      <c r="AD11074" s="3"/>
      <c r="AE11074" s="3"/>
      <c r="AF11074" s="3"/>
      <c r="AG11074" s="3"/>
      <c r="AH11074" s="3"/>
    </row>
    <row r="11075" spans="1:34" ht="14.25" customHeight="1" x14ac:dyDescent="0.25">
      <c r="A11075" s="3"/>
      <c r="B11075" s="3"/>
      <c r="C11075" s="3"/>
      <c r="D11075" s="3"/>
      <c r="E11075" s="3"/>
      <c r="F11075" s="3"/>
      <c r="G11075" s="3"/>
      <c r="H11075" s="11"/>
      <c r="I11075" s="12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  <c r="AA11075" s="3"/>
      <c r="AB11075" s="3"/>
      <c r="AC11075" s="3"/>
      <c r="AD11075" s="3"/>
      <c r="AE11075" s="3"/>
      <c r="AF11075" s="3"/>
      <c r="AG11075" s="3"/>
      <c r="AH11075" s="3"/>
    </row>
    <row r="11076" spans="1:34" ht="14.25" customHeight="1" x14ac:dyDescent="0.25">
      <c r="A11076" s="3"/>
      <c r="B11076" s="3"/>
      <c r="C11076" s="3"/>
      <c r="D11076" s="3"/>
      <c r="E11076" s="3"/>
      <c r="F11076" s="3"/>
      <c r="G11076" s="3"/>
      <c r="H11076" s="11"/>
      <c r="I11076" s="12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  <c r="AA11076" s="3"/>
      <c r="AB11076" s="3"/>
      <c r="AC11076" s="3"/>
      <c r="AD11076" s="3"/>
      <c r="AE11076" s="3"/>
      <c r="AF11076" s="3"/>
      <c r="AG11076" s="3"/>
      <c r="AH11076" s="3"/>
    </row>
    <row r="11077" spans="1:34" ht="14.25" customHeight="1" x14ac:dyDescent="0.25">
      <c r="A11077" s="3"/>
      <c r="B11077" s="3"/>
      <c r="C11077" s="3"/>
      <c r="D11077" s="3"/>
      <c r="E11077" s="3"/>
      <c r="F11077" s="3"/>
      <c r="G11077" s="3"/>
      <c r="H11077" s="11"/>
      <c r="I11077" s="12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  <c r="AA11077" s="3"/>
      <c r="AB11077" s="3"/>
      <c r="AC11077" s="3"/>
      <c r="AD11077" s="3"/>
      <c r="AE11077" s="3"/>
      <c r="AF11077" s="3"/>
      <c r="AG11077" s="3"/>
      <c r="AH11077" s="3"/>
    </row>
    <row r="11078" spans="1:34" ht="14.25" customHeight="1" x14ac:dyDescent="0.25">
      <c r="A11078" s="3"/>
      <c r="B11078" s="3"/>
      <c r="C11078" s="3"/>
      <c r="D11078" s="3"/>
      <c r="E11078" s="3"/>
      <c r="F11078" s="3"/>
      <c r="G11078" s="3"/>
      <c r="H11078" s="11"/>
      <c r="I11078" s="12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  <c r="AA11078" s="3"/>
      <c r="AB11078" s="3"/>
      <c r="AC11078" s="3"/>
      <c r="AD11078" s="3"/>
      <c r="AE11078" s="3"/>
      <c r="AF11078" s="3"/>
      <c r="AG11078" s="3"/>
      <c r="AH11078" s="3"/>
    </row>
    <row r="11079" spans="1:34" ht="14.25" customHeight="1" x14ac:dyDescent="0.25">
      <c r="A11079" s="3"/>
      <c r="B11079" s="3"/>
      <c r="C11079" s="3"/>
      <c r="D11079" s="3"/>
      <c r="E11079" s="3"/>
      <c r="F11079" s="3"/>
      <c r="G11079" s="3"/>
      <c r="H11079" s="11"/>
      <c r="I11079" s="12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  <c r="AA11079" s="3"/>
      <c r="AB11079" s="3"/>
      <c r="AC11079" s="3"/>
      <c r="AD11079" s="3"/>
      <c r="AE11079" s="3"/>
      <c r="AF11079" s="3"/>
      <c r="AG11079" s="3"/>
      <c r="AH11079" s="3"/>
    </row>
    <row r="11080" spans="1:34" ht="14.25" customHeight="1" x14ac:dyDescent="0.25">
      <c r="A11080" s="3"/>
      <c r="B11080" s="3"/>
      <c r="C11080" s="3"/>
      <c r="D11080" s="3"/>
      <c r="E11080" s="3"/>
      <c r="F11080" s="3"/>
      <c r="G11080" s="3"/>
      <c r="H11080" s="11"/>
      <c r="I11080" s="12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  <c r="AA11080" s="3"/>
      <c r="AB11080" s="3"/>
      <c r="AC11080" s="3"/>
      <c r="AD11080" s="3"/>
      <c r="AE11080" s="3"/>
      <c r="AF11080" s="3"/>
      <c r="AG11080" s="3"/>
      <c r="AH11080" s="3"/>
    </row>
    <row r="11081" spans="1:34" ht="14.25" customHeight="1" x14ac:dyDescent="0.25">
      <c r="A11081" s="3"/>
      <c r="B11081" s="3"/>
      <c r="C11081" s="3"/>
      <c r="D11081" s="3"/>
      <c r="E11081" s="3"/>
      <c r="F11081" s="3"/>
      <c r="G11081" s="3"/>
      <c r="H11081" s="11"/>
      <c r="I11081" s="12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  <c r="AA11081" s="3"/>
      <c r="AB11081" s="3"/>
      <c r="AC11081" s="3"/>
      <c r="AD11081" s="3"/>
      <c r="AE11081" s="3"/>
      <c r="AF11081" s="3"/>
      <c r="AG11081" s="3"/>
      <c r="AH11081" s="3"/>
    </row>
    <row r="11082" spans="1:34" ht="14.25" customHeight="1" x14ac:dyDescent="0.25">
      <c r="A11082" s="3"/>
      <c r="B11082" s="3"/>
      <c r="C11082" s="3"/>
      <c r="D11082" s="3"/>
      <c r="E11082" s="3"/>
      <c r="F11082" s="3"/>
      <c r="G11082" s="3"/>
      <c r="H11082" s="11"/>
      <c r="I11082" s="12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  <c r="AA11082" s="3"/>
      <c r="AB11082" s="3"/>
      <c r="AC11082" s="3"/>
      <c r="AD11082" s="3"/>
      <c r="AE11082" s="3"/>
      <c r="AF11082" s="3"/>
      <c r="AG11082" s="3"/>
      <c r="AH11082" s="3"/>
    </row>
    <row r="11083" spans="1:34" ht="14.25" customHeight="1" x14ac:dyDescent="0.25">
      <c r="A11083" s="3"/>
      <c r="B11083" s="3"/>
      <c r="C11083" s="3"/>
      <c r="D11083" s="3"/>
      <c r="E11083" s="3"/>
      <c r="F11083" s="3"/>
      <c r="G11083" s="3"/>
      <c r="H11083" s="11"/>
      <c r="I11083" s="12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  <c r="AA11083" s="3"/>
      <c r="AB11083" s="3"/>
      <c r="AC11083" s="3"/>
      <c r="AD11083" s="3"/>
      <c r="AE11083" s="3"/>
      <c r="AF11083" s="3"/>
      <c r="AG11083" s="3"/>
      <c r="AH11083" s="3"/>
    </row>
    <row r="11084" spans="1:34" ht="14.25" customHeight="1" x14ac:dyDescent="0.25">
      <c r="A11084" s="3"/>
      <c r="B11084" s="3"/>
      <c r="C11084" s="3"/>
      <c r="D11084" s="3"/>
      <c r="E11084" s="3"/>
      <c r="F11084" s="3"/>
      <c r="G11084" s="3"/>
      <c r="H11084" s="11"/>
      <c r="I11084" s="12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  <c r="AA11084" s="3"/>
      <c r="AB11084" s="3"/>
      <c r="AC11084" s="3"/>
      <c r="AD11084" s="3"/>
      <c r="AE11084" s="3"/>
      <c r="AF11084" s="3"/>
      <c r="AG11084" s="3"/>
      <c r="AH11084" s="3"/>
    </row>
    <row r="11085" spans="1:34" ht="14.25" customHeight="1" x14ac:dyDescent="0.25">
      <c r="A11085" s="3"/>
      <c r="B11085" s="3"/>
      <c r="C11085" s="3"/>
      <c r="D11085" s="3"/>
      <c r="E11085" s="3"/>
      <c r="F11085" s="3"/>
      <c r="G11085" s="3"/>
      <c r="H11085" s="11"/>
      <c r="I11085" s="12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  <c r="AA11085" s="3"/>
      <c r="AB11085" s="3"/>
      <c r="AC11085" s="3"/>
      <c r="AD11085" s="3"/>
      <c r="AE11085" s="3"/>
      <c r="AF11085" s="3"/>
      <c r="AG11085" s="3"/>
      <c r="AH11085" s="3"/>
    </row>
    <row r="11086" spans="1:34" ht="14.25" customHeight="1" x14ac:dyDescent="0.25">
      <c r="A11086" s="3"/>
      <c r="B11086" s="3"/>
      <c r="C11086" s="3"/>
      <c r="D11086" s="3"/>
      <c r="E11086" s="3"/>
      <c r="F11086" s="3"/>
      <c r="G11086" s="3"/>
      <c r="H11086" s="11"/>
      <c r="I11086" s="12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  <c r="AA11086" s="3"/>
      <c r="AB11086" s="3"/>
      <c r="AC11086" s="3"/>
      <c r="AD11086" s="3"/>
      <c r="AE11086" s="3"/>
      <c r="AF11086" s="3"/>
      <c r="AG11086" s="3"/>
      <c r="AH11086" s="3"/>
    </row>
    <row r="11087" spans="1:34" ht="14.25" customHeight="1" x14ac:dyDescent="0.25">
      <c r="A11087" s="3"/>
      <c r="B11087" s="3"/>
      <c r="C11087" s="3"/>
      <c r="D11087" s="3"/>
      <c r="E11087" s="3"/>
      <c r="F11087" s="3"/>
      <c r="G11087" s="3"/>
      <c r="H11087" s="11"/>
      <c r="I11087" s="12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  <c r="AA11087" s="3"/>
      <c r="AB11087" s="3"/>
      <c r="AC11087" s="3"/>
      <c r="AD11087" s="3"/>
      <c r="AE11087" s="3"/>
      <c r="AF11087" s="3"/>
      <c r="AG11087" s="3"/>
      <c r="AH11087" s="3"/>
    </row>
    <row r="11088" spans="1:34" ht="14.25" customHeight="1" x14ac:dyDescent="0.25">
      <c r="A11088" s="3"/>
      <c r="B11088" s="3"/>
      <c r="C11088" s="3"/>
      <c r="D11088" s="3"/>
      <c r="E11088" s="3"/>
      <c r="F11088" s="3"/>
      <c r="G11088" s="3"/>
      <c r="H11088" s="11"/>
      <c r="I11088" s="12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  <c r="AA11088" s="3"/>
      <c r="AB11088" s="3"/>
      <c r="AC11088" s="3"/>
      <c r="AD11088" s="3"/>
      <c r="AE11088" s="3"/>
      <c r="AF11088" s="3"/>
      <c r="AG11088" s="3"/>
      <c r="AH11088" s="3"/>
    </row>
    <row r="11089" spans="1:34" ht="14.25" customHeight="1" x14ac:dyDescent="0.25">
      <c r="A11089" s="3"/>
      <c r="B11089" s="3"/>
      <c r="C11089" s="3"/>
      <c r="D11089" s="3"/>
      <c r="E11089" s="3"/>
      <c r="F11089" s="3"/>
      <c r="G11089" s="3"/>
      <c r="H11089" s="11"/>
      <c r="I11089" s="12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  <c r="AA11089" s="3"/>
      <c r="AB11089" s="3"/>
      <c r="AC11089" s="3"/>
      <c r="AD11089" s="3"/>
      <c r="AE11089" s="3"/>
      <c r="AF11089" s="3"/>
      <c r="AG11089" s="3"/>
      <c r="AH11089" s="3"/>
    </row>
    <row r="11090" spans="1:34" ht="14.25" customHeight="1" x14ac:dyDescent="0.25">
      <c r="A11090" s="3"/>
      <c r="B11090" s="3"/>
      <c r="C11090" s="3"/>
      <c r="D11090" s="3"/>
      <c r="E11090" s="3"/>
      <c r="F11090" s="3"/>
      <c r="G11090" s="3"/>
      <c r="H11090" s="11"/>
      <c r="I11090" s="12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  <c r="AA11090" s="3"/>
      <c r="AB11090" s="3"/>
      <c r="AC11090" s="3"/>
      <c r="AD11090" s="3"/>
      <c r="AE11090" s="3"/>
      <c r="AF11090" s="3"/>
      <c r="AG11090" s="3"/>
      <c r="AH11090" s="3"/>
    </row>
    <row r="11091" spans="1:34" ht="14.25" customHeight="1" x14ac:dyDescent="0.25">
      <c r="A11091" s="3"/>
      <c r="B11091" s="3"/>
      <c r="C11091" s="3"/>
      <c r="D11091" s="3"/>
      <c r="E11091" s="3"/>
      <c r="F11091" s="3"/>
      <c r="G11091" s="3"/>
      <c r="H11091" s="11"/>
      <c r="I11091" s="12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  <c r="AA11091" s="3"/>
      <c r="AB11091" s="3"/>
      <c r="AC11091" s="3"/>
      <c r="AD11091" s="3"/>
      <c r="AE11091" s="3"/>
      <c r="AF11091" s="3"/>
      <c r="AG11091" s="3"/>
      <c r="AH11091" s="3"/>
    </row>
    <row r="11092" spans="1:34" ht="14.25" customHeight="1" x14ac:dyDescent="0.25">
      <c r="A11092" s="3"/>
      <c r="B11092" s="3"/>
      <c r="C11092" s="3"/>
      <c r="D11092" s="3"/>
      <c r="E11092" s="3"/>
      <c r="F11092" s="3"/>
      <c r="G11092" s="3"/>
      <c r="H11092" s="11"/>
      <c r="I11092" s="12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  <c r="AA11092" s="3"/>
      <c r="AB11092" s="3"/>
      <c r="AC11092" s="3"/>
      <c r="AD11092" s="3"/>
      <c r="AE11092" s="3"/>
      <c r="AF11092" s="3"/>
      <c r="AG11092" s="3"/>
      <c r="AH11092" s="3"/>
    </row>
    <row r="11093" spans="1:34" ht="14.25" customHeight="1" x14ac:dyDescent="0.25">
      <c r="A11093" s="3"/>
      <c r="B11093" s="3"/>
      <c r="C11093" s="3"/>
      <c r="D11093" s="3"/>
      <c r="E11093" s="3"/>
      <c r="F11093" s="3"/>
      <c r="G11093" s="3"/>
      <c r="H11093" s="11"/>
      <c r="I11093" s="12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  <c r="AA11093" s="3"/>
      <c r="AB11093" s="3"/>
      <c r="AC11093" s="3"/>
      <c r="AD11093" s="3"/>
      <c r="AE11093" s="3"/>
      <c r="AF11093" s="3"/>
      <c r="AG11093" s="3"/>
      <c r="AH11093" s="3"/>
    </row>
    <row r="11094" spans="1:34" ht="14.25" customHeight="1" x14ac:dyDescent="0.25">
      <c r="A11094" s="3"/>
      <c r="B11094" s="3"/>
      <c r="C11094" s="3"/>
      <c r="D11094" s="3"/>
      <c r="E11094" s="3"/>
      <c r="F11094" s="3"/>
      <c r="G11094" s="3"/>
      <c r="H11094" s="11"/>
      <c r="I11094" s="12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  <c r="AA11094" s="3"/>
      <c r="AB11094" s="3"/>
      <c r="AC11094" s="3"/>
      <c r="AD11094" s="3"/>
      <c r="AE11094" s="3"/>
      <c r="AF11094" s="3"/>
      <c r="AG11094" s="3"/>
      <c r="AH11094" s="3"/>
    </row>
    <row r="11095" spans="1:34" ht="14.25" customHeight="1" x14ac:dyDescent="0.25">
      <c r="A11095" s="3"/>
      <c r="B11095" s="3"/>
      <c r="C11095" s="3"/>
      <c r="D11095" s="3"/>
      <c r="E11095" s="3"/>
      <c r="F11095" s="3"/>
      <c r="G11095" s="3"/>
      <c r="H11095" s="11"/>
      <c r="I11095" s="12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  <c r="AA11095" s="3"/>
      <c r="AB11095" s="3"/>
      <c r="AC11095" s="3"/>
      <c r="AD11095" s="3"/>
      <c r="AE11095" s="3"/>
      <c r="AF11095" s="3"/>
      <c r="AG11095" s="3"/>
      <c r="AH11095" s="3"/>
    </row>
    <row r="11096" spans="1:34" ht="14.25" customHeight="1" x14ac:dyDescent="0.25">
      <c r="A11096" s="3"/>
      <c r="B11096" s="3"/>
      <c r="C11096" s="3"/>
      <c r="D11096" s="3"/>
      <c r="E11096" s="3"/>
      <c r="F11096" s="3"/>
      <c r="G11096" s="3"/>
      <c r="H11096" s="11"/>
      <c r="I11096" s="12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  <c r="AA11096" s="3"/>
      <c r="AB11096" s="3"/>
      <c r="AC11096" s="3"/>
      <c r="AD11096" s="3"/>
      <c r="AE11096" s="3"/>
      <c r="AF11096" s="3"/>
      <c r="AG11096" s="3"/>
      <c r="AH11096" s="3"/>
    </row>
    <row r="11097" spans="1:34" ht="14.25" customHeight="1" x14ac:dyDescent="0.25">
      <c r="A11097" s="3"/>
      <c r="B11097" s="3"/>
      <c r="C11097" s="3"/>
      <c r="D11097" s="3"/>
      <c r="E11097" s="3"/>
      <c r="F11097" s="3"/>
      <c r="G11097" s="3"/>
      <c r="H11097" s="11"/>
      <c r="I11097" s="12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  <c r="AA11097" s="3"/>
      <c r="AB11097" s="3"/>
      <c r="AC11097" s="3"/>
      <c r="AD11097" s="3"/>
      <c r="AE11097" s="3"/>
      <c r="AF11097" s="3"/>
      <c r="AG11097" s="3"/>
      <c r="AH11097" s="3"/>
    </row>
    <row r="11098" spans="1:34" ht="14.25" customHeight="1" x14ac:dyDescent="0.25">
      <c r="A11098" s="3"/>
      <c r="B11098" s="3"/>
      <c r="C11098" s="3"/>
      <c r="D11098" s="3"/>
      <c r="E11098" s="3"/>
      <c r="F11098" s="3"/>
      <c r="G11098" s="3"/>
      <c r="H11098" s="11"/>
      <c r="I11098" s="12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  <c r="AA11098" s="3"/>
      <c r="AB11098" s="3"/>
      <c r="AC11098" s="3"/>
      <c r="AD11098" s="3"/>
      <c r="AE11098" s="3"/>
      <c r="AF11098" s="3"/>
      <c r="AG11098" s="3"/>
      <c r="AH11098" s="3"/>
    </row>
    <row r="11099" spans="1:34" ht="14.25" customHeight="1" x14ac:dyDescent="0.25">
      <c r="A11099" s="3"/>
      <c r="B11099" s="3"/>
      <c r="C11099" s="3"/>
      <c r="D11099" s="3"/>
      <c r="E11099" s="3"/>
      <c r="F11099" s="3"/>
      <c r="G11099" s="3"/>
      <c r="H11099" s="11"/>
      <c r="I11099" s="12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  <c r="AA11099" s="3"/>
      <c r="AB11099" s="3"/>
      <c r="AC11099" s="3"/>
      <c r="AD11099" s="3"/>
      <c r="AE11099" s="3"/>
      <c r="AF11099" s="3"/>
      <c r="AG11099" s="3"/>
      <c r="AH11099" s="3"/>
    </row>
    <row r="11100" spans="1:34" ht="14.25" customHeight="1" x14ac:dyDescent="0.25">
      <c r="A11100" s="3"/>
      <c r="B11100" s="3"/>
      <c r="C11100" s="3"/>
      <c r="D11100" s="3"/>
      <c r="E11100" s="3"/>
      <c r="F11100" s="3"/>
      <c r="G11100" s="3"/>
      <c r="H11100" s="11"/>
      <c r="I11100" s="12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  <c r="AA11100" s="3"/>
      <c r="AB11100" s="3"/>
      <c r="AC11100" s="3"/>
      <c r="AD11100" s="3"/>
      <c r="AE11100" s="3"/>
      <c r="AF11100" s="3"/>
      <c r="AG11100" s="3"/>
      <c r="AH11100" s="3"/>
    </row>
    <row r="11101" spans="1:34" ht="14.25" customHeight="1" x14ac:dyDescent="0.25">
      <c r="A11101" s="3"/>
      <c r="B11101" s="3"/>
      <c r="C11101" s="3"/>
      <c r="D11101" s="3"/>
      <c r="E11101" s="3"/>
      <c r="F11101" s="3"/>
      <c r="G11101" s="3"/>
      <c r="H11101" s="11"/>
      <c r="I11101" s="12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  <c r="AA11101" s="3"/>
      <c r="AB11101" s="3"/>
      <c r="AC11101" s="3"/>
      <c r="AD11101" s="3"/>
      <c r="AE11101" s="3"/>
      <c r="AF11101" s="3"/>
      <c r="AG11101" s="3"/>
      <c r="AH11101" s="3"/>
    </row>
    <row r="11102" spans="1:34" ht="14.25" customHeight="1" x14ac:dyDescent="0.25">
      <c r="A11102" s="3"/>
      <c r="B11102" s="3"/>
      <c r="C11102" s="3"/>
      <c r="D11102" s="3"/>
      <c r="E11102" s="3"/>
      <c r="F11102" s="3"/>
      <c r="G11102" s="3"/>
      <c r="H11102" s="11"/>
      <c r="I11102" s="12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  <c r="AA11102" s="3"/>
      <c r="AB11102" s="3"/>
      <c r="AC11102" s="3"/>
      <c r="AD11102" s="3"/>
      <c r="AE11102" s="3"/>
      <c r="AF11102" s="3"/>
      <c r="AG11102" s="3"/>
      <c r="AH11102" s="3"/>
    </row>
    <row r="11103" spans="1:34" ht="14.25" customHeight="1" x14ac:dyDescent="0.25">
      <c r="A11103" s="3"/>
      <c r="B11103" s="3"/>
      <c r="C11103" s="3"/>
      <c r="D11103" s="3"/>
      <c r="E11103" s="3"/>
      <c r="F11103" s="3"/>
      <c r="G11103" s="3"/>
      <c r="H11103" s="11"/>
      <c r="I11103" s="12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  <c r="AA11103" s="3"/>
      <c r="AB11103" s="3"/>
      <c r="AC11103" s="3"/>
      <c r="AD11103" s="3"/>
      <c r="AE11103" s="3"/>
      <c r="AF11103" s="3"/>
      <c r="AG11103" s="3"/>
      <c r="AH11103" s="3"/>
    </row>
    <row r="11104" spans="1:34" ht="14.25" customHeight="1" x14ac:dyDescent="0.25">
      <c r="A11104" s="3"/>
      <c r="B11104" s="3"/>
      <c r="C11104" s="3"/>
      <c r="D11104" s="3"/>
      <c r="E11104" s="3"/>
      <c r="F11104" s="3"/>
      <c r="G11104" s="3"/>
      <c r="H11104" s="11"/>
      <c r="I11104" s="12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  <c r="AA11104" s="3"/>
      <c r="AB11104" s="3"/>
      <c r="AC11104" s="3"/>
      <c r="AD11104" s="3"/>
      <c r="AE11104" s="3"/>
      <c r="AF11104" s="3"/>
      <c r="AG11104" s="3"/>
      <c r="AH11104" s="3"/>
    </row>
    <row r="11105" spans="1:34" ht="14.25" customHeight="1" x14ac:dyDescent="0.25">
      <c r="A11105" s="3"/>
      <c r="B11105" s="3"/>
      <c r="C11105" s="3"/>
      <c r="D11105" s="3"/>
      <c r="E11105" s="3"/>
      <c r="F11105" s="3"/>
      <c r="G11105" s="3"/>
      <c r="H11105" s="11"/>
      <c r="I11105" s="12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  <c r="AA11105" s="3"/>
      <c r="AB11105" s="3"/>
      <c r="AC11105" s="3"/>
      <c r="AD11105" s="3"/>
      <c r="AE11105" s="3"/>
      <c r="AF11105" s="3"/>
      <c r="AG11105" s="3"/>
      <c r="AH11105" s="3"/>
    </row>
    <row r="11106" spans="1:34" ht="14.25" customHeight="1" x14ac:dyDescent="0.25">
      <c r="A11106" s="3"/>
      <c r="B11106" s="3"/>
      <c r="C11106" s="3"/>
      <c r="D11106" s="3"/>
      <c r="E11106" s="3"/>
      <c r="F11106" s="3"/>
      <c r="G11106" s="3"/>
      <c r="H11106" s="11"/>
      <c r="I11106" s="12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  <c r="AA11106" s="3"/>
      <c r="AB11106" s="3"/>
      <c r="AC11106" s="3"/>
      <c r="AD11106" s="3"/>
      <c r="AE11106" s="3"/>
      <c r="AF11106" s="3"/>
      <c r="AG11106" s="3"/>
      <c r="AH11106" s="3"/>
    </row>
    <row r="11107" spans="1:34" ht="14.25" customHeight="1" x14ac:dyDescent="0.25">
      <c r="A11107" s="3"/>
      <c r="B11107" s="3"/>
      <c r="C11107" s="3"/>
      <c r="D11107" s="3"/>
      <c r="E11107" s="3"/>
      <c r="F11107" s="3"/>
      <c r="G11107" s="3"/>
      <c r="H11107" s="11"/>
      <c r="I11107" s="12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  <c r="AA11107" s="3"/>
      <c r="AB11107" s="3"/>
      <c r="AC11107" s="3"/>
      <c r="AD11107" s="3"/>
      <c r="AE11107" s="3"/>
      <c r="AF11107" s="3"/>
      <c r="AG11107" s="3"/>
      <c r="AH11107" s="3"/>
    </row>
    <row r="11108" spans="1:34" ht="14.25" customHeight="1" x14ac:dyDescent="0.25">
      <c r="A11108" s="3"/>
      <c r="B11108" s="3"/>
      <c r="C11108" s="3"/>
      <c r="D11108" s="3"/>
      <c r="E11108" s="3"/>
      <c r="F11108" s="3"/>
      <c r="G11108" s="3"/>
      <c r="H11108" s="11"/>
      <c r="I11108" s="12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  <c r="AA11108" s="3"/>
      <c r="AB11108" s="3"/>
      <c r="AC11108" s="3"/>
      <c r="AD11108" s="3"/>
      <c r="AE11108" s="3"/>
      <c r="AF11108" s="3"/>
      <c r="AG11108" s="3"/>
      <c r="AH11108" s="3"/>
    </row>
    <row r="11109" spans="1:34" ht="14.25" customHeight="1" x14ac:dyDescent="0.25">
      <c r="A11109" s="3"/>
      <c r="B11109" s="3"/>
      <c r="C11109" s="3"/>
      <c r="D11109" s="3"/>
      <c r="E11109" s="3"/>
      <c r="F11109" s="3"/>
      <c r="G11109" s="3"/>
      <c r="H11109" s="11"/>
      <c r="I11109" s="12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  <c r="AA11109" s="3"/>
      <c r="AB11109" s="3"/>
      <c r="AC11109" s="3"/>
      <c r="AD11109" s="3"/>
      <c r="AE11109" s="3"/>
      <c r="AF11109" s="3"/>
      <c r="AG11109" s="3"/>
      <c r="AH11109" s="3"/>
    </row>
    <row r="11110" spans="1:34" ht="14.25" customHeight="1" x14ac:dyDescent="0.25">
      <c r="A11110" s="3"/>
      <c r="B11110" s="3"/>
      <c r="C11110" s="3"/>
      <c r="D11110" s="3"/>
      <c r="E11110" s="3"/>
      <c r="F11110" s="3"/>
      <c r="G11110" s="3"/>
      <c r="H11110" s="11"/>
      <c r="I11110" s="12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  <c r="AA11110" s="3"/>
      <c r="AB11110" s="3"/>
      <c r="AC11110" s="3"/>
      <c r="AD11110" s="3"/>
      <c r="AE11110" s="3"/>
      <c r="AF11110" s="3"/>
      <c r="AG11110" s="3"/>
      <c r="AH11110" s="3"/>
    </row>
    <row r="11111" spans="1:34" ht="14.25" customHeight="1" x14ac:dyDescent="0.25">
      <c r="A11111" s="3"/>
      <c r="B11111" s="3"/>
      <c r="C11111" s="3"/>
      <c r="D11111" s="3"/>
      <c r="E11111" s="3"/>
      <c r="F11111" s="3"/>
      <c r="G11111" s="3"/>
      <c r="H11111" s="11"/>
      <c r="I11111" s="12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  <c r="AA11111" s="3"/>
      <c r="AB11111" s="3"/>
      <c r="AC11111" s="3"/>
      <c r="AD11111" s="3"/>
      <c r="AE11111" s="3"/>
      <c r="AF11111" s="3"/>
      <c r="AG11111" s="3"/>
      <c r="AH11111" s="3"/>
    </row>
    <row r="11112" spans="1:34" ht="14.25" customHeight="1" x14ac:dyDescent="0.25">
      <c r="A11112" s="3"/>
      <c r="B11112" s="3"/>
      <c r="C11112" s="3"/>
      <c r="D11112" s="3"/>
      <c r="E11112" s="3"/>
      <c r="F11112" s="3"/>
      <c r="G11112" s="3"/>
      <c r="H11112" s="11"/>
      <c r="I11112" s="12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  <c r="AA11112" s="3"/>
      <c r="AB11112" s="3"/>
      <c r="AC11112" s="3"/>
      <c r="AD11112" s="3"/>
      <c r="AE11112" s="3"/>
      <c r="AF11112" s="3"/>
      <c r="AG11112" s="3"/>
      <c r="AH11112" s="3"/>
    </row>
    <row r="11113" spans="1:34" ht="14.25" customHeight="1" x14ac:dyDescent="0.25">
      <c r="A11113" s="3"/>
      <c r="B11113" s="3"/>
      <c r="C11113" s="3"/>
      <c r="D11113" s="3"/>
      <c r="E11113" s="3"/>
      <c r="F11113" s="3"/>
      <c r="G11113" s="3"/>
      <c r="H11113" s="11"/>
      <c r="I11113" s="12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  <c r="AA11113" s="3"/>
      <c r="AB11113" s="3"/>
      <c r="AC11113" s="3"/>
      <c r="AD11113" s="3"/>
      <c r="AE11113" s="3"/>
      <c r="AF11113" s="3"/>
      <c r="AG11113" s="3"/>
      <c r="AH11113" s="3"/>
    </row>
    <row r="11114" spans="1:34" ht="14.25" customHeight="1" x14ac:dyDescent="0.25">
      <c r="A11114" s="3"/>
      <c r="B11114" s="3"/>
      <c r="C11114" s="3"/>
      <c r="D11114" s="3"/>
      <c r="E11114" s="3"/>
      <c r="F11114" s="3"/>
      <c r="G11114" s="3"/>
      <c r="H11114" s="11"/>
      <c r="I11114" s="12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  <c r="AA11114" s="3"/>
      <c r="AB11114" s="3"/>
      <c r="AC11114" s="3"/>
      <c r="AD11114" s="3"/>
      <c r="AE11114" s="3"/>
      <c r="AF11114" s="3"/>
      <c r="AG11114" s="3"/>
      <c r="AH11114" s="3"/>
    </row>
    <row r="11115" spans="1:34" ht="14.25" customHeight="1" x14ac:dyDescent="0.25">
      <c r="A11115" s="3"/>
      <c r="B11115" s="3"/>
      <c r="C11115" s="3"/>
      <c r="D11115" s="3"/>
      <c r="E11115" s="3"/>
      <c r="F11115" s="3"/>
      <c r="G11115" s="3"/>
      <c r="H11115" s="11"/>
      <c r="I11115" s="12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  <c r="AA11115" s="3"/>
      <c r="AB11115" s="3"/>
      <c r="AC11115" s="3"/>
      <c r="AD11115" s="3"/>
      <c r="AE11115" s="3"/>
      <c r="AF11115" s="3"/>
      <c r="AG11115" s="3"/>
      <c r="AH11115" s="3"/>
    </row>
    <row r="11116" spans="1:34" ht="14.25" customHeight="1" x14ac:dyDescent="0.25">
      <c r="A11116" s="3"/>
      <c r="B11116" s="3"/>
      <c r="C11116" s="3"/>
      <c r="D11116" s="3"/>
      <c r="E11116" s="3"/>
      <c r="F11116" s="3"/>
      <c r="G11116" s="3"/>
      <c r="H11116" s="11"/>
      <c r="I11116" s="12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  <c r="AA11116" s="3"/>
      <c r="AB11116" s="3"/>
      <c r="AC11116" s="3"/>
      <c r="AD11116" s="3"/>
      <c r="AE11116" s="3"/>
      <c r="AF11116" s="3"/>
      <c r="AG11116" s="3"/>
      <c r="AH11116" s="3"/>
    </row>
    <row r="11117" spans="1:34" ht="14.25" customHeight="1" x14ac:dyDescent="0.25">
      <c r="A11117" s="3"/>
      <c r="B11117" s="3"/>
      <c r="C11117" s="3"/>
      <c r="D11117" s="3"/>
      <c r="E11117" s="3"/>
      <c r="F11117" s="3"/>
      <c r="G11117" s="3"/>
      <c r="H11117" s="11"/>
      <c r="I11117" s="12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  <c r="AA11117" s="3"/>
      <c r="AB11117" s="3"/>
      <c r="AC11117" s="3"/>
      <c r="AD11117" s="3"/>
      <c r="AE11117" s="3"/>
      <c r="AF11117" s="3"/>
      <c r="AG11117" s="3"/>
      <c r="AH11117" s="3"/>
    </row>
    <row r="11118" spans="1:34" ht="14.25" customHeight="1" x14ac:dyDescent="0.25">
      <c r="A11118" s="3"/>
      <c r="B11118" s="3"/>
      <c r="C11118" s="3"/>
      <c r="D11118" s="3"/>
      <c r="E11118" s="3"/>
      <c r="F11118" s="3"/>
      <c r="G11118" s="3"/>
      <c r="H11118" s="11"/>
      <c r="I11118" s="12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  <c r="AA11118" s="3"/>
      <c r="AB11118" s="3"/>
      <c r="AC11118" s="3"/>
      <c r="AD11118" s="3"/>
      <c r="AE11118" s="3"/>
      <c r="AF11118" s="3"/>
      <c r="AG11118" s="3"/>
      <c r="AH11118" s="3"/>
    </row>
    <row r="11119" spans="1:34" ht="14.25" customHeight="1" x14ac:dyDescent="0.25">
      <c r="A11119" s="3"/>
      <c r="B11119" s="3"/>
      <c r="C11119" s="3"/>
      <c r="D11119" s="3"/>
      <c r="E11119" s="3"/>
      <c r="F11119" s="3"/>
      <c r="G11119" s="3"/>
      <c r="H11119" s="11"/>
      <c r="I11119" s="12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  <c r="AA11119" s="3"/>
      <c r="AB11119" s="3"/>
      <c r="AC11119" s="3"/>
      <c r="AD11119" s="3"/>
      <c r="AE11119" s="3"/>
      <c r="AF11119" s="3"/>
      <c r="AG11119" s="3"/>
      <c r="AH11119" s="3"/>
    </row>
    <row r="11120" spans="1:34" ht="14.25" customHeight="1" x14ac:dyDescent="0.25">
      <c r="A11120" s="3"/>
      <c r="B11120" s="3"/>
      <c r="C11120" s="3"/>
      <c r="D11120" s="3"/>
      <c r="E11120" s="3"/>
      <c r="F11120" s="3"/>
      <c r="G11120" s="3"/>
      <c r="H11120" s="11"/>
      <c r="I11120" s="12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  <c r="AA11120" s="3"/>
      <c r="AB11120" s="3"/>
      <c r="AC11120" s="3"/>
      <c r="AD11120" s="3"/>
      <c r="AE11120" s="3"/>
      <c r="AF11120" s="3"/>
      <c r="AG11120" s="3"/>
      <c r="AH11120" s="3"/>
    </row>
    <row r="11121" spans="1:34" ht="14.25" customHeight="1" x14ac:dyDescent="0.25">
      <c r="A11121" s="3"/>
      <c r="B11121" s="3"/>
      <c r="C11121" s="3"/>
      <c r="D11121" s="3"/>
      <c r="E11121" s="3"/>
      <c r="F11121" s="3"/>
      <c r="G11121" s="3"/>
      <c r="H11121" s="11"/>
      <c r="I11121" s="12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  <c r="AA11121" s="3"/>
      <c r="AB11121" s="3"/>
      <c r="AC11121" s="3"/>
      <c r="AD11121" s="3"/>
      <c r="AE11121" s="3"/>
      <c r="AF11121" s="3"/>
      <c r="AG11121" s="3"/>
      <c r="AH11121" s="3"/>
    </row>
    <row r="11122" spans="1:34" ht="14.25" customHeight="1" x14ac:dyDescent="0.25">
      <c r="A11122" s="3"/>
      <c r="B11122" s="3"/>
      <c r="C11122" s="3"/>
      <c r="D11122" s="3"/>
      <c r="E11122" s="3"/>
      <c r="F11122" s="3"/>
      <c r="G11122" s="3"/>
      <c r="H11122" s="11"/>
      <c r="I11122" s="12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  <c r="AA11122" s="3"/>
      <c r="AB11122" s="3"/>
      <c r="AC11122" s="3"/>
      <c r="AD11122" s="3"/>
      <c r="AE11122" s="3"/>
      <c r="AF11122" s="3"/>
      <c r="AG11122" s="3"/>
      <c r="AH11122" s="3"/>
    </row>
    <row r="11123" spans="1:34" ht="14.25" customHeight="1" x14ac:dyDescent="0.25">
      <c r="A11123" s="3"/>
      <c r="B11123" s="3"/>
      <c r="C11123" s="3"/>
      <c r="D11123" s="3"/>
      <c r="E11123" s="3"/>
      <c r="F11123" s="3"/>
      <c r="G11123" s="3"/>
      <c r="H11123" s="11"/>
      <c r="I11123" s="12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  <c r="AA11123" s="3"/>
      <c r="AB11123" s="3"/>
      <c r="AC11123" s="3"/>
      <c r="AD11123" s="3"/>
      <c r="AE11123" s="3"/>
      <c r="AF11123" s="3"/>
      <c r="AG11123" s="3"/>
      <c r="AH11123" s="3"/>
    </row>
    <row r="11124" spans="1:34" ht="14.25" customHeight="1" x14ac:dyDescent="0.25">
      <c r="A11124" s="3"/>
      <c r="B11124" s="3"/>
      <c r="C11124" s="3"/>
      <c r="D11124" s="3"/>
      <c r="E11124" s="3"/>
      <c r="F11124" s="3"/>
      <c r="G11124" s="3"/>
      <c r="H11124" s="11"/>
      <c r="I11124" s="12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  <c r="AA11124" s="3"/>
      <c r="AB11124" s="3"/>
      <c r="AC11124" s="3"/>
      <c r="AD11124" s="3"/>
      <c r="AE11124" s="3"/>
      <c r="AF11124" s="3"/>
      <c r="AG11124" s="3"/>
      <c r="AH11124" s="3"/>
    </row>
    <row r="11125" spans="1:34" ht="14.25" customHeight="1" x14ac:dyDescent="0.25">
      <c r="A11125" s="3"/>
      <c r="B11125" s="3"/>
      <c r="C11125" s="3"/>
      <c r="D11125" s="3"/>
      <c r="E11125" s="3"/>
      <c r="F11125" s="3"/>
      <c r="G11125" s="3"/>
      <c r="H11125" s="11"/>
      <c r="I11125" s="12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  <c r="AA11125" s="3"/>
      <c r="AB11125" s="3"/>
      <c r="AC11125" s="3"/>
      <c r="AD11125" s="3"/>
      <c r="AE11125" s="3"/>
      <c r="AF11125" s="3"/>
      <c r="AG11125" s="3"/>
      <c r="AH11125" s="3"/>
    </row>
    <row r="11126" spans="1:34" ht="14.25" customHeight="1" x14ac:dyDescent="0.25">
      <c r="A11126" s="3"/>
      <c r="B11126" s="3"/>
      <c r="C11126" s="3"/>
      <c r="D11126" s="3"/>
      <c r="E11126" s="3"/>
      <c r="F11126" s="3"/>
      <c r="G11126" s="3"/>
      <c r="H11126" s="11"/>
      <c r="I11126" s="12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  <c r="AA11126" s="3"/>
      <c r="AB11126" s="3"/>
      <c r="AC11126" s="3"/>
      <c r="AD11126" s="3"/>
      <c r="AE11126" s="3"/>
      <c r="AF11126" s="3"/>
      <c r="AG11126" s="3"/>
      <c r="AH11126" s="3"/>
    </row>
    <row r="11127" spans="1:34" ht="14.25" customHeight="1" x14ac:dyDescent="0.25">
      <c r="A11127" s="3"/>
      <c r="B11127" s="3"/>
      <c r="C11127" s="3"/>
      <c r="D11127" s="3"/>
      <c r="E11127" s="3"/>
      <c r="F11127" s="3"/>
      <c r="G11127" s="3"/>
      <c r="H11127" s="11"/>
      <c r="I11127" s="12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  <c r="AA11127" s="3"/>
      <c r="AB11127" s="3"/>
      <c r="AC11127" s="3"/>
      <c r="AD11127" s="3"/>
      <c r="AE11127" s="3"/>
      <c r="AF11127" s="3"/>
      <c r="AG11127" s="3"/>
      <c r="AH11127" s="3"/>
    </row>
    <row r="11128" spans="1:34" ht="14.25" customHeight="1" x14ac:dyDescent="0.25">
      <c r="A11128" s="3"/>
      <c r="B11128" s="3"/>
      <c r="C11128" s="3"/>
      <c r="D11128" s="3"/>
      <c r="E11128" s="3"/>
      <c r="F11128" s="3"/>
      <c r="G11128" s="3"/>
      <c r="H11128" s="11"/>
      <c r="I11128" s="12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  <c r="AA11128" s="3"/>
      <c r="AB11128" s="3"/>
      <c r="AC11128" s="3"/>
      <c r="AD11128" s="3"/>
      <c r="AE11128" s="3"/>
      <c r="AF11128" s="3"/>
      <c r="AG11128" s="3"/>
      <c r="AH11128" s="3"/>
    </row>
    <row r="11129" spans="1:34" ht="14.25" customHeight="1" x14ac:dyDescent="0.25">
      <c r="A11129" s="3"/>
      <c r="B11129" s="3"/>
      <c r="C11129" s="3"/>
      <c r="D11129" s="3"/>
      <c r="E11129" s="3"/>
      <c r="F11129" s="3"/>
      <c r="G11129" s="3"/>
      <c r="H11129" s="11"/>
      <c r="I11129" s="12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  <c r="AA11129" s="3"/>
      <c r="AB11129" s="3"/>
      <c r="AC11129" s="3"/>
      <c r="AD11129" s="3"/>
      <c r="AE11129" s="3"/>
      <c r="AF11129" s="3"/>
      <c r="AG11129" s="3"/>
      <c r="AH11129" s="3"/>
    </row>
    <row r="11130" spans="1:34" ht="14.25" customHeight="1" x14ac:dyDescent="0.25">
      <c r="A11130" s="3"/>
      <c r="B11130" s="3"/>
      <c r="C11130" s="3"/>
      <c r="D11130" s="3"/>
      <c r="E11130" s="3"/>
      <c r="F11130" s="3"/>
      <c r="G11130" s="3"/>
      <c r="H11130" s="11"/>
      <c r="I11130" s="12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  <c r="AA11130" s="3"/>
      <c r="AB11130" s="3"/>
      <c r="AC11130" s="3"/>
      <c r="AD11130" s="3"/>
      <c r="AE11130" s="3"/>
      <c r="AF11130" s="3"/>
      <c r="AG11130" s="3"/>
      <c r="AH11130" s="3"/>
    </row>
    <row r="11131" spans="1:34" ht="14.25" customHeight="1" x14ac:dyDescent="0.25">
      <c r="A11131" s="3"/>
      <c r="B11131" s="3"/>
      <c r="C11131" s="3"/>
      <c r="D11131" s="3"/>
      <c r="E11131" s="3"/>
      <c r="F11131" s="3"/>
      <c r="G11131" s="3"/>
      <c r="H11131" s="11"/>
      <c r="I11131" s="12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  <c r="AA11131" s="3"/>
      <c r="AB11131" s="3"/>
      <c r="AC11131" s="3"/>
      <c r="AD11131" s="3"/>
      <c r="AE11131" s="3"/>
      <c r="AF11131" s="3"/>
      <c r="AG11131" s="3"/>
      <c r="AH11131" s="3"/>
    </row>
    <row r="11132" spans="1:34" ht="14.25" customHeight="1" x14ac:dyDescent="0.25">
      <c r="A11132" s="3"/>
      <c r="B11132" s="3"/>
      <c r="C11132" s="3"/>
      <c r="D11132" s="3"/>
      <c r="E11132" s="3"/>
      <c r="F11132" s="3"/>
      <c r="G11132" s="3"/>
      <c r="H11132" s="11"/>
      <c r="I11132" s="12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  <c r="AA11132" s="3"/>
      <c r="AB11132" s="3"/>
      <c r="AC11132" s="3"/>
      <c r="AD11132" s="3"/>
      <c r="AE11132" s="3"/>
      <c r="AF11132" s="3"/>
      <c r="AG11132" s="3"/>
      <c r="AH11132" s="3"/>
    </row>
    <row r="11133" spans="1:34" ht="14.25" customHeight="1" x14ac:dyDescent="0.25">
      <c r="A11133" s="3"/>
      <c r="B11133" s="3"/>
      <c r="C11133" s="3"/>
      <c r="D11133" s="3"/>
      <c r="E11133" s="3"/>
      <c r="F11133" s="3"/>
      <c r="G11133" s="3"/>
      <c r="H11133" s="11"/>
      <c r="I11133" s="12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  <c r="AA11133" s="3"/>
      <c r="AB11133" s="3"/>
      <c r="AC11133" s="3"/>
      <c r="AD11133" s="3"/>
      <c r="AE11133" s="3"/>
      <c r="AF11133" s="3"/>
      <c r="AG11133" s="3"/>
      <c r="AH11133" s="3"/>
    </row>
    <row r="11134" spans="1:34" ht="14.25" customHeight="1" x14ac:dyDescent="0.25">
      <c r="A11134" s="3"/>
      <c r="B11134" s="3"/>
      <c r="C11134" s="3"/>
      <c r="D11134" s="3"/>
      <c r="E11134" s="3"/>
      <c r="F11134" s="3"/>
      <c r="G11134" s="3"/>
      <c r="H11134" s="11"/>
      <c r="I11134" s="12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  <c r="AA11134" s="3"/>
      <c r="AB11134" s="3"/>
      <c r="AC11134" s="3"/>
      <c r="AD11134" s="3"/>
      <c r="AE11134" s="3"/>
      <c r="AF11134" s="3"/>
      <c r="AG11134" s="3"/>
      <c r="AH11134" s="3"/>
    </row>
    <row r="11135" spans="1:34" ht="14.25" customHeight="1" x14ac:dyDescent="0.25">
      <c r="A11135" s="3"/>
      <c r="B11135" s="3"/>
      <c r="C11135" s="3"/>
      <c r="D11135" s="3"/>
      <c r="E11135" s="3"/>
      <c r="F11135" s="3"/>
      <c r="G11135" s="3"/>
      <c r="H11135" s="11"/>
      <c r="I11135" s="12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  <c r="AA11135" s="3"/>
      <c r="AB11135" s="3"/>
      <c r="AC11135" s="3"/>
      <c r="AD11135" s="3"/>
      <c r="AE11135" s="3"/>
      <c r="AF11135" s="3"/>
      <c r="AG11135" s="3"/>
      <c r="AH11135" s="3"/>
    </row>
    <row r="11136" spans="1:34" ht="14.25" customHeight="1" x14ac:dyDescent="0.25">
      <c r="A11136" s="3"/>
      <c r="B11136" s="3"/>
      <c r="C11136" s="3"/>
      <c r="D11136" s="3"/>
      <c r="E11136" s="3"/>
      <c r="F11136" s="3"/>
      <c r="G11136" s="3"/>
      <c r="H11136" s="11"/>
      <c r="I11136" s="12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  <c r="AA11136" s="3"/>
      <c r="AB11136" s="3"/>
      <c r="AC11136" s="3"/>
      <c r="AD11136" s="3"/>
      <c r="AE11136" s="3"/>
      <c r="AF11136" s="3"/>
      <c r="AG11136" s="3"/>
      <c r="AH11136" s="3"/>
    </row>
    <row r="11137" spans="1:34" ht="14.25" customHeight="1" x14ac:dyDescent="0.25">
      <c r="A11137" s="3"/>
      <c r="B11137" s="3"/>
      <c r="C11137" s="3"/>
      <c r="D11137" s="3"/>
      <c r="E11137" s="3"/>
      <c r="F11137" s="3"/>
      <c r="G11137" s="3"/>
      <c r="H11137" s="11"/>
      <c r="I11137" s="12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  <c r="AA11137" s="3"/>
      <c r="AB11137" s="3"/>
      <c r="AC11137" s="3"/>
      <c r="AD11137" s="3"/>
      <c r="AE11137" s="3"/>
      <c r="AF11137" s="3"/>
      <c r="AG11137" s="3"/>
      <c r="AH11137" s="3"/>
    </row>
    <row r="11138" spans="1:34" ht="14.25" customHeight="1" x14ac:dyDescent="0.25">
      <c r="A11138" s="3"/>
      <c r="B11138" s="3"/>
      <c r="C11138" s="3"/>
      <c r="D11138" s="3"/>
      <c r="E11138" s="3"/>
      <c r="F11138" s="3"/>
      <c r="G11138" s="3"/>
      <c r="H11138" s="11"/>
      <c r="I11138" s="12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  <c r="AA11138" s="3"/>
      <c r="AB11138" s="3"/>
      <c r="AC11138" s="3"/>
      <c r="AD11138" s="3"/>
      <c r="AE11138" s="3"/>
      <c r="AF11138" s="3"/>
      <c r="AG11138" s="3"/>
      <c r="AH11138" s="3"/>
    </row>
    <row r="11139" spans="1:34" ht="14.25" customHeight="1" x14ac:dyDescent="0.25">
      <c r="A11139" s="3"/>
      <c r="B11139" s="3"/>
      <c r="C11139" s="3"/>
      <c r="D11139" s="3"/>
      <c r="E11139" s="3"/>
      <c r="F11139" s="3"/>
      <c r="G11139" s="3"/>
      <c r="H11139" s="11"/>
      <c r="I11139" s="12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  <c r="AA11139" s="3"/>
      <c r="AB11139" s="3"/>
      <c r="AC11139" s="3"/>
      <c r="AD11139" s="3"/>
      <c r="AE11139" s="3"/>
      <c r="AF11139" s="3"/>
      <c r="AG11139" s="3"/>
      <c r="AH11139" s="3"/>
    </row>
    <row r="11140" spans="1:34" ht="14.25" customHeight="1" x14ac:dyDescent="0.25">
      <c r="A11140" s="3"/>
      <c r="B11140" s="3"/>
      <c r="C11140" s="3"/>
      <c r="D11140" s="3"/>
      <c r="E11140" s="3"/>
      <c r="F11140" s="3"/>
      <c r="G11140" s="3"/>
      <c r="H11140" s="11"/>
      <c r="I11140" s="12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  <c r="AA11140" s="3"/>
      <c r="AB11140" s="3"/>
      <c r="AC11140" s="3"/>
      <c r="AD11140" s="3"/>
      <c r="AE11140" s="3"/>
      <c r="AF11140" s="3"/>
      <c r="AG11140" s="3"/>
      <c r="AH11140" s="3"/>
    </row>
    <row r="11141" spans="1:34" ht="14.25" customHeight="1" x14ac:dyDescent="0.25">
      <c r="A11141" s="3"/>
      <c r="B11141" s="3"/>
      <c r="C11141" s="3"/>
      <c r="D11141" s="3"/>
      <c r="E11141" s="3"/>
      <c r="F11141" s="3"/>
      <c r="G11141" s="3"/>
      <c r="H11141" s="11"/>
      <c r="I11141" s="12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  <c r="AA11141" s="3"/>
      <c r="AB11141" s="3"/>
      <c r="AC11141" s="3"/>
      <c r="AD11141" s="3"/>
      <c r="AE11141" s="3"/>
      <c r="AF11141" s="3"/>
      <c r="AG11141" s="3"/>
      <c r="AH11141" s="3"/>
    </row>
    <row r="11142" spans="1:34" ht="14.25" customHeight="1" x14ac:dyDescent="0.25">
      <c r="A11142" s="3"/>
      <c r="B11142" s="3"/>
      <c r="C11142" s="3"/>
      <c r="D11142" s="3"/>
      <c r="E11142" s="3"/>
      <c r="F11142" s="3"/>
      <c r="G11142" s="3"/>
      <c r="H11142" s="11"/>
      <c r="I11142" s="12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  <c r="AA11142" s="3"/>
      <c r="AB11142" s="3"/>
      <c r="AC11142" s="3"/>
      <c r="AD11142" s="3"/>
      <c r="AE11142" s="3"/>
      <c r="AF11142" s="3"/>
      <c r="AG11142" s="3"/>
      <c r="AH11142" s="3"/>
    </row>
    <row r="11143" spans="1:34" ht="14.25" customHeight="1" x14ac:dyDescent="0.25">
      <c r="A11143" s="3"/>
      <c r="B11143" s="3"/>
      <c r="C11143" s="3"/>
      <c r="D11143" s="3"/>
      <c r="E11143" s="3"/>
      <c r="F11143" s="3"/>
      <c r="G11143" s="3"/>
      <c r="H11143" s="11"/>
      <c r="I11143" s="12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  <c r="AA11143" s="3"/>
      <c r="AB11143" s="3"/>
      <c r="AC11143" s="3"/>
      <c r="AD11143" s="3"/>
      <c r="AE11143" s="3"/>
      <c r="AF11143" s="3"/>
      <c r="AG11143" s="3"/>
      <c r="AH11143" s="3"/>
    </row>
    <row r="11144" spans="1:34" ht="14.25" customHeight="1" x14ac:dyDescent="0.25">
      <c r="A11144" s="3"/>
      <c r="B11144" s="3"/>
      <c r="C11144" s="3"/>
      <c r="D11144" s="3"/>
      <c r="E11144" s="3"/>
      <c r="F11144" s="3"/>
      <c r="G11144" s="3"/>
      <c r="H11144" s="11"/>
      <c r="I11144" s="12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  <c r="AA11144" s="3"/>
      <c r="AB11144" s="3"/>
      <c r="AC11144" s="3"/>
      <c r="AD11144" s="3"/>
      <c r="AE11144" s="3"/>
      <c r="AF11144" s="3"/>
      <c r="AG11144" s="3"/>
      <c r="AH11144" s="3"/>
    </row>
    <row r="11145" spans="1:34" ht="14.25" customHeight="1" x14ac:dyDescent="0.25">
      <c r="A11145" s="3"/>
      <c r="B11145" s="3"/>
      <c r="C11145" s="3"/>
      <c r="D11145" s="3"/>
      <c r="E11145" s="3"/>
      <c r="F11145" s="3"/>
      <c r="G11145" s="3"/>
      <c r="H11145" s="11"/>
      <c r="I11145" s="12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  <c r="AA11145" s="3"/>
      <c r="AB11145" s="3"/>
      <c r="AC11145" s="3"/>
      <c r="AD11145" s="3"/>
      <c r="AE11145" s="3"/>
      <c r="AF11145" s="3"/>
      <c r="AG11145" s="3"/>
      <c r="AH11145" s="3"/>
    </row>
    <row r="11146" spans="1:34" ht="14.25" customHeight="1" x14ac:dyDescent="0.25">
      <c r="A11146" s="3"/>
      <c r="B11146" s="3"/>
      <c r="C11146" s="3"/>
      <c r="D11146" s="3"/>
      <c r="E11146" s="3"/>
      <c r="F11146" s="3"/>
      <c r="G11146" s="3"/>
      <c r="H11146" s="11"/>
      <c r="I11146" s="12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  <c r="AA11146" s="3"/>
      <c r="AB11146" s="3"/>
      <c r="AC11146" s="3"/>
      <c r="AD11146" s="3"/>
      <c r="AE11146" s="3"/>
      <c r="AF11146" s="3"/>
      <c r="AG11146" s="3"/>
      <c r="AH11146" s="3"/>
    </row>
    <row r="11147" spans="1:34" ht="14.25" customHeight="1" x14ac:dyDescent="0.25">
      <c r="A11147" s="3"/>
      <c r="B11147" s="3"/>
      <c r="C11147" s="3"/>
      <c r="D11147" s="3"/>
      <c r="E11147" s="3"/>
      <c r="F11147" s="3"/>
      <c r="G11147" s="3"/>
      <c r="H11147" s="11"/>
      <c r="I11147" s="12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  <c r="AA11147" s="3"/>
      <c r="AB11147" s="3"/>
      <c r="AC11147" s="3"/>
      <c r="AD11147" s="3"/>
      <c r="AE11147" s="3"/>
      <c r="AF11147" s="3"/>
      <c r="AG11147" s="3"/>
      <c r="AH11147" s="3"/>
    </row>
    <row r="11148" spans="1:34" ht="14.25" customHeight="1" x14ac:dyDescent="0.25">
      <c r="A11148" s="3"/>
      <c r="B11148" s="3"/>
      <c r="C11148" s="3"/>
      <c r="D11148" s="3"/>
      <c r="E11148" s="3"/>
      <c r="F11148" s="3"/>
      <c r="G11148" s="3"/>
      <c r="H11148" s="11"/>
      <c r="I11148" s="12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  <c r="AA11148" s="3"/>
      <c r="AB11148" s="3"/>
      <c r="AC11148" s="3"/>
      <c r="AD11148" s="3"/>
      <c r="AE11148" s="3"/>
      <c r="AF11148" s="3"/>
      <c r="AG11148" s="3"/>
      <c r="AH11148" s="3"/>
    </row>
    <row r="11149" spans="1:34" ht="14.25" customHeight="1" x14ac:dyDescent="0.25">
      <c r="A11149" s="3"/>
      <c r="B11149" s="3"/>
      <c r="C11149" s="3"/>
      <c r="D11149" s="3"/>
      <c r="E11149" s="3"/>
      <c r="F11149" s="3"/>
      <c r="G11149" s="3"/>
      <c r="H11149" s="11"/>
      <c r="I11149" s="12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  <c r="AA11149" s="3"/>
      <c r="AB11149" s="3"/>
      <c r="AC11149" s="3"/>
      <c r="AD11149" s="3"/>
      <c r="AE11149" s="3"/>
      <c r="AF11149" s="3"/>
      <c r="AG11149" s="3"/>
      <c r="AH11149" s="3"/>
    </row>
    <row r="11150" spans="1:34" ht="14.25" customHeight="1" x14ac:dyDescent="0.25">
      <c r="A11150" s="3"/>
      <c r="B11150" s="3"/>
      <c r="C11150" s="3"/>
      <c r="D11150" s="3"/>
      <c r="E11150" s="3"/>
      <c r="F11150" s="3"/>
      <c r="G11150" s="3"/>
      <c r="H11150" s="11"/>
      <c r="I11150" s="12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  <c r="AA11150" s="3"/>
      <c r="AB11150" s="3"/>
      <c r="AC11150" s="3"/>
      <c r="AD11150" s="3"/>
      <c r="AE11150" s="3"/>
      <c r="AF11150" s="3"/>
      <c r="AG11150" s="3"/>
      <c r="AH11150" s="3"/>
    </row>
    <row r="11151" spans="1:34" ht="14.25" customHeight="1" x14ac:dyDescent="0.25">
      <c r="A11151" s="3"/>
      <c r="B11151" s="3"/>
      <c r="C11151" s="3"/>
      <c r="D11151" s="3"/>
      <c r="E11151" s="3"/>
      <c r="F11151" s="3"/>
      <c r="G11151" s="3"/>
      <c r="H11151" s="11"/>
      <c r="I11151" s="12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  <c r="AA11151" s="3"/>
      <c r="AB11151" s="3"/>
      <c r="AC11151" s="3"/>
      <c r="AD11151" s="3"/>
      <c r="AE11151" s="3"/>
      <c r="AF11151" s="3"/>
      <c r="AG11151" s="3"/>
      <c r="AH11151" s="3"/>
    </row>
    <row r="11152" spans="1:34" ht="14.25" customHeight="1" x14ac:dyDescent="0.25">
      <c r="A11152" s="3"/>
      <c r="B11152" s="3"/>
      <c r="C11152" s="3"/>
      <c r="D11152" s="3"/>
      <c r="E11152" s="3"/>
      <c r="F11152" s="3"/>
      <c r="G11152" s="3"/>
      <c r="H11152" s="11"/>
      <c r="I11152" s="12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  <c r="AA11152" s="3"/>
      <c r="AB11152" s="3"/>
      <c r="AC11152" s="3"/>
      <c r="AD11152" s="3"/>
      <c r="AE11152" s="3"/>
      <c r="AF11152" s="3"/>
      <c r="AG11152" s="3"/>
      <c r="AH11152" s="3"/>
    </row>
    <row r="11153" spans="1:34" ht="14.25" customHeight="1" x14ac:dyDescent="0.25">
      <c r="A11153" s="3"/>
      <c r="B11153" s="3"/>
      <c r="C11153" s="3"/>
      <c r="D11153" s="3"/>
      <c r="E11153" s="3"/>
      <c r="F11153" s="3"/>
      <c r="G11153" s="3"/>
      <c r="H11153" s="11"/>
      <c r="I11153" s="12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  <c r="AA11153" s="3"/>
      <c r="AB11153" s="3"/>
      <c r="AC11153" s="3"/>
      <c r="AD11153" s="3"/>
      <c r="AE11153" s="3"/>
      <c r="AF11153" s="3"/>
      <c r="AG11153" s="3"/>
      <c r="AH11153" s="3"/>
    </row>
    <row r="11154" spans="1:34" ht="14.25" customHeight="1" x14ac:dyDescent="0.25">
      <c r="A11154" s="3"/>
      <c r="B11154" s="3"/>
      <c r="C11154" s="3"/>
      <c r="D11154" s="3"/>
      <c r="E11154" s="3"/>
      <c r="F11154" s="3"/>
      <c r="G11154" s="3"/>
      <c r="H11154" s="11"/>
      <c r="I11154" s="12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  <c r="AA11154" s="3"/>
      <c r="AB11154" s="3"/>
      <c r="AC11154" s="3"/>
      <c r="AD11154" s="3"/>
      <c r="AE11154" s="3"/>
      <c r="AF11154" s="3"/>
      <c r="AG11154" s="3"/>
      <c r="AH11154" s="3"/>
    </row>
    <row r="11155" spans="1:34" ht="14.25" customHeight="1" x14ac:dyDescent="0.25">
      <c r="A11155" s="3"/>
      <c r="B11155" s="3"/>
      <c r="C11155" s="3"/>
      <c r="D11155" s="3"/>
      <c r="E11155" s="3"/>
      <c r="F11155" s="3"/>
      <c r="G11155" s="3"/>
      <c r="H11155" s="11"/>
      <c r="I11155" s="12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  <c r="AA11155" s="3"/>
      <c r="AB11155" s="3"/>
      <c r="AC11155" s="3"/>
      <c r="AD11155" s="3"/>
      <c r="AE11155" s="3"/>
      <c r="AF11155" s="3"/>
      <c r="AG11155" s="3"/>
      <c r="AH11155" s="3"/>
    </row>
    <row r="11156" spans="1:34" ht="14.25" customHeight="1" x14ac:dyDescent="0.25">
      <c r="A11156" s="3"/>
      <c r="B11156" s="3"/>
      <c r="C11156" s="3"/>
      <c r="D11156" s="3"/>
      <c r="E11156" s="3"/>
      <c r="F11156" s="3"/>
      <c r="G11156" s="3"/>
      <c r="H11156" s="11"/>
      <c r="I11156" s="12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  <c r="AA11156" s="3"/>
      <c r="AB11156" s="3"/>
      <c r="AC11156" s="3"/>
      <c r="AD11156" s="3"/>
      <c r="AE11156" s="3"/>
      <c r="AF11156" s="3"/>
      <c r="AG11156" s="3"/>
      <c r="AH11156" s="3"/>
    </row>
    <row r="11157" spans="1:34" ht="14.25" customHeight="1" x14ac:dyDescent="0.25">
      <c r="A11157" s="3"/>
      <c r="B11157" s="3"/>
      <c r="C11157" s="3"/>
      <c r="D11157" s="3"/>
      <c r="E11157" s="3"/>
      <c r="F11157" s="3"/>
      <c r="G11157" s="3"/>
      <c r="H11157" s="11"/>
      <c r="I11157" s="12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  <c r="AA11157" s="3"/>
      <c r="AB11157" s="3"/>
      <c r="AC11157" s="3"/>
      <c r="AD11157" s="3"/>
      <c r="AE11157" s="3"/>
      <c r="AF11157" s="3"/>
      <c r="AG11157" s="3"/>
      <c r="AH11157" s="3"/>
    </row>
    <row r="11158" spans="1:34" ht="14.25" customHeight="1" x14ac:dyDescent="0.25">
      <c r="A11158" s="3"/>
      <c r="B11158" s="3"/>
      <c r="C11158" s="3"/>
      <c r="D11158" s="3"/>
      <c r="E11158" s="3"/>
      <c r="F11158" s="3"/>
      <c r="G11158" s="3"/>
      <c r="H11158" s="11"/>
      <c r="I11158" s="12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  <c r="AA11158" s="3"/>
      <c r="AB11158" s="3"/>
      <c r="AC11158" s="3"/>
      <c r="AD11158" s="3"/>
      <c r="AE11158" s="3"/>
      <c r="AF11158" s="3"/>
      <c r="AG11158" s="3"/>
      <c r="AH11158" s="3"/>
    </row>
    <row r="11159" spans="1:34" ht="14.25" customHeight="1" x14ac:dyDescent="0.25">
      <c r="A11159" s="3"/>
      <c r="B11159" s="3"/>
      <c r="C11159" s="3"/>
      <c r="D11159" s="3"/>
      <c r="E11159" s="3"/>
      <c r="F11159" s="3"/>
      <c r="G11159" s="3"/>
      <c r="H11159" s="11"/>
      <c r="I11159" s="12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  <c r="AA11159" s="3"/>
      <c r="AB11159" s="3"/>
      <c r="AC11159" s="3"/>
      <c r="AD11159" s="3"/>
      <c r="AE11159" s="3"/>
      <c r="AF11159" s="3"/>
      <c r="AG11159" s="3"/>
      <c r="AH11159" s="3"/>
    </row>
    <row r="11160" spans="1:34" ht="14.25" customHeight="1" x14ac:dyDescent="0.25">
      <c r="A11160" s="3"/>
      <c r="B11160" s="3"/>
      <c r="C11160" s="3"/>
      <c r="D11160" s="3"/>
      <c r="E11160" s="3"/>
      <c r="F11160" s="3"/>
      <c r="G11160" s="3"/>
      <c r="H11160" s="11"/>
      <c r="I11160" s="12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  <c r="AA11160" s="3"/>
      <c r="AB11160" s="3"/>
      <c r="AC11160" s="3"/>
      <c r="AD11160" s="3"/>
      <c r="AE11160" s="3"/>
      <c r="AF11160" s="3"/>
      <c r="AG11160" s="3"/>
      <c r="AH11160" s="3"/>
    </row>
    <row r="11161" spans="1:34" ht="14.25" customHeight="1" x14ac:dyDescent="0.25">
      <c r="A11161" s="3"/>
      <c r="B11161" s="3"/>
      <c r="C11161" s="3"/>
      <c r="D11161" s="3"/>
      <c r="E11161" s="3"/>
      <c r="F11161" s="3"/>
      <c r="G11161" s="3"/>
      <c r="H11161" s="11"/>
      <c r="I11161" s="12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  <c r="AA11161" s="3"/>
      <c r="AB11161" s="3"/>
      <c r="AC11161" s="3"/>
      <c r="AD11161" s="3"/>
      <c r="AE11161" s="3"/>
      <c r="AF11161" s="3"/>
      <c r="AG11161" s="3"/>
      <c r="AH11161" s="3"/>
    </row>
    <row r="11162" spans="1:34" ht="14.25" customHeight="1" x14ac:dyDescent="0.25">
      <c r="A11162" s="3"/>
      <c r="B11162" s="3"/>
      <c r="C11162" s="3"/>
      <c r="D11162" s="3"/>
      <c r="E11162" s="3"/>
      <c r="F11162" s="3"/>
      <c r="G11162" s="3"/>
      <c r="H11162" s="11"/>
      <c r="I11162" s="12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  <c r="AA11162" s="3"/>
      <c r="AB11162" s="3"/>
      <c r="AC11162" s="3"/>
      <c r="AD11162" s="3"/>
      <c r="AE11162" s="3"/>
      <c r="AF11162" s="3"/>
      <c r="AG11162" s="3"/>
      <c r="AH11162" s="3"/>
    </row>
    <row r="11163" spans="1:34" ht="14.25" customHeight="1" x14ac:dyDescent="0.25">
      <c r="A11163" s="3"/>
      <c r="B11163" s="3"/>
      <c r="C11163" s="3"/>
      <c r="D11163" s="3"/>
      <c r="E11163" s="3"/>
      <c r="F11163" s="3"/>
      <c r="G11163" s="3"/>
      <c r="H11163" s="11"/>
      <c r="I11163" s="12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  <c r="AA11163" s="3"/>
      <c r="AB11163" s="3"/>
      <c r="AC11163" s="3"/>
      <c r="AD11163" s="3"/>
      <c r="AE11163" s="3"/>
      <c r="AF11163" s="3"/>
      <c r="AG11163" s="3"/>
      <c r="AH11163" s="3"/>
    </row>
    <row r="11164" spans="1:34" ht="14.25" customHeight="1" x14ac:dyDescent="0.25">
      <c r="A11164" s="3"/>
      <c r="B11164" s="3"/>
      <c r="C11164" s="3"/>
      <c r="D11164" s="3"/>
      <c r="E11164" s="3"/>
      <c r="F11164" s="3"/>
      <c r="G11164" s="3"/>
      <c r="H11164" s="11"/>
      <c r="I11164" s="12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  <c r="AA11164" s="3"/>
      <c r="AB11164" s="3"/>
      <c r="AC11164" s="3"/>
      <c r="AD11164" s="3"/>
      <c r="AE11164" s="3"/>
      <c r="AF11164" s="3"/>
      <c r="AG11164" s="3"/>
      <c r="AH11164" s="3"/>
    </row>
    <row r="11165" spans="1:34" ht="14.25" customHeight="1" x14ac:dyDescent="0.25">
      <c r="A11165" s="3"/>
      <c r="B11165" s="3"/>
      <c r="C11165" s="3"/>
      <c r="D11165" s="3"/>
      <c r="E11165" s="3"/>
      <c r="F11165" s="3"/>
      <c r="G11165" s="3"/>
      <c r="H11165" s="11"/>
      <c r="I11165" s="12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  <c r="AA11165" s="3"/>
      <c r="AB11165" s="3"/>
      <c r="AC11165" s="3"/>
      <c r="AD11165" s="3"/>
      <c r="AE11165" s="3"/>
      <c r="AF11165" s="3"/>
      <c r="AG11165" s="3"/>
      <c r="AH11165" s="3"/>
    </row>
    <row r="11166" spans="1:34" ht="14.25" customHeight="1" x14ac:dyDescent="0.25">
      <c r="A11166" s="3"/>
      <c r="B11166" s="3"/>
      <c r="C11166" s="3"/>
      <c r="D11166" s="3"/>
      <c r="E11166" s="3"/>
      <c r="F11166" s="3"/>
      <c r="G11166" s="3"/>
      <c r="H11166" s="11"/>
      <c r="I11166" s="12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  <c r="AA11166" s="3"/>
      <c r="AB11166" s="3"/>
      <c r="AC11166" s="3"/>
      <c r="AD11166" s="3"/>
      <c r="AE11166" s="3"/>
      <c r="AF11166" s="3"/>
      <c r="AG11166" s="3"/>
      <c r="AH11166" s="3"/>
    </row>
    <row r="11167" spans="1:34" ht="14.25" customHeight="1" x14ac:dyDescent="0.25">
      <c r="A11167" s="3"/>
      <c r="B11167" s="3"/>
      <c r="C11167" s="3"/>
      <c r="D11167" s="3"/>
      <c r="E11167" s="3"/>
      <c r="F11167" s="3"/>
      <c r="G11167" s="3"/>
      <c r="H11167" s="11"/>
      <c r="I11167" s="12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  <c r="AA11167" s="3"/>
      <c r="AB11167" s="3"/>
      <c r="AC11167" s="3"/>
      <c r="AD11167" s="3"/>
      <c r="AE11167" s="3"/>
      <c r="AF11167" s="3"/>
      <c r="AG11167" s="3"/>
      <c r="AH11167" s="3"/>
    </row>
    <row r="11168" spans="1:34" ht="14.25" customHeight="1" x14ac:dyDescent="0.25">
      <c r="A11168" s="3"/>
      <c r="B11168" s="3"/>
      <c r="C11168" s="3"/>
      <c r="D11168" s="3"/>
      <c r="E11168" s="3"/>
      <c r="F11168" s="3"/>
      <c r="G11168" s="3"/>
      <c r="H11168" s="11"/>
      <c r="I11168" s="12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  <c r="AA11168" s="3"/>
      <c r="AB11168" s="3"/>
      <c r="AC11168" s="3"/>
      <c r="AD11168" s="3"/>
      <c r="AE11168" s="3"/>
      <c r="AF11168" s="3"/>
      <c r="AG11168" s="3"/>
      <c r="AH11168" s="3"/>
    </row>
    <row r="11169" spans="1:34" ht="14.25" customHeight="1" x14ac:dyDescent="0.25">
      <c r="A11169" s="3"/>
      <c r="B11169" s="3"/>
      <c r="C11169" s="3"/>
      <c r="D11169" s="3"/>
      <c r="E11169" s="3"/>
      <c r="F11169" s="3"/>
      <c r="G11169" s="3"/>
      <c r="H11169" s="11"/>
      <c r="I11169" s="12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  <c r="AA11169" s="3"/>
      <c r="AB11169" s="3"/>
      <c r="AC11169" s="3"/>
      <c r="AD11169" s="3"/>
      <c r="AE11169" s="3"/>
      <c r="AF11169" s="3"/>
      <c r="AG11169" s="3"/>
      <c r="AH11169" s="3"/>
    </row>
    <row r="11170" spans="1:34" ht="14.25" customHeight="1" x14ac:dyDescent="0.25">
      <c r="A11170" s="3"/>
      <c r="B11170" s="3"/>
      <c r="C11170" s="3"/>
      <c r="D11170" s="3"/>
      <c r="E11170" s="3"/>
      <c r="F11170" s="3"/>
      <c r="G11170" s="3"/>
      <c r="H11170" s="11"/>
      <c r="I11170" s="12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  <c r="AA11170" s="3"/>
      <c r="AB11170" s="3"/>
      <c r="AC11170" s="3"/>
      <c r="AD11170" s="3"/>
      <c r="AE11170" s="3"/>
      <c r="AF11170" s="3"/>
      <c r="AG11170" s="3"/>
      <c r="AH11170" s="3"/>
    </row>
    <row r="11171" spans="1:34" ht="14.25" customHeight="1" x14ac:dyDescent="0.25">
      <c r="A11171" s="3"/>
      <c r="B11171" s="3"/>
      <c r="C11171" s="3"/>
      <c r="D11171" s="3"/>
      <c r="E11171" s="3"/>
      <c r="F11171" s="3"/>
      <c r="G11171" s="3"/>
      <c r="H11171" s="11"/>
      <c r="I11171" s="12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  <c r="AA11171" s="3"/>
      <c r="AB11171" s="3"/>
      <c r="AC11171" s="3"/>
      <c r="AD11171" s="3"/>
      <c r="AE11171" s="3"/>
      <c r="AF11171" s="3"/>
      <c r="AG11171" s="3"/>
      <c r="AH11171" s="3"/>
    </row>
    <row r="11172" spans="1:34" ht="14.25" customHeight="1" x14ac:dyDescent="0.25">
      <c r="A11172" s="3"/>
      <c r="B11172" s="3"/>
      <c r="C11172" s="3"/>
      <c r="D11172" s="3"/>
      <c r="E11172" s="3"/>
      <c r="F11172" s="3"/>
      <c r="G11172" s="3"/>
      <c r="H11172" s="11"/>
      <c r="I11172" s="12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  <c r="AA11172" s="3"/>
      <c r="AB11172" s="3"/>
      <c r="AC11172" s="3"/>
      <c r="AD11172" s="3"/>
      <c r="AE11172" s="3"/>
      <c r="AF11172" s="3"/>
      <c r="AG11172" s="3"/>
      <c r="AH11172" s="3"/>
    </row>
    <row r="11173" spans="1:34" ht="14.25" customHeight="1" x14ac:dyDescent="0.25">
      <c r="A11173" s="3"/>
      <c r="B11173" s="3"/>
      <c r="C11173" s="3"/>
      <c r="D11173" s="3"/>
      <c r="E11173" s="3"/>
      <c r="F11173" s="3"/>
      <c r="G11173" s="3"/>
      <c r="H11173" s="11"/>
      <c r="I11173" s="12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  <c r="AA11173" s="3"/>
      <c r="AB11173" s="3"/>
      <c r="AC11173" s="3"/>
      <c r="AD11173" s="3"/>
      <c r="AE11173" s="3"/>
      <c r="AF11173" s="3"/>
      <c r="AG11173" s="3"/>
      <c r="AH11173" s="3"/>
    </row>
    <row r="11174" spans="1:34" ht="14.25" customHeight="1" x14ac:dyDescent="0.25">
      <c r="A11174" s="3"/>
      <c r="B11174" s="3"/>
      <c r="C11174" s="3"/>
      <c r="D11174" s="3"/>
      <c r="E11174" s="3"/>
      <c r="F11174" s="3"/>
      <c r="G11174" s="3"/>
      <c r="H11174" s="11"/>
      <c r="I11174" s="12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  <c r="AA11174" s="3"/>
      <c r="AB11174" s="3"/>
      <c r="AC11174" s="3"/>
      <c r="AD11174" s="3"/>
      <c r="AE11174" s="3"/>
      <c r="AF11174" s="3"/>
      <c r="AG11174" s="3"/>
      <c r="AH11174" s="3"/>
    </row>
    <row r="11175" spans="1:34" ht="14.25" customHeight="1" x14ac:dyDescent="0.25">
      <c r="A11175" s="3"/>
      <c r="B11175" s="3"/>
      <c r="C11175" s="3"/>
      <c r="D11175" s="3"/>
      <c r="E11175" s="3"/>
      <c r="F11175" s="3"/>
      <c r="G11175" s="3"/>
      <c r="H11175" s="11"/>
      <c r="I11175" s="12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  <c r="AA11175" s="3"/>
      <c r="AB11175" s="3"/>
      <c r="AC11175" s="3"/>
      <c r="AD11175" s="3"/>
      <c r="AE11175" s="3"/>
      <c r="AF11175" s="3"/>
      <c r="AG11175" s="3"/>
      <c r="AH11175" s="3"/>
    </row>
    <row r="11176" spans="1:34" ht="14.25" customHeight="1" x14ac:dyDescent="0.25">
      <c r="A11176" s="3"/>
      <c r="B11176" s="3"/>
      <c r="C11176" s="3"/>
      <c r="D11176" s="3"/>
      <c r="E11176" s="3"/>
      <c r="F11176" s="3"/>
      <c r="G11176" s="3"/>
      <c r="H11176" s="11"/>
      <c r="I11176" s="12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  <c r="AA11176" s="3"/>
      <c r="AB11176" s="3"/>
      <c r="AC11176" s="3"/>
      <c r="AD11176" s="3"/>
      <c r="AE11176" s="3"/>
      <c r="AF11176" s="3"/>
      <c r="AG11176" s="3"/>
      <c r="AH11176" s="3"/>
    </row>
    <row r="11177" spans="1:34" ht="14.25" customHeight="1" x14ac:dyDescent="0.25">
      <c r="A11177" s="3"/>
      <c r="B11177" s="3"/>
      <c r="C11177" s="3"/>
      <c r="D11177" s="3"/>
      <c r="E11177" s="3"/>
      <c r="F11177" s="3"/>
      <c r="G11177" s="3"/>
      <c r="H11177" s="11"/>
      <c r="I11177" s="12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  <c r="AA11177" s="3"/>
      <c r="AB11177" s="3"/>
      <c r="AC11177" s="3"/>
      <c r="AD11177" s="3"/>
      <c r="AE11177" s="3"/>
      <c r="AF11177" s="3"/>
      <c r="AG11177" s="3"/>
      <c r="AH11177" s="3"/>
    </row>
    <row r="11178" spans="1:34" ht="14.25" customHeight="1" x14ac:dyDescent="0.25">
      <c r="A11178" s="3"/>
      <c r="B11178" s="3"/>
      <c r="C11178" s="3"/>
      <c r="D11178" s="3"/>
      <c r="E11178" s="3"/>
      <c r="F11178" s="3"/>
      <c r="G11178" s="3"/>
      <c r="H11178" s="11"/>
      <c r="I11178" s="12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  <c r="AA11178" s="3"/>
      <c r="AB11178" s="3"/>
      <c r="AC11178" s="3"/>
      <c r="AD11178" s="3"/>
      <c r="AE11178" s="3"/>
      <c r="AF11178" s="3"/>
      <c r="AG11178" s="3"/>
      <c r="AH11178" s="3"/>
    </row>
    <row r="11179" spans="1:34" ht="14.25" customHeight="1" x14ac:dyDescent="0.25">
      <c r="A11179" s="3"/>
      <c r="B11179" s="3"/>
      <c r="C11179" s="3"/>
      <c r="D11179" s="3"/>
      <c r="E11179" s="3"/>
      <c r="F11179" s="3"/>
      <c r="G11179" s="3"/>
      <c r="H11179" s="11"/>
      <c r="I11179" s="12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  <c r="AA11179" s="3"/>
      <c r="AB11179" s="3"/>
      <c r="AC11179" s="3"/>
      <c r="AD11179" s="3"/>
      <c r="AE11179" s="3"/>
      <c r="AF11179" s="3"/>
      <c r="AG11179" s="3"/>
      <c r="AH11179" s="3"/>
    </row>
    <row r="11180" spans="1:34" ht="14.25" customHeight="1" x14ac:dyDescent="0.25">
      <c r="A11180" s="3"/>
      <c r="B11180" s="3"/>
      <c r="C11180" s="3"/>
      <c r="D11180" s="3"/>
      <c r="E11180" s="3"/>
      <c r="F11180" s="3"/>
      <c r="G11180" s="3"/>
      <c r="H11180" s="11"/>
      <c r="I11180" s="12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  <c r="AA11180" s="3"/>
      <c r="AB11180" s="3"/>
      <c r="AC11180" s="3"/>
      <c r="AD11180" s="3"/>
      <c r="AE11180" s="3"/>
      <c r="AF11180" s="3"/>
      <c r="AG11180" s="3"/>
      <c r="AH11180" s="3"/>
    </row>
    <row r="11181" spans="1:34" ht="14.25" customHeight="1" x14ac:dyDescent="0.25">
      <c r="A11181" s="3"/>
      <c r="B11181" s="3"/>
      <c r="C11181" s="3"/>
      <c r="D11181" s="3"/>
      <c r="E11181" s="3"/>
      <c r="F11181" s="3"/>
      <c r="G11181" s="3"/>
      <c r="H11181" s="11"/>
      <c r="I11181" s="12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  <c r="AA11181" s="3"/>
      <c r="AB11181" s="3"/>
      <c r="AC11181" s="3"/>
      <c r="AD11181" s="3"/>
      <c r="AE11181" s="3"/>
      <c r="AF11181" s="3"/>
      <c r="AG11181" s="3"/>
      <c r="AH11181" s="3"/>
    </row>
    <row r="11182" spans="1:34" ht="14.25" customHeight="1" x14ac:dyDescent="0.25">
      <c r="A11182" s="3"/>
      <c r="B11182" s="3"/>
      <c r="C11182" s="3"/>
      <c r="D11182" s="3"/>
      <c r="E11182" s="3"/>
      <c r="F11182" s="3"/>
      <c r="G11182" s="3"/>
      <c r="H11182" s="11"/>
      <c r="I11182" s="12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  <c r="AA11182" s="3"/>
      <c r="AB11182" s="3"/>
      <c r="AC11182" s="3"/>
      <c r="AD11182" s="3"/>
      <c r="AE11182" s="3"/>
      <c r="AF11182" s="3"/>
      <c r="AG11182" s="3"/>
      <c r="AH11182" s="3"/>
    </row>
    <row r="11183" spans="1:34" ht="14.25" customHeight="1" x14ac:dyDescent="0.25">
      <c r="A11183" s="3"/>
      <c r="B11183" s="3"/>
      <c r="C11183" s="3"/>
      <c r="D11183" s="3"/>
      <c r="E11183" s="3"/>
      <c r="F11183" s="3"/>
      <c r="G11183" s="3"/>
      <c r="H11183" s="11"/>
      <c r="I11183" s="12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  <c r="AA11183" s="3"/>
      <c r="AB11183" s="3"/>
      <c r="AC11183" s="3"/>
      <c r="AD11183" s="3"/>
      <c r="AE11183" s="3"/>
      <c r="AF11183" s="3"/>
      <c r="AG11183" s="3"/>
      <c r="AH11183" s="3"/>
    </row>
    <row r="11184" spans="1:34" ht="14.25" customHeight="1" x14ac:dyDescent="0.25">
      <c r="A11184" s="3"/>
      <c r="B11184" s="3"/>
      <c r="C11184" s="3"/>
      <c r="D11184" s="3"/>
      <c r="E11184" s="3"/>
      <c r="F11184" s="3"/>
      <c r="G11184" s="3"/>
      <c r="H11184" s="11"/>
      <c r="I11184" s="12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  <c r="AA11184" s="3"/>
      <c r="AB11184" s="3"/>
      <c r="AC11184" s="3"/>
      <c r="AD11184" s="3"/>
      <c r="AE11184" s="3"/>
      <c r="AF11184" s="3"/>
      <c r="AG11184" s="3"/>
      <c r="AH11184" s="3"/>
    </row>
    <row r="11185" spans="1:34" ht="14.25" customHeight="1" x14ac:dyDescent="0.25">
      <c r="A11185" s="3"/>
      <c r="B11185" s="3"/>
      <c r="C11185" s="3"/>
      <c r="D11185" s="3"/>
      <c r="E11185" s="3"/>
      <c r="F11185" s="3"/>
      <c r="G11185" s="3"/>
      <c r="H11185" s="11"/>
      <c r="I11185" s="12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  <c r="AA11185" s="3"/>
      <c r="AB11185" s="3"/>
      <c r="AC11185" s="3"/>
      <c r="AD11185" s="3"/>
      <c r="AE11185" s="3"/>
      <c r="AF11185" s="3"/>
      <c r="AG11185" s="3"/>
      <c r="AH11185" s="3"/>
    </row>
    <row r="11186" spans="1:34" ht="14.25" customHeight="1" x14ac:dyDescent="0.25">
      <c r="A11186" s="3"/>
      <c r="B11186" s="3"/>
      <c r="C11186" s="3"/>
      <c r="D11186" s="3"/>
      <c r="E11186" s="3"/>
      <c r="F11186" s="3"/>
      <c r="G11186" s="3"/>
      <c r="H11186" s="11"/>
      <c r="I11186" s="12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  <c r="AA11186" s="3"/>
      <c r="AB11186" s="3"/>
      <c r="AC11186" s="3"/>
      <c r="AD11186" s="3"/>
      <c r="AE11186" s="3"/>
      <c r="AF11186" s="3"/>
      <c r="AG11186" s="3"/>
      <c r="AH11186" s="3"/>
    </row>
    <row r="11187" spans="1:34" ht="14.25" customHeight="1" x14ac:dyDescent="0.25">
      <c r="A11187" s="3"/>
      <c r="B11187" s="3"/>
      <c r="C11187" s="3"/>
      <c r="D11187" s="3"/>
      <c r="E11187" s="3"/>
      <c r="F11187" s="3"/>
      <c r="G11187" s="3"/>
      <c r="H11187" s="11"/>
      <c r="I11187" s="12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  <c r="AA11187" s="3"/>
      <c r="AB11187" s="3"/>
      <c r="AC11187" s="3"/>
      <c r="AD11187" s="3"/>
      <c r="AE11187" s="3"/>
      <c r="AF11187" s="3"/>
      <c r="AG11187" s="3"/>
      <c r="AH11187" s="3"/>
    </row>
    <row r="11188" spans="1:34" ht="14.25" customHeight="1" x14ac:dyDescent="0.25">
      <c r="A11188" s="3"/>
      <c r="B11188" s="3"/>
      <c r="C11188" s="3"/>
      <c r="D11188" s="3"/>
      <c r="E11188" s="3"/>
      <c r="F11188" s="3"/>
      <c r="G11188" s="3"/>
      <c r="H11188" s="11"/>
      <c r="I11188" s="12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  <c r="AA11188" s="3"/>
      <c r="AB11188" s="3"/>
      <c r="AC11188" s="3"/>
      <c r="AD11188" s="3"/>
      <c r="AE11188" s="3"/>
      <c r="AF11188" s="3"/>
      <c r="AG11188" s="3"/>
      <c r="AH11188" s="3"/>
    </row>
    <row r="11189" spans="1:34" ht="14.25" customHeight="1" x14ac:dyDescent="0.25">
      <c r="A11189" s="3"/>
      <c r="B11189" s="3"/>
      <c r="C11189" s="3"/>
      <c r="D11189" s="3"/>
      <c r="E11189" s="3"/>
      <c r="F11189" s="3"/>
      <c r="G11189" s="3"/>
      <c r="H11189" s="11"/>
      <c r="I11189" s="12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  <c r="AA11189" s="3"/>
      <c r="AB11189" s="3"/>
      <c r="AC11189" s="3"/>
      <c r="AD11189" s="3"/>
      <c r="AE11189" s="3"/>
      <c r="AF11189" s="3"/>
      <c r="AG11189" s="3"/>
      <c r="AH11189" s="3"/>
    </row>
    <row r="11190" spans="1:34" ht="14.25" customHeight="1" x14ac:dyDescent="0.25">
      <c r="A11190" s="3"/>
      <c r="B11190" s="3"/>
      <c r="C11190" s="3"/>
      <c r="D11190" s="3"/>
      <c r="E11190" s="3"/>
      <c r="F11190" s="3"/>
      <c r="G11190" s="3"/>
      <c r="H11190" s="11"/>
      <c r="I11190" s="12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  <c r="AA11190" s="3"/>
      <c r="AB11190" s="3"/>
      <c r="AC11190" s="3"/>
      <c r="AD11190" s="3"/>
      <c r="AE11190" s="3"/>
      <c r="AF11190" s="3"/>
      <c r="AG11190" s="3"/>
      <c r="AH11190" s="3"/>
    </row>
    <row r="11191" spans="1:34" ht="14.25" customHeight="1" x14ac:dyDescent="0.25">
      <c r="A11191" s="3"/>
      <c r="B11191" s="3"/>
      <c r="C11191" s="3"/>
      <c r="D11191" s="3"/>
      <c r="E11191" s="3"/>
      <c r="F11191" s="3"/>
      <c r="G11191" s="3"/>
      <c r="H11191" s="11"/>
      <c r="I11191" s="12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  <c r="AA11191" s="3"/>
      <c r="AB11191" s="3"/>
      <c r="AC11191" s="3"/>
      <c r="AD11191" s="3"/>
      <c r="AE11191" s="3"/>
      <c r="AF11191" s="3"/>
      <c r="AG11191" s="3"/>
      <c r="AH11191" s="3"/>
    </row>
    <row r="11192" spans="1:34" ht="14.25" customHeight="1" x14ac:dyDescent="0.25">
      <c r="A11192" s="3"/>
      <c r="B11192" s="3"/>
      <c r="C11192" s="3"/>
      <c r="D11192" s="3"/>
      <c r="E11192" s="3"/>
      <c r="F11192" s="3"/>
      <c r="G11192" s="3"/>
      <c r="H11192" s="11"/>
      <c r="I11192" s="12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  <c r="AA11192" s="3"/>
      <c r="AB11192" s="3"/>
      <c r="AC11192" s="3"/>
      <c r="AD11192" s="3"/>
      <c r="AE11192" s="3"/>
      <c r="AF11192" s="3"/>
      <c r="AG11192" s="3"/>
      <c r="AH11192" s="3"/>
    </row>
    <row r="11193" spans="1:34" ht="14.25" customHeight="1" x14ac:dyDescent="0.25">
      <c r="A11193" s="3"/>
      <c r="B11193" s="3"/>
      <c r="C11193" s="3"/>
      <c r="D11193" s="3"/>
      <c r="E11193" s="3"/>
      <c r="F11193" s="3"/>
      <c r="G11193" s="3"/>
      <c r="H11193" s="11"/>
      <c r="I11193" s="12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  <c r="AA11193" s="3"/>
      <c r="AB11193" s="3"/>
      <c r="AC11193" s="3"/>
      <c r="AD11193" s="3"/>
      <c r="AE11193" s="3"/>
      <c r="AF11193" s="3"/>
      <c r="AG11193" s="3"/>
      <c r="AH11193" s="3"/>
    </row>
    <row r="11194" spans="1:34" ht="14.25" customHeight="1" x14ac:dyDescent="0.25">
      <c r="A11194" s="3"/>
      <c r="B11194" s="3"/>
      <c r="C11194" s="3"/>
      <c r="D11194" s="3"/>
      <c r="E11194" s="3"/>
      <c r="F11194" s="3"/>
      <c r="G11194" s="3"/>
      <c r="H11194" s="11"/>
      <c r="I11194" s="12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  <c r="AA11194" s="3"/>
      <c r="AB11194" s="3"/>
      <c r="AC11194" s="3"/>
      <c r="AD11194" s="3"/>
      <c r="AE11194" s="3"/>
      <c r="AF11194" s="3"/>
      <c r="AG11194" s="3"/>
      <c r="AH11194" s="3"/>
    </row>
    <row r="11195" spans="1:34" ht="14.25" customHeight="1" x14ac:dyDescent="0.25">
      <c r="A11195" s="3"/>
      <c r="B11195" s="3"/>
      <c r="C11195" s="3"/>
      <c r="D11195" s="3"/>
      <c r="E11195" s="3"/>
      <c r="F11195" s="3"/>
      <c r="G11195" s="3"/>
      <c r="H11195" s="11"/>
      <c r="I11195" s="12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  <c r="AA11195" s="3"/>
      <c r="AB11195" s="3"/>
      <c r="AC11195" s="3"/>
      <c r="AD11195" s="3"/>
      <c r="AE11195" s="3"/>
      <c r="AF11195" s="3"/>
      <c r="AG11195" s="3"/>
      <c r="AH11195" s="3"/>
    </row>
    <row r="11196" spans="1:34" ht="14.25" customHeight="1" x14ac:dyDescent="0.25">
      <c r="A11196" s="3"/>
      <c r="B11196" s="3"/>
      <c r="C11196" s="3"/>
      <c r="D11196" s="3"/>
      <c r="E11196" s="3"/>
      <c r="F11196" s="3"/>
      <c r="G11196" s="3"/>
      <c r="H11196" s="11"/>
      <c r="I11196" s="12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  <c r="AA11196" s="3"/>
      <c r="AB11196" s="3"/>
      <c r="AC11196" s="3"/>
      <c r="AD11196" s="3"/>
      <c r="AE11196" s="3"/>
      <c r="AF11196" s="3"/>
      <c r="AG11196" s="3"/>
      <c r="AH11196" s="3"/>
    </row>
    <row r="11197" spans="1:34" ht="14.25" customHeight="1" x14ac:dyDescent="0.25">
      <c r="A11197" s="3"/>
      <c r="B11197" s="3"/>
      <c r="C11197" s="3"/>
      <c r="D11197" s="3"/>
      <c r="E11197" s="3"/>
      <c r="F11197" s="3"/>
      <c r="G11197" s="3"/>
      <c r="H11197" s="11"/>
      <c r="I11197" s="12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  <c r="AA11197" s="3"/>
      <c r="AB11197" s="3"/>
      <c r="AC11197" s="3"/>
      <c r="AD11197" s="3"/>
      <c r="AE11197" s="3"/>
      <c r="AF11197" s="3"/>
      <c r="AG11197" s="3"/>
      <c r="AH11197" s="3"/>
    </row>
    <row r="11198" spans="1:34" ht="14.25" customHeight="1" x14ac:dyDescent="0.25">
      <c r="A11198" s="3"/>
      <c r="B11198" s="3"/>
      <c r="C11198" s="3"/>
      <c r="D11198" s="3"/>
      <c r="E11198" s="3"/>
      <c r="F11198" s="3"/>
      <c r="G11198" s="3"/>
      <c r="H11198" s="11"/>
      <c r="I11198" s="12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  <c r="AA11198" s="3"/>
      <c r="AB11198" s="3"/>
      <c r="AC11198" s="3"/>
      <c r="AD11198" s="3"/>
      <c r="AE11198" s="3"/>
      <c r="AF11198" s="3"/>
      <c r="AG11198" s="3"/>
      <c r="AH11198" s="3"/>
    </row>
    <row r="11199" spans="1:34" ht="14.25" customHeight="1" x14ac:dyDescent="0.25">
      <c r="A11199" s="3"/>
      <c r="B11199" s="3"/>
      <c r="C11199" s="3"/>
      <c r="D11199" s="3"/>
      <c r="E11199" s="3"/>
      <c r="F11199" s="3"/>
      <c r="G11199" s="3"/>
      <c r="H11199" s="11"/>
      <c r="I11199" s="12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  <c r="AA11199" s="3"/>
      <c r="AB11199" s="3"/>
      <c r="AC11199" s="3"/>
      <c r="AD11199" s="3"/>
      <c r="AE11199" s="3"/>
      <c r="AF11199" s="3"/>
      <c r="AG11199" s="3"/>
      <c r="AH11199" s="3"/>
    </row>
    <row r="11200" spans="1:34" ht="14.25" customHeight="1" x14ac:dyDescent="0.25">
      <c r="A11200" s="3"/>
      <c r="B11200" s="3"/>
      <c r="C11200" s="3"/>
      <c r="D11200" s="3"/>
      <c r="E11200" s="3"/>
      <c r="F11200" s="3"/>
      <c r="G11200" s="3"/>
      <c r="H11200" s="11"/>
      <c r="I11200" s="12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  <c r="AA11200" s="3"/>
      <c r="AB11200" s="3"/>
      <c r="AC11200" s="3"/>
      <c r="AD11200" s="3"/>
      <c r="AE11200" s="3"/>
      <c r="AF11200" s="3"/>
      <c r="AG11200" s="3"/>
      <c r="AH11200" s="3"/>
    </row>
    <row r="11201" spans="1:34" ht="14.25" customHeight="1" x14ac:dyDescent="0.25">
      <c r="A11201" s="3"/>
      <c r="B11201" s="3"/>
      <c r="C11201" s="3"/>
      <c r="D11201" s="3"/>
      <c r="E11201" s="3"/>
      <c r="F11201" s="3"/>
      <c r="G11201" s="3"/>
      <c r="H11201" s="11"/>
      <c r="I11201" s="12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  <c r="AA11201" s="3"/>
      <c r="AB11201" s="3"/>
      <c r="AC11201" s="3"/>
      <c r="AD11201" s="3"/>
      <c r="AE11201" s="3"/>
      <c r="AF11201" s="3"/>
      <c r="AG11201" s="3"/>
      <c r="AH11201" s="3"/>
    </row>
    <row r="11202" spans="1:34" ht="14.25" customHeight="1" x14ac:dyDescent="0.25">
      <c r="A11202" s="3"/>
      <c r="B11202" s="3"/>
      <c r="C11202" s="3"/>
      <c r="D11202" s="3"/>
      <c r="E11202" s="3"/>
      <c r="F11202" s="3"/>
      <c r="G11202" s="3"/>
      <c r="H11202" s="11"/>
      <c r="I11202" s="12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  <c r="AA11202" s="3"/>
      <c r="AB11202" s="3"/>
      <c r="AC11202" s="3"/>
      <c r="AD11202" s="3"/>
      <c r="AE11202" s="3"/>
      <c r="AF11202" s="3"/>
      <c r="AG11202" s="3"/>
      <c r="AH11202" s="3"/>
    </row>
    <row r="11203" spans="1:34" ht="14.25" customHeight="1" x14ac:dyDescent="0.25">
      <c r="A11203" s="3"/>
      <c r="B11203" s="3"/>
      <c r="C11203" s="3"/>
      <c r="D11203" s="3"/>
      <c r="E11203" s="3"/>
      <c r="F11203" s="3"/>
      <c r="G11203" s="3"/>
      <c r="H11203" s="11"/>
      <c r="I11203" s="12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  <c r="AA11203" s="3"/>
      <c r="AB11203" s="3"/>
      <c r="AC11203" s="3"/>
      <c r="AD11203" s="3"/>
      <c r="AE11203" s="3"/>
      <c r="AF11203" s="3"/>
      <c r="AG11203" s="3"/>
      <c r="AH11203" s="3"/>
    </row>
    <row r="11204" spans="1:34" ht="14.25" customHeight="1" x14ac:dyDescent="0.25">
      <c r="A11204" s="3"/>
      <c r="B11204" s="3"/>
      <c r="C11204" s="3"/>
      <c r="D11204" s="3"/>
      <c r="E11204" s="3"/>
      <c r="F11204" s="3"/>
      <c r="G11204" s="3"/>
      <c r="H11204" s="11"/>
      <c r="I11204" s="12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  <c r="AA11204" s="3"/>
      <c r="AB11204" s="3"/>
      <c r="AC11204" s="3"/>
      <c r="AD11204" s="3"/>
      <c r="AE11204" s="3"/>
      <c r="AF11204" s="3"/>
      <c r="AG11204" s="3"/>
      <c r="AH11204" s="3"/>
    </row>
    <row r="11205" spans="1:34" ht="14.25" customHeight="1" x14ac:dyDescent="0.25">
      <c r="A11205" s="3"/>
      <c r="B11205" s="3"/>
      <c r="C11205" s="3"/>
      <c r="D11205" s="3"/>
      <c r="E11205" s="3"/>
      <c r="F11205" s="3"/>
      <c r="G11205" s="3"/>
      <c r="H11205" s="11"/>
      <c r="I11205" s="12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  <c r="AA11205" s="3"/>
      <c r="AB11205" s="3"/>
      <c r="AC11205" s="3"/>
      <c r="AD11205" s="3"/>
      <c r="AE11205" s="3"/>
      <c r="AF11205" s="3"/>
      <c r="AG11205" s="3"/>
      <c r="AH11205" s="3"/>
    </row>
    <row r="11206" spans="1:34" ht="14.25" customHeight="1" x14ac:dyDescent="0.25">
      <c r="A11206" s="3"/>
      <c r="B11206" s="3"/>
      <c r="C11206" s="3"/>
      <c r="D11206" s="3"/>
      <c r="E11206" s="3"/>
      <c r="F11206" s="3"/>
      <c r="G11206" s="3"/>
      <c r="H11206" s="11"/>
      <c r="I11206" s="12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  <c r="AA11206" s="3"/>
      <c r="AB11206" s="3"/>
      <c r="AC11206" s="3"/>
      <c r="AD11206" s="3"/>
      <c r="AE11206" s="3"/>
      <c r="AF11206" s="3"/>
      <c r="AG11206" s="3"/>
      <c r="AH11206" s="3"/>
    </row>
    <row r="11207" spans="1:34" ht="14.25" customHeight="1" x14ac:dyDescent="0.25">
      <c r="A11207" s="3"/>
      <c r="B11207" s="3"/>
      <c r="C11207" s="3"/>
      <c r="D11207" s="3"/>
      <c r="E11207" s="3"/>
      <c r="F11207" s="3"/>
      <c r="G11207" s="3"/>
      <c r="H11207" s="11"/>
      <c r="I11207" s="12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  <c r="AA11207" s="3"/>
      <c r="AB11207" s="3"/>
      <c r="AC11207" s="3"/>
      <c r="AD11207" s="3"/>
      <c r="AE11207" s="3"/>
      <c r="AF11207" s="3"/>
      <c r="AG11207" s="3"/>
      <c r="AH11207" s="3"/>
    </row>
    <row r="11208" spans="1:34" ht="14.25" customHeight="1" x14ac:dyDescent="0.25">
      <c r="A11208" s="3"/>
      <c r="B11208" s="3"/>
      <c r="C11208" s="3"/>
      <c r="D11208" s="3"/>
      <c r="E11208" s="3"/>
      <c r="F11208" s="3"/>
      <c r="G11208" s="3"/>
      <c r="H11208" s="11"/>
      <c r="I11208" s="12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  <c r="AA11208" s="3"/>
      <c r="AB11208" s="3"/>
      <c r="AC11208" s="3"/>
      <c r="AD11208" s="3"/>
      <c r="AE11208" s="3"/>
      <c r="AF11208" s="3"/>
      <c r="AG11208" s="3"/>
      <c r="AH11208" s="3"/>
    </row>
    <row r="11209" spans="1:34" ht="14.25" customHeight="1" x14ac:dyDescent="0.25">
      <c r="A11209" s="3"/>
      <c r="B11209" s="3"/>
      <c r="C11209" s="3"/>
      <c r="D11209" s="3"/>
      <c r="E11209" s="3"/>
      <c r="F11209" s="3"/>
      <c r="G11209" s="3"/>
      <c r="H11209" s="11"/>
      <c r="I11209" s="12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  <c r="AA11209" s="3"/>
      <c r="AB11209" s="3"/>
      <c r="AC11209" s="3"/>
      <c r="AD11209" s="3"/>
      <c r="AE11209" s="3"/>
      <c r="AF11209" s="3"/>
      <c r="AG11209" s="3"/>
      <c r="AH11209" s="3"/>
    </row>
    <row r="11210" spans="1:34" ht="14.25" customHeight="1" x14ac:dyDescent="0.25">
      <c r="A11210" s="3"/>
      <c r="B11210" s="3"/>
      <c r="C11210" s="3"/>
      <c r="D11210" s="3"/>
      <c r="E11210" s="3"/>
      <c r="F11210" s="3"/>
      <c r="G11210" s="3"/>
      <c r="H11210" s="11"/>
      <c r="I11210" s="12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  <c r="AA11210" s="3"/>
      <c r="AB11210" s="3"/>
      <c r="AC11210" s="3"/>
      <c r="AD11210" s="3"/>
      <c r="AE11210" s="3"/>
      <c r="AF11210" s="3"/>
      <c r="AG11210" s="3"/>
      <c r="AH11210" s="3"/>
    </row>
    <row r="11211" spans="1:34" ht="14.25" customHeight="1" x14ac:dyDescent="0.25">
      <c r="A11211" s="3"/>
      <c r="B11211" s="3"/>
      <c r="C11211" s="3"/>
      <c r="D11211" s="3"/>
      <c r="E11211" s="3"/>
      <c r="F11211" s="3"/>
      <c r="G11211" s="3"/>
      <c r="H11211" s="11"/>
      <c r="I11211" s="12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  <c r="AA11211" s="3"/>
      <c r="AB11211" s="3"/>
      <c r="AC11211" s="3"/>
      <c r="AD11211" s="3"/>
      <c r="AE11211" s="3"/>
      <c r="AF11211" s="3"/>
      <c r="AG11211" s="3"/>
      <c r="AH11211" s="3"/>
    </row>
    <row r="11212" spans="1:34" ht="14.25" customHeight="1" x14ac:dyDescent="0.25">
      <c r="A11212" s="3"/>
      <c r="B11212" s="3"/>
      <c r="C11212" s="3"/>
      <c r="D11212" s="3"/>
      <c r="E11212" s="3"/>
      <c r="F11212" s="3"/>
      <c r="G11212" s="3"/>
      <c r="H11212" s="11"/>
      <c r="I11212" s="12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  <c r="AA11212" s="3"/>
      <c r="AB11212" s="3"/>
      <c r="AC11212" s="3"/>
      <c r="AD11212" s="3"/>
      <c r="AE11212" s="3"/>
      <c r="AF11212" s="3"/>
      <c r="AG11212" s="3"/>
      <c r="AH11212" s="3"/>
    </row>
    <row r="11213" spans="1:34" ht="14.25" customHeight="1" x14ac:dyDescent="0.25">
      <c r="A11213" s="3"/>
      <c r="B11213" s="3"/>
      <c r="C11213" s="3"/>
      <c r="D11213" s="3"/>
      <c r="E11213" s="3"/>
      <c r="F11213" s="3"/>
      <c r="G11213" s="3"/>
      <c r="H11213" s="11"/>
      <c r="I11213" s="12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  <c r="AA11213" s="3"/>
      <c r="AB11213" s="3"/>
      <c r="AC11213" s="3"/>
      <c r="AD11213" s="3"/>
      <c r="AE11213" s="3"/>
      <c r="AF11213" s="3"/>
      <c r="AG11213" s="3"/>
      <c r="AH11213" s="3"/>
    </row>
    <row r="11214" spans="1:34" ht="14.25" customHeight="1" x14ac:dyDescent="0.25">
      <c r="A11214" s="3"/>
      <c r="B11214" s="3"/>
      <c r="C11214" s="3"/>
      <c r="D11214" s="3"/>
      <c r="E11214" s="3"/>
      <c r="F11214" s="3"/>
      <c r="G11214" s="3"/>
      <c r="H11214" s="11"/>
      <c r="I11214" s="12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  <c r="AA11214" s="3"/>
      <c r="AB11214" s="3"/>
      <c r="AC11214" s="3"/>
      <c r="AD11214" s="3"/>
      <c r="AE11214" s="3"/>
      <c r="AF11214" s="3"/>
      <c r="AG11214" s="3"/>
      <c r="AH11214" s="3"/>
    </row>
    <row r="11215" spans="1:34" ht="14.25" customHeight="1" x14ac:dyDescent="0.25">
      <c r="A11215" s="3"/>
      <c r="B11215" s="3"/>
      <c r="C11215" s="3"/>
      <c r="D11215" s="3"/>
      <c r="E11215" s="3"/>
      <c r="F11215" s="3"/>
      <c r="G11215" s="3"/>
      <c r="H11215" s="11"/>
      <c r="I11215" s="12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  <c r="AA11215" s="3"/>
      <c r="AB11215" s="3"/>
      <c r="AC11215" s="3"/>
      <c r="AD11215" s="3"/>
      <c r="AE11215" s="3"/>
      <c r="AF11215" s="3"/>
      <c r="AG11215" s="3"/>
      <c r="AH11215" s="3"/>
    </row>
    <row r="11216" spans="1:34" ht="14.25" customHeight="1" x14ac:dyDescent="0.25">
      <c r="A11216" s="3"/>
      <c r="B11216" s="3"/>
      <c r="C11216" s="3"/>
      <c r="D11216" s="3"/>
      <c r="E11216" s="3"/>
      <c r="F11216" s="3"/>
      <c r="G11216" s="3"/>
      <c r="H11216" s="11"/>
      <c r="I11216" s="12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  <c r="AA11216" s="3"/>
      <c r="AB11216" s="3"/>
      <c r="AC11216" s="3"/>
      <c r="AD11216" s="3"/>
      <c r="AE11216" s="3"/>
      <c r="AF11216" s="3"/>
      <c r="AG11216" s="3"/>
      <c r="AH11216" s="3"/>
    </row>
    <row r="11217" spans="1:34" ht="14.25" customHeight="1" x14ac:dyDescent="0.25">
      <c r="A11217" s="3"/>
      <c r="B11217" s="3"/>
      <c r="C11217" s="3"/>
      <c r="D11217" s="3"/>
      <c r="E11217" s="3"/>
      <c r="F11217" s="3"/>
      <c r="G11217" s="3"/>
      <c r="H11217" s="11"/>
      <c r="I11217" s="12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  <c r="AA11217" s="3"/>
      <c r="AB11217" s="3"/>
      <c r="AC11217" s="3"/>
      <c r="AD11217" s="3"/>
      <c r="AE11217" s="3"/>
      <c r="AF11217" s="3"/>
      <c r="AG11217" s="3"/>
      <c r="AH11217" s="3"/>
    </row>
    <row r="11218" spans="1:34" ht="14.25" customHeight="1" x14ac:dyDescent="0.25">
      <c r="A11218" s="3"/>
      <c r="B11218" s="3"/>
      <c r="C11218" s="3"/>
      <c r="D11218" s="3"/>
      <c r="E11218" s="3"/>
      <c r="F11218" s="3"/>
      <c r="G11218" s="3"/>
      <c r="H11218" s="11"/>
      <c r="I11218" s="12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  <c r="AA11218" s="3"/>
      <c r="AB11218" s="3"/>
      <c r="AC11218" s="3"/>
      <c r="AD11218" s="3"/>
      <c r="AE11218" s="3"/>
      <c r="AF11218" s="3"/>
      <c r="AG11218" s="3"/>
      <c r="AH11218" s="3"/>
    </row>
    <row r="11219" spans="1:34" ht="14.25" customHeight="1" x14ac:dyDescent="0.25">
      <c r="A11219" s="3"/>
      <c r="B11219" s="3"/>
      <c r="C11219" s="3"/>
      <c r="D11219" s="3"/>
      <c r="E11219" s="3"/>
      <c r="F11219" s="3"/>
      <c r="G11219" s="3"/>
      <c r="H11219" s="11"/>
      <c r="I11219" s="12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  <c r="AA11219" s="3"/>
      <c r="AB11219" s="3"/>
      <c r="AC11219" s="3"/>
      <c r="AD11219" s="3"/>
      <c r="AE11219" s="3"/>
      <c r="AF11219" s="3"/>
      <c r="AG11219" s="3"/>
      <c r="AH11219" s="3"/>
    </row>
    <row r="11220" spans="1:34" ht="14.25" customHeight="1" x14ac:dyDescent="0.25">
      <c r="A11220" s="3"/>
      <c r="B11220" s="3"/>
      <c r="C11220" s="3"/>
      <c r="D11220" s="3"/>
      <c r="E11220" s="3"/>
      <c r="F11220" s="3"/>
      <c r="G11220" s="3"/>
      <c r="H11220" s="11"/>
      <c r="I11220" s="12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  <c r="AA11220" s="3"/>
      <c r="AB11220" s="3"/>
      <c r="AC11220" s="3"/>
      <c r="AD11220" s="3"/>
      <c r="AE11220" s="3"/>
      <c r="AF11220" s="3"/>
      <c r="AG11220" s="3"/>
      <c r="AH11220" s="3"/>
    </row>
    <row r="11221" spans="1:34" ht="14.25" customHeight="1" x14ac:dyDescent="0.25">
      <c r="A11221" s="3"/>
      <c r="B11221" s="3"/>
      <c r="C11221" s="3"/>
      <c r="D11221" s="3"/>
      <c r="E11221" s="3"/>
      <c r="F11221" s="3"/>
      <c r="G11221" s="3"/>
      <c r="H11221" s="11"/>
      <c r="I11221" s="12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  <c r="AA11221" s="3"/>
      <c r="AB11221" s="3"/>
      <c r="AC11221" s="3"/>
      <c r="AD11221" s="3"/>
      <c r="AE11221" s="3"/>
      <c r="AF11221" s="3"/>
      <c r="AG11221" s="3"/>
      <c r="AH11221" s="3"/>
    </row>
    <row r="11222" spans="1:34" ht="14.25" customHeight="1" x14ac:dyDescent="0.25">
      <c r="A11222" s="3"/>
      <c r="B11222" s="3"/>
      <c r="C11222" s="3"/>
      <c r="D11222" s="3"/>
      <c r="E11222" s="3"/>
      <c r="F11222" s="3"/>
      <c r="G11222" s="3"/>
      <c r="H11222" s="11"/>
      <c r="I11222" s="12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  <c r="AA11222" s="3"/>
      <c r="AB11222" s="3"/>
      <c r="AC11222" s="3"/>
      <c r="AD11222" s="3"/>
      <c r="AE11222" s="3"/>
      <c r="AF11222" s="3"/>
      <c r="AG11222" s="3"/>
      <c r="AH11222" s="3"/>
    </row>
    <row r="11223" spans="1:34" ht="14.25" customHeight="1" x14ac:dyDescent="0.25">
      <c r="A11223" s="3"/>
      <c r="B11223" s="3"/>
      <c r="C11223" s="3"/>
      <c r="D11223" s="3"/>
      <c r="E11223" s="3"/>
      <c r="F11223" s="3"/>
      <c r="G11223" s="3"/>
      <c r="H11223" s="11"/>
      <c r="I11223" s="12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  <c r="AA11223" s="3"/>
      <c r="AB11223" s="3"/>
      <c r="AC11223" s="3"/>
      <c r="AD11223" s="3"/>
      <c r="AE11223" s="3"/>
      <c r="AF11223" s="3"/>
      <c r="AG11223" s="3"/>
      <c r="AH11223" s="3"/>
    </row>
    <row r="11224" spans="1:34" ht="14.25" customHeight="1" x14ac:dyDescent="0.25">
      <c r="A11224" s="3"/>
      <c r="B11224" s="3"/>
      <c r="C11224" s="3"/>
      <c r="D11224" s="3"/>
      <c r="E11224" s="3"/>
      <c r="F11224" s="3"/>
      <c r="G11224" s="3"/>
      <c r="H11224" s="11"/>
      <c r="I11224" s="12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  <c r="AA11224" s="3"/>
      <c r="AB11224" s="3"/>
      <c r="AC11224" s="3"/>
      <c r="AD11224" s="3"/>
      <c r="AE11224" s="3"/>
      <c r="AF11224" s="3"/>
      <c r="AG11224" s="3"/>
      <c r="AH11224" s="3"/>
    </row>
    <row r="11225" spans="1:34" ht="14.25" customHeight="1" x14ac:dyDescent="0.25">
      <c r="A11225" s="3"/>
      <c r="B11225" s="3"/>
      <c r="C11225" s="3"/>
      <c r="D11225" s="3"/>
      <c r="E11225" s="3"/>
      <c r="F11225" s="3"/>
      <c r="G11225" s="3"/>
      <c r="H11225" s="11"/>
      <c r="I11225" s="12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  <c r="AA11225" s="3"/>
      <c r="AB11225" s="3"/>
      <c r="AC11225" s="3"/>
      <c r="AD11225" s="3"/>
      <c r="AE11225" s="3"/>
      <c r="AF11225" s="3"/>
      <c r="AG11225" s="3"/>
      <c r="AH11225" s="3"/>
    </row>
    <row r="11226" spans="1:34" ht="14.25" customHeight="1" x14ac:dyDescent="0.25">
      <c r="A11226" s="3"/>
      <c r="B11226" s="3"/>
      <c r="C11226" s="3"/>
      <c r="D11226" s="3"/>
      <c r="E11226" s="3"/>
      <c r="F11226" s="3"/>
      <c r="G11226" s="3"/>
      <c r="H11226" s="11"/>
      <c r="I11226" s="12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  <c r="AA11226" s="3"/>
      <c r="AB11226" s="3"/>
      <c r="AC11226" s="3"/>
      <c r="AD11226" s="3"/>
      <c r="AE11226" s="3"/>
      <c r="AF11226" s="3"/>
      <c r="AG11226" s="3"/>
      <c r="AH11226" s="3"/>
    </row>
    <row r="11227" spans="1:34" ht="14.25" customHeight="1" x14ac:dyDescent="0.25">
      <c r="A11227" s="3"/>
      <c r="B11227" s="3"/>
      <c r="C11227" s="3"/>
      <c r="D11227" s="3"/>
      <c r="E11227" s="3"/>
      <c r="F11227" s="3"/>
      <c r="G11227" s="3"/>
      <c r="H11227" s="11"/>
      <c r="I11227" s="12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  <c r="AA11227" s="3"/>
      <c r="AB11227" s="3"/>
      <c r="AC11227" s="3"/>
      <c r="AD11227" s="3"/>
      <c r="AE11227" s="3"/>
      <c r="AF11227" s="3"/>
      <c r="AG11227" s="3"/>
      <c r="AH11227" s="3"/>
    </row>
    <row r="11228" spans="1:34" ht="14.25" customHeight="1" x14ac:dyDescent="0.25">
      <c r="A11228" s="3"/>
      <c r="B11228" s="3"/>
      <c r="C11228" s="3"/>
      <c r="D11228" s="3"/>
      <c r="E11228" s="3"/>
      <c r="F11228" s="3"/>
      <c r="G11228" s="3"/>
      <c r="H11228" s="11"/>
      <c r="I11228" s="12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  <c r="AA11228" s="3"/>
      <c r="AB11228" s="3"/>
      <c r="AC11228" s="3"/>
      <c r="AD11228" s="3"/>
      <c r="AE11228" s="3"/>
      <c r="AF11228" s="3"/>
      <c r="AG11228" s="3"/>
      <c r="AH11228" s="3"/>
    </row>
    <row r="11229" spans="1:34" ht="14.25" customHeight="1" x14ac:dyDescent="0.25">
      <c r="A11229" s="3"/>
      <c r="B11229" s="3"/>
      <c r="C11229" s="3"/>
      <c r="D11229" s="3"/>
      <c r="E11229" s="3"/>
      <c r="F11229" s="3"/>
      <c r="G11229" s="3"/>
      <c r="H11229" s="11"/>
      <c r="I11229" s="12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  <c r="AA11229" s="3"/>
      <c r="AB11229" s="3"/>
      <c r="AC11229" s="3"/>
      <c r="AD11229" s="3"/>
      <c r="AE11229" s="3"/>
      <c r="AF11229" s="3"/>
      <c r="AG11229" s="3"/>
      <c r="AH11229" s="3"/>
    </row>
    <row r="11230" spans="1:34" ht="14.25" customHeight="1" x14ac:dyDescent="0.25">
      <c r="A11230" s="3"/>
      <c r="B11230" s="3"/>
      <c r="C11230" s="3"/>
      <c r="D11230" s="3"/>
      <c r="E11230" s="3"/>
      <c r="F11230" s="3"/>
      <c r="G11230" s="3"/>
      <c r="H11230" s="11"/>
      <c r="I11230" s="12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  <c r="AA11230" s="3"/>
      <c r="AB11230" s="3"/>
      <c r="AC11230" s="3"/>
      <c r="AD11230" s="3"/>
      <c r="AE11230" s="3"/>
      <c r="AF11230" s="3"/>
      <c r="AG11230" s="3"/>
      <c r="AH11230" s="3"/>
    </row>
    <row r="11231" spans="1:34" ht="14.25" customHeight="1" x14ac:dyDescent="0.25">
      <c r="A11231" s="3"/>
      <c r="B11231" s="3"/>
      <c r="C11231" s="3"/>
      <c r="D11231" s="3"/>
      <c r="E11231" s="3"/>
      <c r="F11231" s="3"/>
      <c r="G11231" s="3"/>
      <c r="H11231" s="11"/>
      <c r="I11231" s="12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  <c r="AA11231" s="3"/>
      <c r="AB11231" s="3"/>
      <c r="AC11231" s="3"/>
      <c r="AD11231" s="3"/>
      <c r="AE11231" s="3"/>
      <c r="AF11231" s="3"/>
      <c r="AG11231" s="3"/>
      <c r="AH11231" s="3"/>
    </row>
    <row r="11232" spans="1:34" ht="14.25" customHeight="1" x14ac:dyDescent="0.25">
      <c r="A11232" s="3"/>
      <c r="B11232" s="3"/>
      <c r="C11232" s="3"/>
      <c r="D11232" s="3"/>
      <c r="E11232" s="3"/>
      <c r="F11232" s="3"/>
      <c r="G11232" s="3"/>
      <c r="H11232" s="11"/>
      <c r="I11232" s="12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  <c r="AA11232" s="3"/>
      <c r="AB11232" s="3"/>
      <c r="AC11232" s="3"/>
      <c r="AD11232" s="3"/>
      <c r="AE11232" s="3"/>
      <c r="AF11232" s="3"/>
      <c r="AG11232" s="3"/>
      <c r="AH11232" s="3"/>
    </row>
    <row r="11233" spans="1:34" ht="14.25" customHeight="1" x14ac:dyDescent="0.25">
      <c r="A11233" s="3"/>
      <c r="B11233" s="3"/>
      <c r="C11233" s="3"/>
      <c r="D11233" s="3"/>
      <c r="E11233" s="3"/>
      <c r="F11233" s="3"/>
      <c r="G11233" s="3"/>
      <c r="H11233" s="11"/>
      <c r="I11233" s="12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  <c r="AA11233" s="3"/>
      <c r="AB11233" s="3"/>
      <c r="AC11233" s="3"/>
      <c r="AD11233" s="3"/>
      <c r="AE11233" s="3"/>
      <c r="AF11233" s="3"/>
      <c r="AG11233" s="3"/>
      <c r="AH11233" s="3"/>
    </row>
    <row r="11234" spans="1:34" ht="14.25" customHeight="1" x14ac:dyDescent="0.25">
      <c r="A11234" s="3"/>
      <c r="B11234" s="3"/>
      <c r="C11234" s="3"/>
      <c r="D11234" s="3"/>
      <c r="E11234" s="3"/>
      <c r="F11234" s="3"/>
      <c r="G11234" s="3"/>
      <c r="H11234" s="11"/>
      <c r="I11234" s="12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  <c r="AA11234" s="3"/>
      <c r="AB11234" s="3"/>
      <c r="AC11234" s="3"/>
      <c r="AD11234" s="3"/>
      <c r="AE11234" s="3"/>
      <c r="AF11234" s="3"/>
      <c r="AG11234" s="3"/>
      <c r="AH11234" s="3"/>
    </row>
    <row r="11235" spans="1:34" ht="14.25" customHeight="1" x14ac:dyDescent="0.25">
      <c r="A11235" s="3"/>
      <c r="B11235" s="3"/>
      <c r="C11235" s="3"/>
      <c r="D11235" s="3"/>
      <c r="E11235" s="3"/>
      <c r="F11235" s="3"/>
      <c r="G11235" s="3"/>
      <c r="H11235" s="11"/>
      <c r="I11235" s="12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  <c r="AA11235" s="3"/>
      <c r="AB11235" s="3"/>
      <c r="AC11235" s="3"/>
      <c r="AD11235" s="3"/>
      <c r="AE11235" s="3"/>
      <c r="AF11235" s="3"/>
      <c r="AG11235" s="3"/>
      <c r="AH11235" s="3"/>
    </row>
    <row r="11236" spans="1:34" ht="14.25" customHeight="1" x14ac:dyDescent="0.25">
      <c r="A11236" s="3"/>
      <c r="B11236" s="3"/>
      <c r="C11236" s="3"/>
      <c r="D11236" s="3"/>
      <c r="E11236" s="3"/>
      <c r="F11236" s="3"/>
      <c r="G11236" s="3"/>
      <c r="H11236" s="11"/>
      <c r="I11236" s="12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  <c r="AA11236" s="3"/>
      <c r="AB11236" s="3"/>
      <c r="AC11236" s="3"/>
      <c r="AD11236" s="3"/>
      <c r="AE11236" s="3"/>
      <c r="AF11236" s="3"/>
      <c r="AG11236" s="3"/>
      <c r="AH11236" s="3"/>
    </row>
    <row r="11237" spans="1:34" ht="14.25" customHeight="1" x14ac:dyDescent="0.25">
      <c r="A11237" s="3"/>
      <c r="B11237" s="3"/>
      <c r="C11237" s="3"/>
      <c r="D11237" s="3"/>
      <c r="E11237" s="3"/>
      <c r="F11237" s="3"/>
      <c r="G11237" s="3"/>
      <c r="H11237" s="11"/>
      <c r="I11237" s="12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  <c r="AA11237" s="3"/>
      <c r="AB11237" s="3"/>
      <c r="AC11237" s="3"/>
      <c r="AD11237" s="3"/>
      <c r="AE11237" s="3"/>
      <c r="AF11237" s="3"/>
      <c r="AG11237" s="3"/>
      <c r="AH11237" s="3"/>
    </row>
    <row r="11238" spans="1:34" ht="14.25" customHeight="1" x14ac:dyDescent="0.25">
      <c r="A11238" s="3"/>
      <c r="B11238" s="3"/>
      <c r="C11238" s="3"/>
      <c r="D11238" s="3"/>
      <c r="E11238" s="3"/>
      <c r="F11238" s="3"/>
      <c r="G11238" s="3"/>
      <c r="H11238" s="11"/>
      <c r="I11238" s="12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  <c r="AA11238" s="3"/>
      <c r="AB11238" s="3"/>
      <c r="AC11238" s="3"/>
      <c r="AD11238" s="3"/>
      <c r="AE11238" s="3"/>
      <c r="AF11238" s="3"/>
      <c r="AG11238" s="3"/>
      <c r="AH11238" s="3"/>
    </row>
    <row r="11239" spans="1:34" ht="14.25" customHeight="1" x14ac:dyDescent="0.25">
      <c r="A11239" s="3"/>
      <c r="B11239" s="3"/>
      <c r="C11239" s="3"/>
      <c r="D11239" s="3"/>
      <c r="E11239" s="3"/>
      <c r="F11239" s="3"/>
      <c r="G11239" s="3"/>
      <c r="H11239" s="11"/>
      <c r="I11239" s="12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  <c r="AA11239" s="3"/>
      <c r="AB11239" s="3"/>
      <c r="AC11239" s="3"/>
      <c r="AD11239" s="3"/>
      <c r="AE11239" s="3"/>
      <c r="AF11239" s="3"/>
      <c r="AG11239" s="3"/>
      <c r="AH11239" s="3"/>
    </row>
    <row r="11240" spans="1:34" ht="14.25" customHeight="1" x14ac:dyDescent="0.25">
      <c r="A11240" s="3"/>
      <c r="B11240" s="3"/>
      <c r="C11240" s="3"/>
      <c r="D11240" s="3"/>
      <c r="E11240" s="3"/>
      <c r="F11240" s="3"/>
      <c r="G11240" s="3"/>
      <c r="H11240" s="11"/>
      <c r="I11240" s="12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  <c r="AA11240" s="3"/>
      <c r="AB11240" s="3"/>
      <c r="AC11240" s="3"/>
      <c r="AD11240" s="3"/>
      <c r="AE11240" s="3"/>
      <c r="AF11240" s="3"/>
      <c r="AG11240" s="3"/>
      <c r="AH11240" s="3"/>
    </row>
    <row r="11241" spans="1:34" ht="14.25" customHeight="1" x14ac:dyDescent="0.25">
      <c r="A11241" s="3"/>
      <c r="B11241" s="3"/>
      <c r="C11241" s="3"/>
      <c r="D11241" s="3"/>
      <c r="E11241" s="3"/>
      <c r="F11241" s="3"/>
      <c r="G11241" s="3"/>
      <c r="H11241" s="11"/>
      <c r="I11241" s="12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  <c r="AA11241" s="3"/>
      <c r="AB11241" s="3"/>
      <c r="AC11241" s="3"/>
      <c r="AD11241" s="3"/>
      <c r="AE11241" s="3"/>
      <c r="AF11241" s="3"/>
      <c r="AG11241" s="3"/>
      <c r="AH11241" s="3"/>
    </row>
    <row r="11242" spans="1:34" ht="14.25" customHeight="1" x14ac:dyDescent="0.25">
      <c r="A11242" s="3"/>
      <c r="B11242" s="3"/>
      <c r="C11242" s="3"/>
      <c r="D11242" s="3"/>
      <c r="E11242" s="3"/>
      <c r="F11242" s="3"/>
      <c r="G11242" s="3"/>
      <c r="H11242" s="11"/>
      <c r="I11242" s="12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  <c r="AA11242" s="3"/>
      <c r="AB11242" s="3"/>
      <c r="AC11242" s="3"/>
      <c r="AD11242" s="3"/>
      <c r="AE11242" s="3"/>
      <c r="AF11242" s="3"/>
      <c r="AG11242" s="3"/>
      <c r="AH11242" s="3"/>
    </row>
    <row r="11243" spans="1:34" ht="14.25" customHeight="1" x14ac:dyDescent="0.25">
      <c r="A11243" s="3"/>
      <c r="B11243" s="3"/>
      <c r="C11243" s="3"/>
      <c r="D11243" s="3"/>
      <c r="E11243" s="3"/>
      <c r="F11243" s="3"/>
      <c r="G11243" s="3"/>
      <c r="H11243" s="11"/>
      <c r="I11243" s="12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  <c r="AA11243" s="3"/>
      <c r="AB11243" s="3"/>
      <c r="AC11243" s="3"/>
      <c r="AD11243" s="3"/>
      <c r="AE11243" s="3"/>
      <c r="AF11243" s="3"/>
      <c r="AG11243" s="3"/>
      <c r="AH11243" s="3"/>
    </row>
    <row r="11244" spans="1:34" ht="14.25" customHeight="1" x14ac:dyDescent="0.25">
      <c r="A11244" s="3"/>
      <c r="B11244" s="3"/>
      <c r="C11244" s="3"/>
      <c r="D11244" s="3"/>
      <c r="E11244" s="3"/>
      <c r="F11244" s="3"/>
      <c r="G11244" s="3"/>
      <c r="H11244" s="11"/>
      <c r="I11244" s="12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  <c r="AA11244" s="3"/>
      <c r="AB11244" s="3"/>
      <c r="AC11244" s="3"/>
      <c r="AD11244" s="3"/>
      <c r="AE11244" s="3"/>
      <c r="AF11244" s="3"/>
      <c r="AG11244" s="3"/>
      <c r="AH11244" s="3"/>
    </row>
    <row r="11245" spans="1:34" ht="14.25" customHeight="1" x14ac:dyDescent="0.25">
      <c r="A11245" s="3"/>
      <c r="B11245" s="3"/>
      <c r="C11245" s="3"/>
      <c r="D11245" s="3"/>
      <c r="E11245" s="3"/>
      <c r="F11245" s="3"/>
      <c r="G11245" s="3"/>
      <c r="H11245" s="11"/>
      <c r="I11245" s="12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  <c r="AA11245" s="3"/>
      <c r="AB11245" s="3"/>
      <c r="AC11245" s="3"/>
      <c r="AD11245" s="3"/>
      <c r="AE11245" s="3"/>
      <c r="AF11245" s="3"/>
      <c r="AG11245" s="3"/>
      <c r="AH11245" s="3"/>
    </row>
    <row r="11246" spans="1:34" ht="14.25" customHeight="1" x14ac:dyDescent="0.25">
      <c r="A11246" s="3"/>
      <c r="B11246" s="3"/>
      <c r="C11246" s="3"/>
      <c r="D11246" s="3"/>
      <c r="E11246" s="3"/>
      <c r="F11246" s="3"/>
      <c r="G11246" s="3"/>
      <c r="H11246" s="11"/>
      <c r="I11246" s="12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  <c r="AA11246" s="3"/>
      <c r="AB11246" s="3"/>
      <c r="AC11246" s="3"/>
      <c r="AD11246" s="3"/>
      <c r="AE11246" s="3"/>
      <c r="AF11246" s="3"/>
      <c r="AG11246" s="3"/>
      <c r="AH11246" s="3"/>
    </row>
    <row r="11247" spans="1:34" ht="14.25" customHeight="1" x14ac:dyDescent="0.25">
      <c r="A11247" s="3"/>
      <c r="B11247" s="3"/>
      <c r="C11247" s="3"/>
      <c r="D11247" s="3"/>
      <c r="E11247" s="3"/>
      <c r="F11247" s="3"/>
      <c r="G11247" s="3"/>
      <c r="H11247" s="11"/>
      <c r="I11247" s="12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  <c r="AA11247" s="3"/>
      <c r="AB11247" s="3"/>
      <c r="AC11247" s="3"/>
      <c r="AD11247" s="3"/>
      <c r="AE11247" s="3"/>
      <c r="AF11247" s="3"/>
      <c r="AG11247" s="3"/>
      <c r="AH11247" s="3"/>
    </row>
    <row r="11248" spans="1:34" ht="14.25" customHeight="1" x14ac:dyDescent="0.25">
      <c r="A11248" s="3"/>
      <c r="B11248" s="3"/>
      <c r="C11248" s="3"/>
      <c r="D11248" s="3"/>
      <c r="E11248" s="3"/>
      <c r="F11248" s="3"/>
      <c r="G11248" s="3"/>
      <c r="H11248" s="11"/>
      <c r="I11248" s="12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  <c r="AA11248" s="3"/>
      <c r="AB11248" s="3"/>
      <c r="AC11248" s="3"/>
      <c r="AD11248" s="3"/>
      <c r="AE11248" s="3"/>
      <c r="AF11248" s="3"/>
      <c r="AG11248" s="3"/>
      <c r="AH11248" s="3"/>
    </row>
    <row r="11249" spans="1:34" ht="14.25" customHeight="1" x14ac:dyDescent="0.25">
      <c r="A11249" s="3"/>
      <c r="B11249" s="3"/>
      <c r="C11249" s="3"/>
      <c r="D11249" s="3"/>
      <c r="E11249" s="3"/>
      <c r="F11249" s="3"/>
      <c r="G11249" s="3"/>
      <c r="H11249" s="11"/>
      <c r="I11249" s="12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  <c r="AA11249" s="3"/>
      <c r="AB11249" s="3"/>
      <c r="AC11249" s="3"/>
      <c r="AD11249" s="3"/>
      <c r="AE11249" s="3"/>
      <c r="AF11249" s="3"/>
      <c r="AG11249" s="3"/>
      <c r="AH11249" s="3"/>
    </row>
    <row r="11250" spans="1:34" ht="14.25" customHeight="1" x14ac:dyDescent="0.25">
      <c r="A11250" s="3"/>
      <c r="B11250" s="3"/>
      <c r="C11250" s="3"/>
      <c r="D11250" s="3"/>
      <c r="E11250" s="3"/>
      <c r="F11250" s="3"/>
      <c r="G11250" s="3"/>
      <c r="H11250" s="11"/>
      <c r="I11250" s="12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  <c r="AA11250" s="3"/>
      <c r="AB11250" s="3"/>
      <c r="AC11250" s="3"/>
      <c r="AD11250" s="3"/>
      <c r="AE11250" s="3"/>
      <c r="AF11250" s="3"/>
      <c r="AG11250" s="3"/>
      <c r="AH11250" s="3"/>
    </row>
    <row r="11251" spans="1:34" ht="14.25" customHeight="1" x14ac:dyDescent="0.25">
      <c r="A11251" s="3"/>
      <c r="B11251" s="3"/>
      <c r="C11251" s="3"/>
      <c r="D11251" s="3"/>
      <c r="E11251" s="3"/>
      <c r="F11251" s="3"/>
      <c r="G11251" s="3"/>
      <c r="H11251" s="11"/>
      <c r="I11251" s="12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  <c r="AA11251" s="3"/>
      <c r="AB11251" s="3"/>
      <c r="AC11251" s="3"/>
      <c r="AD11251" s="3"/>
      <c r="AE11251" s="3"/>
      <c r="AF11251" s="3"/>
      <c r="AG11251" s="3"/>
      <c r="AH11251" s="3"/>
    </row>
    <row r="11252" spans="1:34" ht="14.25" customHeight="1" x14ac:dyDescent="0.25">
      <c r="A11252" s="3"/>
      <c r="B11252" s="3"/>
      <c r="C11252" s="3"/>
      <c r="D11252" s="3"/>
      <c r="E11252" s="3"/>
      <c r="F11252" s="3"/>
      <c r="G11252" s="3"/>
      <c r="H11252" s="11"/>
      <c r="I11252" s="12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  <c r="AA11252" s="3"/>
      <c r="AB11252" s="3"/>
      <c r="AC11252" s="3"/>
      <c r="AD11252" s="3"/>
      <c r="AE11252" s="3"/>
      <c r="AF11252" s="3"/>
      <c r="AG11252" s="3"/>
      <c r="AH11252" s="3"/>
    </row>
    <row r="11253" spans="1:34" ht="14.25" customHeight="1" x14ac:dyDescent="0.25">
      <c r="A11253" s="3"/>
      <c r="B11253" s="3"/>
      <c r="C11253" s="3"/>
      <c r="D11253" s="3"/>
      <c r="E11253" s="3"/>
      <c r="F11253" s="3"/>
      <c r="G11253" s="3"/>
      <c r="H11253" s="11"/>
      <c r="I11253" s="12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  <c r="AA11253" s="3"/>
      <c r="AB11253" s="3"/>
      <c r="AC11253" s="3"/>
      <c r="AD11253" s="3"/>
      <c r="AE11253" s="3"/>
      <c r="AF11253" s="3"/>
      <c r="AG11253" s="3"/>
      <c r="AH11253" s="3"/>
    </row>
    <row r="11254" spans="1:34" ht="14.25" customHeight="1" x14ac:dyDescent="0.25">
      <c r="A11254" s="3"/>
      <c r="B11254" s="3"/>
      <c r="C11254" s="3"/>
      <c r="D11254" s="3"/>
      <c r="E11254" s="3"/>
      <c r="F11254" s="3"/>
      <c r="G11254" s="3"/>
      <c r="H11254" s="11"/>
      <c r="I11254" s="12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  <c r="AA11254" s="3"/>
      <c r="AB11254" s="3"/>
      <c r="AC11254" s="3"/>
      <c r="AD11254" s="3"/>
      <c r="AE11254" s="3"/>
      <c r="AF11254" s="3"/>
      <c r="AG11254" s="3"/>
      <c r="AH11254" s="3"/>
    </row>
    <row r="11255" spans="1:34" ht="14.25" customHeight="1" x14ac:dyDescent="0.25">
      <c r="A11255" s="3"/>
      <c r="B11255" s="3"/>
      <c r="C11255" s="3"/>
      <c r="D11255" s="3"/>
      <c r="E11255" s="3"/>
      <c r="F11255" s="3"/>
      <c r="G11255" s="3"/>
      <c r="H11255" s="11"/>
      <c r="I11255" s="12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  <c r="AA11255" s="3"/>
      <c r="AB11255" s="3"/>
      <c r="AC11255" s="3"/>
      <c r="AD11255" s="3"/>
      <c r="AE11255" s="3"/>
      <c r="AF11255" s="3"/>
      <c r="AG11255" s="3"/>
      <c r="AH11255" s="3"/>
    </row>
    <row r="11256" spans="1:34" ht="14.25" customHeight="1" x14ac:dyDescent="0.25">
      <c r="A11256" s="3"/>
      <c r="B11256" s="3"/>
      <c r="C11256" s="3"/>
      <c r="D11256" s="3"/>
      <c r="E11256" s="3"/>
      <c r="F11256" s="3"/>
      <c r="G11256" s="3"/>
      <c r="H11256" s="11"/>
      <c r="I11256" s="12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  <c r="AA11256" s="3"/>
      <c r="AB11256" s="3"/>
      <c r="AC11256" s="3"/>
      <c r="AD11256" s="3"/>
      <c r="AE11256" s="3"/>
      <c r="AF11256" s="3"/>
      <c r="AG11256" s="3"/>
      <c r="AH11256" s="3"/>
    </row>
    <row r="11257" spans="1:34" ht="14.25" customHeight="1" x14ac:dyDescent="0.25">
      <c r="A11257" s="3"/>
      <c r="B11257" s="3"/>
      <c r="C11257" s="3"/>
      <c r="D11257" s="3"/>
      <c r="E11257" s="3"/>
      <c r="F11257" s="3"/>
      <c r="G11257" s="3"/>
      <c r="H11257" s="11"/>
      <c r="I11257" s="12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  <c r="AA11257" s="3"/>
      <c r="AB11257" s="3"/>
      <c r="AC11257" s="3"/>
      <c r="AD11257" s="3"/>
      <c r="AE11257" s="3"/>
      <c r="AF11257" s="3"/>
      <c r="AG11257" s="3"/>
      <c r="AH11257" s="3"/>
    </row>
    <row r="11258" spans="1:34" ht="14.25" customHeight="1" x14ac:dyDescent="0.25">
      <c r="A11258" s="3"/>
      <c r="B11258" s="3"/>
      <c r="C11258" s="3"/>
      <c r="D11258" s="3"/>
      <c r="E11258" s="3"/>
      <c r="F11258" s="3"/>
      <c r="G11258" s="3"/>
      <c r="H11258" s="11"/>
      <c r="I11258" s="12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  <c r="AA11258" s="3"/>
      <c r="AB11258" s="3"/>
      <c r="AC11258" s="3"/>
      <c r="AD11258" s="3"/>
      <c r="AE11258" s="3"/>
      <c r="AF11258" s="3"/>
      <c r="AG11258" s="3"/>
      <c r="AH11258" s="3"/>
    </row>
    <row r="11259" spans="1:34" ht="14.25" customHeight="1" x14ac:dyDescent="0.25">
      <c r="A11259" s="3"/>
      <c r="B11259" s="3"/>
      <c r="C11259" s="3"/>
      <c r="D11259" s="3"/>
      <c r="E11259" s="3"/>
      <c r="F11259" s="3"/>
      <c r="G11259" s="3"/>
      <c r="H11259" s="11"/>
      <c r="I11259" s="12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  <c r="AA11259" s="3"/>
      <c r="AB11259" s="3"/>
      <c r="AC11259" s="3"/>
      <c r="AD11259" s="3"/>
      <c r="AE11259" s="3"/>
      <c r="AF11259" s="3"/>
      <c r="AG11259" s="3"/>
      <c r="AH11259" s="3"/>
    </row>
    <row r="11260" spans="1:34" ht="14.25" customHeight="1" x14ac:dyDescent="0.25">
      <c r="A11260" s="3"/>
      <c r="B11260" s="3"/>
      <c r="C11260" s="3"/>
      <c r="D11260" s="3"/>
      <c r="E11260" s="3"/>
      <c r="F11260" s="3"/>
      <c r="G11260" s="3"/>
      <c r="H11260" s="11"/>
      <c r="I11260" s="12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  <c r="AA11260" s="3"/>
      <c r="AB11260" s="3"/>
      <c r="AC11260" s="3"/>
      <c r="AD11260" s="3"/>
      <c r="AE11260" s="3"/>
      <c r="AF11260" s="3"/>
      <c r="AG11260" s="3"/>
      <c r="AH11260" s="3"/>
    </row>
    <row r="11261" spans="1:34" ht="14.25" customHeight="1" x14ac:dyDescent="0.25">
      <c r="A11261" s="3"/>
      <c r="B11261" s="3"/>
      <c r="C11261" s="3"/>
      <c r="D11261" s="3"/>
      <c r="E11261" s="3"/>
      <c r="F11261" s="3"/>
      <c r="G11261" s="3"/>
      <c r="H11261" s="11"/>
      <c r="I11261" s="12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  <c r="AA11261" s="3"/>
      <c r="AB11261" s="3"/>
      <c r="AC11261" s="3"/>
      <c r="AD11261" s="3"/>
      <c r="AE11261" s="3"/>
      <c r="AF11261" s="3"/>
      <c r="AG11261" s="3"/>
      <c r="AH11261" s="3"/>
    </row>
    <row r="11262" spans="1:34" ht="14.25" customHeight="1" x14ac:dyDescent="0.25">
      <c r="A11262" s="3"/>
      <c r="B11262" s="3"/>
      <c r="C11262" s="3"/>
      <c r="D11262" s="3"/>
      <c r="E11262" s="3"/>
      <c r="F11262" s="3"/>
      <c r="G11262" s="3"/>
      <c r="H11262" s="11"/>
      <c r="I11262" s="12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  <c r="AA11262" s="3"/>
      <c r="AB11262" s="3"/>
      <c r="AC11262" s="3"/>
      <c r="AD11262" s="3"/>
      <c r="AE11262" s="3"/>
      <c r="AF11262" s="3"/>
      <c r="AG11262" s="3"/>
      <c r="AH11262" s="3"/>
    </row>
    <row r="11263" spans="1:34" ht="14.25" customHeight="1" x14ac:dyDescent="0.25">
      <c r="A11263" s="3"/>
      <c r="B11263" s="3"/>
      <c r="C11263" s="3"/>
      <c r="D11263" s="3"/>
      <c r="E11263" s="3"/>
      <c r="F11263" s="3"/>
      <c r="G11263" s="3"/>
      <c r="H11263" s="11"/>
      <c r="I11263" s="12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  <c r="AA11263" s="3"/>
      <c r="AB11263" s="3"/>
      <c r="AC11263" s="3"/>
      <c r="AD11263" s="3"/>
      <c r="AE11263" s="3"/>
      <c r="AF11263" s="3"/>
      <c r="AG11263" s="3"/>
      <c r="AH11263" s="3"/>
    </row>
    <row r="11264" spans="1:34" ht="14.25" customHeight="1" x14ac:dyDescent="0.25">
      <c r="A11264" s="3"/>
      <c r="B11264" s="3"/>
      <c r="C11264" s="3"/>
      <c r="D11264" s="3"/>
      <c r="E11264" s="3"/>
      <c r="F11264" s="3"/>
      <c r="G11264" s="3"/>
      <c r="H11264" s="11"/>
      <c r="I11264" s="12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  <c r="AA11264" s="3"/>
      <c r="AB11264" s="3"/>
      <c r="AC11264" s="3"/>
      <c r="AD11264" s="3"/>
      <c r="AE11264" s="3"/>
      <c r="AF11264" s="3"/>
      <c r="AG11264" s="3"/>
      <c r="AH11264" s="3"/>
    </row>
    <row r="11265" spans="1:34" ht="14.25" customHeight="1" x14ac:dyDescent="0.25">
      <c r="A11265" s="3"/>
      <c r="B11265" s="3"/>
      <c r="C11265" s="3"/>
      <c r="D11265" s="3"/>
      <c r="E11265" s="3"/>
      <c r="F11265" s="3"/>
      <c r="G11265" s="3"/>
      <c r="H11265" s="11"/>
      <c r="I11265" s="12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  <c r="AA11265" s="3"/>
      <c r="AB11265" s="3"/>
      <c r="AC11265" s="3"/>
      <c r="AD11265" s="3"/>
      <c r="AE11265" s="3"/>
      <c r="AF11265" s="3"/>
      <c r="AG11265" s="3"/>
      <c r="AH11265" s="3"/>
    </row>
    <row r="11266" spans="1:34" ht="14.25" customHeight="1" x14ac:dyDescent="0.25">
      <c r="A11266" s="3"/>
      <c r="B11266" s="3"/>
      <c r="C11266" s="3"/>
      <c r="D11266" s="3"/>
      <c r="E11266" s="3"/>
      <c r="F11266" s="3"/>
      <c r="G11266" s="3"/>
      <c r="H11266" s="11"/>
      <c r="I11266" s="12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  <c r="AA11266" s="3"/>
      <c r="AB11266" s="3"/>
      <c r="AC11266" s="3"/>
      <c r="AD11266" s="3"/>
      <c r="AE11266" s="3"/>
      <c r="AF11266" s="3"/>
      <c r="AG11266" s="3"/>
      <c r="AH11266" s="3"/>
    </row>
    <row r="11267" spans="1:34" ht="14.25" customHeight="1" x14ac:dyDescent="0.25">
      <c r="A11267" s="3"/>
      <c r="B11267" s="3"/>
      <c r="C11267" s="3"/>
      <c r="D11267" s="3"/>
      <c r="E11267" s="3"/>
      <c r="F11267" s="3"/>
      <c r="G11267" s="3"/>
      <c r="H11267" s="11"/>
      <c r="I11267" s="12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  <c r="AA11267" s="3"/>
      <c r="AB11267" s="3"/>
      <c r="AC11267" s="3"/>
      <c r="AD11267" s="3"/>
      <c r="AE11267" s="3"/>
      <c r="AF11267" s="3"/>
      <c r="AG11267" s="3"/>
      <c r="AH11267" s="3"/>
    </row>
    <row r="11268" spans="1:34" ht="14.25" customHeight="1" x14ac:dyDescent="0.25">
      <c r="A11268" s="3"/>
      <c r="B11268" s="3"/>
      <c r="C11268" s="3"/>
      <c r="D11268" s="3"/>
      <c r="E11268" s="3"/>
      <c r="F11268" s="3"/>
      <c r="G11268" s="3"/>
      <c r="H11268" s="11"/>
      <c r="I11268" s="12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  <c r="AA11268" s="3"/>
      <c r="AB11268" s="3"/>
      <c r="AC11268" s="3"/>
      <c r="AD11268" s="3"/>
      <c r="AE11268" s="3"/>
      <c r="AF11268" s="3"/>
      <c r="AG11268" s="3"/>
      <c r="AH11268" s="3"/>
    </row>
    <row r="11269" spans="1:34" ht="14.25" customHeight="1" x14ac:dyDescent="0.25">
      <c r="A11269" s="3"/>
      <c r="B11269" s="3"/>
      <c r="C11269" s="3"/>
      <c r="D11269" s="3"/>
      <c r="E11269" s="3"/>
      <c r="F11269" s="3"/>
      <c r="G11269" s="3"/>
      <c r="H11269" s="11"/>
      <c r="I11269" s="12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  <c r="AA11269" s="3"/>
      <c r="AB11269" s="3"/>
      <c r="AC11269" s="3"/>
      <c r="AD11269" s="3"/>
      <c r="AE11269" s="3"/>
      <c r="AF11269" s="3"/>
      <c r="AG11269" s="3"/>
      <c r="AH11269" s="3"/>
    </row>
    <row r="11270" spans="1:34" ht="14.25" customHeight="1" x14ac:dyDescent="0.25">
      <c r="A11270" s="3"/>
      <c r="B11270" s="3"/>
      <c r="C11270" s="3"/>
      <c r="D11270" s="3"/>
      <c r="E11270" s="3"/>
      <c r="F11270" s="3"/>
      <c r="G11270" s="3"/>
      <c r="H11270" s="11"/>
      <c r="I11270" s="12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  <c r="AA11270" s="3"/>
      <c r="AB11270" s="3"/>
      <c r="AC11270" s="3"/>
      <c r="AD11270" s="3"/>
      <c r="AE11270" s="3"/>
      <c r="AF11270" s="3"/>
      <c r="AG11270" s="3"/>
      <c r="AH11270" s="3"/>
    </row>
    <row r="11271" spans="1:34" ht="14.25" customHeight="1" x14ac:dyDescent="0.25">
      <c r="A11271" s="3"/>
      <c r="B11271" s="3"/>
      <c r="C11271" s="3"/>
      <c r="D11271" s="3"/>
      <c r="E11271" s="3"/>
      <c r="F11271" s="3"/>
      <c r="G11271" s="3"/>
      <c r="H11271" s="11"/>
      <c r="I11271" s="12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  <c r="AA11271" s="3"/>
      <c r="AB11271" s="3"/>
      <c r="AC11271" s="3"/>
      <c r="AD11271" s="3"/>
      <c r="AE11271" s="3"/>
      <c r="AF11271" s="3"/>
      <c r="AG11271" s="3"/>
      <c r="AH11271" s="3"/>
    </row>
    <row r="11272" spans="1:34" ht="14.25" customHeight="1" x14ac:dyDescent="0.25">
      <c r="A11272" s="3"/>
      <c r="B11272" s="3"/>
      <c r="C11272" s="3"/>
      <c r="D11272" s="3"/>
      <c r="E11272" s="3"/>
      <c r="F11272" s="3"/>
      <c r="G11272" s="3"/>
      <c r="H11272" s="11"/>
      <c r="I11272" s="12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  <c r="AA11272" s="3"/>
      <c r="AB11272" s="3"/>
      <c r="AC11272" s="3"/>
      <c r="AD11272" s="3"/>
      <c r="AE11272" s="3"/>
      <c r="AF11272" s="3"/>
      <c r="AG11272" s="3"/>
      <c r="AH11272" s="3"/>
    </row>
    <row r="11273" spans="1:34" ht="14.25" customHeight="1" x14ac:dyDescent="0.25">
      <c r="A11273" s="3"/>
      <c r="B11273" s="3"/>
      <c r="C11273" s="3"/>
      <c r="D11273" s="3"/>
      <c r="E11273" s="3"/>
      <c r="F11273" s="3"/>
      <c r="G11273" s="3"/>
      <c r="H11273" s="11"/>
      <c r="I11273" s="12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  <c r="AA11273" s="3"/>
      <c r="AB11273" s="3"/>
      <c r="AC11273" s="3"/>
      <c r="AD11273" s="3"/>
      <c r="AE11273" s="3"/>
      <c r="AF11273" s="3"/>
      <c r="AG11273" s="3"/>
      <c r="AH11273" s="3"/>
    </row>
    <row r="11274" spans="1:34" ht="14.25" customHeight="1" x14ac:dyDescent="0.25">
      <c r="A11274" s="3"/>
      <c r="B11274" s="3"/>
      <c r="C11274" s="3"/>
      <c r="D11274" s="3"/>
      <c r="E11274" s="3"/>
      <c r="F11274" s="3"/>
      <c r="G11274" s="3"/>
      <c r="H11274" s="11"/>
      <c r="I11274" s="12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  <c r="AA11274" s="3"/>
      <c r="AB11274" s="3"/>
      <c r="AC11274" s="3"/>
      <c r="AD11274" s="3"/>
      <c r="AE11274" s="3"/>
      <c r="AF11274" s="3"/>
      <c r="AG11274" s="3"/>
      <c r="AH11274" s="3"/>
    </row>
    <row r="11275" spans="1:34" ht="14.25" customHeight="1" x14ac:dyDescent="0.25">
      <c r="A11275" s="3"/>
      <c r="B11275" s="3"/>
      <c r="C11275" s="3"/>
      <c r="D11275" s="3"/>
      <c r="E11275" s="3"/>
      <c r="F11275" s="3"/>
      <c r="G11275" s="3"/>
      <c r="H11275" s="11"/>
      <c r="I11275" s="12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  <c r="AA11275" s="3"/>
      <c r="AB11275" s="3"/>
      <c r="AC11275" s="3"/>
      <c r="AD11275" s="3"/>
      <c r="AE11275" s="3"/>
      <c r="AF11275" s="3"/>
      <c r="AG11275" s="3"/>
      <c r="AH11275" s="3"/>
    </row>
    <row r="11276" spans="1:34" ht="14.25" customHeight="1" x14ac:dyDescent="0.25">
      <c r="A11276" s="3"/>
      <c r="B11276" s="3"/>
      <c r="C11276" s="3"/>
      <c r="D11276" s="3"/>
      <c r="E11276" s="3"/>
      <c r="F11276" s="3"/>
      <c r="G11276" s="3"/>
      <c r="H11276" s="11"/>
      <c r="I11276" s="12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  <c r="AA11276" s="3"/>
      <c r="AB11276" s="3"/>
      <c r="AC11276" s="3"/>
      <c r="AD11276" s="3"/>
      <c r="AE11276" s="3"/>
      <c r="AF11276" s="3"/>
      <c r="AG11276" s="3"/>
      <c r="AH11276" s="3"/>
    </row>
    <row r="11277" spans="1:34" ht="14.25" customHeight="1" x14ac:dyDescent="0.25">
      <c r="A11277" s="3"/>
      <c r="B11277" s="3"/>
      <c r="C11277" s="3"/>
      <c r="D11277" s="3"/>
      <c r="E11277" s="3"/>
      <c r="F11277" s="3"/>
      <c r="G11277" s="3"/>
      <c r="H11277" s="11"/>
      <c r="I11277" s="12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  <c r="AA11277" s="3"/>
      <c r="AB11277" s="3"/>
      <c r="AC11277" s="3"/>
      <c r="AD11277" s="3"/>
      <c r="AE11277" s="3"/>
      <c r="AF11277" s="3"/>
      <c r="AG11277" s="3"/>
      <c r="AH11277" s="3"/>
    </row>
    <row r="11278" spans="1:34" ht="14.25" customHeight="1" x14ac:dyDescent="0.25">
      <c r="A11278" s="3"/>
      <c r="B11278" s="3"/>
      <c r="C11278" s="3"/>
      <c r="D11278" s="3"/>
      <c r="E11278" s="3"/>
      <c r="F11278" s="3"/>
      <c r="G11278" s="3"/>
      <c r="H11278" s="11"/>
      <c r="I11278" s="12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  <c r="AA11278" s="3"/>
      <c r="AB11278" s="3"/>
      <c r="AC11278" s="3"/>
      <c r="AD11278" s="3"/>
      <c r="AE11278" s="3"/>
      <c r="AF11278" s="3"/>
      <c r="AG11278" s="3"/>
      <c r="AH11278" s="3"/>
    </row>
    <row r="11279" spans="1:34" ht="14.25" customHeight="1" x14ac:dyDescent="0.25">
      <c r="A11279" s="3"/>
      <c r="B11279" s="3"/>
      <c r="C11279" s="3"/>
      <c r="D11279" s="3"/>
      <c r="E11279" s="3"/>
      <c r="F11279" s="3"/>
      <c r="G11279" s="3"/>
      <c r="H11279" s="11"/>
      <c r="I11279" s="12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  <c r="AA11279" s="3"/>
      <c r="AB11279" s="3"/>
      <c r="AC11279" s="3"/>
      <c r="AD11279" s="3"/>
      <c r="AE11279" s="3"/>
      <c r="AF11279" s="3"/>
      <c r="AG11279" s="3"/>
      <c r="AH11279" s="3"/>
    </row>
    <row r="11280" spans="1:34" ht="14.25" customHeight="1" x14ac:dyDescent="0.25">
      <c r="A11280" s="3"/>
      <c r="B11280" s="3"/>
      <c r="C11280" s="3"/>
      <c r="D11280" s="3"/>
      <c r="E11280" s="3"/>
      <c r="F11280" s="3"/>
      <c r="G11280" s="3"/>
      <c r="H11280" s="11"/>
      <c r="I11280" s="12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  <c r="AA11280" s="3"/>
      <c r="AB11280" s="3"/>
      <c r="AC11280" s="3"/>
      <c r="AD11280" s="3"/>
      <c r="AE11280" s="3"/>
      <c r="AF11280" s="3"/>
      <c r="AG11280" s="3"/>
      <c r="AH11280" s="3"/>
    </row>
    <row r="11281" spans="1:34" ht="14.25" customHeight="1" x14ac:dyDescent="0.25">
      <c r="A11281" s="3"/>
      <c r="B11281" s="3"/>
      <c r="C11281" s="3"/>
      <c r="D11281" s="3"/>
      <c r="E11281" s="3"/>
      <c r="F11281" s="3"/>
      <c r="G11281" s="3"/>
      <c r="H11281" s="11"/>
      <c r="I11281" s="12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  <c r="AA11281" s="3"/>
      <c r="AB11281" s="3"/>
      <c r="AC11281" s="3"/>
      <c r="AD11281" s="3"/>
      <c r="AE11281" s="3"/>
      <c r="AF11281" s="3"/>
      <c r="AG11281" s="3"/>
      <c r="AH11281" s="3"/>
    </row>
    <row r="11282" spans="1:34" ht="14.25" customHeight="1" x14ac:dyDescent="0.25">
      <c r="A11282" s="3"/>
      <c r="B11282" s="3"/>
      <c r="C11282" s="3"/>
      <c r="D11282" s="3"/>
      <c r="E11282" s="3"/>
      <c r="F11282" s="3"/>
      <c r="G11282" s="3"/>
      <c r="H11282" s="11"/>
      <c r="I11282" s="12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  <c r="AA11282" s="3"/>
      <c r="AB11282" s="3"/>
      <c r="AC11282" s="3"/>
      <c r="AD11282" s="3"/>
      <c r="AE11282" s="3"/>
      <c r="AF11282" s="3"/>
      <c r="AG11282" s="3"/>
      <c r="AH11282" s="3"/>
    </row>
    <row r="11283" spans="1:34" ht="14.25" customHeight="1" x14ac:dyDescent="0.25">
      <c r="A11283" s="3"/>
      <c r="B11283" s="3"/>
      <c r="C11283" s="3"/>
      <c r="D11283" s="3"/>
      <c r="E11283" s="3"/>
      <c r="F11283" s="3"/>
      <c r="G11283" s="3"/>
      <c r="H11283" s="11"/>
      <c r="I11283" s="12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  <c r="AA11283" s="3"/>
      <c r="AB11283" s="3"/>
      <c r="AC11283" s="3"/>
      <c r="AD11283" s="3"/>
      <c r="AE11283" s="3"/>
      <c r="AF11283" s="3"/>
      <c r="AG11283" s="3"/>
      <c r="AH11283" s="3"/>
    </row>
    <row r="11284" spans="1:34" ht="14.25" customHeight="1" x14ac:dyDescent="0.25">
      <c r="A11284" s="3"/>
      <c r="B11284" s="3"/>
      <c r="C11284" s="3"/>
      <c r="D11284" s="3"/>
      <c r="E11284" s="3"/>
      <c r="F11284" s="3"/>
      <c r="G11284" s="3"/>
      <c r="H11284" s="11"/>
      <c r="I11284" s="12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  <c r="AA11284" s="3"/>
      <c r="AB11284" s="3"/>
      <c r="AC11284" s="3"/>
      <c r="AD11284" s="3"/>
      <c r="AE11284" s="3"/>
      <c r="AF11284" s="3"/>
      <c r="AG11284" s="3"/>
      <c r="AH11284" s="3"/>
    </row>
    <row r="11285" spans="1:34" ht="14.25" customHeight="1" x14ac:dyDescent="0.25">
      <c r="A11285" s="3"/>
      <c r="B11285" s="3"/>
      <c r="C11285" s="3"/>
      <c r="D11285" s="3"/>
      <c r="E11285" s="3"/>
      <c r="F11285" s="3"/>
      <c r="G11285" s="3"/>
      <c r="H11285" s="11"/>
      <c r="I11285" s="12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  <c r="AA11285" s="3"/>
      <c r="AB11285" s="3"/>
      <c r="AC11285" s="3"/>
      <c r="AD11285" s="3"/>
      <c r="AE11285" s="3"/>
      <c r="AF11285" s="3"/>
      <c r="AG11285" s="3"/>
      <c r="AH11285" s="3"/>
    </row>
    <row r="11286" spans="1:34" ht="14.25" customHeight="1" x14ac:dyDescent="0.25">
      <c r="A11286" s="3"/>
      <c r="B11286" s="3"/>
      <c r="C11286" s="3"/>
      <c r="D11286" s="3"/>
      <c r="E11286" s="3"/>
      <c r="F11286" s="3"/>
      <c r="G11286" s="3"/>
      <c r="H11286" s="11"/>
      <c r="I11286" s="12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  <c r="AA11286" s="3"/>
      <c r="AB11286" s="3"/>
      <c r="AC11286" s="3"/>
      <c r="AD11286" s="3"/>
      <c r="AE11286" s="3"/>
      <c r="AF11286" s="3"/>
      <c r="AG11286" s="3"/>
      <c r="AH11286" s="3"/>
    </row>
    <row r="11287" spans="1:34" ht="14.25" customHeight="1" x14ac:dyDescent="0.25">
      <c r="A11287" s="3"/>
      <c r="B11287" s="3"/>
      <c r="C11287" s="3"/>
      <c r="D11287" s="3"/>
      <c r="E11287" s="3"/>
      <c r="F11287" s="3"/>
      <c r="G11287" s="3"/>
      <c r="H11287" s="11"/>
      <c r="I11287" s="12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  <c r="AA11287" s="3"/>
      <c r="AB11287" s="3"/>
      <c r="AC11287" s="3"/>
      <c r="AD11287" s="3"/>
      <c r="AE11287" s="3"/>
      <c r="AF11287" s="3"/>
      <c r="AG11287" s="3"/>
      <c r="AH11287" s="3"/>
    </row>
    <row r="11288" spans="1:34" ht="14.25" customHeight="1" x14ac:dyDescent="0.25">
      <c r="A11288" s="3"/>
      <c r="B11288" s="3"/>
      <c r="C11288" s="3"/>
      <c r="D11288" s="3"/>
      <c r="E11288" s="3"/>
      <c r="F11288" s="3"/>
      <c r="G11288" s="3"/>
      <c r="H11288" s="11"/>
      <c r="I11288" s="12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  <c r="AA11288" s="3"/>
      <c r="AB11288" s="3"/>
      <c r="AC11288" s="3"/>
      <c r="AD11288" s="3"/>
      <c r="AE11288" s="3"/>
      <c r="AF11288" s="3"/>
      <c r="AG11288" s="3"/>
      <c r="AH11288" s="3"/>
    </row>
    <row r="11289" spans="1:34" ht="14.25" customHeight="1" x14ac:dyDescent="0.25">
      <c r="A11289" s="3"/>
      <c r="B11289" s="3"/>
      <c r="C11289" s="3"/>
      <c r="D11289" s="3"/>
      <c r="E11289" s="3"/>
      <c r="F11289" s="3"/>
      <c r="G11289" s="3"/>
      <c r="H11289" s="11"/>
      <c r="I11289" s="12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  <c r="AA11289" s="3"/>
      <c r="AB11289" s="3"/>
      <c r="AC11289" s="3"/>
      <c r="AD11289" s="3"/>
      <c r="AE11289" s="3"/>
      <c r="AF11289" s="3"/>
      <c r="AG11289" s="3"/>
      <c r="AH11289" s="3"/>
    </row>
    <row r="11290" spans="1:34" ht="14.25" customHeight="1" x14ac:dyDescent="0.25">
      <c r="A11290" s="3"/>
      <c r="B11290" s="3"/>
      <c r="C11290" s="3"/>
      <c r="D11290" s="3"/>
      <c r="E11290" s="3"/>
      <c r="F11290" s="3"/>
      <c r="G11290" s="3"/>
      <c r="H11290" s="11"/>
      <c r="I11290" s="12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  <c r="AA11290" s="3"/>
      <c r="AB11290" s="3"/>
      <c r="AC11290" s="3"/>
      <c r="AD11290" s="3"/>
      <c r="AE11290" s="3"/>
      <c r="AF11290" s="3"/>
      <c r="AG11290" s="3"/>
      <c r="AH11290" s="3"/>
    </row>
    <row r="11291" spans="1:34" ht="14.25" customHeight="1" x14ac:dyDescent="0.25">
      <c r="A11291" s="3"/>
      <c r="B11291" s="3"/>
      <c r="C11291" s="3"/>
      <c r="D11291" s="3"/>
      <c r="E11291" s="3"/>
      <c r="F11291" s="3"/>
      <c r="G11291" s="3"/>
      <c r="H11291" s="11"/>
      <c r="I11291" s="12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  <c r="AA11291" s="3"/>
      <c r="AB11291" s="3"/>
      <c r="AC11291" s="3"/>
      <c r="AD11291" s="3"/>
      <c r="AE11291" s="3"/>
      <c r="AF11291" s="3"/>
      <c r="AG11291" s="3"/>
      <c r="AH11291" s="3"/>
    </row>
    <row r="11292" spans="1:34" ht="14.25" customHeight="1" x14ac:dyDescent="0.25">
      <c r="A11292" s="3"/>
      <c r="B11292" s="3"/>
      <c r="C11292" s="3"/>
      <c r="D11292" s="3"/>
      <c r="E11292" s="3"/>
      <c r="F11292" s="3"/>
      <c r="G11292" s="3"/>
      <c r="H11292" s="11"/>
      <c r="I11292" s="12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  <c r="AA11292" s="3"/>
      <c r="AB11292" s="3"/>
      <c r="AC11292" s="3"/>
      <c r="AD11292" s="3"/>
      <c r="AE11292" s="3"/>
      <c r="AF11292" s="3"/>
      <c r="AG11292" s="3"/>
      <c r="AH11292" s="3"/>
    </row>
    <row r="11293" spans="1:34" ht="14.25" customHeight="1" x14ac:dyDescent="0.25">
      <c r="A11293" s="3"/>
      <c r="B11293" s="3"/>
      <c r="C11293" s="3"/>
      <c r="D11293" s="3"/>
      <c r="E11293" s="3"/>
      <c r="F11293" s="3"/>
      <c r="G11293" s="3"/>
      <c r="H11293" s="11"/>
      <c r="I11293" s="12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  <c r="AA11293" s="3"/>
      <c r="AB11293" s="3"/>
      <c r="AC11293" s="3"/>
      <c r="AD11293" s="3"/>
      <c r="AE11293" s="3"/>
      <c r="AF11293" s="3"/>
      <c r="AG11293" s="3"/>
      <c r="AH11293" s="3"/>
    </row>
    <row r="11294" spans="1:34" ht="14.25" customHeight="1" x14ac:dyDescent="0.25">
      <c r="A11294" s="3"/>
      <c r="B11294" s="3"/>
      <c r="C11294" s="3"/>
      <c r="D11294" s="3"/>
      <c r="E11294" s="3"/>
      <c r="F11294" s="3"/>
      <c r="G11294" s="3"/>
      <c r="H11294" s="11"/>
      <c r="I11294" s="12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  <c r="AA11294" s="3"/>
      <c r="AB11294" s="3"/>
      <c r="AC11294" s="3"/>
      <c r="AD11294" s="3"/>
      <c r="AE11294" s="3"/>
      <c r="AF11294" s="3"/>
      <c r="AG11294" s="3"/>
      <c r="AH11294" s="3"/>
    </row>
    <row r="11295" spans="1:34" ht="14.25" customHeight="1" x14ac:dyDescent="0.25">
      <c r="A11295" s="3"/>
      <c r="B11295" s="3"/>
      <c r="C11295" s="3"/>
      <c r="D11295" s="3"/>
      <c r="E11295" s="3"/>
      <c r="F11295" s="3"/>
      <c r="G11295" s="3"/>
      <c r="H11295" s="11"/>
      <c r="I11295" s="12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  <c r="AA11295" s="3"/>
      <c r="AB11295" s="3"/>
      <c r="AC11295" s="3"/>
      <c r="AD11295" s="3"/>
      <c r="AE11295" s="3"/>
      <c r="AF11295" s="3"/>
      <c r="AG11295" s="3"/>
      <c r="AH11295" s="3"/>
    </row>
    <row r="11296" spans="1:34" ht="14.25" customHeight="1" x14ac:dyDescent="0.25">
      <c r="A11296" s="3"/>
      <c r="B11296" s="3"/>
      <c r="C11296" s="3"/>
      <c r="D11296" s="3"/>
      <c r="E11296" s="3"/>
      <c r="F11296" s="3"/>
      <c r="G11296" s="3"/>
      <c r="H11296" s="11"/>
      <c r="I11296" s="12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  <c r="AA11296" s="3"/>
      <c r="AB11296" s="3"/>
      <c r="AC11296" s="3"/>
      <c r="AD11296" s="3"/>
      <c r="AE11296" s="3"/>
      <c r="AF11296" s="3"/>
      <c r="AG11296" s="3"/>
      <c r="AH11296" s="3"/>
    </row>
    <row r="11297" spans="1:34" ht="14.25" customHeight="1" x14ac:dyDescent="0.25">
      <c r="A11297" s="3"/>
      <c r="B11297" s="3"/>
      <c r="C11297" s="3"/>
      <c r="D11297" s="3"/>
      <c r="E11297" s="3"/>
      <c r="F11297" s="3"/>
      <c r="G11297" s="3"/>
      <c r="H11297" s="11"/>
      <c r="I11297" s="12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  <c r="AA11297" s="3"/>
      <c r="AB11297" s="3"/>
      <c r="AC11297" s="3"/>
      <c r="AD11297" s="3"/>
      <c r="AE11297" s="3"/>
      <c r="AF11297" s="3"/>
      <c r="AG11297" s="3"/>
      <c r="AH11297" s="3"/>
    </row>
    <row r="11298" spans="1:34" ht="14.25" customHeight="1" x14ac:dyDescent="0.25">
      <c r="A11298" s="3"/>
      <c r="B11298" s="3"/>
      <c r="C11298" s="3"/>
      <c r="D11298" s="3"/>
      <c r="E11298" s="3"/>
      <c r="F11298" s="3"/>
      <c r="G11298" s="3"/>
      <c r="H11298" s="11"/>
      <c r="I11298" s="12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  <c r="AA11298" s="3"/>
      <c r="AB11298" s="3"/>
      <c r="AC11298" s="3"/>
      <c r="AD11298" s="3"/>
      <c r="AE11298" s="3"/>
      <c r="AF11298" s="3"/>
      <c r="AG11298" s="3"/>
      <c r="AH11298" s="3"/>
    </row>
    <row r="11299" spans="1:34" ht="14.25" customHeight="1" x14ac:dyDescent="0.25">
      <c r="A11299" s="3"/>
      <c r="B11299" s="3"/>
      <c r="C11299" s="3"/>
      <c r="D11299" s="3"/>
      <c r="E11299" s="3"/>
      <c r="F11299" s="3"/>
      <c r="G11299" s="3"/>
      <c r="H11299" s="11"/>
      <c r="I11299" s="12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  <c r="AA11299" s="3"/>
      <c r="AB11299" s="3"/>
      <c r="AC11299" s="3"/>
      <c r="AD11299" s="3"/>
      <c r="AE11299" s="3"/>
      <c r="AF11299" s="3"/>
      <c r="AG11299" s="3"/>
      <c r="AH11299" s="3"/>
    </row>
    <row r="11300" spans="1:34" ht="14.25" customHeight="1" x14ac:dyDescent="0.25">
      <c r="A11300" s="3"/>
      <c r="B11300" s="3"/>
      <c r="C11300" s="3"/>
      <c r="D11300" s="3"/>
      <c r="E11300" s="3"/>
      <c r="F11300" s="3"/>
      <c r="G11300" s="3"/>
      <c r="H11300" s="11"/>
      <c r="I11300" s="12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  <c r="AA11300" s="3"/>
      <c r="AB11300" s="3"/>
      <c r="AC11300" s="3"/>
      <c r="AD11300" s="3"/>
      <c r="AE11300" s="3"/>
      <c r="AF11300" s="3"/>
      <c r="AG11300" s="3"/>
      <c r="AH11300" s="3"/>
    </row>
    <row r="11301" spans="1:34" ht="14.25" customHeight="1" x14ac:dyDescent="0.25">
      <c r="A11301" s="3"/>
      <c r="B11301" s="3"/>
      <c r="C11301" s="3"/>
      <c r="D11301" s="3"/>
      <c r="E11301" s="3"/>
      <c r="F11301" s="3"/>
      <c r="G11301" s="3"/>
      <c r="H11301" s="11"/>
      <c r="I11301" s="12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  <c r="AA11301" s="3"/>
      <c r="AB11301" s="3"/>
      <c r="AC11301" s="3"/>
      <c r="AD11301" s="3"/>
      <c r="AE11301" s="3"/>
      <c r="AF11301" s="3"/>
      <c r="AG11301" s="3"/>
      <c r="AH11301" s="3"/>
    </row>
    <row r="11302" spans="1:34" ht="14.25" customHeight="1" x14ac:dyDescent="0.25">
      <c r="A11302" s="3"/>
      <c r="B11302" s="3"/>
      <c r="C11302" s="3"/>
      <c r="D11302" s="3"/>
      <c r="E11302" s="3"/>
      <c r="F11302" s="3"/>
      <c r="G11302" s="3"/>
      <c r="H11302" s="11"/>
      <c r="I11302" s="12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  <c r="AA11302" s="3"/>
      <c r="AB11302" s="3"/>
      <c r="AC11302" s="3"/>
      <c r="AD11302" s="3"/>
      <c r="AE11302" s="3"/>
      <c r="AF11302" s="3"/>
      <c r="AG11302" s="3"/>
      <c r="AH11302" s="3"/>
    </row>
    <row r="11303" spans="1:34" ht="14.25" customHeight="1" x14ac:dyDescent="0.25">
      <c r="A11303" s="3"/>
      <c r="B11303" s="3"/>
      <c r="C11303" s="3"/>
      <c r="D11303" s="3"/>
      <c r="E11303" s="3"/>
      <c r="F11303" s="3"/>
      <c r="G11303" s="3"/>
      <c r="H11303" s="11"/>
      <c r="I11303" s="12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  <c r="AA11303" s="3"/>
      <c r="AB11303" s="3"/>
      <c r="AC11303" s="3"/>
      <c r="AD11303" s="3"/>
      <c r="AE11303" s="3"/>
      <c r="AF11303" s="3"/>
      <c r="AG11303" s="3"/>
      <c r="AH11303" s="3"/>
    </row>
    <row r="11304" spans="1:34" ht="14.25" customHeight="1" x14ac:dyDescent="0.25">
      <c r="A11304" s="3"/>
      <c r="B11304" s="3"/>
      <c r="C11304" s="3"/>
      <c r="D11304" s="3"/>
      <c r="E11304" s="3"/>
      <c r="F11304" s="3"/>
      <c r="G11304" s="3"/>
      <c r="H11304" s="11"/>
      <c r="I11304" s="12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  <c r="AA11304" s="3"/>
      <c r="AB11304" s="3"/>
      <c r="AC11304" s="3"/>
      <c r="AD11304" s="3"/>
      <c r="AE11304" s="3"/>
      <c r="AF11304" s="3"/>
      <c r="AG11304" s="3"/>
      <c r="AH11304" s="3"/>
    </row>
    <row r="11305" spans="1:34" ht="14.25" customHeight="1" x14ac:dyDescent="0.25">
      <c r="A11305" s="3"/>
      <c r="B11305" s="3"/>
      <c r="C11305" s="3"/>
      <c r="D11305" s="3"/>
      <c r="E11305" s="3"/>
      <c r="F11305" s="3"/>
      <c r="G11305" s="3"/>
      <c r="H11305" s="11"/>
      <c r="I11305" s="12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  <c r="AA11305" s="3"/>
      <c r="AB11305" s="3"/>
      <c r="AC11305" s="3"/>
      <c r="AD11305" s="3"/>
      <c r="AE11305" s="3"/>
      <c r="AF11305" s="3"/>
      <c r="AG11305" s="3"/>
      <c r="AH11305" s="3"/>
    </row>
    <row r="11306" spans="1:34" ht="14.25" customHeight="1" x14ac:dyDescent="0.25">
      <c r="A11306" s="3"/>
      <c r="B11306" s="3"/>
      <c r="C11306" s="3"/>
      <c r="D11306" s="3"/>
      <c r="E11306" s="3"/>
      <c r="F11306" s="3"/>
      <c r="G11306" s="3"/>
      <c r="H11306" s="11"/>
      <c r="I11306" s="12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  <c r="AA11306" s="3"/>
      <c r="AB11306" s="3"/>
      <c r="AC11306" s="3"/>
      <c r="AD11306" s="3"/>
      <c r="AE11306" s="3"/>
      <c r="AF11306" s="3"/>
      <c r="AG11306" s="3"/>
      <c r="AH11306" s="3"/>
    </row>
    <row r="11307" spans="1:34" ht="14.25" customHeight="1" x14ac:dyDescent="0.25">
      <c r="A11307" s="3"/>
      <c r="B11307" s="3"/>
      <c r="C11307" s="3"/>
      <c r="D11307" s="3"/>
      <c r="E11307" s="3"/>
      <c r="F11307" s="3"/>
      <c r="G11307" s="3"/>
      <c r="H11307" s="11"/>
      <c r="I11307" s="12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  <c r="AA11307" s="3"/>
      <c r="AB11307" s="3"/>
      <c r="AC11307" s="3"/>
      <c r="AD11307" s="3"/>
      <c r="AE11307" s="3"/>
      <c r="AF11307" s="3"/>
      <c r="AG11307" s="3"/>
      <c r="AH11307" s="3"/>
    </row>
    <row r="11308" spans="1:34" ht="14.25" customHeight="1" x14ac:dyDescent="0.25">
      <c r="A11308" s="3"/>
      <c r="B11308" s="3"/>
      <c r="C11308" s="3"/>
      <c r="D11308" s="3"/>
      <c r="E11308" s="3"/>
      <c r="F11308" s="3"/>
      <c r="G11308" s="3"/>
      <c r="H11308" s="11"/>
      <c r="I11308" s="12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  <c r="AA11308" s="3"/>
      <c r="AB11308" s="3"/>
      <c r="AC11308" s="3"/>
      <c r="AD11308" s="3"/>
      <c r="AE11308" s="3"/>
      <c r="AF11308" s="3"/>
      <c r="AG11308" s="3"/>
      <c r="AH11308" s="3"/>
    </row>
    <row r="11309" spans="1:34" ht="14.25" customHeight="1" x14ac:dyDescent="0.25">
      <c r="A11309" s="3"/>
      <c r="B11309" s="3"/>
      <c r="C11309" s="3"/>
      <c r="D11309" s="3"/>
      <c r="E11309" s="3"/>
      <c r="F11309" s="3"/>
      <c r="G11309" s="3"/>
      <c r="H11309" s="11"/>
      <c r="I11309" s="12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  <c r="AA11309" s="3"/>
      <c r="AB11309" s="3"/>
      <c r="AC11309" s="3"/>
      <c r="AD11309" s="3"/>
      <c r="AE11309" s="3"/>
      <c r="AF11309" s="3"/>
      <c r="AG11309" s="3"/>
      <c r="AH11309" s="3"/>
    </row>
    <row r="11310" spans="1:34" ht="14.25" customHeight="1" x14ac:dyDescent="0.25">
      <c r="A11310" s="3"/>
      <c r="B11310" s="3"/>
      <c r="C11310" s="3"/>
      <c r="D11310" s="3"/>
      <c r="E11310" s="3"/>
      <c r="F11310" s="3"/>
      <c r="G11310" s="3"/>
      <c r="H11310" s="11"/>
      <c r="I11310" s="12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  <c r="AA11310" s="3"/>
      <c r="AB11310" s="3"/>
      <c r="AC11310" s="3"/>
      <c r="AD11310" s="3"/>
      <c r="AE11310" s="3"/>
      <c r="AF11310" s="3"/>
      <c r="AG11310" s="3"/>
      <c r="AH11310" s="3"/>
    </row>
    <row r="11311" spans="1:34" ht="14.25" customHeight="1" x14ac:dyDescent="0.25">
      <c r="A11311" s="3"/>
      <c r="B11311" s="3"/>
      <c r="C11311" s="3"/>
      <c r="D11311" s="3"/>
      <c r="E11311" s="3"/>
      <c r="F11311" s="3"/>
      <c r="G11311" s="3"/>
      <c r="H11311" s="11"/>
      <c r="I11311" s="12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  <c r="AA11311" s="3"/>
      <c r="AB11311" s="3"/>
      <c r="AC11311" s="3"/>
      <c r="AD11311" s="3"/>
      <c r="AE11311" s="3"/>
      <c r="AF11311" s="3"/>
      <c r="AG11311" s="3"/>
      <c r="AH11311" s="3"/>
    </row>
    <row r="11312" spans="1:34" ht="14.25" customHeight="1" x14ac:dyDescent="0.25">
      <c r="A11312" s="3"/>
      <c r="B11312" s="3"/>
      <c r="C11312" s="3"/>
      <c r="D11312" s="3"/>
      <c r="E11312" s="3"/>
      <c r="F11312" s="3"/>
      <c r="G11312" s="3"/>
      <c r="H11312" s="11"/>
      <c r="I11312" s="12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  <c r="AA11312" s="3"/>
      <c r="AB11312" s="3"/>
      <c r="AC11312" s="3"/>
      <c r="AD11312" s="3"/>
      <c r="AE11312" s="3"/>
      <c r="AF11312" s="3"/>
      <c r="AG11312" s="3"/>
      <c r="AH11312" s="3"/>
    </row>
    <row r="11313" spans="1:34" ht="14.25" customHeight="1" x14ac:dyDescent="0.25">
      <c r="A11313" s="3"/>
      <c r="B11313" s="3"/>
      <c r="C11313" s="3"/>
      <c r="D11313" s="3"/>
      <c r="E11313" s="3"/>
      <c r="F11313" s="3"/>
      <c r="G11313" s="3"/>
      <c r="H11313" s="11"/>
      <c r="I11313" s="12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  <c r="AA11313" s="3"/>
      <c r="AB11313" s="3"/>
      <c r="AC11313" s="3"/>
      <c r="AD11313" s="3"/>
      <c r="AE11313" s="3"/>
      <c r="AF11313" s="3"/>
      <c r="AG11313" s="3"/>
      <c r="AH11313" s="3"/>
    </row>
    <row r="11314" spans="1:34" ht="14.25" customHeight="1" x14ac:dyDescent="0.25">
      <c r="A11314" s="3"/>
      <c r="B11314" s="3"/>
      <c r="C11314" s="3"/>
      <c r="D11314" s="3"/>
      <c r="E11314" s="3"/>
      <c r="F11314" s="3"/>
      <c r="G11314" s="3"/>
      <c r="H11314" s="11"/>
      <c r="I11314" s="12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  <c r="AA11314" s="3"/>
      <c r="AB11314" s="3"/>
      <c r="AC11314" s="3"/>
      <c r="AD11314" s="3"/>
      <c r="AE11314" s="3"/>
      <c r="AF11314" s="3"/>
      <c r="AG11314" s="3"/>
      <c r="AH11314" s="3"/>
    </row>
    <row r="11315" spans="1:34" ht="14.25" customHeight="1" x14ac:dyDescent="0.25">
      <c r="A11315" s="3"/>
      <c r="B11315" s="3"/>
      <c r="C11315" s="3"/>
      <c r="D11315" s="3"/>
      <c r="E11315" s="3"/>
      <c r="F11315" s="3"/>
      <c r="G11315" s="3"/>
      <c r="H11315" s="11"/>
      <c r="I11315" s="12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  <c r="AA11315" s="3"/>
      <c r="AB11315" s="3"/>
      <c r="AC11315" s="3"/>
      <c r="AD11315" s="3"/>
      <c r="AE11315" s="3"/>
      <c r="AF11315" s="3"/>
      <c r="AG11315" s="3"/>
      <c r="AH11315" s="3"/>
    </row>
    <row r="11316" spans="1:34" ht="14.25" customHeight="1" x14ac:dyDescent="0.25">
      <c r="A11316" s="3"/>
      <c r="B11316" s="3"/>
      <c r="C11316" s="3"/>
      <c r="D11316" s="3"/>
      <c r="E11316" s="3"/>
      <c r="F11316" s="3"/>
      <c r="G11316" s="3"/>
      <c r="H11316" s="11"/>
      <c r="I11316" s="12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  <c r="AA11316" s="3"/>
      <c r="AB11316" s="3"/>
      <c r="AC11316" s="3"/>
      <c r="AD11316" s="3"/>
      <c r="AE11316" s="3"/>
      <c r="AF11316" s="3"/>
      <c r="AG11316" s="3"/>
      <c r="AH11316" s="3"/>
    </row>
    <row r="11317" spans="1:34" ht="14.25" customHeight="1" x14ac:dyDescent="0.25">
      <c r="A11317" s="3"/>
      <c r="B11317" s="3"/>
      <c r="C11317" s="3"/>
      <c r="D11317" s="3"/>
      <c r="E11317" s="3"/>
      <c r="F11317" s="3"/>
      <c r="G11317" s="3"/>
      <c r="H11317" s="11"/>
      <c r="I11317" s="12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  <c r="AA11317" s="3"/>
      <c r="AB11317" s="3"/>
      <c r="AC11317" s="3"/>
      <c r="AD11317" s="3"/>
      <c r="AE11317" s="3"/>
      <c r="AF11317" s="3"/>
      <c r="AG11317" s="3"/>
      <c r="AH11317" s="3"/>
    </row>
    <row r="11318" spans="1:34" ht="14.25" customHeight="1" x14ac:dyDescent="0.25">
      <c r="A11318" s="3"/>
      <c r="B11318" s="3"/>
      <c r="C11318" s="3"/>
      <c r="D11318" s="3"/>
      <c r="E11318" s="3"/>
      <c r="F11318" s="3"/>
      <c r="G11318" s="3"/>
      <c r="H11318" s="11"/>
      <c r="I11318" s="12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  <c r="AA11318" s="3"/>
      <c r="AB11318" s="3"/>
      <c r="AC11318" s="3"/>
      <c r="AD11318" s="3"/>
      <c r="AE11318" s="3"/>
      <c r="AF11318" s="3"/>
      <c r="AG11318" s="3"/>
      <c r="AH11318" s="3"/>
    </row>
    <row r="11319" spans="1:34" ht="14.25" customHeight="1" x14ac:dyDescent="0.25">
      <c r="A11319" s="3"/>
      <c r="B11319" s="3"/>
      <c r="C11319" s="3"/>
      <c r="D11319" s="3"/>
      <c r="E11319" s="3"/>
      <c r="F11319" s="3"/>
      <c r="G11319" s="3"/>
      <c r="H11319" s="11"/>
      <c r="I11319" s="12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  <c r="AA11319" s="3"/>
      <c r="AB11319" s="3"/>
      <c r="AC11319" s="3"/>
      <c r="AD11319" s="3"/>
      <c r="AE11319" s="3"/>
      <c r="AF11319" s="3"/>
      <c r="AG11319" s="3"/>
      <c r="AH11319" s="3"/>
    </row>
    <row r="11320" spans="1:34" ht="14.25" customHeight="1" x14ac:dyDescent="0.25">
      <c r="A11320" s="3"/>
      <c r="B11320" s="3"/>
      <c r="C11320" s="3"/>
      <c r="D11320" s="3"/>
      <c r="E11320" s="3"/>
      <c r="F11320" s="3"/>
      <c r="G11320" s="3"/>
      <c r="H11320" s="11"/>
      <c r="I11320" s="12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  <c r="AA11320" s="3"/>
      <c r="AB11320" s="3"/>
      <c r="AC11320" s="3"/>
      <c r="AD11320" s="3"/>
      <c r="AE11320" s="3"/>
      <c r="AF11320" s="3"/>
      <c r="AG11320" s="3"/>
      <c r="AH11320" s="3"/>
    </row>
    <row r="11321" spans="1:34" ht="14.25" customHeight="1" x14ac:dyDescent="0.25">
      <c r="A11321" s="3"/>
      <c r="B11321" s="3"/>
      <c r="C11321" s="3"/>
      <c r="D11321" s="3"/>
      <c r="E11321" s="3"/>
      <c r="F11321" s="3"/>
      <c r="G11321" s="3"/>
      <c r="H11321" s="11"/>
      <c r="I11321" s="12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  <c r="AA11321" s="3"/>
      <c r="AB11321" s="3"/>
      <c r="AC11321" s="3"/>
      <c r="AD11321" s="3"/>
      <c r="AE11321" s="3"/>
      <c r="AF11321" s="3"/>
      <c r="AG11321" s="3"/>
      <c r="AH11321" s="3"/>
    </row>
    <row r="11322" spans="1:34" ht="14.25" customHeight="1" x14ac:dyDescent="0.25">
      <c r="A11322" s="3"/>
      <c r="B11322" s="3"/>
      <c r="C11322" s="3"/>
      <c r="D11322" s="3"/>
      <c r="E11322" s="3"/>
      <c r="F11322" s="3"/>
      <c r="G11322" s="3"/>
      <c r="H11322" s="11"/>
      <c r="I11322" s="12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  <c r="AA11322" s="3"/>
      <c r="AB11322" s="3"/>
      <c r="AC11322" s="3"/>
      <c r="AD11322" s="3"/>
      <c r="AE11322" s="3"/>
      <c r="AF11322" s="3"/>
      <c r="AG11322" s="3"/>
      <c r="AH11322" s="3"/>
    </row>
    <row r="11323" spans="1:34" ht="14.25" customHeight="1" x14ac:dyDescent="0.25">
      <c r="A11323" s="3"/>
      <c r="B11323" s="3"/>
      <c r="C11323" s="3"/>
      <c r="D11323" s="3"/>
      <c r="E11323" s="3"/>
      <c r="F11323" s="3"/>
      <c r="G11323" s="3"/>
      <c r="H11323" s="11"/>
      <c r="I11323" s="12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  <c r="AA11323" s="3"/>
      <c r="AB11323" s="3"/>
      <c r="AC11323" s="3"/>
      <c r="AD11323" s="3"/>
      <c r="AE11323" s="3"/>
      <c r="AF11323" s="3"/>
      <c r="AG11323" s="3"/>
      <c r="AH11323" s="3"/>
    </row>
    <row r="11324" spans="1:34" ht="14.25" customHeight="1" x14ac:dyDescent="0.25">
      <c r="A11324" s="3"/>
      <c r="B11324" s="3"/>
      <c r="C11324" s="3"/>
      <c r="D11324" s="3"/>
      <c r="E11324" s="3"/>
      <c r="F11324" s="3"/>
      <c r="G11324" s="3"/>
      <c r="H11324" s="11"/>
      <c r="I11324" s="12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  <c r="AA11324" s="3"/>
      <c r="AB11324" s="3"/>
      <c r="AC11324" s="3"/>
      <c r="AD11324" s="3"/>
      <c r="AE11324" s="3"/>
      <c r="AF11324" s="3"/>
      <c r="AG11324" s="3"/>
      <c r="AH11324" s="3"/>
    </row>
    <row r="11325" spans="1:34" ht="14.25" customHeight="1" x14ac:dyDescent="0.25">
      <c r="A11325" s="3"/>
      <c r="B11325" s="3"/>
      <c r="C11325" s="3"/>
      <c r="D11325" s="3"/>
      <c r="E11325" s="3"/>
      <c r="F11325" s="3"/>
      <c r="G11325" s="3"/>
      <c r="H11325" s="11"/>
      <c r="I11325" s="12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  <c r="AA11325" s="3"/>
      <c r="AB11325" s="3"/>
      <c r="AC11325" s="3"/>
      <c r="AD11325" s="3"/>
      <c r="AE11325" s="3"/>
      <c r="AF11325" s="3"/>
      <c r="AG11325" s="3"/>
      <c r="AH11325" s="3"/>
    </row>
    <row r="11326" spans="1:34" ht="14.25" customHeight="1" x14ac:dyDescent="0.25">
      <c r="A11326" s="3"/>
      <c r="B11326" s="3"/>
      <c r="C11326" s="3"/>
      <c r="D11326" s="3"/>
      <c r="E11326" s="3"/>
      <c r="F11326" s="3"/>
      <c r="G11326" s="3"/>
      <c r="H11326" s="11"/>
      <c r="I11326" s="12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  <c r="AA11326" s="3"/>
      <c r="AB11326" s="3"/>
      <c r="AC11326" s="3"/>
      <c r="AD11326" s="3"/>
      <c r="AE11326" s="3"/>
      <c r="AF11326" s="3"/>
      <c r="AG11326" s="3"/>
      <c r="AH11326" s="3"/>
    </row>
    <row r="11327" spans="1:34" ht="14.25" customHeight="1" x14ac:dyDescent="0.25">
      <c r="A11327" s="3"/>
      <c r="B11327" s="3"/>
      <c r="C11327" s="3"/>
      <c r="D11327" s="3"/>
      <c r="E11327" s="3"/>
      <c r="F11327" s="3"/>
      <c r="G11327" s="3"/>
      <c r="H11327" s="11"/>
      <c r="I11327" s="12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  <c r="AA11327" s="3"/>
      <c r="AB11327" s="3"/>
      <c r="AC11327" s="3"/>
      <c r="AD11327" s="3"/>
      <c r="AE11327" s="3"/>
      <c r="AF11327" s="3"/>
      <c r="AG11327" s="3"/>
      <c r="AH11327" s="3"/>
    </row>
    <row r="11328" spans="1:34" ht="14.25" customHeight="1" x14ac:dyDescent="0.25">
      <c r="A11328" s="3"/>
      <c r="B11328" s="3"/>
      <c r="C11328" s="3"/>
      <c r="D11328" s="3"/>
      <c r="E11328" s="3"/>
      <c r="F11328" s="3"/>
      <c r="G11328" s="3"/>
      <c r="H11328" s="11"/>
      <c r="I11328" s="12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  <c r="AA11328" s="3"/>
      <c r="AB11328" s="3"/>
      <c r="AC11328" s="3"/>
      <c r="AD11328" s="3"/>
      <c r="AE11328" s="3"/>
      <c r="AF11328" s="3"/>
      <c r="AG11328" s="3"/>
      <c r="AH11328" s="3"/>
    </row>
    <row r="11329" spans="1:34" ht="14.25" customHeight="1" x14ac:dyDescent="0.25">
      <c r="A11329" s="3"/>
      <c r="B11329" s="3"/>
      <c r="C11329" s="3"/>
      <c r="D11329" s="3"/>
      <c r="E11329" s="3"/>
      <c r="F11329" s="3"/>
      <c r="G11329" s="3"/>
      <c r="H11329" s="11"/>
      <c r="I11329" s="12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  <c r="AA11329" s="3"/>
      <c r="AB11329" s="3"/>
      <c r="AC11329" s="3"/>
      <c r="AD11329" s="3"/>
      <c r="AE11329" s="3"/>
      <c r="AF11329" s="3"/>
      <c r="AG11329" s="3"/>
      <c r="AH11329" s="3"/>
    </row>
    <row r="11330" spans="1:34" ht="14.25" customHeight="1" x14ac:dyDescent="0.25">
      <c r="A11330" s="3"/>
      <c r="B11330" s="3"/>
      <c r="C11330" s="3"/>
      <c r="D11330" s="3"/>
      <c r="E11330" s="3"/>
      <c r="F11330" s="3"/>
      <c r="G11330" s="3"/>
      <c r="H11330" s="11"/>
      <c r="I11330" s="12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  <c r="AA11330" s="3"/>
      <c r="AB11330" s="3"/>
      <c r="AC11330" s="3"/>
      <c r="AD11330" s="3"/>
      <c r="AE11330" s="3"/>
      <c r="AF11330" s="3"/>
      <c r="AG11330" s="3"/>
      <c r="AH11330" s="3"/>
    </row>
    <row r="11331" spans="1:34" ht="14.25" customHeight="1" x14ac:dyDescent="0.25">
      <c r="A11331" s="3"/>
      <c r="B11331" s="3"/>
      <c r="C11331" s="3"/>
      <c r="D11331" s="3"/>
      <c r="E11331" s="3"/>
      <c r="F11331" s="3"/>
      <c r="G11331" s="3"/>
      <c r="H11331" s="11"/>
      <c r="I11331" s="12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  <c r="AA11331" s="3"/>
      <c r="AB11331" s="3"/>
      <c r="AC11331" s="3"/>
      <c r="AD11331" s="3"/>
      <c r="AE11331" s="3"/>
      <c r="AF11331" s="3"/>
      <c r="AG11331" s="3"/>
      <c r="AH11331" s="3"/>
    </row>
    <row r="11332" spans="1:34" ht="14.25" customHeight="1" x14ac:dyDescent="0.25">
      <c r="A11332" s="3"/>
      <c r="B11332" s="3"/>
      <c r="C11332" s="3"/>
      <c r="D11332" s="3"/>
      <c r="E11332" s="3"/>
      <c r="F11332" s="3"/>
      <c r="G11332" s="3"/>
      <c r="H11332" s="11"/>
      <c r="I11332" s="12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  <c r="AA11332" s="3"/>
      <c r="AB11332" s="3"/>
      <c r="AC11332" s="3"/>
      <c r="AD11332" s="3"/>
      <c r="AE11332" s="3"/>
      <c r="AF11332" s="3"/>
      <c r="AG11332" s="3"/>
      <c r="AH11332" s="3"/>
    </row>
    <row r="11333" spans="1:34" ht="14.25" customHeight="1" x14ac:dyDescent="0.25">
      <c r="A11333" s="3"/>
      <c r="B11333" s="3"/>
      <c r="C11333" s="3"/>
      <c r="D11333" s="3"/>
      <c r="E11333" s="3"/>
      <c r="F11333" s="3"/>
      <c r="G11333" s="3"/>
      <c r="H11333" s="11"/>
      <c r="I11333" s="12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  <c r="AA11333" s="3"/>
      <c r="AB11333" s="3"/>
      <c r="AC11333" s="3"/>
      <c r="AD11333" s="3"/>
      <c r="AE11333" s="3"/>
      <c r="AF11333" s="3"/>
      <c r="AG11333" s="3"/>
      <c r="AH11333" s="3"/>
    </row>
    <row r="11334" spans="1:34" ht="14.25" customHeight="1" x14ac:dyDescent="0.25">
      <c r="A11334" s="3"/>
      <c r="B11334" s="3"/>
      <c r="C11334" s="3"/>
      <c r="D11334" s="3"/>
      <c r="E11334" s="3"/>
      <c r="F11334" s="3"/>
      <c r="G11334" s="3"/>
      <c r="H11334" s="11"/>
      <c r="I11334" s="12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  <c r="AA11334" s="3"/>
      <c r="AB11334" s="3"/>
      <c r="AC11334" s="3"/>
      <c r="AD11334" s="3"/>
      <c r="AE11334" s="3"/>
      <c r="AF11334" s="3"/>
      <c r="AG11334" s="3"/>
      <c r="AH11334" s="3"/>
    </row>
    <row r="11335" spans="1:34" ht="14.25" customHeight="1" x14ac:dyDescent="0.25">
      <c r="A11335" s="3"/>
      <c r="B11335" s="3"/>
      <c r="C11335" s="3"/>
      <c r="D11335" s="3"/>
      <c r="E11335" s="3"/>
      <c r="F11335" s="3"/>
      <c r="G11335" s="3"/>
      <c r="H11335" s="11"/>
      <c r="I11335" s="12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  <c r="AA11335" s="3"/>
      <c r="AB11335" s="3"/>
      <c r="AC11335" s="3"/>
      <c r="AD11335" s="3"/>
      <c r="AE11335" s="3"/>
      <c r="AF11335" s="3"/>
      <c r="AG11335" s="3"/>
      <c r="AH11335" s="3"/>
    </row>
    <row r="11336" spans="1:34" ht="14.25" customHeight="1" x14ac:dyDescent="0.25">
      <c r="A11336" s="3"/>
      <c r="B11336" s="3"/>
      <c r="C11336" s="3"/>
      <c r="D11336" s="3"/>
      <c r="E11336" s="3"/>
      <c r="F11336" s="3"/>
      <c r="G11336" s="3"/>
      <c r="H11336" s="11"/>
      <c r="I11336" s="12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  <c r="AA11336" s="3"/>
      <c r="AB11336" s="3"/>
      <c r="AC11336" s="3"/>
      <c r="AD11336" s="3"/>
      <c r="AE11336" s="3"/>
      <c r="AF11336" s="3"/>
      <c r="AG11336" s="3"/>
      <c r="AH11336" s="3"/>
    </row>
    <row r="11337" spans="1:34" ht="14.25" customHeight="1" x14ac:dyDescent="0.25">
      <c r="A11337" s="3"/>
      <c r="B11337" s="3"/>
      <c r="C11337" s="3"/>
      <c r="D11337" s="3"/>
      <c r="E11337" s="3"/>
      <c r="F11337" s="3"/>
      <c r="G11337" s="3"/>
      <c r="H11337" s="11"/>
      <c r="I11337" s="12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  <c r="AA11337" s="3"/>
      <c r="AB11337" s="3"/>
      <c r="AC11337" s="3"/>
      <c r="AD11337" s="3"/>
      <c r="AE11337" s="3"/>
      <c r="AF11337" s="3"/>
      <c r="AG11337" s="3"/>
      <c r="AH11337" s="3"/>
    </row>
    <row r="11338" spans="1:34" ht="14.25" customHeight="1" x14ac:dyDescent="0.25">
      <c r="A11338" s="3"/>
      <c r="B11338" s="3"/>
      <c r="C11338" s="3"/>
      <c r="D11338" s="3"/>
      <c r="E11338" s="3"/>
      <c r="F11338" s="3"/>
      <c r="G11338" s="3"/>
      <c r="H11338" s="11"/>
      <c r="I11338" s="12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  <c r="AA11338" s="3"/>
      <c r="AB11338" s="3"/>
      <c r="AC11338" s="3"/>
      <c r="AD11338" s="3"/>
      <c r="AE11338" s="3"/>
      <c r="AF11338" s="3"/>
      <c r="AG11338" s="3"/>
      <c r="AH11338" s="3"/>
    </row>
    <row r="11339" spans="1:34" ht="14.25" customHeight="1" x14ac:dyDescent="0.25">
      <c r="A11339" s="3"/>
      <c r="B11339" s="3"/>
      <c r="C11339" s="3"/>
      <c r="D11339" s="3"/>
      <c r="E11339" s="3"/>
      <c r="F11339" s="3"/>
      <c r="G11339" s="3"/>
      <c r="H11339" s="11"/>
      <c r="I11339" s="12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  <c r="AA11339" s="3"/>
      <c r="AB11339" s="3"/>
      <c r="AC11339" s="3"/>
      <c r="AD11339" s="3"/>
      <c r="AE11339" s="3"/>
      <c r="AF11339" s="3"/>
      <c r="AG11339" s="3"/>
      <c r="AH11339" s="3"/>
    </row>
    <row r="11340" spans="1:34" ht="14.25" customHeight="1" x14ac:dyDescent="0.25">
      <c r="A11340" s="3"/>
      <c r="B11340" s="3"/>
      <c r="C11340" s="3"/>
      <c r="D11340" s="3"/>
      <c r="E11340" s="3"/>
      <c r="F11340" s="3"/>
      <c r="G11340" s="3"/>
      <c r="H11340" s="11"/>
      <c r="I11340" s="12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  <c r="AA11340" s="3"/>
      <c r="AB11340" s="3"/>
      <c r="AC11340" s="3"/>
      <c r="AD11340" s="3"/>
      <c r="AE11340" s="3"/>
      <c r="AF11340" s="3"/>
      <c r="AG11340" s="3"/>
      <c r="AH11340" s="3"/>
    </row>
    <row r="11341" spans="1:34" ht="14.25" customHeight="1" x14ac:dyDescent="0.25">
      <c r="A11341" s="3"/>
      <c r="B11341" s="3"/>
      <c r="C11341" s="3"/>
      <c r="D11341" s="3"/>
      <c r="E11341" s="3"/>
      <c r="F11341" s="3"/>
      <c r="G11341" s="3"/>
      <c r="H11341" s="11"/>
      <c r="I11341" s="12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  <c r="AA11341" s="3"/>
      <c r="AB11341" s="3"/>
      <c r="AC11341" s="3"/>
      <c r="AD11341" s="3"/>
      <c r="AE11341" s="3"/>
      <c r="AF11341" s="3"/>
      <c r="AG11341" s="3"/>
      <c r="AH11341" s="3"/>
    </row>
    <row r="11342" spans="1:34" ht="14.25" customHeight="1" x14ac:dyDescent="0.25">
      <c r="A11342" s="3"/>
      <c r="B11342" s="3"/>
      <c r="C11342" s="3"/>
      <c r="D11342" s="3"/>
      <c r="E11342" s="3"/>
      <c r="F11342" s="3"/>
      <c r="G11342" s="3"/>
      <c r="H11342" s="11"/>
      <c r="I11342" s="12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  <c r="AA11342" s="3"/>
      <c r="AB11342" s="3"/>
      <c r="AC11342" s="3"/>
      <c r="AD11342" s="3"/>
      <c r="AE11342" s="3"/>
      <c r="AF11342" s="3"/>
      <c r="AG11342" s="3"/>
      <c r="AH11342" s="3"/>
    </row>
    <row r="11343" spans="1:34" ht="14.25" customHeight="1" x14ac:dyDescent="0.25">
      <c r="A11343" s="3"/>
      <c r="B11343" s="3"/>
      <c r="C11343" s="3"/>
      <c r="D11343" s="3"/>
      <c r="E11343" s="3"/>
      <c r="F11343" s="3"/>
      <c r="G11343" s="3"/>
      <c r="H11343" s="11"/>
      <c r="I11343" s="12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  <c r="AA11343" s="3"/>
      <c r="AB11343" s="3"/>
      <c r="AC11343" s="3"/>
      <c r="AD11343" s="3"/>
      <c r="AE11343" s="3"/>
      <c r="AF11343" s="3"/>
      <c r="AG11343" s="3"/>
      <c r="AH11343" s="3"/>
    </row>
    <row r="11344" spans="1:34" ht="14.25" customHeight="1" x14ac:dyDescent="0.25">
      <c r="A11344" s="3"/>
      <c r="B11344" s="3"/>
      <c r="C11344" s="3"/>
      <c r="D11344" s="3"/>
      <c r="E11344" s="3"/>
      <c r="F11344" s="3"/>
      <c r="G11344" s="3"/>
      <c r="H11344" s="11"/>
      <c r="I11344" s="12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  <c r="AA11344" s="3"/>
      <c r="AB11344" s="3"/>
      <c r="AC11344" s="3"/>
      <c r="AD11344" s="3"/>
      <c r="AE11344" s="3"/>
      <c r="AF11344" s="3"/>
      <c r="AG11344" s="3"/>
      <c r="AH11344" s="3"/>
    </row>
    <row r="11345" spans="1:34" ht="14.25" customHeight="1" x14ac:dyDescent="0.25">
      <c r="A11345" s="3"/>
      <c r="B11345" s="3"/>
      <c r="C11345" s="3"/>
      <c r="D11345" s="3"/>
      <c r="E11345" s="3"/>
      <c r="F11345" s="3"/>
      <c r="G11345" s="3"/>
      <c r="H11345" s="11"/>
      <c r="I11345" s="12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  <c r="AA11345" s="3"/>
      <c r="AB11345" s="3"/>
      <c r="AC11345" s="3"/>
      <c r="AD11345" s="3"/>
      <c r="AE11345" s="3"/>
      <c r="AF11345" s="3"/>
      <c r="AG11345" s="3"/>
      <c r="AH11345" s="3"/>
    </row>
    <row r="11346" spans="1:34" ht="14.25" customHeight="1" x14ac:dyDescent="0.25">
      <c r="A11346" s="3"/>
      <c r="B11346" s="3"/>
      <c r="C11346" s="3"/>
      <c r="D11346" s="3"/>
      <c r="E11346" s="3"/>
      <c r="F11346" s="3"/>
      <c r="G11346" s="3"/>
      <c r="H11346" s="11"/>
      <c r="I11346" s="12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  <c r="AA11346" s="3"/>
      <c r="AB11346" s="3"/>
      <c r="AC11346" s="3"/>
      <c r="AD11346" s="3"/>
      <c r="AE11346" s="3"/>
      <c r="AF11346" s="3"/>
      <c r="AG11346" s="3"/>
      <c r="AH11346" s="3"/>
    </row>
    <row r="11347" spans="1:34" ht="14.25" customHeight="1" x14ac:dyDescent="0.25">
      <c r="A11347" s="3"/>
      <c r="B11347" s="3"/>
      <c r="C11347" s="3"/>
      <c r="D11347" s="3"/>
      <c r="E11347" s="3"/>
      <c r="F11347" s="3"/>
      <c r="G11347" s="3"/>
      <c r="H11347" s="11"/>
      <c r="I11347" s="12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  <c r="AA11347" s="3"/>
      <c r="AB11347" s="3"/>
      <c r="AC11347" s="3"/>
      <c r="AD11347" s="3"/>
      <c r="AE11347" s="3"/>
      <c r="AF11347" s="3"/>
      <c r="AG11347" s="3"/>
      <c r="AH11347" s="3"/>
    </row>
    <row r="11348" spans="1:34" ht="14.25" customHeight="1" x14ac:dyDescent="0.25">
      <c r="A11348" s="3"/>
      <c r="B11348" s="3"/>
      <c r="C11348" s="3"/>
      <c r="D11348" s="3"/>
      <c r="E11348" s="3"/>
      <c r="F11348" s="3"/>
      <c r="G11348" s="3"/>
      <c r="H11348" s="11"/>
      <c r="I11348" s="12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  <c r="AA11348" s="3"/>
      <c r="AB11348" s="3"/>
      <c r="AC11348" s="3"/>
      <c r="AD11348" s="3"/>
      <c r="AE11348" s="3"/>
      <c r="AF11348" s="3"/>
      <c r="AG11348" s="3"/>
      <c r="AH11348" s="3"/>
    </row>
    <row r="11349" spans="1:34" ht="14.25" customHeight="1" x14ac:dyDescent="0.25">
      <c r="A11349" s="3"/>
      <c r="B11349" s="3"/>
      <c r="C11349" s="3"/>
      <c r="D11349" s="3"/>
      <c r="E11349" s="3"/>
      <c r="F11349" s="3"/>
      <c r="G11349" s="3"/>
      <c r="H11349" s="11"/>
      <c r="I11349" s="12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  <c r="AA11349" s="3"/>
      <c r="AB11349" s="3"/>
      <c r="AC11349" s="3"/>
      <c r="AD11349" s="3"/>
      <c r="AE11349" s="3"/>
      <c r="AF11349" s="3"/>
      <c r="AG11349" s="3"/>
      <c r="AH11349" s="3"/>
    </row>
    <row r="11350" spans="1:34" ht="14.25" customHeight="1" x14ac:dyDescent="0.25">
      <c r="A11350" s="3"/>
      <c r="B11350" s="3"/>
      <c r="C11350" s="3"/>
      <c r="D11350" s="3"/>
      <c r="E11350" s="3"/>
      <c r="F11350" s="3"/>
      <c r="G11350" s="3"/>
      <c r="H11350" s="11"/>
      <c r="I11350" s="12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  <c r="AA11350" s="3"/>
      <c r="AB11350" s="3"/>
      <c r="AC11350" s="3"/>
      <c r="AD11350" s="3"/>
      <c r="AE11350" s="3"/>
      <c r="AF11350" s="3"/>
      <c r="AG11350" s="3"/>
      <c r="AH11350" s="3"/>
    </row>
    <row r="11351" spans="1:34" ht="14.25" customHeight="1" x14ac:dyDescent="0.25">
      <c r="A11351" s="3"/>
      <c r="B11351" s="3"/>
      <c r="C11351" s="3"/>
      <c r="D11351" s="3"/>
      <c r="E11351" s="3"/>
      <c r="F11351" s="3"/>
      <c r="G11351" s="3"/>
      <c r="H11351" s="11"/>
      <c r="I11351" s="12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  <c r="AA11351" s="3"/>
      <c r="AB11351" s="3"/>
      <c r="AC11351" s="3"/>
      <c r="AD11351" s="3"/>
      <c r="AE11351" s="3"/>
      <c r="AF11351" s="3"/>
      <c r="AG11351" s="3"/>
      <c r="AH11351" s="3"/>
    </row>
    <row r="11352" spans="1:34" ht="14.25" customHeight="1" x14ac:dyDescent="0.25">
      <c r="A11352" s="3"/>
      <c r="B11352" s="3"/>
      <c r="C11352" s="3"/>
      <c r="D11352" s="3"/>
      <c r="E11352" s="3"/>
      <c r="F11352" s="3"/>
      <c r="G11352" s="3"/>
      <c r="H11352" s="11"/>
      <c r="I11352" s="12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  <c r="AA11352" s="3"/>
      <c r="AB11352" s="3"/>
      <c r="AC11352" s="3"/>
      <c r="AD11352" s="3"/>
      <c r="AE11352" s="3"/>
      <c r="AF11352" s="3"/>
      <c r="AG11352" s="3"/>
      <c r="AH11352" s="3"/>
    </row>
    <row r="11353" spans="1:34" ht="14.25" customHeight="1" x14ac:dyDescent="0.25">
      <c r="A11353" s="3"/>
      <c r="B11353" s="3"/>
      <c r="C11353" s="3"/>
      <c r="D11353" s="3"/>
      <c r="E11353" s="3"/>
      <c r="F11353" s="3"/>
      <c r="G11353" s="3"/>
      <c r="H11353" s="11"/>
      <c r="I11353" s="12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  <c r="AA11353" s="3"/>
      <c r="AB11353" s="3"/>
      <c r="AC11353" s="3"/>
      <c r="AD11353" s="3"/>
      <c r="AE11353" s="3"/>
      <c r="AF11353" s="3"/>
      <c r="AG11353" s="3"/>
      <c r="AH11353" s="3"/>
    </row>
    <row r="11354" spans="1:34" ht="14.25" customHeight="1" x14ac:dyDescent="0.25">
      <c r="A11354" s="3"/>
      <c r="B11354" s="3"/>
      <c r="C11354" s="3"/>
      <c r="D11354" s="3"/>
      <c r="E11354" s="3"/>
      <c r="F11354" s="3"/>
      <c r="G11354" s="3"/>
      <c r="H11354" s="11"/>
      <c r="I11354" s="12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  <c r="AA11354" s="3"/>
      <c r="AB11354" s="3"/>
      <c r="AC11354" s="3"/>
      <c r="AD11354" s="3"/>
      <c r="AE11354" s="3"/>
      <c r="AF11354" s="3"/>
      <c r="AG11354" s="3"/>
      <c r="AH11354" s="3"/>
    </row>
    <row r="11355" spans="1:34" ht="14.25" customHeight="1" x14ac:dyDescent="0.25">
      <c r="A11355" s="3"/>
      <c r="B11355" s="3"/>
      <c r="C11355" s="3"/>
      <c r="D11355" s="3"/>
      <c r="E11355" s="3"/>
      <c r="F11355" s="3"/>
      <c r="G11355" s="3"/>
      <c r="H11355" s="11"/>
      <c r="I11355" s="12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  <c r="AA11355" s="3"/>
      <c r="AB11355" s="3"/>
      <c r="AC11355" s="3"/>
      <c r="AD11355" s="3"/>
      <c r="AE11355" s="3"/>
      <c r="AF11355" s="3"/>
      <c r="AG11355" s="3"/>
      <c r="AH11355" s="3"/>
    </row>
    <row r="11356" spans="1:34" ht="14.25" customHeight="1" x14ac:dyDescent="0.25">
      <c r="A11356" s="3"/>
      <c r="B11356" s="3"/>
      <c r="C11356" s="3"/>
      <c r="D11356" s="3"/>
      <c r="E11356" s="3"/>
      <c r="F11356" s="3"/>
      <c r="G11356" s="3"/>
      <c r="H11356" s="11"/>
      <c r="I11356" s="12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  <c r="AA11356" s="3"/>
      <c r="AB11356" s="3"/>
      <c r="AC11356" s="3"/>
      <c r="AD11356" s="3"/>
      <c r="AE11356" s="3"/>
      <c r="AF11356" s="3"/>
      <c r="AG11356" s="3"/>
      <c r="AH11356" s="3"/>
    </row>
    <row r="11357" spans="1:34" ht="14.25" customHeight="1" x14ac:dyDescent="0.25">
      <c r="A11357" s="3"/>
      <c r="B11357" s="3"/>
      <c r="C11357" s="3"/>
      <c r="D11357" s="3"/>
      <c r="E11357" s="3"/>
      <c r="F11357" s="3"/>
      <c r="G11357" s="3"/>
      <c r="H11357" s="11"/>
      <c r="I11357" s="12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  <c r="AA11357" s="3"/>
      <c r="AB11357" s="3"/>
      <c r="AC11357" s="3"/>
      <c r="AD11357" s="3"/>
      <c r="AE11357" s="3"/>
      <c r="AF11357" s="3"/>
      <c r="AG11357" s="3"/>
      <c r="AH11357" s="3"/>
    </row>
    <row r="11358" spans="1:34" ht="14.25" customHeight="1" x14ac:dyDescent="0.25">
      <c r="A11358" s="3"/>
      <c r="B11358" s="3"/>
      <c r="C11358" s="3"/>
      <c r="D11358" s="3"/>
      <c r="E11358" s="3"/>
      <c r="F11358" s="3"/>
      <c r="G11358" s="3"/>
      <c r="H11358" s="11"/>
      <c r="I11358" s="12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  <c r="AA11358" s="3"/>
      <c r="AB11358" s="3"/>
      <c r="AC11358" s="3"/>
      <c r="AD11358" s="3"/>
      <c r="AE11358" s="3"/>
      <c r="AF11358" s="3"/>
      <c r="AG11358" s="3"/>
      <c r="AH11358" s="3"/>
    </row>
    <row r="11359" spans="1:34" ht="14.25" customHeight="1" x14ac:dyDescent="0.25">
      <c r="A11359" s="3"/>
      <c r="B11359" s="3"/>
      <c r="C11359" s="3"/>
      <c r="D11359" s="3"/>
      <c r="E11359" s="3"/>
      <c r="F11359" s="3"/>
      <c r="G11359" s="3"/>
      <c r="H11359" s="11"/>
      <c r="I11359" s="12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  <c r="AA11359" s="3"/>
      <c r="AB11359" s="3"/>
      <c r="AC11359" s="3"/>
      <c r="AD11359" s="3"/>
      <c r="AE11359" s="3"/>
      <c r="AF11359" s="3"/>
      <c r="AG11359" s="3"/>
      <c r="AH11359" s="3"/>
    </row>
    <row r="11360" spans="1:34" ht="14.25" customHeight="1" x14ac:dyDescent="0.25">
      <c r="A11360" s="3"/>
      <c r="B11360" s="3"/>
      <c r="C11360" s="3"/>
      <c r="D11360" s="3"/>
      <c r="E11360" s="3"/>
      <c r="F11360" s="3"/>
      <c r="G11360" s="3"/>
      <c r="H11360" s="11"/>
      <c r="I11360" s="12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  <c r="AA11360" s="3"/>
      <c r="AB11360" s="3"/>
      <c r="AC11360" s="3"/>
      <c r="AD11360" s="3"/>
      <c r="AE11360" s="3"/>
      <c r="AF11360" s="3"/>
      <c r="AG11360" s="3"/>
      <c r="AH11360" s="3"/>
    </row>
    <row r="11361" spans="1:34" ht="14.25" customHeight="1" x14ac:dyDescent="0.25">
      <c r="A11361" s="3"/>
      <c r="B11361" s="3"/>
      <c r="C11361" s="3"/>
      <c r="D11361" s="3"/>
      <c r="E11361" s="3"/>
      <c r="F11361" s="3"/>
      <c r="G11361" s="3"/>
      <c r="H11361" s="11"/>
      <c r="I11361" s="12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  <c r="AA11361" s="3"/>
      <c r="AB11361" s="3"/>
      <c r="AC11361" s="3"/>
      <c r="AD11361" s="3"/>
      <c r="AE11361" s="3"/>
      <c r="AF11361" s="3"/>
      <c r="AG11361" s="3"/>
      <c r="AH11361" s="3"/>
    </row>
    <row r="11362" spans="1:34" ht="14.25" customHeight="1" x14ac:dyDescent="0.25">
      <c r="A11362" s="3"/>
      <c r="B11362" s="3"/>
      <c r="C11362" s="3"/>
      <c r="D11362" s="3"/>
      <c r="E11362" s="3"/>
      <c r="F11362" s="3"/>
      <c r="G11362" s="3"/>
      <c r="H11362" s="11"/>
      <c r="I11362" s="12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  <c r="AA11362" s="3"/>
      <c r="AB11362" s="3"/>
      <c r="AC11362" s="3"/>
      <c r="AD11362" s="3"/>
      <c r="AE11362" s="3"/>
      <c r="AF11362" s="3"/>
      <c r="AG11362" s="3"/>
      <c r="AH11362" s="3"/>
    </row>
    <row r="11363" spans="1:34" ht="14.25" customHeight="1" x14ac:dyDescent="0.25">
      <c r="A11363" s="3"/>
      <c r="B11363" s="3"/>
      <c r="C11363" s="3"/>
      <c r="D11363" s="3"/>
      <c r="E11363" s="3"/>
      <c r="F11363" s="3"/>
      <c r="G11363" s="3"/>
      <c r="H11363" s="11"/>
      <c r="I11363" s="12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  <c r="AA11363" s="3"/>
      <c r="AB11363" s="3"/>
      <c r="AC11363" s="3"/>
      <c r="AD11363" s="3"/>
      <c r="AE11363" s="3"/>
      <c r="AF11363" s="3"/>
      <c r="AG11363" s="3"/>
      <c r="AH11363" s="3"/>
    </row>
    <row r="11364" spans="1:34" ht="14.25" customHeight="1" x14ac:dyDescent="0.25">
      <c r="A11364" s="3"/>
      <c r="B11364" s="3"/>
      <c r="C11364" s="3"/>
      <c r="D11364" s="3"/>
      <c r="E11364" s="3"/>
      <c r="F11364" s="3"/>
      <c r="G11364" s="3"/>
      <c r="H11364" s="11"/>
      <c r="I11364" s="12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  <c r="AA11364" s="3"/>
      <c r="AB11364" s="3"/>
      <c r="AC11364" s="3"/>
      <c r="AD11364" s="3"/>
      <c r="AE11364" s="3"/>
      <c r="AF11364" s="3"/>
      <c r="AG11364" s="3"/>
      <c r="AH11364" s="3"/>
    </row>
    <row r="11365" spans="1:34" ht="14.25" customHeight="1" x14ac:dyDescent="0.25">
      <c r="A11365" s="3"/>
      <c r="B11365" s="3"/>
      <c r="C11365" s="3"/>
      <c r="D11365" s="3"/>
      <c r="E11365" s="3"/>
      <c r="F11365" s="3"/>
      <c r="G11365" s="3"/>
      <c r="H11365" s="11"/>
      <c r="I11365" s="12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  <c r="AA11365" s="3"/>
      <c r="AB11365" s="3"/>
      <c r="AC11365" s="3"/>
      <c r="AD11365" s="3"/>
      <c r="AE11365" s="3"/>
      <c r="AF11365" s="3"/>
      <c r="AG11365" s="3"/>
      <c r="AH11365" s="3"/>
    </row>
    <row r="11366" spans="1:34" ht="14.25" customHeight="1" x14ac:dyDescent="0.25">
      <c r="A11366" s="3"/>
      <c r="B11366" s="3"/>
      <c r="C11366" s="3"/>
      <c r="D11366" s="3"/>
      <c r="E11366" s="3"/>
      <c r="F11366" s="3"/>
      <c r="G11366" s="3"/>
      <c r="H11366" s="11"/>
      <c r="I11366" s="12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  <c r="AA11366" s="3"/>
      <c r="AB11366" s="3"/>
      <c r="AC11366" s="3"/>
      <c r="AD11366" s="3"/>
      <c r="AE11366" s="3"/>
      <c r="AF11366" s="3"/>
      <c r="AG11366" s="3"/>
      <c r="AH11366" s="3"/>
    </row>
    <row r="11367" spans="1:34" ht="14.25" customHeight="1" x14ac:dyDescent="0.25">
      <c r="A11367" s="3"/>
      <c r="B11367" s="3"/>
      <c r="C11367" s="3"/>
      <c r="D11367" s="3"/>
      <c r="E11367" s="3"/>
      <c r="F11367" s="3"/>
      <c r="G11367" s="3"/>
      <c r="H11367" s="11"/>
      <c r="I11367" s="12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  <c r="AA11367" s="3"/>
      <c r="AB11367" s="3"/>
      <c r="AC11367" s="3"/>
      <c r="AD11367" s="3"/>
      <c r="AE11367" s="3"/>
      <c r="AF11367" s="3"/>
      <c r="AG11367" s="3"/>
      <c r="AH11367" s="3"/>
    </row>
    <row r="11368" spans="1:34" ht="14.25" customHeight="1" x14ac:dyDescent="0.25">
      <c r="A11368" s="3"/>
      <c r="B11368" s="3"/>
      <c r="C11368" s="3"/>
      <c r="D11368" s="3"/>
      <c r="E11368" s="3"/>
      <c r="F11368" s="3"/>
      <c r="G11368" s="3"/>
      <c r="H11368" s="11"/>
      <c r="I11368" s="12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  <c r="AA11368" s="3"/>
      <c r="AB11368" s="3"/>
      <c r="AC11368" s="3"/>
      <c r="AD11368" s="3"/>
      <c r="AE11368" s="3"/>
      <c r="AF11368" s="3"/>
      <c r="AG11368" s="3"/>
      <c r="AH11368" s="3"/>
    </row>
    <row r="11369" spans="1:34" ht="14.25" customHeight="1" x14ac:dyDescent="0.25">
      <c r="A11369" s="3"/>
      <c r="B11369" s="3"/>
      <c r="C11369" s="3"/>
      <c r="D11369" s="3"/>
      <c r="E11369" s="3"/>
      <c r="F11369" s="3"/>
      <c r="G11369" s="3"/>
      <c r="H11369" s="11"/>
      <c r="I11369" s="12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  <c r="AA11369" s="3"/>
      <c r="AB11369" s="3"/>
      <c r="AC11369" s="3"/>
      <c r="AD11369" s="3"/>
      <c r="AE11369" s="3"/>
      <c r="AF11369" s="3"/>
      <c r="AG11369" s="3"/>
      <c r="AH11369" s="3"/>
    </row>
    <row r="11370" spans="1:34" ht="14.25" customHeight="1" x14ac:dyDescent="0.25">
      <c r="A11370" s="3"/>
      <c r="B11370" s="3"/>
      <c r="C11370" s="3"/>
      <c r="D11370" s="3"/>
      <c r="E11370" s="3"/>
      <c r="F11370" s="3"/>
      <c r="G11370" s="3"/>
      <c r="H11370" s="11"/>
      <c r="I11370" s="12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  <c r="AA11370" s="3"/>
      <c r="AB11370" s="3"/>
      <c r="AC11370" s="3"/>
      <c r="AD11370" s="3"/>
      <c r="AE11370" s="3"/>
      <c r="AF11370" s="3"/>
      <c r="AG11370" s="3"/>
      <c r="AH11370" s="3"/>
    </row>
    <row r="11371" spans="1:34" ht="14.25" customHeight="1" x14ac:dyDescent="0.25">
      <c r="A11371" s="3"/>
      <c r="B11371" s="3"/>
      <c r="C11371" s="3"/>
      <c r="D11371" s="3"/>
      <c r="E11371" s="3"/>
      <c r="F11371" s="3"/>
      <c r="G11371" s="3"/>
      <c r="H11371" s="11"/>
      <c r="I11371" s="12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  <c r="AA11371" s="3"/>
      <c r="AB11371" s="3"/>
      <c r="AC11371" s="3"/>
      <c r="AD11371" s="3"/>
      <c r="AE11371" s="3"/>
      <c r="AF11371" s="3"/>
      <c r="AG11371" s="3"/>
      <c r="AH11371" s="3"/>
    </row>
    <row r="11372" spans="1:34" ht="14.25" customHeight="1" x14ac:dyDescent="0.25">
      <c r="A11372" s="3"/>
      <c r="B11372" s="3"/>
      <c r="C11372" s="3"/>
      <c r="D11372" s="3"/>
      <c r="E11372" s="3"/>
      <c r="F11372" s="3"/>
      <c r="G11372" s="3"/>
      <c r="H11372" s="11"/>
      <c r="I11372" s="12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  <c r="AA11372" s="3"/>
      <c r="AB11372" s="3"/>
      <c r="AC11372" s="3"/>
      <c r="AD11372" s="3"/>
      <c r="AE11372" s="3"/>
      <c r="AF11372" s="3"/>
      <c r="AG11372" s="3"/>
      <c r="AH11372" s="3"/>
    </row>
    <row r="11373" spans="1:34" ht="14.25" customHeight="1" x14ac:dyDescent="0.25">
      <c r="A11373" s="3"/>
      <c r="B11373" s="3"/>
      <c r="C11373" s="3"/>
      <c r="D11373" s="3"/>
      <c r="E11373" s="3"/>
      <c r="F11373" s="3"/>
      <c r="G11373" s="3"/>
      <c r="H11373" s="11"/>
      <c r="I11373" s="12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  <c r="AA11373" s="3"/>
      <c r="AB11373" s="3"/>
      <c r="AC11373" s="3"/>
      <c r="AD11373" s="3"/>
      <c r="AE11373" s="3"/>
      <c r="AF11373" s="3"/>
      <c r="AG11373" s="3"/>
      <c r="AH11373" s="3"/>
    </row>
    <row r="11374" spans="1:34" ht="14.25" customHeight="1" x14ac:dyDescent="0.25">
      <c r="A11374" s="3"/>
      <c r="B11374" s="3"/>
      <c r="C11374" s="3"/>
      <c r="D11374" s="3"/>
      <c r="E11374" s="3"/>
      <c r="F11374" s="3"/>
      <c r="G11374" s="3"/>
      <c r="H11374" s="11"/>
      <c r="I11374" s="12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  <c r="AA11374" s="3"/>
      <c r="AB11374" s="3"/>
      <c r="AC11374" s="3"/>
      <c r="AD11374" s="3"/>
      <c r="AE11374" s="3"/>
      <c r="AF11374" s="3"/>
      <c r="AG11374" s="3"/>
      <c r="AH11374" s="3"/>
    </row>
    <row r="11375" spans="1:34" ht="14.25" customHeight="1" x14ac:dyDescent="0.25">
      <c r="A11375" s="3"/>
      <c r="B11375" s="3"/>
      <c r="C11375" s="3"/>
      <c r="D11375" s="3"/>
      <c r="E11375" s="3"/>
      <c r="F11375" s="3"/>
      <c r="G11375" s="3"/>
      <c r="H11375" s="11"/>
      <c r="I11375" s="12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  <c r="AA11375" s="3"/>
      <c r="AB11375" s="3"/>
      <c r="AC11375" s="3"/>
      <c r="AD11375" s="3"/>
      <c r="AE11375" s="3"/>
      <c r="AF11375" s="3"/>
      <c r="AG11375" s="3"/>
      <c r="AH11375" s="3"/>
    </row>
    <row r="11376" spans="1:34" ht="14.25" customHeight="1" x14ac:dyDescent="0.25">
      <c r="A11376" s="3"/>
      <c r="B11376" s="3"/>
      <c r="C11376" s="3"/>
      <c r="D11376" s="3"/>
      <c r="E11376" s="3"/>
      <c r="F11376" s="3"/>
      <c r="G11376" s="3"/>
      <c r="H11376" s="11"/>
      <c r="I11376" s="12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  <c r="AA11376" s="3"/>
      <c r="AB11376" s="3"/>
      <c r="AC11376" s="3"/>
      <c r="AD11376" s="3"/>
      <c r="AE11376" s="3"/>
      <c r="AF11376" s="3"/>
      <c r="AG11376" s="3"/>
      <c r="AH11376" s="3"/>
    </row>
    <row r="11377" spans="1:34" ht="14.25" customHeight="1" x14ac:dyDescent="0.25">
      <c r="A11377" s="3"/>
      <c r="B11377" s="3"/>
      <c r="C11377" s="3"/>
      <c r="D11377" s="3"/>
      <c r="E11377" s="3"/>
      <c r="F11377" s="3"/>
      <c r="G11377" s="3"/>
      <c r="H11377" s="11"/>
      <c r="I11377" s="12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  <c r="AA11377" s="3"/>
      <c r="AB11377" s="3"/>
      <c r="AC11377" s="3"/>
      <c r="AD11377" s="3"/>
      <c r="AE11377" s="3"/>
      <c r="AF11377" s="3"/>
      <c r="AG11377" s="3"/>
      <c r="AH11377" s="3"/>
    </row>
    <row r="11378" spans="1:34" ht="14.25" customHeight="1" x14ac:dyDescent="0.25">
      <c r="A11378" s="3"/>
      <c r="B11378" s="3"/>
      <c r="C11378" s="3"/>
      <c r="D11378" s="3"/>
      <c r="E11378" s="3"/>
      <c r="F11378" s="3"/>
      <c r="G11378" s="3"/>
      <c r="H11378" s="11"/>
      <c r="I11378" s="12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  <c r="AA11378" s="3"/>
      <c r="AB11378" s="3"/>
      <c r="AC11378" s="3"/>
      <c r="AD11378" s="3"/>
      <c r="AE11378" s="3"/>
      <c r="AF11378" s="3"/>
      <c r="AG11378" s="3"/>
      <c r="AH11378" s="3"/>
    </row>
    <row r="11379" spans="1:34" ht="14.25" customHeight="1" x14ac:dyDescent="0.25">
      <c r="A11379" s="3"/>
      <c r="B11379" s="3"/>
      <c r="C11379" s="3"/>
      <c r="D11379" s="3"/>
      <c r="E11379" s="3"/>
      <c r="F11379" s="3"/>
      <c r="G11379" s="3"/>
      <c r="H11379" s="11"/>
      <c r="I11379" s="12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  <c r="AA11379" s="3"/>
      <c r="AB11379" s="3"/>
      <c r="AC11379" s="3"/>
      <c r="AD11379" s="3"/>
      <c r="AE11379" s="3"/>
      <c r="AF11379" s="3"/>
      <c r="AG11379" s="3"/>
      <c r="AH11379" s="3"/>
    </row>
    <row r="11380" spans="1:34" ht="14.25" customHeight="1" x14ac:dyDescent="0.25">
      <c r="A11380" s="3"/>
      <c r="B11380" s="3"/>
      <c r="C11380" s="3"/>
      <c r="D11380" s="3"/>
      <c r="E11380" s="3"/>
      <c r="F11380" s="3"/>
      <c r="G11380" s="3"/>
      <c r="H11380" s="11"/>
      <c r="I11380" s="12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  <c r="AA11380" s="3"/>
      <c r="AB11380" s="3"/>
      <c r="AC11380" s="3"/>
      <c r="AD11380" s="3"/>
      <c r="AE11380" s="3"/>
      <c r="AF11380" s="3"/>
      <c r="AG11380" s="3"/>
      <c r="AH11380" s="3"/>
    </row>
    <row r="11381" spans="1:34" ht="14.25" customHeight="1" x14ac:dyDescent="0.25">
      <c r="A11381" s="3"/>
      <c r="B11381" s="3"/>
      <c r="C11381" s="3"/>
      <c r="D11381" s="3"/>
      <c r="E11381" s="3"/>
      <c r="F11381" s="3"/>
      <c r="G11381" s="3"/>
      <c r="H11381" s="11"/>
      <c r="I11381" s="12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  <c r="AA11381" s="3"/>
      <c r="AB11381" s="3"/>
      <c r="AC11381" s="3"/>
      <c r="AD11381" s="3"/>
      <c r="AE11381" s="3"/>
      <c r="AF11381" s="3"/>
      <c r="AG11381" s="3"/>
      <c r="AH11381" s="3"/>
    </row>
    <row r="11382" spans="1:34" ht="14.25" customHeight="1" x14ac:dyDescent="0.25">
      <c r="A11382" s="3"/>
      <c r="B11382" s="3"/>
      <c r="C11382" s="3"/>
      <c r="D11382" s="3"/>
      <c r="E11382" s="3"/>
      <c r="F11382" s="3"/>
      <c r="G11382" s="3"/>
      <c r="H11382" s="11"/>
      <c r="I11382" s="12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  <c r="AA11382" s="3"/>
      <c r="AB11382" s="3"/>
      <c r="AC11382" s="3"/>
      <c r="AD11382" s="3"/>
      <c r="AE11382" s="3"/>
      <c r="AF11382" s="3"/>
      <c r="AG11382" s="3"/>
      <c r="AH11382" s="3"/>
    </row>
    <row r="11383" spans="1:34" ht="14.25" customHeight="1" x14ac:dyDescent="0.25">
      <c r="A11383" s="3"/>
      <c r="B11383" s="3"/>
      <c r="C11383" s="3"/>
      <c r="D11383" s="3"/>
      <c r="E11383" s="3"/>
      <c r="F11383" s="3"/>
      <c r="G11383" s="3"/>
      <c r="H11383" s="11"/>
      <c r="I11383" s="12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  <c r="AA11383" s="3"/>
      <c r="AB11383" s="3"/>
      <c r="AC11383" s="3"/>
      <c r="AD11383" s="3"/>
      <c r="AE11383" s="3"/>
      <c r="AF11383" s="3"/>
      <c r="AG11383" s="3"/>
      <c r="AH11383" s="3"/>
    </row>
    <row r="11384" spans="1:34" ht="14.25" customHeight="1" x14ac:dyDescent="0.25">
      <c r="A11384" s="3"/>
      <c r="B11384" s="3"/>
      <c r="C11384" s="3"/>
      <c r="D11384" s="3"/>
      <c r="E11384" s="3"/>
      <c r="F11384" s="3"/>
      <c r="G11384" s="3"/>
      <c r="H11384" s="11"/>
      <c r="I11384" s="12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  <c r="AA11384" s="3"/>
      <c r="AB11384" s="3"/>
      <c r="AC11384" s="3"/>
      <c r="AD11384" s="3"/>
      <c r="AE11384" s="3"/>
      <c r="AF11384" s="3"/>
      <c r="AG11384" s="3"/>
      <c r="AH11384" s="3"/>
    </row>
    <row r="11385" spans="1:34" ht="14.25" customHeight="1" x14ac:dyDescent="0.25">
      <c r="A11385" s="3"/>
      <c r="B11385" s="3"/>
      <c r="C11385" s="3"/>
      <c r="D11385" s="3"/>
      <c r="E11385" s="3"/>
      <c r="F11385" s="3"/>
      <c r="G11385" s="3"/>
      <c r="H11385" s="11"/>
      <c r="I11385" s="12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  <c r="AA11385" s="3"/>
      <c r="AB11385" s="3"/>
      <c r="AC11385" s="3"/>
      <c r="AD11385" s="3"/>
      <c r="AE11385" s="3"/>
      <c r="AF11385" s="3"/>
      <c r="AG11385" s="3"/>
      <c r="AH11385" s="3"/>
    </row>
    <row r="11386" spans="1:34" ht="14.25" customHeight="1" x14ac:dyDescent="0.25">
      <c r="A11386" s="3"/>
      <c r="B11386" s="3"/>
      <c r="C11386" s="3"/>
      <c r="D11386" s="3"/>
      <c r="E11386" s="3"/>
      <c r="F11386" s="3"/>
      <c r="G11386" s="3"/>
      <c r="H11386" s="11"/>
      <c r="I11386" s="12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  <c r="AA11386" s="3"/>
      <c r="AB11386" s="3"/>
      <c r="AC11386" s="3"/>
      <c r="AD11386" s="3"/>
      <c r="AE11386" s="3"/>
      <c r="AF11386" s="3"/>
      <c r="AG11386" s="3"/>
      <c r="AH11386" s="3"/>
    </row>
    <row r="11387" spans="1:34" ht="14.25" customHeight="1" x14ac:dyDescent="0.25">
      <c r="A11387" s="3"/>
      <c r="B11387" s="3"/>
      <c r="C11387" s="3"/>
      <c r="D11387" s="3"/>
      <c r="E11387" s="3"/>
      <c r="F11387" s="3"/>
      <c r="G11387" s="3"/>
      <c r="H11387" s="11"/>
      <c r="I11387" s="12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  <c r="AA11387" s="3"/>
      <c r="AB11387" s="3"/>
      <c r="AC11387" s="3"/>
      <c r="AD11387" s="3"/>
      <c r="AE11387" s="3"/>
      <c r="AF11387" s="3"/>
      <c r="AG11387" s="3"/>
      <c r="AH11387" s="3"/>
    </row>
    <row r="11388" spans="1:34" ht="14.25" customHeight="1" x14ac:dyDescent="0.25">
      <c r="A11388" s="3"/>
      <c r="B11388" s="3"/>
      <c r="C11388" s="3"/>
      <c r="D11388" s="3"/>
      <c r="E11388" s="3"/>
      <c r="F11388" s="3"/>
      <c r="G11388" s="3"/>
      <c r="H11388" s="11"/>
      <c r="I11388" s="12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  <c r="AA11388" s="3"/>
      <c r="AB11388" s="3"/>
      <c r="AC11388" s="3"/>
      <c r="AD11388" s="3"/>
      <c r="AE11388" s="3"/>
      <c r="AF11388" s="3"/>
      <c r="AG11388" s="3"/>
      <c r="AH11388" s="3"/>
    </row>
    <row r="11389" spans="1:34" ht="14.25" customHeight="1" x14ac:dyDescent="0.25">
      <c r="A11389" s="3"/>
      <c r="B11389" s="3"/>
      <c r="C11389" s="3"/>
      <c r="D11389" s="3"/>
      <c r="E11389" s="3"/>
      <c r="F11389" s="3"/>
      <c r="G11389" s="3"/>
      <c r="H11389" s="11"/>
      <c r="I11389" s="12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  <c r="AA11389" s="3"/>
      <c r="AB11389" s="3"/>
      <c r="AC11389" s="3"/>
      <c r="AD11389" s="3"/>
      <c r="AE11389" s="3"/>
      <c r="AF11389" s="3"/>
      <c r="AG11389" s="3"/>
      <c r="AH11389" s="3"/>
    </row>
    <row r="11390" spans="1:34" ht="14.25" customHeight="1" x14ac:dyDescent="0.25">
      <c r="A11390" s="3"/>
      <c r="B11390" s="3"/>
      <c r="C11390" s="3"/>
      <c r="D11390" s="3"/>
      <c r="E11390" s="3"/>
      <c r="F11390" s="3"/>
      <c r="G11390" s="3"/>
      <c r="H11390" s="11"/>
      <c r="I11390" s="12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  <c r="AA11390" s="3"/>
      <c r="AB11390" s="3"/>
      <c r="AC11390" s="3"/>
      <c r="AD11390" s="3"/>
      <c r="AE11390" s="3"/>
      <c r="AF11390" s="3"/>
      <c r="AG11390" s="3"/>
      <c r="AH11390" s="3"/>
    </row>
    <row r="11391" spans="1:34" ht="14.25" customHeight="1" x14ac:dyDescent="0.25">
      <c r="A11391" s="3"/>
      <c r="B11391" s="3"/>
      <c r="C11391" s="3"/>
      <c r="D11391" s="3"/>
      <c r="E11391" s="3"/>
      <c r="F11391" s="3"/>
      <c r="G11391" s="3"/>
      <c r="H11391" s="11"/>
      <c r="I11391" s="12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  <c r="AA11391" s="3"/>
      <c r="AB11391" s="3"/>
      <c r="AC11391" s="3"/>
      <c r="AD11391" s="3"/>
      <c r="AE11391" s="3"/>
      <c r="AF11391" s="3"/>
      <c r="AG11391" s="3"/>
      <c r="AH11391" s="3"/>
    </row>
    <row r="11392" spans="1:34" ht="14.25" customHeight="1" x14ac:dyDescent="0.25">
      <c r="A11392" s="3"/>
      <c r="B11392" s="3"/>
      <c r="C11392" s="3"/>
      <c r="D11392" s="3"/>
      <c r="E11392" s="3"/>
      <c r="F11392" s="3"/>
      <c r="G11392" s="3"/>
      <c r="H11392" s="11"/>
      <c r="I11392" s="12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  <c r="AA11392" s="3"/>
      <c r="AB11392" s="3"/>
      <c r="AC11392" s="3"/>
      <c r="AD11392" s="3"/>
      <c r="AE11392" s="3"/>
      <c r="AF11392" s="3"/>
      <c r="AG11392" s="3"/>
      <c r="AH11392" s="3"/>
    </row>
    <row r="11393" spans="1:34" ht="14.25" customHeight="1" x14ac:dyDescent="0.25">
      <c r="A11393" s="3"/>
      <c r="B11393" s="3"/>
      <c r="C11393" s="3"/>
      <c r="D11393" s="3"/>
      <c r="E11393" s="3"/>
      <c r="F11393" s="3"/>
      <c r="G11393" s="3"/>
      <c r="H11393" s="11"/>
      <c r="I11393" s="12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  <c r="AA11393" s="3"/>
      <c r="AB11393" s="3"/>
      <c r="AC11393" s="3"/>
      <c r="AD11393" s="3"/>
      <c r="AE11393" s="3"/>
      <c r="AF11393" s="3"/>
      <c r="AG11393" s="3"/>
      <c r="AH11393" s="3"/>
    </row>
    <row r="11394" spans="1:34" ht="14.25" customHeight="1" x14ac:dyDescent="0.25">
      <c r="A11394" s="3"/>
      <c r="B11394" s="3"/>
      <c r="C11394" s="3"/>
      <c r="D11394" s="3"/>
      <c r="E11394" s="3"/>
      <c r="F11394" s="3"/>
      <c r="G11394" s="3"/>
      <c r="H11394" s="11"/>
      <c r="I11394" s="12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  <c r="AA11394" s="3"/>
      <c r="AB11394" s="3"/>
      <c r="AC11394" s="3"/>
      <c r="AD11394" s="3"/>
      <c r="AE11394" s="3"/>
      <c r="AF11394" s="3"/>
      <c r="AG11394" s="3"/>
      <c r="AH11394" s="3"/>
    </row>
    <row r="11395" spans="1:34" ht="14.25" customHeight="1" x14ac:dyDescent="0.25">
      <c r="A11395" s="3"/>
      <c r="B11395" s="3"/>
      <c r="C11395" s="3"/>
      <c r="D11395" s="3"/>
      <c r="E11395" s="3"/>
      <c r="F11395" s="3"/>
      <c r="G11395" s="3"/>
      <c r="H11395" s="11"/>
      <c r="I11395" s="12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  <c r="AA11395" s="3"/>
      <c r="AB11395" s="3"/>
      <c r="AC11395" s="3"/>
      <c r="AD11395" s="3"/>
      <c r="AE11395" s="3"/>
      <c r="AF11395" s="3"/>
      <c r="AG11395" s="3"/>
      <c r="AH11395" s="3"/>
    </row>
    <row r="11396" spans="1:34" ht="14.25" customHeight="1" x14ac:dyDescent="0.25">
      <c r="A11396" s="3"/>
      <c r="B11396" s="3"/>
      <c r="C11396" s="3"/>
      <c r="D11396" s="3"/>
      <c r="E11396" s="3"/>
      <c r="F11396" s="3"/>
      <c r="G11396" s="3"/>
      <c r="H11396" s="11"/>
      <c r="I11396" s="12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  <c r="AA11396" s="3"/>
      <c r="AB11396" s="3"/>
      <c r="AC11396" s="3"/>
      <c r="AD11396" s="3"/>
      <c r="AE11396" s="3"/>
      <c r="AF11396" s="3"/>
      <c r="AG11396" s="3"/>
      <c r="AH11396" s="3"/>
    </row>
    <row r="11397" spans="1:34" ht="14.25" customHeight="1" x14ac:dyDescent="0.25">
      <c r="A11397" s="3"/>
      <c r="B11397" s="3"/>
      <c r="C11397" s="3"/>
      <c r="D11397" s="3"/>
      <c r="E11397" s="3"/>
      <c r="F11397" s="3"/>
      <c r="G11397" s="3"/>
      <c r="H11397" s="11"/>
      <c r="I11397" s="12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  <c r="AA11397" s="3"/>
      <c r="AB11397" s="3"/>
      <c r="AC11397" s="3"/>
      <c r="AD11397" s="3"/>
      <c r="AE11397" s="3"/>
      <c r="AF11397" s="3"/>
      <c r="AG11397" s="3"/>
      <c r="AH11397" s="3"/>
    </row>
    <row r="11398" spans="1:34" ht="14.25" customHeight="1" x14ac:dyDescent="0.25">
      <c r="A11398" s="3"/>
      <c r="B11398" s="3"/>
      <c r="C11398" s="3"/>
      <c r="D11398" s="3"/>
      <c r="E11398" s="3"/>
      <c r="F11398" s="3"/>
      <c r="G11398" s="3"/>
      <c r="H11398" s="11"/>
      <c r="I11398" s="12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  <c r="AA11398" s="3"/>
      <c r="AB11398" s="3"/>
      <c r="AC11398" s="3"/>
      <c r="AD11398" s="3"/>
      <c r="AE11398" s="3"/>
      <c r="AF11398" s="3"/>
      <c r="AG11398" s="3"/>
      <c r="AH11398" s="3"/>
    </row>
    <row r="11399" spans="1:34" ht="14.25" customHeight="1" x14ac:dyDescent="0.25">
      <c r="A11399" s="3"/>
      <c r="B11399" s="3"/>
      <c r="C11399" s="3"/>
      <c r="D11399" s="3"/>
      <c r="E11399" s="3"/>
      <c r="F11399" s="3"/>
      <c r="G11399" s="3"/>
      <c r="H11399" s="11"/>
      <c r="I11399" s="12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  <c r="AA11399" s="3"/>
      <c r="AB11399" s="3"/>
      <c r="AC11399" s="3"/>
      <c r="AD11399" s="3"/>
      <c r="AE11399" s="3"/>
      <c r="AF11399" s="3"/>
      <c r="AG11399" s="3"/>
      <c r="AH11399" s="3"/>
    </row>
    <row r="11400" spans="1:34" ht="14.25" customHeight="1" x14ac:dyDescent="0.25">
      <c r="A11400" s="3"/>
      <c r="B11400" s="3"/>
      <c r="C11400" s="3"/>
      <c r="D11400" s="3"/>
      <c r="E11400" s="3"/>
      <c r="F11400" s="3"/>
      <c r="G11400" s="3"/>
      <c r="H11400" s="11"/>
      <c r="I11400" s="12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  <c r="AA11400" s="3"/>
      <c r="AB11400" s="3"/>
      <c r="AC11400" s="3"/>
      <c r="AD11400" s="3"/>
      <c r="AE11400" s="3"/>
      <c r="AF11400" s="3"/>
      <c r="AG11400" s="3"/>
      <c r="AH11400" s="3"/>
    </row>
    <row r="11401" spans="1:34" ht="14.25" customHeight="1" x14ac:dyDescent="0.25">
      <c r="A11401" s="3"/>
      <c r="B11401" s="3"/>
      <c r="C11401" s="3"/>
      <c r="D11401" s="3"/>
      <c r="E11401" s="3"/>
      <c r="F11401" s="3"/>
      <c r="G11401" s="3"/>
      <c r="H11401" s="11"/>
      <c r="I11401" s="12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  <c r="AA11401" s="3"/>
      <c r="AB11401" s="3"/>
      <c r="AC11401" s="3"/>
      <c r="AD11401" s="3"/>
      <c r="AE11401" s="3"/>
      <c r="AF11401" s="3"/>
      <c r="AG11401" s="3"/>
      <c r="AH11401" s="3"/>
    </row>
    <row r="11402" spans="1:34" ht="14.25" customHeight="1" x14ac:dyDescent="0.25">
      <c r="A11402" s="3"/>
      <c r="B11402" s="3"/>
      <c r="C11402" s="3"/>
      <c r="D11402" s="3"/>
      <c r="E11402" s="3"/>
      <c r="F11402" s="3"/>
      <c r="G11402" s="3"/>
      <c r="H11402" s="11"/>
      <c r="I11402" s="12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  <c r="AA11402" s="3"/>
      <c r="AB11402" s="3"/>
      <c r="AC11402" s="3"/>
      <c r="AD11402" s="3"/>
      <c r="AE11402" s="3"/>
      <c r="AF11402" s="3"/>
      <c r="AG11402" s="3"/>
      <c r="AH11402" s="3"/>
    </row>
    <row r="11403" spans="1:34" ht="14.25" customHeight="1" x14ac:dyDescent="0.25">
      <c r="A11403" s="3"/>
      <c r="B11403" s="3"/>
      <c r="C11403" s="3"/>
      <c r="D11403" s="3"/>
      <c r="E11403" s="3"/>
      <c r="F11403" s="3"/>
      <c r="G11403" s="3"/>
      <c r="H11403" s="11"/>
      <c r="I11403" s="12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  <c r="AA11403" s="3"/>
      <c r="AB11403" s="3"/>
      <c r="AC11403" s="3"/>
      <c r="AD11403" s="3"/>
      <c r="AE11403" s="3"/>
      <c r="AF11403" s="3"/>
      <c r="AG11403" s="3"/>
      <c r="AH11403" s="3"/>
    </row>
    <row r="11404" spans="1:34" ht="14.25" customHeight="1" x14ac:dyDescent="0.25">
      <c r="A11404" s="3"/>
      <c r="B11404" s="3"/>
      <c r="C11404" s="3"/>
      <c r="D11404" s="3"/>
      <c r="E11404" s="3"/>
      <c r="F11404" s="3"/>
      <c r="G11404" s="3"/>
      <c r="H11404" s="11"/>
      <c r="I11404" s="12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  <c r="AA11404" s="3"/>
      <c r="AB11404" s="3"/>
      <c r="AC11404" s="3"/>
      <c r="AD11404" s="3"/>
      <c r="AE11404" s="3"/>
      <c r="AF11404" s="3"/>
      <c r="AG11404" s="3"/>
      <c r="AH11404" s="3"/>
    </row>
    <row r="11405" spans="1:34" ht="14.25" customHeight="1" x14ac:dyDescent="0.25">
      <c r="A11405" s="3"/>
      <c r="B11405" s="3"/>
      <c r="C11405" s="3"/>
      <c r="D11405" s="3"/>
      <c r="E11405" s="3"/>
      <c r="F11405" s="3"/>
      <c r="G11405" s="3"/>
      <c r="H11405" s="11"/>
      <c r="I11405" s="12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  <c r="AA11405" s="3"/>
      <c r="AB11405" s="3"/>
      <c r="AC11405" s="3"/>
      <c r="AD11405" s="3"/>
      <c r="AE11405" s="3"/>
      <c r="AF11405" s="3"/>
      <c r="AG11405" s="3"/>
      <c r="AH11405" s="3"/>
    </row>
    <row r="11406" spans="1:34" ht="14.25" customHeight="1" x14ac:dyDescent="0.25">
      <c r="A11406" s="3"/>
      <c r="B11406" s="3"/>
      <c r="C11406" s="3"/>
      <c r="D11406" s="3"/>
      <c r="E11406" s="3"/>
      <c r="F11406" s="3"/>
      <c r="G11406" s="3"/>
      <c r="H11406" s="11"/>
      <c r="I11406" s="12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  <c r="AA11406" s="3"/>
      <c r="AB11406" s="3"/>
      <c r="AC11406" s="3"/>
      <c r="AD11406" s="3"/>
      <c r="AE11406" s="3"/>
      <c r="AF11406" s="3"/>
      <c r="AG11406" s="3"/>
      <c r="AH11406" s="3"/>
    </row>
    <row r="11407" spans="1:34" ht="14.25" customHeight="1" x14ac:dyDescent="0.25">
      <c r="A11407" s="3"/>
      <c r="B11407" s="3"/>
      <c r="C11407" s="3"/>
      <c r="D11407" s="3"/>
      <c r="E11407" s="3"/>
      <c r="F11407" s="3"/>
      <c r="G11407" s="3"/>
      <c r="H11407" s="11"/>
      <c r="I11407" s="12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  <c r="AA11407" s="3"/>
      <c r="AB11407" s="3"/>
      <c r="AC11407" s="3"/>
      <c r="AD11407" s="3"/>
      <c r="AE11407" s="3"/>
      <c r="AF11407" s="3"/>
      <c r="AG11407" s="3"/>
      <c r="AH11407" s="3"/>
    </row>
    <row r="11408" spans="1:34" ht="14.25" customHeight="1" x14ac:dyDescent="0.25">
      <c r="A11408" s="3"/>
      <c r="B11408" s="3"/>
      <c r="C11408" s="3"/>
      <c r="D11408" s="3"/>
      <c r="E11408" s="3"/>
      <c r="F11408" s="3"/>
      <c r="G11408" s="3"/>
      <c r="H11408" s="11"/>
      <c r="I11408" s="12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  <c r="AA11408" s="3"/>
      <c r="AB11408" s="3"/>
      <c r="AC11408" s="3"/>
      <c r="AD11408" s="3"/>
      <c r="AE11408" s="3"/>
      <c r="AF11408" s="3"/>
      <c r="AG11408" s="3"/>
      <c r="AH11408" s="3"/>
    </row>
    <row r="11409" spans="1:34" ht="14.25" customHeight="1" x14ac:dyDescent="0.25">
      <c r="A11409" s="3"/>
      <c r="B11409" s="3"/>
      <c r="C11409" s="3"/>
      <c r="D11409" s="3"/>
      <c r="E11409" s="3"/>
      <c r="F11409" s="3"/>
      <c r="G11409" s="3"/>
      <c r="H11409" s="11"/>
      <c r="I11409" s="12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  <c r="AA11409" s="3"/>
      <c r="AB11409" s="3"/>
      <c r="AC11409" s="3"/>
      <c r="AD11409" s="3"/>
      <c r="AE11409" s="3"/>
      <c r="AF11409" s="3"/>
      <c r="AG11409" s="3"/>
      <c r="AH11409" s="3"/>
    </row>
    <row r="11410" spans="1:34" ht="14.25" customHeight="1" x14ac:dyDescent="0.25">
      <c r="A11410" s="3"/>
      <c r="B11410" s="3"/>
      <c r="C11410" s="3"/>
      <c r="D11410" s="3"/>
      <c r="E11410" s="3"/>
      <c r="F11410" s="3"/>
      <c r="G11410" s="3"/>
      <c r="H11410" s="11"/>
      <c r="I11410" s="12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  <c r="AA11410" s="3"/>
      <c r="AB11410" s="3"/>
      <c r="AC11410" s="3"/>
      <c r="AD11410" s="3"/>
      <c r="AE11410" s="3"/>
      <c r="AF11410" s="3"/>
      <c r="AG11410" s="3"/>
      <c r="AH11410" s="3"/>
    </row>
    <row r="11411" spans="1:34" ht="14.25" customHeight="1" x14ac:dyDescent="0.25">
      <c r="A11411" s="3"/>
      <c r="B11411" s="3"/>
      <c r="C11411" s="3"/>
      <c r="D11411" s="3"/>
      <c r="E11411" s="3"/>
      <c r="F11411" s="3"/>
      <c r="G11411" s="3"/>
      <c r="H11411" s="11"/>
      <c r="I11411" s="12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  <c r="AA11411" s="3"/>
      <c r="AB11411" s="3"/>
      <c r="AC11411" s="3"/>
      <c r="AD11411" s="3"/>
      <c r="AE11411" s="3"/>
      <c r="AF11411" s="3"/>
      <c r="AG11411" s="3"/>
      <c r="AH11411" s="3"/>
    </row>
    <row r="11412" spans="1:34" ht="14.25" customHeight="1" x14ac:dyDescent="0.25">
      <c r="A11412" s="3"/>
      <c r="B11412" s="3"/>
      <c r="C11412" s="3"/>
      <c r="D11412" s="3"/>
      <c r="E11412" s="3"/>
      <c r="F11412" s="3"/>
      <c r="G11412" s="3"/>
      <c r="H11412" s="11"/>
      <c r="I11412" s="12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  <c r="AA11412" s="3"/>
      <c r="AB11412" s="3"/>
      <c r="AC11412" s="3"/>
      <c r="AD11412" s="3"/>
      <c r="AE11412" s="3"/>
      <c r="AF11412" s="3"/>
      <c r="AG11412" s="3"/>
      <c r="AH11412" s="3"/>
    </row>
    <row r="11413" spans="1:34" ht="14.25" customHeight="1" x14ac:dyDescent="0.25">
      <c r="A11413" s="3"/>
      <c r="B11413" s="3"/>
      <c r="C11413" s="3"/>
      <c r="D11413" s="3"/>
      <c r="E11413" s="3"/>
      <c r="F11413" s="3"/>
      <c r="G11413" s="3"/>
      <c r="H11413" s="11"/>
      <c r="I11413" s="12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  <c r="AA11413" s="3"/>
      <c r="AB11413" s="3"/>
      <c r="AC11413" s="3"/>
      <c r="AD11413" s="3"/>
      <c r="AE11413" s="3"/>
      <c r="AF11413" s="3"/>
      <c r="AG11413" s="3"/>
      <c r="AH11413" s="3"/>
    </row>
    <row r="11414" spans="1:34" ht="14.25" customHeight="1" x14ac:dyDescent="0.25">
      <c r="A11414" s="3"/>
      <c r="B11414" s="3"/>
      <c r="C11414" s="3"/>
      <c r="D11414" s="3"/>
      <c r="E11414" s="3"/>
      <c r="F11414" s="3"/>
      <c r="G11414" s="3"/>
      <c r="H11414" s="11"/>
      <c r="I11414" s="12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  <c r="AA11414" s="3"/>
      <c r="AB11414" s="3"/>
      <c r="AC11414" s="3"/>
      <c r="AD11414" s="3"/>
      <c r="AE11414" s="3"/>
      <c r="AF11414" s="3"/>
      <c r="AG11414" s="3"/>
      <c r="AH11414" s="3"/>
    </row>
    <row r="11415" spans="1:34" ht="14.25" customHeight="1" x14ac:dyDescent="0.25">
      <c r="A11415" s="3"/>
      <c r="B11415" s="3"/>
      <c r="C11415" s="3"/>
      <c r="D11415" s="3"/>
      <c r="E11415" s="3"/>
      <c r="F11415" s="3"/>
      <c r="G11415" s="3"/>
      <c r="H11415" s="11"/>
      <c r="I11415" s="12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  <c r="AA11415" s="3"/>
      <c r="AB11415" s="3"/>
      <c r="AC11415" s="3"/>
      <c r="AD11415" s="3"/>
      <c r="AE11415" s="3"/>
      <c r="AF11415" s="3"/>
      <c r="AG11415" s="3"/>
      <c r="AH11415" s="3"/>
    </row>
    <row r="11416" spans="1:34" ht="14.25" customHeight="1" x14ac:dyDescent="0.25">
      <c r="A11416" s="3"/>
      <c r="B11416" s="3"/>
      <c r="C11416" s="3"/>
      <c r="D11416" s="3"/>
      <c r="E11416" s="3"/>
      <c r="F11416" s="3"/>
      <c r="G11416" s="3"/>
      <c r="H11416" s="11"/>
      <c r="I11416" s="12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  <c r="AA11416" s="3"/>
      <c r="AB11416" s="3"/>
      <c r="AC11416" s="3"/>
      <c r="AD11416" s="3"/>
      <c r="AE11416" s="3"/>
      <c r="AF11416" s="3"/>
      <c r="AG11416" s="3"/>
      <c r="AH11416" s="3"/>
    </row>
    <row r="11417" spans="1:34" ht="14.25" customHeight="1" x14ac:dyDescent="0.25">
      <c r="A11417" s="3"/>
      <c r="B11417" s="3"/>
      <c r="C11417" s="3"/>
      <c r="D11417" s="3"/>
      <c r="E11417" s="3"/>
      <c r="F11417" s="3"/>
      <c r="G11417" s="3"/>
      <c r="H11417" s="11"/>
      <c r="I11417" s="12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  <c r="AA11417" s="3"/>
      <c r="AB11417" s="3"/>
      <c r="AC11417" s="3"/>
      <c r="AD11417" s="3"/>
      <c r="AE11417" s="3"/>
      <c r="AF11417" s="3"/>
      <c r="AG11417" s="3"/>
      <c r="AH11417" s="3"/>
    </row>
    <row r="11418" spans="1:34" ht="14.25" customHeight="1" x14ac:dyDescent="0.25">
      <c r="A11418" s="3"/>
      <c r="B11418" s="3"/>
      <c r="C11418" s="3"/>
      <c r="D11418" s="3"/>
      <c r="E11418" s="3"/>
      <c r="F11418" s="3"/>
      <c r="G11418" s="3"/>
      <c r="H11418" s="11"/>
      <c r="I11418" s="12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  <c r="AA11418" s="3"/>
      <c r="AB11418" s="3"/>
      <c r="AC11418" s="3"/>
      <c r="AD11418" s="3"/>
      <c r="AE11418" s="3"/>
      <c r="AF11418" s="3"/>
      <c r="AG11418" s="3"/>
      <c r="AH11418" s="3"/>
    </row>
    <row r="11419" spans="1:34" ht="14.25" customHeight="1" x14ac:dyDescent="0.25">
      <c r="A11419" s="3"/>
      <c r="B11419" s="3"/>
      <c r="C11419" s="3"/>
      <c r="D11419" s="3"/>
      <c r="E11419" s="3"/>
      <c r="F11419" s="3"/>
      <c r="G11419" s="3"/>
      <c r="H11419" s="11"/>
      <c r="I11419" s="12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  <c r="AA11419" s="3"/>
      <c r="AB11419" s="3"/>
      <c r="AC11419" s="3"/>
      <c r="AD11419" s="3"/>
      <c r="AE11419" s="3"/>
      <c r="AF11419" s="3"/>
      <c r="AG11419" s="3"/>
      <c r="AH11419" s="3"/>
    </row>
    <row r="11420" spans="1:34" ht="14.25" customHeight="1" x14ac:dyDescent="0.25">
      <c r="A11420" s="3"/>
      <c r="B11420" s="3"/>
      <c r="C11420" s="3"/>
      <c r="D11420" s="3"/>
      <c r="E11420" s="3"/>
      <c r="F11420" s="3"/>
      <c r="G11420" s="3"/>
      <c r="H11420" s="11"/>
      <c r="I11420" s="12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  <c r="AA11420" s="3"/>
      <c r="AB11420" s="3"/>
      <c r="AC11420" s="3"/>
      <c r="AD11420" s="3"/>
      <c r="AE11420" s="3"/>
      <c r="AF11420" s="3"/>
      <c r="AG11420" s="3"/>
      <c r="AH11420" s="3"/>
    </row>
    <row r="11421" spans="1:34" ht="14.25" customHeight="1" x14ac:dyDescent="0.25">
      <c r="A11421" s="3"/>
      <c r="B11421" s="3"/>
      <c r="C11421" s="3"/>
      <c r="D11421" s="3"/>
      <c r="E11421" s="3"/>
      <c r="F11421" s="3"/>
      <c r="G11421" s="3"/>
      <c r="H11421" s="11"/>
      <c r="I11421" s="12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  <c r="AA11421" s="3"/>
      <c r="AB11421" s="3"/>
      <c r="AC11421" s="3"/>
      <c r="AD11421" s="3"/>
      <c r="AE11421" s="3"/>
      <c r="AF11421" s="3"/>
      <c r="AG11421" s="3"/>
      <c r="AH11421" s="3"/>
    </row>
    <row r="11422" spans="1:34" ht="14.25" customHeight="1" x14ac:dyDescent="0.25">
      <c r="A11422" s="3"/>
      <c r="B11422" s="3"/>
      <c r="C11422" s="3"/>
      <c r="D11422" s="3"/>
      <c r="E11422" s="3"/>
      <c r="F11422" s="3"/>
      <c r="G11422" s="3"/>
      <c r="H11422" s="11"/>
      <c r="I11422" s="12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  <c r="AA11422" s="3"/>
      <c r="AB11422" s="3"/>
      <c r="AC11422" s="3"/>
      <c r="AD11422" s="3"/>
      <c r="AE11422" s="3"/>
      <c r="AF11422" s="3"/>
      <c r="AG11422" s="3"/>
      <c r="AH11422" s="3"/>
    </row>
    <row r="11423" spans="1:34" ht="14.25" customHeight="1" x14ac:dyDescent="0.25">
      <c r="A11423" s="3"/>
      <c r="B11423" s="3"/>
      <c r="C11423" s="3"/>
      <c r="D11423" s="3"/>
      <c r="E11423" s="3"/>
      <c r="F11423" s="3"/>
      <c r="G11423" s="3"/>
      <c r="H11423" s="11"/>
      <c r="I11423" s="12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  <c r="AA11423" s="3"/>
      <c r="AB11423" s="3"/>
      <c r="AC11423" s="3"/>
      <c r="AD11423" s="3"/>
      <c r="AE11423" s="3"/>
      <c r="AF11423" s="3"/>
      <c r="AG11423" s="3"/>
      <c r="AH11423" s="3"/>
    </row>
    <row r="11424" spans="1:34" ht="14.25" customHeight="1" x14ac:dyDescent="0.25">
      <c r="A11424" s="3"/>
      <c r="B11424" s="3"/>
      <c r="C11424" s="3"/>
      <c r="D11424" s="3"/>
      <c r="E11424" s="3"/>
      <c r="F11424" s="3"/>
      <c r="G11424" s="3"/>
      <c r="H11424" s="11"/>
      <c r="I11424" s="12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  <c r="AA11424" s="3"/>
      <c r="AB11424" s="3"/>
      <c r="AC11424" s="3"/>
      <c r="AD11424" s="3"/>
      <c r="AE11424" s="3"/>
      <c r="AF11424" s="3"/>
      <c r="AG11424" s="3"/>
      <c r="AH11424" s="3"/>
    </row>
    <row r="11425" spans="1:34" ht="14.25" customHeight="1" x14ac:dyDescent="0.25">
      <c r="A11425" s="3"/>
      <c r="B11425" s="3"/>
      <c r="C11425" s="3"/>
      <c r="D11425" s="3"/>
      <c r="E11425" s="3"/>
      <c r="F11425" s="3"/>
      <c r="G11425" s="3"/>
      <c r="H11425" s="11"/>
      <c r="I11425" s="12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  <c r="AA11425" s="3"/>
      <c r="AB11425" s="3"/>
      <c r="AC11425" s="3"/>
      <c r="AD11425" s="3"/>
      <c r="AE11425" s="3"/>
      <c r="AF11425" s="3"/>
      <c r="AG11425" s="3"/>
      <c r="AH11425" s="3"/>
    </row>
    <row r="11426" spans="1:34" ht="14.25" customHeight="1" x14ac:dyDescent="0.25">
      <c r="A11426" s="3"/>
      <c r="B11426" s="3"/>
      <c r="C11426" s="3"/>
      <c r="D11426" s="3"/>
      <c r="E11426" s="3"/>
      <c r="F11426" s="3"/>
      <c r="G11426" s="3"/>
      <c r="H11426" s="11"/>
      <c r="I11426" s="12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  <c r="AA11426" s="3"/>
      <c r="AB11426" s="3"/>
      <c r="AC11426" s="3"/>
      <c r="AD11426" s="3"/>
      <c r="AE11426" s="3"/>
      <c r="AF11426" s="3"/>
      <c r="AG11426" s="3"/>
      <c r="AH11426" s="3"/>
    </row>
    <row r="11427" spans="1:34" ht="14.25" customHeight="1" x14ac:dyDescent="0.25">
      <c r="A11427" s="3"/>
      <c r="B11427" s="3"/>
      <c r="C11427" s="3"/>
      <c r="D11427" s="3"/>
      <c r="E11427" s="3"/>
      <c r="F11427" s="3"/>
      <c r="G11427" s="3"/>
      <c r="H11427" s="11"/>
      <c r="I11427" s="12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  <c r="AA11427" s="3"/>
      <c r="AB11427" s="3"/>
      <c r="AC11427" s="3"/>
      <c r="AD11427" s="3"/>
      <c r="AE11427" s="3"/>
      <c r="AF11427" s="3"/>
      <c r="AG11427" s="3"/>
      <c r="AH11427" s="3"/>
    </row>
    <row r="11428" spans="1:34" ht="14.25" customHeight="1" x14ac:dyDescent="0.25">
      <c r="A11428" s="3"/>
      <c r="B11428" s="3"/>
      <c r="C11428" s="3"/>
      <c r="D11428" s="3"/>
      <c r="E11428" s="3"/>
      <c r="F11428" s="3"/>
      <c r="G11428" s="3"/>
      <c r="H11428" s="11"/>
      <c r="I11428" s="12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  <c r="AA11428" s="3"/>
      <c r="AB11428" s="3"/>
      <c r="AC11428" s="3"/>
      <c r="AD11428" s="3"/>
      <c r="AE11428" s="3"/>
      <c r="AF11428" s="3"/>
      <c r="AG11428" s="3"/>
      <c r="AH11428" s="3"/>
    </row>
    <row r="11429" spans="1:34" ht="14.25" customHeight="1" x14ac:dyDescent="0.25">
      <c r="A11429" s="3"/>
      <c r="B11429" s="3"/>
      <c r="C11429" s="3"/>
      <c r="D11429" s="3"/>
      <c r="E11429" s="3"/>
      <c r="F11429" s="3"/>
      <c r="G11429" s="3"/>
      <c r="H11429" s="11"/>
      <c r="I11429" s="12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  <c r="AA11429" s="3"/>
      <c r="AB11429" s="3"/>
      <c r="AC11429" s="3"/>
      <c r="AD11429" s="3"/>
      <c r="AE11429" s="3"/>
      <c r="AF11429" s="3"/>
      <c r="AG11429" s="3"/>
      <c r="AH11429" s="3"/>
    </row>
    <row r="11430" spans="1:34" ht="14.25" customHeight="1" x14ac:dyDescent="0.25">
      <c r="A11430" s="3"/>
      <c r="B11430" s="3"/>
      <c r="C11430" s="3"/>
      <c r="D11430" s="3"/>
      <c r="E11430" s="3"/>
      <c r="F11430" s="3"/>
      <c r="G11430" s="3"/>
      <c r="H11430" s="11"/>
      <c r="I11430" s="12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  <c r="AA11430" s="3"/>
      <c r="AB11430" s="3"/>
      <c r="AC11430" s="3"/>
      <c r="AD11430" s="3"/>
      <c r="AE11430" s="3"/>
      <c r="AF11430" s="3"/>
      <c r="AG11430" s="3"/>
      <c r="AH11430" s="3"/>
    </row>
    <row r="11431" spans="1:34" ht="14.25" customHeight="1" x14ac:dyDescent="0.25">
      <c r="A11431" s="3"/>
      <c r="B11431" s="3"/>
      <c r="C11431" s="3"/>
      <c r="D11431" s="3"/>
      <c r="E11431" s="3"/>
      <c r="F11431" s="3"/>
      <c r="G11431" s="3"/>
      <c r="H11431" s="11"/>
      <c r="I11431" s="12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  <c r="AA11431" s="3"/>
      <c r="AB11431" s="3"/>
      <c r="AC11431" s="3"/>
      <c r="AD11431" s="3"/>
      <c r="AE11431" s="3"/>
      <c r="AF11431" s="3"/>
      <c r="AG11431" s="3"/>
      <c r="AH11431" s="3"/>
    </row>
    <row r="11432" spans="1:34" ht="14.25" customHeight="1" x14ac:dyDescent="0.25">
      <c r="A11432" s="3"/>
      <c r="B11432" s="3"/>
      <c r="C11432" s="3"/>
      <c r="D11432" s="3"/>
      <c r="E11432" s="3"/>
      <c r="F11432" s="3"/>
      <c r="G11432" s="3"/>
      <c r="H11432" s="11"/>
      <c r="I11432" s="12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  <c r="AA11432" s="3"/>
      <c r="AB11432" s="3"/>
      <c r="AC11432" s="3"/>
      <c r="AD11432" s="3"/>
      <c r="AE11432" s="3"/>
      <c r="AF11432" s="3"/>
      <c r="AG11432" s="3"/>
      <c r="AH11432" s="3"/>
    </row>
    <row r="11433" spans="1:34" ht="14.25" customHeight="1" x14ac:dyDescent="0.25">
      <c r="A11433" s="3"/>
      <c r="B11433" s="3"/>
      <c r="C11433" s="3"/>
      <c r="D11433" s="3"/>
      <c r="E11433" s="3"/>
      <c r="F11433" s="3"/>
      <c r="G11433" s="3"/>
      <c r="H11433" s="11"/>
      <c r="I11433" s="12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  <c r="AA11433" s="3"/>
      <c r="AB11433" s="3"/>
      <c r="AC11433" s="3"/>
      <c r="AD11433" s="3"/>
      <c r="AE11433" s="3"/>
      <c r="AF11433" s="3"/>
      <c r="AG11433" s="3"/>
      <c r="AH11433" s="3"/>
    </row>
    <row r="11434" spans="1:34" ht="14.25" customHeight="1" x14ac:dyDescent="0.25">
      <c r="A11434" s="3"/>
      <c r="B11434" s="3"/>
      <c r="C11434" s="3"/>
      <c r="D11434" s="3"/>
      <c r="E11434" s="3"/>
      <c r="F11434" s="3"/>
      <c r="G11434" s="3"/>
      <c r="H11434" s="11"/>
      <c r="I11434" s="12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  <c r="AA11434" s="3"/>
      <c r="AB11434" s="3"/>
      <c r="AC11434" s="3"/>
      <c r="AD11434" s="3"/>
      <c r="AE11434" s="3"/>
      <c r="AF11434" s="3"/>
      <c r="AG11434" s="3"/>
      <c r="AH11434" s="3"/>
    </row>
    <row r="11435" spans="1:34" ht="14.25" customHeight="1" x14ac:dyDescent="0.25">
      <c r="A11435" s="3"/>
      <c r="B11435" s="3"/>
      <c r="C11435" s="3"/>
      <c r="D11435" s="3"/>
      <c r="E11435" s="3"/>
      <c r="F11435" s="3"/>
      <c r="G11435" s="3"/>
      <c r="H11435" s="11"/>
      <c r="I11435" s="12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  <c r="AA11435" s="3"/>
      <c r="AB11435" s="3"/>
      <c r="AC11435" s="3"/>
      <c r="AD11435" s="3"/>
      <c r="AE11435" s="3"/>
      <c r="AF11435" s="3"/>
      <c r="AG11435" s="3"/>
      <c r="AH11435" s="3"/>
    </row>
    <row r="11436" spans="1:34" ht="14.25" customHeight="1" x14ac:dyDescent="0.25">
      <c r="A11436" s="3"/>
      <c r="B11436" s="3"/>
      <c r="C11436" s="3"/>
      <c r="D11436" s="3"/>
      <c r="E11436" s="3"/>
      <c r="F11436" s="3"/>
      <c r="G11436" s="3"/>
      <c r="H11436" s="11"/>
      <c r="I11436" s="12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  <c r="AA11436" s="3"/>
      <c r="AB11436" s="3"/>
      <c r="AC11436" s="3"/>
      <c r="AD11436" s="3"/>
      <c r="AE11436" s="3"/>
      <c r="AF11436" s="3"/>
      <c r="AG11436" s="3"/>
      <c r="AH11436" s="3"/>
    </row>
    <row r="11437" spans="1:34" ht="14.25" customHeight="1" x14ac:dyDescent="0.25">
      <c r="A11437" s="3"/>
      <c r="B11437" s="3"/>
      <c r="C11437" s="3"/>
      <c r="D11437" s="3"/>
      <c r="E11437" s="3"/>
      <c r="F11437" s="3"/>
      <c r="G11437" s="3"/>
      <c r="H11437" s="11"/>
      <c r="I11437" s="12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  <c r="AA11437" s="3"/>
      <c r="AB11437" s="3"/>
      <c r="AC11437" s="3"/>
      <c r="AD11437" s="3"/>
      <c r="AE11437" s="3"/>
      <c r="AF11437" s="3"/>
      <c r="AG11437" s="3"/>
      <c r="AH11437" s="3"/>
    </row>
    <row r="11438" spans="1:34" ht="14.25" customHeight="1" x14ac:dyDescent="0.25">
      <c r="A11438" s="3"/>
      <c r="B11438" s="3"/>
      <c r="C11438" s="3"/>
      <c r="D11438" s="3"/>
      <c r="E11438" s="3"/>
      <c r="F11438" s="3"/>
      <c r="G11438" s="3"/>
      <c r="H11438" s="11"/>
      <c r="I11438" s="12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  <c r="AA11438" s="3"/>
      <c r="AB11438" s="3"/>
      <c r="AC11438" s="3"/>
      <c r="AD11438" s="3"/>
      <c r="AE11438" s="3"/>
      <c r="AF11438" s="3"/>
      <c r="AG11438" s="3"/>
      <c r="AH11438" s="3"/>
    </row>
    <row r="11439" spans="1:34" ht="14.25" customHeight="1" x14ac:dyDescent="0.25">
      <c r="A11439" s="3"/>
      <c r="B11439" s="3"/>
      <c r="C11439" s="3"/>
      <c r="D11439" s="3"/>
      <c r="E11439" s="3"/>
      <c r="F11439" s="3"/>
      <c r="G11439" s="3"/>
      <c r="H11439" s="11"/>
      <c r="I11439" s="12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  <c r="AA11439" s="3"/>
      <c r="AB11439" s="3"/>
      <c r="AC11439" s="3"/>
      <c r="AD11439" s="3"/>
      <c r="AE11439" s="3"/>
      <c r="AF11439" s="3"/>
      <c r="AG11439" s="3"/>
      <c r="AH11439" s="3"/>
    </row>
    <row r="11440" spans="1:34" ht="14.25" customHeight="1" x14ac:dyDescent="0.25">
      <c r="A11440" s="3"/>
      <c r="B11440" s="3"/>
      <c r="C11440" s="3"/>
      <c r="D11440" s="3"/>
      <c r="E11440" s="3"/>
      <c r="F11440" s="3"/>
      <c r="G11440" s="3"/>
      <c r="H11440" s="11"/>
      <c r="I11440" s="12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  <c r="AA11440" s="3"/>
      <c r="AB11440" s="3"/>
      <c r="AC11440" s="3"/>
      <c r="AD11440" s="3"/>
      <c r="AE11440" s="3"/>
      <c r="AF11440" s="3"/>
      <c r="AG11440" s="3"/>
      <c r="AH11440" s="3"/>
    </row>
    <row r="11441" spans="1:34" ht="14.25" customHeight="1" x14ac:dyDescent="0.25">
      <c r="A11441" s="3"/>
      <c r="B11441" s="3"/>
      <c r="C11441" s="3"/>
      <c r="D11441" s="3"/>
      <c r="E11441" s="3"/>
      <c r="F11441" s="3"/>
      <c r="G11441" s="3"/>
      <c r="H11441" s="11"/>
      <c r="I11441" s="12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  <c r="AA11441" s="3"/>
      <c r="AB11441" s="3"/>
      <c r="AC11441" s="3"/>
      <c r="AD11441" s="3"/>
      <c r="AE11441" s="3"/>
      <c r="AF11441" s="3"/>
      <c r="AG11441" s="3"/>
      <c r="AH11441" s="3"/>
    </row>
    <row r="11442" spans="1:34" ht="14.25" customHeight="1" x14ac:dyDescent="0.25">
      <c r="A11442" s="3"/>
      <c r="B11442" s="3"/>
      <c r="C11442" s="3"/>
      <c r="D11442" s="3"/>
      <c r="E11442" s="3"/>
      <c r="F11442" s="3"/>
      <c r="G11442" s="3"/>
      <c r="H11442" s="11"/>
      <c r="I11442" s="12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  <c r="AA11442" s="3"/>
      <c r="AB11442" s="3"/>
      <c r="AC11442" s="3"/>
      <c r="AD11442" s="3"/>
      <c r="AE11442" s="3"/>
      <c r="AF11442" s="3"/>
      <c r="AG11442" s="3"/>
      <c r="AH11442" s="3"/>
    </row>
    <row r="11443" spans="1:34" ht="14.25" customHeight="1" x14ac:dyDescent="0.25">
      <c r="A11443" s="3"/>
      <c r="B11443" s="3"/>
      <c r="C11443" s="3"/>
      <c r="D11443" s="3"/>
      <c r="E11443" s="3"/>
      <c r="F11443" s="3"/>
      <c r="G11443" s="3"/>
      <c r="H11443" s="11"/>
      <c r="I11443" s="12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  <c r="AA11443" s="3"/>
      <c r="AB11443" s="3"/>
      <c r="AC11443" s="3"/>
      <c r="AD11443" s="3"/>
      <c r="AE11443" s="3"/>
      <c r="AF11443" s="3"/>
      <c r="AG11443" s="3"/>
      <c r="AH11443" s="3"/>
    </row>
    <row r="11444" spans="1:34" ht="14.25" customHeight="1" x14ac:dyDescent="0.25">
      <c r="A11444" s="3"/>
      <c r="B11444" s="3"/>
      <c r="C11444" s="3"/>
      <c r="D11444" s="3"/>
      <c r="E11444" s="3"/>
      <c r="F11444" s="3"/>
      <c r="G11444" s="3"/>
      <c r="H11444" s="11"/>
      <c r="I11444" s="12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  <c r="AA11444" s="3"/>
      <c r="AB11444" s="3"/>
      <c r="AC11444" s="3"/>
      <c r="AD11444" s="3"/>
      <c r="AE11444" s="3"/>
      <c r="AF11444" s="3"/>
      <c r="AG11444" s="3"/>
      <c r="AH11444" s="3"/>
    </row>
    <row r="11445" spans="1:34" ht="14.25" customHeight="1" x14ac:dyDescent="0.25">
      <c r="A11445" s="3"/>
      <c r="B11445" s="3"/>
      <c r="C11445" s="3"/>
      <c r="D11445" s="3"/>
      <c r="E11445" s="3"/>
      <c r="F11445" s="3"/>
      <c r="G11445" s="3"/>
      <c r="H11445" s="11"/>
      <c r="I11445" s="12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  <c r="AA11445" s="3"/>
      <c r="AB11445" s="3"/>
      <c r="AC11445" s="3"/>
      <c r="AD11445" s="3"/>
      <c r="AE11445" s="3"/>
      <c r="AF11445" s="3"/>
      <c r="AG11445" s="3"/>
      <c r="AH11445" s="3"/>
    </row>
    <row r="11446" spans="1:34" ht="14.25" customHeight="1" x14ac:dyDescent="0.25">
      <c r="A11446" s="3"/>
      <c r="B11446" s="3"/>
      <c r="C11446" s="3"/>
      <c r="D11446" s="3"/>
      <c r="E11446" s="3"/>
      <c r="F11446" s="3"/>
      <c r="G11446" s="3"/>
      <c r="H11446" s="11"/>
      <c r="I11446" s="12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  <c r="AA11446" s="3"/>
      <c r="AB11446" s="3"/>
      <c r="AC11446" s="3"/>
      <c r="AD11446" s="3"/>
      <c r="AE11446" s="3"/>
      <c r="AF11446" s="3"/>
      <c r="AG11446" s="3"/>
      <c r="AH11446" s="3"/>
    </row>
    <row r="11447" spans="1:34" ht="14.25" customHeight="1" x14ac:dyDescent="0.25">
      <c r="A11447" s="3"/>
      <c r="B11447" s="3"/>
      <c r="C11447" s="3"/>
      <c r="D11447" s="3"/>
      <c r="E11447" s="3"/>
      <c r="F11447" s="3"/>
      <c r="G11447" s="3"/>
      <c r="H11447" s="11"/>
      <c r="I11447" s="12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  <c r="AA11447" s="3"/>
      <c r="AB11447" s="3"/>
      <c r="AC11447" s="3"/>
      <c r="AD11447" s="3"/>
      <c r="AE11447" s="3"/>
      <c r="AF11447" s="3"/>
      <c r="AG11447" s="3"/>
      <c r="AH11447" s="3"/>
    </row>
    <row r="11448" spans="1:34" ht="14.25" customHeight="1" x14ac:dyDescent="0.25">
      <c r="A11448" s="3"/>
      <c r="B11448" s="3"/>
      <c r="C11448" s="3"/>
      <c r="D11448" s="3"/>
      <c r="E11448" s="3"/>
      <c r="F11448" s="3"/>
      <c r="G11448" s="3"/>
      <c r="H11448" s="11"/>
      <c r="I11448" s="12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  <c r="AA11448" s="3"/>
      <c r="AB11448" s="3"/>
      <c r="AC11448" s="3"/>
      <c r="AD11448" s="3"/>
      <c r="AE11448" s="3"/>
      <c r="AF11448" s="3"/>
      <c r="AG11448" s="3"/>
      <c r="AH11448" s="3"/>
    </row>
    <row r="11449" spans="1:34" ht="14.25" customHeight="1" x14ac:dyDescent="0.25">
      <c r="A11449" s="3"/>
      <c r="B11449" s="3"/>
      <c r="C11449" s="3"/>
      <c r="D11449" s="3"/>
      <c r="E11449" s="3"/>
      <c r="F11449" s="3"/>
      <c r="G11449" s="3"/>
      <c r="H11449" s="11"/>
      <c r="I11449" s="12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  <c r="AA11449" s="3"/>
      <c r="AB11449" s="3"/>
      <c r="AC11449" s="3"/>
      <c r="AD11449" s="3"/>
      <c r="AE11449" s="3"/>
      <c r="AF11449" s="3"/>
      <c r="AG11449" s="3"/>
      <c r="AH11449" s="3"/>
    </row>
    <row r="11450" spans="1:34" ht="14.25" customHeight="1" x14ac:dyDescent="0.25">
      <c r="A11450" s="3"/>
      <c r="B11450" s="3"/>
      <c r="C11450" s="3"/>
      <c r="D11450" s="3"/>
      <c r="E11450" s="3"/>
      <c r="F11450" s="3"/>
      <c r="G11450" s="3"/>
      <c r="H11450" s="11"/>
      <c r="I11450" s="12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  <c r="AA11450" s="3"/>
      <c r="AB11450" s="3"/>
      <c r="AC11450" s="3"/>
      <c r="AD11450" s="3"/>
      <c r="AE11450" s="3"/>
      <c r="AF11450" s="3"/>
      <c r="AG11450" s="3"/>
      <c r="AH11450" s="3"/>
    </row>
    <row r="11451" spans="1:34" ht="14.25" customHeight="1" x14ac:dyDescent="0.25">
      <c r="A11451" s="3"/>
      <c r="B11451" s="3"/>
      <c r="C11451" s="3"/>
      <c r="D11451" s="3"/>
      <c r="E11451" s="3"/>
      <c r="F11451" s="3"/>
      <c r="G11451" s="3"/>
      <c r="H11451" s="11"/>
      <c r="I11451" s="12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  <c r="AA11451" s="3"/>
      <c r="AB11451" s="3"/>
      <c r="AC11451" s="3"/>
      <c r="AD11451" s="3"/>
      <c r="AE11451" s="3"/>
      <c r="AF11451" s="3"/>
      <c r="AG11451" s="3"/>
      <c r="AH11451" s="3"/>
    </row>
    <row r="11452" spans="1:34" ht="14.25" customHeight="1" x14ac:dyDescent="0.25">
      <c r="A11452" s="3"/>
      <c r="B11452" s="3"/>
      <c r="C11452" s="3"/>
      <c r="D11452" s="3"/>
      <c r="E11452" s="3"/>
      <c r="F11452" s="3"/>
      <c r="G11452" s="3"/>
      <c r="H11452" s="11"/>
      <c r="I11452" s="12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  <c r="AA11452" s="3"/>
      <c r="AB11452" s="3"/>
      <c r="AC11452" s="3"/>
      <c r="AD11452" s="3"/>
      <c r="AE11452" s="3"/>
      <c r="AF11452" s="3"/>
      <c r="AG11452" s="3"/>
      <c r="AH11452" s="3"/>
    </row>
    <row r="11453" spans="1:34" ht="14.25" customHeight="1" x14ac:dyDescent="0.25">
      <c r="A11453" s="3"/>
      <c r="B11453" s="3"/>
      <c r="C11453" s="3"/>
      <c r="D11453" s="3"/>
      <c r="E11453" s="3"/>
      <c r="F11453" s="3"/>
      <c r="G11453" s="3"/>
      <c r="H11453" s="11"/>
      <c r="I11453" s="12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  <c r="AA11453" s="3"/>
      <c r="AB11453" s="3"/>
      <c r="AC11453" s="3"/>
      <c r="AD11453" s="3"/>
      <c r="AE11453" s="3"/>
      <c r="AF11453" s="3"/>
      <c r="AG11453" s="3"/>
      <c r="AH11453" s="3"/>
    </row>
    <row r="11454" spans="1:34" ht="14.25" customHeight="1" x14ac:dyDescent="0.25">
      <c r="A11454" s="3"/>
      <c r="B11454" s="3"/>
      <c r="C11454" s="3"/>
      <c r="D11454" s="3"/>
      <c r="E11454" s="3"/>
      <c r="F11454" s="3"/>
      <c r="G11454" s="3"/>
      <c r="H11454" s="11"/>
      <c r="I11454" s="12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  <c r="AA11454" s="3"/>
      <c r="AB11454" s="3"/>
      <c r="AC11454" s="3"/>
      <c r="AD11454" s="3"/>
      <c r="AE11454" s="3"/>
      <c r="AF11454" s="3"/>
      <c r="AG11454" s="3"/>
      <c r="AH11454" s="3"/>
    </row>
    <row r="11455" spans="1:34" ht="14.25" customHeight="1" x14ac:dyDescent="0.25">
      <c r="A11455" s="3"/>
      <c r="B11455" s="3"/>
      <c r="C11455" s="3"/>
      <c r="D11455" s="3"/>
      <c r="E11455" s="3"/>
      <c r="F11455" s="3"/>
      <c r="G11455" s="3"/>
      <c r="H11455" s="11"/>
      <c r="I11455" s="12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  <c r="AA11455" s="3"/>
      <c r="AB11455" s="3"/>
      <c r="AC11455" s="3"/>
      <c r="AD11455" s="3"/>
      <c r="AE11455" s="3"/>
      <c r="AF11455" s="3"/>
      <c r="AG11455" s="3"/>
      <c r="AH11455" s="3"/>
    </row>
    <row r="11456" spans="1:34" ht="14.25" customHeight="1" x14ac:dyDescent="0.25">
      <c r="A11456" s="3"/>
      <c r="B11456" s="3"/>
      <c r="C11456" s="3"/>
      <c r="D11456" s="3"/>
      <c r="E11456" s="3"/>
      <c r="F11456" s="3"/>
      <c r="G11456" s="3"/>
      <c r="H11456" s="11"/>
      <c r="I11456" s="12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  <c r="AA11456" s="3"/>
      <c r="AB11456" s="3"/>
      <c r="AC11456" s="3"/>
      <c r="AD11456" s="3"/>
      <c r="AE11456" s="3"/>
      <c r="AF11456" s="3"/>
      <c r="AG11456" s="3"/>
      <c r="AH11456" s="3"/>
    </row>
    <row r="11457" spans="1:34" ht="14.25" customHeight="1" x14ac:dyDescent="0.25">
      <c r="A11457" s="3"/>
      <c r="B11457" s="3"/>
      <c r="C11457" s="3"/>
      <c r="D11457" s="3"/>
      <c r="E11457" s="3"/>
      <c r="F11457" s="3"/>
      <c r="G11457" s="3"/>
      <c r="H11457" s="11"/>
      <c r="I11457" s="12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  <c r="AA11457" s="3"/>
      <c r="AB11457" s="3"/>
      <c r="AC11457" s="3"/>
      <c r="AD11457" s="3"/>
      <c r="AE11457" s="3"/>
      <c r="AF11457" s="3"/>
      <c r="AG11457" s="3"/>
      <c r="AH11457" s="3"/>
    </row>
    <row r="11458" spans="1:34" ht="14.25" customHeight="1" x14ac:dyDescent="0.25">
      <c r="A11458" s="3"/>
      <c r="B11458" s="3"/>
      <c r="C11458" s="3"/>
      <c r="D11458" s="3"/>
      <c r="E11458" s="3"/>
      <c r="F11458" s="3"/>
      <c r="G11458" s="3"/>
      <c r="H11458" s="11"/>
      <c r="I11458" s="12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  <c r="AA11458" s="3"/>
      <c r="AB11458" s="3"/>
      <c r="AC11458" s="3"/>
      <c r="AD11458" s="3"/>
      <c r="AE11458" s="3"/>
      <c r="AF11458" s="3"/>
      <c r="AG11458" s="3"/>
      <c r="AH11458" s="3"/>
    </row>
    <row r="11459" spans="1:34" ht="14.25" customHeight="1" x14ac:dyDescent="0.25">
      <c r="A11459" s="3"/>
      <c r="B11459" s="3"/>
      <c r="C11459" s="3"/>
      <c r="D11459" s="3"/>
      <c r="E11459" s="3"/>
      <c r="F11459" s="3"/>
      <c r="G11459" s="3"/>
      <c r="H11459" s="11"/>
      <c r="I11459" s="12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  <c r="AA11459" s="3"/>
      <c r="AB11459" s="3"/>
      <c r="AC11459" s="3"/>
      <c r="AD11459" s="3"/>
      <c r="AE11459" s="3"/>
      <c r="AF11459" s="3"/>
      <c r="AG11459" s="3"/>
      <c r="AH11459" s="3"/>
    </row>
    <row r="11460" spans="1:34" ht="14.25" customHeight="1" x14ac:dyDescent="0.25">
      <c r="A11460" s="3"/>
      <c r="B11460" s="3"/>
      <c r="C11460" s="3"/>
      <c r="D11460" s="3"/>
      <c r="E11460" s="3"/>
      <c r="F11460" s="3"/>
      <c r="G11460" s="3"/>
      <c r="H11460" s="11"/>
      <c r="I11460" s="12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  <c r="AA11460" s="3"/>
      <c r="AB11460" s="3"/>
      <c r="AC11460" s="3"/>
      <c r="AD11460" s="3"/>
      <c r="AE11460" s="3"/>
      <c r="AF11460" s="3"/>
      <c r="AG11460" s="3"/>
      <c r="AH11460" s="3"/>
    </row>
    <row r="11461" spans="1:34" ht="14.25" customHeight="1" x14ac:dyDescent="0.25">
      <c r="A11461" s="3"/>
      <c r="B11461" s="3"/>
      <c r="C11461" s="3"/>
      <c r="D11461" s="3"/>
      <c r="E11461" s="3"/>
      <c r="F11461" s="3"/>
      <c r="G11461" s="3"/>
      <c r="H11461" s="11"/>
      <c r="I11461" s="12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  <c r="AA11461" s="3"/>
      <c r="AB11461" s="3"/>
      <c r="AC11461" s="3"/>
      <c r="AD11461" s="3"/>
      <c r="AE11461" s="3"/>
      <c r="AF11461" s="3"/>
      <c r="AG11461" s="3"/>
      <c r="AH11461" s="3"/>
    </row>
    <row r="11462" spans="1:34" ht="14.25" customHeight="1" x14ac:dyDescent="0.25">
      <c r="A11462" s="3"/>
      <c r="B11462" s="3"/>
      <c r="C11462" s="3"/>
      <c r="D11462" s="3"/>
      <c r="E11462" s="3"/>
      <c r="F11462" s="3"/>
      <c r="G11462" s="3"/>
      <c r="H11462" s="11"/>
      <c r="I11462" s="12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  <c r="AA11462" s="3"/>
      <c r="AB11462" s="3"/>
      <c r="AC11462" s="3"/>
      <c r="AD11462" s="3"/>
      <c r="AE11462" s="3"/>
      <c r="AF11462" s="3"/>
      <c r="AG11462" s="3"/>
      <c r="AH11462" s="3"/>
    </row>
    <row r="11463" spans="1:34" ht="14.25" customHeight="1" x14ac:dyDescent="0.25">
      <c r="A11463" s="3"/>
      <c r="B11463" s="3"/>
      <c r="C11463" s="3"/>
      <c r="D11463" s="3"/>
      <c r="E11463" s="3"/>
      <c r="F11463" s="3"/>
      <c r="G11463" s="3"/>
      <c r="H11463" s="11"/>
      <c r="I11463" s="12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  <c r="AA11463" s="3"/>
      <c r="AB11463" s="3"/>
      <c r="AC11463" s="3"/>
      <c r="AD11463" s="3"/>
      <c r="AE11463" s="3"/>
      <c r="AF11463" s="3"/>
      <c r="AG11463" s="3"/>
      <c r="AH11463" s="3"/>
    </row>
    <row r="11464" spans="1:34" ht="14.25" customHeight="1" x14ac:dyDescent="0.25">
      <c r="A11464" s="3"/>
      <c r="B11464" s="3"/>
      <c r="C11464" s="3"/>
      <c r="D11464" s="3"/>
      <c r="E11464" s="3"/>
      <c r="F11464" s="3"/>
      <c r="G11464" s="3"/>
      <c r="H11464" s="11"/>
      <c r="I11464" s="12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  <c r="AA11464" s="3"/>
      <c r="AB11464" s="3"/>
      <c r="AC11464" s="3"/>
      <c r="AD11464" s="3"/>
      <c r="AE11464" s="3"/>
      <c r="AF11464" s="3"/>
      <c r="AG11464" s="3"/>
      <c r="AH11464" s="3"/>
    </row>
    <row r="11465" spans="1:34" ht="14.25" customHeight="1" x14ac:dyDescent="0.25">
      <c r="A11465" s="3"/>
      <c r="B11465" s="3"/>
      <c r="C11465" s="3"/>
      <c r="D11465" s="3"/>
      <c r="E11465" s="3"/>
      <c r="F11465" s="3"/>
      <c r="G11465" s="3"/>
      <c r="H11465" s="11"/>
      <c r="I11465" s="12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  <c r="AA11465" s="3"/>
      <c r="AB11465" s="3"/>
      <c r="AC11465" s="3"/>
      <c r="AD11465" s="3"/>
      <c r="AE11465" s="3"/>
      <c r="AF11465" s="3"/>
      <c r="AG11465" s="3"/>
      <c r="AH11465" s="3"/>
    </row>
    <row r="11466" spans="1:34" ht="14.25" customHeight="1" x14ac:dyDescent="0.25">
      <c r="A11466" s="3"/>
      <c r="B11466" s="3"/>
      <c r="C11466" s="3"/>
      <c r="D11466" s="3"/>
      <c r="E11466" s="3"/>
      <c r="F11466" s="3"/>
      <c r="G11466" s="3"/>
      <c r="H11466" s="11"/>
      <c r="I11466" s="12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  <c r="AA11466" s="3"/>
      <c r="AB11466" s="3"/>
      <c r="AC11466" s="3"/>
      <c r="AD11466" s="3"/>
      <c r="AE11466" s="3"/>
      <c r="AF11466" s="3"/>
      <c r="AG11466" s="3"/>
      <c r="AH11466" s="3"/>
    </row>
    <row r="11467" spans="1:34" ht="14.25" customHeight="1" x14ac:dyDescent="0.25">
      <c r="A11467" s="3"/>
      <c r="B11467" s="3"/>
      <c r="C11467" s="3"/>
      <c r="D11467" s="3"/>
      <c r="E11467" s="3"/>
      <c r="F11467" s="3"/>
      <c r="G11467" s="3"/>
      <c r="H11467" s="11"/>
      <c r="I11467" s="12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  <c r="AA11467" s="3"/>
      <c r="AB11467" s="3"/>
      <c r="AC11467" s="3"/>
      <c r="AD11467" s="3"/>
      <c r="AE11467" s="3"/>
      <c r="AF11467" s="3"/>
      <c r="AG11467" s="3"/>
      <c r="AH11467" s="3"/>
    </row>
    <row r="11468" spans="1:34" ht="14.25" customHeight="1" x14ac:dyDescent="0.25">
      <c r="A11468" s="3"/>
      <c r="B11468" s="3"/>
      <c r="C11468" s="3"/>
      <c r="D11468" s="3"/>
      <c r="E11468" s="3"/>
      <c r="F11468" s="3"/>
      <c r="G11468" s="3"/>
      <c r="H11468" s="11"/>
      <c r="I11468" s="12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  <c r="AA11468" s="3"/>
      <c r="AB11468" s="3"/>
      <c r="AC11468" s="3"/>
      <c r="AD11468" s="3"/>
      <c r="AE11468" s="3"/>
      <c r="AF11468" s="3"/>
      <c r="AG11468" s="3"/>
      <c r="AH11468" s="3"/>
    </row>
    <row r="11469" spans="1:34" ht="14.25" customHeight="1" x14ac:dyDescent="0.25">
      <c r="A11469" s="3"/>
      <c r="B11469" s="3"/>
      <c r="C11469" s="3"/>
      <c r="D11469" s="3"/>
      <c r="E11469" s="3"/>
      <c r="F11469" s="3"/>
      <c r="G11469" s="3"/>
      <c r="H11469" s="11"/>
      <c r="I11469" s="12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  <c r="AA11469" s="3"/>
      <c r="AB11469" s="3"/>
      <c r="AC11469" s="3"/>
      <c r="AD11469" s="3"/>
      <c r="AE11469" s="3"/>
      <c r="AF11469" s="3"/>
      <c r="AG11469" s="3"/>
      <c r="AH11469" s="3"/>
    </row>
    <row r="11470" spans="1:34" ht="14.25" customHeight="1" x14ac:dyDescent="0.25">
      <c r="A11470" s="3"/>
      <c r="B11470" s="3"/>
      <c r="C11470" s="3"/>
      <c r="D11470" s="3"/>
      <c r="E11470" s="3"/>
      <c r="F11470" s="3"/>
      <c r="G11470" s="3"/>
      <c r="H11470" s="11"/>
      <c r="I11470" s="12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  <c r="AA11470" s="3"/>
      <c r="AB11470" s="3"/>
      <c r="AC11470" s="3"/>
      <c r="AD11470" s="3"/>
      <c r="AE11470" s="3"/>
      <c r="AF11470" s="3"/>
      <c r="AG11470" s="3"/>
      <c r="AH11470" s="3"/>
    </row>
    <row r="11471" spans="1:34" ht="14.25" customHeight="1" x14ac:dyDescent="0.25">
      <c r="A11471" s="3"/>
      <c r="B11471" s="3"/>
      <c r="C11471" s="3"/>
      <c r="D11471" s="3"/>
      <c r="E11471" s="3"/>
      <c r="F11471" s="3"/>
      <c r="G11471" s="3"/>
      <c r="H11471" s="11"/>
      <c r="I11471" s="12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  <c r="AA11471" s="3"/>
      <c r="AB11471" s="3"/>
      <c r="AC11471" s="3"/>
      <c r="AD11471" s="3"/>
      <c r="AE11471" s="3"/>
      <c r="AF11471" s="3"/>
      <c r="AG11471" s="3"/>
      <c r="AH11471" s="3"/>
    </row>
    <row r="11472" spans="1:34" ht="14.25" customHeight="1" x14ac:dyDescent="0.25">
      <c r="A11472" s="3"/>
      <c r="B11472" s="3"/>
      <c r="C11472" s="3"/>
      <c r="D11472" s="3"/>
      <c r="E11472" s="3"/>
      <c r="F11472" s="3"/>
      <c r="G11472" s="3"/>
      <c r="H11472" s="11"/>
      <c r="I11472" s="12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  <c r="AA11472" s="3"/>
      <c r="AB11472" s="3"/>
      <c r="AC11472" s="3"/>
      <c r="AD11472" s="3"/>
      <c r="AE11472" s="3"/>
      <c r="AF11472" s="3"/>
      <c r="AG11472" s="3"/>
      <c r="AH11472" s="3"/>
    </row>
    <row r="11473" spans="1:34" ht="14.25" customHeight="1" x14ac:dyDescent="0.25">
      <c r="A11473" s="3"/>
      <c r="B11473" s="3"/>
      <c r="C11473" s="3"/>
      <c r="D11473" s="3"/>
      <c r="E11473" s="3"/>
      <c r="F11473" s="3"/>
      <c r="G11473" s="3"/>
      <c r="H11473" s="11"/>
      <c r="I11473" s="12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  <c r="AA11473" s="3"/>
      <c r="AB11473" s="3"/>
      <c r="AC11473" s="3"/>
      <c r="AD11473" s="3"/>
      <c r="AE11473" s="3"/>
      <c r="AF11473" s="3"/>
      <c r="AG11473" s="3"/>
      <c r="AH11473" s="3"/>
    </row>
    <row r="11474" spans="1:34" ht="14.25" customHeight="1" x14ac:dyDescent="0.25">
      <c r="A11474" s="3"/>
      <c r="B11474" s="3"/>
      <c r="C11474" s="3"/>
      <c r="D11474" s="3"/>
      <c r="E11474" s="3"/>
      <c r="F11474" s="3"/>
      <c r="G11474" s="3"/>
      <c r="H11474" s="11"/>
      <c r="I11474" s="12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  <c r="AA11474" s="3"/>
      <c r="AB11474" s="3"/>
      <c r="AC11474" s="3"/>
      <c r="AD11474" s="3"/>
      <c r="AE11474" s="3"/>
      <c r="AF11474" s="3"/>
      <c r="AG11474" s="3"/>
      <c r="AH11474" s="3"/>
    </row>
    <row r="11475" spans="1:34" ht="14.25" customHeight="1" x14ac:dyDescent="0.25">
      <c r="A11475" s="3"/>
      <c r="B11475" s="3"/>
      <c r="C11475" s="3"/>
      <c r="D11475" s="3"/>
      <c r="E11475" s="3"/>
      <c r="F11475" s="3"/>
      <c r="G11475" s="3"/>
      <c r="H11475" s="11"/>
      <c r="I11475" s="12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  <c r="AA11475" s="3"/>
      <c r="AB11475" s="3"/>
      <c r="AC11475" s="3"/>
      <c r="AD11475" s="3"/>
      <c r="AE11475" s="3"/>
      <c r="AF11475" s="3"/>
      <c r="AG11475" s="3"/>
      <c r="AH11475" s="3"/>
    </row>
    <row r="11476" spans="1:34" ht="14.25" customHeight="1" x14ac:dyDescent="0.25">
      <c r="A11476" s="3"/>
      <c r="B11476" s="3"/>
      <c r="C11476" s="3"/>
      <c r="D11476" s="3"/>
      <c r="E11476" s="3"/>
      <c r="F11476" s="3"/>
      <c r="G11476" s="3"/>
      <c r="H11476" s="11"/>
      <c r="I11476" s="12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  <c r="AA11476" s="3"/>
      <c r="AB11476" s="3"/>
      <c r="AC11476" s="3"/>
      <c r="AD11476" s="3"/>
      <c r="AE11476" s="3"/>
      <c r="AF11476" s="3"/>
      <c r="AG11476" s="3"/>
      <c r="AH11476" s="3"/>
    </row>
    <row r="11477" spans="1:34" ht="14.25" customHeight="1" x14ac:dyDescent="0.25">
      <c r="A11477" s="3"/>
      <c r="B11477" s="3"/>
      <c r="C11477" s="3"/>
      <c r="D11477" s="3"/>
      <c r="E11477" s="3"/>
      <c r="F11477" s="3"/>
      <c r="G11477" s="3"/>
      <c r="H11477" s="11"/>
      <c r="I11477" s="12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  <c r="AA11477" s="3"/>
      <c r="AB11477" s="3"/>
      <c r="AC11477" s="3"/>
      <c r="AD11477" s="3"/>
      <c r="AE11477" s="3"/>
      <c r="AF11477" s="3"/>
      <c r="AG11477" s="3"/>
      <c r="AH11477" s="3"/>
    </row>
    <row r="11478" spans="1:34" ht="14.25" customHeight="1" x14ac:dyDescent="0.25">
      <c r="A11478" s="3"/>
      <c r="B11478" s="3"/>
      <c r="C11478" s="3"/>
      <c r="D11478" s="3"/>
      <c r="E11478" s="3"/>
      <c r="F11478" s="3"/>
      <c r="G11478" s="3"/>
      <c r="H11478" s="11"/>
      <c r="I11478" s="12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  <c r="AA11478" s="3"/>
      <c r="AB11478" s="3"/>
      <c r="AC11478" s="3"/>
      <c r="AD11478" s="3"/>
      <c r="AE11478" s="3"/>
      <c r="AF11478" s="3"/>
      <c r="AG11478" s="3"/>
      <c r="AH11478" s="3"/>
    </row>
    <row r="11479" spans="1:34" ht="14.25" customHeight="1" x14ac:dyDescent="0.25">
      <c r="A11479" s="3"/>
      <c r="B11479" s="3"/>
      <c r="C11479" s="3"/>
      <c r="D11479" s="3"/>
      <c r="E11479" s="3"/>
      <c r="F11479" s="3"/>
      <c r="G11479" s="3"/>
      <c r="H11479" s="11"/>
      <c r="I11479" s="12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  <c r="AA11479" s="3"/>
      <c r="AB11479" s="3"/>
      <c r="AC11479" s="3"/>
      <c r="AD11479" s="3"/>
      <c r="AE11479" s="3"/>
      <c r="AF11479" s="3"/>
      <c r="AG11479" s="3"/>
      <c r="AH11479" s="3"/>
    </row>
    <row r="11480" spans="1:34" ht="14.25" customHeight="1" x14ac:dyDescent="0.25">
      <c r="A11480" s="3"/>
      <c r="B11480" s="3"/>
      <c r="C11480" s="3"/>
      <c r="D11480" s="3"/>
      <c r="E11480" s="3"/>
      <c r="F11480" s="3"/>
      <c r="G11480" s="3"/>
      <c r="H11480" s="11"/>
      <c r="I11480" s="12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  <c r="AA11480" s="3"/>
      <c r="AB11480" s="3"/>
      <c r="AC11480" s="3"/>
      <c r="AD11480" s="3"/>
      <c r="AE11480" s="3"/>
      <c r="AF11480" s="3"/>
      <c r="AG11480" s="3"/>
      <c r="AH11480" s="3"/>
    </row>
    <row r="11481" spans="1:34" ht="14.25" customHeight="1" x14ac:dyDescent="0.25">
      <c r="A11481" s="3"/>
      <c r="B11481" s="3"/>
      <c r="C11481" s="3"/>
      <c r="D11481" s="3"/>
      <c r="E11481" s="3"/>
      <c r="F11481" s="3"/>
      <c r="G11481" s="3"/>
      <c r="H11481" s="11"/>
      <c r="I11481" s="12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  <c r="AA11481" s="3"/>
      <c r="AB11481" s="3"/>
      <c r="AC11481" s="3"/>
      <c r="AD11481" s="3"/>
      <c r="AE11481" s="3"/>
      <c r="AF11481" s="3"/>
      <c r="AG11481" s="3"/>
      <c r="AH11481" s="3"/>
    </row>
    <row r="11482" spans="1:34" ht="14.25" customHeight="1" x14ac:dyDescent="0.25">
      <c r="A11482" s="3"/>
      <c r="B11482" s="3"/>
      <c r="C11482" s="3"/>
      <c r="D11482" s="3"/>
      <c r="E11482" s="3"/>
      <c r="F11482" s="3"/>
      <c r="G11482" s="3"/>
      <c r="H11482" s="11"/>
      <c r="I11482" s="12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  <c r="AA11482" s="3"/>
      <c r="AB11482" s="3"/>
      <c r="AC11482" s="3"/>
      <c r="AD11482" s="3"/>
      <c r="AE11482" s="3"/>
      <c r="AF11482" s="3"/>
      <c r="AG11482" s="3"/>
      <c r="AH11482" s="3"/>
    </row>
    <row r="11483" spans="1:34" ht="14.25" customHeight="1" x14ac:dyDescent="0.25">
      <c r="A11483" s="3"/>
      <c r="B11483" s="3"/>
      <c r="C11483" s="3"/>
      <c r="D11483" s="3"/>
      <c r="E11483" s="3"/>
      <c r="F11483" s="3"/>
      <c r="G11483" s="3"/>
      <c r="H11483" s="11"/>
      <c r="I11483" s="12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  <c r="AA11483" s="3"/>
      <c r="AB11483" s="3"/>
      <c r="AC11483" s="3"/>
      <c r="AD11483" s="3"/>
      <c r="AE11483" s="3"/>
      <c r="AF11483" s="3"/>
      <c r="AG11483" s="3"/>
      <c r="AH11483" s="3"/>
    </row>
    <row r="11484" spans="1:34" ht="14.25" customHeight="1" x14ac:dyDescent="0.25">
      <c r="A11484" s="3"/>
      <c r="B11484" s="3"/>
      <c r="C11484" s="3"/>
      <c r="D11484" s="3"/>
      <c r="E11484" s="3"/>
      <c r="F11484" s="3"/>
      <c r="G11484" s="3"/>
      <c r="H11484" s="11"/>
      <c r="I11484" s="12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  <c r="AA11484" s="3"/>
      <c r="AB11484" s="3"/>
      <c r="AC11484" s="3"/>
      <c r="AD11484" s="3"/>
      <c r="AE11484" s="3"/>
      <c r="AF11484" s="3"/>
      <c r="AG11484" s="3"/>
      <c r="AH11484" s="3"/>
    </row>
    <row r="11485" spans="1:34" ht="14.25" customHeight="1" x14ac:dyDescent="0.25">
      <c r="A11485" s="3"/>
      <c r="B11485" s="3"/>
      <c r="C11485" s="3"/>
      <c r="D11485" s="3"/>
      <c r="E11485" s="3"/>
      <c r="F11485" s="3"/>
      <c r="G11485" s="3"/>
      <c r="H11485" s="11"/>
      <c r="I11485" s="12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  <c r="AA11485" s="3"/>
      <c r="AB11485" s="3"/>
      <c r="AC11485" s="3"/>
      <c r="AD11485" s="3"/>
      <c r="AE11485" s="3"/>
      <c r="AF11485" s="3"/>
      <c r="AG11485" s="3"/>
      <c r="AH11485" s="3"/>
    </row>
    <row r="11486" spans="1:34" ht="14.25" customHeight="1" x14ac:dyDescent="0.25">
      <c r="A11486" s="3"/>
      <c r="B11486" s="3"/>
      <c r="C11486" s="3"/>
      <c r="D11486" s="3"/>
      <c r="E11486" s="3"/>
      <c r="F11486" s="3"/>
      <c r="G11486" s="3"/>
      <c r="H11486" s="11"/>
      <c r="I11486" s="12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  <c r="AA11486" s="3"/>
      <c r="AB11486" s="3"/>
      <c r="AC11486" s="3"/>
      <c r="AD11486" s="3"/>
      <c r="AE11486" s="3"/>
      <c r="AF11486" s="3"/>
      <c r="AG11486" s="3"/>
      <c r="AH11486" s="3"/>
    </row>
    <row r="11487" spans="1:34" ht="14.25" customHeight="1" x14ac:dyDescent="0.25">
      <c r="A11487" s="3"/>
      <c r="B11487" s="3"/>
      <c r="C11487" s="3"/>
      <c r="D11487" s="3"/>
      <c r="E11487" s="3"/>
      <c r="F11487" s="3"/>
      <c r="G11487" s="3"/>
      <c r="H11487" s="11"/>
      <c r="I11487" s="12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  <c r="AA11487" s="3"/>
      <c r="AB11487" s="3"/>
      <c r="AC11487" s="3"/>
      <c r="AD11487" s="3"/>
      <c r="AE11487" s="3"/>
      <c r="AF11487" s="3"/>
      <c r="AG11487" s="3"/>
      <c r="AH11487" s="3"/>
    </row>
    <row r="11488" spans="1:34" ht="14.25" customHeight="1" x14ac:dyDescent="0.25">
      <c r="A11488" s="3"/>
      <c r="B11488" s="3"/>
      <c r="C11488" s="3"/>
      <c r="D11488" s="3"/>
      <c r="E11488" s="3"/>
      <c r="F11488" s="3"/>
      <c r="G11488" s="3"/>
      <c r="H11488" s="11"/>
      <c r="I11488" s="12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  <c r="AA11488" s="3"/>
      <c r="AB11488" s="3"/>
      <c r="AC11488" s="3"/>
      <c r="AD11488" s="3"/>
      <c r="AE11488" s="3"/>
      <c r="AF11488" s="3"/>
      <c r="AG11488" s="3"/>
      <c r="AH11488" s="3"/>
    </row>
    <row r="11489" spans="1:34" ht="14.25" customHeight="1" x14ac:dyDescent="0.25">
      <c r="A11489" s="3"/>
      <c r="B11489" s="3"/>
      <c r="C11489" s="3"/>
      <c r="D11489" s="3"/>
      <c r="E11489" s="3"/>
      <c r="F11489" s="3"/>
      <c r="G11489" s="3"/>
      <c r="H11489" s="11"/>
      <c r="I11489" s="12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  <c r="AA11489" s="3"/>
      <c r="AB11489" s="3"/>
      <c r="AC11489" s="3"/>
      <c r="AD11489" s="3"/>
      <c r="AE11489" s="3"/>
      <c r="AF11489" s="3"/>
      <c r="AG11489" s="3"/>
      <c r="AH11489" s="3"/>
    </row>
    <row r="11490" spans="1:34" ht="14.25" customHeight="1" x14ac:dyDescent="0.25">
      <c r="A11490" s="3"/>
      <c r="B11490" s="3"/>
      <c r="C11490" s="3"/>
      <c r="D11490" s="3"/>
      <c r="E11490" s="3"/>
      <c r="F11490" s="3"/>
      <c r="G11490" s="3"/>
      <c r="H11490" s="11"/>
      <c r="I11490" s="12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  <c r="AA11490" s="3"/>
      <c r="AB11490" s="3"/>
      <c r="AC11490" s="3"/>
      <c r="AD11490" s="3"/>
      <c r="AE11490" s="3"/>
      <c r="AF11490" s="3"/>
      <c r="AG11490" s="3"/>
      <c r="AH11490" s="3"/>
    </row>
    <row r="11491" spans="1:34" ht="14.25" customHeight="1" x14ac:dyDescent="0.25">
      <c r="A11491" s="3"/>
      <c r="B11491" s="3"/>
      <c r="C11491" s="3"/>
      <c r="D11491" s="3"/>
      <c r="E11491" s="3"/>
      <c r="F11491" s="3"/>
      <c r="G11491" s="3"/>
      <c r="H11491" s="11"/>
      <c r="I11491" s="12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  <c r="AA11491" s="3"/>
      <c r="AB11491" s="3"/>
      <c r="AC11491" s="3"/>
      <c r="AD11491" s="3"/>
      <c r="AE11491" s="3"/>
      <c r="AF11491" s="3"/>
      <c r="AG11491" s="3"/>
      <c r="AH11491" s="3"/>
    </row>
    <row r="11492" spans="1:34" ht="14.25" customHeight="1" x14ac:dyDescent="0.25">
      <c r="A11492" s="3"/>
      <c r="B11492" s="3"/>
      <c r="C11492" s="3"/>
      <c r="D11492" s="3"/>
      <c r="E11492" s="3"/>
      <c r="F11492" s="3"/>
      <c r="G11492" s="3"/>
      <c r="H11492" s="11"/>
      <c r="I11492" s="12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  <c r="AA11492" s="3"/>
      <c r="AB11492" s="3"/>
      <c r="AC11492" s="3"/>
      <c r="AD11492" s="3"/>
      <c r="AE11492" s="3"/>
      <c r="AF11492" s="3"/>
      <c r="AG11492" s="3"/>
      <c r="AH11492" s="3"/>
    </row>
    <row r="11493" spans="1:34" ht="14.25" customHeight="1" x14ac:dyDescent="0.25">
      <c r="A11493" s="3"/>
      <c r="B11493" s="3"/>
      <c r="C11493" s="3"/>
      <c r="D11493" s="3"/>
      <c r="E11493" s="3"/>
      <c r="F11493" s="3"/>
      <c r="G11493" s="3"/>
      <c r="H11493" s="11"/>
      <c r="I11493" s="12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  <c r="AA11493" s="3"/>
      <c r="AB11493" s="3"/>
      <c r="AC11493" s="3"/>
      <c r="AD11493" s="3"/>
      <c r="AE11493" s="3"/>
      <c r="AF11493" s="3"/>
      <c r="AG11493" s="3"/>
      <c r="AH11493" s="3"/>
    </row>
    <row r="11494" spans="1:34" ht="14.25" customHeight="1" x14ac:dyDescent="0.25">
      <c r="A11494" s="3"/>
      <c r="B11494" s="3"/>
      <c r="C11494" s="3"/>
      <c r="D11494" s="3"/>
      <c r="E11494" s="3"/>
      <c r="F11494" s="3"/>
      <c r="G11494" s="3"/>
      <c r="H11494" s="11"/>
      <c r="I11494" s="12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  <c r="AA11494" s="3"/>
      <c r="AB11494" s="3"/>
      <c r="AC11494" s="3"/>
      <c r="AD11494" s="3"/>
      <c r="AE11494" s="3"/>
      <c r="AF11494" s="3"/>
      <c r="AG11494" s="3"/>
      <c r="AH11494" s="3"/>
    </row>
    <row r="11495" spans="1:34" ht="14.25" customHeight="1" x14ac:dyDescent="0.25">
      <c r="A11495" s="3"/>
      <c r="B11495" s="3"/>
      <c r="C11495" s="3"/>
      <c r="D11495" s="3"/>
      <c r="E11495" s="3"/>
      <c r="F11495" s="3"/>
      <c r="G11495" s="3"/>
      <c r="H11495" s="11"/>
      <c r="I11495" s="12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  <c r="AA11495" s="3"/>
      <c r="AB11495" s="3"/>
      <c r="AC11495" s="3"/>
      <c r="AD11495" s="3"/>
      <c r="AE11495" s="3"/>
      <c r="AF11495" s="3"/>
      <c r="AG11495" s="3"/>
      <c r="AH11495" s="3"/>
    </row>
    <row r="11496" spans="1:34" ht="14.25" customHeight="1" x14ac:dyDescent="0.25">
      <c r="A11496" s="3"/>
      <c r="B11496" s="3"/>
      <c r="C11496" s="3"/>
      <c r="D11496" s="3"/>
      <c r="E11496" s="3"/>
      <c r="F11496" s="3"/>
      <c r="G11496" s="3"/>
      <c r="H11496" s="11"/>
      <c r="I11496" s="12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  <c r="AA11496" s="3"/>
      <c r="AB11496" s="3"/>
      <c r="AC11496" s="3"/>
      <c r="AD11496" s="3"/>
      <c r="AE11496" s="3"/>
      <c r="AF11496" s="3"/>
      <c r="AG11496" s="3"/>
      <c r="AH11496" s="3"/>
    </row>
    <row r="11497" spans="1:34" ht="14.25" customHeight="1" x14ac:dyDescent="0.25">
      <c r="A11497" s="3"/>
      <c r="B11497" s="3"/>
      <c r="C11497" s="3"/>
      <c r="D11497" s="3"/>
      <c r="E11497" s="3"/>
      <c r="F11497" s="3"/>
      <c r="G11497" s="3"/>
      <c r="H11497" s="11"/>
      <c r="I11497" s="12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  <c r="AA11497" s="3"/>
      <c r="AB11497" s="3"/>
      <c r="AC11497" s="3"/>
      <c r="AD11497" s="3"/>
      <c r="AE11497" s="3"/>
      <c r="AF11497" s="3"/>
      <c r="AG11497" s="3"/>
      <c r="AH11497" s="3"/>
    </row>
    <row r="11498" spans="1:34" ht="14.25" customHeight="1" x14ac:dyDescent="0.25">
      <c r="A11498" s="3"/>
      <c r="B11498" s="3"/>
      <c r="C11498" s="3"/>
      <c r="D11498" s="3"/>
      <c r="E11498" s="3"/>
      <c r="F11498" s="3"/>
      <c r="G11498" s="3"/>
      <c r="H11498" s="11"/>
      <c r="I11498" s="12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  <c r="AA11498" s="3"/>
      <c r="AB11498" s="3"/>
      <c r="AC11498" s="3"/>
      <c r="AD11498" s="3"/>
      <c r="AE11498" s="3"/>
      <c r="AF11498" s="3"/>
      <c r="AG11498" s="3"/>
      <c r="AH11498" s="3"/>
    </row>
    <row r="11499" spans="1:34" ht="14.25" customHeight="1" x14ac:dyDescent="0.25">
      <c r="A11499" s="3"/>
      <c r="B11499" s="3"/>
      <c r="C11499" s="3"/>
      <c r="D11499" s="3"/>
      <c r="E11499" s="3"/>
      <c r="F11499" s="3"/>
      <c r="G11499" s="3"/>
      <c r="H11499" s="11"/>
      <c r="I11499" s="12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  <c r="AA11499" s="3"/>
      <c r="AB11499" s="3"/>
      <c r="AC11499" s="3"/>
      <c r="AD11499" s="3"/>
      <c r="AE11499" s="3"/>
      <c r="AF11499" s="3"/>
      <c r="AG11499" s="3"/>
      <c r="AH11499" s="3"/>
    </row>
    <row r="11500" spans="1:34" ht="14.25" customHeight="1" x14ac:dyDescent="0.25">
      <c r="A11500" s="3"/>
      <c r="B11500" s="3"/>
      <c r="C11500" s="3"/>
      <c r="D11500" s="3"/>
      <c r="E11500" s="3"/>
      <c r="F11500" s="3"/>
      <c r="G11500" s="3"/>
      <c r="H11500" s="11"/>
      <c r="I11500" s="12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  <c r="AA11500" s="3"/>
      <c r="AB11500" s="3"/>
      <c r="AC11500" s="3"/>
      <c r="AD11500" s="3"/>
      <c r="AE11500" s="3"/>
      <c r="AF11500" s="3"/>
      <c r="AG11500" s="3"/>
      <c r="AH11500" s="3"/>
    </row>
    <row r="11501" spans="1:34" ht="14.25" customHeight="1" x14ac:dyDescent="0.25">
      <c r="A11501" s="3"/>
      <c r="B11501" s="3"/>
      <c r="C11501" s="3"/>
      <c r="D11501" s="3"/>
      <c r="E11501" s="3"/>
      <c r="F11501" s="3"/>
      <c r="G11501" s="3"/>
      <c r="H11501" s="11"/>
      <c r="I11501" s="12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  <c r="AA11501" s="3"/>
      <c r="AB11501" s="3"/>
      <c r="AC11501" s="3"/>
      <c r="AD11501" s="3"/>
      <c r="AE11501" s="3"/>
      <c r="AF11501" s="3"/>
      <c r="AG11501" s="3"/>
      <c r="AH11501" s="3"/>
    </row>
    <row r="11502" spans="1:34" ht="14.25" customHeight="1" x14ac:dyDescent="0.25">
      <c r="A11502" s="3"/>
      <c r="B11502" s="3"/>
      <c r="C11502" s="3"/>
      <c r="D11502" s="3"/>
      <c r="E11502" s="3"/>
      <c r="F11502" s="3"/>
      <c r="G11502" s="3"/>
      <c r="H11502" s="11"/>
      <c r="I11502" s="12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  <c r="AA11502" s="3"/>
      <c r="AB11502" s="3"/>
      <c r="AC11502" s="3"/>
      <c r="AD11502" s="3"/>
      <c r="AE11502" s="3"/>
      <c r="AF11502" s="3"/>
      <c r="AG11502" s="3"/>
      <c r="AH11502" s="3"/>
    </row>
    <row r="11503" spans="1:34" ht="14.25" customHeight="1" x14ac:dyDescent="0.25">
      <c r="A11503" s="3"/>
      <c r="B11503" s="3"/>
      <c r="C11503" s="3"/>
      <c r="D11503" s="3"/>
      <c r="E11503" s="3"/>
      <c r="F11503" s="3"/>
      <c r="G11503" s="3"/>
      <c r="H11503" s="11"/>
      <c r="I11503" s="12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  <c r="AA11503" s="3"/>
      <c r="AB11503" s="3"/>
      <c r="AC11503" s="3"/>
      <c r="AD11503" s="3"/>
      <c r="AE11503" s="3"/>
      <c r="AF11503" s="3"/>
      <c r="AG11503" s="3"/>
      <c r="AH11503" s="3"/>
    </row>
    <row r="11504" spans="1:34" ht="14.25" customHeight="1" x14ac:dyDescent="0.25">
      <c r="A11504" s="3"/>
      <c r="B11504" s="3"/>
      <c r="C11504" s="3"/>
      <c r="D11504" s="3"/>
      <c r="E11504" s="3"/>
      <c r="F11504" s="3"/>
      <c r="G11504" s="3"/>
      <c r="H11504" s="11"/>
      <c r="I11504" s="12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  <c r="AA11504" s="3"/>
      <c r="AB11504" s="3"/>
      <c r="AC11504" s="3"/>
      <c r="AD11504" s="3"/>
      <c r="AE11504" s="3"/>
      <c r="AF11504" s="3"/>
      <c r="AG11504" s="3"/>
      <c r="AH11504" s="3"/>
    </row>
    <row r="11505" spans="1:34" ht="14.25" customHeight="1" x14ac:dyDescent="0.25">
      <c r="A11505" s="3"/>
      <c r="B11505" s="3"/>
      <c r="C11505" s="3"/>
      <c r="D11505" s="3"/>
      <c r="E11505" s="3"/>
      <c r="F11505" s="3"/>
      <c r="G11505" s="3"/>
      <c r="H11505" s="11"/>
      <c r="I11505" s="12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  <c r="AA11505" s="3"/>
      <c r="AB11505" s="3"/>
      <c r="AC11505" s="3"/>
      <c r="AD11505" s="3"/>
      <c r="AE11505" s="3"/>
      <c r="AF11505" s="3"/>
      <c r="AG11505" s="3"/>
      <c r="AH11505" s="3"/>
    </row>
    <row r="11506" spans="1:34" ht="14.25" customHeight="1" x14ac:dyDescent="0.25">
      <c r="A11506" s="3"/>
      <c r="B11506" s="3"/>
      <c r="C11506" s="3"/>
      <c r="D11506" s="3"/>
      <c r="E11506" s="3"/>
      <c r="F11506" s="3"/>
      <c r="G11506" s="3"/>
      <c r="H11506" s="11"/>
      <c r="I11506" s="12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  <c r="AA11506" s="3"/>
      <c r="AB11506" s="3"/>
      <c r="AC11506" s="3"/>
      <c r="AD11506" s="3"/>
      <c r="AE11506" s="3"/>
      <c r="AF11506" s="3"/>
      <c r="AG11506" s="3"/>
      <c r="AH11506" s="3"/>
    </row>
    <row r="11507" spans="1:34" ht="14.25" customHeight="1" x14ac:dyDescent="0.25">
      <c r="A11507" s="3"/>
      <c r="B11507" s="3"/>
      <c r="C11507" s="3"/>
      <c r="D11507" s="3"/>
      <c r="E11507" s="3"/>
      <c r="F11507" s="3"/>
      <c r="G11507" s="3"/>
      <c r="H11507" s="11"/>
      <c r="I11507" s="12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  <c r="AA11507" s="3"/>
      <c r="AB11507" s="3"/>
      <c r="AC11507" s="3"/>
      <c r="AD11507" s="3"/>
      <c r="AE11507" s="3"/>
      <c r="AF11507" s="3"/>
      <c r="AG11507" s="3"/>
      <c r="AH11507" s="3"/>
    </row>
    <row r="11508" spans="1:34" ht="14.25" customHeight="1" x14ac:dyDescent="0.25">
      <c r="A11508" s="3"/>
      <c r="B11508" s="3"/>
      <c r="C11508" s="3"/>
      <c r="D11508" s="3"/>
      <c r="E11508" s="3"/>
      <c r="F11508" s="3"/>
      <c r="G11508" s="3"/>
      <c r="H11508" s="11"/>
      <c r="I11508" s="12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  <c r="AA11508" s="3"/>
      <c r="AB11508" s="3"/>
      <c r="AC11508" s="3"/>
      <c r="AD11508" s="3"/>
      <c r="AE11508" s="3"/>
      <c r="AF11508" s="3"/>
      <c r="AG11508" s="3"/>
      <c r="AH11508" s="3"/>
    </row>
    <row r="11509" spans="1:34" ht="14.25" customHeight="1" x14ac:dyDescent="0.25">
      <c r="A11509" s="3"/>
      <c r="B11509" s="3"/>
      <c r="C11509" s="3"/>
      <c r="D11509" s="3"/>
      <c r="E11509" s="3"/>
      <c r="F11509" s="3"/>
      <c r="G11509" s="3"/>
      <c r="H11509" s="11"/>
      <c r="I11509" s="12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  <c r="AA11509" s="3"/>
      <c r="AB11509" s="3"/>
      <c r="AC11509" s="3"/>
      <c r="AD11509" s="3"/>
      <c r="AE11509" s="3"/>
      <c r="AF11509" s="3"/>
      <c r="AG11509" s="3"/>
      <c r="AH11509" s="3"/>
    </row>
    <row r="11510" spans="1:34" ht="14.25" customHeight="1" x14ac:dyDescent="0.25">
      <c r="A11510" s="3"/>
      <c r="B11510" s="3"/>
      <c r="C11510" s="3"/>
      <c r="D11510" s="3"/>
      <c r="E11510" s="3"/>
      <c r="F11510" s="3"/>
      <c r="G11510" s="3"/>
      <c r="H11510" s="11"/>
      <c r="I11510" s="12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  <c r="AA11510" s="3"/>
      <c r="AB11510" s="3"/>
      <c r="AC11510" s="3"/>
      <c r="AD11510" s="3"/>
      <c r="AE11510" s="3"/>
      <c r="AF11510" s="3"/>
      <c r="AG11510" s="3"/>
      <c r="AH11510" s="3"/>
    </row>
    <row r="11511" spans="1:34" ht="14.25" customHeight="1" x14ac:dyDescent="0.25">
      <c r="A11511" s="3"/>
      <c r="B11511" s="3"/>
      <c r="C11511" s="3"/>
      <c r="D11511" s="3"/>
      <c r="E11511" s="3"/>
      <c r="F11511" s="3"/>
      <c r="G11511" s="3"/>
      <c r="H11511" s="11"/>
      <c r="I11511" s="12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  <c r="AA11511" s="3"/>
      <c r="AB11511" s="3"/>
      <c r="AC11511" s="3"/>
      <c r="AD11511" s="3"/>
      <c r="AE11511" s="3"/>
      <c r="AF11511" s="3"/>
      <c r="AG11511" s="3"/>
      <c r="AH11511" s="3"/>
    </row>
    <row r="11512" spans="1:34" ht="14.25" customHeight="1" x14ac:dyDescent="0.25">
      <c r="A11512" s="3"/>
      <c r="B11512" s="3"/>
      <c r="C11512" s="3"/>
      <c r="D11512" s="3"/>
      <c r="E11512" s="3"/>
      <c r="F11512" s="3"/>
      <c r="G11512" s="3"/>
      <c r="H11512" s="11"/>
      <c r="I11512" s="12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  <c r="AA11512" s="3"/>
      <c r="AB11512" s="3"/>
      <c r="AC11512" s="3"/>
      <c r="AD11512" s="3"/>
      <c r="AE11512" s="3"/>
      <c r="AF11512" s="3"/>
      <c r="AG11512" s="3"/>
      <c r="AH11512" s="3"/>
    </row>
    <row r="11513" spans="1:34" ht="14.25" customHeight="1" x14ac:dyDescent="0.25">
      <c r="A11513" s="3"/>
      <c r="B11513" s="3"/>
      <c r="C11513" s="3"/>
      <c r="D11513" s="3"/>
      <c r="E11513" s="3"/>
      <c r="F11513" s="3"/>
      <c r="G11513" s="3"/>
      <c r="H11513" s="11"/>
      <c r="I11513" s="12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  <c r="AA11513" s="3"/>
      <c r="AB11513" s="3"/>
      <c r="AC11513" s="3"/>
      <c r="AD11513" s="3"/>
      <c r="AE11513" s="3"/>
      <c r="AF11513" s="3"/>
      <c r="AG11513" s="3"/>
      <c r="AH11513" s="3"/>
    </row>
    <row r="11514" spans="1:34" ht="14.25" customHeight="1" x14ac:dyDescent="0.25">
      <c r="A11514" s="3"/>
      <c r="B11514" s="3"/>
      <c r="C11514" s="3"/>
      <c r="D11514" s="3"/>
      <c r="E11514" s="3"/>
      <c r="F11514" s="3"/>
      <c r="G11514" s="3"/>
      <c r="H11514" s="11"/>
      <c r="I11514" s="12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  <c r="AA11514" s="3"/>
      <c r="AB11514" s="3"/>
      <c r="AC11514" s="3"/>
      <c r="AD11514" s="3"/>
      <c r="AE11514" s="3"/>
      <c r="AF11514" s="3"/>
      <c r="AG11514" s="3"/>
      <c r="AH11514" s="3"/>
    </row>
    <row r="11515" spans="1:34" ht="14.25" customHeight="1" x14ac:dyDescent="0.25">
      <c r="A11515" s="3"/>
      <c r="B11515" s="3"/>
      <c r="C11515" s="3"/>
      <c r="D11515" s="3"/>
      <c r="E11515" s="3"/>
      <c r="F11515" s="3"/>
      <c r="G11515" s="3"/>
      <c r="H11515" s="11"/>
      <c r="I11515" s="12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  <c r="AA11515" s="3"/>
      <c r="AB11515" s="3"/>
      <c r="AC11515" s="3"/>
      <c r="AD11515" s="3"/>
      <c r="AE11515" s="3"/>
      <c r="AF11515" s="3"/>
      <c r="AG11515" s="3"/>
      <c r="AH11515" s="3"/>
    </row>
    <row r="11516" spans="1:34" ht="14.25" customHeight="1" x14ac:dyDescent="0.25">
      <c r="A11516" s="3"/>
      <c r="B11516" s="3"/>
      <c r="C11516" s="3"/>
      <c r="D11516" s="3"/>
      <c r="E11516" s="3"/>
      <c r="F11516" s="3"/>
      <c r="G11516" s="3"/>
      <c r="H11516" s="11"/>
      <c r="I11516" s="12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  <c r="AA11516" s="3"/>
      <c r="AB11516" s="3"/>
      <c r="AC11516" s="3"/>
      <c r="AD11516" s="3"/>
      <c r="AE11516" s="3"/>
      <c r="AF11516" s="3"/>
      <c r="AG11516" s="3"/>
      <c r="AH11516" s="3"/>
    </row>
    <row r="11517" spans="1:34" ht="14.25" customHeight="1" x14ac:dyDescent="0.25">
      <c r="A11517" s="3"/>
      <c r="B11517" s="3"/>
      <c r="C11517" s="3"/>
      <c r="D11517" s="3"/>
      <c r="E11517" s="3"/>
      <c r="F11517" s="3"/>
      <c r="G11517" s="3"/>
      <c r="H11517" s="11"/>
      <c r="I11517" s="12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  <c r="AA11517" s="3"/>
      <c r="AB11517" s="3"/>
      <c r="AC11517" s="3"/>
      <c r="AD11517" s="3"/>
      <c r="AE11517" s="3"/>
      <c r="AF11517" s="3"/>
      <c r="AG11517" s="3"/>
      <c r="AH11517" s="3"/>
    </row>
    <row r="11518" spans="1:34" ht="14.25" customHeight="1" x14ac:dyDescent="0.25">
      <c r="A11518" s="3"/>
      <c r="B11518" s="3"/>
      <c r="C11518" s="3"/>
      <c r="D11518" s="3"/>
      <c r="E11518" s="3"/>
      <c r="F11518" s="3"/>
      <c r="G11518" s="3"/>
      <c r="H11518" s="11"/>
      <c r="I11518" s="12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  <c r="AA11518" s="3"/>
      <c r="AB11518" s="3"/>
      <c r="AC11518" s="3"/>
      <c r="AD11518" s="3"/>
      <c r="AE11518" s="3"/>
      <c r="AF11518" s="3"/>
      <c r="AG11518" s="3"/>
      <c r="AH11518" s="3"/>
    </row>
    <row r="11519" spans="1:34" ht="14.25" customHeight="1" x14ac:dyDescent="0.25">
      <c r="A11519" s="3"/>
      <c r="B11519" s="3"/>
      <c r="C11519" s="3"/>
      <c r="D11519" s="3"/>
      <c r="E11519" s="3"/>
      <c r="F11519" s="3"/>
      <c r="G11519" s="3"/>
      <c r="H11519" s="11"/>
      <c r="I11519" s="12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  <c r="AA11519" s="3"/>
      <c r="AB11519" s="3"/>
      <c r="AC11519" s="3"/>
      <c r="AD11519" s="3"/>
      <c r="AE11519" s="3"/>
      <c r="AF11519" s="3"/>
      <c r="AG11519" s="3"/>
      <c r="AH11519" s="3"/>
    </row>
    <row r="11520" spans="1:34" ht="14.25" customHeight="1" x14ac:dyDescent="0.25">
      <c r="A11520" s="3"/>
      <c r="B11520" s="3"/>
      <c r="C11520" s="3"/>
      <c r="D11520" s="3"/>
      <c r="E11520" s="3"/>
      <c r="F11520" s="3"/>
      <c r="G11520" s="3"/>
      <c r="H11520" s="11"/>
      <c r="I11520" s="12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  <c r="AA11520" s="3"/>
      <c r="AB11520" s="3"/>
      <c r="AC11520" s="3"/>
      <c r="AD11520" s="3"/>
      <c r="AE11520" s="3"/>
      <c r="AF11520" s="3"/>
      <c r="AG11520" s="3"/>
      <c r="AH11520" s="3"/>
    </row>
    <row r="11521" spans="1:34" ht="14.25" customHeight="1" x14ac:dyDescent="0.25">
      <c r="A11521" s="3"/>
      <c r="B11521" s="3"/>
      <c r="C11521" s="3"/>
      <c r="D11521" s="3"/>
      <c r="E11521" s="3"/>
      <c r="F11521" s="3"/>
      <c r="G11521" s="3"/>
      <c r="H11521" s="11"/>
      <c r="I11521" s="12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  <c r="AA11521" s="3"/>
      <c r="AB11521" s="3"/>
      <c r="AC11521" s="3"/>
      <c r="AD11521" s="3"/>
      <c r="AE11521" s="3"/>
      <c r="AF11521" s="3"/>
      <c r="AG11521" s="3"/>
      <c r="AH11521" s="3"/>
    </row>
    <row r="11522" spans="1:34" ht="14.25" customHeight="1" x14ac:dyDescent="0.25">
      <c r="A11522" s="3"/>
      <c r="B11522" s="3"/>
      <c r="C11522" s="3"/>
      <c r="D11522" s="3"/>
      <c r="E11522" s="3"/>
      <c r="F11522" s="3"/>
      <c r="G11522" s="3"/>
      <c r="H11522" s="11"/>
      <c r="I11522" s="12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  <c r="AA11522" s="3"/>
      <c r="AB11522" s="3"/>
      <c r="AC11522" s="3"/>
      <c r="AD11522" s="3"/>
      <c r="AE11522" s="3"/>
      <c r="AF11522" s="3"/>
      <c r="AG11522" s="3"/>
      <c r="AH11522" s="3"/>
    </row>
    <row r="11523" spans="1:34" ht="14.25" customHeight="1" x14ac:dyDescent="0.25">
      <c r="A11523" s="3"/>
      <c r="B11523" s="3"/>
      <c r="C11523" s="3"/>
      <c r="D11523" s="3"/>
      <c r="E11523" s="3"/>
      <c r="F11523" s="3"/>
      <c r="G11523" s="3"/>
      <c r="H11523" s="11"/>
      <c r="I11523" s="12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  <c r="AA11523" s="3"/>
      <c r="AB11523" s="3"/>
      <c r="AC11523" s="3"/>
      <c r="AD11523" s="3"/>
      <c r="AE11523" s="3"/>
      <c r="AF11523" s="3"/>
      <c r="AG11523" s="3"/>
      <c r="AH11523" s="3"/>
    </row>
    <row r="11524" spans="1:34" ht="14.25" customHeight="1" x14ac:dyDescent="0.25">
      <c r="A11524" s="3"/>
      <c r="B11524" s="3"/>
      <c r="C11524" s="3"/>
      <c r="D11524" s="3"/>
      <c r="E11524" s="3"/>
      <c r="F11524" s="3"/>
      <c r="G11524" s="3"/>
      <c r="H11524" s="11"/>
      <c r="I11524" s="12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  <c r="AA11524" s="3"/>
      <c r="AB11524" s="3"/>
      <c r="AC11524" s="3"/>
      <c r="AD11524" s="3"/>
      <c r="AE11524" s="3"/>
      <c r="AF11524" s="3"/>
      <c r="AG11524" s="3"/>
      <c r="AH11524" s="3"/>
    </row>
    <row r="11525" spans="1:34" ht="14.25" customHeight="1" x14ac:dyDescent="0.25">
      <c r="A11525" s="3"/>
      <c r="B11525" s="3"/>
      <c r="C11525" s="3"/>
      <c r="D11525" s="3"/>
      <c r="E11525" s="3"/>
      <c r="F11525" s="3"/>
      <c r="G11525" s="3"/>
      <c r="H11525" s="11"/>
      <c r="I11525" s="12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  <c r="AA11525" s="3"/>
      <c r="AB11525" s="3"/>
      <c r="AC11525" s="3"/>
      <c r="AD11525" s="3"/>
      <c r="AE11525" s="3"/>
      <c r="AF11525" s="3"/>
      <c r="AG11525" s="3"/>
      <c r="AH11525" s="3"/>
    </row>
    <row r="11526" spans="1:34" ht="14.25" customHeight="1" x14ac:dyDescent="0.25">
      <c r="A11526" s="3"/>
      <c r="B11526" s="3"/>
      <c r="C11526" s="3"/>
      <c r="D11526" s="3"/>
      <c r="E11526" s="3"/>
      <c r="F11526" s="3"/>
      <c r="G11526" s="3"/>
      <c r="H11526" s="11"/>
      <c r="I11526" s="12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  <c r="AA11526" s="3"/>
      <c r="AB11526" s="3"/>
      <c r="AC11526" s="3"/>
      <c r="AD11526" s="3"/>
      <c r="AE11526" s="3"/>
      <c r="AF11526" s="3"/>
      <c r="AG11526" s="3"/>
      <c r="AH11526" s="3"/>
    </row>
    <row r="11527" spans="1:34" ht="14.25" customHeight="1" x14ac:dyDescent="0.25">
      <c r="A11527" s="3"/>
      <c r="B11527" s="3"/>
      <c r="C11527" s="3"/>
      <c r="D11527" s="3"/>
      <c r="E11527" s="3"/>
      <c r="F11527" s="3"/>
      <c r="G11527" s="3"/>
      <c r="H11527" s="11"/>
      <c r="I11527" s="12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  <c r="AA11527" s="3"/>
      <c r="AB11527" s="3"/>
      <c r="AC11527" s="3"/>
      <c r="AD11527" s="3"/>
      <c r="AE11527" s="3"/>
      <c r="AF11527" s="3"/>
      <c r="AG11527" s="3"/>
      <c r="AH11527" s="3"/>
    </row>
    <row r="11528" spans="1:34" ht="14.25" customHeight="1" x14ac:dyDescent="0.25">
      <c r="A11528" s="3"/>
      <c r="B11528" s="3"/>
      <c r="C11528" s="3"/>
      <c r="D11528" s="3"/>
      <c r="E11528" s="3"/>
      <c r="F11528" s="3"/>
      <c r="G11528" s="3"/>
      <c r="H11528" s="11"/>
      <c r="I11528" s="12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  <c r="AA11528" s="3"/>
      <c r="AB11528" s="3"/>
      <c r="AC11528" s="3"/>
      <c r="AD11528" s="3"/>
      <c r="AE11528" s="3"/>
      <c r="AF11528" s="3"/>
      <c r="AG11528" s="3"/>
      <c r="AH11528" s="3"/>
    </row>
    <row r="11529" spans="1:34" ht="14.25" customHeight="1" x14ac:dyDescent="0.25">
      <c r="A11529" s="3"/>
      <c r="B11529" s="3"/>
      <c r="C11529" s="3"/>
      <c r="D11529" s="3"/>
      <c r="E11529" s="3"/>
      <c r="F11529" s="3"/>
      <c r="G11529" s="3"/>
      <c r="H11529" s="11"/>
      <c r="I11529" s="12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  <c r="AA11529" s="3"/>
      <c r="AB11529" s="3"/>
      <c r="AC11529" s="3"/>
      <c r="AD11529" s="3"/>
      <c r="AE11529" s="3"/>
      <c r="AF11529" s="3"/>
      <c r="AG11529" s="3"/>
      <c r="AH11529" s="3"/>
    </row>
    <row r="11530" spans="1:34" ht="14.25" customHeight="1" x14ac:dyDescent="0.25">
      <c r="A11530" s="3"/>
      <c r="B11530" s="3"/>
      <c r="C11530" s="3"/>
      <c r="D11530" s="3"/>
      <c r="E11530" s="3"/>
      <c r="F11530" s="3"/>
      <c r="G11530" s="3"/>
      <c r="H11530" s="11"/>
      <c r="I11530" s="12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  <c r="AA11530" s="3"/>
      <c r="AB11530" s="3"/>
      <c r="AC11530" s="3"/>
      <c r="AD11530" s="3"/>
      <c r="AE11530" s="3"/>
      <c r="AF11530" s="3"/>
      <c r="AG11530" s="3"/>
      <c r="AH11530" s="3"/>
    </row>
    <row r="11531" spans="1:34" ht="14.25" customHeight="1" x14ac:dyDescent="0.25">
      <c r="A11531" s="3"/>
      <c r="B11531" s="3"/>
      <c r="C11531" s="3"/>
      <c r="D11531" s="3"/>
      <c r="E11531" s="3"/>
      <c r="F11531" s="3"/>
      <c r="G11531" s="3"/>
      <c r="H11531" s="11"/>
      <c r="I11531" s="12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  <c r="AA11531" s="3"/>
      <c r="AB11531" s="3"/>
      <c r="AC11531" s="3"/>
      <c r="AD11531" s="3"/>
      <c r="AE11531" s="3"/>
      <c r="AF11531" s="3"/>
      <c r="AG11531" s="3"/>
      <c r="AH11531" s="3"/>
    </row>
    <row r="11532" spans="1:34" ht="14.25" customHeight="1" x14ac:dyDescent="0.25">
      <c r="A11532" s="3"/>
      <c r="B11532" s="3"/>
      <c r="C11532" s="3"/>
      <c r="D11532" s="3"/>
      <c r="E11532" s="3"/>
      <c r="F11532" s="3"/>
      <c r="G11532" s="3"/>
      <c r="H11532" s="11"/>
      <c r="I11532" s="12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  <c r="AA11532" s="3"/>
      <c r="AB11532" s="3"/>
      <c r="AC11532" s="3"/>
      <c r="AD11532" s="3"/>
      <c r="AE11532" s="3"/>
      <c r="AF11532" s="3"/>
      <c r="AG11532" s="3"/>
      <c r="AH11532" s="3"/>
    </row>
    <row r="11533" spans="1:34" ht="14.25" customHeight="1" x14ac:dyDescent="0.25">
      <c r="A11533" s="3"/>
      <c r="B11533" s="3"/>
      <c r="C11533" s="3"/>
      <c r="D11533" s="3"/>
      <c r="E11533" s="3"/>
      <c r="F11533" s="3"/>
      <c r="G11533" s="3"/>
      <c r="H11533" s="11"/>
      <c r="I11533" s="12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  <c r="AA11533" s="3"/>
      <c r="AB11533" s="3"/>
      <c r="AC11533" s="3"/>
      <c r="AD11533" s="3"/>
      <c r="AE11533" s="3"/>
      <c r="AF11533" s="3"/>
      <c r="AG11533" s="3"/>
      <c r="AH11533" s="3"/>
    </row>
    <row r="11534" spans="1:34" ht="14.25" customHeight="1" x14ac:dyDescent="0.25">
      <c r="A11534" s="3"/>
      <c r="B11534" s="3"/>
      <c r="C11534" s="3"/>
      <c r="D11534" s="3"/>
      <c r="E11534" s="3"/>
      <c r="F11534" s="3"/>
      <c r="G11534" s="3"/>
      <c r="H11534" s="11"/>
      <c r="I11534" s="12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  <c r="AA11534" s="3"/>
      <c r="AB11534" s="3"/>
      <c r="AC11534" s="3"/>
      <c r="AD11534" s="3"/>
      <c r="AE11534" s="3"/>
      <c r="AF11534" s="3"/>
      <c r="AG11534" s="3"/>
      <c r="AH11534" s="3"/>
    </row>
    <row r="11535" spans="1:34" ht="14.25" customHeight="1" x14ac:dyDescent="0.25">
      <c r="A11535" s="3"/>
      <c r="B11535" s="3"/>
      <c r="C11535" s="3"/>
      <c r="D11535" s="3"/>
      <c r="E11535" s="3"/>
      <c r="F11535" s="3"/>
      <c r="G11535" s="3"/>
      <c r="H11535" s="11"/>
      <c r="I11535" s="12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  <c r="AA11535" s="3"/>
      <c r="AB11535" s="3"/>
      <c r="AC11535" s="3"/>
      <c r="AD11535" s="3"/>
      <c r="AE11535" s="3"/>
      <c r="AF11535" s="3"/>
      <c r="AG11535" s="3"/>
      <c r="AH11535" s="3"/>
    </row>
    <row r="11536" spans="1:34" ht="14.25" customHeight="1" x14ac:dyDescent="0.25">
      <c r="A11536" s="3"/>
      <c r="B11536" s="3"/>
      <c r="C11536" s="3"/>
      <c r="D11536" s="3"/>
      <c r="E11536" s="3"/>
      <c r="F11536" s="3"/>
      <c r="G11536" s="3"/>
      <c r="H11536" s="11"/>
      <c r="I11536" s="12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  <c r="AA11536" s="3"/>
      <c r="AB11536" s="3"/>
      <c r="AC11536" s="3"/>
      <c r="AD11536" s="3"/>
      <c r="AE11536" s="3"/>
      <c r="AF11536" s="3"/>
      <c r="AG11536" s="3"/>
      <c r="AH11536" s="3"/>
    </row>
    <row r="11537" spans="1:34" ht="14.25" customHeight="1" x14ac:dyDescent="0.25">
      <c r="A11537" s="3"/>
      <c r="B11537" s="3"/>
      <c r="C11537" s="3"/>
      <c r="D11537" s="3"/>
      <c r="E11537" s="3"/>
      <c r="F11537" s="3"/>
      <c r="G11537" s="3"/>
      <c r="H11537" s="11"/>
      <c r="I11537" s="12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  <c r="AA11537" s="3"/>
      <c r="AB11537" s="3"/>
      <c r="AC11537" s="3"/>
      <c r="AD11537" s="3"/>
      <c r="AE11537" s="3"/>
      <c r="AF11537" s="3"/>
      <c r="AG11537" s="3"/>
      <c r="AH11537" s="3"/>
    </row>
    <row r="11538" spans="1:34" ht="14.25" customHeight="1" x14ac:dyDescent="0.25">
      <c r="A11538" s="3"/>
      <c r="B11538" s="3"/>
      <c r="C11538" s="3"/>
      <c r="D11538" s="3"/>
      <c r="E11538" s="3"/>
      <c r="F11538" s="3"/>
      <c r="G11538" s="3"/>
      <c r="H11538" s="11"/>
      <c r="I11538" s="12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  <c r="AA11538" s="3"/>
      <c r="AB11538" s="3"/>
      <c r="AC11538" s="3"/>
      <c r="AD11538" s="3"/>
      <c r="AE11538" s="3"/>
      <c r="AF11538" s="3"/>
      <c r="AG11538" s="3"/>
      <c r="AH11538" s="3"/>
    </row>
    <row r="11539" spans="1:34" ht="14.25" customHeight="1" x14ac:dyDescent="0.25">
      <c r="A11539" s="3"/>
      <c r="B11539" s="3"/>
      <c r="C11539" s="3"/>
      <c r="D11539" s="3"/>
      <c r="E11539" s="3"/>
      <c r="F11539" s="3"/>
      <c r="G11539" s="3"/>
      <c r="H11539" s="11"/>
      <c r="I11539" s="12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  <c r="AA11539" s="3"/>
      <c r="AB11539" s="3"/>
      <c r="AC11539" s="3"/>
      <c r="AD11539" s="3"/>
      <c r="AE11539" s="3"/>
      <c r="AF11539" s="3"/>
      <c r="AG11539" s="3"/>
      <c r="AH11539" s="3"/>
    </row>
    <row r="11540" spans="1:34" ht="14.25" customHeight="1" x14ac:dyDescent="0.25">
      <c r="A11540" s="3"/>
      <c r="B11540" s="3"/>
      <c r="C11540" s="3"/>
      <c r="D11540" s="3"/>
      <c r="E11540" s="3"/>
      <c r="F11540" s="3"/>
      <c r="G11540" s="3"/>
      <c r="H11540" s="11"/>
      <c r="I11540" s="12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  <c r="AA11540" s="3"/>
      <c r="AB11540" s="3"/>
      <c r="AC11540" s="3"/>
      <c r="AD11540" s="3"/>
      <c r="AE11540" s="3"/>
      <c r="AF11540" s="3"/>
      <c r="AG11540" s="3"/>
      <c r="AH11540" s="3"/>
    </row>
    <row r="11541" spans="1:34" ht="14.25" customHeight="1" x14ac:dyDescent="0.25">
      <c r="A11541" s="3"/>
      <c r="B11541" s="3"/>
      <c r="C11541" s="3"/>
      <c r="D11541" s="3"/>
      <c r="E11541" s="3"/>
      <c r="F11541" s="3"/>
      <c r="G11541" s="3"/>
      <c r="H11541" s="11"/>
      <c r="I11541" s="12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  <c r="AA11541" s="3"/>
      <c r="AB11541" s="3"/>
      <c r="AC11541" s="3"/>
      <c r="AD11541" s="3"/>
      <c r="AE11541" s="3"/>
      <c r="AF11541" s="3"/>
      <c r="AG11541" s="3"/>
      <c r="AH11541" s="3"/>
    </row>
    <row r="11542" spans="1:34" ht="14.25" customHeight="1" x14ac:dyDescent="0.25">
      <c r="A11542" s="3"/>
      <c r="B11542" s="3"/>
      <c r="C11542" s="3"/>
      <c r="D11542" s="3"/>
      <c r="E11542" s="3"/>
      <c r="F11542" s="3"/>
      <c r="G11542" s="3"/>
      <c r="H11542" s="11"/>
      <c r="I11542" s="12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  <c r="AA11542" s="3"/>
      <c r="AB11542" s="3"/>
      <c r="AC11542" s="3"/>
      <c r="AD11542" s="3"/>
      <c r="AE11542" s="3"/>
      <c r="AF11542" s="3"/>
      <c r="AG11542" s="3"/>
      <c r="AH11542" s="3"/>
    </row>
    <row r="11543" spans="1:34" ht="14.25" customHeight="1" x14ac:dyDescent="0.25">
      <c r="A11543" s="3"/>
      <c r="B11543" s="3"/>
      <c r="C11543" s="3"/>
      <c r="D11543" s="3"/>
      <c r="E11543" s="3"/>
      <c r="F11543" s="3"/>
      <c r="G11543" s="3"/>
      <c r="H11543" s="11"/>
      <c r="I11543" s="12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  <c r="AA11543" s="3"/>
      <c r="AB11543" s="3"/>
      <c r="AC11543" s="3"/>
      <c r="AD11543" s="3"/>
      <c r="AE11543" s="3"/>
      <c r="AF11543" s="3"/>
      <c r="AG11543" s="3"/>
      <c r="AH11543" s="3"/>
    </row>
    <row r="11544" spans="1:34" ht="14.25" customHeight="1" x14ac:dyDescent="0.25">
      <c r="A11544" s="3"/>
      <c r="B11544" s="3"/>
      <c r="C11544" s="3"/>
      <c r="D11544" s="3"/>
      <c r="E11544" s="3"/>
      <c r="F11544" s="3"/>
      <c r="G11544" s="3"/>
      <c r="H11544" s="11"/>
      <c r="I11544" s="12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  <c r="AA11544" s="3"/>
      <c r="AB11544" s="3"/>
      <c r="AC11544" s="3"/>
      <c r="AD11544" s="3"/>
      <c r="AE11544" s="3"/>
      <c r="AF11544" s="3"/>
      <c r="AG11544" s="3"/>
      <c r="AH11544" s="3"/>
    </row>
    <row r="11545" spans="1:34" ht="14.25" customHeight="1" x14ac:dyDescent="0.25">
      <c r="A11545" s="3"/>
      <c r="B11545" s="3"/>
      <c r="C11545" s="3"/>
      <c r="D11545" s="3"/>
      <c r="E11545" s="3"/>
      <c r="F11545" s="3"/>
      <c r="G11545" s="3"/>
      <c r="H11545" s="11"/>
      <c r="I11545" s="12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  <c r="AA11545" s="3"/>
      <c r="AB11545" s="3"/>
      <c r="AC11545" s="3"/>
      <c r="AD11545" s="3"/>
      <c r="AE11545" s="3"/>
      <c r="AF11545" s="3"/>
      <c r="AG11545" s="3"/>
      <c r="AH11545" s="3"/>
    </row>
    <row r="11546" spans="1:34" ht="14.25" customHeight="1" x14ac:dyDescent="0.25">
      <c r="A11546" s="3"/>
      <c r="B11546" s="3"/>
      <c r="C11546" s="3"/>
      <c r="D11546" s="3"/>
      <c r="E11546" s="3"/>
      <c r="F11546" s="3"/>
      <c r="G11546" s="3"/>
      <c r="H11546" s="11"/>
      <c r="I11546" s="12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  <c r="AA11546" s="3"/>
      <c r="AB11546" s="3"/>
      <c r="AC11546" s="3"/>
      <c r="AD11546" s="3"/>
      <c r="AE11546" s="3"/>
      <c r="AF11546" s="3"/>
      <c r="AG11546" s="3"/>
      <c r="AH11546" s="3"/>
    </row>
    <row r="11547" spans="1:34" ht="14.25" customHeight="1" x14ac:dyDescent="0.25">
      <c r="A11547" s="3"/>
      <c r="B11547" s="3"/>
      <c r="C11547" s="3"/>
      <c r="D11547" s="3"/>
      <c r="E11547" s="3"/>
      <c r="F11547" s="3"/>
      <c r="G11547" s="3"/>
      <c r="H11547" s="11"/>
      <c r="I11547" s="12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  <c r="AA11547" s="3"/>
      <c r="AB11547" s="3"/>
      <c r="AC11547" s="3"/>
      <c r="AD11547" s="3"/>
      <c r="AE11547" s="3"/>
      <c r="AF11547" s="3"/>
      <c r="AG11547" s="3"/>
      <c r="AH11547" s="3"/>
    </row>
    <row r="11548" spans="1:34" ht="14.25" customHeight="1" x14ac:dyDescent="0.25">
      <c r="A11548" s="3"/>
      <c r="B11548" s="3"/>
      <c r="C11548" s="3"/>
      <c r="D11548" s="3"/>
      <c r="E11548" s="3"/>
      <c r="F11548" s="3"/>
      <c r="G11548" s="3"/>
      <c r="H11548" s="11"/>
      <c r="I11548" s="12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  <c r="AA11548" s="3"/>
      <c r="AB11548" s="3"/>
      <c r="AC11548" s="3"/>
      <c r="AD11548" s="3"/>
      <c r="AE11548" s="3"/>
      <c r="AF11548" s="3"/>
      <c r="AG11548" s="3"/>
      <c r="AH11548" s="3"/>
    </row>
    <row r="11549" spans="1:34" ht="14.25" customHeight="1" x14ac:dyDescent="0.25">
      <c r="A11549" s="3"/>
      <c r="B11549" s="3"/>
      <c r="C11549" s="3"/>
      <c r="D11549" s="3"/>
      <c r="E11549" s="3"/>
      <c r="F11549" s="3"/>
      <c r="G11549" s="3"/>
      <c r="H11549" s="11"/>
      <c r="I11549" s="12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  <c r="AA11549" s="3"/>
      <c r="AB11549" s="3"/>
      <c r="AC11549" s="3"/>
      <c r="AD11549" s="3"/>
      <c r="AE11549" s="3"/>
      <c r="AF11549" s="3"/>
      <c r="AG11549" s="3"/>
      <c r="AH11549" s="3"/>
    </row>
    <row r="11550" spans="1:34" ht="14.25" customHeight="1" x14ac:dyDescent="0.25">
      <c r="A11550" s="3"/>
      <c r="B11550" s="3"/>
      <c r="C11550" s="3"/>
      <c r="D11550" s="3"/>
      <c r="E11550" s="3"/>
      <c r="F11550" s="3"/>
      <c r="G11550" s="3"/>
      <c r="H11550" s="11"/>
      <c r="I11550" s="12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  <c r="AA11550" s="3"/>
      <c r="AB11550" s="3"/>
      <c r="AC11550" s="3"/>
      <c r="AD11550" s="3"/>
      <c r="AE11550" s="3"/>
      <c r="AF11550" s="3"/>
      <c r="AG11550" s="3"/>
      <c r="AH11550" s="3"/>
    </row>
    <row r="11551" spans="1:34" ht="14.25" customHeight="1" x14ac:dyDescent="0.25">
      <c r="A11551" s="3"/>
      <c r="B11551" s="3"/>
      <c r="C11551" s="3"/>
      <c r="D11551" s="3"/>
      <c r="E11551" s="3"/>
      <c r="F11551" s="3"/>
      <c r="G11551" s="3"/>
      <c r="H11551" s="11"/>
      <c r="I11551" s="12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  <c r="AA11551" s="3"/>
      <c r="AB11551" s="3"/>
      <c r="AC11551" s="3"/>
      <c r="AD11551" s="3"/>
      <c r="AE11551" s="3"/>
      <c r="AF11551" s="3"/>
      <c r="AG11551" s="3"/>
      <c r="AH11551" s="3"/>
    </row>
    <row r="11552" spans="1:34" ht="14.25" customHeight="1" x14ac:dyDescent="0.25">
      <c r="A11552" s="3"/>
      <c r="B11552" s="3"/>
      <c r="C11552" s="3"/>
      <c r="D11552" s="3"/>
      <c r="E11552" s="3"/>
      <c r="F11552" s="3"/>
      <c r="G11552" s="3"/>
      <c r="H11552" s="11"/>
      <c r="I11552" s="12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  <c r="AA11552" s="3"/>
      <c r="AB11552" s="3"/>
      <c r="AC11552" s="3"/>
      <c r="AD11552" s="3"/>
      <c r="AE11552" s="3"/>
      <c r="AF11552" s="3"/>
      <c r="AG11552" s="3"/>
      <c r="AH11552" s="3"/>
    </row>
    <row r="11553" spans="1:34" ht="14.25" customHeight="1" x14ac:dyDescent="0.25">
      <c r="A11553" s="3"/>
      <c r="B11553" s="3"/>
      <c r="C11553" s="3"/>
      <c r="D11553" s="3"/>
      <c r="E11553" s="3"/>
      <c r="F11553" s="3"/>
      <c r="G11553" s="3"/>
      <c r="H11553" s="11"/>
      <c r="I11553" s="12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  <c r="AA11553" s="3"/>
      <c r="AB11553" s="3"/>
      <c r="AC11553" s="3"/>
      <c r="AD11553" s="3"/>
      <c r="AE11553" s="3"/>
      <c r="AF11553" s="3"/>
      <c r="AG11553" s="3"/>
      <c r="AH11553" s="3"/>
    </row>
    <row r="11554" spans="1:34" ht="14.25" customHeight="1" x14ac:dyDescent="0.25">
      <c r="A11554" s="3"/>
      <c r="B11554" s="3"/>
      <c r="C11554" s="3"/>
      <c r="D11554" s="3"/>
      <c r="E11554" s="3"/>
      <c r="F11554" s="3"/>
      <c r="G11554" s="3"/>
      <c r="H11554" s="11"/>
      <c r="I11554" s="12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  <c r="AA11554" s="3"/>
      <c r="AB11554" s="3"/>
      <c r="AC11554" s="3"/>
      <c r="AD11554" s="3"/>
      <c r="AE11554" s="3"/>
      <c r="AF11554" s="3"/>
      <c r="AG11554" s="3"/>
      <c r="AH11554" s="3"/>
    </row>
    <row r="11555" spans="1:34" ht="14.25" customHeight="1" x14ac:dyDescent="0.25">
      <c r="A11555" s="3"/>
      <c r="B11555" s="3"/>
      <c r="C11555" s="3"/>
      <c r="D11555" s="3"/>
      <c r="E11555" s="3"/>
      <c r="F11555" s="3"/>
      <c r="G11555" s="3"/>
      <c r="H11555" s="11"/>
      <c r="I11555" s="12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  <c r="AA11555" s="3"/>
      <c r="AB11555" s="3"/>
      <c r="AC11555" s="3"/>
      <c r="AD11555" s="3"/>
      <c r="AE11555" s="3"/>
      <c r="AF11555" s="3"/>
      <c r="AG11555" s="3"/>
      <c r="AH11555" s="3"/>
    </row>
    <row r="11556" spans="1:34" ht="14.25" customHeight="1" x14ac:dyDescent="0.25">
      <c r="A11556" s="3"/>
      <c r="B11556" s="3"/>
      <c r="C11556" s="3"/>
      <c r="D11556" s="3"/>
      <c r="E11556" s="3"/>
      <c r="F11556" s="3"/>
      <c r="G11556" s="3"/>
      <c r="H11556" s="11"/>
      <c r="I11556" s="12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  <c r="AA11556" s="3"/>
      <c r="AB11556" s="3"/>
      <c r="AC11556" s="3"/>
      <c r="AD11556" s="3"/>
      <c r="AE11556" s="3"/>
      <c r="AF11556" s="3"/>
      <c r="AG11556" s="3"/>
      <c r="AH11556" s="3"/>
    </row>
    <row r="11557" spans="1:34" ht="14.25" customHeight="1" x14ac:dyDescent="0.25">
      <c r="A11557" s="3"/>
      <c r="B11557" s="3"/>
      <c r="C11557" s="3"/>
      <c r="D11557" s="3"/>
      <c r="E11557" s="3"/>
      <c r="F11557" s="3"/>
      <c r="G11557" s="3"/>
      <c r="H11557" s="11"/>
      <c r="I11557" s="12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  <c r="AA11557" s="3"/>
      <c r="AB11557" s="3"/>
      <c r="AC11557" s="3"/>
      <c r="AD11557" s="3"/>
      <c r="AE11557" s="3"/>
      <c r="AF11557" s="3"/>
      <c r="AG11557" s="3"/>
      <c r="AH11557" s="3"/>
    </row>
    <row r="11558" spans="1:34" ht="14.25" customHeight="1" x14ac:dyDescent="0.25">
      <c r="A11558" s="3"/>
      <c r="B11558" s="3"/>
      <c r="C11558" s="3"/>
      <c r="D11558" s="3"/>
      <c r="E11558" s="3"/>
      <c r="F11558" s="3"/>
      <c r="G11558" s="3"/>
      <c r="H11558" s="11"/>
      <c r="I11558" s="12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  <c r="AA11558" s="3"/>
      <c r="AB11558" s="3"/>
      <c r="AC11558" s="3"/>
      <c r="AD11558" s="3"/>
      <c r="AE11558" s="3"/>
      <c r="AF11558" s="3"/>
      <c r="AG11558" s="3"/>
      <c r="AH11558" s="3"/>
    </row>
    <row r="11559" spans="1:34" ht="14.25" customHeight="1" x14ac:dyDescent="0.25">
      <c r="A11559" s="3"/>
      <c r="B11559" s="3"/>
      <c r="C11559" s="3"/>
      <c r="D11559" s="3"/>
      <c r="E11559" s="3"/>
      <c r="F11559" s="3"/>
      <c r="G11559" s="3"/>
      <c r="H11559" s="11"/>
      <c r="I11559" s="12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  <c r="AA11559" s="3"/>
      <c r="AB11559" s="3"/>
      <c r="AC11559" s="3"/>
      <c r="AD11559" s="3"/>
      <c r="AE11559" s="3"/>
      <c r="AF11559" s="3"/>
      <c r="AG11559" s="3"/>
      <c r="AH11559" s="3"/>
    </row>
    <row r="11560" spans="1:34" ht="14.25" customHeight="1" x14ac:dyDescent="0.25">
      <c r="A11560" s="3"/>
      <c r="B11560" s="3"/>
      <c r="C11560" s="3"/>
      <c r="D11560" s="3"/>
      <c r="E11560" s="3"/>
      <c r="F11560" s="3"/>
      <c r="G11560" s="3"/>
      <c r="H11560" s="11"/>
      <c r="I11560" s="12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  <c r="AA11560" s="3"/>
      <c r="AB11560" s="3"/>
      <c r="AC11560" s="3"/>
      <c r="AD11560" s="3"/>
      <c r="AE11560" s="3"/>
      <c r="AF11560" s="3"/>
      <c r="AG11560" s="3"/>
      <c r="AH11560" s="3"/>
    </row>
    <row r="11561" spans="1:34" ht="14.25" customHeight="1" x14ac:dyDescent="0.25">
      <c r="A11561" s="3"/>
      <c r="B11561" s="3"/>
      <c r="C11561" s="3"/>
      <c r="D11561" s="3"/>
      <c r="E11561" s="3"/>
      <c r="F11561" s="3"/>
      <c r="G11561" s="3"/>
      <c r="H11561" s="11"/>
      <c r="I11561" s="12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  <c r="AA11561" s="3"/>
      <c r="AB11561" s="3"/>
      <c r="AC11561" s="3"/>
      <c r="AD11561" s="3"/>
      <c r="AE11561" s="3"/>
      <c r="AF11561" s="3"/>
      <c r="AG11561" s="3"/>
      <c r="AH11561" s="3"/>
    </row>
    <row r="11562" spans="1:34" ht="14.25" customHeight="1" x14ac:dyDescent="0.25">
      <c r="A11562" s="3"/>
      <c r="B11562" s="3"/>
      <c r="C11562" s="3"/>
      <c r="D11562" s="3"/>
      <c r="E11562" s="3"/>
      <c r="F11562" s="3"/>
      <c r="G11562" s="3"/>
      <c r="H11562" s="11"/>
      <c r="I11562" s="12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  <c r="AA11562" s="3"/>
      <c r="AB11562" s="3"/>
      <c r="AC11562" s="3"/>
      <c r="AD11562" s="3"/>
      <c r="AE11562" s="3"/>
      <c r="AF11562" s="3"/>
      <c r="AG11562" s="3"/>
      <c r="AH11562" s="3"/>
    </row>
    <row r="11563" spans="1:34" ht="14.25" customHeight="1" x14ac:dyDescent="0.25">
      <c r="A11563" s="3"/>
      <c r="B11563" s="3"/>
      <c r="C11563" s="3"/>
      <c r="D11563" s="3"/>
      <c r="E11563" s="3"/>
      <c r="F11563" s="3"/>
      <c r="G11563" s="3"/>
      <c r="H11563" s="11"/>
      <c r="I11563" s="12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  <c r="AA11563" s="3"/>
      <c r="AB11563" s="3"/>
      <c r="AC11563" s="3"/>
      <c r="AD11563" s="3"/>
      <c r="AE11563" s="3"/>
      <c r="AF11563" s="3"/>
      <c r="AG11563" s="3"/>
      <c r="AH11563" s="3"/>
    </row>
    <row r="11564" spans="1:34" ht="14.25" customHeight="1" x14ac:dyDescent="0.25">
      <c r="A11564" s="3"/>
      <c r="B11564" s="3"/>
      <c r="C11564" s="3"/>
      <c r="D11564" s="3"/>
      <c r="E11564" s="3"/>
      <c r="F11564" s="3"/>
      <c r="G11564" s="3"/>
      <c r="H11564" s="11"/>
      <c r="I11564" s="12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  <c r="AA11564" s="3"/>
      <c r="AB11564" s="3"/>
      <c r="AC11564" s="3"/>
      <c r="AD11564" s="3"/>
      <c r="AE11564" s="3"/>
      <c r="AF11564" s="3"/>
      <c r="AG11564" s="3"/>
      <c r="AH11564" s="3"/>
    </row>
    <row r="11565" spans="1:34" ht="14.25" customHeight="1" x14ac:dyDescent="0.25">
      <c r="A11565" s="3"/>
      <c r="B11565" s="3"/>
      <c r="C11565" s="3"/>
      <c r="D11565" s="3"/>
      <c r="E11565" s="3"/>
      <c r="F11565" s="3"/>
      <c r="G11565" s="3"/>
      <c r="H11565" s="11"/>
      <c r="I11565" s="12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  <c r="AA11565" s="3"/>
      <c r="AB11565" s="3"/>
      <c r="AC11565" s="3"/>
      <c r="AD11565" s="3"/>
      <c r="AE11565" s="3"/>
      <c r="AF11565" s="3"/>
      <c r="AG11565" s="3"/>
      <c r="AH11565" s="3"/>
    </row>
    <row r="11566" spans="1:34" ht="14.25" customHeight="1" x14ac:dyDescent="0.25">
      <c r="A11566" s="3"/>
      <c r="B11566" s="3"/>
      <c r="C11566" s="3"/>
      <c r="D11566" s="3"/>
      <c r="E11566" s="3"/>
      <c r="F11566" s="3"/>
      <c r="G11566" s="3"/>
      <c r="H11566" s="11"/>
      <c r="I11566" s="12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  <c r="AA11566" s="3"/>
      <c r="AB11566" s="3"/>
      <c r="AC11566" s="3"/>
      <c r="AD11566" s="3"/>
      <c r="AE11566" s="3"/>
      <c r="AF11566" s="3"/>
      <c r="AG11566" s="3"/>
      <c r="AH11566" s="3"/>
    </row>
    <row r="11567" spans="1:34" ht="14.25" customHeight="1" x14ac:dyDescent="0.25">
      <c r="A11567" s="3"/>
      <c r="B11567" s="3"/>
      <c r="C11567" s="3"/>
      <c r="D11567" s="3"/>
      <c r="E11567" s="3"/>
      <c r="F11567" s="3"/>
      <c r="G11567" s="3"/>
      <c r="H11567" s="11"/>
      <c r="I11567" s="12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  <c r="AA11567" s="3"/>
      <c r="AB11567" s="3"/>
      <c r="AC11567" s="3"/>
      <c r="AD11567" s="3"/>
      <c r="AE11567" s="3"/>
      <c r="AF11567" s="3"/>
      <c r="AG11567" s="3"/>
      <c r="AH11567" s="3"/>
    </row>
    <row r="11568" spans="1:34" ht="14.25" customHeight="1" x14ac:dyDescent="0.25">
      <c r="A11568" s="3"/>
      <c r="B11568" s="3"/>
      <c r="C11568" s="3"/>
      <c r="D11568" s="3"/>
      <c r="E11568" s="3"/>
      <c r="F11568" s="3"/>
      <c r="G11568" s="3"/>
      <c r="H11568" s="11"/>
      <c r="I11568" s="12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  <c r="AA11568" s="3"/>
      <c r="AB11568" s="3"/>
      <c r="AC11568" s="3"/>
      <c r="AD11568" s="3"/>
      <c r="AE11568" s="3"/>
      <c r="AF11568" s="3"/>
      <c r="AG11568" s="3"/>
      <c r="AH11568" s="3"/>
    </row>
    <row r="11569" spans="1:34" ht="14.25" customHeight="1" x14ac:dyDescent="0.25">
      <c r="A11569" s="3"/>
      <c r="B11569" s="3"/>
      <c r="C11569" s="3"/>
      <c r="D11569" s="3"/>
      <c r="E11569" s="3"/>
      <c r="F11569" s="3"/>
      <c r="G11569" s="3"/>
      <c r="H11569" s="11"/>
      <c r="I11569" s="12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  <c r="AA11569" s="3"/>
      <c r="AB11569" s="3"/>
      <c r="AC11569" s="3"/>
      <c r="AD11569" s="3"/>
      <c r="AE11569" s="3"/>
      <c r="AF11569" s="3"/>
      <c r="AG11569" s="3"/>
      <c r="AH11569" s="3"/>
    </row>
    <row r="11570" spans="1:34" ht="14.25" customHeight="1" x14ac:dyDescent="0.25">
      <c r="A11570" s="3"/>
      <c r="B11570" s="3"/>
      <c r="C11570" s="3"/>
      <c r="D11570" s="3"/>
      <c r="E11570" s="3"/>
      <c r="F11570" s="3"/>
      <c r="G11570" s="3"/>
      <c r="H11570" s="11"/>
      <c r="I11570" s="12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  <c r="AA11570" s="3"/>
      <c r="AB11570" s="3"/>
      <c r="AC11570" s="3"/>
      <c r="AD11570" s="3"/>
      <c r="AE11570" s="3"/>
      <c r="AF11570" s="3"/>
      <c r="AG11570" s="3"/>
      <c r="AH11570" s="3"/>
    </row>
    <row r="11571" spans="1:34" ht="14.25" customHeight="1" x14ac:dyDescent="0.25">
      <c r="A11571" s="3"/>
      <c r="B11571" s="3"/>
      <c r="C11571" s="3"/>
      <c r="D11571" s="3"/>
      <c r="E11571" s="3"/>
      <c r="F11571" s="3"/>
      <c r="G11571" s="3"/>
      <c r="H11571" s="11"/>
      <c r="I11571" s="12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  <c r="AA11571" s="3"/>
      <c r="AB11571" s="3"/>
      <c r="AC11571" s="3"/>
      <c r="AD11571" s="3"/>
      <c r="AE11571" s="3"/>
      <c r="AF11571" s="3"/>
      <c r="AG11571" s="3"/>
      <c r="AH11571" s="3"/>
    </row>
    <row r="11572" spans="1:34" ht="14.25" customHeight="1" x14ac:dyDescent="0.25">
      <c r="A11572" s="3"/>
      <c r="B11572" s="3"/>
      <c r="C11572" s="3"/>
      <c r="D11572" s="3"/>
      <c r="E11572" s="3"/>
      <c r="F11572" s="3"/>
      <c r="G11572" s="3"/>
      <c r="H11572" s="11"/>
      <c r="I11572" s="12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  <c r="AA11572" s="3"/>
      <c r="AB11572" s="3"/>
      <c r="AC11572" s="3"/>
      <c r="AD11572" s="3"/>
      <c r="AE11572" s="3"/>
      <c r="AF11572" s="3"/>
      <c r="AG11572" s="3"/>
      <c r="AH11572" s="3"/>
    </row>
    <row r="11573" spans="1:34" ht="14.25" customHeight="1" x14ac:dyDescent="0.25">
      <c r="A11573" s="3"/>
      <c r="B11573" s="3"/>
      <c r="C11573" s="3"/>
      <c r="D11573" s="3"/>
      <c r="E11573" s="3"/>
      <c r="F11573" s="3"/>
      <c r="G11573" s="3"/>
      <c r="H11573" s="11"/>
      <c r="I11573" s="12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  <c r="AA11573" s="3"/>
      <c r="AB11573" s="3"/>
      <c r="AC11573" s="3"/>
      <c r="AD11573" s="3"/>
      <c r="AE11573" s="3"/>
      <c r="AF11573" s="3"/>
      <c r="AG11573" s="3"/>
      <c r="AH11573" s="3"/>
    </row>
    <row r="11574" spans="1:34" ht="14.25" customHeight="1" x14ac:dyDescent="0.25">
      <c r="A11574" s="3"/>
      <c r="B11574" s="3"/>
      <c r="C11574" s="3"/>
      <c r="D11574" s="3"/>
      <c r="E11574" s="3"/>
      <c r="F11574" s="3"/>
      <c r="G11574" s="3"/>
      <c r="H11574" s="11"/>
      <c r="I11574" s="12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  <c r="AA11574" s="3"/>
      <c r="AB11574" s="3"/>
      <c r="AC11574" s="3"/>
      <c r="AD11574" s="3"/>
      <c r="AE11574" s="3"/>
      <c r="AF11574" s="3"/>
      <c r="AG11574" s="3"/>
      <c r="AH11574" s="3"/>
    </row>
    <row r="11575" spans="1:34" ht="14.25" customHeight="1" x14ac:dyDescent="0.25">
      <c r="A11575" s="3"/>
      <c r="B11575" s="3"/>
      <c r="C11575" s="3"/>
      <c r="D11575" s="3"/>
      <c r="E11575" s="3"/>
      <c r="F11575" s="3"/>
      <c r="G11575" s="3"/>
      <c r="H11575" s="11"/>
      <c r="I11575" s="12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  <c r="AA11575" s="3"/>
      <c r="AB11575" s="3"/>
      <c r="AC11575" s="3"/>
      <c r="AD11575" s="3"/>
      <c r="AE11575" s="3"/>
      <c r="AF11575" s="3"/>
      <c r="AG11575" s="3"/>
      <c r="AH11575" s="3"/>
    </row>
    <row r="11576" spans="1:34" ht="14.25" customHeight="1" x14ac:dyDescent="0.25">
      <c r="A11576" s="3"/>
      <c r="B11576" s="3"/>
      <c r="C11576" s="3"/>
      <c r="D11576" s="3"/>
      <c r="E11576" s="3"/>
      <c r="F11576" s="3"/>
      <c r="G11576" s="3"/>
      <c r="H11576" s="11"/>
      <c r="I11576" s="12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  <c r="AA11576" s="3"/>
      <c r="AB11576" s="3"/>
      <c r="AC11576" s="3"/>
      <c r="AD11576" s="3"/>
      <c r="AE11576" s="3"/>
      <c r="AF11576" s="3"/>
      <c r="AG11576" s="3"/>
      <c r="AH11576" s="3"/>
    </row>
    <row r="11577" spans="1:34" ht="14.25" customHeight="1" x14ac:dyDescent="0.25">
      <c r="A11577" s="3"/>
      <c r="B11577" s="3"/>
      <c r="C11577" s="3"/>
      <c r="D11577" s="3"/>
      <c r="E11577" s="3"/>
      <c r="F11577" s="3"/>
      <c r="G11577" s="3"/>
      <c r="H11577" s="11"/>
      <c r="I11577" s="12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  <c r="AA11577" s="3"/>
      <c r="AB11577" s="3"/>
      <c r="AC11577" s="3"/>
      <c r="AD11577" s="3"/>
      <c r="AE11577" s="3"/>
      <c r="AF11577" s="3"/>
      <c r="AG11577" s="3"/>
      <c r="AH11577" s="3"/>
    </row>
    <row r="11578" spans="1:34" ht="14.25" customHeight="1" x14ac:dyDescent="0.25">
      <c r="A11578" s="3"/>
      <c r="B11578" s="3"/>
      <c r="C11578" s="3"/>
      <c r="D11578" s="3"/>
      <c r="E11578" s="3"/>
      <c r="F11578" s="3"/>
      <c r="G11578" s="3"/>
      <c r="H11578" s="11"/>
      <c r="I11578" s="12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  <c r="AA11578" s="3"/>
      <c r="AB11578" s="3"/>
      <c r="AC11578" s="3"/>
      <c r="AD11578" s="3"/>
      <c r="AE11578" s="3"/>
      <c r="AF11578" s="3"/>
      <c r="AG11578" s="3"/>
      <c r="AH11578" s="3"/>
    </row>
    <row r="11579" spans="1:34" ht="14.25" customHeight="1" x14ac:dyDescent="0.25">
      <c r="A11579" s="3"/>
      <c r="B11579" s="3"/>
      <c r="C11579" s="3"/>
      <c r="D11579" s="3"/>
      <c r="E11579" s="3"/>
      <c r="F11579" s="3"/>
      <c r="G11579" s="3"/>
      <c r="H11579" s="11"/>
      <c r="I11579" s="12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  <c r="AA11579" s="3"/>
      <c r="AB11579" s="3"/>
      <c r="AC11579" s="3"/>
      <c r="AD11579" s="3"/>
      <c r="AE11579" s="3"/>
      <c r="AF11579" s="3"/>
      <c r="AG11579" s="3"/>
      <c r="AH11579" s="3"/>
    </row>
    <row r="11580" spans="1:34" ht="14.25" customHeight="1" x14ac:dyDescent="0.25">
      <c r="A11580" s="3"/>
      <c r="B11580" s="3"/>
      <c r="C11580" s="3"/>
      <c r="D11580" s="3"/>
      <c r="E11580" s="3"/>
      <c r="F11580" s="3"/>
      <c r="G11580" s="3"/>
      <c r="H11580" s="11"/>
      <c r="I11580" s="12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  <c r="AA11580" s="3"/>
      <c r="AB11580" s="3"/>
      <c r="AC11580" s="3"/>
      <c r="AD11580" s="3"/>
      <c r="AE11580" s="3"/>
      <c r="AF11580" s="3"/>
      <c r="AG11580" s="3"/>
      <c r="AH11580" s="3"/>
    </row>
    <row r="11581" spans="1:34" ht="14.25" customHeight="1" x14ac:dyDescent="0.25">
      <c r="A11581" s="3"/>
      <c r="B11581" s="3"/>
      <c r="C11581" s="3"/>
      <c r="D11581" s="3"/>
      <c r="E11581" s="3"/>
      <c r="F11581" s="3"/>
      <c r="G11581" s="3"/>
      <c r="H11581" s="11"/>
      <c r="I11581" s="12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  <c r="AA11581" s="3"/>
      <c r="AB11581" s="3"/>
      <c r="AC11581" s="3"/>
      <c r="AD11581" s="3"/>
      <c r="AE11581" s="3"/>
      <c r="AF11581" s="3"/>
      <c r="AG11581" s="3"/>
      <c r="AH11581" s="3"/>
    </row>
    <row r="11582" spans="1:34" ht="14.25" customHeight="1" x14ac:dyDescent="0.25">
      <c r="A11582" s="3"/>
      <c r="B11582" s="3"/>
      <c r="C11582" s="3"/>
      <c r="D11582" s="3"/>
      <c r="E11582" s="3"/>
      <c r="F11582" s="3"/>
      <c r="G11582" s="3"/>
      <c r="H11582" s="11"/>
      <c r="I11582" s="12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  <c r="AA11582" s="3"/>
      <c r="AB11582" s="3"/>
      <c r="AC11582" s="3"/>
      <c r="AD11582" s="3"/>
      <c r="AE11582" s="3"/>
      <c r="AF11582" s="3"/>
      <c r="AG11582" s="3"/>
      <c r="AH11582" s="3"/>
    </row>
    <row r="11583" spans="1:34" ht="14.25" customHeight="1" x14ac:dyDescent="0.25">
      <c r="A11583" s="3"/>
      <c r="B11583" s="3"/>
      <c r="C11583" s="3"/>
      <c r="D11583" s="3"/>
      <c r="E11583" s="3"/>
      <c r="F11583" s="3"/>
      <c r="G11583" s="3"/>
      <c r="H11583" s="11"/>
      <c r="I11583" s="12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  <c r="AA11583" s="3"/>
      <c r="AB11583" s="3"/>
      <c r="AC11583" s="3"/>
      <c r="AD11583" s="3"/>
      <c r="AE11583" s="3"/>
      <c r="AF11583" s="3"/>
      <c r="AG11583" s="3"/>
      <c r="AH11583" s="3"/>
    </row>
    <row r="11584" spans="1:34" ht="14.25" customHeight="1" x14ac:dyDescent="0.25">
      <c r="A11584" s="3"/>
      <c r="B11584" s="3"/>
      <c r="C11584" s="3"/>
      <c r="D11584" s="3"/>
      <c r="E11584" s="3"/>
      <c r="F11584" s="3"/>
      <c r="G11584" s="3"/>
      <c r="H11584" s="11"/>
      <c r="I11584" s="12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  <c r="AA11584" s="3"/>
      <c r="AB11584" s="3"/>
      <c r="AC11584" s="3"/>
      <c r="AD11584" s="3"/>
      <c r="AE11584" s="3"/>
      <c r="AF11584" s="3"/>
      <c r="AG11584" s="3"/>
      <c r="AH11584" s="3"/>
    </row>
    <row r="11585" spans="1:34" ht="14.25" customHeight="1" x14ac:dyDescent="0.25">
      <c r="A11585" s="3"/>
      <c r="B11585" s="3"/>
      <c r="C11585" s="3"/>
      <c r="D11585" s="3"/>
      <c r="E11585" s="3"/>
      <c r="F11585" s="3"/>
      <c r="G11585" s="3"/>
      <c r="H11585" s="11"/>
      <c r="I11585" s="12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  <c r="AA11585" s="3"/>
      <c r="AB11585" s="3"/>
      <c r="AC11585" s="3"/>
      <c r="AD11585" s="3"/>
      <c r="AE11585" s="3"/>
      <c r="AF11585" s="3"/>
      <c r="AG11585" s="3"/>
      <c r="AH11585" s="3"/>
    </row>
    <row r="11586" spans="1:34" ht="14.25" customHeight="1" x14ac:dyDescent="0.25">
      <c r="A11586" s="3"/>
      <c r="B11586" s="3"/>
      <c r="C11586" s="3"/>
      <c r="D11586" s="3"/>
      <c r="E11586" s="3"/>
      <c r="F11586" s="3"/>
      <c r="G11586" s="3"/>
      <c r="H11586" s="11"/>
      <c r="I11586" s="12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  <c r="AA11586" s="3"/>
      <c r="AB11586" s="3"/>
      <c r="AC11586" s="3"/>
      <c r="AD11586" s="3"/>
      <c r="AE11586" s="3"/>
      <c r="AF11586" s="3"/>
      <c r="AG11586" s="3"/>
      <c r="AH11586" s="3"/>
    </row>
    <row r="11587" spans="1:34" ht="14.25" customHeight="1" x14ac:dyDescent="0.25">
      <c r="A11587" s="3"/>
      <c r="B11587" s="3"/>
      <c r="C11587" s="3"/>
      <c r="D11587" s="3"/>
      <c r="E11587" s="3"/>
      <c r="F11587" s="3"/>
      <c r="G11587" s="3"/>
      <c r="H11587" s="11"/>
      <c r="I11587" s="12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  <c r="AA11587" s="3"/>
      <c r="AB11587" s="3"/>
      <c r="AC11587" s="3"/>
      <c r="AD11587" s="3"/>
      <c r="AE11587" s="3"/>
      <c r="AF11587" s="3"/>
      <c r="AG11587" s="3"/>
      <c r="AH11587" s="3"/>
    </row>
    <row r="11588" spans="1:34" ht="14.25" customHeight="1" x14ac:dyDescent="0.25">
      <c r="A11588" s="3"/>
      <c r="B11588" s="3"/>
      <c r="C11588" s="3"/>
      <c r="D11588" s="3"/>
      <c r="E11588" s="3"/>
      <c r="F11588" s="3"/>
      <c r="G11588" s="3"/>
      <c r="H11588" s="11"/>
      <c r="I11588" s="12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  <c r="AA11588" s="3"/>
      <c r="AB11588" s="3"/>
      <c r="AC11588" s="3"/>
      <c r="AD11588" s="3"/>
      <c r="AE11588" s="3"/>
      <c r="AF11588" s="3"/>
      <c r="AG11588" s="3"/>
      <c r="AH11588" s="3"/>
    </row>
    <row r="11589" spans="1:34" ht="14.25" customHeight="1" x14ac:dyDescent="0.25">
      <c r="A11589" s="3"/>
      <c r="B11589" s="3"/>
      <c r="C11589" s="3"/>
      <c r="D11589" s="3"/>
      <c r="E11589" s="3"/>
      <c r="F11589" s="3"/>
      <c r="G11589" s="3"/>
      <c r="H11589" s="11"/>
      <c r="I11589" s="12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  <c r="AA11589" s="3"/>
      <c r="AB11589" s="3"/>
      <c r="AC11589" s="3"/>
      <c r="AD11589" s="3"/>
      <c r="AE11589" s="3"/>
      <c r="AF11589" s="3"/>
      <c r="AG11589" s="3"/>
      <c r="AH11589" s="3"/>
    </row>
    <row r="11590" spans="1:34" ht="14.25" customHeight="1" x14ac:dyDescent="0.25">
      <c r="A11590" s="3"/>
      <c r="B11590" s="3"/>
      <c r="C11590" s="3"/>
      <c r="D11590" s="3"/>
      <c r="E11590" s="3"/>
      <c r="F11590" s="3"/>
      <c r="G11590" s="3"/>
      <c r="H11590" s="11"/>
      <c r="I11590" s="12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  <c r="AA11590" s="3"/>
      <c r="AB11590" s="3"/>
      <c r="AC11590" s="3"/>
      <c r="AD11590" s="3"/>
      <c r="AE11590" s="3"/>
      <c r="AF11590" s="3"/>
      <c r="AG11590" s="3"/>
      <c r="AH11590" s="3"/>
    </row>
    <row r="11591" spans="1:34" ht="14.25" customHeight="1" x14ac:dyDescent="0.25">
      <c r="A11591" s="3"/>
      <c r="B11591" s="3"/>
      <c r="C11591" s="3"/>
      <c r="D11591" s="3"/>
      <c r="E11591" s="3"/>
      <c r="F11591" s="3"/>
      <c r="G11591" s="3"/>
      <c r="H11591" s="11"/>
      <c r="I11591" s="12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  <c r="AA11591" s="3"/>
      <c r="AB11591" s="3"/>
      <c r="AC11591" s="3"/>
      <c r="AD11591" s="3"/>
      <c r="AE11591" s="3"/>
      <c r="AF11591" s="3"/>
      <c r="AG11591" s="3"/>
      <c r="AH11591" s="3"/>
    </row>
    <row r="11592" spans="1:34" ht="14.25" customHeight="1" x14ac:dyDescent="0.25">
      <c r="A11592" s="3"/>
      <c r="B11592" s="3"/>
      <c r="C11592" s="3"/>
      <c r="D11592" s="3"/>
      <c r="E11592" s="3"/>
      <c r="F11592" s="3"/>
      <c r="G11592" s="3"/>
      <c r="H11592" s="11"/>
      <c r="I11592" s="12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  <c r="AA11592" s="3"/>
      <c r="AB11592" s="3"/>
      <c r="AC11592" s="3"/>
      <c r="AD11592" s="3"/>
      <c r="AE11592" s="3"/>
      <c r="AF11592" s="3"/>
      <c r="AG11592" s="3"/>
      <c r="AH11592" s="3"/>
    </row>
    <row r="11593" spans="1:34" ht="14.25" customHeight="1" x14ac:dyDescent="0.25">
      <c r="A11593" s="3"/>
      <c r="B11593" s="3"/>
      <c r="C11593" s="3"/>
      <c r="D11593" s="3"/>
      <c r="E11593" s="3"/>
      <c r="F11593" s="3"/>
      <c r="G11593" s="3"/>
      <c r="H11593" s="11"/>
      <c r="I11593" s="12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  <c r="AA11593" s="3"/>
      <c r="AB11593" s="3"/>
      <c r="AC11593" s="3"/>
      <c r="AD11593" s="3"/>
      <c r="AE11593" s="3"/>
      <c r="AF11593" s="3"/>
      <c r="AG11593" s="3"/>
      <c r="AH11593" s="3"/>
    </row>
    <row r="11594" spans="1:34" ht="14.25" customHeight="1" x14ac:dyDescent="0.25">
      <c r="A11594" s="3"/>
      <c r="B11594" s="3"/>
      <c r="C11594" s="3"/>
      <c r="D11594" s="3"/>
      <c r="E11594" s="3"/>
      <c r="F11594" s="3"/>
      <c r="G11594" s="3"/>
      <c r="H11594" s="11"/>
      <c r="I11594" s="12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  <c r="AA11594" s="3"/>
      <c r="AB11594" s="3"/>
      <c r="AC11594" s="3"/>
      <c r="AD11594" s="3"/>
      <c r="AE11594" s="3"/>
      <c r="AF11594" s="3"/>
      <c r="AG11594" s="3"/>
      <c r="AH11594" s="3"/>
    </row>
    <row r="11595" spans="1:34" ht="14.25" customHeight="1" x14ac:dyDescent="0.25">
      <c r="A11595" s="3"/>
      <c r="B11595" s="3"/>
      <c r="C11595" s="3"/>
      <c r="D11595" s="3"/>
      <c r="E11595" s="3"/>
      <c r="F11595" s="3"/>
      <c r="G11595" s="3"/>
      <c r="H11595" s="11"/>
      <c r="I11595" s="12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  <c r="AA11595" s="3"/>
      <c r="AB11595" s="3"/>
      <c r="AC11595" s="3"/>
      <c r="AD11595" s="3"/>
      <c r="AE11595" s="3"/>
      <c r="AF11595" s="3"/>
      <c r="AG11595" s="3"/>
      <c r="AH11595" s="3"/>
    </row>
    <row r="11596" spans="1:34" ht="14.25" customHeight="1" x14ac:dyDescent="0.25">
      <c r="A11596" s="3"/>
      <c r="B11596" s="3"/>
      <c r="C11596" s="3"/>
      <c r="D11596" s="3"/>
      <c r="E11596" s="3"/>
      <c r="F11596" s="3"/>
      <c r="G11596" s="3"/>
      <c r="H11596" s="11"/>
      <c r="I11596" s="12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  <c r="AA11596" s="3"/>
      <c r="AB11596" s="3"/>
      <c r="AC11596" s="3"/>
      <c r="AD11596" s="3"/>
      <c r="AE11596" s="3"/>
      <c r="AF11596" s="3"/>
      <c r="AG11596" s="3"/>
      <c r="AH11596" s="3"/>
    </row>
    <row r="11597" spans="1:34" ht="14.25" customHeight="1" x14ac:dyDescent="0.25">
      <c r="A11597" s="3"/>
      <c r="B11597" s="3"/>
      <c r="C11597" s="3"/>
      <c r="D11597" s="3"/>
      <c r="E11597" s="3"/>
      <c r="F11597" s="3"/>
      <c r="G11597" s="3"/>
      <c r="H11597" s="11"/>
      <c r="I11597" s="12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  <c r="AA11597" s="3"/>
      <c r="AB11597" s="3"/>
      <c r="AC11597" s="3"/>
      <c r="AD11597" s="3"/>
      <c r="AE11597" s="3"/>
      <c r="AF11597" s="3"/>
      <c r="AG11597" s="3"/>
      <c r="AH11597" s="3"/>
    </row>
    <row r="11598" spans="1:34" ht="14.25" customHeight="1" x14ac:dyDescent="0.25">
      <c r="A11598" s="3"/>
      <c r="B11598" s="3"/>
      <c r="C11598" s="3"/>
      <c r="D11598" s="3"/>
      <c r="E11598" s="3"/>
      <c r="F11598" s="3"/>
      <c r="G11598" s="3"/>
      <c r="H11598" s="11"/>
      <c r="I11598" s="12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  <c r="AA11598" s="3"/>
      <c r="AB11598" s="3"/>
      <c r="AC11598" s="3"/>
      <c r="AD11598" s="3"/>
      <c r="AE11598" s="3"/>
      <c r="AF11598" s="3"/>
      <c r="AG11598" s="3"/>
      <c r="AH11598" s="3"/>
    </row>
    <row r="11599" spans="1:34" ht="14.25" customHeight="1" x14ac:dyDescent="0.25">
      <c r="A11599" s="3"/>
      <c r="B11599" s="3"/>
      <c r="C11599" s="3"/>
      <c r="D11599" s="3"/>
      <c r="E11599" s="3"/>
      <c r="F11599" s="3"/>
      <c r="G11599" s="3"/>
      <c r="H11599" s="11"/>
      <c r="I11599" s="12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  <c r="AA11599" s="3"/>
      <c r="AB11599" s="3"/>
      <c r="AC11599" s="3"/>
      <c r="AD11599" s="3"/>
      <c r="AE11599" s="3"/>
      <c r="AF11599" s="3"/>
      <c r="AG11599" s="3"/>
      <c r="AH11599" s="3"/>
    </row>
    <row r="11600" spans="1:34" ht="14.25" customHeight="1" x14ac:dyDescent="0.25">
      <c r="A11600" s="3"/>
      <c r="B11600" s="3"/>
      <c r="C11600" s="3"/>
      <c r="D11600" s="3"/>
      <c r="E11600" s="3"/>
      <c r="F11600" s="3"/>
      <c r="G11600" s="3"/>
      <c r="H11600" s="11"/>
      <c r="I11600" s="12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  <c r="AA11600" s="3"/>
      <c r="AB11600" s="3"/>
      <c r="AC11600" s="3"/>
      <c r="AD11600" s="3"/>
      <c r="AE11600" s="3"/>
      <c r="AF11600" s="3"/>
      <c r="AG11600" s="3"/>
      <c r="AH11600" s="3"/>
    </row>
    <row r="11601" spans="1:34" ht="14.25" customHeight="1" x14ac:dyDescent="0.25">
      <c r="A11601" s="3"/>
      <c r="B11601" s="3"/>
      <c r="C11601" s="3"/>
      <c r="D11601" s="3"/>
      <c r="E11601" s="3"/>
      <c r="F11601" s="3"/>
      <c r="G11601" s="3"/>
      <c r="H11601" s="11"/>
      <c r="I11601" s="12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  <c r="AA11601" s="3"/>
      <c r="AB11601" s="3"/>
      <c r="AC11601" s="3"/>
      <c r="AD11601" s="3"/>
      <c r="AE11601" s="3"/>
      <c r="AF11601" s="3"/>
      <c r="AG11601" s="3"/>
      <c r="AH11601" s="3"/>
    </row>
    <row r="11602" spans="1:34" ht="14.25" customHeight="1" x14ac:dyDescent="0.25">
      <c r="A11602" s="3"/>
      <c r="B11602" s="3"/>
      <c r="C11602" s="3"/>
      <c r="D11602" s="3"/>
      <c r="E11602" s="3"/>
      <c r="F11602" s="3"/>
      <c r="G11602" s="3"/>
      <c r="H11602" s="11"/>
      <c r="I11602" s="12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  <c r="AA11602" s="3"/>
      <c r="AB11602" s="3"/>
      <c r="AC11602" s="3"/>
      <c r="AD11602" s="3"/>
      <c r="AE11602" s="3"/>
      <c r="AF11602" s="3"/>
      <c r="AG11602" s="3"/>
      <c r="AH11602" s="3"/>
    </row>
    <row r="11603" spans="1:34" ht="14.25" customHeight="1" x14ac:dyDescent="0.25">
      <c r="A11603" s="3"/>
      <c r="B11603" s="3"/>
      <c r="C11603" s="3"/>
      <c r="D11603" s="3"/>
      <c r="E11603" s="3"/>
      <c r="F11603" s="3"/>
      <c r="G11603" s="3"/>
      <c r="H11603" s="11"/>
      <c r="I11603" s="12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  <c r="AA11603" s="3"/>
      <c r="AB11603" s="3"/>
      <c r="AC11603" s="3"/>
      <c r="AD11603" s="3"/>
      <c r="AE11603" s="3"/>
      <c r="AF11603" s="3"/>
      <c r="AG11603" s="3"/>
      <c r="AH11603" s="3"/>
    </row>
    <row r="11604" spans="1:34" ht="14.25" customHeight="1" x14ac:dyDescent="0.25">
      <c r="A11604" s="3"/>
      <c r="B11604" s="3"/>
      <c r="C11604" s="3"/>
      <c r="D11604" s="3"/>
      <c r="E11604" s="3"/>
      <c r="F11604" s="3"/>
      <c r="G11604" s="3"/>
      <c r="H11604" s="11"/>
      <c r="I11604" s="12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  <c r="AA11604" s="3"/>
      <c r="AB11604" s="3"/>
      <c r="AC11604" s="3"/>
      <c r="AD11604" s="3"/>
      <c r="AE11604" s="3"/>
      <c r="AF11604" s="3"/>
      <c r="AG11604" s="3"/>
      <c r="AH11604" s="3"/>
    </row>
    <row r="11605" spans="1:34" ht="14.25" customHeight="1" x14ac:dyDescent="0.25">
      <c r="A11605" s="3"/>
      <c r="B11605" s="3"/>
      <c r="C11605" s="3"/>
      <c r="D11605" s="3"/>
      <c r="E11605" s="3"/>
      <c r="F11605" s="3"/>
      <c r="G11605" s="3"/>
      <c r="H11605" s="11"/>
      <c r="I11605" s="12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  <c r="AA11605" s="3"/>
      <c r="AB11605" s="3"/>
      <c r="AC11605" s="3"/>
      <c r="AD11605" s="3"/>
      <c r="AE11605" s="3"/>
      <c r="AF11605" s="3"/>
      <c r="AG11605" s="3"/>
      <c r="AH11605" s="3"/>
    </row>
    <row r="11606" spans="1:34" ht="14.25" customHeight="1" x14ac:dyDescent="0.25">
      <c r="A11606" s="3"/>
      <c r="B11606" s="3"/>
      <c r="C11606" s="3"/>
      <c r="D11606" s="3"/>
      <c r="E11606" s="3"/>
      <c r="F11606" s="3"/>
      <c r="G11606" s="3"/>
      <c r="H11606" s="11"/>
      <c r="I11606" s="12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  <c r="AA11606" s="3"/>
      <c r="AB11606" s="3"/>
      <c r="AC11606" s="3"/>
      <c r="AD11606" s="3"/>
      <c r="AE11606" s="3"/>
      <c r="AF11606" s="3"/>
      <c r="AG11606" s="3"/>
      <c r="AH11606" s="3"/>
    </row>
    <row r="11607" spans="1:34" ht="14.25" customHeight="1" x14ac:dyDescent="0.25">
      <c r="A11607" s="3"/>
      <c r="B11607" s="3"/>
      <c r="C11607" s="3"/>
      <c r="D11607" s="3"/>
      <c r="E11607" s="3"/>
      <c r="F11607" s="3"/>
      <c r="G11607" s="3"/>
      <c r="H11607" s="11"/>
      <c r="I11607" s="12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  <c r="AA11607" s="3"/>
      <c r="AB11607" s="3"/>
      <c r="AC11607" s="3"/>
      <c r="AD11607" s="3"/>
      <c r="AE11607" s="3"/>
      <c r="AF11607" s="3"/>
      <c r="AG11607" s="3"/>
      <c r="AH11607" s="3"/>
    </row>
    <row r="11608" spans="1:34" ht="14.25" customHeight="1" x14ac:dyDescent="0.25">
      <c r="A11608" s="3"/>
      <c r="B11608" s="3"/>
      <c r="C11608" s="3"/>
      <c r="D11608" s="3"/>
      <c r="E11608" s="3"/>
      <c r="F11608" s="3"/>
      <c r="G11608" s="3"/>
      <c r="H11608" s="11"/>
      <c r="I11608" s="12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  <c r="AA11608" s="3"/>
      <c r="AB11608" s="3"/>
      <c r="AC11608" s="3"/>
      <c r="AD11608" s="3"/>
      <c r="AE11608" s="3"/>
      <c r="AF11608" s="3"/>
      <c r="AG11608" s="3"/>
      <c r="AH11608" s="3"/>
    </row>
    <row r="11609" spans="1:34" ht="14.25" customHeight="1" x14ac:dyDescent="0.25">
      <c r="A11609" s="3"/>
      <c r="B11609" s="3"/>
      <c r="C11609" s="3"/>
      <c r="D11609" s="3"/>
      <c r="E11609" s="3"/>
      <c r="F11609" s="3"/>
      <c r="G11609" s="3"/>
      <c r="H11609" s="11"/>
      <c r="I11609" s="12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  <c r="AA11609" s="3"/>
      <c r="AB11609" s="3"/>
      <c r="AC11609" s="3"/>
      <c r="AD11609" s="3"/>
      <c r="AE11609" s="3"/>
      <c r="AF11609" s="3"/>
      <c r="AG11609" s="3"/>
      <c r="AH11609" s="3"/>
    </row>
    <row r="11610" spans="1:34" ht="14.25" customHeight="1" x14ac:dyDescent="0.25">
      <c r="A11610" s="3"/>
      <c r="B11610" s="3"/>
      <c r="C11610" s="3"/>
      <c r="D11610" s="3"/>
      <c r="E11610" s="3"/>
      <c r="F11610" s="3"/>
      <c r="G11610" s="3"/>
      <c r="H11610" s="11"/>
      <c r="I11610" s="12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  <c r="AA11610" s="3"/>
      <c r="AB11610" s="3"/>
      <c r="AC11610" s="3"/>
      <c r="AD11610" s="3"/>
      <c r="AE11610" s="3"/>
      <c r="AF11610" s="3"/>
      <c r="AG11610" s="3"/>
      <c r="AH11610" s="3"/>
    </row>
    <row r="11611" spans="1:34" ht="14.25" customHeight="1" x14ac:dyDescent="0.25">
      <c r="A11611" s="3"/>
      <c r="B11611" s="3"/>
      <c r="C11611" s="3"/>
      <c r="D11611" s="3"/>
      <c r="E11611" s="3"/>
      <c r="F11611" s="3"/>
      <c r="G11611" s="3"/>
      <c r="H11611" s="11"/>
      <c r="I11611" s="12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  <c r="AA11611" s="3"/>
      <c r="AB11611" s="3"/>
      <c r="AC11611" s="3"/>
      <c r="AD11611" s="3"/>
      <c r="AE11611" s="3"/>
      <c r="AF11611" s="3"/>
      <c r="AG11611" s="3"/>
      <c r="AH11611" s="3"/>
    </row>
    <row r="11612" spans="1:34" ht="14.25" customHeight="1" x14ac:dyDescent="0.25">
      <c r="A11612" s="3"/>
      <c r="B11612" s="3"/>
      <c r="C11612" s="3"/>
      <c r="D11612" s="3"/>
      <c r="E11612" s="3"/>
      <c r="F11612" s="3"/>
      <c r="G11612" s="3"/>
      <c r="H11612" s="11"/>
      <c r="I11612" s="12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  <c r="AA11612" s="3"/>
      <c r="AB11612" s="3"/>
      <c r="AC11612" s="3"/>
      <c r="AD11612" s="3"/>
      <c r="AE11612" s="3"/>
      <c r="AF11612" s="3"/>
      <c r="AG11612" s="3"/>
      <c r="AH11612" s="3"/>
    </row>
    <row r="11613" spans="1:34" ht="14.25" customHeight="1" x14ac:dyDescent="0.25">
      <c r="A11613" s="3"/>
      <c r="B11613" s="3"/>
      <c r="C11613" s="3"/>
      <c r="D11613" s="3"/>
      <c r="E11613" s="3"/>
      <c r="F11613" s="3"/>
      <c r="G11613" s="3"/>
      <c r="H11613" s="11"/>
      <c r="I11613" s="12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  <c r="AA11613" s="3"/>
      <c r="AB11613" s="3"/>
      <c r="AC11613" s="3"/>
      <c r="AD11613" s="3"/>
      <c r="AE11613" s="3"/>
      <c r="AF11613" s="3"/>
      <c r="AG11613" s="3"/>
      <c r="AH11613" s="3"/>
    </row>
    <row r="11614" spans="1:34" ht="14.25" customHeight="1" x14ac:dyDescent="0.25">
      <c r="A11614" s="3"/>
      <c r="B11614" s="3"/>
      <c r="C11614" s="3"/>
      <c r="D11614" s="3"/>
      <c r="E11614" s="3"/>
      <c r="F11614" s="3"/>
      <c r="G11614" s="3"/>
      <c r="H11614" s="11"/>
      <c r="I11614" s="12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  <c r="AA11614" s="3"/>
      <c r="AB11614" s="3"/>
      <c r="AC11614" s="3"/>
      <c r="AD11614" s="3"/>
      <c r="AE11614" s="3"/>
      <c r="AF11614" s="3"/>
      <c r="AG11614" s="3"/>
      <c r="AH11614" s="3"/>
    </row>
    <row r="11615" spans="1:34" ht="14.25" customHeight="1" x14ac:dyDescent="0.25">
      <c r="A11615" s="3"/>
      <c r="B11615" s="3"/>
      <c r="C11615" s="3"/>
      <c r="D11615" s="3"/>
      <c r="E11615" s="3"/>
      <c r="F11615" s="3"/>
      <c r="G11615" s="3"/>
      <c r="H11615" s="11"/>
      <c r="I11615" s="12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  <c r="AA11615" s="3"/>
      <c r="AB11615" s="3"/>
      <c r="AC11615" s="3"/>
      <c r="AD11615" s="3"/>
      <c r="AE11615" s="3"/>
      <c r="AF11615" s="3"/>
      <c r="AG11615" s="3"/>
      <c r="AH11615" s="3"/>
    </row>
    <row r="11616" spans="1:34" ht="14.25" customHeight="1" x14ac:dyDescent="0.25">
      <c r="A11616" s="3"/>
      <c r="B11616" s="3"/>
      <c r="C11616" s="3"/>
      <c r="D11616" s="3"/>
      <c r="E11616" s="3"/>
      <c r="F11616" s="3"/>
      <c r="G11616" s="3"/>
      <c r="H11616" s="11"/>
      <c r="I11616" s="12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  <c r="AA11616" s="3"/>
      <c r="AB11616" s="3"/>
      <c r="AC11616" s="3"/>
      <c r="AD11616" s="3"/>
      <c r="AE11616" s="3"/>
      <c r="AF11616" s="3"/>
      <c r="AG11616" s="3"/>
      <c r="AH11616" s="3"/>
    </row>
    <row r="11617" spans="1:34" ht="14.25" customHeight="1" x14ac:dyDescent="0.25">
      <c r="A11617" s="3"/>
      <c r="B11617" s="3"/>
      <c r="C11617" s="3"/>
      <c r="D11617" s="3"/>
      <c r="E11617" s="3"/>
      <c r="F11617" s="3"/>
      <c r="G11617" s="3"/>
      <c r="H11617" s="11"/>
      <c r="I11617" s="12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  <c r="AA11617" s="3"/>
      <c r="AB11617" s="3"/>
      <c r="AC11617" s="3"/>
      <c r="AD11617" s="3"/>
      <c r="AE11617" s="3"/>
      <c r="AF11617" s="3"/>
      <c r="AG11617" s="3"/>
      <c r="AH11617" s="3"/>
    </row>
    <row r="11618" spans="1:34" ht="14.25" customHeight="1" x14ac:dyDescent="0.25">
      <c r="A11618" s="3"/>
      <c r="B11618" s="3"/>
      <c r="C11618" s="3"/>
      <c r="D11618" s="3"/>
      <c r="E11618" s="3"/>
      <c r="F11618" s="3"/>
      <c r="G11618" s="3"/>
      <c r="H11618" s="11"/>
      <c r="I11618" s="12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  <c r="AA11618" s="3"/>
      <c r="AB11618" s="3"/>
      <c r="AC11618" s="3"/>
      <c r="AD11618" s="3"/>
      <c r="AE11618" s="3"/>
      <c r="AF11618" s="3"/>
      <c r="AG11618" s="3"/>
      <c r="AH11618" s="3"/>
    </row>
    <row r="11619" spans="1:34" ht="14.25" customHeight="1" x14ac:dyDescent="0.25">
      <c r="A11619" s="3"/>
      <c r="B11619" s="3"/>
      <c r="C11619" s="3"/>
      <c r="D11619" s="3"/>
      <c r="E11619" s="3"/>
      <c r="F11619" s="3"/>
      <c r="G11619" s="3"/>
      <c r="H11619" s="11"/>
      <c r="I11619" s="12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  <c r="AA11619" s="3"/>
      <c r="AB11619" s="3"/>
      <c r="AC11619" s="3"/>
      <c r="AD11619" s="3"/>
      <c r="AE11619" s="3"/>
      <c r="AF11619" s="3"/>
      <c r="AG11619" s="3"/>
      <c r="AH11619" s="3"/>
    </row>
    <row r="11620" spans="1:34" ht="14.25" customHeight="1" x14ac:dyDescent="0.25">
      <c r="A11620" s="3"/>
      <c r="B11620" s="3"/>
      <c r="C11620" s="3"/>
      <c r="D11620" s="3"/>
      <c r="E11620" s="3"/>
      <c r="F11620" s="3"/>
      <c r="G11620" s="3"/>
      <c r="H11620" s="11"/>
      <c r="I11620" s="12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  <c r="AA11620" s="3"/>
      <c r="AB11620" s="3"/>
      <c r="AC11620" s="3"/>
      <c r="AD11620" s="3"/>
      <c r="AE11620" s="3"/>
      <c r="AF11620" s="3"/>
      <c r="AG11620" s="3"/>
      <c r="AH11620" s="3"/>
    </row>
    <row r="11621" spans="1:34" ht="14.25" customHeight="1" x14ac:dyDescent="0.25">
      <c r="A11621" s="3"/>
      <c r="B11621" s="3"/>
      <c r="C11621" s="3"/>
      <c r="D11621" s="3"/>
      <c r="E11621" s="3"/>
      <c r="F11621" s="3"/>
      <c r="G11621" s="3"/>
      <c r="H11621" s="11"/>
      <c r="I11621" s="12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  <c r="AA11621" s="3"/>
      <c r="AB11621" s="3"/>
      <c r="AC11621" s="3"/>
      <c r="AD11621" s="3"/>
      <c r="AE11621" s="3"/>
      <c r="AF11621" s="3"/>
      <c r="AG11621" s="3"/>
      <c r="AH11621" s="3"/>
    </row>
    <row r="11622" spans="1:34" ht="14.25" customHeight="1" x14ac:dyDescent="0.25">
      <c r="A11622" s="3"/>
      <c r="B11622" s="3"/>
      <c r="C11622" s="3"/>
      <c r="D11622" s="3"/>
      <c r="E11622" s="3"/>
      <c r="F11622" s="3"/>
      <c r="G11622" s="3"/>
      <c r="H11622" s="11"/>
      <c r="I11622" s="12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  <c r="AA11622" s="3"/>
      <c r="AB11622" s="3"/>
      <c r="AC11622" s="3"/>
      <c r="AD11622" s="3"/>
      <c r="AE11622" s="3"/>
      <c r="AF11622" s="3"/>
      <c r="AG11622" s="3"/>
      <c r="AH11622" s="3"/>
    </row>
    <row r="11623" spans="1:34" ht="14.25" customHeight="1" x14ac:dyDescent="0.25">
      <c r="A11623" s="3"/>
      <c r="B11623" s="3"/>
      <c r="C11623" s="3"/>
      <c r="D11623" s="3"/>
      <c r="E11623" s="3"/>
      <c r="F11623" s="3"/>
      <c r="G11623" s="3"/>
      <c r="H11623" s="11"/>
      <c r="I11623" s="12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  <c r="AA11623" s="3"/>
      <c r="AB11623" s="3"/>
      <c r="AC11623" s="3"/>
      <c r="AD11623" s="3"/>
      <c r="AE11623" s="3"/>
      <c r="AF11623" s="3"/>
      <c r="AG11623" s="3"/>
      <c r="AH11623" s="3"/>
    </row>
    <row r="11624" spans="1:34" ht="14.25" customHeight="1" x14ac:dyDescent="0.25">
      <c r="A11624" s="3"/>
      <c r="B11624" s="3"/>
      <c r="C11624" s="3"/>
      <c r="D11624" s="3"/>
      <c r="E11624" s="3"/>
      <c r="F11624" s="3"/>
      <c r="G11624" s="3"/>
      <c r="H11624" s="11"/>
      <c r="I11624" s="12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  <c r="AA11624" s="3"/>
      <c r="AB11624" s="3"/>
      <c r="AC11624" s="3"/>
      <c r="AD11624" s="3"/>
      <c r="AE11624" s="3"/>
      <c r="AF11624" s="3"/>
      <c r="AG11624" s="3"/>
      <c r="AH11624" s="3"/>
    </row>
    <row r="11625" spans="1:34" ht="14.25" customHeight="1" x14ac:dyDescent="0.25">
      <c r="A11625" s="3"/>
      <c r="B11625" s="3"/>
      <c r="C11625" s="3"/>
      <c r="D11625" s="3"/>
      <c r="E11625" s="3"/>
      <c r="F11625" s="3"/>
      <c r="G11625" s="3"/>
      <c r="H11625" s="11"/>
      <c r="I11625" s="12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  <c r="AA11625" s="3"/>
      <c r="AB11625" s="3"/>
      <c r="AC11625" s="3"/>
      <c r="AD11625" s="3"/>
      <c r="AE11625" s="3"/>
      <c r="AF11625" s="3"/>
      <c r="AG11625" s="3"/>
      <c r="AH11625" s="3"/>
    </row>
    <row r="11626" spans="1:34" ht="14.25" customHeight="1" x14ac:dyDescent="0.25">
      <c r="A11626" s="3"/>
      <c r="B11626" s="3"/>
      <c r="C11626" s="3"/>
      <c r="D11626" s="3"/>
      <c r="E11626" s="3"/>
      <c r="F11626" s="3"/>
      <c r="G11626" s="3"/>
      <c r="H11626" s="11"/>
      <c r="I11626" s="12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  <c r="AA11626" s="3"/>
      <c r="AB11626" s="3"/>
      <c r="AC11626" s="3"/>
      <c r="AD11626" s="3"/>
      <c r="AE11626" s="3"/>
      <c r="AF11626" s="3"/>
      <c r="AG11626" s="3"/>
      <c r="AH11626" s="3"/>
    </row>
    <row r="11627" spans="1:34" ht="14.25" customHeight="1" x14ac:dyDescent="0.25">
      <c r="A11627" s="3"/>
      <c r="B11627" s="3"/>
      <c r="C11627" s="3"/>
      <c r="D11627" s="3"/>
      <c r="E11627" s="3"/>
      <c r="F11627" s="3"/>
      <c r="G11627" s="3"/>
      <c r="H11627" s="11"/>
      <c r="I11627" s="12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  <c r="AA11627" s="3"/>
      <c r="AB11627" s="3"/>
      <c r="AC11627" s="3"/>
      <c r="AD11627" s="3"/>
      <c r="AE11627" s="3"/>
      <c r="AF11627" s="3"/>
      <c r="AG11627" s="3"/>
      <c r="AH11627" s="3"/>
    </row>
    <row r="11628" spans="1:34" ht="14.25" customHeight="1" x14ac:dyDescent="0.25">
      <c r="A11628" s="3"/>
      <c r="B11628" s="3"/>
      <c r="C11628" s="3"/>
      <c r="D11628" s="3"/>
      <c r="E11628" s="3"/>
      <c r="F11628" s="3"/>
      <c r="G11628" s="3"/>
      <c r="H11628" s="11"/>
      <c r="I11628" s="12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  <c r="AA11628" s="3"/>
      <c r="AB11628" s="3"/>
      <c r="AC11628" s="3"/>
      <c r="AD11628" s="3"/>
      <c r="AE11628" s="3"/>
      <c r="AF11628" s="3"/>
      <c r="AG11628" s="3"/>
      <c r="AH11628" s="3"/>
    </row>
    <row r="11629" spans="1:34" ht="14.25" customHeight="1" x14ac:dyDescent="0.25">
      <c r="A11629" s="3"/>
      <c r="B11629" s="3"/>
      <c r="C11629" s="3"/>
      <c r="D11629" s="3"/>
      <c r="E11629" s="3"/>
      <c r="F11629" s="3"/>
      <c r="G11629" s="3"/>
      <c r="H11629" s="11"/>
      <c r="I11629" s="12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  <c r="AA11629" s="3"/>
      <c r="AB11629" s="3"/>
      <c r="AC11629" s="3"/>
      <c r="AD11629" s="3"/>
      <c r="AE11629" s="3"/>
      <c r="AF11629" s="3"/>
      <c r="AG11629" s="3"/>
      <c r="AH11629" s="3"/>
    </row>
    <row r="11630" spans="1:34" ht="14.25" customHeight="1" x14ac:dyDescent="0.25">
      <c r="A11630" s="3"/>
      <c r="B11630" s="3"/>
      <c r="C11630" s="3"/>
      <c r="D11630" s="3"/>
      <c r="E11630" s="3"/>
      <c r="F11630" s="3"/>
      <c r="G11630" s="3"/>
      <c r="H11630" s="11"/>
      <c r="I11630" s="12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  <c r="AA11630" s="3"/>
      <c r="AB11630" s="3"/>
      <c r="AC11630" s="3"/>
      <c r="AD11630" s="3"/>
      <c r="AE11630" s="3"/>
      <c r="AF11630" s="3"/>
      <c r="AG11630" s="3"/>
      <c r="AH11630" s="3"/>
    </row>
    <row r="11631" spans="1:34" ht="14.25" customHeight="1" x14ac:dyDescent="0.25">
      <c r="A11631" s="3"/>
      <c r="B11631" s="3"/>
      <c r="C11631" s="3"/>
      <c r="D11631" s="3"/>
      <c r="E11631" s="3"/>
      <c r="F11631" s="3"/>
      <c r="G11631" s="3"/>
      <c r="H11631" s="11"/>
      <c r="I11631" s="12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  <c r="AA11631" s="3"/>
      <c r="AB11631" s="3"/>
      <c r="AC11631" s="3"/>
      <c r="AD11631" s="3"/>
      <c r="AE11631" s="3"/>
      <c r="AF11631" s="3"/>
      <c r="AG11631" s="3"/>
      <c r="AH11631" s="3"/>
    </row>
    <row r="11632" spans="1:34" ht="14.25" customHeight="1" x14ac:dyDescent="0.25">
      <c r="A11632" s="3"/>
      <c r="B11632" s="3"/>
      <c r="C11632" s="3"/>
      <c r="D11632" s="3"/>
      <c r="E11632" s="3"/>
      <c r="F11632" s="3"/>
      <c r="G11632" s="3"/>
      <c r="H11632" s="11"/>
      <c r="I11632" s="12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  <c r="AA11632" s="3"/>
      <c r="AB11632" s="3"/>
      <c r="AC11632" s="3"/>
      <c r="AD11632" s="3"/>
      <c r="AE11632" s="3"/>
      <c r="AF11632" s="3"/>
      <c r="AG11632" s="3"/>
      <c r="AH11632" s="3"/>
    </row>
    <row r="11633" spans="1:34" ht="14.25" customHeight="1" x14ac:dyDescent="0.25">
      <c r="A11633" s="3"/>
      <c r="B11633" s="3"/>
      <c r="C11633" s="3"/>
      <c r="D11633" s="3"/>
      <c r="E11633" s="3"/>
      <c r="F11633" s="3"/>
      <c r="G11633" s="3"/>
      <c r="H11633" s="11"/>
      <c r="I11633" s="12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  <c r="AA11633" s="3"/>
      <c r="AB11633" s="3"/>
      <c r="AC11633" s="3"/>
      <c r="AD11633" s="3"/>
      <c r="AE11633" s="3"/>
      <c r="AF11633" s="3"/>
      <c r="AG11633" s="3"/>
      <c r="AH11633" s="3"/>
    </row>
    <row r="11634" spans="1:34" ht="14.25" customHeight="1" x14ac:dyDescent="0.25">
      <c r="A11634" s="3"/>
      <c r="B11634" s="3"/>
      <c r="C11634" s="3"/>
      <c r="D11634" s="3"/>
      <c r="E11634" s="3"/>
      <c r="F11634" s="3"/>
      <c r="G11634" s="3"/>
      <c r="H11634" s="11"/>
      <c r="I11634" s="12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  <c r="AA11634" s="3"/>
      <c r="AB11634" s="3"/>
      <c r="AC11634" s="3"/>
      <c r="AD11634" s="3"/>
      <c r="AE11634" s="3"/>
      <c r="AF11634" s="3"/>
      <c r="AG11634" s="3"/>
      <c r="AH11634" s="3"/>
    </row>
    <row r="11635" spans="1:34" ht="14.25" customHeight="1" x14ac:dyDescent="0.25">
      <c r="A11635" s="3"/>
      <c r="B11635" s="3"/>
      <c r="C11635" s="3"/>
      <c r="D11635" s="3"/>
      <c r="E11635" s="3"/>
      <c r="F11635" s="3"/>
      <c r="G11635" s="3"/>
      <c r="H11635" s="11"/>
      <c r="I11635" s="12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  <c r="AA11635" s="3"/>
      <c r="AB11635" s="3"/>
      <c r="AC11635" s="3"/>
      <c r="AD11635" s="3"/>
      <c r="AE11635" s="3"/>
      <c r="AF11635" s="3"/>
      <c r="AG11635" s="3"/>
      <c r="AH11635" s="3"/>
    </row>
    <row r="11636" spans="1:34" ht="14.25" customHeight="1" x14ac:dyDescent="0.25">
      <c r="A11636" s="3"/>
      <c r="B11636" s="3"/>
      <c r="C11636" s="3"/>
      <c r="D11636" s="3"/>
      <c r="E11636" s="3"/>
      <c r="F11636" s="3"/>
      <c r="G11636" s="3"/>
      <c r="H11636" s="11"/>
      <c r="I11636" s="12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  <c r="AA11636" s="3"/>
      <c r="AB11636" s="3"/>
      <c r="AC11636" s="3"/>
      <c r="AD11636" s="3"/>
      <c r="AE11636" s="3"/>
      <c r="AF11636" s="3"/>
      <c r="AG11636" s="3"/>
      <c r="AH11636" s="3"/>
    </row>
    <row r="11637" spans="1:34" ht="14.25" customHeight="1" x14ac:dyDescent="0.25">
      <c r="A11637" s="3"/>
      <c r="B11637" s="3"/>
      <c r="C11637" s="3"/>
      <c r="D11637" s="3"/>
      <c r="E11637" s="3"/>
      <c r="F11637" s="3"/>
      <c r="G11637" s="3"/>
      <c r="H11637" s="11"/>
      <c r="I11637" s="12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  <c r="AA11637" s="3"/>
      <c r="AB11637" s="3"/>
      <c r="AC11637" s="3"/>
      <c r="AD11637" s="3"/>
      <c r="AE11637" s="3"/>
      <c r="AF11637" s="3"/>
      <c r="AG11637" s="3"/>
      <c r="AH11637" s="3"/>
    </row>
    <row r="11638" spans="1:34" ht="14.25" customHeight="1" x14ac:dyDescent="0.25">
      <c r="A11638" s="3"/>
      <c r="B11638" s="3"/>
      <c r="C11638" s="3"/>
      <c r="D11638" s="3"/>
      <c r="E11638" s="3"/>
      <c r="F11638" s="3"/>
      <c r="G11638" s="3"/>
      <c r="H11638" s="11"/>
      <c r="I11638" s="12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  <c r="AA11638" s="3"/>
      <c r="AB11638" s="3"/>
      <c r="AC11638" s="3"/>
      <c r="AD11638" s="3"/>
      <c r="AE11638" s="3"/>
      <c r="AF11638" s="3"/>
      <c r="AG11638" s="3"/>
      <c r="AH11638" s="3"/>
    </row>
    <row r="11639" spans="1:34" ht="14.25" customHeight="1" x14ac:dyDescent="0.25">
      <c r="A11639" s="3"/>
      <c r="B11639" s="3"/>
      <c r="C11639" s="3"/>
      <c r="D11639" s="3"/>
      <c r="E11639" s="3"/>
      <c r="F11639" s="3"/>
      <c r="G11639" s="3"/>
      <c r="H11639" s="11"/>
      <c r="I11639" s="12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  <c r="AA11639" s="3"/>
      <c r="AB11639" s="3"/>
      <c r="AC11639" s="3"/>
      <c r="AD11639" s="3"/>
      <c r="AE11639" s="3"/>
      <c r="AF11639" s="3"/>
      <c r="AG11639" s="3"/>
      <c r="AH11639" s="3"/>
    </row>
    <row r="11640" spans="1:34" ht="14.25" customHeight="1" x14ac:dyDescent="0.25">
      <c r="A11640" s="3"/>
      <c r="B11640" s="3"/>
      <c r="C11640" s="3"/>
      <c r="D11640" s="3"/>
      <c r="E11640" s="3"/>
      <c r="F11640" s="3"/>
      <c r="G11640" s="3"/>
      <c r="H11640" s="11"/>
      <c r="I11640" s="12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  <c r="AA11640" s="3"/>
      <c r="AB11640" s="3"/>
      <c r="AC11640" s="3"/>
      <c r="AD11640" s="3"/>
      <c r="AE11640" s="3"/>
      <c r="AF11640" s="3"/>
      <c r="AG11640" s="3"/>
      <c r="AH11640" s="3"/>
    </row>
    <row r="11641" spans="1:34" ht="14.25" customHeight="1" x14ac:dyDescent="0.25">
      <c r="A11641" s="3"/>
      <c r="B11641" s="3"/>
      <c r="C11641" s="3"/>
      <c r="D11641" s="3"/>
      <c r="E11641" s="3"/>
      <c r="F11641" s="3"/>
      <c r="G11641" s="3"/>
      <c r="H11641" s="11"/>
      <c r="I11641" s="12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  <c r="AA11641" s="3"/>
      <c r="AB11641" s="3"/>
      <c r="AC11641" s="3"/>
      <c r="AD11641" s="3"/>
      <c r="AE11641" s="3"/>
      <c r="AF11641" s="3"/>
      <c r="AG11641" s="3"/>
      <c r="AH11641" s="3"/>
    </row>
    <row r="11642" spans="1:34" ht="14.25" customHeight="1" x14ac:dyDescent="0.25">
      <c r="A11642" s="3"/>
      <c r="B11642" s="3"/>
      <c r="C11642" s="3"/>
      <c r="D11642" s="3"/>
      <c r="E11642" s="3"/>
      <c r="F11642" s="3"/>
      <c r="G11642" s="3"/>
      <c r="H11642" s="11"/>
      <c r="I11642" s="12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  <c r="AA11642" s="3"/>
      <c r="AB11642" s="3"/>
      <c r="AC11642" s="3"/>
      <c r="AD11642" s="3"/>
      <c r="AE11642" s="3"/>
      <c r="AF11642" s="3"/>
      <c r="AG11642" s="3"/>
      <c r="AH11642" s="3"/>
    </row>
    <row r="11643" spans="1:34" ht="14.25" customHeight="1" x14ac:dyDescent="0.25">
      <c r="A11643" s="3"/>
      <c r="B11643" s="3"/>
      <c r="C11643" s="3"/>
      <c r="D11643" s="3"/>
      <c r="E11643" s="3"/>
      <c r="F11643" s="3"/>
      <c r="G11643" s="3"/>
      <c r="H11643" s="11"/>
      <c r="I11643" s="12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  <c r="AA11643" s="3"/>
      <c r="AB11643" s="3"/>
      <c r="AC11643" s="3"/>
      <c r="AD11643" s="3"/>
      <c r="AE11643" s="3"/>
      <c r="AF11643" s="3"/>
      <c r="AG11643" s="3"/>
      <c r="AH11643" s="3"/>
    </row>
    <row r="11644" spans="1:34" ht="14.25" customHeight="1" x14ac:dyDescent="0.25">
      <c r="A11644" s="3"/>
      <c r="B11644" s="3"/>
      <c r="C11644" s="3"/>
      <c r="D11644" s="3"/>
      <c r="E11644" s="3"/>
      <c r="F11644" s="3"/>
      <c r="G11644" s="3"/>
      <c r="H11644" s="11"/>
      <c r="I11644" s="12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  <c r="AA11644" s="3"/>
      <c r="AB11644" s="3"/>
      <c r="AC11644" s="3"/>
      <c r="AD11644" s="3"/>
      <c r="AE11644" s="3"/>
      <c r="AF11644" s="3"/>
      <c r="AG11644" s="3"/>
      <c r="AH11644" s="3"/>
    </row>
    <row r="11645" spans="1:34" ht="14.25" customHeight="1" x14ac:dyDescent="0.25">
      <c r="A11645" s="3"/>
      <c r="B11645" s="3"/>
      <c r="C11645" s="3"/>
      <c r="D11645" s="3"/>
      <c r="E11645" s="3"/>
      <c r="F11645" s="3"/>
      <c r="G11645" s="3"/>
      <c r="H11645" s="11"/>
      <c r="I11645" s="12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  <c r="AA11645" s="3"/>
      <c r="AB11645" s="3"/>
      <c r="AC11645" s="3"/>
      <c r="AD11645" s="3"/>
      <c r="AE11645" s="3"/>
      <c r="AF11645" s="3"/>
      <c r="AG11645" s="3"/>
      <c r="AH11645" s="3"/>
    </row>
    <row r="11646" spans="1:34" ht="14.25" customHeight="1" x14ac:dyDescent="0.25">
      <c r="A11646" s="3"/>
      <c r="B11646" s="3"/>
      <c r="C11646" s="3"/>
      <c r="D11646" s="3"/>
      <c r="E11646" s="3"/>
      <c r="F11646" s="3"/>
      <c r="G11646" s="3"/>
      <c r="H11646" s="11"/>
      <c r="I11646" s="12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  <c r="AA11646" s="3"/>
      <c r="AB11646" s="3"/>
      <c r="AC11646" s="3"/>
      <c r="AD11646" s="3"/>
      <c r="AE11646" s="3"/>
      <c r="AF11646" s="3"/>
      <c r="AG11646" s="3"/>
      <c r="AH11646" s="3"/>
    </row>
    <row r="11647" spans="1:34" ht="14.25" customHeight="1" x14ac:dyDescent="0.25">
      <c r="A11647" s="3"/>
      <c r="B11647" s="3"/>
      <c r="C11647" s="3"/>
      <c r="D11647" s="3"/>
      <c r="E11647" s="3"/>
      <c r="F11647" s="3"/>
      <c r="G11647" s="3"/>
      <c r="H11647" s="11"/>
      <c r="I11647" s="12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  <c r="AA11647" s="3"/>
      <c r="AB11647" s="3"/>
      <c r="AC11647" s="3"/>
      <c r="AD11647" s="3"/>
      <c r="AE11647" s="3"/>
      <c r="AF11647" s="3"/>
      <c r="AG11647" s="3"/>
      <c r="AH11647" s="3"/>
    </row>
    <row r="11648" spans="1:34" ht="14.25" customHeight="1" x14ac:dyDescent="0.25">
      <c r="A11648" s="3"/>
      <c r="B11648" s="3"/>
      <c r="C11648" s="3"/>
      <c r="D11648" s="3"/>
      <c r="E11648" s="3"/>
      <c r="F11648" s="3"/>
      <c r="G11648" s="3"/>
      <c r="H11648" s="11"/>
      <c r="I11648" s="12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  <c r="AA11648" s="3"/>
      <c r="AB11648" s="3"/>
      <c r="AC11648" s="3"/>
      <c r="AD11648" s="3"/>
      <c r="AE11648" s="3"/>
      <c r="AF11648" s="3"/>
      <c r="AG11648" s="3"/>
      <c r="AH11648" s="3"/>
    </row>
    <row r="11649" spans="1:34" ht="14.25" customHeight="1" x14ac:dyDescent="0.25">
      <c r="A11649" s="3"/>
      <c r="B11649" s="3"/>
      <c r="C11649" s="3"/>
      <c r="D11649" s="3"/>
      <c r="E11649" s="3"/>
      <c r="F11649" s="3"/>
      <c r="G11649" s="3"/>
      <c r="H11649" s="11"/>
      <c r="I11649" s="12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  <c r="AA11649" s="3"/>
      <c r="AB11649" s="3"/>
      <c r="AC11649" s="3"/>
      <c r="AD11649" s="3"/>
      <c r="AE11649" s="3"/>
      <c r="AF11649" s="3"/>
      <c r="AG11649" s="3"/>
      <c r="AH11649" s="3"/>
    </row>
    <row r="11650" spans="1:34" ht="14.25" customHeight="1" x14ac:dyDescent="0.25">
      <c r="A11650" s="3"/>
      <c r="B11650" s="3"/>
      <c r="C11650" s="3"/>
      <c r="D11650" s="3"/>
      <c r="E11650" s="3"/>
      <c r="F11650" s="3"/>
      <c r="G11650" s="3"/>
      <c r="H11650" s="11"/>
      <c r="I11650" s="12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  <c r="AA11650" s="3"/>
      <c r="AB11650" s="3"/>
      <c r="AC11650" s="3"/>
      <c r="AD11650" s="3"/>
      <c r="AE11650" s="3"/>
      <c r="AF11650" s="3"/>
      <c r="AG11650" s="3"/>
      <c r="AH11650" s="3"/>
    </row>
    <row r="11651" spans="1:34" ht="14.25" customHeight="1" x14ac:dyDescent="0.25">
      <c r="A11651" s="3"/>
      <c r="B11651" s="3"/>
      <c r="C11651" s="3"/>
      <c r="D11651" s="3"/>
      <c r="E11651" s="3"/>
      <c r="F11651" s="3"/>
      <c r="G11651" s="3"/>
      <c r="H11651" s="11"/>
      <c r="I11651" s="12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  <c r="AA11651" s="3"/>
      <c r="AB11651" s="3"/>
      <c r="AC11651" s="3"/>
      <c r="AD11651" s="3"/>
      <c r="AE11651" s="3"/>
      <c r="AF11651" s="3"/>
      <c r="AG11651" s="3"/>
      <c r="AH11651" s="3"/>
    </row>
    <row r="11652" spans="1:34" ht="14.25" customHeight="1" x14ac:dyDescent="0.25">
      <c r="A11652" s="3"/>
      <c r="B11652" s="3"/>
      <c r="C11652" s="3"/>
      <c r="D11652" s="3"/>
      <c r="E11652" s="3"/>
      <c r="F11652" s="3"/>
      <c r="G11652" s="3"/>
      <c r="H11652" s="11"/>
      <c r="I11652" s="12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  <c r="AA11652" s="3"/>
      <c r="AB11652" s="3"/>
      <c r="AC11652" s="3"/>
      <c r="AD11652" s="3"/>
      <c r="AE11652" s="3"/>
      <c r="AF11652" s="3"/>
      <c r="AG11652" s="3"/>
      <c r="AH11652" s="3"/>
    </row>
    <row r="11653" spans="1:34" ht="14.25" customHeight="1" x14ac:dyDescent="0.25">
      <c r="A11653" s="3"/>
      <c r="B11653" s="3"/>
      <c r="C11653" s="3"/>
      <c r="D11653" s="3"/>
      <c r="E11653" s="3"/>
      <c r="F11653" s="3"/>
      <c r="G11653" s="3"/>
      <c r="H11653" s="11"/>
      <c r="I11653" s="12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  <c r="AA11653" s="3"/>
      <c r="AB11653" s="3"/>
      <c r="AC11653" s="3"/>
      <c r="AD11653" s="3"/>
      <c r="AE11653" s="3"/>
      <c r="AF11653" s="3"/>
      <c r="AG11653" s="3"/>
      <c r="AH11653" s="3"/>
    </row>
    <row r="11654" spans="1:34" ht="14.25" customHeight="1" x14ac:dyDescent="0.25">
      <c r="A11654" s="3"/>
      <c r="B11654" s="3"/>
      <c r="C11654" s="3"/>
      <c r="D11654" s="3"/>
      <c r="E11654" s="3"/>
      <c r="F11654" s="3"/>
      <c r="G11654" s="3"/>
      <c r="H11654" s="11"/>
      <c r="I11654" s="12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  <c r="AA11654" s="3"/>
      <c r="AB11654" s="3"/>
      <c r="AC11654" s="3"/>
      <c r="AD11654" s="3"/>
      <c r="AE11654" s="3"/>
      <c r="AF11654" s="3"/>
      <c r="AG11654" s="3"/>
      <c r="AH11654" s="3"/>
    </row>
    <row r="11655" spans="1:34" ht="14.25" customHeight="1" x14ac:dyDescent="0.25">
      <c r="A11655" s="3"/>
      <c r="B11655" s="3"/>
      <c r="C11655" s="3"/>
      <c r="D11655" s="3"/>
      <c r="E11655" s="3"/>
      <c r="F11655" s="3"/>
      <c r="G11655" s="3"/>
      <c r="H11655" s="11"/>
      <c r="I11655" s="12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  <c r="AA11655" s="3"/>
      <c r="AB11655" s="3"/>
      <c r="AC11655" s="3"/>
      <c r="AD11655" s="3"/>
      <c r="AE11655" s="3"/>
      <c r="AF11655" s="3"/>
      <c r="AG11655" s="3"/>
      <c r="AH11655" s="3"/>
    </row>
    <row r="11656" spans="1:34" ht="14.25" customHeight="1" x14ac:dyDescent="0.25">
      <c r="A11656" s="3"/>
      <c r="B11656" s="3"/>
      <c r="C11656" s="3"/>
      <c r="D11656" s="3"/>
      <c r="E11656" s="3"/>
      <c r="F11656" s="3"/>
      <c r="G11656" s="3"/>
      <c r="H11656" s="11"/>
      <c r="I11656" s="12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  <c r="AA11656" s="3"/>
      <c r="AB11656" s="3"/>
      <c r="AC11656" s="3"/>
      <c r="AD11656" s="3"/>
      <c r="AE11656" s="3"/>
      <c r="AF11656" s="3"/>
      <c r="AG11656" s="3"/>
      <c r="AH11656" s="3"/>
    </row>
    <row r="11657" spans="1:34" ht="14.25" customHeight="1" x14ac:dyDescent="0.25">
      <c r="A11657" s="3"/>
      <c r="B11657" s="3"/>
      <c r="C11657" s="3"/>
      <c r="D11657" s="3"/>
      <c r="E11657" s="3"/>
      <c r="F11657" s="3"/>
      <c r="G11657" s="3"/>
      <c r="H11657" s="11"/>
      <c r="I11657" s="12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  <c r="AA11657" s="3"/>
      <c r="AB11657" s="3"/>
      <c r="AC11657" s="3"/>
      <c r="AD11657" s="3"/>
      <c r="AE11657" s="3"/>
      <c r="AF11657" s="3"/>
      <c r="AG11657" s="3"/>
      <c r="AH11657" s="3"/>
    </row>
    <row r="11658" spans="1:34" ht="14.25" customHeight="1" x14ac:dyDescent="0.25">
      <c r="A11658" s="3"/>
      <c r="B11658" s="3"/>
      <c r="C11658" s="3"/>
      <c r="D11658" s="3"/>
      <c r="E11658" s="3"/>
      <c r="F11658" s="3"/>
      <c r="G11658" s="3"/>
      <c r="H11658" s="11"/>
      <c r="I11658" s="12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  <c r="AA11658" s="3"/>
      <c r="AB11658" s="3"/>
      <c r="AC11658" s="3"/>
      <c r="AD11658" s="3"/>
      <c r="AE11658" s="3"/>
      <c r="AF11658" s="3"/>
      <c r="AG11658" s="3"/>
      <c r="AH11658" s="3"/>
    </row>
    <row r="11659" spans="1:34" ht="14.25" customHeight="1" x14ac:dyDescent="0.25">
      <c r="A11659" s="3"/>
      <c r="B11659" s="3"/>
      <c r="C11659" s="3"/>
      <c r="D11659" s="3"/>
      <c r="E11659" s="3"/>
      <c r="F11659" s="3"/>
      <c r="G11659" s="3"/>
      <c r="H11659" s="11"/>
      <c r="I11659" s="12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  <c r="AA11659" s="3"/>
      <c r="AB11659" s="3"/>
      <c r="AC11659" s="3"/>
      <c r="AD11659" s="3"/>
      <c r="AE11659" s="3"/>
      <c r="AF11659" s="3"/>
      <c r="AG11659" s="3"/>
      <c r="AH11659" s="3"/>
    </row>
    <row r="11660" spans="1:34" ht="14.25" customHeight="1" x14ac:dyDescent="0.25">
      <c r="A11660" s="3"/>
      <c r="B11660" s="3"/>
      <c r="C11660" s="3"/>
      <c r="D11660" s="3"/>
      <c r="E11660" s="3"/>
      <c r="F11660" s="3"/>
      <c r="G11660" s="3"/>
      <c r="H11660" s="11"/>
      <c r="I11660" s="12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  <c r="AA11660" s="3"/>
      <c r="AB11660" s="3"/>
      <c r="AC11660" s="3"/>
      <c r="AD11660" s="3"/>
      <c r="AE11660" s="3"/>
      <c r="AF11660" s="3"/>
      <c r="AG11660" s="3"/>
      <c r="AH11660" s="3"/>
    </row>
    <row r="11661" spans="1:34" ht="14.25" customHeight="1" x14ac:dyDescent="0.25">
      <c r="A11661" s="3"/>
      <c r="B11661" s="3"/>
      <c r="C11661" s="3"/>
      <c r="D11661" s="3"/>
      <c r="E11661" s="3"/>
      <c r="F11661" s="3"/>
      <c r="G11661" s="3"/>
      <c r="H11661" s="11"/>
      <c r="I11661" s="12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  <c r="AA11661" s="3"/>
      <c r="AB11661" s="3"/>
      <c r="AC11661" s="3"/>
      <c r="AD11661" s="3"/>
      <c r="AE11661" s="3"/>
      <c r="AF11661" s="3"/>
      <c r="AG11661" s="3"/>
      <c r="AH11661" s="3"/>
    </row>
    <row r="11662" spans="1:34" ht="14.25" customHeight="1" x14ac:dyDescent="0.25">
      <c r="A11662" s="3"/>
      <c r="B11662" s="3"/>
      <c r="C11662" s="3"/>
      <c r="D11662" s="3"/>
      <c r="E11662" s="3"/>
      <c r="F11662" s="3"/>
      <c r="G11662" s="3"/>
      <c r="H11662" s="11"/>
      <c r="I11662" s="12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  <c r="AA11662" s="3"/>
      <c r="AB11662" s="3"/>
      <c r="AC11662" s="3"/>
      <c r="AD11662" s="3"/>
      <c r="AE11662" s="3"/>
      <c r="AF11662" s="3"/>
      <c r="AG11662" s="3"/>
      <c r="AH11662" s="3"/>
    </row>
    <row r="11663" spans="1:34" ht="14.25" customHeight="1" x14ac:dyDescent="0.25">
      <c r="A11663" s="3"/>
      <c r="B11663" s="3"/>
      <c r="C11663" s="3"/>
      <c r="D11663" s="3"/>
      <c r="E11663" s="3"/>
      <c r="F11663" s="3"/>
      <c r="G11663" s="3"/>
      <c r="H11663" s="11"/>
      <c r="I11663" s="12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  <c r="AA11663" s="3"/>
      <c r="AB11663" s="3"/>
      <c r="AC11663" s="3"/>
      <c r="AD11663" s="3"/>
      <c r="AE11663" s="3"/>
      <c r="AF11663" s="3"/>
      <c r="AG11663" s="3"/>
      <c r="AH11663" s="3"/>
    </row>
    <row r="11664" spans="1:34" ht="14.25" customHeight="1" x14ac:dyDescent="0.25">
      <c r="A11664" s="3"/>
      <c r="B11664" s="3"/>
      <c r="C11664" s="3"/>
      <c r="D11664" s="3"/>
      <c r="E11664" s="3"/>
      <c r="F11664" s="3"/>
      <c r="G11664" s="3"/>
      <c r="H11664" s="11"/>
      <c r="I11664" s="12"/>
      <c r="J11664" s="15"/>
      <c r="K11664" s="15"/>
      <c r="L11664" s="15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15"/>
      <c r="Z11664" s="15"/>
      <c r="AA11664" s="3"/>
      <c r="AB11664" s="15"/>
      <c r="AC11664" s="3"/>
      <c r="AD11664" s="3"/>
      <c r="AE11664" s="3"/>
      <c r="AF11664" s="3"/>
      <c r="AG11664" s="3"/>
      <c r="AH11664" s="3"/>
    </row>
    <row r="11665" spans="1:34" ht="14.25" customHeight="1" x14ac:dyDescent="0.25">
      <c r="A11665" s="3"/>
      <c r="B11665" s="3"/>
      <c r="C11665" s="3"/>
      <c r="D11665" s="3"/>
      <c r="E11665" s="3"/>
      <c r="F11665" s="3"/>
      <c r="G11665" s="3"/>
      <c r="H11665" s="11"/>
      <c r="I11665" s="12"/>
      <c r="J11665" s="15"/>
      <c r="K11665" s="15"/>
      <c r="L11665" s="15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15"/>
      <c r="Z11665" s="15"/>
      <c r="AA11665" s="3"/>
      <c r="AB11665" s="15"/>
      <c r="AC11665" s="3"/>
      <c r="AD11665" s="3"/>
      <c r="AE11665" s="3"/>
      <c r="AF11665" s="3"/>
      <c r="AG11665" s="3"/>
      <c r="AH11665" s="3"/>
    </row>
    <row r="11666" spans="1:34" ht="14.25" customHeight="1" x14ac:dyDescent="0.25">
      <c r="A11666" s="3"/>
      <c r="B11666" s="3"/>
      <c r="C11666" s="3"/>
      <c r="D11666" s="3"/>
      <c r="E11666" s="3"/>
      <c r="F11666" s="3"/>
      <c r="G11666" s="3"/>
      <c r="H11666" s="11"/>
      <c r="I11666" s="12"/>
      <c r="J11666" s="15"/>
      <c r="K11666" s="15"/>
      <c r="L11666" s="15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15"/>
      <c r="Z11666" s="15"/>
      <c r="AA11666" s="3"/>
      <c r="AB11666" s="15"/>
      <c r="AC11666" s="3"/>
      <c r="AD11666" s="3"/>
      <c r="AE11666" s="3"/>
      <c r="AF11666" s="3"/>
      <c r="AG11666" s="3"/>
      <c r="AH11666" s="3"/>
    </row>
    <row r="11667" spans="1:34" ht="14.25" customHeight="1" x14ac:dyDescent="0.25">
      <c r="A11667" s="3"/>
      <c r="B11667" s="3"/>
      <c r="C11667" s="3"/>
      <c r="D11667" s="3"/>
      <c r="E11667" s="3"/>
      <c r="F11667" s="3"/>
      <c r="G11667" s="3"/>
      <c r="H11667" s="11"/>
      <c r="I11667" s="12"/>
      <c r="J11667" s="15"/>
      <c r="K11667" s="15"/>
      <c r="L11667" s="15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15"/>
      <c r="Z11667" s="15"/>
      <c r="AA11667" s="3"/>
      <c r="AB11667" s="15"/>
      <c r="AC11667" s="3"/>
      <c r="AD11667" s="3"/>
      <c r="AE11667" s="3"/>
      <c r="AF11667" s="3"/>
      <c r="AG11667" s="3"/>
      <c r="AH11667" s="3"/>
    </row>
    <row r="11668" spans="1:34" ht="14.25" customHeight="1" x14ac:dyDescent="0.25">
      <c r="A11668" s="3"/>
      <c r="B11668" s="3"/>
      <c r="C11668" s="3"/>
      <c r="D11668" s="3"/>
      <c r="E11668" s="3"/>
      <c r="F11668" s="3"/>
      <c r="G11668" s="3"/>
      <c r="H11668" s="11"/>
      <c r="I11668" s="12"/>
      <c r="J11668" s="15"/>
      <c r="K11668" s="15"/>
      <c r="L11668" s="15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15"/>
      <c r="Z11668" s="15"/>
      <c r="AA11668" s="3"/>
      <c r="AB11668" s="15"/>
      <c r="AC11668" s="3"/>
      <c r="AD11668" s="3"/>
      <c r="AE11668" s="3"/>
      <c r="AF11668" s="3"/>
      <c r="AG11668" s="3"/>
      <c r="AH11668" s="3"/>
    </row>
    <row r="11669" spans="1:34" ht="14.25" customHeight="1" x14ac:dyDescent="0.25">
      <c r="A11669" s="3"/>
      <c r="B11669" s="3"/>
      <c r="C11669" s="3"/>
      <c r="D11669" s="3"/>
      <c r="E11669" s="3"/>
      <c r="F11669" s="3"/>
      <c r="G11669" s="3"/>
      <c r="H11669" s="11"/>
      <c r="I11669" s="12"/>
      <c r="J11669" s="15"/>
      <c r="K11669" s="15"/>
      <c r="L11669" s="15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15"/>
      <c r="Z11669" s="15"/>
      <c r="AA11669" s="3"/>
      <c r="AB11669" s="15"/>
      <c r="AC11669" s="3"/>
      <c r="AD11669" s="3"/>
      <c r="AE11669" s="3"/>
      <c r="AF11669" s="3"/>
      <c r="AG11669" s="3"/>
      <c r="AH11669" s="3"/>
    </row>
    <row r="11670" spans="1:34" ht="14.25" customHeight="1" x14ac:dyDescent="0.25">
      <c r="A11670" s="15"/>
      <c r="B11670" s="15"/>
      <c r="C11670" s="15"/>
      <c r="D11670" s="15"/>
      <c r="E11670" s="15"/>
      <c r="F11670" s="15"/>
      <c r="G11670" s="3"/>
      <c r="H11670" s="11"/>
      <c r="I11670" s="12"/>
      <c r="J11670" s="15"/>
      <c r="K11670" s="15"/>
      <c r="L11670" s="15"/>
      <c r="M11670" s="15"/>
      <c r="N11670" s="15"/>
      <c r="O11670" s="3"/>
      <c r="P11670" s="15"/>
      <c r="Q11670" s="15"/>
      <c r="R11670" s="15"/>
      <c r="S11670" s="15"/>
      <c r="T11670" s="15"/>
      <c r="U11670" s="3"/>
      <c r="V11670" s="3"/>
      <c r="W11670" s="3"/>
      <c r="X11670" s="3"/>
      <c r="Y11670" s="15"/>
      <c r="Z11670" s="15"/>
      <c r="AA11670" s="15"/>
      <c r="AB11670" s="15"/>
      <c r="AC11670" s="3"/>
      <c r="AD11670" s="3"/>
      <c r="AE11670" s="3"/>
      <c r="AF11670" s="3"/>
      <c r="AG11670" s="3"/>
      <c r="AH11670" s="3"/>
    </row>
    <row r="11671" spans="1:34" ht="14.25" customHeight="1" x14ac:dyDescent="0.25">
      <c r="A11671" s="15"/>
      <c r="B11671" s="15"/>
      <c r="C11671" s="15"/>
      <c r="D11671" s="15"/>
      <c r="E11671" s="15"/>
      <c r="F11671" s="15"/>
      <c r="G11671" s="3"/>
      <c r="H11671" s="11"/>
      <c r="I11671" s="12"/>
      <c r="J11671" s="15"/>
      <c r="K11671" s="15"/>
      <c r="L11671" s="15"/>
      <c r="M11671" s="15"/>
      <c r="N11671" s="15"/>
      <c r="O11671" s="3"/>
      <c r="P11671" s="15"/>
      <c r="Q11671" s="15"/>
      <c r="R11671" s="15"/>
      <c r="S11671" s="15"/>
      <c r="T11671" s="15"/>
      <c r="U11671" s="3"/>
      <c r="V11671" s="3"/>
      <c r="W11671" s="3"/>
      <c r="X11671" s="3"/>
      <c r="Y11671" s="15"/>
      <c r="Z11671" s="15"/>
      <c r="AA11671" s="15"/>
      <c r="AB11671" s="15"/>
      <c r="AC11671" s="3"/>
      <c r="AD11671" s="3"/>
      <c r="AE11671" s="3"/>
      <c r="AF11671" s="3"/>
      <c r="AG11671" s="3"/>
      <c r="AH11671" s="3"/>
    </row>
    <row r="11672" spans="1:34" ht="14.25" customHeight="1" x14ac:dyDescent="0.25">
      <c r="A11672" s="15"/>
      <c r="B11672" s="15"/>
      <c r="C11672" s="15"/>
      <c r="D11672" s="15"/>
      <c r="E11672" s="15"/>
      <c r="F11672" s="15"/>
      <c r="G11672" s="3"/>
      <c r="H11672" s="11"/>
      <c r="I11672" s="12"/>
      <c r="J11672" s="15"/>
      <c r="K11672" s="15"/>
      <c r="L11672" s="15"/>
      <c r="M11672" s="15"/>
      <c r="N11672" s="15"/>
      <c r="O11672" s="3"/>
      <c r="P11672" s="15"/>
      <c r="Q11672" s="15"/>
      <c r="R11672" s="15"/>
      <c r="S11672" s="15"/>
      <c r="T11672" s="15"/>
      <c r="U11672" s="3"/>
      <c r="V11672" s="3"/>
      <c r="W11672" s="3"/>
      <c r="X11672" s="3"/>
      <c r="Y11672" s="15"/>
      <c r="Z11672" s="15"/>
      <c r="AA11672" s="15"/>
      <c r="AB11672" s="15"/>
      <c r="AC11672" s="3"/>
      <c r="AD11672" s="3"/>
      <c r="AE11672" s="3"/>
      <c r="AF11672" s="3"/>
      <c r="AG11672" s="3"/>
      <c r="AH11672" s="3"/>
    </row>
    <row r="11673" spans="1:34" ht="14.25" customHeight="1" x14ac:dyDescent="0.25">
      <c r="A11673" s="15"/>
      <c r="B11673" s="15"/>
      <c r="C11673" s="15"/>
      <c r="D11673" s="15"/>
      <c r="E11673" s="15"/>
      <c r="F11673" s="15"/>
      <c r="G11673" s="3"/>
      <c r="H11673" s="11"/>
      <c r="I11673" s="12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  <c r="AA11673" s="15"/>
      <c r="AB11673" s="3"/>
      <c r="AC11673" s="3"/>
      <c r="AD11673" s="3"/>
      <c r="AE11673" s="3"/>
      <c r="AF11673" s="3"/>
      <c r="AG11673" s="3"/>
      <c r="AH11673" s="3"/>
    </row>
    <row r="11674" spans="1:34" ht="14.25" customHeight="1" x14ac:dyDescent="0.25">
      <c r="A11674" s="15"/>
      <c r="B11674" s="15"/>
      <c r="C11674" s="15"/>
      <c r="D11674" s="15"/>
      <c r="E11674" s="15"/>
      <c r="F11674" s="15"/>
      <c r="G11674" s="3"/>
      <c r="H11674" s="11"/>
      <c r="I11674" s="12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  <c r="AA11674" s="15"/>
      <c r="AB11674" s="3"/>
      <c r="AC11674" s="3"/>
      <c r="AD11674" s="3"/>
      <c r="AE11674" s="3"/>
      <c r="AF11674" s="3"/>
      <c r="AG11674" s="3"/>
      <c r="AH11674" s="3"/>
    </row>
    <row r="11675" spans="1:34" ht="14.25" customHeight="1" x14ac:dyDescent="0.25">
      <c r="A11675" s="15"/>
      <c r="B11675" s="15"/>
      <c r="C11675" s="15"/>
      <c r="D11675" s="15"/>
      <c r="E11675" s="15"/>
      <c r="F11675" s="15"/>
      <c r="G11675" s="3"/>
      <c r="H11675" s="11"/>
      <c r="I11675" s="12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  <c r="AA11675" s="15"/>
      <c r="AB11675" s="3"/>
      <c r="AC11675" s="3"/>
      <c r="AD11675" s="3"/>
      <c r="AE11675" s="3"/>
      <c r="AF11675" s="3"/>
      <c r="AG11675" s="3"/>
      <c r="AH11675" s="3"/>
    </row>
    <row r="11676" spans="1:34" ht="14.25" customHeight="1" x14ac:dyDescent="0.25">
      <c r="A11676" s="15"/>
      <c r="B11676" s="15"/>
      <c r="C11676" s="15"/>
      <c r="D11676" s="15"/>
      <c r="E11676" s="15"/>
      <c r="F11676" s="15"/>
      <c r="G11676" s="3"/>
      <c r="H11676" s="11"/>
      <c r="I11676" s="12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  <c r="AA11676" s="15"/>
      <c r="AB11676" s="3"/>
      <c r="AC11676" s="3"/>
      <c r="AD11676" s="3"/>
      <c r="AE11676" s="3"/>
      <c r="AF11676" s="3"/>
      <c r="AG11676" s="3"/>
      <c r="AH11676" s="3"/>
    </row>
    <row r="11677" spans="1:34" ht="14.25" customHeight="1" x14ac:dyDescent="0.25">
      <c r="A11677" s="15"/>
      <c r="B11677" s="15"/>
      <c r="C11677" s="15"/>
      <c r="D11677" s="15"/>
      <c r="E11677" s="15"/>
      <c r="F11677" s="15"/>
      <c r="G11677" s="3"/>
      <c r="H11677" s="11"/>
      <c r="I11677" s="12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  <c r="AA11677" s="15"/>
      <c r="AB11677" s="3"/>
      <c r="AC11677" s="3"/>
      <c r="AD11677" s="3"/>
      <c r="AE11677" s="3"/>
      <c r="AF11677" s="3"/>
      <c r="AG11677" s="3"/>
      <c r="AH11677" s="3"/>
    </row>
    <row r="11678" spans="1:34" ht="14.25" customHeight="1" x14ac:dyDescent="0.25">
      <c r="A11678" s="15"/>
      <c r="B11678" s="15"/>
      <c r="C11678" s="15"/>
      <c r="D11678" s="15"/>
      <c r="E11678" s="15"/>
      <c r="F11678" s="15"/>
      <c r="G11678" s="3"/>
      <c r="H11678" s="11"/>
      <c r="I11678" s="12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  <c r="AA11678" s="15"/>
      <c r="AB11678" s="3"/>
      <c r="AC11678" s="3"/>
      <c r="AD11678" s="3"/>
      <c r="AE11678" s="3"/>
      <c r="AF11678" s="3"/>
      <c r="AG11678" s="3"/>
      <c r="AH11678" s="3"/>
    </row>
    <row r="11679" spans="1:34" ht="14.25" customHeight="1" x14ac:dyDescent="0.25">
      <c r="A11679" s="15"/>
      <c r="B11679" s="15"/>
      <c r="C11679" s="15"/>
      <c r="D11679" s="15"/>
      <c r="E11679" s="15"/>
      <c r="F11679" s="15"/>
      <c r="G11679" s="3"/>
      <c r="H11679" s="11"/>
      <c r="I11679" s="12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  <c r="AA11679" s="15"/>
      <c r="AB11679" s="3"/>
      <c r="AC11679" s="3"/>
      <c r="AD11679" s="3"/>
      <c r="AE11679" s="3"/>
      <c r="AF11679" s="3"/>
      <c r="AG11679" s="3"/>
      <c r="AH11679" s="3"/>
    </row>
    <row r="11680" spans="1:34" ht="14.25" customHeight="1" x14ac:dyDescent="0.25">
      <c r="A11680" s="15"/>
      <c r="B11680" s="15"/>
      <c r="C11680" s="15"/>
      <c r="D11680" s="15"/>
      <c r="E11680" s="15"/>
      <c r="F11680" s="15"/>
      <c r="G11680" s="3"/>
      <c r="H11680" s="11"/>
      <c r="I11680" s="12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  <c r="AA11680" s="15"/>
      <c r="AB11680" s="3"/>
      <c r="AC11680" s="3"/>
      <c r="AD11680" s="3"/>
      <c r="AE11680" s="3"/>
      <c r="AF11680" s="3"/>
      <c r="AG11680" s="3"/>
      <c r="AH11680" s="3"/>
    </row>
    <row r="11681" spans="1:34" ht="14.25" customHeight="1" x14ac:dyDescent="0.25">
      <c r="A11681" s="15"/>
      <c r="B11681" s="15"/>
      <c r="C11681" s="15"/>
      <c r="D11681" s="15"/>
      <c r="E11681" s="15"/>
      <c r="F11681" s="15"/>
      <c r="G11681" s="3"/>
      <c r="H11681" s="11"/>
      <c r="I11681" s="12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  <c r="AA11681" s="15"/>
      <c r="AB11681" s="3"/>
      <c r="AC11681" s="3"/>
      <c r="AD11681" s="3"/>
      <c r="AE11681" s="3"/>
      <c r="AF11681" s="3"/>
      <c r="AG11681" s="3"/>
      <c r="AH11681" s="3"/>
    </row>
    <row r="11682" spans="1:34" ht="14.25" customHeight="1" x14ac:dyDescent="0.25">
      <c r="A11682" s="15"/>
      <c r="B11682" s="15"/>
      <c r="C11682" s="15"/>
      <c r="D11682" s="15"/>
      <c r="E11682" s="15"/>
      <c r="F11682" s="15"/>
      <c r="G11682" s="3"/>
      <c r="H11682" s="11"/>
      <c r="I11682" s="12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  <c r="AA11682" s="15"/>
      <c r="AB11682" s="3"/>
      <c r="AC11682" s="3"/>
      <c r="AD11682" s="3"/>
      <c r="AE11682" s="3"/>
      <c r="AF11682" s="3"/>
      <c r="AG11682" s="3"/>
      <c r="AH11682" s="3"/>
    </row>
    <row r="11683" spans="1:34" ht="14.25" customHeight="1" x14ac:dyDescent="0.25">
      <c r="A11683" s="3"/>
      <c r="B11683" s="3"/>
      <c r="C11683" s="3"/>
      <c r="D11683" s="3"/>
      <c r="E11683" s="3"/>
      <c r="F11683" s="3"/>
      <c r="G11683" s="3"/>
      <c r="H11683" s="11"/>
      <c r="I11683" s="12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  <c r="AA11683" s="3"/>
      <c r="AB11683" s="3"/>
      <c r="AC11683" s="3"/>
      <c r="AD11683" s="3"/>
      <c r="AE11683" s="3"/>
      <c r="AF11683" s="3"/>
      <c r="AG11683" s="3"/>
      <c r="AH11683" s="3"/>
    </row>
    <row r="11684" spans="1:34" ht="14.25" customHeight="1" x14ac:dyDescent="0.25">
      <c r="A11684" s="3"/>
      <c r="B11684" s="3"/>
      <c r="C11684" s="3"/>
      <c r="D11684" s="3"/>
      <c r="E11684" s="3"/>
      <c r="F11684" s="3"/>
      <c r="G11684" s="3"/>
      <c r="H11684" s="11"/>
      <c r="I11684" s="12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  <c r="AA11684" s="3"/>
      <c r="AB11684" s="3"/>
      <c r="AC11684" s="3"/>
      <c r="AD11684" s="3"/>
      <c r="AE11684" s="3"/>
      <c r="AF11684" s="3"/>
      <c r="AG11684" s="3"/>
      <c r="AH11684" s="3"/>
    </row>
    <row r="11685" spans="1:34" ht="14.25" customHeight="1" x14ac:dyDescent="0.25">
      <c r="A11685" s="3"/>
      <c r="B11685" s="3"/>
      <c r="C11685" s="3"/>
      <c r="D11685" s="3"/>
      <c r="E11685" s="3"/>
      <c r="F11685" s="3"/>
      <c r="G11685" s="3"/>
      <c r="H11685" s="11"/>
      <c r="I11685" s="12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  <c r="AA11685" s="3"/>
      <c r="AB11685" s="3"/>
      <c r="AC11685" s="3"/>
      <c r="AD11685" s="3"/>
      <c r="AE11685" s="3"/>
      <c r="AF11685" s="3"/>
      <c r="AG11685" s="3"/>
      <c r="AH11685" s="3"/>
    </row>
    <row r="11686" spans="1:34" ht="14.25" customHeight="1" x14ac:dyDescent="0.25">
      <c r="A11686" s="3"/>
      <c r="B11686" s="3"/>
      <c r="C11686" s="3"/>
      <c r="D11686" s="3"/>
      <c r="E11686" s="3"/>
      <c r="F11686" s="3"/>
      <c r="G11686" s="3"/>
      <c r="H11686" s="11"/>
      <c r="I11686" s="12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  <c r="AA11686" s="3"/>
      <c r="AB11686" s="3"/>
      <c r="AC11686" s="3"/>
      <c r="AD11686" s="3"/>
      <c r="AE11686" s="3"/>
      <c r="AF11686" s="3"/>
      <c r="AG11686" s="3"/>
      <c r="AH11686" s="3"/>
    </row>
    <row r="11687" spans="1:34" ht="14.25" customHeight="1" x14ac:dyDescent="0.25">
      <c r="A11687" s="3"/>
      <c r="B11687" s="3"/>
      <c r="C11687" s="3"/>
      <c r="D11687" s="3"/>
      <c r="E11687" s="3"/>
      <c r="F11687" s="3"/>
      <c r="G11687" s="3"/>
      <c r="H11687" s="11"/>
      <c r="I11687" s="12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  <c r="AA11687" s="3"/>
      <c r="AB11687" s="3"/>
      <c r="AC11687" s="3"/>
      <c r="AD11687" s="3"/>
      <c r="AE11687" s="3"/>
      <c r="AF11687" s="3"/>
      <c r="AG11687" s="3"/>
      <c r="AH11687" s="3"/>
    </row>
    <row r="11688" spans="1:34" ht="14.25" customHeight="1" x14ac:dyDescent="0.25">
      <c r="A11688" s="3"/>
      <c r="B11688" s="3"/>
      <c r="C11688" s="3"/>
      <c r="D11688" s="3"/>
      <c r="E11688" s="3"/>
      <c r="F11688" s="3"/>
      <c r="G11688" s="3"/>
      <c r="H11688" s="11"/>
      <c r="I11688" s="12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  <c r="AA11688" s="3"/>
      <c r="AB11688" s="3"/>
      <c r="AC11688" s="3"/>
      <c r="AD11688" s="3"/>
      <c r="AE11688" s="3"/>
      <c r="AF11688" s="3"/>
      <c r="AG11688" s="3"/>
      <c r="AH11688" s="3"/>
    </row>
    <row r="11689" spans="1:34" ht="14.25" customHeight="1" x14ac:dyDescent="0.25">
      <c r="A11689" s="3"/>
      <c r="B11689" s="3"/>
      <c r="C11689" s="3"/>
      <c r="D11689" s="3"/>
      <c r="E11689" s="3"/>
      <c r="F11689" s="3"/>
      <c r="G11689" s="3"/>
      <c r="H11689" s="11"/>
      <c r="I11689" s="12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  <c r="AA11689" s="3"/>
      <c r="AB11689" s="3"/>
      <c r="AC11689" s="3"/>
      <c r="AD11689" s="3"/>
      <c r="AE11689" s="3"/>
      <c r="AF11689" s="3"/>
      <c r="AG11689" s="3"/>
      <c r="AH11689" s="3"/>
    </row>
    <row r="11690" spans="1:34" ht="14.25" customHeight="1" x14ac:dyDescent="0.25">
      <c r="A11690" s="3"/>
      <c r="B11690" s="3"/>
      <c r="C11690" s="3"/>
      <c r="D11690" s="3"/>
      <c r="E11690" s="3"/>
      <c r="F11690" s="3"/>
      <c r="G11690" s="3"/>
      <c r="H11690" s="11"/>
      <c r="I11690" s="12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  <c r="AA11690" s="3"/>
      <c r="AB11690" s="3"/>
      <c r="AC11690" s="3"/>
      <c r="AD11690" s="3"/>
      <c r="AE11690" s="3"/>
      <c r="AF11690" s="3"/>
      <c r="AG11690" s="3"/>
      <c r="AH11690" s="3"/>
    </row>
    <row r="11691" spans="1:34" ht="14.25" customHeight="1" x14ac:dyDescent="0.25">
      <c r="A11691" s="3"/>
      <c r="B11691" s="3"/>
      <c r="C11691" s="3"/>
      <c r="D11691" s="3"/>
      <c r="E11691" s="3"/>
      <c r="F11691" s="3"/>
      <c r="G11691" s="3"/>
      <c r="H11691" s="11"/>
      <c r="I11691" s="12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  <c r="AA11691" s="3"/>
      <c r="AB11691" s="3"/>
      <c r="AC11691" s="3"/>
      <c r="AD11691" s="3"/>
      <c r="AE11691" s="3"/>
      <c r="AF11691" s="3"/>
      <c r="AG11691" s="3"/>
      <c r="AH11691" s="3"/>
    </row>
    <row r="11692" spans="1:34" ht="14.25" customHeight="1" x14ac:dyDescent="0.25">
      <c r="A11692" s="3"/>
      <c r="B11692" s="3"/>
      <c r="C11692" s="3"/>
      <c r="D11692" s="3"/>
      <c r="E11692" s="3"/>
      <c r="F11692" s="3"/>
      <c r="G11692" s="3"/>
      <c r="H11692" s="11"/>
      <c r="I11692" s="12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  <c r="AA11692" s="3"/>
      <c r="AB11692" s="3"/>
      <c r="AC11692" s="3"/>
      <c r="AD11692" s="3"/>
      <c r="AE11692" s="3"/>
      <c r="AF11692" s="3"/>
      <c r="AG11692" s="3"/>
      <c r="AH11692" s="3"/>
    </row>
    <row r="11693" spans="1:34" ht="14.25" customHeight="1" x14ac:dyDescent="0.25">
      <c r="A11693" s="3"/>
      <c r="B11693" s="3"/>
      <c r="C11693" s="3"/>
      <c r="D11693" s="3"/>
      <c r="E11693" s="3"/>
      <c r="F11693" s="3"/>
      <c r="G11693" s="3"/>
      <c r="H11693" s="11"/>
      <c r="I11693" s="12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  <c r="AA11693" s="3"/>
      <c r="AB11693" s="3"/>
      <c r="AC11693" s="3"/>
      <c r="AD11693" s="3"/>
      <c r="AE11693" s="3"/>
      <c r="AF11693" s="3"/>
      <c r="AG11693" s="3"/>
      <c r="AH11693" s="3"/>
    </row>
    <row r="11694" spans="1:34" ht="14.25" customHeight="1" x14ac:dyDescent="0.25">
      <c r="A11694" s="3"/>
      <c r="B11694" s="3"/>
      <c r="C11694" s="3"/>
      <c r="D11694" s="3"/>
      <c r="E11694" s="3"/>
      <c r="F11694" s="3"/>
      <c r="G11694" s="3"/>
      <c r="H11694" s="11"/>
      <c r="I11694" s="12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  <c r="AA11694" s="3"/>
      <c r="AB11694" s="3"/>
      <c r="AC11694" s="3"/>
      <c r="AD11694" s="3"/>
      <c r="AE11694" s="3"/>
      <c r="AF11694" s="3"/>
      <c r="AG11694" s="3"/>
      <c r="AH11694" s="3"/>
    </row>
    <row r="11695" spans="1:34" ht="14.25" customHeight="1" x14ac:dyDescent="0.25">
      <c r="A11695" s="3"/>
      <c r="B11695" s="3"/>
      <c r="C11695" s="3"/>
      <c r="D11695" s="3"/>
      <c r="E11695" s="3"/>
      <c r="F11695" s="3"/>
      <c r="G11695" s="3"/>
      <c r="H11695" s="11"/>
      <c r="I11695" s="12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  <c r="AA11695" s="3"/>
      <c r="AB11695" s="3"/>
      <c r="AC11695" s="3"/>
      <c r="AD11695" s="3"/>
      <c r="AE11695" s="3"/>
      <c r="AF11695" s="3"/>
      <c r="AG11695" s="3"/>
      <c r="AH11695" s="3"/>
    </row>
    <row r="11696" spans="1:34" ht="14.25" customHeight="1" x14ac:dyDescent="0.25">
      <c r="A11696" s="3"/>
      <c r="B11696" s="3"/>
      <c r="C11696" s="3"/>
      <c r="D11696" s="3"/>
      <c r="E11696" s="3"/>
      <c r="F11696" s="3"/>
      <c r="G11696" s="3"/>
      <c r="H11696" s="11"/>
      <c r="I11696" s="12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  <c r="AA11696" s="3"/>
      <c r="AB11696" s="3"/>
      <c r="AC11696" s="3"/>
      <c r="AD11696" s="3"/>
      <c r="AE11696" s="3"/>
      <c r="AF11696" s="3"/>
      <c r="AG11696" s="3"/>
      <c r="AH11696" s="3"/>
    </row>
    <row r="11697" spans="1:34" ht="14.25" customHeight="1" x14ac:dyDescent="0.25">
      <c r="A11697" s="3"/>
      <c r="B11697" s="3"/>
      <c r="C11697" s="3"/>
      <c r="D11697" s="3"/>
      <c r="E11697" s="3"/>
      <c r="F11697" s="3"/>
      <c r="G11697" s="3"/>
      <c r="H11697" s="11"/>
      <c r="I11697" s="12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  <c r="AA11697" s="3"/>
      <c r="AB11697" s="3"/>
      <c r="AC11697" s="3"/>
      <c r="AD11697" s="3"/>
      <c r="AE11697" s="3"/>
      <c r="AF11697" s="3"/>
      <c r="AG11697" s="3"/>
      <c r="AH11697" s="3"/>
    </row>
    <row r="11698" spans="1:34" ht="14.25" customHeight="1" x14ac:dyDescent="0.25">
      <c r="A11698" s="3"/>
      <c r="B11698" s="3"/>
      <c r="C11698" s="3"/>
      <c r="D11698" s="3"/>
      <c r="E11698" s="3"/>
      <c r="F11698" s="3"/>
      <c r="G11698" s="3"/>
      <c r="H11698" s="11"/>
      <c r="I11698" s="12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  <c r="AA11698" s="3"/>
      <c r="AB11698" s="3"/>
      <c r="AC11698" s="3"/>
      <c r="AD11698" s="3"/>
      <c r="AE11698" s="3"/>
      <c r="AF11698" s="3"/>
      <c r="AG11698" s="3"/>
      <c r="AH11698" s="3"/>
    </row>
    <row r="11699" spans="1:34" ht="14.25" customHeight="1" x14ac:dyDescent="0.25">
      <c r="A11699" s="3"/>
      <c r="B11699" s="3"/>
      <c r="C11699" s="3"/>
      <c r="D11699" s="3"/>
      <c r="E11699" s="3"/>
      <c r="F11699" s="3"/>
      <c r="G11699" s="3"/>
      <c r="H11699" s="11"/>
      <c r="I11699" s="12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  <c r="AA11699" s="3"/>
      <c r="AB11699" s="3"/>
      <c r="AC11699" s="3"/>
      <c r="AD11699" s="3"/>
      <c r="AE11699" s="3"/>
      <c r="AF11699" s="3"/>
      <c r="AG11699" s="3"/>
      <c r="AH11699" s="3"/>
    </row>
    <row r="11700" spans="1:34" ht="14.25" customHeight="1" x14ac:dyDescent="0.25">
      <c r="A11700" s="3"/>
      <c r="B11700" s="3"/>
      <c r="C11700" s="3"/>
      <c r="D11700" s="3"/>
      <c r="E11700" s="3"/>
      <c r="F11700" s="3"/>
      <c r="G11700" s="3"/>
      <c r="H11700" s="11"/>
      <c r="I11700" s="12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  <c r="AA11700" s="3"/>
      <c r="AB11700" s="3"/>
      <c r="AC11700" s="3"/>
      <c r="AD11700" s="3"/>
      <c r="AE11700" s="3"/>
      <c r="AF11700" s="3"/>
      <c r="AG11700" s="3"/>
      <c r="AH11700" s="3"/>
    </row>
    <row r="11701" spans="1:34" ht="14.25" customHeight="1" x14ac:dyDescent="0.25">
      <c r="A11701" s="3"/>
      <c r="B11701" s="3"/>
      <c r="C11701" s="3"/>
      <c r="D11701" s="3"/>
      <c r="E11701" s="3"/>
      <c r="F11701" s="3"/>
      <c r="G11701" s="3"/>
      <c r="H11701" s="11"/>
      <c r="I11701" s="12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  <c r="AA11701" s="3"/>
      <c r="AB11701" s="3"/>
      <c r="AC11701" s="3"/>
      <c r="AD11701" s="3"/>
      <c r="AE11701" s="3"/>
      <c r="AF11701" s="3"/>
      <c r="AG11701" s="3"/>
      <c r="AH11701" s="3"/>
    </row>
    <row r="11702" spans="1:34" ht="14.25" customHeight="1" x14ac:dyDescent="0.25">
      <c r="A11702" s="3"/>
      <c r="B11702" s="3"/>
      <c r="C11702" s="3"/>
      <c r="D11702" s="3"/>
      <c r="E11702" s="3"/>
      <c r="F11702" s="3"/>
      <c r="G11702" s="3"/>
      <c r="H11702" s="11"/>
      <c r="I11702" s="12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  <c r="AA11702" s="3"/>
      <c r="AB11702" s="3"/>
      <c r="AC11702" s="3"/>
      <c r="AD11702" s="3"/>
      <c r="AE11702" s="3"/>
      <c r="AF11702" s="3"/>
      <c r="AG11702" s="3"/>
      <c r="AH11702" s="3"/>
    </row>
    <row r="11703" spans="1:34" ht="14.25" customHeight="1" x14ac:dyDescent="0.25">
      <c r="A11703" s="3"/>
      <c r="B11703" s="3"/>
      <c r="C11703" s="3"/>
      <c r="D11703" s="3"/>
      <c r="E11703" s="3"/>
      <c r="F11703" s="3"/>
      <c r="G11703" s="3"/>
      <c r="H11703" s="11"/>
      <c r="I11703" s="12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  <c r="AA11703" s="3"/>
      <c r="AB11703" s="3"/>
      <c r="AC11703" s="3"/>
      <c r="AD11703" s="3"/>
      <c r="AE11703" s="3"/>
      <c r="AF11703" s="3"/>
      <c r="AG11703" s="3"/>
      <c r="AH11703" s="3"/>
    </row>
    <row r="11704" spans="1:34" ht="14.25" customHeight="1" x14ac:dyDescent="0.25">
      <c r="A11704" s="3"/>
      <c r="B11704" s="3"/>
      <c r="C11704" s="3"/>
      <c r="D11704" s="3"/>
      <c r="E11704" s="3"/>
      <c r="F11704" s="3"/>
      <c r="G11704" s="3"/>
      <c r="H11704" s="11"/>
      <c r="I11704" s="12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  <c r="AA11704" s="3"/>
      <c r="AB11704" s="3"/>
      <c r="AC11704" s="3"/>
      <c r="AD11704" s="3"/>
      <c r="AE11704" s="3"/>
      <c r="AF11704" s="3"/>
      <c r="AG11704" s="3"/>
      <c r="AH11704" s="3"/>
    </row>
    <row r="11705" spans="1:34" ht="14.25" customHeight="1" x14ac:dyDescent="0.25">
      <c r="A11705" s="3"/>
      <c r="B11705" s="3"/>
      <c r="C11705" s="3"/>
      <c r="D11705" s="3"/>
      <c r="E11705" s="3"/>
      <c r="F11705" s="3"/>
      <c r="G11705" s="3"/>
      <c r="H11705" s="11"/>
      <c r="I11705" s="12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  <c r="AA11705" s="3"/>
      <c r="AB11705" s="3"/>
      <c r="AC11705" s="3"/>
      <c r="AD11705" s="3"/>
      <c r="AE11705" s="3"/>
      <c r="AF11705" s="3"/>
      <c r="AG11705" s="3"/>
      <c r="AH11705" s="3"/>
    </row>
    <row r="11706" spans="1:34" ht="14.25" customHeight="1" x14ac:dyDescent="0.25">
      <c r="A11706" s="3"/>
      <c r="B11706" s="3"/>
      <c r="C11706" s="3"/>
      <c r="D11706" s="3"/>
      <c r="E11706" s="3"/>
      <c r="F11706" s="3"/>
      <c r="G11706" s="3"/>
      <c r="H11706" s="11"/>
      <c r="I11706" s="12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  <c r="AA11706" s="3"/>
      <c r="AB11706" s="3"/>
      <c r="AC11706" s="3"/>
      <c r="AD11706" s="3"/>
      <c r="AE11706" s="3"/>
      <c r="AF11706" s="3"/>
      <c r="AG11706" s="3"/>
      <c r="AH11706" s="3"/>
    </row>
    <row r="11707" spans="1:34" ht="14.25" customHeight="1" x14ac:dyDescent="0.25">
      <c r="A11707" s="3"/>
      <c r="B11707" s="3"/>
      <c r="C11707" s="3"/>
      <c r="D11707" s="3"/>
      <c r="E11707" s="3"/>
      <c r="F11707" s="3"/>
      <c r="G11707" s="3"/>
      <c r="H11707" s="11"/>
      <c r="I11707" s="12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  <c r="AA11707" s="3"/>
      <c r="AB11707" s="3"/>
      <c r="AC11707" s="3"/>
      <c r="AD11707" s="3"/>
      <c r="AE11707" s="3"/>
      <c r="AF11707" s="3"/>
      <c r="AG11707" s="3"/>
      <c r="AH11707" s="3"/>
    </row>
    <row r="11708" spans="1:34" ht="14.25" customHeight="1" x14ac:dyDescent="0.25">
      <c r="A11708" s="3"/>
      <c r="B11708" s="3"/>
      <c r="C11708" s="3"/>
      <c r="D11708" s="3"/>
      <c r="E11708" s="3"/>
      <c r="F11708" s="3"/>
      <c r="G11708" s="3"/>
      <c r="H11708" s="11"/>
      <c r="I11708" s="12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  <c r="AA11708" s="3"/>
      <c r="AB11708" s="3"/>
      <c r="AC11708" s="3"/>
      <c r="AD11708" s="3"/>
      <c r="AE11708" s="3"/>
      <c r="AF11708" s="3"/>
      <c r="AG11708" s="3"/>
      <c r="AH11708" s="3"/>
    </row>
    <row r="11709" spans="1:34" ht="14.25" customHeight="1" x14ac:dyDescent="0.25">
      <c r="A11709" s="3"/>
      <c r="B11709" s="3"/>
      <c r="C11709" s="3"/>
      <c r="D11709" s="3"/>
      <c r="E11709" s="3"/>
      <c r="F11709" s="3"/>
      <c r="G11709" s="3"/>
      <c r="H11709" s="11"/>
      <c r="I11709" s="12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  <c r="AA11709" s="3"/>
      <c r="AB11709" s="3"/>
      <c r="AC11709" s="3"/>
      <c r="AD11709" s="3"/>
      <c r="AE11709" s="3"/>
      <c r="AF11709" s="3"/>
      <c r="AG11709" s="3"/>
      <c r="AH11709" s="3"/>
    </row>
    <row r="11710" spans="1:34" ht="14.25" customHeight="1" x14ac:dyDescent="0.25">
      <c r="A11710" s="3"/>
      <c r="B11710" s="3"/>
      <c r="C11710" s="3"/>
      <c r="D11710" s="3"/>
      <c r="E11710" s="3"/>
      <c r="F11710" s="3"/>
      <c r="G11710" s="3"/>
      <c r="H11710" s="11"/>
      <c r="I11710" s="12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  <c r="AA11710" s="3"/>
      <c r="AB11710" s="3"/>
      <c r="AC11710" s="3"/>
      <c r="AD11710" s="3"/>
      <c r="AE11710" s="3"/>
      <c r="AF11710" s="3"/>
      <c r="AG11710" s="3"/>
      <c r="AH11710" s="3"/>
    </row>
    <row r="11711" spans="1:34" ht="14.25" customHeight="1" x14ac:dyDescent="0.25">
      <c r="A11711" s="3"/>
      <c r="B11711" s="3"/>
      <c r="C11711" s="3"/>
      <c r="D11711" s="3"/>
      <c r="E11711" s="3"/>
      <c r="F11711" s="3"/>
      <c r="G11711" s="3"/>
      <c r="H11711" s="11"/>
      <c r="I11711" s="12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  <c r="AA11711" s="3"/>
      <c r="AB11711" s="3"/>
      <c r="AC11711" s="3"/>
      <c r="AD11711" s="3"/>
      <c r="AE11711" s="3"/>
      <c r="AF11711" s="3"/>
      <c r="AG11711" s="3"/>
      <c r="AH11711" s="3"/>
    </row>
    <row r="11712" spans="1:34" ht="14.25" customHeight="1" x14ac:dyDescent="0.25">
      <c r="A11712" s="3"/>
      <c r="B11712" s="3"/>
      <c r="C11712" s="3"/>
      <c r="D11712" s="3"/>
      <c r="E11712" s="3"/>
      <c r="F11712" s="3"/>
      <c r="G11712" s="3"/>
      <c r="H11712" s="11"/>
      <c r="I11712" s="12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  <c r="AA11712" s="3"/>
      <c r="AB11712" s="3"/>
      <c r="AC11712" s="3"/>
      <c r="AD11712" s="3"/>
      <c r="AE11712" s="3"/>
      <c r="AF11712" s="3"/>
      <c r="AG11712" s="3"/>
      <c r="AH11712" s="3"/>
    </row>
    <row r="11713" spans="1:34" ht="14.25" customHeight="1" x14ac:dyDescent="0.25">
      <c r="A11713" s="3"/>
      <c r="B11713" s="3"/>
      <c r="C11713" s="3"/>
      <c r="D11713" s="3"/>
      <c r="E11713" s="3"/>
      <c r="F11713" s="3"/>
      <c r="G11713" s="3"/>
      <c r="H11713" s="11"/>
      <c r="I11713" s="12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  <c r="AA11713" s="3"/>
      <c r="AB11713" s="3"/>
      <c r="AC11713" s="3"/>
      <c r="AD11713" s="3"/>
      <c r="AE11713" s="3"/>
      <c r="AF11713" s="3"/>
      <c r="AG11713" s="3"/>
      <c r="AH11713" s="3"/>
    </row>
    <row r="11714" spans="1:34" ht="14.25" customHeight="1" x14ac:dyDescent="0.25">
      <c r="A11714" s="3"/>
      <c r="B11714" s="3"/>
      <c r="C11714" s="3"/>
      <c r="D11714" s="3"/>
      <c r="E11714" s="3"/>
      <c r="F11714" s="3"/>
      <c r="G11714" s="3"/>
      <c r="H11714" s="11"/>
      <c r="I11714" s="12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  <c r="AA11714" s="3"/>
      <c r="AB11714" s="3"/>
      <c r="AC11714" s="3"/>
      <c r="AD11714" s="3"/>
      <c r="AE11714" s="3"/>
      <c r="AF11714" s="3"/>
      <c r="AG11714" s="3"/>
      <c r="AH11714" s="3"/>
    </row>
    <row r="11715" spans="1:34" ht="14.25" customHeight="1" x14ac:dyDescent="0.25">
      <c r="A11715" s="3"/>
      <c r="B11715" s="3"/>
      <c r="C11715" s="3"/>
      <c r="D11715" s="3"/>
      <c r="E11715" s="3"/>
      <c r="F11715" s="3"/>
      <c r="G11715" s="3"/>
      <c r="H11715" s="11"/>
      <c r="I11715" s="12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  <c r="AA11715" s="3"/>
      <c r="AB11715" s="3"/>
      <c r="AC11715" s="3"/>
      <c r="AD11715" s="3"/>
      <c r="AE11715" s="3"/>
      <c r="AF11715" s="3"/>
      <c r="AG11715" s="3"/>
      <c r="AH11715" s="3"/>
    </row>
    <row r="11716" spans="1:34" ht="14.25" customHeight="1" x14ac:dyDescent="0.25">
      <c r="A11716" s="3"/>
      <c r="B11716" s="3"/>
      <c r="C11716" s="3"/>
      <c r="D11716" s="3"/>
      <c r="E11716" s="3"/>
      <c r="F11716" s="3"/>
      <c r="G11716" s="3"/>
      <c r="H11716" s="11"/>
      <c r="I11716" s="12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  <c r="AA11716" s="3"/>
      <c r="AB11716" s="3"/>
      <c r="AC11716" s="3"/>
      <c r="AD11716" s="3"/>
      <c r="AE11716" s="3"/>
      <c r="AF11716" s="3"/>
      <c r="AG11716" s="3"/>
      <c r="AH11716" s="3"/>
    </row>
    <row r="11717" spans="1:34" ht="14.25" customHeight="1" x14ac:dyDescent="0.25">
      <c r="A11717" s="3"/>
      <c r="B11717" s="3"/>
      <c r="C11717" s="3"/>
      <c r="D11717" s="3"/>
      <c r="E11717" s="3"/>
      <c r="F11717" s="3"/>
      <c r="G11717" s="3"/>
      <c r="H11717" s="11"/>
      <c r="I11717" s="12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  <c r="AA11717" s="3"/>
      <c r="AB11717" s="3"/>
      <c r="AC11717" s="3"/>
      <c r="AD11717" s="3"/>
      <c r="AE11717" s="3"/>
      <c r="AF11717" s="3"/>
      <c r="AG11717" s="3"/>
      <c r="AH11717" s="3"/>
    </row>
    <row r="11718" spans="1:34" ht="14.25" customHeight="1" x14ac:dyDescent="0.25">
      <c r="A11718" s="3"/>
      <c r="B11718" s="3"/>
      <c r="C11718" s="3"/>
      <c r="D11718" s="3"/>
      <c r="E11718" s="3"/>
      <c r="F11718" s="3"/>
      <c r="G11718" s="3"/>
      <c r="H11718" s="11"/>
      <c r="I11718" s="12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  <c r="AA11718" s="3"/>
      <c r="AB11718" s="3"/>
      <c r="AC11718" s="3"/>
      <c r="AD11718" s="3"/>
      <c r="AE11718" s="3"/>
      <c r="AF11718" s="3"/>
      <c r="AG11718" s="3"/>
      <c r="AH11718" s="3"/>
    </row>
    <row r="11719" spans="1:34" ht="14.25" customHeight="1" x14ac:dyDescent="0.25">
      <c r="A11719" s="3"/>
      <c r="B11719" s="3"/>
      <c r="C11719" s="3"/>
      <c r="D11719" s="3"/>
      <c r="E11719" s="3"/>
      <c r="F11719" s="3"/>
      <c r="G11719" s="3"/>
      <c r="H11719" s="11"/>
      <c r="I11719" s="12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  <c r="AA11719" s="3"/>
      <c r="AB11719" s="3"/>
      <c r="AC11719" s="3"/>
      <c r="AD11719" s="3"/>
      <c r="AE11719" s="3"/>
      <c r="AF11719" s="3"/>
      <c r="AG11719" s="3"/>
      <c r="AH11719" s="3"/>
    </row>
    <row r="11720" spans="1:34" ht="14.25" customHeight="1" x14ac:dyDescent="0.25">
      <c r="A11720" s="3"/>
      <c r="B11720" s="3"/>
      <c r="C11720" s="3"/>
      <c r="D11720" s="3"/>
      <c r="E11720" s="3"/>
      <c r="F11720" s="3"/>
      <c r="G11720" s="3"/>
      <c r="H11720" s="11"/>
      <c r="I11720" s="12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  <c r="AA11720" s="3"/>
      <c r="AB11720" s="3"/>
      <c r="AC11720" s="3"/>
      <c r="AD11720" s="3"/>
      <c r="AE11720" s="3"/>
      <c r="AF11720" s="3"/>
      <c r="AG11720" s="3"/>
      <c r="AH11720" s="3"/>
    </row>
    <row r="11721" spans="1:34" ht="14.25" customHeight="1" x14ac:dyDescent="0.25">
      <c r="A11721" s="3"/>
      <c r="B11721" s="3"/>
      <c r="C11721" s="3"/>
      <c r="D11721" s="3"/>
      <c r="E11721" s="3"/>
      <c r="F11721" s="3"/>
      <c r="G11721" s="3"/>
      <c r="H11721" s="11"/>
      <c r="I11721" s="12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  <c r="AA11721" s="3"/>
      <c r="AB11721" s="3"/>
      <c r="AC11721" s="3"/>
      <c r="AD11721" s="3"/>
      <c r="AE11721" s="3"/>
      <c r="AF11721" s="3"/>
      <c r="AG11721" s="3"/>
      <c r="AH11721" s="3"/>
    </row>
    <row r="11722" spans="1:34" ht="14.25" customHeight="1" x14ac:dyDescent="0.25">
      <c r="A11722" s="3"/>
      <c r="B11722" s="3"/>
      <c r="C11722" s="3"/>
      <c r="D11722" s="3"/>
      <c r="E11722" s="3"/>
      <c r="F11722" s="3"/>
      <c r="G11722" s="3"/>
      <c r="H11722" s="11"/>
      <c r="I11722" s="12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  <c r="AA11722" s="3"/>
      <c r="AB11722" s="3"/>
      <c r="AC11722" s="3"/>
      <c r="AD11722" s="3"/>
      <c r="AE11722" s="3"/>
      <c r="AF11722" s="3"/>
      <c r="AG11722" s="3"/>
      <c r="AH11722" s="3"/>
    </row>
    <row r="11723" spans="1:34" ht="14.25" customHeight="1" x14ac:dyDescent="0.25">
      <c r="A11723" s="3"/>
      <c r="B11723" s="3"/>
      <c r="C11723" s="3"/>
      <c r="D11723" s="3"/>
      <c r="E11723" s="3"/>
      <c r="F11723" s="3"/>
      <c r="G11723" s="3"/>
      <c r="H11723" s="11"/>
      <c r="I11723" s="12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  <c r="AA11723" s="3"/>
      <c r="AB11723" s="3"/>
      <c r="AC11723" s="3"/>
      <c r="AD11723" s="3"/>
      <c r="AE11723" s="3"/>
      <c r="AF11723" s="3"/>
      <c r="AG11723" s="3"/>
      <c r="AH11723" s="3"/>
    </row>
    <row r="11724" spans="1:34" ht="14.25" customHeight="1" x14ac:dyDescent="0.25">
      <c r="A11724" s="3"/>
      <c r="B11724" s="3"/>
      <c r="C11724" s="3"/>
      <c r="D11724" s="3"/>
      <c r="E11724" s="3"/>
      <c r="F11724" s="3"/>
      <c r="G11724" s="3"/>
      <c r="H11724" s="11"/>
      <c r="I11724" s="12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  <c r="AA11724" s="3"/>
      <c r="AB11724" s="3"/>
      <c r="AC11724" s="3"/>
      <c r="AD11724" s="3"/>
      <c r="AE11724" s="3"/>
      <c r="AF11724" s="3"/>
      <c r="AG11724" s="3"/>
      <c r="AH11724" s="3"/>
    </row>
    <row r="11725" spans="1:34" ht="14.25" customHeight="1" x14ac:dyDescent="0.25">
      <c r="A11725" s="3"/>
      <c r="B11725" s="3"/>
      <c r="C11725" s="3"/>
      <c r="D11725" s="3"/>
      <c r="E11725" s="3"/>
      <c r="F11725" s="3"/>
      <c r="G11725" s="3"/>
      <c r="H11725" s="11"/>
      <c r="I11725" s="12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  <c r="AA11725" s="3"/>
      <c r="AB11725" s="3"/>
      <c r="AC11725" s="3"/>
      <c r="AD11725" s="3"/>
      <c r="AE11725" s="3"/>
      <c r="AF11725" s="3"/>
      <c r="AG11725" s="3"/>
      <c r="AH11725" s="3"/>
    </row>
    <row r="11726" spans="1:34" ht="14.25" customHeight="1" x14ac:dyDescent="0.25">
      <c r="A11726" s="3"/>
      <c r="B11726" s="3"/>
      <c r="C11726" s="3"/>
      <c r="D11726" s="3"/>
      <c r="E11726" s="3"/>
      <c r="F11726" s="3"/>
      <c r="G11726" s="3"/>
      <c r="H11726" s="11"/>
      <c r="I11726" s="12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  <c r="AA11726" s="3"/>
      <c r="AB11726" s="3"/>
      <c r="AC11726" s="3"/>
      <c r="AD11726" s="3"/>
      <c r="AE11726" s="3"/>
      <c r="AF11726" s="3"/>
      <c r="AG11726" s="3"/>
      <c r="AH11726" s="3"/>
    </row>
    <row r="11727" spans="1:34" ht="14.25" customHeight="1" x14ac:dyDescent="0.25">
      <c r="A11727" s="3"/>
      <c r="B11727" s="3"/>
      <c r="C11727" s="3"/>
      <c r="D11727" s="3"/>
      <c r="E11727" s="3"/>
      <c r="F11727" s="3"/>
      <c r="G11727" s="3"/>
      <c r="H11727" s="11"/>
      <c r="I11727" s="12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  <c r="AA11727" s="3"/>
      <c r="AB11727" s="3"/>
      <c r="AC11727" s="3"/>
      <c r="AD11727" s="3"/>
      <c r="AE11727" s="3"/>
      <c r="AF11727" s="3"/>
      <c r="AG11727" s="3"/>
      <c r="AH11727" s="3"/>
    </row>
    <row r="11728" spans="1:34" ht="14.25" customHeight="1" x14ac:dyDescent="0.25">
      <c r="A11728" s="3"/>
      <c r="B11728" s="3"/>
      <c r="C11728" s="3"/>
      <c r="D11728" s="3"/>
      <c r="E11728" s="3"/>
      <c r="F11728" s="3"/>
      <c r="G11728" s="3"/>
      <c r="H11728" s="11"/>
      <c r="I11728" s="12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  <c r="AA11728" s="3"/>
      <c r="AB11728" s="3"/>
      <c r="AC11728" s="3"/>
      <c r="AD11728" s="3"/>
      <c r="AE11728" s="3"/>
      <c r="AF11728" s="3"/>
      <c r="AG11728" s="3"/>
      <c r="AH11728" s="3"/>
    </row>
    <row r="11729" spans="1:34" ht="14.25" customHeight="1" x14ac:dyDescent="0.25">
      <c r="A11729" s="3"/>
      <c r="B11729" s="3"/>
      <c r="C11729" s="3"/>
      <c r="D11729" s="3"/>
      <c r="E11729" s="3"/>
      <c r="F11729" s="3"/>
      <c r="G11729" s="3"/>
      <c r="H11729" s="11"/>
      <c r="I11729" s="12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  <c r="AA11729" s="3"/>
      <c r="AB11729" s="3"/>
      <c r="AC11729" s="3"/>
      <c r="AD11729" s="3"/>
      <c r="AE11729" s="3"/>
      <c r="AF11729" s="3"/>
      <c r="AG11729" s="3"/>
      <c r="AH11729" s="3"/>
    </row>
    <row r="11730" spans="1:34" ht="14.25" customHeight="1" x14ac:dyDescent="0.25">
      <c r="A11730" s="3"/>
      <c r="B11730" s="3"/>
      <c r="C11730" s="3"/>
      <c r="D11730" s="3"/>
      <c r="E11730" s="3"/>
      <c r="F11730" s="3"/>
      <c r="G11730" s="3"/>
      <c r="H11730" s="11"/>
      <c r="I11730" s="12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  <c r="AA11730" s="3"/>
      <c r="AB11730" s="3"/>
      <c r="AC11730" s="3"/>
      <c r="AD11730" s="3"/>
      <c r="AE11730" s="3"/>
      <c r="AF11730" s="3"/>
      <c r="AG11730" s="3"/>
      <c r="AH11730" s="3"/>
    </row>
    <row r="11731" spans="1:34" ht="14.25" customHeight="1" x14ac:dyDescent="0.25">
      <c r="A11731" s="3"/>
      <c r="B11731" s="3"/>
      <c r="C11731" s="3"/>
      <c r="D11731" s="3"/>
      <c r="E11731" s="3"/>
      <c r="F11731" s="3"/>
      <c r="G11731" s="3"/>
      <c r="H11731" s="11"/>
      <c r="I11731" s="12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  <c r="AA11731" s="3"/>
      <c r="AB11731" s="3"/>
      <c r="AC11731" s="3"/>
      <c r="AD11731" s="3"/>
      <c r="AE11731" s="3"/>
      <c r="AF11731" s="3"/>
      <c r="AG11731" s="3"/>
      <c r="AH11731" s="3"/>
    </row>
    <row r="11732" spans="1:34" ht="14.25" customHeight="1" x14ac:dyDescent="0.25">
      <c r="A11732" s="3"/>
      <c r="B11732" s="3"/>
      <c r="C11732" s="3"/>
      <c r="D11732" s="3"/>
      <c r="E11732" s="3"/>
      <c r="F11732" s="3"/>
      <c r="G11732" s="3"/>
      <c r="H11732" s="11"/>
      <c r="I11732" s="12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  <c r="AA11732" s="3"/>
      <c r="AB11732" s="3"/>
      <c r="AC11732" s="3"/>
      <c r="AD11732" s="3"/>
      <c r="AE11732" s="3"/>
      <c r="AF11732" s="3"/>
      <c r="AG11732" s="3"/>
      <c r="AH11732" s="3"/>
    </row>
    <row r="11733" spans="1:34" ht="14.25" customHeight="1" x14ac:dyDescent="0.25">
      <c r="A11733" s="3"/>
      <c r="B11733" s="3"/>
      <c r="C11733" s="3"/>
      <c r="D11733" s="3"/>
      <c r="E11733" s="3"/>
      <c r="F11733" s="3"/>
      <c r="G11733" s="3"/>
      <c r="H11733" s="11"/>
      <c r="I11733" s="12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  <c r="AA11733" s="3"/>
      <c r="AB11733" s="3"/>
      <c r="AC11733" s="3"/>
      <c r="AD11733" s="3"/>
      <c r="AE11733" s="3"/>
      <c r="AF11733" s="3"/>
      <c r="AG11733" s="3"/>
      <c r="AH11733" s="3"/>
    </row>
    <row r="11734" spans="1:34" ht="14.25" customHeight="1" x14ac:dyDescent="0.25">
      <c r="A11734" s="3"/>
      <c r="B11734" s="3"/>
      <c r="C11734" s="3"/>
      <c r="D11734" s="3"/>
      <c r="E11734" s="3"/>
      <c r="F11734" s="3"/>
      <c r="G11734" s="3"/>
      <c r="H11734" s="11"/>
      <c r="I11734" s="12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  <c r="AA11734" s="3"/>
      <c r="AB11734" s="3"/>
      <c r="AC11734" s="3"/>
      <c r="AD11734" s="3"/>
      <c r="AE11734" s="3"/>
      <c r="AF11734" s="3"/>
      <c r="AG11734" s="3"/>
      <c r="AH11734" s="3"/>
    </row>
    <row r="11735" spans="1:34" ht="14.25" customHeight="1" x14ac:dyDescent="0.25">
      <c r="A11735" s="3"/>
      <c r="B11735" s="3"/>
      <c r="C11735" s="3"/>
      <c r="D11735" s="3"/>
      <c r="E11735" s="3"/>
      <c r="F11735" s="3"/>
      <c r="G11735" s="3"/>
      <c r="H11735" s="11"/>
      <c r="I11735" s="12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  <c r="AA11735" s="3"/>
      <c r="AB11735" s="3"/>
      <c r="AC11735" s="3"/>
      <c r="AD11735" s="3"/>
      <c r="AE11735" s="3"/>
      <c r="AF11735" s="3"/>
      <c r="AG11735" s="3"/>
      <c r="AH11735" s="3"/>
    </row>
    <row r="11736" spans="1:34" ht="14.25" customHeight="1" x14ac:dyDescent="0.25">
      <c r="A11736" s="3"/>
      <c r="B11736" s="3"/>
      <c r="C11736" s="3"/>
      <c r="D11736" s="3"/>
      <c r="E11736" s="3"/>
      <c r="F11736" s="3"/>
      <c r="G11736" s="3"/>
      <c r="H11736" s="11"/>
      <c r="I11736" s="12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  <c r="AA11736" s="3"/>
      <c r="AB11736" s="3"/>
      <c r="AC11736" s="3"/>
      <c r="AD11736" s="3"/>
      <c r="AE11736" s="3"/>
      <c r="AF11736" s="3"/>
      <c r="AG11736" s="3"/>
      <c r="AH11736" s="3"/>
    </row>
    <row r="11737" spans="1:34" ht="14.25" customHeight="1" x14ac:dyDescent="0.25">
      <c r="A11737" s="3"/>
      <c r="B11737" s="3"/>
      <c r="C11737" s="3"/>
      <c r="D11737" s="3"/>
      <c r="E11737" s="3"/>
      <c r="F11737" s="3"/>
      <c r="G11737" s="3"/>
      <c r="H11737" s="11"/>
      <c r="I11737" s="12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  <c r="AA11737" s="3"/>
      <c r="AB11737" s="3"/>
      <c r="AC11737" s="3"/>
      <c r="AD11737" s="3"/>
      <c r="AE11737" s="3"/>
      <c r="AF11737" s="3"/>
      <c r="AG11737" s="3"/>
      <c r="AH11737" s="3"/>
    </row>
    <row r="11738" spans="1:34" ht="14.25" customHeight="1" x14ac:dyDescent="0.25">
      <c r="A11738" s="3"/>
      <c r="B11738" s="3"/>
      <c r="C11738" s="3"/>
      <c r="D11738" s="3"/>
      <c r="E11738" s="3"/>
      <c r="F11738" s="3"/>
      <c r="G11738" s="3"/>
      <c r="H11738" s="11"/>
      <c r="I11738" s="12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  <c r="AA11738" s="3"/>
      <c r="AB11738" s="3"/>
      <c r="AC11738" s="3"/>
      <c r="AD11738" s="3"/>
      <c r="AE11738" s="3"/>
      <c r="AF11738" s="3"/>
      <c r="AG11738" s="3"/>
      <c r="AH11738" s="3"/>
    </row>
    <row r="11739" spans="1:34" ht="14.25" customHeight="1" x14ac:dyDescent="0.25">
      <c r="A11739" s="3"/>
      <c r="B11739" s="3"/>
      <c r="C11739" s="3"/>
      <c r="D11739" s="3"/>
      <c r="E11739" s="3"/>
      <c r="F11739" s="3"/>
      <c r="G11739" s="3"/>
      <c r="H11739" s="11"/>
      <c r="I11739" s="12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  <c r="AA11739" s="3"/>
      <c r="AB11739" s="3"/>
      <c r="AC11739" s="3"/>
      <c r="AD11739" s="3"/>
      <c r="AE11739" s="3"/>
      <c r="AF11739" s="3"/>
      <c r="AG11739" s="3"/>
      <c r="AH11739" s="3"/>
    </row>
    <row r="11740" spans="1:34" ht="14.25" customHeight="1" x14ac:dyDescent="0.25">
      <c r="A11740" s="3"/>
      <c r="B11740" s="3"/>
      <c r="C11740" s="3"/>
      <c r="D11740" s="3"/>
      <c r="E11740" s="3"/>
      <c r="F11740" s="3"/>
      <c r="G11740" s="3"/>
      <c r="H11740" s="11"/>
      <c r="I11740" s="12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  <c r="AA11740" s="3"/>
      <c r="AB11740" s="3"/>
      <c r="AC11740" s="3"/>
      <c r="AD11740" s="3"/>
      <c r="AE11740" s="3"/>
      <c r="AF11740" s="3"/>
      <c r="AG11740" s="3"/>
      <c r="AH11740" s="3"/>
    </row>
    <row r="11741" spans="1:34" ht="14.25" customHeight="1" x14ac:dyDescent="0.25">
      <c r="A11741" s="3"/>
      <c r="B11741" s="3"/>
      <c r="C11741" s="3"/>
      <c r="D11741" s="3"/>
      <c r="E11741" s="3"/>
      <c r="F11741" s="3"/>
      <c r="G11741" s="3"/>
      <c r="H11741" s="11"/>
      <c r="I11741" s="12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  <c r="AA11741" s="3"/>
      <c r="AB11741" s="3"/>
      <c r="AC11741" s="3"/>
      <c r="AD11741" s="3"/>
      <c r="AE11741" s="3"/>
      <c r="AF11741" s="3"/>
      <c r="AG11741" s="3"/>
      <c r="AH11741" s="3"/>
    </row>
    <row r="11742" spans="1:34" ht="14.25" customHeight="1" x14ac:dyDescent="0.25">
      <c r="A11742" s="3"/>
      <c r="B11742" s="3"/>
      <c r="C11742" s="3"/>
      <c r="D11742" s="3"/>
      <c r="E11742" s="3"/>
      <c r="F11742" s="3"/>
      <c r="G11742" s="3"/>
      <c r="H11742" s="11"/>
      <c r="I11742" s="12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  <c r="AA11742" s="3"/>
      <c r="AB11742" s="3"/>
      <c r="AC11742" s="3"/>
      <c r="AD11742" s="3"/>
      <c r="AE11742" s="3"/>
      <c r="AF11742" s="3"/>
      <c r="AG11742" s="3"/>
      <c r="AH11742" s="3"/>
    </row>
    <row r="11743" spans="1:34" ht="14.25" customHeight="1" x14ac:dyDescent="0.25">
      <c r="A11743" s="3"/>
      <c r="B11743" s="3"/>
      <c r="C11743" s="3"/>
      <c r="D11743" s="3"/>
      <c r="E11743" s="3"/>
      <c r="F11743" s="3"/>
      <c r="G11743" s="3"/>
      <c r="H11743" s="11"/>
      <c r="I11743" s="12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  <c r="AA11743" s="3"/>
      <c r="AB11743" s="3"/>
      <c r="AC11743" s="3"/>
      <c r="AD11743" s="3"/>
      <c r="AE11743" s="3"/>
      <c r="AF11743" s="3"/>
      <c r="AG11743" s="3"/>
      <c r="AH11743" s="3"/>
    </row>
    <row r="11744" spans="1:34" ht="14.25" customHeight="1" x14ac:dyDescent="0.25">
      <c r="A11744" s="3"/>
      <c r="B11744" s="3"/>
      <c r="C11744" s="3"/>
      <c r="D11744" s="3"/>
      <c r="E11744" s="3"/>
      <c r="F11744" s="3"/>
      <c r="G11744" s="3"/>
      <c r="H11744" s="11"/>
      <c r="I11744" s="12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  <c r="AA11744" s="3"/>
      <c r="AB11744" s="3"/>
      <c r="AC11744" s="3"/>
      <c r="AD11744" s="3"/>
      <c r="AE11744" s="3"/>
      <c r="AF11744" s="3"/>
      <c r="AG11744" s="3"/>
      <c r="AH11744" s="3"/>
    </row>
    <row r="11745" spans="1:34" ht="14.25" customHeight="1" x14ac:dyDescent="0.25">
      <c r="A11745" s="3"/>
      <c r="B11745" s="3"/>
      <c r="C11745" s="3"/>
      <c r="D11745" s="3"/>
      <c r="E11745" s="3"/>
      <c r="F11745" s="3"/>
      <c r="G11745" s="3"/>
      <c r="H11745" s="11"/>
      <c r="I11745" s="12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  <c r="AA11745" s="3"/>
      <c r="AB11745" s="3"/>
      <c r="AC11745" s="3"/>
      <c r="AD11745" s="3"/>
      <c r="AE11745" s="3"/>
      <c r="AF11745" s="3"/>
      <c r="AG11745" s="3"/>
      <c r="AH11745" s="3"/>
    </row>
    <row r="11746" spans="1:34" ht="14.25" customHeight="1" x14ac:dyDescent="0.25">
      <c r="A11746" s="3"/>
      <c r="B11746" s="3"/>
      <c r="C11746" s="3"/>
      <c r="D11746" s="3"/>
      <c r="E11746" s="3"/>
      <c r="F11746" s="3"/>
      <c r="G11746" s="3"/>
      <c r="H11746" s="11"/>
      <c r="I11746" s="12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  <c r="AA11746" s="3"/>
      <c r="AB11746" s="3"/>
      <c r="AC11746" s="3"/>
      <c r="AD11746" s="3"/>
      <c r="AE11746" s="3"/>
      <c r="AF11746" s="3"/>
      <c r="AG11746" s="3"/>
      <c r="AH11746" s="3"/>
    </row>
    <row r="11747" spans="1:34" ht="14.25" customHeight="1" x14ac:dyDescent="0.25">
      <c r="A11747" s="3"/>
      <c r="B11747" s="3"/>
      <c r="C11747" s="3"/>
      <c r="D11747" s="3"/>
      <c r="E11747" s="3"/>
      <c r="F11747" s="3"/>
      <c r="G11747" s="3"/>
      <c r="H11747" s="11"/>
      <c r="I11747" s="12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  <c r="AA11747" s="3"/>
      <c r="AB11747" s="3"/>
      <c r="AC11747" s="3"/>
      <c r="AD11747" s="3"/>
      <c r="AE11747" s="3"/>
      <c r="AF11747" s="3"/>
      <c r="AG11747" s="3"/>
      <c r="AH11747" s="3"/>
    </row>
    <row r="11748" spans="1:34" ht="14.25" customHeight="1" x14ac:dyDescent="0.25">
      <c r="A11748" s="3"/>
      <c r="B11748" s="3"/>
      <c r="C11748" s="3"/>
      <c r="D11748" s="3"/>
      <c r="E11748" s="3"/>
      <c r="F11748" s="3"/>
      <c r="G11748" s="3"/>
      <c r="H11748" s="11"/>
      <c r="I11748" s="12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  <c r="AA11748" s="3"/>
      <c r="AB11748" s="3"/>
      <c r="AC11748" s="3"/>
      <c r="AD11748" s="3"/>
      <c r="AE11748" s="3"/>
      <c r="AF11748" s="3"/>
      <c r="AG11748" s="3"/>
      <c r="AH11748" s="3"/>
    </row>
    <row r="11749" spans="1:34" ht="14.25" customHeight="1" x14ac:dyDescent="0.25">
      <c r="A11749" s="3"/>
      <c r="B11749" s="3"/>
      <c r="C11749" s="3"/>
      <c r="D11749" s="3"/>
      <c r="E11749" s="3"/>
      <c r="F11749" s="3"/>
      <c r="G11749" s="3"/>
      <c r="H11749" s="11"/>
      <c r="I11749" s="12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  <c r="AA11749" s="3"/>
      <c r="AB11749" s="3"/>
      <c r="AC11749" s="3"/>
      <c r="AD11749" s="3"/>
      <c r="AE11749" s="3"/>
      <c r="AF11749" s="3"/>
      <c r="AG11749" s="3"/>
      <c r="AH11749" s="3"/>
    </row>
    <row r="11750" spans="1:34" ht="14.25" customHeight="1" x14ac:dyDescent="0.25">
      <c r="A11750" s="3"/>
      <c r="B11750" s="3"/>
      <c r="C11750" s="3"/>
      <c r="D11750" s="3"/>
      <c r="E11750" s="3"/>
      <c r="F11750" s="3"/>
      <c r="G11750" s="3"/>
      <c r="H11750" s="11"/>
      <c r="I11750" s="12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  <c r="AA11750" s="3"/>
      <c r="AB11750" s="3"/>
      <c r="AC11750" s="3"/>
      <c r="AD11750" s="3"/>
      <c r="AE11750" s="3"/>
      <c r="AF11750" s="3"/>
      <c r="AG11750" s="3"/>
      <c r="AH11750" s="3"/>
    </row>
    <row r="11751" spans="1:34" ht="14.25" customHeight="1" x14ac:dyDescent="0.25">
      <c r="A11751" s="3"/>
      <c r="B11751" s="3"/>
      <c r="C11751" s="3"/>
      <c r="D11751" s="3"/>
      <c r="E11751" s="3"/>
      <c r="F11751" s="3"/>
      <c r="G11751" s="3"/>
      <c r="H11751" s="11"/>
      <c r="I11751" s="12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  <c r="AA11751" s="3"/>
      <c r="AB11751" s="3"/>
      <c r="AC11751" s="3"/>
      <c r="AD11751" s="3"/>
      <c r="AE11751" s="3"/>
      <c r="AF11751" s="3"/>
      <c r="AG11751" s="3"/>
      <c r="AH11751" s="3"/>
    </row>
    <row r="11752" spans="1:34" ht="14.25" customHeight="1" x14ac:dyDescent="0.25">
      <c r="A11752" s="3"/>
      <c r="B11752" s="3"/>
      <c r="C11752" s="3"/>
      <c r="D11752" s="3"/>
      <c r="E11752" s="3"/>
      <c r="F11752" s="3"/>
      <c r="G11752" s="3"/>
      <c r="H11752" s="11"/>
      <c r="I11752" s="12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  <c r="AA11752" s="3"/>
      <c r="AB11752" s="3"/>
      <c r="AC11752" s="3"/>
      <c r="AD11752" s="3"/>
      <c r="AE11752" s="3"/>
      <c r="AF11752" s="3"/>
      <c r="AG11752" s="3"/>
      <c r="AH11752" s="3"/>
    </row>
    <row r="11753" spans="1:34" ht="14.25" customHeight="1" x14ac:dyDescent="0.25">
      <c r="A11753" s="3"/>
      <c r="B11753" s="3"/>
      <c r="C11753" s="3"/>
      <c r="D11753" s="3"/>
      <c r="E11753" s="3"/>
      <c r="F11753" s="3"/>
      <c r="G11753" s="3"/>
      <c r="H11753" s="11"/>
      <c r="I11753" s="12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  <c r="AA11753" s="3"/>
      <c r="AB11753" s="3"/>
      <c r="AC11753" s="3"/>
      <c r="AD11753" s="3"/>
      <c r="AE11753" s="3"/>
      <c r="AF11753" s="3"/>
      <c r="AG11753" s="3"/>
      <c r="AH11753" s="3"/>
    </row>
    <row r="11754" spans="1:34" ht="14.25" customHeight="1" x14ac:dyDescent="0.25">
      <c r="A11754" s="3"/>
      <c r="B11754" s="3"/>
      <c r="C11754" s="3"/>
      <c r="D11754" s="3"/>
      <c r="E11754" s="3"/>
      <c r="F11754" s="3"/>
      <c r="G11754" s="3"/>
      <c r="H11754" s="11"/>
      <c r="I11754" s="12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  <c r="AA11754" s="3"/>
      <c r="AB11754" s="3"/>
      <c r="AC11754" s="3"/>
      <c r="AD11754" s="3"/>
      <c r="AE11754" s="3"/>
      <c r="AF11754" s="3"/>
      <c r="AG11754" s="3"/>
      <c r="AH11754" s="3"/>
    </row>
    <row r="11755" spans="1:34" ht="14.25" customHeight="1" x14ac:dyDescent="0.25">
      <c r="A11755" s="3"/>
      <c r="B11755" s="3"/>
      <c r="C11755" s="3"/>
      <c r="D11755" s="3"/>
      <c r="E11755" s="3"/>
      <c r="F11755" s="3"/>
      <c r="G11755" s="3"/>
      <c r="H11755" s="11"/>
      <c r="I11755" s="12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  <c r="AA11755" s="3"/>
      <c r="AB11755" s="3"/>
      <c r="AC11755" s="3"/>
      <c r="AD11755" s="3"/>
      <c r="AE11755" s="3"/>
      <c r="AF11755" s="3"/>
      <c r="AG11755" s="3"/>
      <c r="AH11755" s="3"/>
    </row>
    <row r="11756" spans="1:34" ht="14.25" customHeight="1" x14ac:dyDescent="0.25">
      <c r="A11756" s="3"/>
      <c r="B11756" s="3"/>
      <c r="C11756" s="3"/>
      <c r="D11756" s="3"/>
      <c r="E11756" s="3"/>
      <c r="F11756" s="3"/>
      <c r="G11756" s="3"/>
      <c r="H11756" s="11"/>
      <c r="I11756" s="12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  <c r="AA11756" s="3"/>
      <c r="AB11756" s="3"/>
      <c r="AC11756" s="3"/>
      <c r="AD11756" s="3"/>
      <c r="AE11756" s="3"/>
      <c r="AF11756" s="3"/>
      <c r="AG11756" s="3"/>
      <c r="AH11756" s="3"/>
    </row>
    <row r="11757" spans="1:34" ht="14.25" customHeight="1" x14ac:dyDescent="0.25">
      <c r="A11757" s="3"/>
      <c r="B11757" s="3"/>
      <c r="C11757" s="3"/>
      <c r="D11757" s="3"/>
      <c r="E11757" s="3"/>
      <c r="F11757" s="3"/>
      <c r="G11757" s="3"/>
      <c r="H11757" s="11"/>
      <c r="I11757" s="12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  <c r="AA11757" s="3"/>
      <c r="AB11757" s="3"/>
      <c r="AC11757" s="3"/>
      <c r="AD11757" s="3"/>
      <c r="AE11757" s="3"/>
      <c r="AF11757" s="3"/>
      <c r="AG11757" s="3"/>
      <c r="AH11757" s="3"/>
    </row>
    <row r="11758" spans="1:34" ht="14.25" customHeight="1" x14ac:dyDescent="0.25">
      <c r="A11758" s="3"/>
      <c r="B11758" s="3"/>
      <c r="C11758" s="3"/>
      <c r="D11758" s="3"/>
      <c r="E11758" s="3"/>
      <c r="F11758" s="3"/>
      <c r="G11758" s="3"/>
      <c r="H11758" s="11"/>
      <c r="I11758" s="12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  <c r="AA11758" s="3"/>
      <c r="AB11758" s="3"/>
      <c r="AC11758" s="3"/>
      <c r="AD11758" s="3"/>
      <c r="AE11758" s="3"/>
      <c r="AF11758" s="3"/>
      <c r="AG11758" s="3"/>
      <c r="AH11758" s="3"/>
    </row>
    <row r="11759" spans="1:34" ht="14.25" customHeight="1" x14ac:dyDescent="0.25">
      <c r="A11759" s="3"/>
      <c r="B11759" s="3"/>
      <c r="C11759" s="3"/>
      <c r="D11759" s="3"/>
      <c r="E11759" s="3"/>
      <c r="F11759" s="3"/>
      <c r="G11759" s="3"/>
      <c r="H11759" s="11"/>
      <c r="I11759" s="12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  <c r="AA11759" s="3"/>
      <c r="AB11759" s="3"/>
      <c r="AC11759" s="3"/>
      <c r="AD11759" s="3"/>
      <c r="AE11759" s="3"/>
      <c r="AF11759" s="3"/>
      <c r="AG11759" s="3"/>
      <c r="AH11759" s="3"/>
    </row>
    <row r="11760" spans="1:34" ht="14.25" customHeight="1" x14ac:dyDescent="0.25">
      <c r="A11760" s="3"/>
      <c r="B11760" s="3"/>
      <c r="C11760" s="3"/>
      <c r="D11760" s="3"/>
      <c r="E11760" s="3"/>
      <c r="F11760" s="3"/>
      <c r="G11760" s="3"/>
      <c r="H11760" s="11"/>
      <c r="I11760" s="12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  <c r="AA11760" s="3"/>
      <c r="AB11760" s="3"/>
      <c r="AC11760" s="3"/>
      <c r="AD11760" s="3"/>
      <c r="AE11760" s="3"/>
      <c r="AF11760" s="3"/>
      <c r="AG11760" s="3"/>
      <c r="AH11760" s="3"/>
    </row>
    <row r="11761" spans="1:34" ht="14.25" customHeight="1" x14ac:dyDescent="0.25">
      <c r="A11761" s="3"/>
      <c r="B11761" s="3"/>
      <c r="C11761" s="3"/>
      <c r="D11761" s="3"/>
      <c r="E11761" s="3"/>
      <c r="F11761" s="3"/>
      <c r="G11761" s="3"/>
      <c r="H11761" s="11"/>
      <c r="I11761" s="12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  <c r="AA11761" s="3"/>
      <c r="AB11761" s="3"/>
      <c r="AC11761" s="3"/>
      <c r="AD11761" s="3"/>
      <c r="AE11761" s="3"/>
      <c r="AF11761" s="3"/>
      <c r="AG11761" s="3"/>
      <c r="AH11761" s="3"/>
    </row>
    <row r="11762" spans="1:34" ht="14.25" customHeight="1" x14ac:dyDescent="0.25">
      <c r="A11762" s="3"/>
      <c r="B11762" s="3"/>
      <c r="C11762" s="3"/>
      <c r="D11762" s="3"/>
      <c r="E11762" s="3"/>
      <c r="F11762" s="3"/>
      <c r="G11762" s="3"/>
      <c r="H11762" s="11"/>
      <c r="I11762" s="12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  <c r="AA11762" s="3"/>
      <c r="AB11762" s="3"/>
      <c r="AC11762" s="3"/>
      <c r="AD11762" s="3"/>
      <c r="AE11762" s="3"/>
      <c r="AF11762" s="3"/>
      <c r="AG11762" s="3"/>
      <c r="AH11762" s="3"/>
    </row>
    <row r="11763" spans="1:34" ht="14.25" customHeight="1" x14ac:dyDescent="0.25">
      <c r="A11763" s="3"/>
      <c r="B11763" s="3"/>
      <c r="C11763" s="3"/>
      <c r="D11763" s="3"/>
      <c r="E11763" s="3"/>
      <c r="F11763" s="3"/>
      <c r="G11763" s="3"/>
      <c r="H11763" s="11"/>
      <c r="I11763" s="12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  <c r="AA11763" s="3"/>
      <c r="AB11763" s="3"/>
      <c r="AC11763" s="3"/>
      <c r="AD11763" s="3"/>
      <c r="AE11763" s="3"/>
      <c r="AF11763" s="3"/>
      <c r="AG11763" s="3"/>
      <c r="AH11763" s="3"/>
    </row>
    <row r="11764" spans="1:34" ht="14.25" customHeight="1" x14ac:dyDescent="0.25">
      <c r="A11764" s="3"/>
      <c r="B11764" s="3"/>
      <c r="C11764" s="3"/>
      <c r="D11764" s="3"/>
      <c r="E11764" s="3"/>
      <c r="F11764" s="3"/>
      <c r="G11764" s="3"/>
      <c r="H11764" s="11"/>
      <c r="I11764" s="12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  <c r="AA11764" s="3"/>
      <c r="AB11764" s="3"/>
      <c r="AC11764" s="3"/>
      <c r="AD11764" s="3"/>
      <c r="AE11764" s="3"/>
      <c r="AF11764" s="3"/>
      <c r="AG11764" s="3"/>
      <c r="AH11764" s="3"/>
    </row>
    <row r="11765" spans="1:34" ht="14.25" customHeight="1" x14ac:dyDescent="0.25">
      <c r="A11765" s="3"/>
      <c r="B11765" s="3"/>
      <c r="C11765" s="3"/>
      <c r="D11765" s="3"/>
      <c r="E11765" s="3"/>
      <c r="F11765" s="3"/>
      <c r="G11765" s="3"/>
      <c r="H11765" s="11"/>
      <c r="I11765" s="12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  <c r="AA11765" s="3"/>
      <c r="AB11765" s="3"/>
      <c r="AC11765" s="3"/>
      <c r="AD11765" s="3"/>
      <c r="AE11765" s="3"/>
      <c r="AF11765" s="3"/>
      <c r="AG11765" s="3"/>
      <c r="AH11765" s="3"/>
    </row>
    <row r="11766" spans="1:34" ht="14.25" customHeight="1" x14ac:dyDescent="0.25">
      <c r="A11766" s="3"/>
      <c r="B11766" s="3"/>
      <c r="C11766" s="3"/>
      <c r="D11766" s="3"/>
      <c r="E11766" s="3"/>
      <c r="F11766" s="3"/>
      <c r="G11766" s="3"/>
      <c r="H11766" s="11"/>
      <c r="I11766" s="12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  <c r="AA11766" s="3"/>
      <c r="AB11766" s="3"/>
      <c r="AC11766" s="3"/>
      <c r="AD11766" s="3"/>
      <c r="AE11766" s="3"/>
      <c r="AF11766" s="3"/>
      <c r="AG11766" s="3"/>
      <c r="AH11766" s="3"/>
    </row>
    <row r="11767" spans="1:34" ht="14.25" customHeight="1" x14ac:dyDescent="0.25">
      <c r="A11767" s="3"/>
      <c r="B11767" s="3"/>
      <c r="C11767" s="3"/>
      <c r="D11767" s="3"/>
      <c r="E11767" s="3"/>
      <c r="F11767" s="3"/>
      <c r="G11767" s="3"/>
      <c r="H11767" s="11"/>
      <c r="I11767" s="12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  <c r="AA11767" s="3"/>
      <c r="AB11767" s="3"/>
      <c r="AC11767" s="3"/>
      <c r="AD11767" s="3"/>
      <c r="AE11767" s="3"/>
      <c r="AF11767" s="3"/>
      <c r="AG11767" s="3"/>
      <c r="AH11767" s="3"/>
    </row>
    <row r="11768" spans="1:34" ht="14.25" customHeight="1" x14ac:dyDescent="0.25">
      <c r="A11768" s="3"/>
      <c r="B11768" s="3"/>
      <c r="C11768" s="3"/>
      <c r="D11768" s="3"/>
      <c r="E11768" s="3"/>
      <c r="F11768" s="3"/>
      <c r="G11768" s="3"/>
      <c r="H11768" s="11"/>
      <c r="I11768" s="12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  <c r="AA11768" s="3"/>
      <c r="AB11768" s="3"/>
      <c r="AC11768" s="3"/>
      <c r="AD11768" s="3"/>
      <c r="AE11768" s="3"/>
      <c r="AF11768" s="3"/>
      <c r="AG11768" s="3"/>
      <c r="AH11768" s="3"/>
    </row>
    <row r="11769" spans="1:34" ht="14.25" customHeight="1" x14ac:dyDescent="0.25">
      <c r="A11769" s="3"/>
      <c r="B11769" s="3"/>
      <c r="C11769" s="3"/>
      <c r="D11769" s="3"/>
      <c r="E11769" s="3"/>
      <c r="F11769" s="3"/>
      <c r="G11769" s="3"/>
      <c r="H11769" s="11"/>
      <c r="I11769" s="12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  <c r="AA11769" s="3"/>
      <c r="AB11769" s="3"/>
      <c r="AC11769" s="3"/>
      <c r="AD11769" s="3"/>
      <c r="AE11769" s="3"/>
      <c r="AF11769" s="3"/>
      <c r="AG11769" s="3"/>
      <c r="AH11769" s="3"/>
    </row>
    <row r="11770" spans="1:34" ht="14.25" customHeight="1" x14ac:dyDescent="0.25">
      <c r="A11770" s="3"/>
      <c r="B11770" s="3"/>
      <c r="C11770" s="3"/>
      <c r="D11770" s="3"/>
      <c r="E11770" s="3"/>
      <c r="F11770" s="3"/>
      <c r="G11770" s="3"/>
      <c r="H11770" s="11"/>
      <c r="I11770" s="12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  <c r="AA11770" s="3"/>
      <c r="AB11770" s="3"/>
      <c r="AC11770" s="3"/>
      <c r="AD11770" s="3"/>
      <c r="AE11770" s="3"/>
      <c r="AF11770" s="3"/>
      <c r="AG11770" s="3"/>
      <c r="AH11770" s="3"/>
    </row>
    <row r="11771" spans="1:34" ht="14.25" customHeight="1" x14ac:dyDescent="0.25">
      <c r="A11771" s="3"/>
      <c r="B11771" s="3"/>
      <c r="C11771" s="3"/>
      <c r="D11771" s="3"/>
      <c r="E11771" s="3"/>
      <c r="F11771" s="3"/>
      <c r="G11771" s="3"/>
      <c r="H11771" s="11"/>
      <c r="I11771" s="12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  <c r="AA11771" s="3"/>
      <c r="AB11771" s="3"/>
      <c r="AC11771" s="3"/>
      <c r="AD11771" s="3"/>
      <c r="AE11771" s="3"/>
      <c r="AF11771" s="3"/>
      <c r="AG11771" s="3"/>
      <c r="AH11771" s="3"/>
    </row>
    <row r="11772" spans="1:34" ht="14.25" customHeight="1" x14ac:dyDescent="0.25">
      <c r="A11772" s="3"/>
      <c r="B11772" s="3"/>
      <c r="C11772" s="3"/>
      <c r="D11772" s="3"/>
      <c r="E11772" s="3"/>
      <c r="F11772" s="3"/>
      <c r="G11772" s="3"/>
      <c r="H11772" s="11"/>
      <c r="I11772" s="12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  <c r="AA11772" s="3"/>
      <c r="AB11772" s="3"/>
      <c r="AC11772" s="3"/>
      <c r="AD11772" s="3"/>
      <c r="AE11772" s="3"/>
      <c r="AF11772" s="3"/>
      <c r="AG11772" s="3"/>
      <c r="AH11772" s="3"/>
    </row>
    <row r="11773" spans="1:34" ht="14.25" customHeight="1" x14ac:dyDescent="0.25">
      <c r="A11773" s="3"/>
      <c r="B11773" s="3"/>
      <c r="C11773" s="3"/>
      <c r="D11773" s="3"/>
      <c r="E11773" s="3"/>
      <c r="F11773" s="3"/>
      <c r="G11773" s="3"/>
      <c r="H11773" s="11"/>
      <c r="I11773" s="12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  <c r="AA11773" s="3"/>
      <c r="AB11773" s="3"/>
      <c r="AC11773" s="3"/>
      <c r="AD11773" s="3"/>
      <c r="AE11773" s="3"/>
      <c r="AF11773" s="3"/>
      <c r="AG11773" s="3"/>
      <c r="AH11773" s="3"/>
    </row>
    <row r="11774" spans="1:34" ht="14.25" customHeight="1" x14ac:dyDescent="0.25">
      <c r="A11774" s="3"/>
      <c r="B11774" s="3"/>
      <c r="C11774" s="3"/>
      <c r="D11774" s="3"/>
      <c r="E11774" s="3"/>
      <c r="F11774" s="3"/>
      <c r="G11774" s="3"/>
      <c r="H11774" s="11"/>
      <c r="I11774" s="12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  <c r="AA11774" s="3"/>
      <c r="AB11774" s="3"/>
      <c r="AC11774" s="3"/>
      <c r="AD11774" s="3"/>
      <c r="AE11774" s="3"/>
      <c r="AF11774" s="3"/>
      <c r="AG11774" s="3"/>
      <c r="AH11774" s="3"/>
    </row>
    <row r="11775" spans="1:34" ht="14.25" customHeight="1" x14ac:dyDescent="0.25">
      <c r="A11775" s="3"/>
      <c r="B11775" s="3"/>
      <c r="C11775" s="3"/>
      <c r="D11775" s="3"/>
      <c r="E11775" s="3"/>
      <c r="F11775" s="3"/>
      <c r="G11775" s="3"/>
      <c r="H11775" s="11"/>
      <c r="I11775" s="12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  <c r="AA11775" s="3"/>
      <c r="AB11775" s="3"/>
      <c r="AC11775" s="3"/>
      <c r="AD11775" s="3"/>
      <c r="AE11775" s="3"/>
      <c r="AF11775" s="3"/>
      <c r="AG11775" s="3"/>
      <c r="AH11775" s="3"/>
    </row>
    <row r="11776" spans="1:34" ht="14.25" customHeight="1" x14ac:dyDescent="0.25">
      <c r="A11776" s="3"/>
      <c r="B11776" s="3"/>
      <c r="C11776" s="3"/>
      <c r="D11776" s="3"/>
      <c r="E11776" s="3"/>
      <c r="F11776" s="3"/>
      <c r="G11776" s="3"/>
      <c r="H11776" s="11"/>
      <c r="I11776" s="12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  <c r="AA11776" s="3"/>
      <c r="AB11776" s="3"/>
      <c r="AC11776" s="3"/>
      <c r="AD11776" s="3"/>
      <c r="AE11776" s="3"/>
      <c r="AF11776" s="3"/>
      <c r="AG11776" s="3"/>
      <c r="AH11776" s="3"/>
    </row>
    <row r="11777" spans="1:34" ht="14.25" customHeight="1" x14ac:dyDescent="0.25">
      <c r="A11777" s="3"/>
      <c r="B11777" s="3"/>
      <c r="C11777" s="3"/>
      <c r="D11777" s="3"/>
      <c r="E11777" s="3"/>
      <c r="F11777" s="3"/>
      <c r="G11777" s="3"/>
      <c r="H11777" s="11"/>
      <c r="I11777" s="12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  <c r="AA11777" s="3"/>
      <c r="AB11777" s="3"/>
      <c r="AC11777" s="3"/>
      <c r="AD11777" s="3"/>
      <c r="AE11777" s="3"/>
      <c r="AF11777" s="3"/>
      <c r="AG11777" s="3"/>
      <c r="AH11777" s="3"/>
    </row>
    <row r="11778" spans="1:34" ht="14.25" customHeight="1" x14ac:dyDescent="0.25">
      <c r="A11778" s="3"/>
      <c r="B11778" s="3"/>
      <c r="C11778" s="3"/>
      <c r="D11778" s="3"/>
      <c r="E11778" s="3"/>
      <c r="F11778" s="3"/>
      <c r="G11778" s="3"/>
      <c r="H11778" s="11"/>
      <c r="I11778" s="12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  <c r="AA11778" s="3"/>
      <c r="AB11778" s="3"/>
      <c r="AC11778" s="3"/>
      <c r="AD11778" s="3"/>
      <c r="AE11778" s="3"/>
      <c r="AF11778" s="3"/>
      <c r="AG11778" s="3"/>
      <c r="AH11778" s="3"/>
    </row>
    <row r="11779" spans="1:34" ht="14.25" customHeight="1" x14ac:dyDescent="0.25">
      <c r="A11779" s="3"/>
      <c r="B11779" s="3"/>
      <c r="C11779" s="3"/>
      <c r="D11779" s="3"/>
      <c r="E11779" s="3"/>
      <c r="F11779" s="3"/>
      <c r="G11779" s="3"/>
      <c r="H11779" s="11"/>
      <c r="I11779" s="12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  <c r="AA11779" s="3"/>
      <c r="AB11779" s="3"/>
      <c r="AC11779" s="3"/>
      <c r="AD11779" s="3"/>
      <c r="AE11779" s="3"/>
      <c r="AF11779" s="3"/>
      <c r="AG11779" s="3"/>
      <c r="AH11779" s="3"/>
    </row>
    <row r="11780" spans="1:34" ht="14.25" customHeight="1" x14ac:dyDescent="0.25">
      <c r="A11780" s="3"/>
      <c r="B11780" s="3"/>
      <c r="C11780" s="3"/>
      <c r="D11780" s="3"/>
      <c r="E11780" s="3"/>
      <c r="F11780" s="3"/>
      <c r="G11780" s="3"/>
      <c r="H11780" s="11"/>
      <c r="I11780" s="12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  <c r="AA11780" s="3"/>
      <c r="AB11780" s="3"/>
      <c r="AC11780" s="3"/>
      <c r="AD11780" s="3"/>
      <c r="AE11780" s="3"/>
      <c r="AF11780" s="3"/>
      <c r="AG11780" s="3"/>
      <c r="AH11780" s="3"/>
    </row>
    <row r="11781" spans="1:34" ht="14.25" customHeight="1" x14ac:dyDescent="0.25">
      <c r="A11781" s="3"/>
      <c r="B11781" s="3"/>
      <c r="C11781" s="3"/>
      <c r="D11781" s="3"/>
      <c r="E11781" s="3"/>
      <c r="F11781" s="3"/>
      <c r="G11781" s="3"/>
      <c r="H11781" s="11"/>
      <c r="I11781" s="12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  <c r="AA11781" s="3"/>
      <c r="AB11781" s="3"/>
      <c r="AC11781" s="3"/>
      <c r="AD11781" s="3"/>
      <c r="AE11781" s="3"/>
      <c r="AF11781" s="3"/>
      <c r="AG11781" s="3"/>
      <c r="AH11781" s="3"/>
    </row>
    <row r="11782" spans="1:34" ht="14.25" customHeight="1" x14ac:dyDescent="0.25">
      <c r="A11782" s="3"/>
      <c r="B11782" s="3"/>
      <c r="C11782" s="3"/>
      <c r="D11782" s="3"/>
      <c r="E11782" s="3"/>
      <c r="F11782" s="3"/>
      <c r="G11782" s="3"/>
      <c r="H11782" s="11"/>
      <c r="I11782" s="12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  <c r="AA11782" s="3"/>
      <c r="AB11782" s="3"/>
      <c r="AC11782" s="3"/>
      <c r="AD11782" s="3"/>
      <c r="AE11782" s="3"/>
      <c r="AF11782" s="3"/>
      <c r="AG11782" s="3"/>
      <c r="AH11782" s="3"/>
    </row>
    <row r="11783" spans="1:34" ht="14.25" customHeight="1" x14ac:dyDescent="0.25">
      <c r="A11783" s="3"/>
      <c r="B11783" s="3"/>
      <c r="C11783" s="3"/>
      <c r="D11783" s="3"/>
      <c r="E11783" s="3"/>
      <c r="F11783" s="3"/>
      <c r="G11783" s="3"/>
      <c r="H11783" s="11"/>
      <c r="I11783" s="12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  <c r="AA11783" s="3"/>
      <c r="AB11783" s="3"/>
      <c r="AC11783" s="3"/>
      <c r="AD11783" s="3"/>
      <c r="AE11783" s="3"/>
      <c r="AF11783" s="3"/>
      <c r="AG11783" s="3"/>
      <c r="AH11783" s="3"/>
    </row>
    <row r="11784" spans="1:34" ht="14.25" customHeight="1" x14ac:dyDescent="0.25">
      <c r="A11784" s="3"/>
      <c r="B11784" s="3"/>
      <c r="C11784" s="3"/>
      <c r="D11784" s="3"/>
      <c r="E11784" s="3"/>
      <c r="F11784" s="3"/>
      <c r="G11784" s="3"/>
      <c r="H11784" s="11"/>
      <c r="I11784" s="12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  <c r="AA11784" s="3"/>
      <c r="AB11784" s="3"/>
      <c r="AC11784" s="3"/>
      <c r="AD11784" s="3"/>
      <c r="AE11784" s="3"/>
      <c r="AF11784" s="3"/>
      <c r="AG11784" s="3"/>
      <c r="AH11784" s="3"/>
    </row>
    <row r="11785" spans="1:34" ht="14.25" customHeight="1" x14ac:dyDescent="0.25">
      <c r="A11785" s="3"/>
      <c r="B11785" s="3"/>
      <c r="C11785" s="3"/>
      <c r="D11785" s="3"/>
      <c r="E11785" s="3"/>
      <c r="F11785" s="3"/>
      <c r="G11785" s="3"/>
      <c r="H11785" s="11"/>
      <c r="I11785" s="12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  <c r="AA11785" s="3"/>
      <c r="AB11785" s="3"/>
      <c r="AC11785" s="3"/>
      <c r="AD11785" s="3"/>
      <c r="AE11785" s="3"/>
      <c r="AF11785" s="3"/>
      <c r="AG11785" s="3"/>
      <c r="AH11785" s="3"/>
    </row>
    <row r="11786" spans="1:34" ht="14.25" customHeight="1" x14ac:dyDescent="0.25">
      <c r="A11786" s="3"/>
      <c r="B11786" s="3"/>
      <c r="C11786" s="3"/>
      <c r="D11786" s="3"/>
      <c r="E11786" s="3"/>
      <c r="F11786" s="3"/>
      <c r="G11786" s="3"/>
      <c r="H11786" s="11"/>
      <c r="I11786" s="12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  <c r="AA11786" s="3"/>
      <c r="AB11786" s="3"/>
      <c r="AC11786" s="3"/>
      <c r="AD11786" s="3"/>
      <c r="AE11786" s="3"/>
      <c r="AF11786" s="3"/>
      <c r="AG11786" s="3"/>
      <c r="AH11786" s="3"/>
    </row>
    <row r="11787" spans="1:34" ht="14.25" customHeight="1" x14ac:dyDescent="0.25">
      <c r="A11787" s="3"/>
      <c r="B11787" s="3"/>
      <c r="C11787" s="3"/>
      <c r="D11787" s="3"/>
      <c r="E11787" s="3"/>
      <c r="F11787" s="3"/>
      <c r="G11787" s="3"/>
      <c r="H11787" s="11"/>
      <c r="I11787" s="12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  <c r="AA11787" s="3"/>
      <c r="AB11787" s="3"/>
      <c r="AC11787" s="3"/>
      <c r="AD11787" s="3"/>
      <c r="AE11787" s="3"/>
      <c r="AF11787" s="3"/>
      <c r="AG11787" s="3"/>
      <c r="AH11787" s="3"/>
    </row>
    <row r="11788" spans="1:34" ht="14.25" customHeight="1" x14ac:dyDescent="0.25">
      <c r="A11788" s="3"/>
      <c r="B11788" s="3"/>
      <c r="C11788" s="3"/>
      <c r="D11788" s="3"/>
      <c r="E11788" s="3"/>
      <c r="F11788" s="3"/>
      <c r="G11788" s="3"/>
      <c r="H11788" s="11"/>
      <c r="I11788" s="12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  <c r="AA11788" s="3"/>
      <c r="AB11788" s="3"/>
      <c r="AC11788" s="3"/>
      <c r="AD11788" s="3"/>
      <c r="AE11788" s="3"/>
      <c r="AF11788" s="3"/>
      <c r="AG11788" s="3"/>
      <c r="AH11788" s="3"/>
    </row>
    <row r="11789" spans="1:34" ht="14.25" customHeight="1" x14ac:dyDescent="0.25">
      <c r="A11789" s="3"/>
      <c r="B11789" s="3"/>
      <c r="C11789" s="3"/>
      <c r="D11789" s="3"/>
      <c r="E11789" s="3"/>
      <c r="F11789" s="3"/>
      <c r="G11789" s="3"/>
      <c r="H11789" s="11"/>
      <c r="I11789" s="12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  <c r="AA11789" s="3"/>
      <c r="AB11789" s="3"/>
      <c r="AC11789" s="3"/>
      <c r="AD11789" s="3"/>
      <c r="AE11789" s="3"/>
      <c r="AF11789" s="3"/>
      <c r="AG11789" s="3"/>
      <c r="AH11789" s="3"/>
    </row>
    <row r="11790" spans="1:34" ht="14.25" customHeight="1" x14ac:dyDescent="0.25">
      <c r="A11790" s="3"/>
      <c r="B11790" s="3"/>
      <c r="C11790" s="3"/>
      <c r="D11790" s="3"/>
      <c r="E11790" s="3"/>
      <c r="F11790" s="3"/>
      <c r="G11790" s="3"/>
      <c r="H11790" s="11"/>
      <c r="I11790" s="12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  <c r="AA11790" s="3"/>
      <c r="AB11790" s="3"/>
      <c r="AC11790" s="3"/>
      <c r="AD11790" s="3"/>
      <c r="AE11790" s="3"/>
      <c r="AF11790" s="3"/>
      <c r="AG11790" s="3"/>
      <c r="AH11790" s="3"/>
    </row>
    <row r="11791" spans="1:34" ht="14.25" customHeight="1" x14ac:dyDescent="0.25">
      <c r="A11791" s="3"/>
      <c r="B11791" s="3"/>
      <c r="C11791" s="3"/>
      <c r="D11791" s="3"/>
      <c r="E11791" s="3"/>
      <c r="F11791" s="3"/>
      <c r="G11791" s="3"/>
      <c r="H11791" s="11"/>
      <c r="I11791" s="12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  <c r="AA11791" s="3"/>
      <c r="AB11791" s="3"/>
      <c r="AC11791" s="3"/>
      <c r="AD11791" s="3"/>
      <c r="AE11791" s="3"/>
      <c r="AF11791" s="3"/>
      <c r="AG11791" s="3"/>
      <c r="AH11791" s="3"/>
    </row>
    <row r="11792" spans="1:34" ht="14.25" customHeight="1" x14ac:dyDescent="0.25">
      <c r="A11792" s="3"/>
      <c r="B11792" s="3"/>
      <c r="C11792" s="3"/>
      <c r="D11792" s="3"/>
      <c r="E11792" s="3"/>
      <c r="F11792" s="3"/>
      <c r="G11792" s="3"/>
      <c r="H11792" s="11"/>
      <c r="I11792" s="12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  <c r="AA11792" s="3"/>
      <c r="AB11792" s="3"/>
      <c r="AC11792" s="3"/>
      <c r="AD11792" s="3"/>
      <c r="AE11792" s="3"/>
      <c r="AF11792" s="3"/>
      <c r="AG11792" s="3"/>
      <c r="AH11792" s="3"/>
    </row>
    <row r="11793" spans="1:34" ht="14.25" customHeight="1" x14ac:dyDescent="0.25">
      <c r="A11793" s="3"/>
      <c r="B11793" s="3"/>
      <c r="C11793" s="3"/>
      <c r="D11793" s="3"/>
      <c r="E11793" s="3"/>
      <c r="F11793" s="3"/>
      <c r="G11793" s="3"/>
      <c r="H11793" s="11"/>
      <c r="I11793" s="12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  <c r="AA11793" s="3"/>
      <c r="AB11793" s="3"/>
      <c r="AC11793" s="3"/>
      <c r="AD11793" s="3"/>
      <c r="AE11793" s="3"/>
      <c r="AF11793" s="3"/>
      <c r="AG11793" s="3"/>
      <c r="AH11793" s="3"/>
    </row>
    <row r="11794" spans="1:34" ht="14.25" customHeight="1" x14ac:dyDescent="0.25">
      <c r="A11794" s="3"/>
      <c r="B11794" s="3"/>
      <c r="C11794" s="3"/>
      <c r="D11794" s="3"/>
      <c r="E11794" s="3"/>
      <c r="F11794" s="3"/>
      <c r="G11794" s="3"/>
      <c r="H11794" s="11"/>
      <c r="I11794" s="12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  <c r="AA11794" s="3"/>
      <c r="AB11794" s="3"/>
      <c r="AC11794" s="3"/>
      <c r="AD11794" s="3"/>
      <c r="AE11794" s="3"/>
      <c r="AF11794" s="3"/>
      <c r="AG11794" s="3"/>
      <c r="AH11794" s="3"/>
    </row>
    <row r="11795" spans="1:34" ht="14.25" customHeight="1" x14ac:dyDescent="0.25">
      <c r="A11795" s="3"/>
      <c r="B11795" s="3"/>
      <c r="C11795" s="3"/>
      <c r="D11795" s="3"/>
      <c r="E11795" s="3"/>
      <c r="F11795" s="3"/>
      <c r="G11795" s="3"/>
      <c r="H11795" s="11"/>
      <c r="I11795" s="12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  <c r="AA11795" s="3"/>
      <c r="AB11795" s="3"/>
      <c r="AC11795" s="3"/>
      <c r="AD11795" s="3"/>
      <c r="AE11795" s="3"/>
      <c r="AF11795" s="3"/>
      <c r="AG11795" s="3"/>
      <c r="AH11795" s="3"/>
    </row>
    <row r="11796" spans="1:34" ht="14.25" customHeight="1" x14ac:dyDescent="0.25">
      <c r="A11796" s="3"/>
      <c r="B11796" s="3"/>
      <c r="C11796" s="3"/>
      <c r="D11796" s="3"/>
      <c r="E11796" s="3"/>
      <c r="F11796" s="3"/>
      <c r="G11796" s="3"/>
      <c r="H11796" s="11"/>
      <c r="I11796" s="12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  <c r="AA11796" s="3"/>
      <c r="AB11796" s="3"/>
      <c r="AC11796" s="3"/>
      <c r="AD11796" s="3"/>
      <c r="AE11796" s="3"/>
      <c r="AF11796" s="3"/>
      <c r="AG11796" s="3"/>
      <c r="AH11796" s="3"/>
    </row>
    <row r="11797" spans="1:34" ht="14.25" customHeight="1" x14ac:dyDescent="0.25">
      <c r="A11797" s="3"/>
      <c r="B11797" s="3"/>
      <c r="C11797" s="3"/>
      <c r="D11797" s="3"/>
      <c r="E11797" s="3"/>
      <c r="F11797" s="3"/>
      <c r="G11797" s="3"/>
      <c r="H11797" s="11"/>
      <c r="I11797" s="12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  <c r="AA11797" s="3"/>
      <c r="AB11797" s="3"/>
      <c r="AC11797" s="3"/>
      <c r="AD11797" s="3"/>
      <c r="AE11797" s="3"/>
      <c r="AF11797" s="3"/>
      <c r="AG11797" s="3"/>
      <c r="AH11797" s="3"/>
    </row>
    <row r="11798" spans="1:34" ht="14.25" customHeight="1" x14ac:dyDescent="0.25">
      <c r="A11798" s="3"/>
      <c r="B11798" s="3"/>
      <c r="C11798" s="3"/>
      <c r="D11798" s="3"/>
      <c r="E11798" s="3"/>
      <c r="F11798" s="3"/>
      <c r="G11798" s="3"/>
      <c r="H11798" s="11"/>
      <c r="I11798" s="12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  <c r="AA11798" s="3"/>
      <c r="AB11798" s="3"/>
      <c r="AC11798" s="3"/>
      <c r="AD11798" s="3"/>
      <c r="AE11798" s="3"/>
      <c r="AF11798" s="3"/>
      <c r="AG11798" s="3"/>
      <c r="AH11798" s="3"/>
    </row>
    <row r="11799" spans="1:34" ht="14.25" customHeight="1" x14ac:dyDescent="0.25">
      <c r="A11799" s="3"/>
      <c r="B11799" s="3"/>
      <c r="C11799" s="3"/>
      <c r="D11799" s="3"/>
      <c r="E11799" s="3"/>
      <c r="F11799" s="3"/>
      <c r="G11799" s="3"/>
      <c r="H11799" s="11"/>
      <c r="I11799" s="12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  <c r="AA11799" s="3"/>
      <c r="AB11799" s="3"/>
      <c r="AC11799" s="3"/>
      <c r="AD11799" s="3"/>
      <c r="AE11799" s="3"/>
      <c r="AF11799" s="3"/>
      <c r="AG11799" s="3"/>
      <c r="AH11799" s="3"/>
    </row>
    <row r="11800" spans="1:34" ht="14.25" customHeight="1" x14ac:dyDescent="0.25">
      <c r="A11800" s="3"/>
      <c r="B11800" s="3"/>
      <c r="C11800" s="3"/>
      <c r="D11800" s="3"/>
      <c r="E11800" s="3"/>
      <c r="F11800" s="3"/>
      <c r="G11800" s="3"/>
      <c r="H11800" s="11"/>
      <c r="I11800" s="12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  <c r="AA11800" s="3"/>
      <c r="AB11800" s="3"/>
      <c r="AC11800" s="3"/>
      <c r="AD11800" s="3"/>
      <c r="AE11800" s="3"/>
      <c r="AF11800" s="3"/>
      <c r="AG11800" s="3"/>
      <c r="AH11800" s="3"/>
    </row>
    <row r="11801" spans="1:34" ht="14.25" customHeight="1" x14ac:dyDescent="0.25">
      <c r="A11801" s="3"/>
      <c r="B11801" s="3"/>
      <c r="C11801" s="3"/>
      <c r="D11801" s="3"/>
      <c r="E11801" s="3"/>
      <c r="F11801" s="3"/>
      <c r="G11801" s="3"/>
      <c r="H11801" s="11"/>
      <c r="I11801" s="12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  <c r="AA11801" s="3"/>
      <c r="AB11801" s="3"/>
      <c r="AC11801" s="3"/>
      <c r="AD11801" s="3"/>
      <c r="AE11801" s="3"/>
      <c r="AF11801" s="3"/>
      <c r="AG11801" s="3"/>
      <c r="AH11801" s="3"/>
    </row>
    <row r="11802" spans="1:34" ht="14.25" customHeight="1" x14ac:dyDescent="0.25">
      <c r="A11802" s="3"/>
      <c r="B11802" s="3"/>
      <c r="C11802" s="3"/>
      <c r="D11802" s="3"/>
      <c r="E11802" s="3"/>
      <c r="F11802" s="3"/>
      <c r="G11802" s="3"/>
      <c r="H11802" s="11"/>
      <c r="I11802" s="12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  <c r="AA11802" s="3"/>
      <c r="AB11802" s="3"/>
      <c r="AC11802" s="3"/>
      <c r="AD11802" s="3"/>
      <c r="AE11802" s="3"/>
      <c r="AF11802" s="3"/>
      <c r="AG11802" s="3"/>
      <c r="AH11802" s="3"/>
    </row>
    <row r="11803" spans="1:34" ht="14.25" customHeight="1" x14ac:dyDescent="0.25">
      <c r="A11803" s="3"/>
      <c r="B11803" s="3"/>
      <c r="C11803" s="3"/>
      <c r="D11803" s="3"/>
      <c r="E11803" s="3"/>
      <c r="F11803" s="3"/>
      <c r="G11803" s="3"/>
      <c r="H11803" s="11"/>
      <c r="I11803" s="12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  <c r="AA11803" s="3"/>
      <c r="AB11803" s="3"/>
      <c r="AC11803" s="3"/>
      <c r="AD11803" s="3"/>
      <c r="AE11803" s="3"/>
      <c r="AF11803" s="3"/>
      <c r="AG11803" s="3"/>
      <c r="AH11803" s="3"/>
    </row>
    <row r="11804" spans="1:34" ht="14.25" customHeight="1" x14ac:dyDescent="0.25">
      <c r="A11804" s="3"/>
      <c r="B11804" s="3"/>
      <c r="C11804" s="3"/>
      <c r="D11804" s="3"/>
      <c r="E11804" s="3"/>
      <c r="F11804" s="3"/>
      <c r="G11804" s="3"/>
      <c r="H11804" s="11"/>
      <c r="I11804" s="12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  <c r="AA11804" s="3"/>
      <c r="AB11804" s="3"/>
      <c r="AC11804" s="3"/>
      <c r="AD11804" s="3"/>
      <c r="AE11804" s="3"/>
      <c r="AF11804" s="3"/>
      <c r="AG11804" s="3"/>
      <c r="AH11804" s="3"/>
    </row>
    <row r="11805" spans="1:34" ht="14.25" customHeight="1" x14ac:dyDescent="0.25">
      <c r="A11805" s="3"/>
      <c r="B11805" s="3"/>
      <c r="C11805" s="3"/>
      <c r="D11805" s="3"/>
      <c r="E11805" s="3"/>
      <c r="F11805" s="3"/>
      <c r="G11805" s="3"/>
      <c r="H11805" s="11"/>
      <c r="I11805" s="12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  <c r="AA11805" s="3"/>
      <c r="AB11805" s="3"/>
      <c r="AC11805" s="3"/>
      <c r="AD11805" s="3"/>
      <c r="AE11805" s="3"/>
      <c r="AF11805" s="3"/>
      <c r="AG11805" s="3"/>
      <c r="AH11805" s="3"/>
    </row>
    <row r="11806" spans="1:34" ht="14.25" customHeight="1" x14ac:dyDescent="0.25">
      <c r="A11806" s="3"/>
      <c r="B11806" s="3"/>
      <c r="C11806" s="3"/>
      <c r="D11806" s="3"/>
      <c r="E11806" s="3"/>
      <c r="F11806" s="3"/>
      <c r="G11806" s="3"/>
      <c r="H11806" s="11"/>
      <c r="I11806" s="12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  <c r="AA11806" s="3"/>
      <c r="AB11806" s="3"/>
      <c r="AC11806" s="3"/>
      <c r="AD11806" s="3"/>
      <c r="AE11806" s="3"/>
      <c r="AF11806" s="3"/>
      <c r="AG11806" s="3"/>
      <c r="AH11806" s="3"/>
    </row>
    <row r="11807" spans="1:34" ht="14.25" customHeight="1" x14ac:dyDescent="0.25">
      <c r="A11807" s="3"/>
      <c r="B11807" s="3"/>
      <c r="C11807" s="3"/>
      <c r="D11807" s="3"/>
      <c r="E11807" s="3"/>
      <c r="F11807" s="3"/>
      <c r="G11807" s="3"/>
      <c r="H11807" s="11"/>
      <c r="I11807" s="12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  <c r="AA11807" s="3"/>
      <c r="AB11807" s="3"/>
      <c r="AC11807" s="3"/>
      <c r="AD11807" s="3"/>
      <c r="AE11807" s="3"/>
      <c r="AF11807" s="3"/>
      <c r="AG11807" s="3"/>
      <c r="AH11807" s="3"/>
    </row>
    <row r="11808" spans="1:34" ht="14.25" customHeight="1" x14ac:dyDescent="0.25">
      <c r="A11808" s="3"/>
      <c r="B11808" s="3"/>
      <c r="C11808" s="3"/>
      <c r="D11808" s="3"/>
      <c r="E11808" s="3"/>
      <c r="F11808" s="3"/>
      <c r="G11808" s="3"/>
      <c r="H11808" s="11"/>
      <c r="I11808" s="12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  <c r="AA11808" s="3"/>
      <c r="AB11808" s="3"/>
      <c r="AC11808" s="3"/>
      <c r="AD11808" s="3"/>
      <c r="AE11808" s="3"/>
      <c r="AF11808" s="3"/>
      <c r="AG11808" s="3"/>
      <c r="AH11808" s="3"/>
    </row>
    <row r="11809" spans="1:34" ht="14.25" customHeight="1" x14ac:dyDescent="0.25">
      <c r="A11809" s="3"/>
      <c r="B11809" s="3"/>
      <c r="C11809" s="3"/>
      <c r="D11809" s="3"/>
      <c r="E11809" s="3"/>
      <c r="F11809" s="3"/>
      <c r="G11809" s="3"/>
      <c r="H11809" s="11"/>
      <c r="I11809" s="12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  <c r="AA11809" s="3"/>
      <c r="AB11809" s="3"/>
      <c r="AC11809" s="3"/>
      <c r="AD11809" s="3"/>
      <c r="AE11809" s="3"/>
      <c r="AF11809" s="3"/>
      <c r="AG11809" s="3"/>
      <c r="AH11809" s="3"/>
    </row>
    <row r="11810" spans="1:34" ht="14.25" customHeight="1" x14ac:dyDescent="0.25">
      <c r="A11810" s="3"/>
      <c r="B11810" s="3"/>
      <c r="C11810" s="3"/>
      <c r="D11810" s="3"/>
      <c r="E11810" s="3"/>
      <c r="F11810" s="3"/>
      <c r="G11810" s="3"/>
      <c r="H11810" s="11"/>
      <c r="I11810" s="12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  <c r="AA11810" s="3"/>
      <c r="AB11810" s="3"/>
      <c r="AC11810" s="3"/>
      <c r="AD11810" s="3"/>
      <c r="AE11810" s="3"/>
      <c r="AF11810" s="3"/>
      <c r="AG11810" s="3"/>
      <c r="AH11810" s="3"/>
    </row>
    <row r="11811" spans="1:34" ht="14.25" customHeight="1" x14ac:dyDescent="0.25">
      <c r="A11811" s="3"/>
      <c r="B11811" s="3"/>
      <c r="C11811" s="3"/>
      <c r="D11811" s="3"/>
      <c r="E11811" s="3"/>
      <c r="F11811" s="3"/>
      <c r="G11811" s="3"/>
      <c r="H11811" s="11"/>
      <c r="I11811" s="12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  <c r="AA11811" s="3"/>
      <c r="AB11811" s="3"/>
      <c r="AC11811" s="3"/>
      <c r="AD11811" s="3"/>
      <c r="AE11811" s="3"/>
      <c r="AF11811" s="3"/>
      <c r="AG11811" s="3"/>
      <c r="AH11811" s="3"/>
    </row>
    <row r="11812" spans="1:34" ht="14.25" customHeight="1" x14ac:dyDescent="0.25">
      <c r="A11812" s="3"/>
      <c r="B11812" s="3"/>
      <c r="C11812" s="3"/>
      <c r="D11812" s="3"/>
      <c r="E11812" s="3"/>
      <c r="F11812" s="3"/>
      <c r="G11812" s="3"/>
      <c r="H11812" s="11"/>
      <c r="I11812" s="12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  <c r="AA11812" s="3"/>
      <c r="AB11812" s="3"/>
      <c r="AC11812" s="3"/>
      <c r="AD11812" s="3"/>
      <c r="AE11812" s="3"/>
      <c r="AF11812" s="3"/>
      <c r="AG11812" s="3"/>
      <c r="AH11812" s="3"/>
    </row>
    <row r="11813" spans="1:34" ht="14.25" customHeight="1" x14ac:dyDescent="0.25">
      <c r="A11813" s="3"/>
      <c r="B11813" s="3"/>
      <c r="C11813" s="3"/>
      <c r="D11813" s="3"/>
      <c r="E11813" s="3"/>
      <c r="F11813" s="3"/>
      <c r="G11813" s="3"/>
      <c r="H11813" s="11"/>
      <c r="I11813" s="12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  <c r="AA11813" s="3"/>
      <c r="AB11813" s="3"/>
      <c r="AC11813" s="3"/>
      <c r="AD11813" s="3"/>
      <c r="AE11813" s="3"/>
      <c r="AF11813" s="3"/>
      <c r="AG11813" s="3"/>
      <c r="AH11813" s="3"/>
    </row>
    <row r="11814" spans="1:34" ht="14.25" customHeight="1" x14ac:dyDescent="0.25">
      <c r="A11814" s="3"/>
      <c r="B11814" s="3"/>
      <c r="C11814" s="3"/>
      <c r="D11814" s="3"/>
      <c r="E11814" s="3"/>
      <c r="F11814" s="3"/>
      <c r="G11814" s="3"/>
      <c r="H11814" s="11"/>
      <c r="I11814" s="12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  <c r="AA11814" s="3"/>
      <c r="AB11814" s="3"/>
      <c r="AC11814" s="3"/>
      <c r="AD11814" s="3"/>
      <c r="AE11814" s="3"/>
      <c r="AF11814" s="3"/>
      <c r="AG11814" s="3"/>
      <c r="AH11814" s="3"/>
    </row>
    <row r="11815" spans="1:34" ht="14.25" customHeight="1" x14ac:dyDescent="0.25">
      <c r="A11815" s="3"/>
      <c r="B11815" s="3"/>
      <c r="C11815" s="3"/>
      <c r="D11815" s="3"/>
      <c r="E11815" s="3"/>
      <c r="F11815" s="3"/>
      <c r="G11815" s="3"/>
      <c r="H11815" s="11"/>
      <c r="I11815" s="12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  <c r="AA11815" s="3"/>
      <c r="AB11815" s="3"/>
      <c r="AC11815" s="3"/>
      <c r="AD11815" s="3"/>
      <c r="AE11815" s="3"/>
      <c r="AF11815" s="3"/>
      <c r="AG11815" s="3"/>
      <c r="AH11815" s="3"/>
    </row>
    <row r="11816" spans="1:34" ht="14.25" customHeight="1" x14ac:dyDescent="0.25">
      <c r="A11816" s="3"/>
      <c r="B11816" s="3"/>
      <c r="C11816" s="3"/>
      <c r="D11816" s="3"/>
      <c r="E11816" s="3"/>
      <c r="F11816" s="3"/>
      <c r="G11816" s="3"/>
      <c r="H11816" s="11"/>
      <c r="I11816" s="12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  <c r="AA11816" s="3"/>
      <c r="AB11816" s="3"/>
      <c r="AC11816" s="3"/>
      <c r="AD11816" s="3"/>
      <c r="AE11816" s="3"/>
      <c r="AF11816" s="3"/>
      <c r="AG11816" s="3"/>
      <c r="AH11816" s="3"/>
    </row>
    <row r="11817" spans="1:34" ht="14.25" customHeight="1" x14ac:dyDescent="0.25">
      <c r="A11817" s="3"/>
      <c r="B11817" s="3"/>
      <c r="C11817" s="3"/>
      <c r="D11817" s="3"/>
      <c r="E11817" s="3"/>
      <c r="F11817" s="3"/>
      <c r="G11817" s="3"/>
      <c r="H11817" s="11"/>
      <c r="I11817" s="12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  <c r="AA11817" s="3"/>
      <c r="AB11817" s="3"/>
      <c r="AC11817" s="3"/>
      <c r="AD11817" s="3"/>
      <c r="AE11817" s="3"/>
      <c r="AF11817" s="3"/>
      <c r="AG11817" s="3"/>
      <c r="AH11817" s="3"/>
    </row>
    <row r="11818" spans="1:34" ht="14.25" customHeight="1" x14ac:dyDescent="0.25">
      <c r="A11818" s="3"/>
      <c r="B11818" s="3"/>
      <c r="C11818" s="3"/>
      <c r="D11818" s="3"/>
      <c r="E11818" s="3"/>
      <c r="F11818" s="3"/>
      <c r="G11818" s="3"/>
      <c r="H11818" s="11"/>
      <c r="I11818" s="12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  <c r="AA11818" s="3"/>
      <c r="AB11818" s="3"/>
      <c r="AC11818" s="3"/>
      <c r="AD11818" s="3"/>
      <c r="AE11818" s="3"/>
      <c r="AF11818" s="3"/>
      <c r="AG11818" s="3"/>
      <c r="AH11818" s="3"/>
    </row>
    <row r="11819" spans="1:34" ht="14.25" customHeight="1" x14ac:dyDescent="0.25">
      <c r="A11819" s="3"/>
      <c r="B11819" s="3"/>
      <c r="C11819" s="3"/>
      <c r="D11819" s="3"/>
      <c r="E11819" s="3"/>
      <c r="F11819" s="3"/>
      <c r="G11819" s="3"/>
      <c r="H11819" s="11"/>
      <c r="I11819" s="12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  <c r="AA11819" s="3"/>
      <c r="AB11819" s="3"/>
      <c r="AC11819" s="3"/>
      <c r="AD11819" s="3"/>
      <c r="AE11819" s="3"/>
      <c r="AF11819" s="3"/>
      <c r="AG11819" s="3"/>
      <c r="AH11819" s="3"/>
    </row>
    <row r="11820" spans="1:34" ht="14.25" customHeight="1" x14ac:dyDescent="0.25">
      <c r="A11820" s="3"/>
      <c r="B11820" s="3"/>
      <c r="C11820" s="3"/>
      <c r="D11820" s="3"/>
      <c r="E11820" s="3"/>
      <c r="F11820" s="3"/>
      <c r="G11820" s="3"/>
      <c r="H11820" s="11"/>
      <c r="I11820" s="12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  <c r="AA11820" s="3"/>
      <c r="AB11820" s="3"/>
      <c r="AC11820" s="3"/>
      <c r="AD11820" s="3"/>
      <c r="AE11820" s="3"/>
      <c r="AF11820" s="3"/>
      <c r="AG11820" s="3"/>
      <c r="AH11820" s="3"/>
    </row>
    <row r="11821" spans="1:34" ht="14.25" customHeight="1" x14ac:dyDescent="0.25">
      <c r="A11821" s="3"/>
      <c r="B11821" s="3"/>
      <c r="C11821" s="3"/>
      <c r="D11821" s="3"/>
      <c r="E11821" s="3"/>
      <c r="F11821" s="3"/>
      <c r="G11821" s="3"/>
      <c r="H11821" s="11"/>
      <c r="I11821" s="12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  <c r="AA11821" s="3"/>
      <c r="AB11821" s="3"/>
      <c r="AC11821" s="3"/>
      <c r="AD11821" s="3"/>
      <c r="AE11821" s="3"/>
      <c r="AF11821" s="3"/>
      <c r="AG11821" s="3"/>
      <c r="AH11821" s="3"/>
    </row>
    <row r="11822" spans="1:34" ht="14.25" customHeight="1" x14ac:dyDescent="0.25">
      <c r="A11822" s="3"/>
      <c r="B11822" s="3"/>
      <c r="C11822" s="3"/>
      <c r="D11822" s="3"/>
      <c r="E11822" s="3"/>
      <c r="F11822" s="3"/>
      <c r="G11822" s="3"/>
      <c r="H11822" s="11"/>
      <c r="I11822" s="12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  <c r="AA11822" s="3"/>
      <c r="AB11822" s="3"/>
      <c r="AC11822" s="3"/>
      <c r="AD11822" s="3"/>
      <c r="AE11822" s="3"/>
      <c r="AF11822" s="3"/>
      <c r="AG11822" s="3"/>
      <c r="AH11822" s="3"/>
    </row>
    <row r="11823" spans="1:34" ht="14.25" customHeight="1" x14ac:dyDescent="0.25">
      <c r="A11823" s="3"/>
      <c r="B11823" s="3"/>
      <c r="C11823" s="3"/>
      <c r="D11823" s="3"/>
      <c r="E11823" s="3"/>
      <c r="F11823" s="3"/>
      <c r="G11823" s="3"/>
      <c r="H11823" s="11"/>
      <c r="I11823" s="12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  <c r="AA11823" s="3"/>
      <c r="AB11823" s="3"/>
      <c r="AC11823" s="3"/>
      <c r="AD11823" s="3"/>
      <c r="AE11823" s="3"/>
      <c r="AF11823" s="3"/>
      <c r="AG11823" s="3"/>
      <c r="AH11823" s="3"/>
    </row>
    <row r="11824" spans="1:34" ht="14.25" customHeight="1" x14ac:dyDescent="0.25">
      <c r="A11824" s="3"/>
      <c r="B11824" s="3"/>
      <c r="C11824" s="3"/>
      <c r="D11824" s="3"/>
      <c r="E11824" s="3"/>
      <c r="F11824" s="3"/>
      <c r="G11824" s="3"/>
      <c r="H11824" s="11"/>
      <c r="I11824" s="12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  <c r="AA11824" s="3"/>
      <c r="AB11824" s="3"/>
      <c r="AC11824" s="3"/>
      <c r="AD11824" s="3"/>
      <c r="AE11824" s="3"/>
      <c r="AF11824" s="3"/>
      <c r="AG11824" s="3"/>
      <c r="AH11824" s="3"/>
    </row>
    <row r="11825" spans="1:34" ht="14.25" customHeight="1" x14ac:dyDescent="0.25">
      <c r="A11825" s="3"/>
      <c r="B11825" s="3"/>
      <c r="C11825" s="3"/>
      <c r="D11825" s="3"/>
      <c r="E11825" s="3"/>
      <c r="F11825" s="3"/>
      <c r="G11825" s="3"/>
      <c r="H11825" s="11"/>
      <c r="I11825" s="12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  <c r="AA11825" s="3"/>
      <c r="AB11825" s="3"/>
      <c r="AC11825" s="3"/>
      <c r="AD11825" s="3"/>
      <c r="AE11825" s="3"/>
      <c r="AF11825" s="3"/>
      <c r="AG11825" s="3"/>
      <c r="AH11825" s="3"/>
    </row>
    <row r="11826" spans="1:34" ht="14.25" customHeight="1" x14ac:dyDescent="0.25">
      <c r="A11826" s="3"/>
      <c r="B11826" s="3"/>
      <c r="C11826" s="3"/>
      <c r="D11826" s="3"/>
      <c r="E11826" s="3"/>
      <c r="F11826" s="3"/>
      <c r="G11826" s="3"/>
      <c r="H11826" s="11"/>
      <c r="I11826" s="12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  <c r="AA11826" s="3"/>
      <c r="AB11826" s="3"/>
      <c r="AC11826" s="3"/>
      <c r="AD11826" s="3"/>
      <c r="AE11826" s="3"/>
      <c r="AF11826" s="3"/>
      <c r="AG11826" s="3"/>
      <c r="AH11826" s="3"/>
    </row>
    <row r="11827" spans="1:34" ht="14.25" customHeight="1" x14ac:dyDescent="0.25">
      <c r="A11827" s="3"/>
      <c r="B11827" s="3"/>
      <c r="C11827" s="3"/>
      <c r="D11827" s="3"/>
      <c r="E11827" s="3"/>
      <c r="F11827" s="3"/>
      <c r="G11827" s="3"/>
      <c r="H11827" s="11"/>
      <c r="I11827" s="12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  <c r="AA11827" s="3"/>
      <c r="AB11827" s="3"/>
      <c r="AC11827" s="3"/>
      <c r="AD11827" s="3"/>
      <c r="AE11827" s="3"/>
      <c r="AF11827" s="3"/>
      <c r="AG11827" s="3"/>
      <c r="AH11827" s="3"/>
    </row>
    <row r="11828" spans="1:34" ht="14.25" customHeight="1" x14ac:dyDescent="0.25">
      <c r="A11828" s="3"/>
      <c r="B11828" s="3"/>
      <c r="C11828" s="3"/>
      <c r="D11828" s="3"/>
      <c r="E11828" s="3"/>
      <c r="F11828" s="3"/>
      <c r="G11828" s="3"/>
      <c r="H11828" s="11"/>
      <c r="I11828" s="12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  <c r="AA11828" s="3"/>
      <c r="AB11828" s="3"/>
      <c r="AC11828" s="3"/>
      <c r="AD11828" s="3"/>
      <c r="AE11828" s="3"/>
      <c r="AF11828" s="3"/>
      <c r="AG11828" s="3"/>
      <c r="AH11828" s="3"/>
    </row>
    <row r="11829" spans="1:34" ht="14.25" customHeight="1" x14ac:dyDescent="0.25">
      <c r="A11829" s="3"/>
      <c r="B11829" s="3"/>
      <c r="C11829" s="3"/>
      <c r="D11829" s="3"/>
      <c r="E11829" s="3"/>
      <c r="F11829" s="3"/>
      <c r="G11829" s="3"/>
      <c r="H11829" s="11"/>
      <c r="I11829" s="12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  <c r="AA11829" s="3"/>
      <c r="AB11829" s="3"/>
      <c r="AC11829" s="3"/>
      <c r="AD11829" s="3"/>
      <c r="AE11829" s="3"/>
      <c r="AF11829" s="3"/>
      <c r="AG11829" s="3"/>
      <c r="AH11829" s="3"/>
    </row>
    <row r="11830" spans="1:34" ht="14.25" customHeight="1" x14ac:dyDescent="0.25">
      <c r="A11830" s="3"/>
      <c r="B11830" s="3"/>
      <c r="C11830" s="3"/>
      <c r="D11830" s="3"/>
      <c r="E11830" s="3"/>
      <c r="F11830" s="3"/>
      <c r="G11830" s="3"/>
      <c r="H11830" s="11"/>
      <c r="I11830" s="12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  <c r="AA11830" s="3"/>
      <c r="AB11830" s="3"/>
      <c r="AC11830" s="3"/>
      <c r="AD11830" s="3"/>
      <c r="AE11830" s="3"/>
      <c r="AF11830" s="3"/>
      <c r="AG11830" s="3"/>
      <c r="AH11830" s="3"/>
    </row>
    <row r="11831" spans="1:34" ht="14.25" customHeight="1" x14ac:dyDescent="0.25">
      <c r="A11831" s="3"/>
      <c r="B11831" s="3"/>
      <c r="C11831" s="3"/>
      <c r="D11831" s="3"/>
      <c r="E11831" s="3"/>
      <c r="F11831" s="3"/>
      <c r="G11831" s="3"/>
      <c r="H11831" s="11"/>
      <c r="I11831" s="12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  <c r="AA11831" s="3"/>
      <c r="AB11831" s="3"/>
      <c r="AC11831" s="3"/>
      <c r="AD11831" s="3"/>
      <c r="AE11831" s="3"/>
      <c r="AF11831" s="3"/>
      <c r="AG11831" s="3"/>
      <c r="AH11831" s="3"/>
    </row>
    <row r="11832" spans="1:34" ht="14.25" customHeight="1" x14ac:dyDescent="0.25">
      <c r="A11832" s="3"/>
      <c r="B11832" s="3"/>
      <c r="C11832" s="3"/>
      <c r="D11832" s="3"/>
      <c r="E11832" s="3"/>
      <c r="F11832" s="3"/>
      <c r="G11832" s="3"/>
      <c r="H11832" s="11"/>
      <c r="I11832" s="12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  <c r="AA11832" s="3"/>
      <c r="AB11832" s="3"/>
      <c r="AC11832" s="3"/>
      <c r="AD11832" s="3"/>
      <c r="AE11832" s="3"/>
      <c r="AF11832" s="3"/>
      <c r="AG11832" s="3"/>
      <c r="AH11832" s="3"/>
    </row>
    <row r="11833" spans="1:34" ht="14.25" customHeight="1" x14ac:dyDescent="0.25">
      <c r="A11833" s="3"/>
      <c r="B11833" s="3"/>
      <c r="C11833" s="3"/>
      <c r="D11833" s="3"/>
      <c r="E11833" s="3"/>
      <c r="F11833" s="3"/>
      <c r="G11833" s="3"/>
      <c r="H11833" s="11"/>
      <c r="I11833" s="12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  <c r="AA11833" s="3"/>
      <c r="AB11833" s="3"/>
      <c r="AC11833" s="3"/>
      <c r="AD11833" s="3"/>
      <c r="AE11833" s="3"/>
      <c r="AF11833" s="3"/>
      <c r="AG11833" s="3"/>
      <c r="AH11833" s="3"/>
    </row>
    <row r="11834" spans="1:34" ht="14.25" customHeight="1" x14ac:dyDescent="0.25">
      <c r="A11834" s="3"/>
      <c r="B11834" s="3"/>
      <c r="C11834" s="3"/>
      <c r="D11834" s="3"/>
      <c r="E11834" s="3"/>
      <c r="F11834" s="3"/>
      <c r="G11834" s="3"/>
      <c r="H11834" s="11"/>
      <c r="I11834" s="12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  <c r="AA11834" s="3"/>
      <c r="AB11834" s="3"/>
      <c r="AC11834" s="3"/>
      <c r="AD11834" s="3"/>
      <c r="AE11834" s="3"/>
      <c r="AF11834" s="3"/>
      <c r="AG11834" s="3"/>
      <c r="AH11834" s="3"/>
    </row>
    <row r="11835" spans="1:34" ht="14.25" customHeight="1" x14ac:dyDescent="0.25">
      <c r="A11835" s="3"/>
      <c r="B11835" s="3"/>
      <c r="C11835" s="3"/>
      <c r="D11835" s="3"/>
      <c r="E11835" s="3"/>
      <c r="F11835" s="3"/>
      <c r="G11835" s="3"/>
      <c r="H11835" s="11"/>
      <c r="I11835" s="12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  <c r="AA11835" s="3"/>
      <c r="AB11835" s="3"/>
      <c r="AC11835" s="3"/>
      <c r="AD11835" s="3"/>
      <c r="AE11835" s="3"/>
      <c r="AF11835" s="3"/>
      <c r="AG11835" s="3"/>
      <c r="AH11835" s="3"/>
    </row>
    <row r="11836" spans="1:34" ht="14.25" customHeight="1" x14ac:dyDescent="0.25">
      <c r="A11836" s="3"/>
      <c r="B11836" s="3"/>
      <c r="C11836" s="3"/>
      <c r="D11836" s="3"/>
      <c r="E11836" s="3"/>
      <c r="F11836" s="3"/>
      <c r="G11836" s="3"/>
      <c r="H11836" s="11"/>
      <c r="I11836" s="12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  <c r="AA11836" s="3"/>
      <c r="AB11836" s="3"/>
      <c r="AC11836" s="3"/>
      <c r="AD11836" s="3"/>
      <c r="AE11836" s="3"/>
      <c r="AF11836" s="3"/>
      <c r="AG11836" s="3"/>
      <c r="AH11836" s="3"/>
    </row>
    <row r="11837" spans="1:34" ht="14.25" customHeight="1" x14ac:dyDescent="0.25">
      <c r="A11837" s="3"/>
      <c r="B11837" s="3"/>
      <c r="C11837" s="3"/>
      <c r="D11837" s="3"/>
      <c r="E11837" s="3"/>
      <c r="F11837" s="3"/>
      <c r="G11837" s="3"/>
      <c r="H11837" s="11"/>
      <c r="I11837" s="12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  <c r="AA11837" s="3"/>
      <c r="AB11837" s="3"/>
      <c r="AC11837" s="3"/>
      <c r="AD11837" s="3"/>
      <c r="AE11837" s="3"/>
      <c r="AF11837" s="3"/>
      <c r="AG11837" s="3"/>
      <c r="AH11837" s="3"/>
    </row>
    <row r="11838" spans="1:34" ht="14.25" customHeight="1" x14ac:dyDescent="0.25">
      <c r="A11838" s="3"/>
      <c r="B11838" s="3"/>
      <c r="C11838" s="3"/>
      <c r="D11838" s="3"/>
      <c r="E11838" s="3"/>
      <c r="F11838" s="3"/>
      <c r="G11838" s="3"/>
      <c r="H11838" s="11"/>
      <c r="I11838" s="12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  <c r="AA11838" s="3"/>
      <c r="AB11838" s="3"/>
      <c r="AC11838" s="3"/>
      <c r="AD11838" s="3"/>
      <c r="AE11838" s="3"/>
      <c r="AF11838" s="3"/>
      <c r="AG11838" s="3"/>
      <c r="AH11838" s="3"/>
    </row>
    <row r="11839" spans="1:34" ht="14.25" customHeight="1" x14ac:dyDescent="0.25">
      <c r="A11839" s="3"/>
      <c r="B11839" s="3"/>
      <c r="C11839" s="3"/>
      <c r="D11839" s="3"/>
      <c r="E11839" s="3"/>
      <c r="F11839" s="3"/>
      <c r="G11839" s="3"/>
      <c r="H11839" s="11"/>
      <c r="I11839" s="12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  <c r="AA11839" s="3"/>
      <c r="AB11839" s="3"/>
      <c r="AC11839" s="3"/>
      <c r="AD11839" s="3"/>
      <c r="AE11839" s="3"/>
      <c r="AF11839" s="3"/>
      <c r="AG11839" s="3"/>
      <c r="AH11839" s="3"/>
    </row>
    <row r="11840" spans="1:34" ht="14.25" customHeight="1" x14ac:dyDescent="0.25">
      <c r="A11840" s="3"/>
      <c r="B11840" s="3"/>
      <c r="C11840" s="3"/>
      <c r="D11840" s="3"/>
      <c r="E11840" s="3"/>
      <c r="F11840" s="3"/>
      <c r="G11840" s="3"/>
      <c r="H11840" s="11"/>
      <c r="I11840" s="12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  <c r="AA11840" s="3"/>
      <c r="AB11840" s="3"/>
      <c r="AC11840" s="3"/>
      <c r="AD11840" s="3"/>
      <c r="AE11840" s="3"/>
      <c r="AF11840" s="3"/>
      <c r="AG11840" s="3"/>
      <c r="AH11840" s="3"/>
    </row>
    <row r="11841" spans="1:34" ht="14.25" customHeight="1" x14ac:dyDescent="0.25">
      <c r="A11841" s="3"/>
      <c r="B11841" s="3"/>
      <c r="C11841" s="3"/>
      <c r="D11841" s="3"/>
      <c r="E11841" s="3"/>
      <c r="F11841" s="3"/>
      <c r="G11841" s="3"/>
      <c r="H11841" s="11"/>
      <c r="I11841" s="12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  <c r="AA11841" s="3"/>
      <c r="AB11841" s="3"/>
      <c r="AC11841" s="3"/>
      <c r="AD11841" s="3"/>
      <c r="AE11841" s="3"/>
      <c r="AF11841" s="3"/>
      <c r="AG11841" s="3"/>
      <c r="AH11841" s="3"/>
    </row>
    <row r="11842" spans="1:34" ht="14.25" customHeight="1" x14ac:dyDescent="0.25">
      <c r="A11842" s="3"/>
      <c r="B11842" s="3"/>
      <c r="C11842" s="3"/>
      <c r="D11842" s="3"/>
      <c r="E11842" s="3"/>
      <c r="F11842" s="3"/>
      <c r="G11842" s="3"/>
      <c r="H11842" s="11"/>
      <c r="I11842" s="12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  <c r="AA11842" s="3"/>
      <c r="AB11842" s="3"/>
      <c r="AC11842" s="3"/>
      <c r="AD11842" s="3"/>
      <c r="AE11842" s="3"/>
      <c r="AF11842" s="3"/>
      <c r="AG11842" s="3"/>
      <c r="AH11842" s="3"/>
    </row>
    <row r="11843" spans="1:34" ht="14.25" customHeight="1" x14ac:dyDescent="0.25">
      <c r="A11843" s="3"/>
      <c r="B11843" s="3"/>
      <c r="C11843" s="3"/>
      <c r="D11843" s="3"/>
      <c r="E11843" s="3"/>
      <c r="F11843" s="3"/>
      <c r="G11843" s="3"/>
      <c r="H11843" s="11"/>
      <c r="I11843" s="12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  <c r="AA11843" s="3"/>
      <c r="AB11843" s="3"/>
      <c r="AC11843" s="3"/>
      <c r="AD11843" s="3"/>
      <c r="AE11843" s="3"/>
      <c r="AF11843" s="3"/>
      <c r="AG11843" s="3"/>
      <c r="AH11843" s="3"/>
    </row>
    <row r="11844" spans="1:34" ht="14.25" customHeight="1" x14ac:dyDescent="0.25">
      <c r="A11844" s="3"/>
      <c r="B11844" s="3"/>
      <c r="C11844" s="3"/>
      <c r="D11844" s="3"/>
      <c r="E11844" s="3"/>
      <c r="F11844" s="3"/>
      <c r="G11844" s="3"/>
      <c r="H11844" s="11"/>
      <c r="I11844" s="12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  <c r="AA11844" s="3"/>
      <c r="AB11844" s="3"/>
      <c r="AC11844" s="3"/>
      <c r="AD11844" s="3"/>
      <c r="AE11844" s="3"/>
      <c r="AF11844" s="3"/>
      <c r="AG11844" s="3"/>
      <c r="AH11844" s="3"/>
    </row>
    <row r="11845" spans="1:34" ht="14.25" customHeight="1" x14ac:dyDescent="0.25">
      <c r="A11845" s="3"/>
      <c r="B11845" s="3"/>
      <c r="C11845" s="3"/>
      <c r="D11845" s="3"/>
      <c r="E11845" s="3"/>
      <c r="F11845" s="3"/>
      <c r="G11845" s="3"/>
      <c r="H11845" s="11"/>
      <c r="I11845" s="12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  <c r="AA11845" s="3"/>
      <c r="AB11845" s="3"/>
      <c r="AC11845" s="3"/>
      <c r="AD11845" s="3"/>
      <c r="AE11845" s="3"/>
      <c r="AF11845" s="3"/>
      <c r="AG11845" s="3"/>
      <c r="AH11845" s="3"/>
    </row>
    <row r="11846" spans="1:34" ht="14.25" customHeight="1" x14ac:dyDescent="0.25">
      <c r="A11846" s="3"/>
      <c r="B11846" s="3"/>
      <c r="C11846" s="3"/>
      <c r="D11846" s="3"/>
      <c r="E11846" s="3"/>
      <c r="F11846" s="3"/>
      <c r="G11846" s="3"/>
      <c r="H11846" s="11"/>
      <c r="I11846" s="12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  <c r="AA11846" s="3"/>
      <c r="AB11846" s="3"/>
      <c r="AC11846" s="3"/>
      <c r="AD11846" s="3"/>
      <c r="AE11846" s="3"/>
      <c r="AF11846" s="3"/>
      <c r="AG11846" s="3"/>
      <c r="AH11846" s="3"/>
    </row>
    <row r="11847" spans="1:34" ht="14.25" customHeight="1" x14ac:dyDescent="0.25">
      <c r="A11847" s="3"/>
      <c r="B11847" s="3"/>
      <c r="C11847" s="3"/>
      <c r="D11847" s="3"/>
      <c r="E11847" s="3"/>
      <c r="F11847" s="3"/>
      <c r="G11847" s="3"/>
      <c r="H11847" s="11"/>
      <c r="I11847" s="12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  <c r="AA11847" s="3"/>
      <c r="AB11847" s="3"/>
      <c r="AC11847" s="3"/>
      <c r="AD11847" s="3"/>
      <c r="AE11847" s="3"/>
      <c r="AF11847" s="3"/>
      <c r="AG11847" s="3"/>
      <c r="AH11847" s="3"/>
    </row>
    <row r="11848" spans="1:34" ht="14.25" customHeight="1" x14ac:dyDescent="0.25">
      <c r="A11848" s="3"/>
      <c r="B11848" s="3"/>
      <c r="C11848" s="3"/>
      <c r="D11848" s="3"/>
      <c r="E11848" s="3"/>
      <c r="F11848" s="3"/>
      <c r="G11848" s="3"/>
      <c r="H11848" s="11"/>
      <c r="I11848" s="12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  <c r="AA11848" s="3"/>
      <c r="AB11848" s="3"/>
      <c r="AC11848" s="3"/>
      <c r="AD11848" s="3"/>
      <c r="AE11848" s="3"/>
      <c r="AF11848" s="3"/>
      <c r="AG11848" s="3"/>
      <c r="AH11848" s="3"/>
    </row>
    <row r="11849" spans="1:34" ht="14.25" customHeight="1" x14ac:dyDescent="0.25">
      <c r="A11849" s="3"/>
      <c r="B11849" s="3"/>
      <c r="C11849" s="3"/>
      <c r="D11849" s="3"/>
      <c r="E11849" s="3"/>
      <c r="F11849" s="3"/>
      <c r="G11849" s="3"/>
      <c r="H11849" s="11"/>
      <c r="I11849" s="12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  <c r="AA11849" s="3"/>
      <c r="AB11849" s="3"/>
      <c r="AC11849" s="3"/>
      <c r="AD11849" s="3"/>
      <c r="AE11849" s="3"/>
      <c r="AF11849" s="3"/>
      <c r="AG11849" s="3"/>
      <c r="AH11849" s="3"/>
    </row>
    <row r="11850" spans="1:34" ht="14.25" customHeight="1" x14ac:dyDescent="0.25">
      <c r="A11850" s="3"/>
      <c r="B11850" s="3"/>
      <c r="C11850" s="3"/>
      <c r="D11850" s="3"/>
      <c r="E11850" s="3"/>
      <c r="F11850" s="3"/>
      <c r="G11850" s="3"/>
      <c r="H11850" s="11"/>
      <c r="I11850" s="12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  <c r="AA11850" s="3"/>
      <c r="AB11850" s="3"/>
      <c r="AC11850" s="3"/>
      <c r="AD11850" s="3"/>
      <c r="AE11850" s="3"/>
      <c r="AF11850" s="3"/>
      <c r="AG11850" s="3"/>
      <c r="AH11850" s="3"/>
    </row>
    <row r="11851" spans="1:34" ht="14.25" customHeight="1" x14ac:dyDescent="0.25">
      <c r="A11851" s="3"/>
      <c r="B11851" s="3"/>
      <c r="C11851" s="3"/>
      <c r="D11851" s="3"/>
      <c r="E11851" s="3"/>
      <c r="F11851" s="3"/>
      <c r="G11851" s="3"/>
      <c r="H11851" s="11"/>
      <c r="I11851" s="12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  <c r="AA11851" s="3"/>
      <c r="AB11851" s="3"/>
      <c r="AC11851" s="3"/>
      <c r="AD11851" s="3"/>
      <c r="AE11851" s="3"/>
      <c r="AF11851" s="3"/>
      <c r="AG11851" s="3"/>
      <c r="AH11851" s="3"/>
    </row>
    <row r="11852" spans="1:34" ht="14.25" customHeight="1" x14ac:dyDescent="0.25">
      <c r="A11852" s="3"/>
      <c r="B11852" s="3"/>
      <c r="C11852" s="3"/>
      <c r="D11852" s="3"/>
      <c r="E11852" s="3"/>
      <c r="F11852" s="3"/>
      <c r="G11852" s="3"/>
      <c r="H11852" s="11"/>
      <c r="I11852" s="12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  <c r="AA11852" s="3"/>
      <c r="AB11852" s="3"/>
      <c r="AC11852" s="3"/>
      <c r="AD11852" s="3"/>
      <c r="AE11852" s="3"/>
      <c r="AF11852" s="3"/>
      <c r="AG11852" s="3"/>
      <c r="AH11852" s="3"/>
    </row>
    <row r="11853" spans="1:34" ht="14.25" customHeight="1" x14ac:dyDescent="0.25">
      <c r="A11853" s="3"/>
      <c r="B11853" s="3"/>
      <c r="C11853" s="3"/>
      <c r="D11853" s="3"/>
      <c r="E11853" s="3"/>
      <c r="F11853" s="3"/>
      <c r="G11853" s="3"/>
      <c r="H11853" s="11"/>
      <c r="I11853" s="12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  <c r="AA11853" s="3"/>
      <c r="AB11853" s="3"/>
      <c r="AC11853" s="3"/>
      <c r="AD11853" s="3"/>
      <c r="AE11853" s="3"/>
      <c r="AF11853" s="3"/>
      <c r="AG11853" s="3"/>
      <c r="AH11853" s="3"/>
    </row>
    <row r="11854" spans="1:34" ht="14.25" customHeight="1" x14ac:dyDescent="0.25">
      <c r="A11854" s="3"/>
      <c r="B11854" s="3"/>
      <c r="C11854" s="3"/>
      <c r="D11854" s="3"/>
      <c r="E11854" s="3"/>
      <c r="F11854" s="3"/>
      <c r="G11854" s="3"/>
      <c r="H11854" s="11"/>
      <c r="I11854" s="12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  <c r="AA11854" s="3"/>
      <c r="AB11854" s="3"/>
      <c r="AC11854" s="3"/>
      <c r="AD11854" s="3"/>
      <c r="AE11854" s="3"/>
      <c r="AF11854" s="3"/>
      <c r="AG11854" s="3"/>
      <c r="AH11854" s="3"/>
    </row>
    <row r="11855" spans="1:34" ht="14.25" customHeight="1" x14ac:dyDescent="0.25">
      <c r="A11855" s="3"/>
      <c r="B11855" s="3"/>
      <c r="C11855" s="3"/>
      <c r="D11855" s="3"/>
      <c r="E11855" s="3"/>
      <c r="F11855" s="3"/>
      <c r="G11855" s="3"/>
      <c r="H11855" s="11"/>
      <c r="I11855" s="12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  <c r="AA11855" s="3"/>
      <c r="AB11855" s="3"/>
      <c r="AC11855" s="3"/>
      <c r="AD11855" s="3"/>
      <c r="AE11855" s="3"/>
      <c r="AF11855" s="3"/>
      <c r="AG11855" s="3"/>
      <c r="AH11855" s="3"/>
    </row>
    <row r="11856" spans="1:34" ht="14.25" customHeight="1" x14ac:dyDescent="0.25">
      <c r="A11856" s="3"/>
      <c r="B11856" s="3"/>
      <c r="C11856" s="3"/>
      <c r="D11856" s="3"/>
      <c r="E11856" s="3"/>
      <c r="F11856" s="3"/>
      <c r="G11856" s="3"/>
      <c r="H11856" s="11"/>
      <c r="I11856" s="12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  <c r="AA11856" s="3"/>
      <c r="AB11856" s="3"/>
      <c r="AC11856" s="3"/>
      <c r="AD11856" s="3"/>
      <c r="AE11856" s="3"/>
      <c r="AF11856" s="3"/>
      <c r="AG11856" s="3"/>
      <c r="AH11856" s="3"/>
    </row>
    <row r="11857" spans="1:34" ht="14.25" customHeight="1" x14ac:dyDescent="0.25">
      <c r="A11857" s="3"/>
      <c r="B11857" s="3"/>
      <c r="C11857" s="3"/>
      <c r="D11857" s="3"/>
      <c r="E11857" s="3"/>
      <c r="F11857" s="3"/>
      <c r="G11857" s="3"/>
      <c r="H11857" s="11"/>
      <c r="I11857" s="12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  <c r="AA11857" s="3"/>
      <c r="AB11857" s="3"/>
      <c r="AC11857" s="3"/>
      <c r="AD11857" s="3"/>
      <c r="AE11857" s="3"/>
      <c r="AF11857" s="3"/>
      <c r="AG11857" s="3"/>
      <c r="AH11857" s="3"/>
    </row>
    <row r="11858" spans="1:34" ht="14.25" customHeight="1" x14ac:dyDescent="0.25">
      <c r="A11858" s="3"/>
      <c r="B11858" s="3"/>
      <c r="C11858" s="3"/>
      <c r="D11858" s="3"/>
      <c r="E11858" s="3"/>
      <c r="F11858" s="3"/>
      <c r="G11858" s="3"/>
      <c r="H11858" s="11"/>
      <c r="I11858" s="12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  <c r="AA11858" s="3"/>
      <c r="AB11858" s="3"/>
      <c r="AC11858" s="3"/>
      <c r="AD11858" s="3"/>
      <c r="AE11858" s="3"/>
      <c r="AF11858" s="3"/>
      <c r="AG11858" s="3"/>
      <c r="AH11858" s="3"/>
    </row>
    <row r="11859" spans="1:34" ht="14.25" customHeight="1" x14ac:dyDescent="0.25">
      <c r="A11859" s="3"/>
      <c r="B11859" s="3"/>
      <c r="C11859" s="3"/>
      <c r="D11859" s="3"/>
      <c r="E11859" s="3"/>
      <c r="F11859" s="3"/>
      <c r="G11859" s="3"/>
      <c r="H11859" s="11"/>
      <c r="I11859" s="12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  <c r="AA11859" s="3"/>
      <c r="AB11859" s="3"/>
      <c r="AC11859" s="3"/>
      <c r="AD11859" s="3"/>
      <c r="AE11859" s="3"/>
      <c r="AF11859" s="3"/>
      <c r="AG11859" s="3"/>
      <c r="AH11859" s="3"/>
    </row>
    <row r="11860" spans="1:34" ht="14.25" customHeight="1" x14ac:dyDescent="0.25">
      <c r="A11860" s="3"/>
      <c r="B11860" s="3"/>
      <c r="C11860" s="3"/>
      <c r="D11860" s="3"/>
      <c r="E11860" s="3"/>
      <c r="F11860" s="3"/>
      <c r="G11860" s="3"/>
      <c r="H11860" s="11"/>
      <c r="I11860" s="12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  <c r="AA11860" s="3"/>
      <c r="AB11860" s="3"/>
      <c r="AC11860" s="3"/>
      <c r="AD11860" s="3"/>
      <c r="AE11860" s="3"/>
      <c r="AF11860" s="3"/>
      <c r="AG11860" s="3"/>
      <c r="AH11860" s="3"/>
    </row>
    <row r="11861" spans="1:34" ht="14.25" customHeight="1" x14ac:dyDescent="0.25">
      <c r="A11861" s="3"/>
      <c r="B11861" s="3"/>
      <c r="C11861" s="3"/>
      <c r="D11861" s="3"/>
      <c r="E11861" s="3"/>
      <c r="F11861" s="3"/>
      <c r="G11861" s="3"/>
      <c r="H11861" s="11"/>
      <c r="I11861" s="12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  <c r="AA11861" s="3"/>
      <c r="AB11861" s="3"/>
      <c r="AC11861" s="3"/>
      <c r="AD11861" s="3"/>
      <c r="AE11861" s="3"/>
      <c r="AF11861" s="3"/>
      <c r="AG11861" s="3"/>
      <c r="AH11861" s="3"/>
    </row>
    <row r="11862" spans="1:34" ht="14.25" customHeight="1" x14ac:dyDescent="0.25">
      <c r="A11862" s="3"/>
      <c r="B11862" s="3"/>
      <c r="C11862" s="3"/>
      <c r="D11862" s="3"/>
      <c r="E11862" s="3"/>
      <c r="F11862" s="3"/>
      <c r="G11862" s="3"/>
      <c r="H11862" s="11"/>
      <c r="I11862" s="12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  <c r="AA11862" s="3"/>
      <c r="AB11862" s="3"/>
      <c r="AC11862" s="3"/>
      <c r="AD11862" s="3"/>
      <c r="AE11862" s="3"/>
      <c r="AF11862" s="3"/>
      <c r="AG11862" s="3"/>
      <c r="AH11862" s="3"/>
    </row>
    <row r="11863" spans="1:34" ht="14.25" customHeight="1" x14ac:dyDescent="0.25">
      <c r="A11863" s="3"/>
      <c r="B11863" s="3"/>
      <c r="C11863" s="3"/>
      <c r="D11863" s="3"/>
      <c r="E11863" s="3"/>
      <c r="F11863" s="3"/>
      <c r="G11863" s="3"/>
      <c r="H11863" s="11"/>
      <c r="I11863" s="12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  <c r="AA11863" s="3"/>
      <c r="AB11863" s="3"/>
      <c r="AC11863" s="3"/>
      <c r="AD11863" s="3"/>
      <c r="AE11863" s="3"/>
      <c r="AF11863" s="3"/>
      <c r="AG11863" s="3"/>
      <c r="AH11863" s="3"/>
    </row>
    <row r="11864" spans="1:34" ht="14.25" customHeight="1" x14ac:dyDescent="0.25">
      <c r="A11864" s="3"/>
      <c r="B11864" s="3"/>
      <c r="C11864" s="3"/>
      <c r="D11864" s="3"/>
      <c r="E11864" s="3"/>
      <c r="F11864" s="3"/>
      <c r="G11864" s="3"/>
      <c r="H11864" s="11"/>
      <c r="I11864" s="12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  <c r="AA11864" s="3"/>
      <c r="AB11864" s="3"/>
      <c r="AC11864" s="3"/>
      <c r="AD11864" s="3"/>
      <c r="AE11864" s="3"/>
      <c r="AF11864" s="3"/>
      <c r="AG11864" s="3"/>
      <c r="AH11864" s="3"/>
    </row>
    <row r="11865" spans="1:34" ht="14.25" customHeight="1" x14ac:dyDescent="0.25">
      <c r="A11865" s="3"/>
      <c r="B11865" s="3"/>
      <c r="C11865" s="3"/>
      <c r="D11865" s="3"/>
      <c r="E11865" s="3"/>
      <c r="F11865" s="3"/>
      <c r="G11865" s="3"/>
      <c r="H11865" s="11"/>
      <c r="I11865" s="12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  <c r="AA11865" s="3"/>
      <c r="AB11865" s="3"/>
      <c r="AC11865" s="3"/>
      <c r="AD11865" s="3"/>
      <c r="AE11865" s="3"/>
      <c r="AF11865" s="3"/>
      <c r="AG11865" s="3"/>
      <c r="AH11865" s="3"/>
    </row>
    <row r="11866" spans="1:34" ht="14.25" customHeight="1" x14ac:dyDescent="0.25">
      <c r="A11866" s="3"/>
      <c r="B11866" s="3"/>
      <c r="C11866" s="3"/>
      <c r="D11866" s="3"/>
      <c r="E11866" s="3"/>
      <c r="F11866" s="3"/>
      <c r="G11866" s="3"/>
      <c r="H11866" s="11"/>
      <c r="I11866" s="12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  <c r="AA11866" s="3"/>
      <c r="AB11866" s="3"/>
      <c r="AC11866" s="3"/>
      <c r="AD11866" s="3"/>
      <c r="AE11866" s="3"/>
      <c r="AF11866" s="3"/>
      <c r="AG11866" s="3"/>
      <c r="AH11866" s="3"/>
    </row>
    <row r="11867" spans="1:34" ht="14.25" customHeight="1" x14ac:dyDescent="0.25">
      <c r="A11867" s="3"/>
      <c r="B11867" s="3"/>
      <c r="C11867" s="3"/>
      <c r="D11867" s="3"/>
      <c r="E11867" s="3"/>
      <c r="F11867" s="3"/>
      <c r="G11867" s="3"/>
      <c r="H11867" s="11"/>
      <c r="I11867" s="12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  <c r="AA11867" s="3"/>
      <c r="AB11867" s="3"/>
      <c r="AC11867" s="3"/>
      <c r="AD11867" s="3"/>
      <c r="AE11867" s="3"/>
      <c r="AF11867" s="3"/>
      <c r="AG11867" s="3"/>
      <c r="AH11867" s="3"/>
    </row>
    <row r="11868" spans="1:34" ht="14.25" customHeight="1" x14ac:dyDescent="0.25">
      <c r="A11868" s="3"/>
      <c r="B11868" s="3"/>
      <c r="C11868" s="3"/>
      <c r="D11868" s="3"/>
      <c r="E11868" s="3"/>
      <c r="F11868" s="3"/>
      <c r="G11868" s="3"/>
      <c r="H11868" s="11"/>
      <c r="I11868" s="12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  <c r="AA11868" s="3"/>
      <c r="AB11868" s="3"/>
      <c r="AC11868" s="3"/>
      <c r="AD11868" s="3"/>
      <c r="AE11868" s="3"/>
      <c r="AF11868" s="3"/>
      <c r="AG11868" s="3"/>
      <c r="AH11868" s="3"/>
    </row>
    <row r="11869" spans="1:34" ht="14.25" customHeight="1" x14ac:dyDescent="0.25">
      <c r="A11869" s="3"/>
      <c r="B11869" s="3"/>
      <c r="C11869" s="3"/>
      <c r="D11869" s="3"/>
      <c r="E11869" s="3"/>
      <c r="F11869" s="3"/>
      <c r="G11869" s="3"/>
      <c r="H11869" s="11"/>
      <c r="I11869" s="12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  <c r="AA11869" s="3"/>
      <c r="AB11869" s="3"/>
      <c r="AC11869" s="3"/>
      <c r="AD11869" s="3"/>
      <c r="AE11869" s="3"/>
      <c r="AF11869" s="3"/>
      <c r="AG11869" s="3"/>
      <c r="AH11869" s="3"/>
    </row>
    <row r="11870" spans="1:34" ht="14.25" customHeight="1" x14ac:dyDescent="0.25">
      <c r="A11870" s="3"/>
      <c r="B11870" s="3"/>
      <c r="C11870" s="3"/>
      <c r="D11870" s="3"/>
      <c r="E11870" s="3"/>
      <c r="F11870" s="3"/>
      <c r="G11870" s="3"/>
      <c r="H11870" s="11"/>
      <c r="I11870" s="12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  <c r="AA11870" s="3"/>
      <c r="AB11870" s="3"/>
      <c r="AC11870" s="3"/>
      <c r="AD11870" s="3"/>
      <c r="AE11870" s="3"/>
      <c r="AF11870" s="3"/>
      <c r="AG11870" s="3"/>
      <c r="AH11870" s="3"/>
    </row>
    <row r="11871" spans="1:34" ht="14.25" customHeight="1" x14ac:dyDescent="0.25">
      <c r="A11871" s="3"/>
      <c r="B11871" s="3"/>
      <c r="C11871" s="3"/>
      <c r="D11871" s="3"/>
      <c r="E11871" s="3"/>
      <c r="F11871" s="3"/>
      <c r="G11871" s="3"/>
      <c r="H11871" s="11"/>
      <c r="I11871" s="12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  <c r="AA11871" s="3"/>
      <c r="AB11871" s="3"/>
      <c r="AC11871" s="3"/>
      <c r="AD11871" s="3"/>
      <c r="AE11871" s="3"/>
      <c r="AF11871" s="3"/>
      <c r="AG11871" s="3"/>
      <c r="AH11871" s="3"/>
    </row>
    <row r="11872" spans="1:34" ht="14.25" customHeight="1" x14ac:dyDescent="0.25">
      <c r="A11872" s="3"/>
      <c r="B11872" s="3"/>
      <c r="C11872" s="3"/>
      <c r="D11872" s="3"/>
      <c r="E11872" s="3"/>
      <c r="F11872" s="3"/>
      <c r="G11872" s="3"/>
      <c r="H11872" s="11"/>
      <c r="I11872" s="12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  <c r="AA11872" s="3"/>
      <c r="AB11872" s="3"/>
      <c r="AC11872" s="3"/>
      <c r="AD11872" s="3"/>
      <c r="AE11872" s="3"/>
      <c r="AF11872" s="3"/>
      <c r="AG11872" s="3"/>
      <c r="AH11872" s="3"/>
    </row>
    <row r="11873" spans="1:34" ht="14.25" customHeight="1" x14ac:dyDescent="0.25">
      <c r="A11873" s="3"/>
      <c r="B11873" s="3"/>
      <c r="C11873" s="3"/>
      <c r="D11873" s="3"/>
      <c r="E11873" s="3"/>
      <c r="F11873" s="3"/>
      <c r="G11873" s="3"/>
      <c r="H11873" s="11"/>
      <c r="I11873" s="12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  <c r="AA11873" s="3"/>
      <c r="AB11873" s="3"/>
      <c r="AC11873" s="3"/>
      <c r="AD11873" s="3"/>
      <c r="AE11873" s="3"/>
      <c r="AF11873" s="3"/>
      <c r="AG11873" s="3"/>
      <c r="AH11873" s="3"/>
    </row>
    <row r="11874" spans="1:34" ht="14.25" customHeight="1" x14ac:dyDescent="0.25">
      <c r="A11874" s="3"/>
      <c r="B11874" s="3"/>
      <c r="C11874" s="3"/>
      <c r="D11874" s="3"/>
      <c r="E11874" s="3"/>
      <c r="F11874" s="3"/>
      <c r="G11874" s="3"/>
      <c r="H11874" s="11"/>
      <c r="I11874" s="12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  <c r="AA11874" s="3"/>
      <c r="AB11874" s="3"/>
      <c r="AC11874" s="3"/>
      <c r="AD11874" s="3"/>
      <c r="AE11874" s="3"/>
      <c r="AF11874" s="3"/>
      <c r="AG11874" s="3"/>
      <c r="AH11874" s="3"/>
    </row>
    <row r="11875" spans="1:34" ht="14.25" customHeight="1" x14ac:dyDescent="0.25">
      <c r="A11875" s="3"/>
      <c r="B11875" s="3"/>
      <c r="C11875" s="3"/>
      <c r="D11875" s="3"/>
      <c r="E11875" s="3"/>
      <c r="F11875" s="3"/>
      <c r="G11875" s="3"/>
      <c r="H11875" s="11"/>
      <c r="I11875" s="12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  <c r="AA11875" s="3"/>
      <c r="AB11875" s="3"/>
      <c r="AC11875" s="3"/>
      <c r="AD11875" s="3"/>
      <c r="AE11875" s="3"/>
      <c r="AF11875" s="3"/>
      <c r="AG11875" s="3"/>
      <c r="AH11875" s="3"/>
    </row>
    <row r="11876" spans="1:34" ht="14.25" customHeight="1" x14ac:dyDescent="0.25">
      <c r="A11876" s="3"/>
      <c r="B11876" s="3"/>
      <c r="C11876" s="3"/>
      <c r="D11876" s="3"/>
      <c r="E11876" s="3"/>
      <c r="F11876" s="3"/>
      <c r="G11876" s="3"/>
      <c r="H11876" s="11"/>
      <c r="I11876" s="12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  <c r="AA11876" s="3"/>
      <c r="AB11876" s="3"/>
      <c r="AC11876" s="3"/>
      <c r="AD11876" s="3"/>
      <c r="AE11876" s="3"/>
      <c r="AF11876" s="3"/>
      <c r="AG11876" s="3"/>
      <c r="AH11876" s="3"/>
    </row>
    <row r="11877" spans="1:34" ht="14.25" customHeight="1" x14ac:dyDescent="0.25">
      <c r="A11877" s="3"/>
      <c r="B11877" s="3"/>
      <c r="C11877" s="3"/>
      <c r="D11877" s="3"/>
      <c r="E11877" s="3"/>
      <c r="F11877" s="3"/>
      <c r="G11877" s="14"/>
      <c r="H11877" s="11"/>
      <c r="I11877" s="12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  <c r="AA11877" s="3"/>
      <c r="AB11877" s="3"/>
      <c r="AC11877" s="3"/>
      <c r="AD11877" s="3"/>
      <c r="AE11877" s="3"/>
      <c r="AF11877" s="3"/>
      <c r="AG11877" s="3"/>
      <c r="AH11877" s="3"/>
    </row>
    <row r="11878" spans="1:34" ht="14.25" customHeight="1" x14ac:dyDescent="0.25">
      <c r="A11878" s="3"/>
      <c r="B11878" s="3"/>
      <c r="C11878" s="3"/>
      <c r="D11878" s="3"/>
      <c r="E11878" s="3"/>
      <c r="F11878" s="3"/>
      <c r="G11878" s="3"/>
      <c r="H11878" s="11"/>
      <c r="I11878" s="12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  <c r="AA11878" s="3"/>
      <c r="AB11878" s="3"/>
      <c r="AC11878" s="3"/>
      <c r="AD11878" s="3"/>
      <c r="AE11878" s="3"/>
      <c r="AF11878" s="3"/>
      <c r="AG11878" s="3"/>
      <c r="AH11878" s="3"/>
    </row>
    <row r="11879" spans="1:34" ht="14.25" customHeight="1" x14ac:dyDescent="0.25">
      <c r="A11879" s="3"/>
      <c r="B11879" s="3"/>
      <c r="C11879" s="3"/>
      <c r="D11879" s="3"/>
      <c r="E11879" s="3"/>
      <c r="F11879" s="3"/>
      <c r="G11879" s="3"/>
      <c r="H11879" s="11"/>
      <c r="I11879" s="12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  <c r="AA11879" s="3"/>
      <c r="AB11879" s="3"/>
      <c r="AC11879" s="3"/>
      <c r="AD11879" s="3"/>
      <c r="AE11879" s="3"/>
      <c r="AF11879" s="3"/>
      <c r="AG11879" s="3"/>
      <c r="AH11879" s="3"/>
    </row>
    <row r="11880" spans="1:34" ht="14.25" customHeight="1" x14ac:dyDescent="0.25">
      <c r="A11880" s="3"/>
      <c r="B11880" s="3"/>
      <c r="C11880" s="3"/>
      <c r="D11880" s="3"/>
      <c r="E11880" s="3"/>
      <c r="F11880" s="3"/>
      <c r="G11880" s="3"/>
      <c r="H11880" s="11"/>
      <c r="I11880" s="12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  <c r="AA11880" s="3"/>
      <c r="AB11880" s="3"/>
      <c r="AC11880" s="3"/>
      <c r="AD11880" s="3"/>
      <c r="AE11880" s="3"/>
      <c r="AF11880" s="3"/>
      <c r="AG11880" s="3"/>
      <c r="AH11880" s="3"/>
    </row>
    <row r="11881" spans="1:34" ht="14.25" customHeight="1" x14ac:dyDescent="0.25">
      <c r="A11881" s="3"/>
      <c r="B11881" s="3"/>
      <c r="C11881" s="3"/>
      <c r="D11881" s="3"/>
      <c r="E11881" s="3"/>
      <c r="F11881" s="3"/>
      <c r="G11881" s="3"/>
      <c r="H11881" s="11"/>
      <c r="I11881" s="12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  <c r="AA11881" s="3"/>
      <c r="AB11881" s="3"/>
      <c r="AC11881" s="3"/>
      <c r="AD11881" s="3"/>
      <c r="AE11881" s="3"/>
      <c r="AF11881" s="3"/>
      <c r="AG11881" s="3"/>
      <c r="AH11881" s="3"/>
    </row>
    <row r="11882" spans="1:34" ht="14.25" customHeight="1" x14ac:dyDescent="0.25">
      <c r="A11882" s="3"/>
      <c r="B11882" s="3"/>
      <c r="C11882" s="3"/>
      <c r="D11882" s="3"/>
      <c r="E11882" s="3"/>
      <c r="F11882" s="3"/>
      <c r="G11882" s="3"/>
      <c r="H11882" s="11"/>
      <c r="I11882" s="12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  <c r="AA11882" s="3"/>
      <c r="AB11882" s="3"/>
      <c r="AC11882" s="3"/>
      <c r="AD11882" s="3"/>
      <c r="AE11882" s="3"/>
      <c r="AF11882" s="3"/>
      <c r="AG11882" s="3"/>
      <c r="AH11882" s="3"/>
    </row>
    <row r="11883" spans="1:34" ht="14.25" customHeight="1" x14ac:dyDescent="0.25">
      <c r="A11883" s="3"/>
      <c r="B11883" s="3"/>
      <c r="C11883" s="3"/>
      <c r="D11883" s="3"/>
      <c r="E11883" s="3"/>
      <c r="F11883" s="3"/>
      <c r="G11883" s="3"/>
      <c r="H11883" s="11"/>
      <c r="I11883" s="12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  <c r="AA11883" s="3"/>
      <c r="AB11883" s="3"/>
      <c r="AC11883" s="3"/>
      <c r="AD11883" s="3"/>
      <c r="AE11883" s="3"/>
      <c r="AF11883" s="3"/>
      <c r="AG11883" s="3"/>
      <c r="AH11883" s="3"/>
    </row>
    <row r="11884" spans="1:34" ht="14.25" customHeight="1" x14ac:dyDescent="0.25">
      <c r="A11884" s="3"/>
      <c r="B11884" s="3"/>
      <c r="C11884" s="3"/>
      <c r="D11884" s="3"/>
      <c r="E11884" s="3"/>
      <c r="F11884" s="3"/>
      <c r="G11884" s="3"/>
      <c r="H11884" s="11"/>
      <c r="I11884" s="12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  <c r="AA11884" s="3"/>
      <c r="AB11884" s="3"/>
      <c r="AC11884" s="3"/>
      <c r="AD11884" s="3"/>
      <c r="AE11884" s="3"/>
      <c r="AF11884" s="3"/>
      <c r="AG11884" s="3"/>
      <c r="AH11884" s="3"/>
    </row>
    <row r="11885" spans="1:34" ht="14.25" customHeight="1" x14ac:dyDescent="0.25">
      <c r="A11885" s="3"/>
      <c r="B11885" s="3"/>
      <c r="C11885" s="3"/>
      <c r="D11885" s="3"/>
      <c r="E11885" s="3"/>
      <c r="F11885" s="3"/>
      <c r="G11885" s="3"/>
      <c r="H11885" s="11"/>
      <c r="I11885" s="12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  <c r="AA11885" s="3"/>
      <c r="AB11885" s="3"/>
      <c r="AC11885" s="3"/>
      <c r="AD11885" s="3"/>
      <c r="AE11885" s="3"/>
      <c r="AF11885" s="3"/>
      <c r="AG11885" s="3"/>
      <c r="AH11885" s="3"/>
    </row>
    <row r="11886" spans="1:34" ht="14.25" customHeight="1" x14ac:dyDescent="0.25">
      <c r="A11886" s="3"/>
      <c r="B11886" s="3"/>
      <c r="C11886" s="3"/>
      <c r="D11886" s="3"/>
      <c r="E11886" s="3"/>
      <c r="F11886" s="3"/>
      <c r="G11886" s="3"/>
      <c r="H11886" s="11"/>
      <c r="I11886" s="12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  <c r="AA11886" s="3"/>
      <c r="AB11886" s="3"/>
      <c r="AC11886" s="3"/>
      <c r="AD11886" s="3"/>
      <c r="AE11886" s="3"/>
      <c r="AF11886" s="3"/>
      <c r="AG11886" s="3"/>
      <c r="AH11886" s="3"/>
    </row>
    <row r="11887" spans="1:34" ht="14.25" customHeight="1" x14ac:dyDescent="0.25">
      <c r="A11887" s="3"/>
      <c r="B11887" s="3"/>
      <c r="C11887" s="3"/>
      <c r="D11887" s="3"/>
      <c r="E11887" s="3"/>
      <c r="F11887" s="3"/>
      <c r="G11887" s="3"/>
      <c r="H11887" s="11"/>
      <c r="I11887" s="12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  <c r="AA11887" s="3"/>
      <c r="AB11887" s="3"/>
      <c r="AC11887" s="3"/>
      <c r="AD11887" s="3"/>
      <c r="AE11887" s="3"/>
      <c r="AF11887" s="3"/>
      <c r="AG11887" s="3"/>
      <c r="AH11887" s="3"/>
    </row>
    <row r="11888" spans="1:34" ht="14.25" customHeight="1" x14ac:dyDescent="0.25">
      <c r="A11888" s="3"/>
      <c r="B11888" s="3"/>
      <c r="C11888" s="3"/>
      <c r="D11888" s="3"/>
      <c r="E11888" s="3"/>
      <c r="F11888" s="3"/>
      <c r="G11888" s="3"/>
      <c r="H11888" s="11"/>
      <c r="I11888" s="12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  <c r="AA11888" s="3"/>
      <c r="AB11888" s="3"/>
      <c r="AC11888" s="3"/>
      <c r="AD11888" s="3"/>
      <c r="AE11888" s="3"/>
      <c r="AF11888" s="3"/>
      <c r="AG11888" s="3"/>
      <c r="AH11888" s="3"/>
    </row>
    <row r="11889" spans="1:34" ht="14.25" customHeight="1" x14ac:dyDescent="0.25">
      <c r="A11889" s="3"/>
      <c r="B11889" s="3"/>
      <c r="C11889" s="3"/>
      <c r="D11889" s="3"/>
      <c r="E11889" s="3"/>
      <c r="F11889" s="3"/>
      <c r="G11889" s="3"/>
      <c r="H11889" s="11"/>
      <c r="I11889" s="12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  <c r="AA11889" s="3"/>
      <c r="AB11889" s="3"/>
      <c r="AC11889" s="3"/>
      <c r="AD11889" s="3"/>
      <c r="AE11889" s="3"/>
      <c r="AF11889" s="3"/>
      <c r="AG11889" s="3"/>
      <c r="AH11889" s="3"/>
    </row>
    <row r="11890" spans="1:34" ht="14.25" customHeight="1" x14ac:dyDescent="0.25">
      <c r="A11890" s="3"/>
      <c r="B11890" s="3"/>
      <c r="C11890" s="3"/>
      <c r="D11890" s="3"/>
      <c r="E11890" s="3"/>
      <c r="F11890" s="3"/>
      <c r="G11890" s="3"/>
      <c r="H11890" s="11"/>
      <c r="I11890" s="12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  <c r="AA11890" s="3"/>
      <c r="AB11890" s="3"/>
      <c r="AC11890" s="3"/>
      <c r="AD11890" s="3"/>
      <c r="AE11890" s="3"/>
      <c r="AF11890" s="3"/>
      <c r="AG11890" s="3"/>
      <c r="AH11890" s="3"/>
    </row>
    <row r="11891" spans="1:34" ht="14.25" customHeight="1" x14ac:dyDescent="0.25">
      <c r="A11891" s="3"/>
      <c r="B11891" s="3"/>
      <c r="C11891" s="3"/>
      <c r="D11891" s="3"/>
      <c r="E11891" s="3"/>
      <c r="F11891" s="3"/>
      <c r="G11891" s="3"/>
      <c r="H11891" s="11"/>
      <c r="I11891" s="12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  <c r="AA11891" s="3"/>
      <c r="AB11891" s="3"/>
      <c r="AC11891" s="3"/>
      <c r="AD11891" s="3"/>
      <c r="AE11891" s="3"/>
      <c r="AF11891" s="3"/>
      <c r="AG11891" s="3"/>
      <c r="AH11891" s="3"/>
    </row>
    <row r="11892" spans="1:34" ht="14.25" customHeight="1" x14ac:dyDescent="0.25">
      <c r="A11892" s="3"/>
      <c r="B11892" s="3"/>
      <c r="C11892" s="3"/>
      <c r="D11892" s="3"/>
      <c r="E11892" s="3"/>
      <c r="F11892" s="3"/>
      <c r="G11892" s="3"/>
      <c r="H11892" s="11"/>
      <c r="I11892" s="12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  <c r="AA11892" s="3"/>
      <c r="AB11892" s="3"/>
      <c r="AC11892" s="3"/>
      <c r="AD11892" s="3"/>
      <c r="AE11892" s="3"/>
      <c r="AF11892" s="3"/>
      <c r="AG11892" s="3"/>
      <c r="AH11892" s="3"/>
    </row>
    <row r="11893" spans="1:34" ht="14.25" customHeight="1" x14ac:dyDescent="0.25">
      <c r="A11893" s="3"/>
      <c r="B11893" s="3"/>
      <c r="C11893" s="3"/>
      <c r="D11893" s="3"/>
      <c r="E11893" s="3"/>
      <c r="F11893" s="3"/>
      <c r="G11893" s="3"/>
      <c r="H11893" s="11"/>
      <c r="I11893" s="12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  <c r="AA11893" s="3"/>
      <c r="AB11893" s="3"/>
      <c r="AC11893" s="3"/>
      <c r="AD11893" s="3"/>
      <c r="AE11893" s="3"/>
      <c r="AF11893" s="3"/>
      <c r="AG11893" s="3"/>
      <c r="AH11893" s="3"/>
    </row>
    <row r="11894" spans="1:34" ht="14.25" customHeight="1" x14ac:dyDescent="0.25">
      <c r="A11894" s="3"/>
      <c r="B11894" s="3"/>
      <c r="C11894" s="3"/>
      <c r="D11894" s="3"/>
      <c r="E11894" s="3"/>
      <c r="F11894" s="3"/>
      <c r="G11894" s="3"/>
      <c r="H11894" s="11"/>
      <c r="I11894" s="12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  <c r="AA11894" s="3"/>
      <c r="AB11894" s="3"/>
      <c r="AC11894" s="3"/>
      <c r="AD11894" s="3"/>
      <c r="AE11894" s="3"/>
      <c r="AF11894" s="3"/>
      <c r="AG11894" s="3"/>
      <c r="AH11894" s="3"/>
    </row>
    <row r="11895" spans="1:34" ht="14.25" customHeight="1" x14ac:dyDescent="0.25">
      <c r="A11895" s="3"/>
      <c r="B11895" s="3"/>
      <c r="C11895" s="3"/>
      <c r="D11895" s="3"/>
      <c r="E11895" s="3"/>
      <c r="F11895" s="3"/>
      <c r="G11895" s="3"/>
      <c r="H11895" s="11"/>
      <c r="I11895" s="12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  <c r="AA11895" s="3"/>
      <c r="AB11895" s="3"/>
      <c r="AC11895" s="3"/>
      <c r="AD11895" s="3"/>
      <c r="AE11895" s="3"/>
      <c r="AF11895" s="3"/>
      <c r="AG11895" s="3"/>
      <c r="AH11895" s="3"/>
    </row>
    <row r="11896" spans="1:34" ht="14.25" customHeight="1" x14ac:dyDescent="0.25">
      <c r="A11896" s="3"/>
      <c r="B11896" s="3"/>
      <c r="C11896" s="3"/>
      <c r="D11896" s="3"/>
      <c r="E11896" s="3"/>
      <c r="F11896" s="3"/>
      <c r="G11896" s="3"/>
      <c r="H11896" s="11"/>
      <c r="I11896" s="12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  <c r="AA11896" s="3"/>
      <c r="AB11896" s="3"/>
      <c r="AC11896" s="3"/>
      <c r="AD11896" s="3"/>
      <c r="AE11896" s="3"/>
      <c r="AF11896" s="3"/>
      <c r="AG11896" s="3"/>
      <c r="AH11896" s="3"/>
    </row>
    <row r="11897" spans="1:34" ht="14.25" customHeight="1" x14ac:dyDescent="0.25">
      <c r="A11897" s="3"/>
      <c r="B11897" s="3"/>
      <c r="C11897" s="3"/>
      <c r="D11897" s="3"/>
      <c r="E11897" s="3"/>
      <c r="F11897" s="3"/>
      <c r="G11897" s="3"/>
      <c r="H11897" s="11"/>
      <c r="I11897" s="12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  <c r="AA11897" s="3"/>
      <c r="AB11897" s="3"/>
      <c r="AC11897" s="3"/>
      <c r="AD11897" s="3"/>
      <c r="AE11897" s="3"/>
      <c r="AF11897" s="3"/>
      <c r="AG11897" s="3"/>
      <c r="AH11897" s="3"/>
    </row>
    <row r="11898" spans="1:34" ht="14.25" customHeight="1" x14ac:dyDescent="0.25">
      <c r="A11898" s="3"/>
      <c r="B11898" s="3"/>
      <c r="C11898" s="3"/>
      <c r="D11898" s="3"/>
      <c r="E11898" s="3"/>
      <c r="F11898" s="3"/>
      <c r="G11898" s="3"/>
      <c r="H11898" s="11"/>
      <c r="I11898" s="12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  <c r="AA11898" s="3"/>
      <c r="AB11898" s="3"/>
      <c r="AC11898" s="3"/>
      <c r="AD11898" s="3"/>
      <c r="AE11898" s="3"/>
      <c r="AF11898" s="3"/>
      <c r="AG11898" s="3"/>
      <c r="AH11898" s="3"/>
    </row>
    <row r="11899" spans="1:34" ht="14.25" customHeight="1" x14ac:dyDescent="0.25">
      <c r="A11899" s="3"/>
      <c r="B11899" s="3"/>
      <c r="C11899" s="3"/>
      <c r="D11899" s="3"/>
      <c r="E11899" s="3"/>
      <c r="F11899" s="3"/>
      <c r="G11899" s="3"/>
      <c r="H11899" s="11"/>
      <c r="I11899" s="12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  <c r="AA11899" s="3"/>
      <c r="AB11899" s="3"/>
      <c r="AC11899" s="3"/>
      <c r="AD11899" s="3"/>
      <c r="AE11899" s="3"/>
      <c r="AF11899" s="3"/>
      <c r="AG11899" s="3"/>
      <c r="AH11899" s="3"/>
    </row>
    <row r="11900" spans="1:34" ht="14.25" customHeight="1" x14ac:dyDescent="0.25">
      <c r="A11900" s="3"/>
      <c r="B11900" s="3"/>
      <c r="C11900" s="3"/>
      <c r="D11900" s="3"/>
      <c r="E11900" s="3"/>
      <c r="F11900" s="3"/>
      <c r="G11900" s="3"/>
      <c r="H11900" s="11"/>
      <c r="I11900" s="12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  <c r="AA11900" s="3"/>
      <c r="AB11900" s="3"/>
      <c r="AC11900" s="3"/>
      <c r="AD11900" s="3"/>
      <c r="AE11900" s="3"/>
      <c r="AF11900" s="3"/>
      <c r="AG11900" s="3"/>
      <c r="AH11900" s="3"/>
    </row>
    <row r="11901" spans="1:34" ht="14.25" customHeight="1" x14ac:dyDescent="0.25">
      <c r="A11901" s="3"/>
      <c r="B11901" s="3"/>
      <c r="C11901" s="3"/>
      <c r="D11901" s="3"/>
      <c r="E11901" s="3"/>
      <c r="F11901" s="3"/>
      <c r="G11901" s="3"/>
      <c r="H11901" s="11"/>
      <c r="I11901" s="12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  <c r="AA11901" s="3"/>
      <c r="AB11901" s="3"/>
      <c r="AC11901" s="3"/>
      <c r="AD11901" s="3"/>
      <c r="AE11901" s="3"/>
      <c r="AF11901" s="3"/>
      <c r="AG11901" s="3"/>
      <c r="AH11901" s="3"/>
    </row>
    <row r="11902" spans="1:34" ht="14.25" customHeight="1" x14ac:dyDescent="0.25">
      <c r="A11902" s="3"/>
      <c r="B11902" s="3"/>
      <c r="C11902" s="3"/>
      <c r="D11902" s="3"/>
      <c r="E11902" s="3"/>
      <c r="F11902" s="3"/>
      <c r="G11902" s="3"/>
      <c r="H11902" s="11"/>
      <c r="I11902" s="12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  <c r="AA11902" s="3"/>
      <c r="AB11902" s="3"/>
      <c r="AC11902" s="3"/>
      <c r="AD11902" s="3"/>
      <c r="AE11902" s="3"/>
      <c r="AF11902" s="3"/>
      <c r="AG11902" s="3"/>
      <c r="AH11902" s="3"/>
    </row>
    <row r="11903" spans="1:34" ht="14.25" customHeight="1" x14ac:dyDescent="0.25">
      <c r="A11903" s="3"/>
      <c r="B11903" s="3"/>
      <c r="C11903" s="3"/>
      <c r="D11903" s="3"/>
      <c r="E11903" s="3"/>
      <c r="F11903" s="3"/>
      <c r="G11903" s="3"/>
      <c r="H11903" s="11"/>
      <c r="I11903" s="12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  <c r="AA11903" s="3"/>
      <c r="AB11903" s="3"/>
      <c r="AC11903" s="3"/>
      <c r="AD11903" s="3"/>
      <c r="AE11903" s="3"/>
      <c r="AF11903" s="3"/>
      <c r="AG11903" s="3"/>
      <c r="AH11903" s="3"/>
    </row>
    <row r="11904" spans="1:34" ht="14.25" customHeight="1" x14ac:dyDescent="0.25">
      <c r="A11904" s="3"/>
      <c r="B11904" s="3"/>
      <c r="C11904" s="3"/>
      <c r="D11904" s="3"/>
      <c r="E11904" s="3"/>
      <c r="F11904" s="3"/>
      <c r="G11904" s="3"/>
      <c r="H11904" s="11"/>
      <c r="I11904" s="12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  <c r="AA11904" s="3"/>
      <c r="AB11904" s="3"/>
      <c r="AC11904" s="3"/>
      <c r="AD11904" s="3"/>
      <c r="AE11904" s="3"/>
      <c r="AF11904" s="3"/>
      <c r="AG11904" s="3"/>
      <c r="AH11904" s="3"/>
    </row>
    <row r="11905" spans="1:34" ht="14.25" customHeight="1" x14ac:dyDescent="0.25">
      <c r="A11905" s="3"/>
      <c r="B11905" s="3"/>
      <c r="C11905" s="3"/>
      <c r="D11905" s="3"/>
      <c r="E11905" s="3"/>
      <c r="F11905" s="3"/>
      <c r="G11905" s="3"/>
      <c r="H11905" s="11"/>
      <c r="I11905" s="12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  <c r="AA11905" s="3"/>
      <c r="AB11905" s="3"/>
      <c r="AC11905" s="3"/>
      <c r="AD11905" s="3"/>
      <c r="AE11905" s="3"/>
      <c r="AF11905" s="3"/>
      <c r="AG11905" s="3"/>
      <c r="AH11905" s="3"/>
    </row>
    <row r="11906" spans="1:34" ht="14.25" customHeight="1" x14ac:dyDescent="0.25">
      <c r="A11906" s="3"/>
      <c r="B11906" s="3"/>
      <c r="C11906" s="3"/>
      <c r="D11906" s="3"/>
      <c r="E11906" s="3"/>
      <c r="F11906" s="3"/>
      <c r="G11906" s="3"/>
      <c r="H11906" s="11"/>
      <c r="I11906" s="12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  <c r="AA11906" s="3"/>
      <c r="AB11906" s="3"/>
      <c r="AC11906" s="3"/>
      <c r="AD11906" s="3"/>
      <c r="AE11906" s="3"/>
      <c r="AF11906" s="3"/>
      <c r="AG11906" s="3"/>
      <c r="AH11906" s="3"/>
    </row>
    <row r="11907" spans="1:34" ht="14.25" customHeight="1" x14ac:dyDescent="0.25">
      <c r="A11907" s="3"/>
      <c r="B11907" s="3"/>
      <c r="C11907" s="3"/>
      <c r="D11907" s="3"/>
      <c r="E11907" s="3"/>
      <c r="F11907" s="3"/>
      <c r="G11907" s="3"/>
      <c r="H11907" s="11"/>
      <c r="I11907" s="12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  <c r="AA11907" s="3"/>
      <c r="AB11907" s="3"/>
      <c r="AC11907" s="3"/>
      <c r="AD11907" s="3"/>
      <c r="AE11907" s="3"/>
      <c r="AF11907" s="3"/>
      <c r="AG11907" s="3"/>
      <c r="AH11907" s="3"/>
    </row>
    <row r="11908" spans="1:34" ht="14.25" customHeight="1" x14ac:dyDescent="0.25">
      <c r="A11908" s="3"/>
      <c r="B11908" s="3"/>
      <c r="C11908" s="3"/>
      <c r="D11908" s="3"/>
      <c r="E11908" s="3"/>
      <c r="F11908" s="3"/>
      <c r="G11908" s="3"/>
      <c r="H11908" s="11"/>
      <c r="I11908" s="12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  <c r="AA11908" s="3"/>
      <c r="AB11908" s="3"/>
      <c r="AC11908" s="3"/>
      <c r="AD11908" s="3"/>
      <c r="AE11908" s="3"/>
      <c r="AF11908" s="3"/>
      <c r="AG11908" s="3"/>
      <c r="AH11908" s="3"/>
    </row>
    <row r="11909" spans="1:34" ht="14.25" customHeight="1" x14ac:dyDescent="0.25">
      <c r="A11909" s="3"/>
      <c r="B11909" s="3"/>
      <c r="C11909" s="3"/>
      <c r="D11909" s="3"/>
      <c r="E11909" s="3"/>
      <c r="F11909" s="3"/>
      <c r="G11909" s="3"/>
      <c r="H11909" s="11"/>
      <c r="I11909" s="12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  <c r="AA11909" s="3"/>
      <c r="AB11909" s="3"/>
      <c r="AC11909" s="3"/>
      <c r="AD11909" s="3"/>
      <c r="AE11909" s="3"/>
      <c r="AF11909" s="3"/>
      <c r="AG11909" s="3"/>
      <c r="AH11909" s="3"/>
    </row>
    <row r="11910" spans="1:34" ht="14.25" customHeight="1" x14ac:dyDescent="0.25">
      <c r="A11910" s="3"/>
      <c r="B11910" s="3"/>
      <c r="C11910" s="3"/>
      <c r="D11910" s="3"/>
      <c r="E11910" s="3"/>
      <c r="F11910" s="3"/>
      <c r="G11910" s="3"/>
      <c r="H11910" s="11"/>
      <c r="I11910" s="12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  <c r="AA11910" s="3"/>
      <c r="AB11910" s="3"/>
      <c r="AC11910" s="3"/>
      <c r="AD11910" s="3"/>
      <c r="AE11910" s="3"/>
      <c r="AF11910" s="3"/>
      <c r="AG11910" s="3"/>
      <c r="AH11910" s="3"/>
    </row>
    <row r="11911" spans="1:34" ht="14.25" customHeight="1" x14ac:dyDescent="0.25">
      <c r="A11911" s="3"/>
      <c r="B11911" s="3"/>
      <c r="C11911" s="3"/>
      <c r="D11911" s="3"/>
      <c r="E11911" s="3"/>
      <c r="F11911" s="3"/>
      <c r="G11911" s="3"/>
      <c r="H11911" s="11"/>
      <c r="I11911" s="12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  <c r="AA11911" s="3"/>
      <c r="AB11911" s="3"/>
      <c r="AC11911" s="3"/>
      <c r="AD11911" s="3"/>
      <c r="AE11911" s="3"/>
      <c r="AF11911" s="3"/>
      <c r="AG11911" s="3"/>
      <c r="AH11911" s="3"/>
    </row>
    <row r="11912" spans="1:34" ht="14.25" customHeight="1" x14ac:dyDescent="0.25">
      <c r="A11912" s="3"/>
      <c r="B11912" s="3"/>
      <c r="C11912" s="3"/>
      <c r="D11912" s="3"/>
      <c r="E11912" s="3"/>
      <c r="F11912" s="3"/>
      <c r="G11912" s="3"/>
      <c r="H11912" s="11"/>
      <c r="I11912" s="12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  <c r="AA11912" s="3"/>
      <c r="AB11912" s="3"/>
      <c r="AC11912" s="3"/>
      <c r="AD11912" s="3"/>
      <c r="AE11912" s="3"/>
      <c r="AF11912" s="3"/>
      <c r="AG11912" s="3"/>
      <c r="AH11912" s="3"/>
    </row>
    <row r="11913" spans="1:34" ht="14.25" customHeight="1" x14ac:dyDescent="0.25">
      <c r="A11913" s="3"/>
      <c r="B11913" s="3"/>
      <c r="C11913" s="3"/>
      <c r="D11913" s="3"/>
      <c r="E11913" s="3"/>
      <c r="F11913" s="3"/>
      <c r="G11913" s="3"/>
      <c r="H11913" s="11"/>
      <c r="I11913" s="12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  <c r="AA11913" s="3"/>
      <c r="AB11913" s="3"/>
      <c r="AC11913" s="3"/>
      <c r="AD11913" s="3"/>
      <c r="AE11913" s="3"/>
      <c r="AF11913" s="3"/>
      <c r="AG11913" s="3"/>
      <c r="AH11913" s="3"/>
    </row>
    <row r="11914" spans="1:34" ht="14.25" customHeight="1" x14ac:dyDescent="0.25">
      <c r="A11914" s="3"/>
      <c r="B11914" s="3"/>
      <c r="C11914" s="3"/>
      <c r="D11914" s="3"/>
      <c r="E11914" s="3"/>
      <c r="F11914" s="3"/>
      <c r="G11914" s="3"/>
      <c r="H11914" s="11"/>
      <c r="I11914" s="12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  <c r="AA11914" s="3"/>
      <c r="AB11914" s="3"/>
      <c r="AC11914" s="3"/>
      <c r="AD11914" s="3"/>
      <c r="AE11914" s="3"/>
      <c r="AF11914" s="3"/>
      <c r="AG11914" s="3"/>
      <c r="AH11914" s="3"/>
    </row>
    <row r="11915" spans="1:34" ht="14.25" customHeight="1" x14ac:dyDescent="0.25">
      <c r="A11915" s="3"/>
      <c r="B11915" s="3"/>
      <c r="C11915" s="3"/>
      <c r="D11915" s="3"/>
      <c r="E11915" s="3"/>
      <c r="F11915" s="3"/>
      <c r="G11915" s="3"/>
      <c r="H11915" s="11"/>
      <c r="I11915" s="12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  <c r="AA11915" s="3"/>
      <c r="AB11915" s="3"/>
      <c r="AC11915" s="3"/>
      <c r="AD11915" s="3"/>
      <c r="AE11915" s="3"/>
      <c r="AF11915" s="3"/>
      <c r="AG11915" s="3"/>
      <c r="AH11915" s="3"/>
    </row>
    <row r="11916" spans="1:34" ht="14.25" customHeight="1" x14ac:dyDescent="0.25">
      <c r="A11916" s="3"/>
      <c r="B11916" s="3"/>
      <c r="C11916" s="3"/>
      <c r="D11916" s="3"/>
      <c r="E11916" s="3"/>
      <c r="F11916" s="3"/>
      <c r="G11916" s="3"/>
      <c r="H11916" s="11"/>
      <c r="I11916" s="12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  <c r="AA11916" s="3"/>
      <c r="AB11916" s="3"/>
      <c r="AC11916" s="3"/>
      <c r="AD11916" s="3"/>
      <c r="AE11916" s="3"/>
      <c r="AF11916" s="3"/>
      <c r="AG11916" s="3"/>
      <c r="AH11916" s="3"/>
    </row>
    <row r="11917" spans="1:34" ht="14.25" customHeight="1" x14ac:dyDescent="0.25">
      <c r="A11917" s="3"/>
      <c r="B11917" s="3"/>
      <c r="C11917" s="3"/>
      <c r="D11917" s="3"/>
      <c r="E11917" s="3"/>
      <c r="F11917" s="3"/>
      <c r="G11917" s="3"/>
      <c r="H11917" s="11"/>
      <c r="I11917" s="12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  <c r="AA11917" s="3"/>
      <c r="AB11917" s="3"/>
      <c r="AC11917" s="3"/>
      <c r="AD11917" s="3"/>
      <c r="AE11917" s="3"/>
      <c r="AF11917" s="3"/>
      <c r="AG11917" s="3"/>
      <c r="AH11917" s="3"/>
    </row>
    <row r="11918" spans="1:34" ht="14.25" customHeight="1" x14ac:dyDescent="0.25">
      <c r="A11918" s="3"/>
      <c r="B11918" s="3"/>
      <c r="C11918" s="3"/>
      <c r="D11918" s="3"/>
      <c r="E11918" s="3"/>
      <c r="F11918" s="3"/>
      <c r="G11918" s="3"/>
      <c r="H11918" s="11"/>
      <c r="I11918" s="12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  <c r="AA11918" s="3"/>
      <c r="AB11918" s="3"/>
      <c r="AC11918" s="3"/>
      <c r="AD11918" s="3"/>
      <c r="AE11918" s="3"/>
      <c r="AF11918" s="3"/>
      <c r="AG11918" s="3"/>
      <c r="AH11918" s="3"/>
    </row>
    <row r="11919" spans="1:34" ht="14.25" customHeight="1" x14ac:dyDescent="0.25">
      <c r="A11919" s="3"/>
      <c r="B11919" s="3"/>
      <c r="C11919" s="3"/>
      <c r="D11919" s="3"/>
      <c r="E11919" s="3"/>
      <c r="F11919" s="3"/>
      <c r="G11919" s="3"/>
      <c r="H11919" s="11"/>
      <c r="I11919" s="12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  <c r="AA11919" s="3"/>
      <c r="AB11919" s="3"/>
      <c r="AC11919" s="3"/>
      <c r="AD11919" s="3"/>
      <c r="AE11919" s="3"/>
      <c r="AF11919" s="3"/>
      <c r="AG11919" s="3"/>
      <c r="AH11919" s="3"/>
    </row>
    <row r="11920" spans="1:34" ht="14.25" customHeight="1" x14ac:dyDescent="0.25">
      <c r="A11920" s="3"/>
      <c r="B11920" s="3"/>
      <c r="C11920" s="3"/>
      <c r="D11920" s="3"/>
      <c r="E11920" s="3"/>
      <c r="F11920" s="3"/>
      <c r="G11920" s="3"/>
      <c r="H11920" s="11"/>
      <c r="I11920" s="12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  <c r="AA11920" s="3"/>
      <c r="AB11920" s="3"/>
      <c r="AC11920" s="3"/>
      <c r="AD11920" s="3"/>
      <c r="AE11920" s="3"/>
      <c r="AF11920" s="3"/>
      <c r="AG11920" s="3"/>
      <c r="AH11920" s="3"/>
    </row>
    <row r="11921" spans="1:34" ht="14.25" customHeight="1" x14ac:dyDescent="0.25">
      <c r="A11921" s="3"/>
      <c r="B11921" s="3"/>
      <c r="C11921" s="3"/>
      <c r="D11921" s="3"/>
      <c r="E11921" s="3"/>
      <c r="F11921" s="3"/>
      <c r="G11921" s="3"/>
      <c r="H11921" s="11"/>
      <c r="I11921" s="12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  <c r="AA11921" s="3"/>
      <c r="AB11921" s="3"/>
      <c r="AC11921" s="3"/>
      <c r="AD11921" s="3"/>
      <c r="AE11921" s="3"/>
      <c r="AF11921" s="3"/>
      <c r="AG11921" s="3"/>
      <c r="AH11921" s="3"/>
    </row>
    <row r="11922" spans="1:34" ht="14.25" customHeight="1" x14ac:dyDescent="0.25">
      <c r="A11922" s="3"/>
      <c r="B11922" s="3"/>
      <c r="C11922" s="3"/>
      <c r="D11922" s="3"/>
      <c r="E11922" s="3"/>
      <c r="F11922" s="3"/>
      <c r="G11922" s="3"/>
      <c r="H11922" s="11"/>
      <c r="I11922" s="12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  <c r="AA11922" s="3"/>
      <c r="AB11922" s="3"/>
      <c r="AC11922" s="3"/>
      <c r="AD11922" s="3"/>
      <c r="AE11922" s="3"/>
      <c r="AF11922" s="3"/>
      <c r="AG11922" s="3"/>
      <c r="AH11922" s="3"/>
    </row>
    <row r="11923" spans="1:34" ht="14.25" customHeight="1" x14ac:dyDescent="0.25">
      <c r="A11923" s="3"/>
      <c r="B11923" s="3"/>
      <c r="C11923" s="3"/>
      <c r="D11923" s="3"/>
      <c r="E11923" s="3"/>
      <c r="F11923" s="3"/>
      <c r="G11923" s="3"/>
      <c r="H11923" s="11"/>
      <c r="I11923" s="12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  <c r="AA11923" s="3"/>
      <c r="AB11923" s="3"/>
      <c r="AC11923" s="3"/>
      <c r="AD11923" s="3"/>
      <c r="AE11923" s="3"/>
      <c r="AF11923" s="3"/>
      <c r="AG11923" s="3"/>
      <c r="AH11923" s="3"/>
    </row>
    <row r="11924" spans="1:34" ht="14.25" customHeight="1" x14ac:dyDescent="0.25">
      <c r="A11924" s="3"/>
      <c r="B11924" s="3"/>
      <c r="C11924" s="3"/>
      <c r="D11924" s="3"/>
      <c r="E11924" s="3"/>
      <c r="F11924" s="3"/>
      <c r="G11924" s="3"/>
      <c r="H11924" s="11"/>
      <c r="I11924" s="12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  <c r="AA11924" s="3"/>
      <c r="AB11924" s="3"/>
      <c r="AC11924" s="3"/>
      <c r="AD11924" s="3"/>
      <c r="AE11924" s="3"/>
      <c r="AF11924" s="3"/>
      <c r="AG11924" s="3"/>
      <c r="AH11924" s="3"/>
    </row>
    <row r="11925" spans="1:34" ht="14.25" customHeight="1" x14ac:dyDescent="0.25">
      <c r="A11925" s="3"/>
      <c r="B11925" s="3"/>
      <c r="C11925" s="3"/>
      <c r="D11925" s="3"/>
      <c r="E11925" s="3"/>
      <c r="F11925" s="3"/>
      <c r="G11925" s="3"/>
      <c r="H11925" s="11"/>
      <c r="I11925" s="12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  <c r="AA11925" s="3"/>
      <c r="AB11925" s="3"/>
      <c r="AC11925" s="3"/>
      <c r="AD11925" s="3"/>
      <c r="AE11925" s="3"/>
      <c r="AF11925" s="3"/>
      <c r="AG11925" s="3"/>
      <c r="AH11925" s="3"/>
    </row>
    <row r="11926" spans="1:34" ht="14.25" customHeight="1" x14ac:dyDescent="0.25">
      <c r="A11926" s="3"/>
      <c r="B11926" s="3"/>
      <c r="C11926" s="3"/>
      <c r="D11926" s="3"/>
      <c r="E11926" s="3"/>
      <c r="F11926" s="3"/>
      <c r="G11926" s="3"/>
      <c r="H11926" s="11"/>
      <c r="I11926" s="12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  <c r="AA11926" s="3"/>
      <c r="AB11926" s="3"/>
      <c r="AC11926" s="3"/>
      <c r="AD11926" s="3"/>
      <c r="AE11926" s="3"/>
      <c r="AF11926" s="3"/>
      <c r="AG11926" s="3"/>
      <c r="AH11926" s="3"/>
    </row>
    <row r="11927" spans="1:34" ht="14.25" customHeight="1" x14ac:dyDescent="0.25">
      <c r="A11927" s="3"/>
      <c r="B11927" s="3"/>
      <c r="C11927" s="3"/>
      <c r="D11927" s="3"/>
      <c r="E11927" s="3"/>
      <c r="F11927" s="3"/>
      <c r="G11927" s="3"/>
      <c r="H11927" s="11"/>
      <c r="I11927" s="12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  <c r="AA11927" s="3"/>
      <c r="AB11927" s="3"/>
      <c r="AC11927" s="3"/>
      <c r="AD11927" s="3"/>
      <c r="AE11927" s="3"/>
      <c r="AF11927" s="3"/>
      <c r="AG11927" s="3"/>
      <c r="AH11927" s="3"/>
    </row>
    <row r="11928" spans="1:34" ht="14.25" customHeight="1" x14ac:dyDescent="0.25">
      <c r="A11928" s="3"/>
      <c r="B11928" s="3"/>
      <c r="C11928" s="3"/>
      <c r="D11928" s="3"/>
      <c r="E11928" s="3"/>
      <c r="F11928" s="3"/>
      <c r="G11928" s="3"/>
      <c r="H11928" s="11"/>
      <c r="I11928" s="12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  <c r="AA11928" s="3"/>
      <c r="AB11928" s="3"/>
      <c r="AC11928" s="3"/>
      <c r="AD11928" s="3"/>
      <c r="AE11928" s="3"/>
      <c r="AF11928" s="3"/>
      <c r="AG11928" s="3"/>
      <c r="AH11928" s="3"/>
    </row>
    <row r="11929" spans="1:34" ht="14.25" customHeight="1" x14ac:dyDescent="0.25">
      <c r="A11929" s="3"/>
      <c r="B11929" s="3"/>
      <c r="C11929" s="3"/>
      <c r="D11929" s="3"/>
      <c r="E11929" s="3"/>
      <c r="F11929" s="3"/>
      <c r="G11929" s="3"/>
      <c r="H11929" s="11"/>
      <c r="I11929" s="12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  <c r="AA11929" s="3"/>
      <c r="AB11929" s="3"/>
      <c r="AC11929" s="3"/>
      <c r="AD11929" s="3"/>
      <c r="AE11929" s="3"/>
      <c r="AF11929" s="3"/>
      <c r="AG11929" s="3"/>
      <c r="AH11929" s="3"/>
    </row>
    <row r="11930" spans="1:34" ht="14.25" customHeight="1" x14ac:dyDescent="0.25">
      <c r="A11930" s="3"/>
      <c r="B11930" s="3"/>
      <c r="C11930" s="3"/>
      <c r="D11930" s="3"/>
      <c r="E11930" s="3"/>
      <c r="F11930" s="3"/>
      <c r="G11930" s="3"/>
      <c r="H11930" s="11"/>
      <c r="I11930" s="12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  <c r="AA11930" s="3"/>
      <c r="AB11930" s="3"/>
      <c r="AC11930" s="3"/>
      <c r="AD11930" s="3"/>
      <c r="AE11930" s="3"/>
      <c r="AF11930" s="3"/>
      <c r="AG11930" s="3"/>
      <c r="AH11930" s="3"/>
    </row>
    <row r="11931" spans="1:34" ht="14.25" customHeight="1" x14ac:dyDescent="0.25">
      <c r="A11931" s="3"/>
      <c r="B11931" s="3"/>
      <c r="C11931" s="3"/>
      <c r="D11931" s="3"/>
      <c r="E11931" s="3"/>
      <c r="F11931" s="3"/>
      <c r="G11931" s="3"/>
      <c r="H11931" s="11"/>
      <c r="I11931" s="12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  <c r="AA11931" s="3"/>
      <c r="AB11931" s="3"/>
      <c r="AC11931" s="3"/>
      <c r="AD11931" s="3"/>
      <c r="AE11931" s="3"/>
      <c r="AF11931" s="3"/>
      <c r="AG11931" s="3"/>
      <c r="AH11931" s="3"/>
    </row>
    <row r="11932" spans="1:34" ht="14.25" customHeight="1" x14ac:dyDescent="0.25">
      <c r="A11932" s="3"/>
      <c r="B11932" s="3"/>
      <c r="C11932" s="3"/>
      <c r="D11932" s="3"/>
      <c r="E11932" s="3"/>
      <c r="F11932" s="3"/>
      <c r="G11932" s="3"/>
      <c r="H11932" s="11"/>
      <c r="I11932" s="12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  <c r="AA11932" s="3"/>
      <c r="AB11932" s="3"/>
      <c r="AC11932" s="3"/>
      <c r="AD11932" s="3"/>
      <c r="AE11932" s="3"/>
      <c r="AF11932" s="3"/>
      <c r="AG11932" s="3"/>
      <c r="AH11932" s="3"/>
    </row>
    <row r="11933" spans="1:34" ht="14.25" customHeight="1" x14ac:dyDescent="0.25">
      <c r="A11933" s="3"/>
      <c r="B11933" s="3"/>
      <c r="C11933" s="3"/>
      <c r="D11933" s="3"/>
      <c r="E11933" s="3"/>
      <c r="F11933" s="3"/>
      <c r="G11933" s="3"/>
      <c r="H11933" s="11"/>
      <c r="I11933" s="12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  <c r="AA11933" s="3"/>
      <c r="AB11933" s="3"/>
      <c r="AC11933" s="3"/>
      <c r="AD11933" s="3"/>
      <c r="AE11933" s="3"/>
      <c r="AF11933" s="3"/>
      <c r="AG11933" s="3"/>
      <c r="AH11933" s="3"/>
    </row>
    <row r="11934" spans="1:34" ht="14.25" customHeight="1" x14ac:dyDescent="0.25">
      <c r="A11934" s="3"/>
      <c r="B11934" s="3"/>
      <c r="C11934" s="3"/>
      <c r="D11934" s="3"/>
      <c r="E11934" s="3"/>
      <c r="F11934" s="3"/>
      <c r="G11934" s="3"/>
      <c r="H11934" s="11"/>
      <c r="I11934" s="12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  <c r="AA11934" s="3"/>
      <c r="AB11934" s="3"/>
      <c r="AC11934" s="3"/>
      <c r="AD11934" s="3"/>
      <c r="AE11934" s="3"/>
      <c r="AF11934" s="3"/>
      <c r="AG11934" s="3"/>
      <c r="AH11934" s="3"/>
    </row>
    <row r="11935" spans="1:34" ht="14.25" customHeight="1" x14ac:dyDescent="0.25">
      <c r="A11935" s="3"/>
      <c r="B11935" s="3"/>
      <c r="C11935" s="3"/>
      <c r="D11935" s="3"/>
      <c r="E11935" s="3"/>
      <c r="F11935" s="3"/>
      <c r="G11935" s="3"/>
      <c r="H11935" s="11"/>
      <c r="I11935" s="12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  <c r="AA11935" s="3"/>
      <c r="AB11935" s="3"/>
      <c r="AC11935" s="3"/>
      <c r="AD11935" s="3"/>
      <c r="AE11935" s="3"/>
      <c r="AF11935" s="3"/>
      <c r="AG11935" s="3"/>
      <c r="AH11935" s="3"/>
    </row>
    <row r="11936" spans="1:34" ht="14.25" customHeight="1" x14ac:dyDescent="0.25">
      <c r="A11936" s="3"/>
      <c r="B11936" s="3"/>
      <c r="C11936" s="3"/>
      <c r="D11936" s="3"/>
      <c r="E11936" s="3"/>
      <c r="F11936" s="3"/>
      <c r="G11936" s="3"/>
      <c r="H11936" s="11"/>
      <c r="I11936" s="12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  <c r="AA11936" s="3"/>
      <c r="AB11936" s="3"/>
      <c r="AC11936" s="3"/>
      <c r="AD11936" s="3"/>
      <c r="AE11936" s="3"/>
      <c r="AF11936" s="3"/>
      <c r="AG11936" s="3"/>
      <c r="AH11936" s="3"/>
    </row>
    <row r="11937" spans="1:34" ht="14.25" customHeight="1" x14ac:dyDescent="0.25">
      <c r="A11937" s="3"/>
      <c r="B11937" s="3"/>
      <c r="C11937" s="3"/>
      <c r="D11937" s="3"/>
      <c r="E11937" s="3"/>
      <c r="F11937" s="3"/>
      <c r="G11937" s="3"/>
      <c r="H11937" s="11"/>
      <c r="I11937" s="12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  <c r="AA11937" s="3"/>
      <c r="AB11937" s="3"/>
      <c r="AC11937" s="3"/>
      <c r="AD11937" s="3"/>
      <c r="AE11937" s="3"/>
      <c r="AF11937" s="3"/>
      <c r="AG11937" s="3"/>
      <c r="AH11937" s="3"/>
    </row>
    <row r="11938" spans="1:34" ht="14.25" customHeight="1" x14ac:dyDescent="0.25">
      <c r="A11938" s="3"/>
      <c r="B11938" s="3"/>
      <c r="C11938" s="3"/>
      <c r="D11938" s="3"/>
      <c r="E11938" s="3"/>
      <c r="F11938" s="3"/>
      <c r="G11938" s="3"/>
      <c r="H11938" s="11"/>
      <c r="I11938" s="12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  <c r="AA11938" s="3"/>
      <c r="AB11938" s="3"/>
      <c r="AC11938" s="3"/>
      <c r="AD11938" s="3"/>
      <c r="AE11938" s="3"/>
      <c r="AF11938" s="3"/>
      <c r="AG11938" s="3"/>
      <c r="AH11938" s="3"/>
    </row>
    <row r="11939" spans="1:34" ht="14.25" customHeight="1" x14ac:dyDescent="0.25">
      <c r="A11939" s="3"/>
      <c r="B11939" s="3"/>
      <c r="C11939" s="3"/>
      <c r="D11939" s="3"/>
      <c r="E11939" s="3"/>
      <c r="F11939" s="3"/>
      <c r="G11939" s="3"/>
      <c r="H11939" s="11"/>
      <c r="I11939" s="12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  <c r="AA11939" s="3"/>
      <c r="AB11939" s="3"/>
      <c r="AC11939" s="3"/>
      <c r="AD11939" s="3"/>
      <c r="AE11939" s="3"/>
      <c r="AF11939" s="3"/>
      <c r="AG11939" s="3"/>
      <c r="AH11939" s="3"/>
    </row>
    <row r="11940" spans="1:34" ht="14.25" customHeight="1" x14ac:dyDescent="0.25">
      <c r="A11940" s="3"/>
      <c r="B11940" s="3"/>
      <c r="C11940" s="3"/>
      <c r="D11940" s="3"/>
      <c r="E11940" s="3"/>
      <c r="F11940" s="3"/>
      <c r="G11940" s="3"/>
      <c r="H11940" s="11"/>
      <c r="I11940" s="12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  <c r="AA11940" s="3"/>
      <c r="AB11940" s="3"/>
      <c r="AC11940" s="3"/>
      <c r="AD11940" s="3"/>
      <c r="AE11940" s="3"/>
      <c r="AF11940" s="3"/>
      <c r="AG11940" s="3"/>
      <c r="AH11940" s="3"/>
    </row>
    <row r="11941" spans="1:34" ht="14.25" customHeight="1" x14ac:dyDescent="0.25">
      <c r="A11941" s="3"/>
      <c r="B11941" s="3"/>
      <c r="C11941" s="3"/>
      <c r="D11941" s="3"/>
      <c r="E11941" s="3"/>
      <c r="F11941" s="3"/>
      <c r="G11941" s="3"/>
      <c r="H11941" s="11"/>
      <c r="I11941" s="12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  <c r="AA11941" s="3"/>
      <c r="AB11941" s="3"/>
      <c r="AC11941" s="3"/>
      <c r="AD11941" s="3"/>
      <c r="AE11941" s="3"/>
      <c r="AF11941" s="3"/>
      <c r="AG11941" s="3"/>
      <c r="AH11941" s="3"/>
    </row>
    <row r="11942" spans="1:34" ht="14.25" customHeight="1" x14ac:dyDescent="0.25">
      <c r="A11942" s="3"/>
      <c r="B11942" s="3"/>
      <c r="C11942" s="3"/>
      <c r="D11942" s="3"/>
      <c r="E11942" s="3"/>
      <c r="F11942" s="3"/>
      <c r="G11942" s="3"/>
      <c r="H11942" s="11"/>
      <c r="I11942" s="12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  <c r="AA11942" s="3"/>
      <c r="AB11942" s="3"/>
      <c r="AC11942" s="3"/>
      <c r="AD11942" s="3"/>
      <c r="AE11942" s="3"/>
      <c r="AF11942" s="3"/>
      <c r="AG11942" s="3"/>
      <c r="AH11942" s="3"/>
    </row>
    <row r="11943" spans="1:34" ht="14.25" customHeight="1" x14ac:dyDescent="0.25">
      <c r="A11943" s="3"/>
      <c r="B11943" s="3"/>
      <c r="C11943" s="3"/>
      <c r="D11943" s="3"/>
      <c r="E11943" s="3"/>
      <c r="F11943" s="3"/>
      <c r="G11943" s="3"/>
      <c r="H11943" s="11"/>
      <c r="I11943" s="12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  <c r="AA11943" s="3"/>
      <c r="AB11943" s="3"/>
      <c r="AC11943" s="3"/>
      <c r="AD11943" s="3"/>
      <c r="AE11943" s="3"/>
      <c r="AF11943" s="3"/>
      <c r="AG11943" s="3"/>
      <c r="AH11943" s="3"/>
    </row>
    <row r="11944" spans="1:34" ht="14.25" customHeight="1" x14ac:dyDescent="0.25">
      <c r="A11944" s="3"/>
      <c r="B11944" s="3"/>
      <c r="C11944" s="3"/>
      <c r="D11944" s="3"/>
      <c r="E11944" s="3"/>
      <c r="F11944" s="3"/>
      <c r="G11944" s="3"/>
      <c r="H11944" s="11"/>
      <c r="I11944" s="12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  <c r="AA11944" s="3"/>
      <c r="AB11944" s="3"/>
      <c r="AC11944" s="3"/>
      <c r="AD11944" s="3"/>
      <c r="AE11944" s="3"/>
      <c r="AF11944" s="3"/>
      <c r="AG11944" s="3"/>
      <c r="AH11944" s="3"/>
    </row>
    <row r="11945" spans="1:34" ht="14.25" customHeight="1" x14ac:dyDescent="0.25">
      <c r="A11945" s="3"/>
      <c r="B11945" s="3"/>
      <c r="C11945" s="3"/>
      <c r="D11945" s="3"/>
      <c r="E11945" s="3"/>
      <c r="F11945" s="3"/>
      <c r="G11945" s="3"/>
      <c r="H11945" s="11"/>
      <c r="I11945" s="12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  <c r="AA11945" s="3"/>
      <c r="AB11945" s="3"/>
      <c r="AC11945" s="3"/>
      <c r="AD11945" s="3"/>
      <c r="AE11945" s="3"/>
      <c r="AF11945" s="3"/>
      <c r="AG11945" s="3"/>
      <c r="AH11945" s="3"/>
    </row>
    <row r="11946" spans="1:34" ht="14.25" customHeight="1" x14ac:dyDescent="0.25">
      <c r="A11946" s="3"/>
      <c r="B11946" s="3"/>
      <c r="C11946" s="3"/>
      <c r="D11946" s="3"/>
      <c r="E11946" s="3"/>
      <c r="F11946" s="3"/>
      <c r="G11946" s="3"/>
      <c r="H11946" s="11"/>
      <c r="I11946" s="12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  <c r="AA11946" s="3"/>
      <c r="AB11946" s="3"/>
      <c r="AC11946" s="3"/>
      <c r="AD11946" s="3"/>
      <c r="AE11946" s="3"/>
      <c r="AF11946" s="3"/>
      <c r="AG11946" s="3"/>
      <c r="AH11946" s="3"/>
    </row>
    <row r="11947" spans="1:34" ht="14.25" customHeight="1" x14ac:dyDescent="0.25">
      <c r="A11947" s="3"/>
      <c r="B11947" s="3"/>
      <c r="C11947" s="3"/>
      <c r="D11947" s="3"/>
      <c r="E11947" s="3"/>
      <c r="F11947" s="3"/>
      <c r="G11947" s="3"/>
      <c r="H11947" s="11"/>
      <c r="I11947" s="12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  <c r="AA11947" s="3"/>
      <c r="AB11947" s="3"/>
      <c r="AC11947" s="3"/>
      <c r="AD11947" s="3"/>
      <c r="AE11947" s="3"/>
      <c r="AF11947" s="3"/>
      <c r="AG11947" s="3"/>
      <c r="AH11947" s="3"/>
    </row>
    <row r="11948" spans="1:34" ht="14.25" customHeight="1" x14ac:dyDescent="0.25">
      <c r="A11948" s="3"/>
      <c r="B11948" s="3"/>
      <c r="C11948" s="3"/>
      <c r="D11948" s="3"/>
      <c r="E11948" s="3"/>
      <c r="F11948" s="3"/>
      <c r="G11948" s="3"/>
      <c r="H11948" s="11"/>
      <c r="I11948" s="12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  <c r="AA11948" s="3"/>
      <c r="AB11948" s="3"/>
      <c r="AC11948" s="3"/>
      <c r="AD11948" s="3"/>
      <c r="AE11948" s="3"/>
      <c r="AF11948" s="3"/>
      <c r="AG11948" s="3"/>
      <c r="AH11948" s="3"/>
    </row>
    <row r="11949" spans="1:34" ht="14.25" customHeight="1" x14ac:dyDescent="0.25">
      <c r="A11949" s="3"/>
      <c r="B11949" s="3"/>
      <c r="C11949" s="3"/>
      <c r="D11949" s="3"/>
      <c r="E11949" s="3"/>
      <c r="F11949" s="3"/>
      <c r="G11949" s="3"/>
      <c r="H11949" s="11"/>
      <c r="I11949" s="12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  <c r="AA11949" s="3"/>
      <c r="AB11949" s="3"/>
      <c r="AC11949" s="3"/>
      <c r="AD11949" s="3"/>
      <c r="AE11949" s="3"/>
      <c r="AF11949" s="3"/>
      <c r="AG11949" s="3"/>
      <c r="AH11949" s="3"/>
    </row>
    <row r="11950" spans="1:34" ht="14.25" customHeight="1" x14ac:dyDescent="0.25">
      <c r="A11950" s="3"/>
      <c r="B11950" s="3"/>
      <c r="C11950" s="3"/>
      <c r="D11950" s="3"/>
      <c r="E11950" s="3"/>
      <c r="F11950" s="3"/>
      <c r="G11950" s="3"/>
      <c r="H11950" s="11"/>
      <c r="I11950" s="12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  <c r="AA11950" s="3"/>
      <c r="AB11950" s="3"/>
      <c r="AC11950" s="3"/>
      <c r="AD11950" s="3"/>
      <c r="AE11950" s="3"/>
      <c r="AF11950" s="3"/>
      <c r="AG11950" s="3"/>
      <c r="AH11950" s="3"/>
    </row>
    <row r="11951" spans="1:34" ht="14.25" customHeight="1" x14ac:dyDescent="0.25">
      <c r="A11951" s="3"/>
      <c r="B11951" s="3"/>
      <c r="C11951" s="3"/>
      <c r="D11951" s="3"/>
      <c r="E11951" s="3"/>
      <c r="F11951" s="3"/>
      <c r="G11951" s="3"/>
      <c r="H11951" s="11"/>
      <c r="I11951" s="12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  <c r="AA11951" s="3"/>
      <c r="AB11951" s="3"/>
      <c r="AC11951" s="3"/>
      <c r="AD11951" s="3"/>
      <c r="AE11951" s="3"/>
      <c r="AF11951" s="3"/>
      <c r="AG11951" s="3"/>
      <c r="AH11951" s="3"/>
    </row>
    <row r="11952" spans="1:34" ht="14.25" customHeight="1" x14ac:dyDescent="0.25">
      <c r="A11952" s="3"/>
      <c r="B11952" s="3"/>
      <c r="C11952" s="3"/>
      <c r="D11952" s="3"/>
      <c r="E11952" s="3"/>
      <c r="F11952" s="3"/>
      <c r="G11952" s="3"/>
      <c r="H11952" s="11"/>
      <c r="I11952" s="12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  <c r="AA11952" s="3"/>
      <c r="AB11952" s="3"/>
      <c r="AC11952" s="3"/>
      <c r="AD11952" s="3"/>
      <c r="AE11952" s="3"/>
      <c r="AF11952" s="3"/>
      <c r="AG11952" s="3"/>
      <c r="AH11952" s="3"/>
    </row>
    <row r="11953" spans="1:34" ht="14.25" customHeight="1" x14ac:dyDescent="0.25">
      <c r="A11953" s="3"/>
      <c r="B11953" s="3"/>
      <c r="C11953" s="3"/>
      <c r="D11953" s="3"/>
      <c r="E11953" s="3"/>
      <c r="F11953" s="3"/>
      <c r="G11953" s="3"/>
      <c r="H11953" s="11"/>
      <c r="I11953" s="12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  <c r="AA11953" s="3"/>
      <c r="AB11953" s="3"/>
      <c r="AC11953" s="3"/>
      <c r="AD11953" s="3"/>
      <c r="AE11953" s="3"/>
      <c r="AF11953" s="3"/>
      <c r="AG11953" s="3"/>
      <c r="AH11953" s="3"/>
    </row>
    <row r="11954" spans="1:34" ht="14.25" customHeight="1" x14ac:dyDescent="0.25">
      <c r="A11954" s="3"/>
      <c r="B11954" s="3"/>
      <c r="C11954" s="3"/>
      <c r="D11954" s="3"/>
      <c r="E11954" s="3"/>
      <c r="F11954" s="3"/>
      <c r="G11954" s="3"/>
      <c r="H11954" s="11"/>
      <c r="I11954" s="12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  <c r="AA11954" s="3"/>
      <c r="AB11954" s="3"/>
      <c r="AC11954" s="3"/>
      <c r="AD11954" s="3"/>
      <c r="AE11954" s="3"/>
      <c r="AF11954" s="3"/>
      <c r="AG11954" s="3"/>
      <c r="AH11954" s="3"/>
    </row>
    <row r="11955" spans="1:34" ht="14.25" customHeight="1" x14ac:dyDescent="0.25">
      <c r="A11955" s="3"/>
      <c r="B11955" s="3"/>
      <c r="C11955" s="3"/>
      <c r="D11955" s="3"/>
      <c r="E11955" s="3"/>
      <c r="F11955" s="3"/>
      <c r="G11955" s="14"/>
      <c r="H11955" s="11"/>
      <c r="I11955" s="12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  <c r="AA11955" s="3"/>
      <c r="AB11955" s="3"/>
      <c r="AC11955" s="3"/>
      <c r="AD11955" s="3"/>
      <c r="AE11955" s="3"/>
      <c r="AF11955" s="3"/>
      <c r="AG11955" s="3"/>
      <c r="AH11955" s="3"/>
    </row>
    <row r="11956" spans="1:34" ht="14.25" customHeight="1" x14ac:dyDescent="0.25">
      <c r="A11956" s="3"/>
      <c r="B11956" s="3"/>
      <c r="C11956" s="3"/>
      <c r="D11956" s="3"/>
      <c r="E11956" s="3"/>
      <c r="F11956" s="3"/>
      <c r="G11956" s="3"/>
      <c r="H11956" s="11"/>
      <c r="I11956" s="12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  <c r="AA11956" s="3"/>
      <c r="AB11956" s="3"/>
      <c r="AC11956" s="3"/>
      <c r="AD11956" s="3"/>
      <c r="AE11956" s="3"/>
      <c r="AF11956" s="3"/>
      <c r="AG11956" s="3"/>
      <c r="AH11956" s="3"/>
    </row>
    <row r="11957" spans="1:34" ht="14.25" customHeight="1" x14ac:dyDescent="0.25">
      <c r="A11957" s="3"/>
      <c r="B11957" s="3"/>
      <c r="C11957" s="3"/>
      <c r="D11957" s="3"/>
      <c r="E11957" s="3"/>
      <c r="F11957" s="3"/>
      <c r="G11957" s="3"/>
      <c r="H11957" s="11"/>
      <c r="I11957" s="12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  <c r="AA11957" s="3"/>
      <c r="AB11957" s="3"/>
      <c r="AC11957" s="3"/>
      <c r="AD11957" s="3"/>
      <c r="AE11957" s="3"/>
      <c r="AF11957" s="3"/>
      <c r="AG11957" s="3"/>
      <c r="AH11957" s="3"/>
    </row>
    <row r="11958" spans="1:34" ht="14.25" customHeight="1" x14ac:dyDescent="0.25">
      <c r="A11958" s="3"/>
      <c r="B11958" s="3"/>
      <c r="C11958" s="3"/>
      <c r="D11958" s="3"/>
      <c r="E11958" s="3"/>
      <c r="F11958" s="3"/>
      <c r="G11958" s="3"/>
      <c r="H11958" s="11"/>
      <c r="I11958" s="12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  <c r="AA11958" s="3"/>
      <c r="AB11958" s="3"/>
      <c r="AC11958" s="3"/>
      <c r="AD11958" s="3"/>
      <c r="AE11958" s="3"/>
      <c r="AF11958" s="3"/>
      <c r="AG11958" s="3"/>
      <c r="AH11958" s="3"/>
    </row>
    <row r="11959" spans="1:34" ht="14.25" customHeight="1" x14ac:dyDescent="0.25">
      <c r="A11959" s="3"/>
      <c r="B11959" s="3"/>
      <c r="C11959" s="3"/>
      <c r="D11959" s="3"/>
      <c r="E11959" s="3"/>
      <c r="F11959" s="3"/>
      <c r="G11959" s="3"/>
      <c r="H11959" s="11"/>
      <c r="I11959" s="12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  <c r="AA11959" s="3"/>
      <c r="AB11959" s="3"/>
      <c r="AC11959" s="3"/>
      <c r="AD11959" s="3"/>
      <c r="AE11959" s="3"/>
      <c r="AF11959" s="3"/>
      <c r="AG11959" s="3"/>
      <c r="AH11959" s="3"/>
    </row>
    <row r="11960" spans="1:34" ht="14.25" customHeight="1" x14ac:dyDescent="0.25">
      <c r="A11960" s="3"/>
      <c r="B11960" s="3"/>
      <c r="C11960" s="3"/>
      <c r="D11960" s="3"/>
      <c r="E11960" s="3"/>
      <c r="F11960" s="3"/>
      <c r="G11960" s="3"/>
      <c r="H11960" s="11"/>
      <c r="I11960" s="12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  <c r="AA11960" s="3"/>
      <c r="AB11960" s="3"/>
      <c r="AC11960" s="3"/>
      <c r="AD11960" s="3"/>
      <c r="AE11960" s="3"/>
      <c r="AF11960" s="3"/>
      <c r="AG11960" s="3"/>
      <c r="AH11960" s="3"/>
    </row>
    <row r="11961" spans="1:34" ht="14.25" customHeight="1" x14ac:dyDescent="0.25">
      <c r="A11961" s="3"/>
      <c r="B11961" s="3"/>
      <c r="C11961" s="3"/>
      <c r="D11961" s="3"/>
      <c r="E11961" s="3"/>
      <c r="F11961" s="3"/>
      <c r="G11961" s="3"/>
      <c r="H11961" s="11"/>
      <c r="I11961" s="12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  <c r="AA11961" s="3"/>
      <c r="AB11961" s="3"/>
      <c r="AC11961" s="3"/>
      <c r="AD11961" s="3"/>
      <c r="AE11961" s="3"/>
      <c r="AF11961" s="3"/>
      <c r="AG11961" s="3"/>
      <c r="AH11961" s="3"/>
    </row>
    <row r="11962" spans="1:34" ht="14.25" customHeight="1" x14ac:dyDescent="0.25">
      <c r="A11962" s="3"/>
      <c r="B11962" s="3"/>
      <c r="C11962" s="3"/>
      <c r="D11962" s="3"/>
      <c r="E11962" s="3"/>
      <c r="F11962" s="3"/>
      <c r="G11962" s="3"/>
      <c r="H11962" s="11"/>
      <c r="I11962" s="12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  <c r="AA11962" s="3"/>
      <c r="AB11962" s="3"/>
      <c r="AC11962" s="3"/>
      <c r="AD11962" s="3"/>
      <c r="AE11962" s="3"/>
      <c r="AF11962" s="3"/>
      <c r="AG11962" s="3"/>
      <c r="AH11962" s="3"/>
    </row>
    <row r="11963" spans="1:34" ht="14.25" customHeight="1" x14ac:dyDescent="0.25">
      <c r="A11963" s="3"/>
      <c r="B11963" s="3"/>
      <c r="C11963" s="3"/>
      <c r="D11963" s="3"/>
      <c r="E11963" s="3"/>
      <c r="F11963" s="3"/>
      <c r="G11963" s="3"/>
      <c r="H11963" s="11"/>
      <c r="I11963" s="12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  <c r="AA11963" s="3"/>
      <c r="AB11963" s="3"/>
      <c r="AC11963" s="3"/>
      <c r="AD11963" s="3"/>
      <c r="AE11963" s="3"/>
      <c r="AF11963" s="3"/>
      <c r="AG11963" s="3"/>
      <c r="AH11963" s="3"/>
    </row>
    <row r="11964" spans="1:34" ht="14.25" customHeight="1" x14ac:dyDescent="0.25">
      <c r="A11964" s="3"/>
      <c r="B11964" s="3"/>
      <c r="C11964" s="3"/>
      <c r="D11964" s="3"/>
      <c r="E11964" s="3"/>
      <c r="F11964" s="3"/>
      <c r="G11964" s="3"/>
      <c r="H11964" s="11"/>
      <c r="I11964" s="12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  <c r="AA11964" s="3"/>
      <c r="AB11964" s="3"/>
      <c r="AC11964" s="3"/>
      <c r="AD11964" s="3"/>
      <c r="AE11964" s="3"/>
      <c r="AF11964" s="3"/>
      <c r="AG11964" s="3"/>
      <c r="AH11964" s="3"/>
    </row>
    <row r="11965" spans="1:34" ht="14.25" customHeight="1" x14ac:dyDescent="0.25">
      <c r="A11965" s="3"/>
      <c r="B11965" s="3"/>
      <c r="C11965" s="3"/>
      <c r="D11965" s="3"/>
      <c r="E11965" s="3"/>
      <c r="F11965" s="3"/>
      <c r="G11965" s="3"/>
      <c r="H11965" s="11"/>
      <c r="I11965" s="12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  <c r="AA11965" s="3"/>
      <c r="AB11965" s="3"/>
      <c r="AC11965" s="3"/>
      <c r="AD11965" s="3"/>
      <c r="AE11965" s="3"/>
      <c r="AF11965" s="3"/>
      <c r="AG11965" s="3"/>
      <c r="AH11965" s="3"/>
    </row>
    <row r="11966" spans="1:34" ht="14.25" customHeight="1" x14ac:dyDescent="0.25">
      <c r="A11966" s="3"/>
      <c r="B11966" s="3"/>
      <c r="C11966" s="3"/>
      <c r="D11966" s="3"/>
      <c r="E11966" s="3"/>
      <c r="F11966" s="3"/>
      <c r="G11966" s="3"/>
      <c r="H11966" s="11"/>
      <c r="I11966" s="12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  <c r="AA11966" s="3"/>
      <c r="AB11966" s="3"/>
      <c r="AC11966" s="3"/>
      <c r="AD11966" s="3"/>
      <c r="AE11966" s="3"/>
      <c r="AF11966" s="3"/>
      <c r="AG11966" s="3"/>
      <c r="AH11966" s="3"/>
    </row>
    <row r="11967" spans="1:34" ht="14.25" customHeight="1" x14ac:dyDescent="0.25">
      <c r="A11967" s="3"/>
      <c r="B11967" s="3"/>
      <c r="C11967" s="3"/>
      <c r="D11967" s="3"/>
      <c r="E11967" s="3"/>
      <c r="F11967" s="3"/>
      <c r="G11967" s="3"/>
      <c r="H11967" s="11"/>
      <c r="I11967" s="12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  <c r="AA11967" s="3"/>
      <c r="AB11967" s="3"/>
      <c r="AC11967" s="3"/>
      <c r="AD11967" s="3"/>
      <c r="AE11967" s="3"/>
      <c r="AF11967" s="3"/>
      <c r="AG11967" s="3"/>
      <c r="AH11967" s="3"/>
    </row>
    <row r="11968" spans="1:34" ht="14.25" customHeight="1" x14ac:dyDescent="0.25">
      <c r="A11968" s="3"/>
      <c r="B11968" s="3"/>
      <c r="C11968" s="3"/>
      <c r="D11968" s="3"/>
      <c r="E11968" s="3"/>
      <c r="F11968" s="3"/>
      <c r="G11968" s="3"/>
      <c r="H11968" s="11"/>
      <c r="I11968" s="12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  <c r="AA11968" s="3"/>
      <c r="AB11968" s="3"/>
      <c r="AC11968" s="3"/>
      <c r="AD11968" s="3"/>
      <c r="AE11968" s="3"/>
      <c r="AF11968" s="3"/>
      <c r="AG11968" s="3"/>
      <c r="AH11968" s="3"/>
    </row>
    <row r="11969" spans="1:34" ht="14.25" customHeight="1" x14ac:dyDescent="0.25">
      <c r="A11969" s="3"/>
      <c r="B11969" s="3"/>
      <c r="C11969" s="3"/>
      <c r="D11969" s="3"/>
      <c r="E11969" s="3"/>
      <c r="F11969" s="3"/>
      <c r="G11969" s="3"/>
      <c r="H11969" s="11"/>
      <c r="I11969" s="12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  <c r="AA11969" s="3"/>
      <c r="AB11969" s="3"/>
      <c r="AC11969" s="3"/>
      <c r="AD11969" s="3"/>
      <c r="AE11969" s="3"/>
      <c r="AF11969" s="3"/>
      <c r="AG11969" s="3"/>
      <c r="AH11969" s="3"/>
    </row>
    <row r="11970" spans="1:34" ht="14.25" customHeight="1" x14ac:dyDescent="0.25">
      <c r="A11970" s="3"/>
      <c r="B11970" s="3"/>
      <c r="C11970" s="3"/>
      <c r="D11970" s="3"/>
      <c r="E11970" s="3"/>
      <c r="F11970" s="3"/>
      <c r="G11970" s="3"/>
      <c r="H11970" s="11"/>
      <c r="I11970" s="12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  <c r="AA11970" s="3"/>
      <c r="AB11970" s="3"/>
      <c r="AC11970" s="3"/>
      <c r="AD11970" s="3"/>
      <c r="AE11970" s="3"/>
      <c r="AF11970" s="3"/>
      <c r="AG11970" s="3"/>
      <c r="AH11970" s="3"/>
    </row>
    <row r="11971" spans="1:34" ht="14.25" customHeight="1" x14ac:dyDescent="0.25">
      <c r="A11971" s="3"/>
      <c r="B11971" s="3"/>
      <c r="C11971" s="3"/>
      <c r="D11971" s="3"/>
      <c r="E11971" s="3"/>
      <c r="F11971" s="3"/>
      <c r="G11971" s="3"/>
      <c r="H11971" s="11"/>
      <c r="I11971" s="12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  <c r="AA11971" s="3"/>
      <c r="AB11971" s="3"/>
      <c r="AC11971" s="3"/>
      <c r="AD11971" s="3"/>
      <c r="AE11971" s="3"/>
      <c r="AF11971" s="3"/>
      <c r="AG11971" s="3"/>
      <c r="AH11971" s="3"/>
    </row>
    <row r="11972" spans="1:34" ht="14.25" customHeight="1" x14ac:dyDescent="0.25">
      <c r="A11972" s="3"/>
      <c r="B11972" s="3"/>
      <c r="C11972" s="3"/>
      <c r="D11972" s="3"/>
      <c r="E11972" s="3"/>
      <c r="F11972" s="3"/>
      <c r="G11972" s="3"/>
      <c r="H11972" s="11"/>
      <c r="I11972" s="12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  <c r="AA11972" s="3"/>
      <c r="AB11972" s="3"/>
      <c r="AC11972" s="3"/>
      <c r="AD11972" s="3"/>
      <c r="AE11972" s="3"/>
      <c r="AF11972" s="3"/>
      <c r="AG11972" s="3"/>
      <c r="AH11972" s="3"/>
    </row>
    <row r="11973" spans="1:34" ht="14.25" customHeight="1" x14ac:dyDescent="0.25">
      <c r="A11973" s="3"/>
      <c r="B11973" s="3"/>
      <c r="C11973" s="3"/>
      <c r="D11973" s="3"/>
      <c r="E11973" s="3"/>
      <c r="F11973" s="3"/>
      <c r="G11973" s="3"/>
      <c r="H11973" s="11"/>
      <c r="I11973" s="12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  <c r="AA11973" s="3"/>
      <c r="AB11973" s="3"/>
      <c r="AC11973" s="3"/>
      <c r="AD11973" s="3"/>
      <c r="AE11973" s="3"/>
      <c r="AF11973" s="3"/>
      <c r="AG11973" s="3"/>
      <c r="AH11973" s="3"/>
    </row>
    <row r="11974" spans="1:34" ht="14.25" customHeight="1" x14ac:dyDescent="0.25">
      <c r="A11974" s="3"/>
      <c r="B11974" s="3"/>
      <c r="C11974" s="3"/>
      <c r="D11974" s="3"/>
      <c r="E11974" s="3"/>
      <c r="F11974" s="3"/>
      <c r="G11974" s="3"/>
      <c r="H11974" s="11"/>
      <c r="I11974" s="12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  <c r="AA11974" s="3"/>
      <c r="AB11974" s="3"/>
      <c r="AC11974" s="3"/>
      <c r="AD11974" s="3"/>
      <c r="AE11974" s="3"/>
      <c r="AF11974" s="3"/>
      <c r="AG11974" s="3"/>
      <c r="AH11974" s="3"/>
    </row>
    <row r="11975" spans="1:34" ht="14.25" customHeight="1" x14ac:dyDescent="0.25">
      <c r="A11975" s="3"/>
      <c r="B11975" s="3"/>
      <c r="C11975" s="3"/>
      <c r="D11975" s="3"/>
      <c r="E11975" s="3"/>
      <c r="F11975" s="3"/>
      <c r="G11975" s="3"/>
      <c r="H11975" s="11"/>
      <c r="I11975" s="12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  <c r="AA11975" s="3"/>
      <c r="AB11975" s="3"/>
      <c r="AC11975" s="3"/>
      <c r="AD11975" s="3"/>
      <c r="AE11975" s="3"/>
      <c r="AF11975" s="3"/>
      <c r="AG11975" s="3"/>
      <c r="AH11975" s="3"/>
    </row>
    <row r="11976" spans="1:34" ht="14.25" customHeight="1" x14ac:dyDescent="0.25">
      <c r="A11976" s="3"/>
      <c r="B11976" s="3"/>
      <c r="C11976" s="3"/>
      <c r="D11976" s="3"/>
      <c r="E11976" s="3"/>
      <c r="F11976" s="3"/>
      <c r="G11976" s="3"/>
      <c r="H11976" s="11"/>
      <c r="I11976" s="12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  <c r="AA11976" s="3"/>
      <c r="AB11976" s="3"/>
      <c r="AC11976" s="3"/>
      <c r="AD11976" s="3"/>
      <c r="AE11976" s="3"/>
      <c r="AF11976" s="3"/>
      <c r="AG11976" s="3"/>
      <c r="AH11976" s="3"/>
    </row>
    <row r="11977" spans="1:34" ht="14.25" customHeight="1" x14ac:dyDescent="0.25">
      <c r="A11977" s="3"/>
      <c r="B11977" s="3"/>
      <c r="C11977" s="3"/>
      <c r="D11977" s="3"/>
      <c r="E11977" s="3"/>
      <c r="F11977" s="3"/>
      <c r="G11977" s="3"/>
      <c r="H11977" s="11"/>
      <c r="I11977" s="12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  <c r="AA11977" s="3"/>
      <c r="AB11977" s="3"/>
      <c r="AC11977" s="3"/>
      <c r="AD11977" s="3"/>
      <c r="AE11977" s="3"/>
      <c r="AF11977" s="3"/>
      <c r="AG11977" s="3"/>
      <c r="AH11977" s="3"/>
    </row>
    <row r="11978" spans="1:34" ht="14.25" customHeight="1" x14ac:dyDescent="0.25">
      <c r="A11978" s="3"/>
      <c r="B11978" s="3"/>
      <c r="C11978" s="3"/>
      <c r="D11978" s="3"/>
      <c r="E11978" s="3"/>
      <c r="F11978" s="3"/>
      <c r="G11978" s="3"/>
      <c r="H11978" s="11"/>
      <c r="I11978" s="12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  <c r="AA11978" s="3"/>
      <c r="AB11978" s="3"/>
      <c r="AC11978" s="3"/>
      <c r="AD11978" s="3"/>
      <c r="AE11978" s="3"/>
      <c r="AF11978" s="3"/>
      <c r="AG11978" s="3"/>
      <c r="AH11978" s="3"/>
    </row>
    <row r="11979" spans="1:34" ht="14.25" customHeight="1" x14ac:dyDescent="0.25">
      <c r="A11979" s="3"/>
      <c r="B11979" s="3"/>
      <c r="C11979" s="3"/>
      <c r="D11979" s="3"/>
      <c r="E11979" s="3"/>
      <c r="F11979" s="3"/>
      <c r="G11979" s="3"/>
      <c r="H11979" s="11"/>
      <c r="I11979" s="12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  <c r="AA11979" s="3"/>
      <c r="AB11979" s="3"/>
      <c r="AC11979" s="3"/>
      <c r="AD11979" s="3"/>
      <c r="AE11979" s="3"/>
      <c r="AF11979" s="3"/>
      <c r="AG11979" s="3"/>
      <c r="AH11979" s="3"/>
    </row>
    <row r="11980" spans="1:34" ht="14.25" customHeight="1" x14ac:dyDescent="0.25">
      <c r="A11980" s="3"/>
      <c r="B11980" s="3"/>
      <c r="C11980" s="3"/>
      <c r="D11980" s="3"/>
      <c r="E11980" s="3"/>
      <c r="F11980" s="3"/>
      <c r="G11980" s="3"/>
      <c r="H11980" s="11"/>
      <c r="I11980" s="12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  <c r="AA11980" s="3"/>
      <c r="AB11980" s="3"/>
      <c r="AC11980" s="3"/>
      <c r="AD11980" s="3"/>
      <c r="AE11980" s="3"/>
      <c r="AF11980" s="3"/>
      <c r="AG11980" s="3"/>
      <c r="AH11980" s="3"/>
    </row>
    <row r="11981" spans="1:34" ht="14.25" customHeight="1" x14ac:dyDescent="0.25">
      <c r="A11981" s="3"/>
      <c r="B11981" s="3"/>
      <c r="C11981" s="3"/>
      <c r="D11981" s="3"/>
      <c r="E11981" s="3"/>
      <c r="F11981" s="3"/>
      <c r="G11981" s="3"/>
      <c r="H11981" s="11"/>
      <c r="I11981" s="12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  <c r="AA11981" s="3"/>
      <c r="AB11981" s="3"/>
      <c r="AC11981" s="3"/>
      <c r="AD11981" s="3"/>
      <c r="AE11981" s="3"/>
      <c r="AF11981" s="3"/>
      <c r="AG11981" s="3"/>
      <c r="AH11981" s="3"/>
    </row>
    <row r="11982" spans="1:34" ht="14.25" customHeight="1" x14ac:dyDescent="0.25">
      <c r="A11982" s="3"/>
      <c r="B11982" s="3"/>
      <c r="C11982" s="3"/>
      <c r="D11982" s="3"/>
      <c r="E11982" s="3"/>
      <c r="F11982" s="3"/>
      <c r="G11982" s="3"/>
      <c r="H11982" s="11"/>
      <c r="I11982" s="12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  <c r="AA11982" s="3"/>
      <c r="AB11982" s="3"/>
      <c r="AC11982" s="3"/>
      <c r="AD11982" s="3"/>
      <c r="AE11982" s="3"/>
      <c r="AF11982" s="3"/>
      <c r="AG11982" s="3"/>
      <c r="AH11982" s="3"/>
    </row>
    <row r="11983" spans="1:34" ht="14.25" customHeight="1" x14ac:dyDescent="0.25">
      <c r="A11983" s="3"/>
      <c r="B11983" s="3"/>
      <c r="C11983" s="3"/>
      <c r="D11983" s="3"/>
      <c r="E11983" s="3"/>
      <c r="F11983" s="3"/>
      <c r="G11983" s="3"/>
      <c r="H11983" s="11"/>
      <c r="I11983" s="12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  <c r="AA11983" s="3"/>
      <c r="AB11983" s="3"/>
      <c r="AC11983" s="3"/>
      <c r="AD11983" s="3"/>
      <c r="AE11983" s="3"/>
      <c r="AF11983" s="3"/>
      <c r="AG11983" s="3"/>
      <c r="AH11983" s="3"/>
    </row>
    <row r="11984" spans="1:34" ht="14.25" customHeight="1" x14ac:dyDescent="0.25">
      <c r="A11984" s="3"/>
      <c r="B11984" s="3"/>
      <c r="C11984" s="3"/>
      <c r="D11984" s="3"/>
      <c r="E11984" s="3"/>
      <c r="F11984" s="3"/>
      <c r="G11984" s="3"/>
      <c r="H11984" s="11"/>
      <c r="I11984" s="12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  <c r="AA11984" s="3"/>
      <c r="AB11984" s="3"/>
      <c r="AC11984" s="3"/>
      <c r="AD11984" s="3"/>
      <c r="AE11984" s="3"/>
      <c r="AF11984" s="3"/>
      <c r="AG11984" s="3"/>
      <c r="AH11984" s="3"/>
    </row>
    <row r="11985" spans="1:34" ht="14.25" customHeight="1" x14ac:dyDescent="0.25">
      <c r="A11985" s="3"/>
      <c r="B11985" s="3"/>
      <c r="C11985" s="3"/>
      <c r="D11985" s="3"/>
      <c r="E11985" s="3"/>
      <c r="F11985" s="3"/>
      <c r="G11985" s="3"/>
      <c r="H11985" s="11"/>
      <c r="I11985" s="12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  <c r="AA11985" s="3"/>
      <c r="AB11985" s="3"/>
      <c r="AC11985" s="3"/>
      <c r="AD11985" s="3"/>
      <c r="AE11985" s="3"/>
      <c r="AF11985" s="3"/>
      <c r="AG11985" s="3"/>
      <c r="AH11985" s="3"/>
    </row>
    <row r="11986" spans="1:34" ht="14.25" customHeight="1" x14ac:dyDescent="0.25">
      <c r="A11986" s="3"/>
      <c r="B11986" s="3"/>
      <c r="C11986" s="3"/>
      <c r="D11986" s="3"/>
      <c r="E11986" s="3"/>
      <c r="F11986" s="3"/>
      <c r="G11986" s="3"/>
      <c r="H11986" s="11"/>
      <c r="I11986" s="12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  <c r="AA11986" s="3"/>
      <c r="AB11986" s="3"/>
      <c r="AC11986" s="3"/>
      <c r="AD11986" s="3"/>
      <c r="AE11986" s="3"/>
      <c r="AF11986" s="3"/>
      <c r="AG11986" s="3"/>
      <c r="AH11986" s="3"/>
    </row>
    <row r="11987" spans="1:34" ht="14.25" customHeight="1" x14ac:dyDescent="0.25">
      <c r="A11987" s="3"/>
      <c r="B11987" s="3"/>
      <c r="C11987" s="3"/>
      <c r="D11987" s="3"/>
      <c r="E11987" s="3"/>
      <c r="F11987" s="3"/>
      <c r="G11987" s="3"/>
      <c r="H11987" s="11"/>
      <c r="I11987" s="12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  <c r="AA11987" s="3"/>
      <c r="AB11987" s="3"/>
      <c r="AC11987" s="3"/>
      <c r="AD11987" s="3"/>
      <c r="AE11987" s="3"/>
      <c r="AF11987" s="3"/>
      <c r="AG11987" s="3"/>
      <c r="AH11987" s="3"/>
    </row>
    <row r="11988" spans="1:34" ht="14.25" customHeight="1" x14ac:dyDescent="0.25">
      <c r="A11988" s="3"/>
      <c r="B11988" s="3"/>
      <c r="C11988" s="3"/>
      <c r="D11988" s="3"/>
      <c r="E11988" s="3"/>
      <c r="F11988" s="3"/>
      <c r="G11988" s="3"/>
      <c r="H11988" s="11"/>
      <c r="I11988" s="12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  <c r="AA11988" s="3"/>
      <c r="AB11988" s="3"/>
      <c r="AC11988" s="3"/>
      <c r="AD11988" s="3"/>
      <c r="AE11988" s="3"/>
      <c r="AF11988" s="3"/>
      <c r="AG11988" s="3"/>
      <c r="AH11988" s="3"/>
    </row>
    <row r="11989" spans="1:34" ht="14.25" customHeight="1" x14ac:dyDescent="0.25">
      <c r="A11989" s="3"/>
      <c r="B11989" s="3"/>
      <c r="C11989" s="3"/>
      <c r="D11989" s="3"/>
      <c r="E11989" s="3"/>
      <c r="F11989" s="3"/>
      <c r="G11989" s="3"/>
      <c r="H11989" s="11"/>
      <c r="I11989" s="12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  <c r="AA11989" s="3"/>
      <c r="AB11989" s="3"/>
      <c r="AC11989" s="3"/>
      <c r="AD11989" s="3"/>
      <c r="AE11989" s="3"/>
      <c r="AF11989" s="3"/>
      <c r="AG11989" s="3"/>
      <c r="AH11989" s="3"/>
    </row>
    <row r="11990" spans="1:34" ht="14.25" customHeight="1" x14ac:dyDescent="0.25">
      <c r="A11990" s="3"/>
      <c r="B11990" s="3"/>
      <c r="C11990" s="3"/>
      <c r="D11990" s="3"/>
      <c r="E11990" s="3"/>
      <c r="F11990" s="3"/>
      <c r="G11990" s="3"/>
      <c r="H11990" s="11"/>
      <c r="I11990" s="12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  <c r="AA11990" s="3"/>
      <c r="AB11990" s="3"/>
      <c r="AC11990" s="3"/>
      <c r="AD11990" s="3"/>
      <c r="AE11990" s="3"/>
      <c r="AF11990" s="3"/>
      <c r="AG11990" s="3"/>
      <c r="AH11990" s="3"/>
    </row>
    <row r="11991" spans="1:34" ht="14.25" customHeight="1" x14ac:dyDescent="0.25">
      <c r="A11991" s="3"/>
      <c r="B11991" s="3"/>
      <c r="C11991" s="3"/>
      <c r="D11991" s="3"/>
      <c r="E11991" s="3"/>
      <c r="F11991" s="3"/>
      <c r="G11991" s="3"/>
      <c r="H11991" s="11"/>
      <c r="I11991" s="12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  <c r="AA11991" s="3"/>
      <c r="AB11991" s="3"/>
      <c r="AC11991" s="3"/>
      <c r="AD11991" s="3"/>
      <c r="AE11991" s="3"/>
      <c r="AF11991" s="3"/>
      <c r="AG11991" s="3"/>
      <c r="AH11991" s="3"/>
    </row>
    <row r="11992" spans="1:34" ht="14.25" customHeight="1" x14ac:dyDescent="0.25">
      <c r="A11992" s="3"/>
      <c r="B11992" s="3"/>
      <c r="C11992" s="3"/>
      <c r="D11992" s="3"/>
      <c r="E11992" s="3"/>
      <c r="F11992" s="3"/>
      <c r="G11992" s="3"/>
      <c r="H11992" s="11"/>
      <c r="I11992" s="12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  <c r="AA11992" s="3"/>
      <c r="AB11992" s="3"/>
      <c r="AC11992" s="3"/>
      <c r="AD11992" s="3"/>
      <c r="AE11992" s="3"/>
      <c r="AF11992" s="3"/>
      <c r="AG11992" s="3"/>
      <c r="AH11992" s="3"/>
    </row>
    <row r="11993" spans="1:34" ht="14.25" customHeight="1" x14ac:dyDescent="0.25">
      <c r="A11993" s="3"/>
      <c r="B11993" s="3"/>
      <c r="C11993" s="3"/>
      <c r="D11993" s="3"/>
      <c r="E11993" s="3"/>
      <c r="F11993" s="3"/>
      <c r="G11993" s="3"/>
      <c r="H11993" s="11"/>
      <c r="I11993" s="12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  <c r="AA11993" s="3"/>
      <c r="AB11993" s="3"/>
      <c r="AC11993" s="3"/>
      <c r="AD11993" s="3"/>
      <c r="AE11993" s="3"/>
      <c r="AF11993" s="3"/>
      <c r="AG11993" s="3"/>
      <c r="AH11993" s="3"/>
    </row>
    <row r="11994" spans="1:34" ht="14.25" customHeight="1" x14ac:dyDescent="0.25">
      <c r="A11994" s="3"/>
      <c r="B11994" s="3"/>
      <c r="C11994" s="3"/>
      <c r="D11994" s="3"/>
      <c r="E11994" s="3"/>
      <c r="F11994" s="3"/>
      <c r="G11994" s="3"/>
      <c r="H11994" s="11"/>
      <c r="I11994" s="12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  <c r="AA11994" s="3"/>
      <c r="AB11994" s="3"/>
      <c r="AC11994" s="3"/>
      <c r="AD11994" s="3"/>
      <c r="AE11994" s="3"/>
      <c r="AF11994" s="3"/>
      <c r="AG11994" s="3"/>
      <c r="AH11994" s="3"/>
    </row>
    <row r="11995" spans="1:34" ht="14.25" customHeight="1" x14ac:dyDescent="0.25">
      <c r="A11995" s="3"/>
      <c r="B11995" s="3"/>
      <c r="C11995" s="3"/>
      <c r="D11995" s="3"/>
      <c r="E11995" s="3"/>
      <c r="F11995" s="3"/>
      <c r="G11995" s="3"/>
      <c r="H11995" s="11"/>
      <c r="I11995" s="12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  <c r="AA11995" s="3"/>
      <c r="AB11995" s="3"/>
      <c r="AC11995" s="3"/>
      <c r="AD11995" s="3"/>
      <c r="AE11995" s="3"/>
      <c r="AF11995" s="3"/>
      <c r="AG11995" s="3"/>
      <c r="AH11995" s="3"/>
    </row>
    <row r="11996" spans="1:34" ht="14.25" customHeight="1" x14ac:dyDescent="0.25">
      <c r="A11996" s="3"/>
      <c r="B11996" s="3"/>
      <c r="C11996" s="3"/>
      <c r="D11996" s="3"/>
      <c r="E11996" s="3"/>
      <c r="F11996" s="3"/>
      <c r="G11996" s="3"/>
      <c r="H11996" s="11"/>
      <c r="I11996" s="12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  <c r="AA11996" s="3"/>
      <c r="AB11996" s="3"/>
      <c r="AC11996" s="3"/>
      <c r="AD11996" s="3"/>
      <c r="AE11996" s="3"/>
      <c r="AF11996" s="3"/>
      <c r="AG11996" s="3"/>
      <c r="AH11996" s="3"/>
    </row>
    <row r="11997" spans="1:34" ht="14.25" customHeight="1" x14ac:dyDescent="0.25">
      <c r="A11997" s="3"/>
      <c r="B11997" s="3"/>
      <c r="C11997" s="3"/>
      <c r="D11997" s="3"/>
      <c r="E11997" s="3"/>
      <c r="F11997" s="3"/>
      <c r="G11997" s="3"/>
      <c r="H11997" s="11"/>
      <c r="I11997" s="12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  <c r="AA11997" s="3"/>
      <c r="AB11997" s="3"/>
      <c r="AC11997" s="3"/>
      <c r="AD11997" s="3"/>
      <c r="AE11997" s="3"/>
      <c r="AF11997" s="3"/>
      <c r="AG11997" s="3"/>
      <c r="AH11997" s="3"/>
    </row>
    <row r="11998" spans="1:34" ht="14.25" customHeight="1" x14ac:dyDescent="0.25">
      <c r="A11998" s="3"/>
      <c r="B11998" s="3"/>
      <c r="C11998" s="3"/>
      <c r="D11998" s="3"/>
      <c r="E11998" s="3"/>
      <c r="F11998" s="3"/>
      <c r="G11998" s="14"/>
      <c r="H11998" s="11"/>
      <c r="I11998" s="12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  <c r="AA11998" s="3"/>
      <c r="AB11998" s="3"/>
      <c r="AC11998" s="3"/>
      <c r="AD11998" s="3"/>
      <c r="AE11998" s="3"/>
      <c r="AF11998" s="3"/>
      <c r="AG11998" s="3"/>
      <c r="AH11998" s="3"/>
    </row>
    <row r="11999" spans="1:34" ht="14.25" customHeight="1" x14ac:dyDescent="0.25">
      <c r="A11999" s="3"/>
      <c r="B11999" s="3"/>
      <c r="C11999" s="3"/>
      <c r="D11999" s="3"/>
      <c r="E11999" s="3"/>
      <c r="F11999" s="3"/>
      <c r="G11999" s="3"/>
      <c r="H11999" s="11"/>
      <c r="I11999" s="12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  <c r="AA11999" s="3"/>
      <c r="AB11999" s="3"/>
      <c r="AC11999" s="3"/>
      <c r="AD11999" s="3"/>
      <c r="AE11999" s="3"/>
      <c r="AF11999" s="3"/>
      <c r="AG11999" s="3"/>
      <c r="AH11999" s="3"/>
    </row>
    <row r="12000" spans="1:34" ht="14.25" customHeight="1" x14ac:dyDescent="0.25">
      <c r="A12000" s="3"/>
      <c r="B12000" s="3"/>
      <c r="C12000" s="3"/>
      <c r="D12000" s="3"/>
      <c r="E12000" s="3"/>
      <c r="F12000" s="3"/>
      <c r="G12000" s="3"/>
      <c r="H12000" s="11"/>
      <c r="I12000" s="12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  <c r="AA12000" s="3"/>
      <c r="AB12000" s="3"/>
      <c r="AC12000" s="3"/>
      <c r="AD12000" s="3"/>
      <c r="AE12000" s="3"/>
      <c r="AF12000" s="3"/>
      <c r="AG12000" s="3"/>
      <c r="AH12000" s="3"/>
    </row>
    <row r="12001" spans="1:34" ht="14.25" customHeight="1" x14ac:dyDescent="0.25">
      <c r="A12001" s="3"/>
      <c r="B12001" s="3"/>
      <c r="C12001" s="3"/>
      <c r="D12001" s="3"/>
      <c r="E12001" s="3"/>
      <c r="F12001" s="3"/>
      <c r="G12001" s="3"/>
      <c r="H12001" s="11"/>
      <c r="I12001" s="12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  <c r="AA12001" s="3"/>
      <c r="AB12001" s="3"/>
      <c r="AC12001" s="3"/>
      <c r="AD12001" s="3"/>
      <c r="AE12001" s="3"/>
      <c r="AF12001" s="3"/>
      <c r="AG12001" s="3"/>
      <c r="AH12001" s="3"/>
    </row>
    <row r="12002" spans="1:34" ht="14.25" customHeight="1" x14ac:dyDescent="0.25">
      <c r="A12002" s="3"/>
      <c r="B12002" s="3"/>
      <c r="C12002" s="3"/>
      <c r="D12002" s="3"/>
      <c r="E12002" s="3"/>
      <c r="F12002" s="3"/>
      <c r="G12002" s="3"/>
      <c r="H12002" s="11"/>
      <c r="I12002" s="12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  <c r="AA12002" s="3"/>
      <c r="AB12002" s="3"/>
      <c r="AC12002" s="3"/>
      <c r="AD12002" s="3"/>
      <c r="AE12002" s="3"/>
      <c r="AF12002" s="3"/>
      <c r="AG12002" s="3"/>
      <c r="AH12002" s="3"/>
    </row>
    <row r="12003" spans="1:34" ht="14.25" customHeight="1" x14ac:dyDescent="0.25">
      <c r="A12003" s="3"/>
      <c r="B12003" s="3"/>
      <c r="C12003" s="3"/>
      <c r="D12003" s="3"/>
      <c r="E12003" s="3"/>
      <c r="F12003" s="3"/>
      <c r="G12003" s="3"/>
      <c r="H12003" s="11"/>
      <c r="I12003" s="12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  <c r="AA12003" s="3"/>
      <c r="AB12003" s="3"/>
      <c r="AC12003" s="3"/>
      <c r="AD12003" s="3"/>
      <c r="AE12003" s="3"/>
      <c r="AF12003" s="3"/>
      <c r="AG12003" s="3"/>
      <c r="AH12003" s="3"/>
    </row>
    <row r="12004" spans="1:34" ht="14.25" customHeight="1" x14ac:dyDescent="0.25">
      <c r="A12004" s="3"/>
      <c r="B12004" s="3"/>
      <c r="C12004" s="3"/>
      <c r="D12004" s="3"/>
      <c r="E12004" s="3"/>
      <c r="F12004" s="3"/>
      <c r="G12004" s="3"/>
      <c r="H12004" s="11"/>
      <c r="I12004" s="12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  <c r="AA12004" s="3"/>
      <c r="AB12004" s="3"/>
      <c r="AC12004" s="3"/>
      <c r="AD12004" s="3"/>
      <c r="AE12004" s="3"/>
      <c r="AF12004" s="3"/>
      <c r="AG12004" s="3"/>
      <c r="AH12004" s="3"/>
    </row>
    <row r="12005" spans="1:34" ht="14.25" customHeight="1" x14ac:dyDescent="0.25">
      <c r="A12005" s="3"/>
      <c r="B12005" s="3"/>
      <c r="C12005" s="3"/>
      <c r="D12005" s="3"/>
      <c r="E12005" s="3"/>
      <c r="F12005" s="3"/>
      <c r="G12005" s="3"/>
      <c r="H12005" s="11"/>
      <c r="I12005" s="12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  <c r="AA12005" s="3"/>
      <c r="AB12005" s="3"/>
      <c r="AC12005" s="3"/>
      <c r="AD12005" s="3"/>
      <c r="AE12005" s="3"/>
      <c r="AF12005" s="3"/>
      <c r="AG12005" s="3"/>
      <c r="AH12005" s="3"/>
    </row>
    <row r="12006" spans="1:34" ht="14.25" customHeight="1" x14ac:dyDescent="0.25">
      <c r="A12006" s="3"/>
      <c r="B12006" s="3"/>
      <c r="C12006" s="3"/>
      <c r="D12006" s="3"/>
      <c r="E12006" s="3"/>
      <c r="F12006" s="3"/>
      <c r="G12006" s="3"/>
      <c r="H12006" s="11"/>
      <c r="I12006" s="12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  <c r="AA12006" s="3"/>
      <c r="AB12006" s="3"/>
      <c r="AC12006" s="3"/>
      <c r="AD12006" s="3"/>
      <c r="AE12006" s="3"/>
      <c r="AF12006" s="3"/>
      <c r="AG12006" s="3"/>
      <c r="AH12006" s="3"/>
    </row>
    <row r="12007" spans="1:34" ht="14.25" customHeight="1" x14ac:dyDescent="0.25">
      <c r="A12007" s="3"/>
      <c r="B12007" s="3"/>
      <c r="C12007" s="3"/>
      <c r="D12007" s="3"/>
      <c r="E12007" s="3"/>
      <c r="F12007" s="3"/>
      <c r="G12007" s="3"/>
      <c r="H12007" s="11"/>
      <c r="I12007" s="12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  <c r="AA12007" s="3"/>
      <c r="AB12007" s="3"/>
      <c r="AC12007" s="3"/>
      <c r="AD12007" s="3"/>
      <c r="AE12007" s="3"/>
      <c r="AF12007" s="3"/>
      <c r="AG12007" s="3"/>
      <c r="AH12007" s="3"/>
    </row>
    <row r="12008" spans="1:34" ht="14.25" customHeight="1" x14ac:dyDescent="0.25">
      <c r="A12008" s="3"/>
      <c r="B12008" s="3"/>
      <c r="C12008" s="3"/>
      <c r="D12008" s="3"/>
      <c r="E12008" s="3"/>
      <c r="F12008" s="3"/>
      <c r="G12008" s="3"/>
      <c r="H12008" s="11"/>
      <c r="I12008" s="12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  <c r="AA12008" s="3"/>
      <c r="AB12008" s="3"/>
      <c r="AC12008" s="3"/>
      <c r="AD12008" s="3"/>
      <c r="AE12008" s="3"/>
      <c r="AF12008" s="3"/>
      <c r="AG12008" s="3"/>
      <c r="AH12008" s="3"/>
    </row>
    <row r="12009" spans="1:34" ht="14.25" customHeight="1" x14ac:dyDescent="0.25">
      <c r="A12009" s="3"/>
      <c r="B12009" s="3"/>
      <c r="C12009" s="3"/>
      <c r="D12009" s="3"/>
      <c r="E12009" s="3"/>
      <c r="F12009" s="3"/>
      <c r="G12009" s="3"/>
      <c r="H12009" s="11"/>
      <c r="I12009" s="12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  <c r="AA12009" s="3"/>
      <c r="AB12009" s="3"/>
      <c r="AC12009" s="3"/>
      <c r="AD12009" s="3"/>
      <c r="AE12009" s="3"/>
      <c r="AF12009" s="3"/>
      <c r="AG12009" s="3"/>
      <c r="AH12009" s="3"/>
    </row>
    <row r="12010" spans="1:34" ht="14.25" customHeight="1" x14ac:dyDescent="0.25">
      <c r="A12010" s="3"/>
      <c r="B12010" s="3"/>
      <c r="C12010" s="3"/>
      <c r="D12010" s="3"/>
      <c r="E12010" s="3"/>
      <c r="F12010" s="3"/>
      <c r="G12010" s="3"/>
      <c r="H12010" s="11"/>
      <c r="I12010" s="12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  <c r="AA12010" s="3"/>
      <c r="AB12010" s="3"/>
      <c r="AC12010" s="3"/>
      <c r="AD12010" s="3"/>
      <c r="AE12010" s="3"/>
      <c r="AF12010" s="3"/>
      <c r="AG12010" s="3"/>
      <c r="AH12010" s="3"/>
    </row>
    <row r="12011" spans="1:34" ht="14.25" customHeight="1" x14ac:dyDescent="0.25">
      <c r="A12011" s="3"/>
      <c r="B12011" s="3"/>
      <c r="C12011" s="3"/>
      <c r="D12011" s="3"/>
      <c r="E12011" s="3"/>
      <c r="F12011" s="3"/>
      <c r="G12011" s="3"/>
      <c r="H12011" s="11"/>
      <c r="I12011" s="12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  <c r="AA12011" s="3"/>
      <c r="AB12011" s="3"/>
      <c r="AC12011" s="3"/>
      <c r="AD12011" s="3"/>
      <c r="AE12011" s="3"/>
      <c r="AF12011" s="3"/>
      <c r="AG12011" s="3"/>
      <c r="AH12011" s="3"/>
    </row>
    <row r="12012" spans="1:34" ht="14.25" customHeight="1" x14ac:dyDescent="0.25">
      <c r="A12012" s="3"/>
      <c r="B12012" s="3"/>
      <c r="C12012" s="3"/>
      <c r="D12012" s="3"/>
      <c r="E12012" s="3"/>
      <c r="F12012" s="3"/>
      <c r="G12012" s="3"/>
      <c r="H12012" s="11"/>
      <c r="I12012" s="12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  <c r="AA12012" s="3"/>
      <c r="AB12012" s="3"/>
      <c r="AC12012" s="3"/>
      <c r="AD12012" s="3"/>
      <c r="AE12012" s="3"/>
      <c r="AF12012" s="3"/>
      <c r="AG12012" s="3"/>
      <c r="AH12012" s="3"/>
    </row>
    <row r="12013" spans="1:34" ht="14.25" customHeight="1" x14ac:dyDescent="0.25">
      <c r="A12013" s="3"/>
      <c r="B12013" s="3"/>
      <c r="C12013" s="3"/>
      <c r="D12013" s="3"/>
      <c r="E12013" s="3"/>
      <c r="F12013" s="3"/>
      <c r="G12013" s="3"/>
      <c r="H12013" s="11"/>
      <c r="I12013" s="12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  <c r="AA12013" s="3"/>
      <c r="AB12013" s="3"/>
      <c r="AC12013" s="3"/>
      <c r="AD12013" s="3"/>
      <c r="AE12013" s="3"/>
      <c r="AF12013" s="3"/>
      <c r="AG12013" s="3"/>
      <c r="AH12013" s="3"/>
    </row>
    <row r="12014" spans="1:34" ht="14.25" customHeight="1" x14ac:dyDescent="0.25">
      <c r="A12014" s="3"/>
      <c r="B12014" s="3"/>
      <c r="C12014" s="3"/>
      <c r="D12014" s="3"/>
      <c r="E12014" s="3"/>
      <c r="F12014" s="3"/>
      <c r="G12014" s="3"/>
      <c r="H12014" s="11"/>
      <c r="I12014" s="12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  <c r="AA12014" s="3"/>
      <c r="AB12014" s="3"/>
      <c r="AC12014" s="3"/>
      <c r="AD12014" s="3"/>
      <c r="AE12014" s="3"/>
      <c r="AF12014" s="3"/>
      <c r="AG12014" s="3"/>
      <c r="AH12014" s="3"/>
    </row>
    <row r="12015" spans="1:34" ht="14.25" customHeight="1" x14ac:dyDescent="0.25">
      <c r="A12015" s="3"/>
      <c r="B12015" s="3"/>
      <c r="C12015" s="3"/>
      <c r="D12015" s="3"/>
      <c r="E12015" s="3"/>
      <c r="F12015" s="3"/>
      <c r="G12015" s="3"/>
      <c r="H12015" s="11"/>
      <c r="I12015" s="12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  <c r="AA12015" s="3"/>
      <c r="AB12015" s="3"/>
      <c r="AC12015" s="3"/>
      <c r="AD12015" s="3"/>
      <c r="AE12015" s="3"/>
      <c r="AF12015" s="3"/>
      <c r="AG12015" s="3"/>
      <c r="AH12015" s="3"/>
    </row>
    <row r="12016" spans="1:34" ht="14.25" customHeight="1" x14ac:dyDescent="0.25">
      <c r="A12016" s="3"/>
      <c r="B12016" s="3"/>
      <c r="C12016" s="3"/>
      <c r="D12016" s="3"/>
      <c r="E12016" s="3"/>
      <c r="F12016" s="3"/>
      <c r="G12016" s="3"/>
      <c r="H12016" s="11"/>
      <c r="I12016" s="12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  <c r="AA12016" s="3"/>
      <c r="AB12016" s="3"/>
      <c r="AC12016" s="3"/>
      <c r="AD12016" s="3"/>
      <c r="AE12016" s="3"/>
      <c r="AF12016" s="3"/>
      <c r="AG12016" s="3"/>
      <c r="AH12016" s="3"/>
    </row>
    <row r="12017" spans="1:34" ht="14.25" customHeight="1" x14ac:dyDescent="0.25">
      <c r="A12017" s="3"/>
      <c r="B12017" s="3"/>
      <c r="C12017" s="3"/>
      <c r="D12017" s="3"/>
      <c r="E12017" s="3"/>
      <c r="F12017" s="3"/>
      <c r="G12017" s="3"/>
      <c r="H12017" s="11"/>
      <c r="I12017" s="12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  <c r="AA12017" s="3"/>
      <c r="AB12017" s="3"/>
      <c r="AC12017" s="3"/>
      <c r="AD12017" s="3"/>
      <c r="AE12017" s="3"/>
      <c r="AF12017" s="3"/>
      <c r="AG12017" s="3"/>
      <c r="AH12017" s="3"/>
    </row>
    <row r="12018" spans="1:34" ht="14.25" customHeight="1" x14ac:dyDescent="0.25">
      <c r="A12018" s="3"/>
      <c r="B12018" s="3"/>
      <c r="C12018" s="3"/>
      <c r="D12018" s="3"/>
      <c r="E12018" s="3"/>
      <c r="F12018" s="3"/>
      <c r="G12018" s="3"/>
      <c r="H12018" s="11"/>
      <c r="I12018" s="12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  <c r="AA12018" s="3"/>
      <c r="AB12018" s="3"/>
      <c r="AC12018" s="3"/>
      <c r="AD12018" s="3"/>
      <c r="AE12018" s="3"/>
      <c r="AF12018" s="3"/>
      <c r="AG12018" s="3"/>
      <c r="AH12018" s="3"/>
    </row>
    <row r="12019" spans="1:34" ht="14.25" customHeight="1" x14ac:dyDescent="0.25">
      <c r="A12019" s="3"/>
      <c r="B12019" s="3"/>
      <c r="C12019" s="3"/>
      <c r="D12019" s="3"/>
      <c r="E12019" s="3"/>
      <c r="F12019" s="3"/>
      <c r="G12019" s="3"/>
      <c r="H12019" s="11"/>
      <c r="I12019" s="12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  <c r="AA12019" s="3"/>
      <c r="AB12019" s="3"/>
      <c r="AC12019" s="3"/>
      <c r="AD12019" s="3"/>
      <c r="AE12019" s="3"/>
      <c r="AF12019" s="3"/>
      <c r="AG12019" s="3"/>
      <c r="AH12019" s="3"/>
    </row>
    <row r="12020" spans="1:34" ht="14.25" customHeight="1" x14ac:dyDescent="0.25">
      <c r="A12020" s="3"/>
      <c r="B12020" s="3"/>
      <c r="C12020" s="3"/>
      <c r="D12020" s="3"/>
      <c r="E12020" s="3"/>
      <c r="F12020" s="3"/>
      <c r="G12020" s="3"/>
      <c r="H12020" s="11"/>
      <c r="I12020" s="12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  <c r="AA12020" s="3"/>
      <c r="AB12020" s="3"/>
      <c r="AC12020" s="3"/>
      <c r="AD12020" s="3"/>
      <c r="AE12020" s="3"/>
      <c r="AF12020" s="3"/>
      <c r="AG12020" s="3"/>
      <c r="AH12020" s="3"/>
    </row>
    <row r="12021" spans="1:34" ht="14.25" customHeight="1" x14ac:dyDescent="0.25">
      <c r="A12021" s="3"/>
      <c r="B12021" s="3"/>
      <c r="C12021" s="3"/>
      <c r="D12021" s="3"/>
      <c r="E12021" s="3"/>
      <c r="F12021" s="3"/>
      <c r="G12021" s="3"/>
      <c r="H12021" s="11"/>
      <c r="I12021" s="12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  <c r="AA12021" s="3"/>
      <c r="AB12021" s="3"/>
      <c r="AC12021" s="3"/>
      <c r="AD12021" s="3"/>
      <c r="AE12021" s="3"/>
      <c r="AF12021" s="3"/>
      <c r="AG12021" s="3"/>
      <c r="AH12021" s="3"/>
    </row>
    <row r="12022" spans="1:34" ht="14.25" customHeight="1" x14ac:dyDescent="0.25">
      <c r="A12022" s="3"/>
      <c r="B12022" s="3"/>
      <c r="C12022" s="3"/>
      <c r="D12022" s="3"/>
      <c r="E12022" s="3"/>
      <c r="F12022" s="3"/>
      <c r="G12022" s="3"/>
      <c r="H12022" s="11"/>
      <c r="I12022" s="12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  <c r="AA12022" s="3"/>
      <c r="AB12022" s="3"/>
      <c r="AC12022" s="3"/>
      <c r="AD12022" s="3"/>
      <c r="AE12022" s="3"/>
      <c r="AF12022" s="3"/>
      <c r="AG12022" s="3"/>
      <c r="AH12022" s="3"/>
    </row>
    <row r="12023" spans="1:34" ht="14.25" customHeight="1" x14ac:dyDescent="0.25">
      <c r="A12023" s="3"/>
      <c r="B12023" s="3"/>
      <c r="C12023" s="3"/>
      <c r="D12023" s="3"/>
      <c r="E12023" s="3"/>
      <c r="F12023" s="3"/>
      <c r="G12023" s="3"/>
      <c r="H12023" s="11"/>
      <c r="I12023" s="12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  <c r="AA12023" s="3"/>
      <c r="AB12023" s="3"/>
      <c r="AC12023" s="3"/>
      <c r="AD12023" s="3"/>
      <c r="AE12023" s="3"/>
      <c r="AF12023" s="3"/>
      <c r="AG12023" s="3"/>
      <c r="AH12023" s="3"/>
    </row>
    <row r="12024" spans="1:34" ht="14.25" customHeight="1" x14ac:dyDescent="0.25">
      <c r="A12024" s="3"/>
      <c r="B12024" s="3"/>
      <c r="C12024" s="3"/>
      <c r="D12024" s="3"/>
      <c r="E12024" s="3"/>
      <c r="F12024" s="3"/>
      <c r="G12024" s="3"/>
      <c r="H12024" s="11"/>
      <c r="I12024" s="12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  <c r="AA12024" s="3"/>
      <c r="AB12024" s="3"/>
      <c r="AC12024" s="3"/>
      <c r="AD12024" s="3"/>
      <c r="AE12024" s="3"/>
      <c r="AF12024" s="3"/>
      <c r="AG12024" s="3"/>
      <c r="AH12024" s="3"/>
    </row>
    <row r="12025" spans="1:34" ht="14.25" customHeight="1" x14ac:dyDescent="0.25">
      <c r="A12025" s="3"/>
      <c r="B12025" s="3"/>
      <c r="C12025" s="3"/>
      <c r="D12025" s="3"/>
      <c r="E12025" s="3"/>
      <c r="F12025" s="3"/>
      <c r="G12025" s="3"/>
      <c r="H12025" s="11"/>
      <c r="I12025" s="12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  <c r="AA12025" s="3"/>
      <c r="AB12025" s="3"/>
      <c r="AC12025" s="3"/>
      <c r="AD12025" s="3"/>
      <c r="AE12025" s="3"/>
      <c r="AF12025" s="3"/>
      <c r="AG12025" s="3"/>
      <c r="AH12025" s="3"/>
    </row>
    <row r="12026" spans="1:34" ht="14.25" customHeight="1" x14ac:dyDescent="0.25">
      <c r="A12026" s="3"/>
      <c r="B12026" s="3"/>
      <c r="C12026" s="3"/>
      <c r="D12026" s="3"/>
      <c r="E12026" s="3"/>
      <c r="F12026" s="3"/>
      <c r="G12026" s="3"/>
      <c r="H12026" s="11"/>
      <c r="I12026" s="12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  <c r="AA12026" s="3"/>
      <c r="AB12026" s="3"/>
      <c r="AC12026" s="3"/>
      <c r="AD12026" s="3"/>
      <c r="AE12026" s="3"/>
      <c r="AF12026" s="3"/>
      <c r="AG12026" s="3"/>
      <c r="AH12026" s="3"/>
    </row>
    <row r="12027" spans="1:34" ht="14.25" customHeight="1" x14ac:dyDescent="0.25">
      <c r="A12027" s="3"/>
      <c r="B12027" s="3"/>
      <c r="C12027" s="3"/>
      <c r="D12027" s="3"/>
      <c r="E12027" s="3"/>
      <c r="F12027" s="3"/>
      <c r="G12027" s="3"/>
      <c r="H12027" s="11"/>
      <c r="I12027" s="12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  <c r="AA12027" s="3"/>
      <c r="AB12027" s="3"/>
      <c r="AC12027" s="3"/>
      <c r="AD12027" s="3"/>
      <c r="AE12027" s="3"/>
      <c r="AF12027" s="3"/>
      <c r="AG12027" s="3"/>
      <c r="AH12027" s="3"/>
    </row>
    <row r="12028" spans="1:34" ht="14.25" customHeight="1" x14ac:dyDescent="0.25">
      <c r="A12028" s="3"/>
      <c r="B12028" s="3"/>
      <c r="C12028" s="3"/>
      <c r="D12028" s="3"/>
      <c r="E12028" s="3"/>
      <c r="F12028" s="3"/>
      <c r="G12028" s="3"/>
      <c r="H12028" s="11"/>
      <c r="I12028" s="12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  <c r="AA12028" s="3"/>
      <c r="AB12028" s="3"/>
      <c r="AC12028" s="3"/>
      <c r="AD12028" s="3"/>
      <c r="AE12028" s="3"/>
      <c r="AF12028" s="3"/>
      <c r="AG12028" s="3"/>
      <c r="AH12028" s="3"/>
    </row>
    <row r="12029" spans="1:34" ht="14.25" customHeight="1" x14ac:dyDescent="0.25">
      <c r="A12029" s="3"/>
      <c r="B12029" s="3"/>
      <c r="C12029" s="3"/>
      <c r="D12029" s="3"/>
      <c r="E12029" s="3"/>
      <c r="F12029" s="3"/>
      <c r="G12029" s="3"/>
      <c r="H12029" s="11"/>
      <c r="I12029" s="12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  <c r="AA12029" s="3"/>
      <c r="AB12029" s="3"/>
      <c r="AC12029" s="3"/>
      <c r="AD12029" s="3"/>
      <c r="AE12029" s="3"/>
      <c r="AF12029" s="3"/>
      <c r="AG12029" s="3"/>
      <c r="AH12029" s="3"/>
    </row>
    <row r="12030" spans="1:34" ht="14.25" customHeight="1" x14ac:dyDescent="0.25">
      <c r="A12030" s="3"/>
      <c r="B12030" s="3"/>
      <c r="C12030" s="3"/>
      <c r="D12030" s="3"/>
      <c r="E12030" s="3"/>
      <c r="F12030" s="3"/>
      <c r="G12030" s="3"/>
      <c r="H12030" s="11"/>
      <c r="I12030" s="12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  <c r="AA12030" s="3"/>
      <c r="AB12030" s="3"/>
      <c r="AC12030" s="3"/>
      <c r="AD12030" s="3"/>
      <c r="AE12030" s="3"/>
      <c r="AF12030" s="3"/>
      <c r="AG12030" s="3"/>
      <c r="AH12030" s="3"/>
    </row>
    <row r="12031" spans="1:34" ht="14.25" customHeight="1" x14ac:dyDescent="0.25">
      <c r="A12031" s="3"/>
      <c r="B12031" s="3"/>
      <c r="C12031" s="3"/>
      <c r="D12031" s="3"/>
      <c r="E12031" s="3"/>
      <c r="F12031" s="3"/>
      <c r="G12031" s="3"/>
      <c r="H12031" s="11"/>
      <c r="I12031" s="12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  <c r="AA12031" s="3"/>
      <c r="AB12031" s="3"/>
      <c r="AC12031" s="3"/>
      <c r="AD12031" s="3"/>
      <c r="AE12031" s="3"/>
      <c r="AF12031" s="3"/>
      <c r="AG12031" s="3"/>
      <c r="AH12031" s="3"/>
    </row>
    <row r="12032" spans="1:34" ht="14.25" customHeight="1" x14ac:dyDescent="0.25">
      <c r="A12032" s="3"/>
      <c r="B12032" s="3"/>
      <c r="C12032" s="3"/>
      <c r="D12032" s="3"/>
      <c r="E12032" s="3"/>
      <c r="F12032" s="3"/>
      <c r="G12032" s="3"/>
      <c r="H12032" s="11"/>
      <c r="I12032" s="12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  <c r="AA12032" s="3"/>
      <c r="AB12032" s="3"/>
      <c r="AC12032" s="3"/>
      <c r="AD12032" s="3"/>
      <c r="AE12032" s="3"/>
      <c r="AF12032" s="3"/>
      <c r="AG12032" s="3"/>
      <c r="AH12032" s="3"/>
    </row>
    <row r="12033" spans="1:34" ht="14.25" customHeight="1" x14ac:dyDescent="0.25">
      <c r="A12033" s="3"/>
      <c r="B12033" s="3"/>
      <c r="C12033" s="3"/>
      <c r="D12033" s="3"/>
      <c r="E12033" s="3"/>
      <c r="F12033" s="3"/>
      <c r="G12033" s="3"/>
      <c r="H12033" s="11"/>
      <c r="I12033" s="12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  <c r="AA12033" s="3"/>
      <c r="AB12033" s="3"/>
      <c r="AC12033" s="3"/>
      <c r="AD12033" s="3"/>
      <c r="AE12033" s="3"/>
      <c r="AF12033" s="3"/>
      <c r="AG12033" s="3"/>
      <c r="AH12033" s="3"/>
    </row>
    <row r="12034" spans="1:34" ht="14.25" customHeight="1" x14ac:dyDescent="0.25">
      <c r="A12034" s="3"/>
      <c r="B12034" s="3"/>
      <c r="C12034" s="3"/>
      <c r="D12034" s="3"/>
      <c r="E12034" s="3"/>
      <c r="F12034" s="3"/>
      <c r="G12034" s="3"/>
      <c r="H12034" s="11"/>
      <c r="I12034" s="12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  <c r="AA12034" s="3"/>
      <c r="AB12034" s="3"/>
      <c r="AC12034" s="3"/>
      <c r="AD12034" s="3"/>
      <c r="AE12034" s="3"/>
      <c r="AF12034" s="3"/>
      <c r="AG12034" s="3"/>
      <c r="AH12034" s="3"/>
    </row>
    <row r="12035" spans="1:34" ht="14.25" customHeight="1" x14ac:dyDescent="0.25">
      <c r="A12035" s="3"/>
      <c r="B12035" s="3"/>
      <c r="C12035" s="3"/>
      <c r="D12035" s="3"/>
      <c r="E12035" s="3"/>
      <c r="F12035" s="3"/>
      <c r="G12035" s="3"/>
      <c r="H12035" s="11"/>
      <c r="I12035" s="12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  <c r="AA12035" s="3"/>
      <c r="AB12035" s="3"/>
      <c r="AC12035" s="3"/>
      <c r="AD12035" s="3"/>
      <c r="AE12035" s="3"/>
      <c r="AF12035" s="3"/>
      <c r="AG12035" s="3"/>
      <c r="AH12035" s="3"/>
    </row>
    <row r="12036" spans="1:34" ht="14.25" customHeight="1" x14ac:dyDescent="0.25">
      <c r="A12036" s="3"/>
      <c r="B12036" s="3"/>
      <c r="C12036" s="3"/>
      <c r="D12036" s="3"/>
      <c r="E12036" s="3"/>
      <c r="F12036" s="3"/>
      <c r="G12036" s="3"/>
      <c r="H12036" s="11"/>
      <c r="I12036" s="12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  <c r="AA12036" s="3"/>
      <c r="AB12036" s="3"/>
      <c r="AC12036" s="3"/>
      <c r="AD12036" s="3"/>
      <c r="AE12036" s="3"/>
      <c r="AF12036" s="3"/>
      <c r="AG12036" s="3"/>
      <c r="AH12036" s="3"/>
    </row>
    <row r="12037" spans="1:34" ht="14.25" customHeight="1" x14ac:dyDescent="0.25">
      <c r="A12037" s="3"/>
      <c r="B12037" s="3"/>
      <c r="C12037" s="3"/>
      <c r="D12037" s="3"/>
      <c r="E12037" s="3"/>
      <c r="F12037" s="3"/>
      <c r="G12037" s="3"/>
      <c r="H12037" s="11"/>
      <c r="I12037" s="12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  <c r="AA12037" s="3"/>
      <c r="AB12037" s="3"/>
      <c r="AC12037" s="3"/>
      <c r="AD12037" s="3"/>
      <c r="AE12037" s="3"/>
      <c r="AF12037" s="3"/>
      <c r="AG12037" s="3"/>
      <c r="AH12037" s="3"/>
    </row>
    <row r="12038" spans="1:34" ht="14.25" customHeight="1" x14ac:dyDescent="0.25">
      <c r="A12038" s="3"/>
      <c r="B12038" s="3"/>
      <c r="C12038" s="3"/>
      <c r="D12038" s="3"/>
      <c r="E12038" s="3"/>
      <c r="F12038" s="3"/>
      <c r="G12038" s="3"/>
      <c r="H12038" s="11"/>
      <c r="I12038" s="12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  <c r="AA12038" s="3"/>
      <c r="AB12038" s="3"/>
      <c r="AC12038" s="3"/>
      <c r="AD12038" s="3"/>
      <c r="AE12038" s="3"/>
      <c r="AF12038" s="3"/>
      <c r="AG12038" s="3"/>
      <c r="AH12038" s="3"/>
    </row>
    <row r="12039" spans="1:34" ht="14.25" customHeight="1" x14ac:dyDescent="0.25">
      <c r="A12039" s="3"/>
      <c r="B12039" s="3"/>
      <c r="C12039" s="3"/>
      <c r="D12039" s="3"/>
      <c r="E12039" s="3"/>
      <c r="F12039" s="3"/>
      <c r="G12039" s="3"/>
      <c r="H12039" s="11"/>
      <c r="I12039" s="12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  <c r="AA12039" s="3"/>
      <c r="AB12039" s="3"/>
      <c r="AC12039" s="3"/>
      <c r="AD12039" s="3"/>
      <c r="AE12039" s="3"/>
      <c r="AF12039" s="3"/>
      <c r="AG12039" s="3"/>
      <c r="AH12039" s="3"/>
    </row>
    <row r="12040" spans="1:34" ht="14.25" customHeight="1" x14ac:dyDescent="0.25">
      <c r="A12040" s="3"/>
      <c r="B12040" s="3"/>
      <c r="C12040" s="3"/>
      <c r="D12040" s="3"/>
      <c r="E12040" s="3"/>
      <c r="F12040" s="3"/>
      <c r="G12040" s="3"/>
      <c r="H12040" s="11"/>
      <c r="I12040" s="12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  <c r="AA12040" s="3"/>
      <c r="AB12040" s="3"/>
      <c r="AC12040" s="3"/>
      <c r="AD12040" s="3"/>
      <c r="AE12040" s="3"/>
      <c r="AF12040" s="3"/>
      <c r="AG12040" s="3"/>
      <c r="AH12040" s="3"/>
    </row>
    <row r="12041" spans="1:34" ht="14.25" customHeight="1" x14ac:dyDescent="0.25">
      <c r="A12041" s="3"/>
      <c r="B12041" s="3"/>
      <c r="C12041" s="3"/>
      <c r="D12041" s="3"/>
      <c r="E12041" s="3"/>
      <c r="F12041" s="3"/>
      <c r="G12041" s="3"/>
      <c r="H12041" s="11"/>
      <c r="I12041" s="12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  <c r="AA12041" s="3"/>
      <c r="AB12041" s="3"/>
      <c r="AC12041" s="3"/>
      <c r="AD12041" s="3"/>
      <c r="AE12041" s="3"/>
      <c r="AF12041" s="3"/>
      <c r="AG12041" s="3"/>
      <c r="AH12041" s="3"/>
    </row>
    <row r="12042" spans="1:34" ht="14.25" customHeight="1" x14ac:dyDescent="0.25">
      <c r="A12042" s="3"/>
      <c r="B12042" s="3"/>
      <c r="C12042" s="3"/>
      <c r="D12042" s="3"/>
      <c r="E12042" s="3"/>
      <c r="F12042" s="3"/>
      <c r="G12042" s="3"/>
      <c r="H12042" s="11"/>
      <c r="I12042" s="12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  <c r="AA12042" s="3"/>
      <c r="AB12042" s="3"/>
      <c r="AC12042" s="3"/>
      <c r="AD12042" s="3"/>
      <c r="AE12042" s="3"/>
      <c r="AF12042" s="3"/>
      <c r="AG12042" s="3"/>
      <c r="AH12042" s="3"/>
    </row>
    <row r="12043" spans="1:34" ht="14.25" customHeight="1" x14ac:dyDescent="0.25">
      <c r="A12043" s="3"/>
      <c r="B12043" s="3"/>
      <c r="C12043" s="3"/>
      <c r="D12043" s="3"/>
      <c r="E12043" s="3"/>
      <c r="F12043" s="3"/>
      <c r="G12043" s="3"/>
      <c r="H12043" s="11"/>
      <c r="I12043" s="12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  <c r="AA12043" s="3"/>
      <c r="AB12043" s="3"/>
      <c r="AC12043" s="3"/>
      <c r="AD12043" s="3"/>
      <c r="AE12043" s="3"/>
      <c r="AF12043" s="3"/>
      <c r="AG12043" s="3"/>
      <c r="AH12043" s="3"/>
    </row>
    <row r="12044" spans="1:34" ht="14.25" customHeight="1" x14ac:dyDescent="0.25">
      <c r="A12044" s="3"/>
      <c r="B12044" s="3"/>
      <c r="C12044" s="3"/>
      <c r="D12044" s="3"/>
      <c r="E12044" s="3"/>
      <c r="F12044" s="3"/>
      <c r="G12044" s="3"/>
      <c r="H12044" s="11"/>
      <c r="I12044" s="12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  <c r="AA12044" s="3"/>
      <c r="AB12044" s="3"/>
      <c r="AC12044" s="3"/>
      <c r="AD12044" s="3"/>
      <c r="AE12044" s="3"/>
      <c r="AF12044" s="3"/>
      <c r="AG12044" s="3"/>
      <c r="AH12044" s="3"/>
    </row>
    <row r="12045" spans="1:34" ht="14.25" customHeight="1" x14ac:dyDescent="0.25">
      <c r="A12045" s="3"/>
      <c r="B12045" s="3"/>
      <c r="C12045" s="3"/>
      <c r="D12045" s="3"/>
      <c r="E12045" s="3"/>
      <c r="F12045" s="3"/>
      <c r="G12045" s="3"/>
      <c r="H12045" s="11"/>
      <c r="I12045" s="12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  <c r="AA12045" s="3"/>
      <c r="AB12045" s="3"/>
      <c r="AC12045" s="3"/>
      <c r="AD12045" s="3"/>
      <c r="AE12045" s="3"/>
      <c r="AF12045" s="3"/>
      <c r="AG12045" s="3"/>
      <c r="AH12045" s="3"/>
    </row>
    <row r="12046" spans="1:34" ht="14.25" customHeight="1" x14ac:dyDescent="0.25">
      <c r="A12046" s="3"/>
      <c r="B12046" s="3"/>
      <c r="C12046" s="3"/>
      <c r="D12046" s="3"/>
      <c r="E12046" s="3"/>
      <c r="F12046" s="3"/>
      <c r="G12046" s="3"/>
      <c r="H12046" s="11"/>
      <c r="I12046" s="12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  <c r="AA12046" s="3"/>
      <c r="AB12046" s="3"/>
      <c r="AC12046" s="3"/>
      <c r="AD12046" s="3"/>
      <c r="AE12046" s="3"/>
      <c r="AF12046" s="3"/>
      <c r="AG12046" s="3"/>
      <c r="AH12046" s="3"/>
    </row>
    <row r="12047" spans="1:34" ht="14.25" customHeight="1" x14ac:dyDescent="0.25">
      <c r="A12047" s="3"/>
      <c r="B12047" s="3"/>
      <c r="C12047" s="3"/>
      <c r="D12047" s="3"/>
      <c r="E12047" s="3"/>
      <c r="F12047" s="3"/>
      <c r="G12047" s="3"/>
      <c r="H12047" s="11"/>
      <c r="I12047" s="12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  <c r="AA12047" s="3"/>
      <c r="AB12047" s="3"/>
      <c r="AC12047" s="3"/>
      <c r="AD12047" s="3"/>
      <c r="AE12047" s="3"/>
      <c r="AF12047" s="3"/>
      <c r="AG12047" s="3"/>
      <c r="AH12047" s="3"/>
    </row>
    <row r="12048" spans="1:34" ht="14.25" customHeight="1" x14ac:dyDescent="0.25">
      <c r="A12048" s="3"/>
      <c r="B12048" s="3"/>
      <c r="C12048" s="3"/>
      <c r="D12048" s="3"/>
      <c r="E12048" s="3"/>
      <c r="F12048" s="3"/>
      <c r="G12048" s="14"/>
      <c r="H12048" s="11"/>
      <c r="I12048" s="12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  <c r="AA12048" s="3"/>
      <c r="AB12048" s="3"/>
      <c r="AC12048" s="3"/>
      <c r="AD12048" s="3"/>
      <c r="AE12048" s="3"/>
      <c r="AF12048" s="3"/>
      <c r="AG12048" s="3"/>
      <c r="AH12048" s="3"/>
    </row>
    <row r="12049" spans="1:34" ht="14.25" customHeight="1" x14ac:dyDescent="0.25">
      <c r="A12049" s="3"/>
      <c r="B12049" s="3"/>
      <c r="C12049" s="3"/>
      <c r="D12049" s="3"/>
      <c r="E12049" s="3"/>
      <c r="F12049" s="3"/>
      <c r="G12049" s="3"/>
      <c r="H12049" s="11"/>
      <c r="I12049" s="12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  <c r="AA12049" s="3"/>
      <c r="AB12049" s="3"/>
      <c r="AC12049" s="3"/>
      <c r="AD12049" s="3"/>
      <c r="AE12049" s="3"/>
      <c r="AF12049" s="3"/>
      <c r="AG12049" s="3"/>
      <c r="AH12049" s="3"/>
    </row>
    <row r="12050" spans="1:34" ht="14.25" customHeight="1" x14ac:dyDescent="0.25">
      <c r="A12050" s="3"/>
      <c r="B12050" s="3"/>
      <c r="C12050" s="3"/>
      <c r="D12050" s="3"/>
      <c r="E12050" s="3"/>
      <c r="F12050" s="3"/>
      <c r="G12050" s="3"/>
      <c r="H12050" s="11"/>
      <c r="I12050" s="12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  <c r="AA12050" s="3"/>
      <c r="AB12050" s="3"/>
      <c r="AC12050" s="3"/>
      <c r="AD12050" s="3"/>
      <c r="AE12050" s="3"/>
      <c r="AF12050" s="3"/>
      <c r="AG12050" s="3"/>
      <c r="AH12050" s="3"/>
    </row>
    <row r="12051" spans="1:34" ht="14.25" customHeight="1" x14ac:dyDescent="0.25">
      <c r="A12051" s="3"/>
      <c r="B12051" s="3"/>
      <c r="C12051" s="3"/>
      <c r="D12051" s="3"/>
      <c r="E12051" s="3"/>
      <c r="F12051" s="3"/>
      <c r="G12051" s="3"/>
      <c r="H12051" s="11"/>
      <c r="I12051" s="12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  <c r="AA12051" s="3"/>
      <c r="AB12051" s="3"/>
      <c r="AC12051" s="3"/>
      <c r="AD12051" s="3"/>
      <c r="AE12051" s="3"/>
      <c r="AF12051" s="3"/>
      <c r="AG12051" s="3"/>
      <c r="AH12051" s="3"/>
    </row>
    <row r="12052" spans="1:34" ht="14.25" customHeight="1" x14ac:dyDescent="0.25">
      <c r="A12052" s="3"/>
      <c r="B12052" s="3"/>
      <c r="C12052" s="3"/>
      <c r="D12052" s="3"/>
      <c r="E12052" s="3"/>
      <c r="F12052" s="3"/>
      <c r="G12052" s="3"/>
      <c r="H12052" s="11"/>
      <c r="I12052" s="12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  <c r="AA12052" s="3"/>
      <c r="AB12052" s="3"/>
      <c r="AC12052" s="3"/>
      <c r="AD12052" s="3"/>
      <c r="AE12052" s="3"/>
      <c r="AF12052" s="3"/>
      <c r="AG12052" s="3"/>
      <c r="AH12052" s="3"/>
    </row>
    <row r="12053" spans="1:34" ht="14.25" customHeight="1" x14ac:dyDescent="0.25">
      <c r="A12053" s="3"/>
      <c r="B12053" s="3"/>
      <c r="C12053" s="3"/>
      <c r="D12053" s="3"/>
      <c r="E12053" s="3"/>
      <c r="F12053" s="3"/>
      <c r="G12053" s="3"/>
      <c r="H12053" s="11"/>
      <c r="I12053" s="12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  <c r="AA12053" s="3"/>
      <c r="AB12053" s="3"/>
      <c r="AC12053" s="3"/>
      <c r="AD12053" s="3"/>
      <c r="AE12053" s="3"/>
      <c r="AF12053" s="3"/>
      <c r="AG12053" s="3"/>
      <c r="AH12053" s="3"/>
    </row>
    <row r="12054" spans="1:34" ht="14.25" customHeight="1" x14ac:dyDescent="0.25">
      <c r="A12054" s="3"/>
      <c r="B12054" s="3"/>
      <c r="C12054" s="3"/>
      <c r="D12054" s="3"/>
      <c r="E12054" s="3"/>
      <c r="F12054" s="3"/>
      <c r="G12054" s="3"/>
      <c r="H12054" s="11"/>
      <c r="I12054" s="12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  <c r="AA12054" s="3"/>
      <c r="AB12054" s="3"/>
      <c r="AC12054" s="3"/>
      <c r="AD12054" s="3"/>
      <c r="AE12054" s="3"/>
      <c r="AF12054" s="3"/>
      <c r="AG12054" s="3"/>
      <c r="AH12054" s="3"/>
    </row>
    <row r="12055" spans="1:34" ht="14.25" customHeight="1" x14ac:dyDescent="0.25">
      <c r="A12055" s="3"/>
      <c r="B12055" s="3"/>
      <c r="C12055" s="3"/>
      <c r="D12055" s="3"/>
      <c r="E12055" s="3"/>
      <c r="F12055" s="3"/>
      <c r="G12055" s="14"/>
      <c r="H12055" s="11"/>
      <c r="I12055" s="12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  <c r="AA12055" s="3"/>
      <c r="AB12055" s="3"/>
      <c r="AC12055" s="3"/>
      <c r="AD12055" s="3"/>
      <c r="AE12055" s="3"/>
      <c r="AF12055" s="3"/>
      <c r="AG12055" s="3"/>
      <c r="AH12055" s="3"/>
    </row>
    <row r="12056" spans="1:34" ht="14.25" customHeight="1" x14ac:dyDescent="0.25">
      <c r="A12056" s="3"/>
      <c r="B12056" s="3"/>
      <c r="C12056" s="3"/>
      <c r="D12056" s="3"/>
      <c r="E12056" s="3"/>
      <c r="F12056" s="3"/>
      <c r="G12056" s="3"/>
      <c r="H12056" s="11"/>
      <c r="I12056" s="12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  <c r="AA12056" s="3"/>
      <c r="AB12056" s="3"/>
      <c r="AC12056" s="3"/>
      <c r="AD12056" s="3"/>
      <c r="AE12056" s="3"/>
      <c r="AF12056" s="3"/>
      <c r="AG12056" s="3"/>
      <c r="AH12056" s="3"/>
    </row>
    <row r="12057" spans="1:34" ht="14.25" customHeight="1" x14ac:dyDescent="0.25">
      <c r="A12057" s="3"/>
      <c r="B12057" s="3"/>
      <c r="C12057" s="3"/>
      <c r="D12057" s="3"/>
      <c r="E12057" s="3"/>
      <c r="F12057" s="3"/>
      <c r="G12057" s="3"/>
      <c r="H12057" s="11"/>
      <c r="I12057" s="12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  <c r="AA12057" s="3"/>
      <c r="AB12057" s="3"/>
      <c r="AC12057" s="3"/>
      <c r="AD12057" s="3"/>
      <c r="AE12057" s="3"/>
      <c r="AF12057" s="3"/>
      <c r="AG12057" s="3"/>
      <c r="AH12057" s="3"/>
    </row>
    <row r="12058" spans="1:34" ht="14.25" customHeight="1" x14ac:dyDescent="0.25">
      <c r="A12058" s="3"/>
      <c r="B12058" s="3"/>
      <c r="C12058" s="3"/>
      <c r="D12058" s="3"/>
      <c r="E12058" s="3"/>
      <c r="F12058" s="3"/>
      <c r="G12058" s="3"/>
      <c r="H12058" s="11"/>
      <c r="I12058" s="12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  <c r="AA12058" s="3"/>
      <c r="AB12058" s="3"/>
      <c r="AC12058" s="3"/>
      <c r="AD12058" s="3"/>
      <c r="AE12058" s="3"/>
      <c r="AF12058" s="3"/>
      <c r="AG12058" s="3"/>
      <c r="AH12058" s="3"/>
    </row>
    <row r="12059" spans="1:34" ht="14.25" customHeight="1" x14ac:dyDescent="0.25">
      <c r="A12059" s="3"/>
      <c r="B12059" s="3"/>
      <c r="C12059" s="3"/>
      <c r="D12059" s="3"/>
      <c r="E12059" s="3"/>
      <c r="F12059" s="3"/>
      <c r="G12059" s="3"/>
      <c r="H12059" s="11"/>
      <c r="I12059" s="12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  <c r="AA12059" s="3"/>
      <c r="AB12059" s="3"/>
      <c r="AC12059" s="3"/>
      <c r="AD12059" s="3"/>
      <c r="AE12059" s="3"/>
      <c r="AF12059" s="3"/>
      <c r="AG12059" s="3"/>
      <c r="AH12059" s="3"/>
    </row>
    <row r="12060" spans="1:34" ht="14.25" customHeight="1" x14ac:dyDescent="0.25">
      <c r="A12060" s="3"/>
      <c r="B12060" s="3"/>
      <c r="C12060" s="3"/>
      <c r="D12060" s="3"/>
      <c r="E12060" s="3"/>
      <c r="F12060" s="3"/>
      <c r="G12060" s="3"/>
      <c r="H12060" s="11"/>
      <c r="I12060" s="12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  <c r="AA12060" s="3"/>
      <c r="AB12060" s="3"/>
      <c r="AC12060" s="3"/>
      <c r="AD12060" s="3"/>
      <c r="AE12060" s="3"/>
      <c r="AF12060" s="3"/>
      <c r="AG12060" s="3"/>
      <c r="AH12060" s="3"/>
    </row>
    <row r="12061" spans="1:34" ht="14.25" customHeight="1" x14ac:dyDescent="0.25">
      <c r="A12061" s="3"/>
      <c r="B12061" s="3"/>
      <c r="C12061" s="3"/>
      <c r="D12061" s="3"/>
      <c r="E12061" s="3"/>
      <c r="F12061" s="3"/>
      <c r="G12061" s="3"/>
      <c r="H12061" s="11"/>
      <c r="I12061" s="12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  <c r="AA12061" s="3"/>
      <c r="AB12061" s="3"/>
      <c r="AC12061" s="3"/>
      <c r="AD12061" s="3"/>
      <c r="AE12061" s="3"/>
      <c r="AF12061" s="3"/>
      <c r="AG12061" s="3"/>
      <c r="AH12061" s="3"/>
    </row>
    <row r="12062" spans="1:34" ht="14.25" customHeight="1" x14ac:dyDescent="0.25">
      <c r="A12062" s="3"/>
      <c r="B12062" s="3"/>
      <c r="C12062" s="3"/>
      <c r="D12062" s="3"/>
      <c r="E12062" s="3"/>
      <c r="F12062" s="3"/>
      <c r="G12062" s="3"/>
      <c r="H12062" s="11"/>
      <c r="I12062" s="12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  <c r="AA12062" s="3"/>
      <c r="AB12062" s="3"/>
      <c r="AC12062" s="3"/>
      <c r="AD12062" s="3"/>
      <c r="AE12062" s="3"/>
      <c r="AF12062" s="3"/>
      <c r="AG12062" s="3"/>
      <c r="AH12062" s="3"/>
    </row>
    <row r="12063" spans="1:34" ht="14.25" customHeight="1" x14ac:dyDescent="0.25">
      <c r="A12063" s="3"/>
      <c r="B12063" s="3"/>
      <c r="C12063" s="3"/>
      <c r="D12063" s="3"/>
      <c r="E12063" s="3"/>
      <c r="F12063" s="3"/>
      <c r="G12063" s="3"/>
      <c r="H12063" s="11"/>
      <c r="I12063" s="12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  <c r="AA12063" s="3"/>
      <c r="AB12063" s="3"/>
      <c r="AC12063" s="3"/>
      <c r="AD12063" s="3"/>
      <c r="AE12063" s="3"/>
      <c r="AF12063" s="3"/>
      <c r="AG12063" s="3"/>
      <c r="AH12063" s="3"/>
    </row>
    <row r="12064" spans="1:34" ht="14.25" customHeight="1" x14ac:dyDescent="0.25">
      <c r="A12064" s="3"/>
      <c r="B12064" s="3"/>
      <c r="C12064" s="3"/>
      <c r="D12064" s="3"/>
      <c r="E12064" s="3"/>
      <c r="F12064" s="3"/>
      <c r="G12064" s="3"/>
      <c r="H12064" s="11"/>
      <c r="I12064" s="12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  <c r="AA12064" s="3"/>
      <c r="AB12064" s="3"/>
      <c r="AC12064" s="3"/>
      <c r="AD12064" s="3"/>
      <c r="AE12064" s="3"/>
      <c r="AF12064" s="3"/>
      <c r="AG12064" s="3"/>
      <c r="AH12064" s="3"/>
    </row>
    <row r="12065" spans="1:34" ht="14.25" customHeight="1" x14ac:dyDescent="0.25">
      <c r="A12065" s="3"/>
      <c r="B12065" s="3"/>
      <c r="C12065" s="3"/>
      <c r="D12065" s="3"/>
      <c r="E12065" s="3"/>
      <c r="F12065" s="3"/>
      <c r="G12065" s="3"/>
      <c r="H12065" s="11"/>
      <c r="I12065" s="12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  <c r="AA12065" s="3"/>
      <c r="AB12065" s="3"/>
      <c r="AC12065" s="3"/>
      <c r="AD12065" s="3"/>
      <c r="AE12065" s="3"/>
      <c r="AF12065" s="3"/>
      <c r="AG12065" s="3"/>
      <c r="AH12065" s="3"/>
    </row>
    <row r="12066" spans="1:34" ht="14.25" customHeight="1" x14ac:dyDescent="0.25">
      <c r="A12066" s="3"/>
      <c r="B12066" s="3"/>
      <c r="C12066" s="3"/>
      <c r="D12066" s="3"/>
      <c r="E12066" s="3"/>
      <c r="F12066" s="3"/>
      <c r="G12066" s="3"/>
      <c r="H12066" s="11"/>
      <c r="I12066" s="12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  <c r="AA12066" s="3"/>
      <c r="AB12066" s="3"/>
      <c r="AC12066" s="3"/>
      <c r="AD12066" s="3"/>
      <c r="AE12066" s="3"/>
      <c r="AF12066" s="3"/>
      <c r="AG12066" s="3"/>
      <c r="AH12066" s="3"/>
    </row>
    <row r="12067" spans="1:34" ht="14.25" customHeight="1" x14ac:dyDescent="0.25">
      <c r="A12067" s="3"/>
      <c r="B12067" s="3"/>
      <c r="C12067" s="3"/>
      <c r="D12067" s="3"/>
      <c r="E12067" s="3"/>
      <c r="F12067" s="3"/>
      <c r="G12067" s="14"/>
      <c r="H12067" s="11"/>
      <c r="I12067" s="12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  <c r="AA12067" s="3"/>
      <c r="AB12067" s="3"/>
      <c r="AC12067" s="3"/>
      <c r="AD12067" s="3"/>
      <c r="AE12067" s="3"/>
      <c r="AF12067" s="3"/>
      <c r="AG12067" s="3"/>
      <c r="AH12067" s="3"/>
    </row>
    <row r="12068" spans="1:34" ht="14.25" customHeight="1" x14ac:dyDescent="0.25">
      <c r="A12068" s="3"/>
      <c r="B12068" s="3"/>
      <c r="C12068" s="3"/>
      <c r="D12068" s="3"/>
      <c r="E12068" s="3"/>
      <c r="F12068" s="3"/>
      <c r="G12068" s="3"/>
      <c r="H12068" s="11"/>
      <c r="I12068" s="12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  <c r="AA12068" s="3"/>
      <c r="AB12068" s="3"/>
      <c r="AC12068" s="3"/>
      <c r="AD12068" s="3"/>
      <c r="AE12068" s="3"/>
      <c r="AF12068" s="3"/>
      <c r="AG12068" s="3"/>
      <c r="AH12068" s="3"/>
    </row>
    <row r="12069" spans="1:34" ht="14.25" customHeight="1" x14ac:dyDescent="0.25">
      <c r="A12069" s="3"/>
      <c r="B12069" s="3"/>
      <c r="C12069" s="3"/>
      <c r="D12069" s="3"/>
      <c r="E12069" s="3"/>
      <c r="F12069" s="3"/>
      <c r="G12069" s="3"/>
      <c r="H12069" s="11"/>
      <c r="I12069" s="12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  <c r="AA12069" s="3"/>
      <c r="AB12069" s="3"/>
      <c r="AC12069" s="3"/>
      <c r="AD12069" s="3"/>
      <c r="AE12069" s="3"/>
      <c r="AF12069" s="3"/>
      <c r="AG12069" s="3"/>
      <c r="AH12069" s="3"/>
    </row>
    <row r="12070" spans="1:34" ht="14.25" customHeight="1" x14ac:dyDescent="0.25">
      <c r="A12070" s="3"/>
      <c r="B12070" s="3"/>
      <c r="C12070" s="3"/>
      <c r="D12070" s="3"/>
      <c r="E12070" s="3"/>
      <c r="F12070" s="3"/>
      <c r="G12070" s="3"/>
      <c r="H12070" s="11"/>
      <c r="I12070" s="12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  <c r="AA12070" s="3"/>
      <c r="AB12070" s="3"/>
      <c r="AC12070" s="3"/>
      <c r="AD12070" s="3"/>
      <c r="AE12070" s="3"/>
      <c r="AF12070" s="3"/>
      <c r="AG12070" s="3"/>
      <c r="AH12070" s="3"/>
    </row>
    <row r="12071" spans="1:34" ht="14.25" customHeight="1" x14ac:dyDescent="0.25">
      <c r="A12071" s="3"/>
      <c r="B12071" s="3"/>
      <c r="C12071" s="3"/>
      <c r="D12071" s="3"/>
      <c r="E12071" s="3"/>
      <c r="F12071" s="3"/>
      <c r="G12071" s="3"/>
      <c r="H12071" s="11"/>
      <c r="I12071" s="12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  <c r="AA12071" s="3"/>
      <c r="AB12071" s="3"/>
      <c r="AC12071" s="3"/>
      <c r="AD12071" s="3"/>
      <c r="AE12071" s="3"/>
      <c r="AF12071" s="3"/>
      <c r="AG12071" s="3"/>
      <c r="AH12071" s="3"/>
    </row>
    <row r="12072" spans="1:34" ht="14.25" customHeight="1" x14ac:dyDescent="0.25">
      <c r="A12072" s="3"/>
      <c r="B12072" s="3"/>
      <c r="C12072" s="3"/>
      <c r="D12072" s="3"/>
      <c r="E12072" s="3"/>
      <c r="F12072" s="3"/>
      <c r="G12072" s="3"/>
      <c r="H12072" s="11"/>
      <c r="I12072" s="12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  <c r="AA12072" s="3"/>
      <c r="AB12072" s="3"/>
      <c r="AC12072" s="3"/>
      <c r="AD12072" s="3"/>
      <c r="AE12072" s="3"/>
      <c r="AF12072" s="3"/>
      <c r="AG12072" s="3"/>
      <c r="AH12072" s="3"/>
    </row>
    <row r="12073" spans="1:34" ht="14.25" customHeight="1" x14ac:dyDescent="0.25">
      <c r="A12073" s="3"/>
      <c r="B12073" s="3"/>
      <c r="C12073" s="3"/>
      <c r="D12073" s="3"/>
      <c r="E12073" s="3"/>
      <c r="F12073" s="3"/>
      <c r="G12073" s="3"/>
      <c r="H12073" s="11"/>
      <c r="I12073" s="12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  <c r="AA12073" s="3"/>
      <c r="AB12073" s="3"/>
      <c r="AC12073" s="3"/>
      <c r="AD12073" s="3"/>
      <c r="AE12073" s="3"/>
      <c r="AF12073" s="3"/>
      <c r="AG12073" s="3"/>
      <c r="AH12073" s="3"/>
    </row>
    <row r="12074" spans="1:34" ht="14.25" customHeight="1" x14ac:dyDescent="0.25">
      <c r="A12074" s="3"/>
      <c r="B12074" s="3"/>
      <c r="C12074" s="3"/>
      <c r="D12074" s="3"/>
      <c r="E12074" s="3"/>
      <c r="F12074" s="3"/>
      <c r="G12074" s="3"/>
      <c r="H12074" s="11"/>
      <c r="I12074" s="12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  <c r="AA12074" s="3"/>
      <c r="AB12074" s="3"/>
      <c r="AC12074" s="3"/>
      <c r="AD12074" s="3"/>
      <c r="AE12074" s="3"/>
      <c r="AF12074" s="3"/>
      <c r="AG12074" s="3"/>
      <c r="AH12074" s="3"/>
    </row>
    <row r="12075" spans="1:34" ht="14.25" customHeight="1" x14ac:dyDescent="0.25">
      <c r="A12075" s="3"/>
      <c r="B12075" s="3"/>
      <c r="C12075" s="3"/>
      <c r="D12075" s="3"/>
      <c r="E12075" s="3"/>
      <c r="F12075" s="3"/>
      <c r="G12075" s="3"/>
      <c r="H12075" s="11"/>
      <c r="I12075" s="12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  <c r="AA12075" s="3"/>
      <c r="AB12075" s="3"/>
      <c r="AC12075" s="3"/>
      <c r="AD12075" s="3"/>
      <c r="AE12075" s="3"/>
      <c r="AF12075" s="3"/>
      <c r="AG12075" s="3"/>
      <c r="AH12075" s="3"/>
    </row>
    <row r="12076" spans="1:34" ht="14.25" customHeight="1" x14ac:dyDescent="0.25">
      <c r="A12076" s="3"/>
      <c r="B12076" s="3"/>
      <c r="C12076" s="3"/>
      <c r="D12076" s="3"/>
      <c r="E12076" s="3"/>
      <c r="F12076" s="3"/>
      <c r="G12076" s="3"/>
      <c r="H12076" s="11"/>
      <c r="I12076" s="12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  <c r="AA12076" s="3"/>
      <c r="AB12076" s="3"/>
      <c r="AC12076" s="3"/>
      <c r="AD12076" s="3"/>
      <c r="AE12076" s="3"/>
      <c r="AF12076" s="3"/>
      <c r="AG12076" s="3"/>
      <c r="AH12076" s="3"/>
    </row>
    <row r="12077" spans="1:34" ht="14.25" customHeight="1" x14ac:dyDescent="0.25">
      <c r="A12077" s="3"/>
      <c r="B12077" s="3"/>
      <c r="C12077" s="3"/>
      <c r="D12077" s="3"/>
      <c r="E12077" s="3"/>
      <c r="F12077" s="3"/>
      <c r="G12077" s="3"/>
      <c r="H12077" s="11"/>
      <c r="I12077" s="12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  <c r="AA12077" s="3"/>
      <c r="AB12077" s="3"/>
      <c r="AC12077" s="3"/>
      <c r="AD12077" s="3"/>
      <c r="AE12077" s="3"/>
      <c r="AF12077" s="3"/>
      <c r="AG12077" s="3"/>
      <c r="AH12077" s="3"/>
    </row>
    <row r="12078" spans="1:34" ht="14.25" customHeight="1" x14ac:dyDescent="0.25">
      <c r="A12078" s="3"/>
      <c r="B12078" s="3"/>
      <c r="C12078" s="3"/>
      <c r="D12078" s="3"/>
      <c r="E12078" s="3"/>
      <c r="F12078" s="3"/>
      <c r="G12078" s="3"/>
      <c r="H12078" s="11"/>
      <c r="I12078" s="12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  <c r="AA12078" s="3"/>
      <c r="AB12078" s="3"/>
      <c r="AC12078" s="3"/>
      <c r="AD12078" s="3"/>
      <c r="AE12078" s="3"/>
      <c r="AF12078" s="3"/>
      <c r="AG12078" s="3"/>
      <c r="AH12078" s="3"/>
    </row>
    <row r="12079" spans="1:34" ht="14.25" customHeight="1" x14ac:dyDescent="0.25">
      <c r="A12079" s="3"/>
      <c r="B12079" s="3"/>
      <c r="C12079" s="3"/>
      <c r="D12079" s="3"/>
      <c r="E12079" s="3"/>
      <c r="F12079" s="3"/>
      <c r="G12079" s="3"/>
      <c r="H12079" s="11"/>
      <c r="I12079" s="12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  <c r="AA12079" s="3"/>
      <c r="AB12079" s="3"/>
      <c r="AC12079" s="3"/>
      <c r="AD12079" s="3"/>
      <c r="AE12079" s="3"/>
      <c r="AF12079" s="3"/>
      <c r="AG12079" s="3"/>
      <c r="AH12079" s="3"/>
    </row>
    <row r="12080" spans="1:34" ht="14.25" customHeight="1" x14ac:dyDescent="0.25">
      <c r="A12080" s="3"/>
      <c r="B12080" s="3"/>
      <c r="C12080" s="3"/>
      <c r="D12080" s="3"/>
      <c r="E12080" s="3"/>
      <c r="F12080" s="3"/>
      <c r="G12080" s="3"/>
      <c r="H12080" s="11"/>
      <c r="I12080" s="12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  <c r="AA12080" s="3"/>
      <c r="AB12080" s="3"/>
      <c r="AC12080" s="3"/>
      <c r="AD12080" s="3"/>
      <c r="AE12080" s="3"/>
      <c r="AF12080" s="3"/>
      <c r="AG12080" s="3"/>
      <c r="AH12080" s="3"/>
    </row>
    <row r="12081" spans="1:34" ht="14.25" customHeight="1" x14ac:dyDescent="0.25">
      <c r="A12081" s="3"/>
      <c r="B12081" s="3"/>
      <c r="C12081" s="3"/>
      <c r="D12081" s="3"/>
      <c r="E12081" s="3"/>
      <c r="F12081" s="3"/>
      <c r="G12081" s="3"/>
      <c r="H12081" s="11"/>
      <c r="I12081" s="12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  <c r="AA12081" s="3"/>
      <c r="AB12081" s="3"/>
      <c r="AC12081" s="3"/>
      <c r="AD12081" s="3"/>
      <c r="AE12081" s="3"/>
      <c r="AF12081" s="3"/>
      <c r="AG12081" s="3"/>
      <c r="AH12081" s="3"/>
    </row>
    <row r="12082" spans="1:34" ht="14.25" customHeight="1" x14ac:dyDescent="0.25">
      <c r="A12082" s="3"/>
      <c r="B12082" s="3"/>
      <c r="C12082" s="3"/>
      <c r="D12082" s="3"/>
      <c r="E12082" s="3"/>
      <c r="F12082" s="3"/>
      <c r="G12082" s="3"/>
      <c r="H12082" s="11"/>
      <c r="I12082" s="12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  <c r="AA12082" s="3"/>
      <c r="AB12082" s="3"/>
      <c r="AC12082" s="3"/>
      <c r="AD12082" s="3"/>
      <c r="AE12082" s="3"/>
      <c r="AF12082" s="3"/>
      <c r="AG12082" s="3"/>
      <c r="AH12082" s="3"/>
    </row>
    <row r="12083" spans="1:34" ht="14.25" customHeight="1" x14ac:dyDescent="0.25">
      <c r="A12083" s="3"/>
      <c r="B12083" s="3"/>
      <c r="C12083" s="3"/>
      <c r="D12083" s="3"/>
      <c r="E12083" s="3"/>
      <c r="F12083" s="3"/>
      <c r="G12083" s="3"/>
      <c r="H12083" s="11"/>
      <c r="I12083" s="12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  <c r="AA12083" s="3"/>
      <c r="AB12083" s="3"/>
      <c r="AC12083" s="3"/>
      <c r="AD12083" s="3"/>
      <c r="AE12083" s="3"/>
      <c r="AF12083" s="3"/>
      <c r="AG12083" s="3"/>
      <c r="AH12083" s="3"/>
    </row>
    <row r="12084" spans="1:34" ht="14.25" customHeight="1" x14ac:dyDescent="0.25">
      <c r="A12084" s="3"/>
      <c r="B12084" s="3"/>
      <c r="C12084" s="3"/>
      <c r="D12084" s="3"/>
      <c r="E12084" s="3"/>
      <c r="F12084" s="3"/>
      <c r="G12084" s="3"/>
      <c r="H12084" s="11"/>
      <c r="I12084" s="12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  <c r="AA12084" s="3"/>
      <c r="AB12084" s="3"/>
      <c r="AC12084" s="3"/>
      <c r="AD12084" s="3"/>
      <c r="AE12084" s="3"/>
      <c r="AF12084" s="3"/>
      <c r="AG12084" s="3"/>
      <c r="AH12084" s="3"/>
    </row>
    <row r="12085" spans="1:34" ht="14.25" customHeight="1" x14ac:dyDescent="0.25">
      <c r="A12085" s="3"/>
      <c r="B12085" s="3"/>
      <c r="C12085" s="3"/>
      <c r="D12085" s="3"/>
      <c r="E12085" s="3"/>
      <c r="F12085" s="3"/>
      <c r="G12085" s="3"/>
      <c r="H12085" s="11"/>
      <c r="I12085" s="12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  <c r="AA12085" s="3"/>
      <c r="AB12085" s="3"/>
      <c r="AC12085" s="3"/>
      <c r="AD12085" s="3"/>
      <c r="AE12085" s="3"/>
      <c r="AF12085" s="3"/>
      <c r="AG12085" s="3"/>
      <c r="AH12085" s="3"/>
    </row>
    <row r="12086" spans="1:34" ht="14.25" customHeight="1" x14ac:dyDescent="0.25">
      <c r="A12086" s="3"/>
      <c r="B12086" s="3"/>
      <c r="C12086" s="3"/>
      <c r="D12086" s="3"/>
      <c r="E12086" s="3"/>
      <c r="F12086" s="3"/>
      <c r="G12086" s="3"/>
      <c r="H12086" s="11"/>
      <c r="I12086" s="12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  <c r="AA12086" s="3"/>
      <c r="AB12086" s="3"/>
      <c r="AC12086" s="3"/>
      <c r="AD12086" s="3"/>
      <c r="AE12086" s="3"/>
      <c r="AF12086" s="3"/>
      <c r="AG12086" s="3"/>
      <c r="AH12086" s="3"/>
    </row>
    <row r="12087" spans="1:34" ht="14.25" customHeight="1" x14ac:dyDescent="0.25">
      <c r="A12087" s="3"/>
      <c r="B12087" s="3"/>
      <c r="C12087" s="3"/>
      <c r="D12087" s="3"/>
      <c r="E12087" s="3"/>
      <c r="F12087" s="3"/>
      <c r="G12087" s="3"/>
      <c r="H12087" s="11"/>
      <c r="I12087" s="12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  <c r="AA12087" s="3"/>
      <c r="AB12087" s="3"/>
      <c r="AC12087" s="3"/>
      <c r="AD12087" s="3"/>
      <c r="AE12087" s="3"/>
      <c r="AF12087" s="3"/>
      <c r="AG12087" s="3"/>
      <c r="AH12087" s="3"/>
    </row>
    <row r="12088" spans="1:34" ht="14.25" customHeight="1" x14ac:dyDescent="0.25">
      <c r="A12088" s="3"/>
      <c r="B12088" s="3"/>
      <c r="C12088" s="3"/>
      <c r="D12088" s="3"/>
      <c r="E12088" s="3"/>
      <c r="F12088" s="3"/>
      <c r="G12088" s="3"/>
      <c r="H12088" s="11"/>
      <c r="I12088" s="12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  <c r="AA12088" s="3"/>
      <c r="AB12088" s="3"/>
      <c r="AC12088" s="3"/>
      <c r="AD12088" s="3"/>
      <c r="AE12088" s="3"/>
      <c r="AF12088" s="3"/>
      <c r="AG12088" s="3"/>
      <c r="AH12088" s="3"/>
    </row>
    <row r="12089" spans="1:34" ht="14.25" customHeight="1" x14ac:dyDescent="0.25">
      <c r="A12089" s="3"/>
      <c r="B12089" s="3"/>
      <c r="C12089" s="3"/>
      <c r="D12089" s="3"/>
      <c r="E12089" s="3"/>
      <c r="F12089" s="3"/>
      <c r="G12089" s="3"/>
      <c r="H12089" s="11"/>
      <c r="I12089" s="12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  <c r="AA12089" s="3"/>
      <c r="AB12089" s="3"/>
      <c r="AC12089" s="3"/>
      <c r="AD12089" s="3"/>
      <c r="AE12089" s="3"/>
      <c r="AF12089" s="3"/>
      <c r="AG12089" s="3"/>
      <c r="AH12089" s="3"/>
    </row>
    <row r="12090" spans="1:34" ht="14.25" customHeight="1" x14ac:dyDescent="0.25">
      <c r="A12090" s="3"/>
      <c r="B12090" s="3"/>
      <c r="C12090" s="3"/>
      <c r="D12090" s="3"/>
      <c r="E12090" s="3"/>
      <c r="F12090" s="3"/>
      <c r="G12090" s="3"/>
      <c r="H12090" s="11"/>
      <c r="I12090" s="12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  <c r="AA12090" s="3"/>
      <c r="AB12090" s="3"/>
      <c r="AC12090" s="3"/>
      <c r="AD12090" s="3"/>
      <c r="AE12090" s="3"/>
      <c r="AF12090" s="3"/>
      <c r="AG12090" s="3"/>
      <c r="AH12090" s="3"/>
    </row>
    <row r="12091" spans="1:34" ht="14.25" customHeight="1" x14ac:dyDescent="0.25">
      <c r="A12091" s="3"/>
      <c r="B12091" s="3"/>
      <c r="C12091" s="3"/>
      <c r="D12091" s="3"/>
      <c r="E12091" s="3"/>
      <c r="F12091" s="3"/>
      <c r="G12091" s="3"/>
      <c r="H12091" s="11"/>
      <c r="I12091" s="12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  <c r="AA12091" s="3"/>
      <c r="AB12091" s="3"/>
      <c r="AC12091" s="3"/>
      <c r="AD12091" s="3"/>
      <c r="AE12091" s="3"/>
      <c r="AF12091" s="3"/>
      <c r="AG12091" s="3"/>
      <c r="AH12091" s="3"/>
    </row>
    <row r="12092" spans="1:34" ht="14.25" customHeight="1" x14ac:dyDescent="0.25">
      <c r="A12092" s="3"/>
      <c r="B12092" s="3"/>
      <c r="C12092" s="3"/>
      <c r="D12092" s="3"/>
      <c r="E12092" s="3"/>
      <c r="F12092" s="3"/>
      <c r="G12092" s="3"/>
      <c r="H12092" s="11"/>
      <c r="I12092" s="12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  <c r="AA12092" s="3"/>
      <c r="AB12092" s="3"/>
      <c r="AC12092" s="3"/>
      <c r="AD12092" s="3"/>
      <c r="AE12092" s="3"/>
      <c r="AF12092" s="3"/>
      <c r="AG12092" s="3"/>
      <c r="AH12092" s="3"/>
    </row>
    <row r="12093" spans="1:34" ht="14.25" customHeight="1" x14ac:dyDescent="0.25">
      <c r="A12093" s="3"/>
      <c r="B12093" s="3"/>
      <c r="C12093" s="3"/>
      <c r="D12093" s="3"/>
      <c r="E12093" s="3"/>
      <c r="F12093" s="3"/>
      <c r="G12093" s="3"/>
      <c r="H12093" s="11"/>
      <c r="I12093" s="12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  <c r="AA12093" s="3"/>
      <c r="AB12093" s="3"/>
      <c r="AC12093" s="3"/>
      <c r="AD12093" s="3"/>
      <c r="AE12093" s="3"/>
      <c r="AF12093" s="3"/>
      <c r="AG12093" s="3"/>
      <c r="AH12093" s="3"/>
    </row>
    <row r="12094" spans="1:34" ht="14.25" customHeight="1" x14ac:dyDescent="0.25">
      <c r="A12094" s="3"/>
      <c r="B12094" s="3"/>
      <c r="C12094" s="3"/>
      <c r="D12094" s="3"/>
      <c r="E12094" s="3"/>
      <c r="F12094" s="3"/>
      <c r="G12094" s="3"/>
      <c r="H12094" s="11"/>
      <c r="I12094" s="12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  <c r="AA12094" s="3"/>
      <c r="AB12094" s="3"/>
      <c r="AC12094" s="3"/>
      <c r="AD12094" s="3"/>
      <c r="AE12094" s="3"/>
      <c r="AF12094" s="3"/>
      <c r="AG12094" s="3"/>
      <c r="AH12094" s="3"/>
    </row>
    <row r="12095" spans="1:34" ht="14.25" customHeight="1" x14ac:dyDescent="0.25">
      <c r="A12095" s="3"/>
      <c r="B12095" s="3"/>
      <c r="C12095" s="3"/>
      <c r="D12095" s="3"/>
      <c r="E12095" s="3"/>
      <c r="F12095" s="3"/>
      <c r="G12095" s="3"/>
      <c r="H12095" s="11"/>
      <c r="I12095" s="12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  <c r="AA12095" s="3"/>
      <c r="AB12095" s="3"/>
      <c r="AC12095" s="3"/>
      <c r="AD12095" s="3"/>
      <c r="AE12095" s="3"/>
      <c r="AF12095" s="3"/>
      <c r="AG12095" s="3"/>
      <c r="AH12095" s="3"/>
    </row>
    <row r="12096" spans="1:34" ht="14.25" customHeight="1" x14ac:dyDescent="0.25">
      <c r="A12096" s="3"/>
      <c r="B12096" s="3"/>
      <c r="C12096" s="3"/>
      <c r="D12096" s="3"/>
      <c r="E12096" s="3"/>
      <c r="F12096" s="3"/>
      <c r="G12096" s="3"/>
      <c r="H12096" s="11"/>
      <c r="I12096" s="12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  <c r="AA12096" s="3"/>
      <c r="AB12096" s="3"/>
      <c r="AC12096" s="3"/>
      <c r="AD12096" s="3"/>
      <c r="AE12096" s="3"/>
      <c r="AF12096" s="3"/>
      <c r="AG12096" s="3"/>
      <c r="AH12096" s="3"/>
    </row>
    <row r="12097" spans="1:34" ht="14.25" customHeight="1" x14ac:dyDescent="0.25">
      <c r="A12097" s="3"/>
      <c r="B12097" s="3"/>
      <c r="C12097" s="3"/>
      <c r="D12097" s="3"/>
      <c r="E12097" s="3"/>
      <c r="F12097" s="3"/>
      <c r="G12097" s="3"/>
      <c r="H12097" s="11"/>
      <c r="I12097" s="12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  <c r="AA12097" s="3"/>
      <c r="AB12097" s="3"/>
      <c r="AC12097" s="3"/>
      <c r="AD12097" s="3"/>
      <c r="AE12097" s="3"/>
      <c r="AF12097" s="3"/>
      <c r="AG12097" s="3"/>
      <c r="AH12097" s="3"/>
    </row>
    <row r="12098" spans="1:34" ht="14.25" customHeight="1" x14ac:dyDescent="0.25">
      <c r="A12098" s="3"/>
      <c r="B12098" s="3"/>
      <c r="C12098" s="3"/>
      <c r="D12098" s="3"/>
      <c r="E12098" s="3"/>
      <c r="F12098" s="3"/>
      <c r="G12098" s="3"/>
      <c r="H12098" s="11"/>
      <c r="I12098" s="12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  <c r="AA12098" s="3"/>
      <c r="AB12098" s="3"/>
      <c r="AC12098" s="3"/>
      <c r="AD12098" s="3"/>
      <c r="AE12098" s="3"/>
      <c r="AF12098" s="3"/>
      <c r="AG12098" s="3"/>
      <c r="AH12098" s="3"/>
    </row>
    <row r="12099" spans="1:34" ht="14.25" customHeight="1" x14ac:dyDescent="0.25">
      <c r="A12099" s="3"/>
      <c r="B12099" s="3"/>
      <c r="C12099" s="3"/>
      <c r="D12099" s="3"/>
      <c r="E12099" s="3"/>
      <c r="F12099" s="3"/>
      <c r="G12099" s="3"/>
      <c r="H12099" s="11"/>
      <c r="I12099" s="12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  <c r="AA12099" s="3"/>
      <c r="AB12099" s="3"/>
      <c r="AC12099" s="3"/>
      <c r="AD12099" s="3"/>
      <c r="AE12099" s="3"/>
      <c r="AF12099" s="3"/>
      <c r="AG12099" s="3"/>
      <c r="AH12099" s="3"/>
    </row>
    <row r="12100" spans="1:34" ht="14.25" customHeight="1" x14ac:dyDescent="0.25">
      <c r="A12100" s="3"/>
      <c r="B12100" s="3"/>
      <c r="C12100" s="3"/>
      <c r="D12100" s="3"/>
      <c r="E12100" s="3"/>
      <c r="F12100" s="3"/>
      <c r="G12100" s="3"/>
      <c r="H12100" s="11"/>
      <c r="I12100" s="12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  <c r="AA12100" s="3"/>
      <c r="AB12100" s="3"/>
      <c r="AC12100" s="3"/>
      <c r="AD12100" s="3"/>
      <c r="AE12100" s="3"/>
      <c r="AF12100" s="3"/>
      <c r="AG12100" s="3"/>
      <c r="AH12100" s="3"/>
    </row>
    <row r="12101" spans="1:34" ht="14.25" customHeight="1" x14ac:dyDescent="0.25">
      <c r="A12101" s="3"/>
      <c r="B12101" s="3"/>
      <c r="C12101" s="3"/>
      <c r="D12101" s="3"/>
      <c r="E12101" s="3"/>
      <c r="F12101" s="3"/>
      <c r="G12101" s="3"/>
      <c r="H12101" s="11"/>
      <c r="I12101" s="12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  <c r="AA12101" s="3"/>
      <c r="AB12101" s="3"/>
      <c r="AC12101" s="3"/>
      <c r="AD12101" s="3"/>
      <c r="AE12101" s="3"/>
      <c r="AF12101" s="3"/>
      <c r="AG12101" s="3"/>
      <c r="AH12101" s="3"/>
    </row>
    <row r="12102" spans="1:34" ht="14.25" customHeight="1" x14ac:dyDescent="0.25">
      <c r="A12102" s="3"/>
      <c r="B12102" s="3"/>
      <c r="C12102" s="3"/>
      <c r="D12102" s="3"/>
      <c r="E12102" s="3"/>
      <c r="F12102" s="3"/>
      <c r="G12102" s="3"/>
      <c r="H12102" s="11"/>
      <c r="I12102" s="12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  <c r="AA12102" s="3"/>
      <c r="AB12102" s="3"/>
      <c r="AC12102" s="3"/>
      <c r="AD12102" s="3"/>
      <c r="AE12102" s="3"/>
      <c r="AF12102" s="3"/>
      <c r="AG12102" s="3"/>
      <c r="AH12102" s="3"/>
    </row>
    <row r="12103" spans="1:34" ht="14.25" customHeight="1" x14ac:dyDescent="0.25">
      <c r="A12103" s="3"/>
      <c r="B12103" s="3"/>
      <c r="C12103" s="3"/>
      <c r="D12103" s="3"/>
      <c r="E12103" s="3"/>
      <c r="F12103" s="3"/>
      <c r="G12103" s="3"/>
      <c r="H12103" s="11"/>
      <c r="I12103" s="12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  <c r="AA12103" s="3"/>
      <c r="AB12103" s="3"/>
      <c r="AC12103" s="3"/>
      <c r="AD12103" s="3"/>
      <c r="AE12103" s="3"/>
      <c r="AF12103" s="3"/>
      <c r="AG12103" s="3"/>
      <c r="AH12103" s="3"/>
    </row>
    <row r="12104" spans="1:34" ht="14.25" customHeight="1" x14ac:dyDescent="0.25">
      <c r="A12104" s="3"/>
      <c r="B12104" s="3"/>
      <c r="C12104" s="3"/>
      <c r="D12104" s="3"/>
      <c r="E12104" s="3"/>
      <c r="F12104" s="3"/>
      <c r="G12104" s="3"/>
      <c r="H12104" s="11"/>
      <c r="I12104" s="12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  <c r="AA12104" s="3"/>
      <c r="AB12104" s="3"/>
      <c r="AC12104" s="3"/>
      <c r="AD12104" s="3"/>
      <c r="AE12104" s="3"/>
      <c r="AF12104" s="3"/>
      <c r="AG12104" s="3"/>
      <c r="AH12104" s="3"/>
    </row>
    <row r="12105" spans="1:34" ht="14.25" customHeight="1" x14ac:dyDescent="0.25">
      <c r="A12105" s="3"/>
      <c r="B12105" s="3"/>
      <c r="C12105" s="3"/>
      <c r="D12105" s="3"/>
      <c r="E12105" s="3"/>
      <c r="F12105" s="3"/>
      <c r="G12105" s="3"/>
      <c r="H12105" s="11"/>
      <c r="I12105" s="12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  <c r="AA12105" s="3"/>
      <c r="AB12105" s="3"/>
      <c r="AC12105" s="3"/>
      <c r="AD12105" s="3"/>
      <c r="AE12105" s="3"/>
      <c r="AF12105" s="3"/>
      <c r="AG12105" s="3"/>
      <c r="AH12105" s="3"/>
    </row>
    <row r="12106" spans="1:34" ht="14.25" customHeight="1" x14ac:dyDescent="0.25">
      <c r="A12106" s="3"/>
      <c r="B12106" s="3"/>
      <c r="C12106" s="3"/>
      <c r="D12106" s="3"/>
      <c r="E12106" s="3"/>
      <c r="F12106" s="3"/>
      <c r="G12106" s="3"/>
      <c r="H12106" s="11"/>
      <c r="I12106" s="12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  <c r="AA12106" s="3"/>
      <c r="AB12106" s="3"/>
      <c r="AC12106" s="3"/>
      <c r="AD12106" s="3"/>
      <c r="AE12106" s="3"/>
      <c r="AF12106" s="3"/>
      <c r="AG12106" s="3"/>
      <c r="AH12106" s="3"/>
    </row>
    <row r="12107" spans="1:34" ht="14.25" customHeight="1" x14ac:dyDescent="0.25">
      <c r="A12107" s="3"/>
      <c r="B12107" s="3"/>
      <c r="C12107" s="3"/>
      <c r="D12107" s="3"/>
      <c r="E12107" s="3"/>
      <c r="F12107" s="3"/>
      <c r="G12107" s="3"/>
      <c r="H12107" s="11"/>
      <c r="I12107" s="12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  <c r="AA12107" s="3"/>
      <c r="AB12107" s="3"/>
      <c r="AC12107" s="3"/>
      <c r="AD12107" s="3"/>
      <c r="AE12107" s="3"/>
      <c r="AF12107" s="3"/>
      <c r="AG12107" s="3"/>
      <c r="AH12107" s="3"/>
    </row>
    <row r="12108" spans="1:34" ht="14.25" customHeight="1" x14ac:dyDescent="0.25">
      <c r="A12108" s="3"/>
      <c r="B12108" s="3"/>
      <c r="C12108" s="3"/>
      <c r="D12108" s="3"/>
      <c r="E12108" s="3"/>
      <c r="F12108" s="3"/>
      <c r="G12108" s="3"/>
      <c r="H12108" s="11"/>
      <c r="I12108" s="12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  <c r="AA12108" s="3"/>
      <c r="AB12108" s="3"/>
      <c r="AC12108" s="3"/>
      <c r="AD12108" s="3"/>
      <c r="AE12108" s="3"/>
      <c r="AF12108" s="3"/>
      <c r="AG12108" s="3"/>
      <c r="AH12108" s="3"/>
    </row>
    <row r="12109" spans="1:34" ht="14.25" customHeight="1" x14ac:dyDescent="0.25">
      <c r="A12109" s="3"/>
      <c r="B12109" s="3"/>
      <c r="C12109" s="3"/>
      <c r="D12109" s="3"/>
      <c r="E12109" s="3"/>
      <c r="F12109" s="3"/>
      <c r="G12109" s="3"/>
      <c r="H12109" s="11"/>
      <c r="I12109" s="12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  <c r="AA12109" s="3"/>
      <c r="AB12109" s="3"/>
      <c r="AC12109" s="3"/>
      <c r="AD12109" s="3"/>
      <c r="AE12109" s="3"/>
      <c r="AF12109" s="3"/>
      <c r="AG12109" s="3"/>
      <c r="AH12109" s="3"/>
    </row>
    <row r="12110" spans="1:34" ht="14.25" customHeight="1" x14ac:dyDescent="0.25">
      <c r="A12110" s="3"/>
      <c r="B12110" s="3"/>
      <c r="C12110" s="3"/>
      <c r="D12110" s="3"/>
      <c r="E12110" s="3"/>
      <c r="F12110" s="3"/>
      <c r="G12110" s="3"/>
      <c r="H12110" s="11"/>
      <c r="I12110" s="12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  <c r="AA12110" s="3"/>
      <c r="AB12110" s="3"/>
      <c r="AC12110" s="3"/>
      <c r="AD12110" s="3"/>
      <c r="AE12110" s="3"/>
      <c r="AF12110" s="3"/>
      <c r="AG12110" s="3"/>
      <c r="AH12110" s="3"/>
    </row>
    <row r="12111" spans="1:34" ht="14.25" customHeight="1" x14ac:dyDescent="0.25">
      <c r="A12111" s="3"/>
      <c r="B12111" s="3"/>
      <c r="C12111" s="3"/>
      <c r="D12111" s="3"/>
      <c r="E12111" s="3"/>
      <c r="F12111" s="3"/>
      <c r="G12111" s="3"/>
      <c r="H12111" s="11"/>
      <c r="I12111" s="12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  <c r="AA12111" s="3"/>
      <c r="AB12111" s="3"/>
      <c r="AC12111" s="3"/>
      <c r="AD12111" s="3"/>
      <c r="AE12111" s="3"/>
      <c r="AF12111" s="3"/>
      <c r="AG12111" s="3"/>
      <c r="AH12111" s="3"/>
    </row>
    <row r="12112" spans="1:34" ht="14.25" customHeight="1" x14ac:dyDescent="0.25">
      <c r="A12112" s="3"/>
      <c r="B12112" s="3"/>
      <c r="C12112" s="3"/>
      <c r="D12112" s="3"/>
      <c r="E12112" s="3"/>
      <c r="F12112" s="3"/>
      <c r="G12112" s="3"/>
      <c r="H12112" s="11"/>
      <c r="I12112" s="12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  <c r="AA12112" s="3"/>
      <c r="AB12112" s="3"/>
      <c r="AC12112" s="3"/>
      <c r="AD12112" s="3"/>
      <c r="AE12112" s="3"/>
      <c r="AF12112" s="3"/>
      <c r="AG12112" s="3"/>
      <c r="AH12112" s="3"/>
    </row>
    <row r="12113" spans="1:34" ht="14.25" customHeight="1" x14ac:dyDescent="0.25">
      <c r="A12113" s="3"/>
      <c r="B12113" s="3"/>
      <c r="C12113" s="3"/>
      <c r="D12113" s="3"/>
      <c r="E12113" s="3"/>
      <c r="F12113" s="3"/>
      <c r="G12113" s="3"/>
      <c r="H12113" s="11"/>
      <c r="I12113" s="12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  <c r="AA12113" s="3"/>
      <c r="AB12113" s="3"/>
      <c r="AC12113" s="3"/>
      <c r="AD12113" s="3"/>
      <c r="AE12113" s="3"/>
      <c r="AF12113" s="3"/>
      <c r="AG12113" s="3"/>
      <c r="AH12113" s="3"/>
    </row>
    <row r="12114" spans="1:34" ht="14.25" customHeight="1" x14ac:dyDescent="0.25">
      <c r="A12114" s="3"/>
      <c r="B12114" s="3"/>
      <c r="C12114" s="3"/>
      <c r="D12114" s="3"/>
      <c r="E12114" s="3"/>
      <c r="F12114" s="3"/>
      <c r="G12114" s="3"/>
      <c r="H12114" s="11"/>
      <c r="I12114" s="12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  <c r="AA12114" s="3"/>
      <c r="AB12114" s="3"/>
      <c r="AC12114" s="3"/>
      <c r="AD12114" s="3"/>
      <c r="AE12114" s="3"/>
      <c r="AF12114" s="3"/>
      <c r="AG12114" s="3"/>
      <c r="AH12114" s="3"/>
    </row>
    <row r="12115" spans="1:34" ht="14.25" customHeight="1" x14ac:dyDescent="0.25">
      <c r="A12115" s="3"/>
      <c r="B12115" s="3"/>
      <c r="C12115" s="3"/>
      <c r="D12115" s="3"/>
      <c r="E12115" s="3"/>
      <c r="F12115" s="3"/>
      <c r="G12115" s="3"/>
      <c r="H12115" s="11"/>
      <c r="I12115" s="12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  <c r="AA12115" s="3"/>
      <c r="AB12115" s="3"/>
      <c r="AC12115" s="3"/>
      <c r="AD12115" s="3"/>
      <c r="AE12115" s="3"/>
      <c r="AF12115" s="3"/>
      <c r="AG12115" s="3"/>
      <c r="AH12115" s="3"/>
    </row>
    <row r="12116" spans="1:34" ht="14.25" customHeight="1" x14ac:dyDescent="0.25">
      <c r="A12116" s="3"/>
      <c r="B12116" s="3"/>
      <c r="C12116" s="3"/>
      <c r="D12116" s="3"/>
      <c r="E12116" s="3"/>
      <c r="F12116" s="3"/>
      <c r="G12116" s="3"/>
      <c r="H12116" s="11"/>
      <c r="I12116" s="12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  <c r="AA12116" s="3"/>
      <c r="AB12116" s="3"/>
      <c r="AC12116" s="3"/>
      <c r="AD12116" s="3"/>
      <c r="AE12116" s="3"/>
      <c r="AF12116" s="3"/>
      <c r="AG12116" s="3"/>
      <c r="AH12116" s="3"/>
    </row>
    <row r="12117" spans="1:34" ht="14.25" customHeight="1" x14ac:dyDescent="0.25">
      <c r="A12117" s="3"/>
      <c r="B12117" s="3"/>
      <c r="C12117" s="3"/>
      <c r="D12117" s="3"/>
      <c r="E12117" s="3"/>
      <c r="F12117" s="3"/>
      <c r="G12117" s="3"/>
      <c r="H12117" s="11"/>
      <c r="I12117" s="12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  <c r="AA12117" s="3"/>
      <c r="AB12117" s="3"/>
      <c r="AC12117" s="3"/>
      <c r="AD12117" s="3"/>
      <c r="AE12117" s="3"/>
      <c r="AF12117" s="3"/>
      <c r="AG12117" s="3"/>
      <c r="AH12117" s="3"/>
    </row>
    <row r="12118" spans="1:34" ht="14.25" customHeight="1" x14ac:dyDescent="0.25">
      <c r="A12118" s="3"/>
      <c r="B12118" s="3"/>
      <c r="C12118" s="3"/>
      <c r="D12118" s="3"/>
      <c r="E12118" s="3"/>
      <c r="F12118" s="3"/>
      <c r="G12118" s="3"/>
      <c r="H12118" s="11"/>
      <c r="I12118" s="12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  <c r="AA12118" s="3"/>
      <c r="AB12118" s="3"/>
      <c r="AC12118" s="3"/>
      <c r="AD12118" s="3"/>
      <c r="AE12118" s="3"/>
      <c r="AF12118" s="3"/>
      <c r="AG12118" s="3"/>
      <c r="AH12118" s="3"/>
    </row>
    <row r="12119" spans="1:34" ht="14.25" customHeight="1" x14ac:dyDescent="0.25">
      <c r="A12119" s="3"/>
      <c r="B12119" s="3"/>
      <c r="C12119" s="3"/>
      <c r="D12119" s="3"/>
      <c r="E12119" s="3"/>
      <c r="F12119" s="3"/>
      <c r="G12119" s="3"/>
      <c r="H12119" s="11"/>
      <c r="I12119" s="12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  <c r="AA12119" s="3"/>
      <c r="AB12119" s="3"/>
      <c r="AC12119" s="3"/>
      <c r="AD12119" s="3"/>
      <c r="AE12119" s="3"/>
      <c r="AF12119" s="3"/>
      <c r="AG12119" s="3"/>
      <c r="AH12119" s="3"/>
    </row>
    <row r="12120" spans="1:34" ht="14.25" customHeight="1" x14ac:dyDescent="0.25">
      <c r="A12120" s="3"/>
      <c r="B12120" s="3"/>
      <c r="C12120" s="3"/>
      <c r="D12120" s="3"/>
      <c r="E12120" s="3"/>
      <c r="F12120" s="3"/>
      <c r="G12120" s="3"/>
      <c r="H12120" s="11"/>
      <c r="I12120" s="12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  <c r="AA12120" s="3"/>
      <c r="AB12120" s="3"/>
      <c r="AC12120" s="3"/>
      <c r="AD12120" s="3"/>
      <c r="AE12120" s="3"/>
      <c r="AF12120" s="3"/>
      <c r="AG12120" s="3"/>
      <c r="AH12120" s="3"/>
    </row>
    <row r="12121" spans="1:34" ht="14.25" customHeight="1" x14ac:dyDescent="0.25">
      <c r="A12121" s="3"/>
      <c r="B12121" s="3"/>
      <c r="C12121" s="3"/>
      <c r="D12121" s="3"/>
      <c r="E12121" s="3"/>
      <c r="F12121" s="3"/>
      <c r="G12121" s="3"/>
      <c r="H12121" s="11"/>
      <c r="I12121" s="12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  <c r="AA12121" s="3"/>
      <c r="AB12121" s="3"/>
      <c r="AC12121" s="3"/>
      <c r="AD12121" s="3"/>
      <c r="AE12121" s="3"/>
      <c r="AF12121" s="3"/>
      <c r="AG12121" s="3"/>
      <c r="AH12121" s="3"/>
    </row>
    <row r="12122" spans="1:34" ht="14.25" customHeight="1" x14ac:dyDescent="0.25">
      <c r="A12122" s="3"/>
      <c r="B12122" s="3"/>
      <c r="C12122" s="3"/>
      <c r="D12122" s="3"/>
      <c r="E12122" s="3"/>
      <c r="F12122" s="3"/>
      <c r="G12122" s="3"/>
      <c r="H12122" s="11"/>
      <c r="I12122" s="12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  <c r="AA12122" s="3"/>
      <c r="AB12122" s="3"/>
      <c r="AC12122" s="3"/>
      <c r="AD12122" s="3"/>
      <c r="AE12122" s="3"/>
      <c r="AF12122" s="3"/>
      <c r="AG12122" s="3"/>
      <c r="AH12122" s="3"/>
    </row>
    <row r="12123" spans="1:34" ht="14.25" customHeight="1" x14ac:dyDescent="0.25">
      <c r="A12123" s="3"/>
      <c r="B12123" s="3"/>
      <c r="C12123" s="3"/>
      <c r="D12123" s="3"/>
      <c r="E12123" s="3"/>
      <c r="F12123" s="3"/>
      <c r="G12123" s="3"/>
      <c r="H12123" s="11"/>
      <c r="I12123" s="12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  <c r="AA12123" s="3"/>
      <c r="AB12123" s="3"/>
      <c r="AC12123" s="3"/>
      <c r="AD12123" s="3"/>
      <c r="AE12123" s="3"/>
      <c r="AF12123" s="3"/>
      <c r="AG12123" s="3"/>
      <c r="AH12123" s="3"/>
    </row>
    <row r="12124" spans="1:34" ht="14.25" customHeight="1" x14ac:dyDescent="0.25">
      <c r="A12124" s="3"/>
      <c r="B12124" s="3"/>
      <c r="C12124" s="3"/>
      <c r="D12124" s="3"/>
      <c r="E12124" s="3"/>
      <c r="F12124" s="3"/>
      <c r="G12124" s="3"/>
      <c r="H12124" s="11"/>
      <c r="I12124" s="12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  <c r="AA12124" s="3"/>
      <c r="AB12124" s="3"/>
      <c r="AC12124" s="3"/>
      <c r="AD12124" s="3"/>
      <c r="AE12124" s="3"/>
      <c r="AF12124" s="3"/>
      <c r="AG12124" s="3"/>
      <c r="AH12124" s="3"/>
    </row>
    <row r="12125" spans="1:34" ht="14.25" customHeight="1" x14ac:dyDescent="0.25">
      <c r="A12125" s="3"/>
      <c r="B12125" s="3"/>
      <c r="C12125" s="3"/>
      <c r="D12125" s="3"/>
      <c r="E12125" s="3"/>
      <c r="F12125" s="3"/>
      <c r="G12125" s="3"/>
      <c r="H12125" s="11"/>
      <c r="I12125" s="12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  <c r="AA12125" s="3"/>
      <c r="AB12125" s="3"/>
      <c r="AC12125" s="3"/>
      <c r="AD12125" s="3"/>
      <c r="AE12125" s="3"/>
      <c r="AF12125" s="3"/>
      <c r="AG12125" s="3"/>
      <c r="AH12125" s="3"/>
    </row>
    <row r="12126" spans="1:34" ht="14.25" customHeight="1" x14ac:dyDescent="0.25">
      <c r="A12126" s="3"/>
      <c r="B12126" s="3"/>
      <c r="C12126" s="3"/>
      <c r="D12126" s="3"/>
      <c r="E12126" s="3"/>
      <c r="F12126" s="3"/>
      <c r="G12126" s="3"/>
      <c r="H12126" s="11"/>
      <c r="I12126" s="12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  <c r="AA12126" s="3"/>
      <c r="AB12126" s="3"/>
      <c r="AC12126" s="3"/>
      <c r="AD12126" s="3"/>
      <c r="AE12126" s="3"/>
      <c r="AF12126" s="3"/>
      <c r="AG12126" s="3"/>
      <c r="AH12126" s="3"/>
    </row>
    <row r="12127" spans="1:34" ht="14.25" customHeight="1" x14ac:dyDescent="0.25">
      <c r="A12127" s="3"/>
      <c r="B12127" s="3"/>
      <c r="C12127" s="3"/>
      <c r="D12127" s="3"/>
      <c r="E12127" s="3"/>
      <c r="F12127" s="3"/>
      <c r="G12127" s="3"/>
      <c r="H12127" s="11"/>
      <c r="I12127" s="12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  <c r="AA12127" s="3"/>
      <c r="AB12127" s="3"/>
      <c r="AC12127" s="3"/>
      <c r="AD12127" s="3"/>
      <c r="AE12127" s="3"/>
      <c r="AF12127" s="3"/>
      <c r="AG12127" s="3"/>
      <c r="AH12127" s="3"/>
    </row>
    <row r="12128" spans="1:34" ht="14.25" customHeight="1" x14ac:dyDescent="0.25">
      <c r="A12128" s="3"/>
      <c r="B12128" s="3"/>
      <c r="C12128" s="3"/>
      <c r="D12128" s="3"/>
      <c r="E12128" s="3"/>
      <c r="F12128" s="3"/>
      <c r="G12128" s="3"/>
      <c r="H12128" s="11"/>
      <c r="I12128" s="12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  <c r="AA12128" s="3"/>
      <c r="AB12128" s="3"/>
      <c r="AC12128" s="3"/>
      <c r="AD12128" s="3"/>
      <c r="AE12128" s="3"/>
      <c r="AF12128" s="3"/>
      <c r="AG12128" s="3"/>
      <c r="AH12128" s="3"/>
    </row>
    <row r="12129" spans="1:34" ht="14.25" customHeight="1" x14ac:dyDescent="0.25">
      <c r="A12129" s="3"/>
      <c r="B12129" s="3"/>
      <c r="C12129" s="3"/>
      <c r="D12129" s="3"/>
      <c r="E12129" s="3"/>
      <c r="F12129" s="3"/>
      <c r="G12129" s="3"/>
      <c r="H12129" s="11"/>
      <c r="I12129" s="12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  <c r="AA12129" s="3"/>
      <c r="AB12129" s="3"/>
      <c r="AC12129" s="3"/>
      <c r="AD12129" s="3"/>
      <c r="AE12129" s="3"/>
      <c r="AF12129" s="3"/>
      <c r="AG12129" s="3"/>
      <c r="AH12129" s="3"/>
    </row>
    <row r="12130" spans="1:34" ht="14.25" customHeight="1" x14ac:dyDescent="0.25">
      <c r="A12130" s="3"/>
      <c r="B12130" s="3"/>
      <c r="C12130" s="3"/>
      <c r="D12130" s="3"/>
      <c r="E12130" s="3"/>
      <c r="F12130" s="3"/>
      <c r="G12130" s="3"/>
      <c r="H12130" s="11"/>
      <c r="I12130" s="12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  <c r="AA12130" s="3"/>
      <c r="AB12130" s="3"/>
      <c r="AC12130" s="3"/>
      <c r="AD12130" s="3"/>
      <c r="AE12130" s="3"/>
      <c r="AF12130" s="3"/>
      <c r="AG12130" s="3"/>
      <c r="AH12130" s="3"/>
    </row>
    <row r="12131" spans="1:34" ht="14.25" customHeight="1" x14ac:dyDescent="0.25">
      <c r="A12131" s="3"/>
      <c r="B12131" s="3"/>
      <c r="C12131" s="3"/>
      <c r="D12131" s="3"/>
      <c r="E12131" s="3"/>
      <c r="F12131" s="3"/>
      <c r="G12131" s="3"/>
      <c r="H12131" s="11"/>
      <c r="I12131" s="12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  <c r="AA12131" s="3"/>
      <c r="AB12131" s="3"/>
      <c r="AC12131" s="3"/>
      <c r="AD12131" s="3"/>
      <c r="AE12131" s="3"/>
      <c r="AF12131" s="3"/>
      <c r="AG12131" s="3"/>
      <c r="AH12131" s="3"/>
    </row>
    <row r="12132" spans="1:34" ht="14.25" customHeight="1" x14ac:dyDescent="0.25">
      <c r="A12132" s="3"/>
      <c r="B12132" s="3"/>
      <c r="C12132" s="3"/>
      <c r="D12132" s="3"/>
      <c r="E12132" s="3"/>
      <c r="F12132" s="3"/>
      <c r="G12132" s="3"/>
      <c r="H12132" s="11"/>
      <c r="I12132" s="12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  <c r="AA12132" s="3"/>
      <c r="AB12132" s="3"/>
      <c r="AC12132" s="3"/>
      <c r="AD12132" s="3"/>
      <c r="AE12132" s="3"/>
      <c r="AF12132" s="3"/>
      <c r="AG12132" s="3"/>
      <c r="AH12132" s="3"/>
    </row>
    <row r="12133" spans="1:34" ht="14.25" customHeight="1" x14ac:dyDescent="0.25">
      <c r="A12133" s="3"/>
      <c r="B12133" s="3"/>
      <c r="C12133" s="3"/>
      <c r="D12133" s="3"/>
      <c r="E12133" s="3"/>
      <c r="F12133" s="3"/>
      <c r="G12133" s="3"/>
      <c r="H12133" s="11"/>
      <c r="I12133" s="12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  <c r="AA12133" s="3"/>
      <c r="AB12133" s="3"/>
      <c r="AC12133" s="3"/>
      <c r="AD12133" s="3"/>
      <c r="AE12133" s="3"/>
      <c r="AF12133" s="3"/>
      <c r="AG12133" s="3"/>
      <c r="AH12133" s="3"/>
    </row>
    <row r="12134" spans="1:34" ht="14.25" customHeight="1" x14ac:dyDescent="0.25">
      <c r="A12134" s="3"/>
      <c r="B12134" s="3"/>
      <c r="C12134" s="3"/>
      <c r="D12134" s="3"/>
      <c r="E12134" s="3"/>
      <c r="F12134" s="3"/>
      <c r="G12134" s="3"/>
      <c r="H12134" s="11"/>
      <c r="I12134" s="12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  <c r="AA12134" s="3"/>
      <c r="AB12134" s="3"/>
      <c r="AC12134" s="3"/>
      <c r="AD12134" s="3"/>
      <c r="AE12134" s="3"/>
      <c r="AF12134" s="3"/>
      <c r="AG12134" s="3"/>
      <c r="AH12134" s="3"/>
    </row>
    <row r="12135" spans="1:34" ht="14.25" customHeight="1" x14ac:dyDescent="0.25">
      <c r="A12135" s="3"/>
      <c r="B12135" s="3"/>
      <c r="C12135" s="3"/>
      <c r="D12135" s="3"/>
      <c r="E12135" s="3"/>
      <c r="F12135" s="3"/>
      <c r="G12135" s="3"/>
      <c r="H12135" s="11"/>
      <c r="I12135" s="12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  <c r="AA12135" s="3"/>
      <c r="AB12135" s="3"/>
      <c r="AC12135" s="3"/>
      <c r="AD12135" s="3"/>
      <c r="AE12135" s="3"/>
      <c r="AF12135" s="3"/>
      <c r="AG12135" s="3"/>
      <c r="AH12135" s="3"/>
    </row>
    <row r="12136" spans="1:34" ht="14.25" customHeight="1" x14ac:dyDescent="0.25">
      <c r="A12136" s="3"/>
      <c r="B12136" s="3"/>
      <c r="C12136" s="3"/>
      <c r="D12136" s="3"/>
      <c r="E12136" s="3"/>
      <c r="F12136" s="3"/>
      <c r="G12136" s="3"/>
      <c r="H12136" s="11"/>
      <c r="I12136" s="12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  <c r="AA12136" s="3"/>
      <c r="AB12136" s="3"/>
      <c r="AC12136" s="3"/>
      <c r="AD12136" s="3"/>
      <c r="AE12136" s="3"/>
      <c r="AF12136" s="3"/>
      <c r="AG12136" s="3"/>
      <c r="AH12136" s="3"/>
    </row>
    <row r="12137" spans="1:34" ht="14.25" customHeight="1" x14ac:dyDescent="0.25">
      <c r="A12137" s="3"/>
      <c r="B12137" s="3"/>
      <c r="C12137" s="3"/>
      <c r="D12137" s="3"/>
      <c r="E12137" s="3"/>
      <c r="F12137" s="3"/>
      <c r="G12137" s="3"/>
      <c r="H12137" s="11"/>
      <c r="I12137" s="12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  <c r="AA12137" s="3"/>
      <c r="AB12137" s="3"/>
      <c r="AC12137" s="3"/>
      <c r="AD12137" s="3"/>
      <c r="AE12137" s="3"/>
      <c r="AF12137" s="3"/>
      <c r="AG12137" s="3"/>
      <c r="AH12137" s="3"/>
    </row>
    <row r="12138" spans="1:34" ht="14.25" customHeight="1" x14ac:dyDescent="0.25">
      <c r="A12138" s="3"/>
      <c r="B12138" s="3"/>
      <c r="C12138" s="3"/>
      <c r="D12138" s="3"/>
      <c r="E12138" s="3"/>
      <c r="F12138" s="3"/>
      <c r="G12138" s="3"/>
      <c r="H12138" s="11"/>
      <c r="I12138" s="12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  <c r="AA12138" s="3"/>
      <c r="AB12138" s="3"/>
      <c r="AC12138" s="3"/>
      <c r="AD12138" s="3"/>
      <c r="AE12138" s="3"/>
      <c r="AF12138" s="3"/>
      <c r="AG12138" s="3"/>
      <c r="AH12138" s="3"/>
    </row>
    <row r="12139" spans="1:34" ht="14.25" customHeight="1" x14ac:dyDescent="0.25">
      <c r="A12139" s="3"/>
      <c r="B12139" s="3"/>
      <c r="C12139" s="3"/>
      <c r="D12139" s="3"/>
      <c r="E12139" s="3"/>
      <c r="F12139" s="3"/>
      <c r="G12139" s="3"/>
      <c r="H12139" s="11"/>
      <c r="I12139" s="12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  <c r="AA12139" s="3"/>
      <c r="AB12139" s="3"/>
      <c r="AC12139" s="3"/>
      <c r="AD12139" s="3"/>
      <c r="AE12139" s="3"/>
      <c r="AF12139" s="3"/>
      <c r="AG12139" s="3"/>
      <c r="AH12139" s="3"/>
    </row>
    <row r="12140" spans="1:34" ht="14.25" customHeight="1" x14ac:dyDescent="0.25">
      <c r="A12140" s="3"/>
      <c r="B12140" s="3"/>
      <c r="C12140" s="3"/>
      <c r="D12140" s="3"/>
      <c r="E12140" s="3"/>
      <c r="F12140" s="3"/>
      <c r="G12140" s="3"/>
      <c r="H12140" s="11"/>
      <c r="I12140" s="12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  <c r="AA12140" s="3"/>
      <c r="AB12140" s="3"/>
      <c r="AC12140" s="3"/>
      <c r="AD12140" s="3"/>
      <c r="AE12140" s="3"/>
      <c r="AF12140" s="3"/>
      <c r="AG12140" s="3"/>
      <c r="AH12140" s="3"/>
    </row>
    <row r="12141" spans="1:34" ht="14.25" customHeight="1" x14ac:dyDescent="0.25">
      <c r="A12141" s="3"/>
      <c r="B12141" s="3"/>
      <c r="C12141" s="3"/>
      <c r="D12141" s="3"/>
      <c r="E12141" s="3"/>
      <c r="F12141" s="3"/>
      <c r="G12141" s="3"/>
      <c r="H12141" s="11"/>
      <c r="I12141" s="12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  <c r="AA12141" s="3"/>
      <c r="AB12141" s="3"/>
      <c r="AC12141" s="3"/>
      <c r="AD12141" s="3"/>
      <c r="AE12141" s="3"/>
      <c r="AF12141" s="3"/>
      <c r="AG12141" s="3"/>
      <c r="AH12141" s="3"/>
    </row>
    <row r="12142" spans="1:34" ht="14.25" customHeight="1" x14ac:dyDescent="0.25">
      <c r="A12142" s="3"/>
      <c r="B12142" s="3"/>
      <c r="C12142" s="3"/>
      <c r="D12142" s="3"/>
      <c r="E12142" s="3"/>
      <c r="F12142" s="3"/>
      <c r="G12142" s="3"/>
      <c r="H12142" s="11"/>
      <c r="I12142" s="12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  <c r="AA12142" s="3"/>
      <c r="AB12142" s="3"/>
      <c r="AC12142" s="3"/>
      <c r="AD12142" s="3"/>
      <c r="AE12142" s="3"/>
      <c r="AF12142" s="3"/>
      <c r="AG12142" s="3"/>
      <c r="AH12142" s="3"/>
    </row>
    <row r="12143" spans="1:34" ht="14.25" customHeight="1" x14ac:dyDescent="0.25">
      <c r="A12143" s="3"/>
      <c r="B12143" s="3"/>
      <c r="C12143" s="3"/>
      <c r="D12143" s="3"/>
      <c r="E12143" s="3"/>
      <c r="F12143" s="3"/>
      <c r="G12143" s="3"/>
      <c r="H12143" s="11"/>
      <c r="I12143" s="12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  <c r="AA12143" s="3"/>
      <c r="AB12143" s="3"/>
      <c r="AC12143" s="3"/>
      <c r="AD12143" s="3"/>
      <c r="AE12143" s="3"/>
      <c r="AF12143" s="3"/>
      <c r="AG12143" s="3"/>
      <c r="AH12143" s="3"/>
    </row>
    <row r="12144" spans="1:34" ht="14.25" customHeight="1" x14ac:dyDescent="0.25">
      <c r="A12144" s="3"/>
      <c r="B12144" s="3"/>
      <c r="C12144" s="3"/>
      <c r="D12144" s="3"/>
      <c r="E12144" s="3"/>
      <c r="F12144" s="3"/>
      <c r="G12144" s="3"/>
      <c r="H12144" s="11"/>
      <c r="I12144" s="12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  <c r="AA12144" s="3"/>
      <c r="AB12144" s="3"/>
      <c r="AC12144" s="3"/>
      <c r="AD12144" s="3"/>
      <c r="AE12144" s="3"/>
      <c r="AF12144" s="3"/>
      <c r="AG12144" s="3"/>
      <c r="AH12144" s="3"/>
    </row>
    <row r="12145" spans="1:34" ht="14.25" customHeight="1" x14ac:dyDescent="0.25">
      <c r="A12145" s="3"/>
      <c r="B12145" s="3"/>
      <c r="C12145" s="3"/>
      <c r="D12145" s="3"/>
      <c r="E12145" s="3"/>
      <c r="F12145" s="3"/>
      <c r="G12145" s="3"/>
      <c r="H12145" s="11"/>
      <c r="I12145" s="12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  <c r="AA12145" s="3"/>
      <c r="AB12145" s="3"/>
      <c r="AC12145" s="3"/>
      <c r="AD12145" s="3"/>
      <c r="AE12145" s="3"/>
      <c r="AF12145" s="3"/>
      <c r="AG12145" s="3"/>
      <c r="AH12145" s="3"/>
    </row>
    <row r="12146" spans="1:34" ht="14.25" customHeight="1" x14ac:dyDescent="0.25">
      <c r="A12146" s="3"/>
      <c r="B12146" s="3"/>
      <c r="C12146" s="3"/>
      <c r="D12146" s="3"/>
      <c r="E12146" s="3"/>
      <c r="F12146" s="3"/>
      <c r="G12146" s="3"/>
      <c r="H12146" s="11"/>
      <c r="I12146" s="12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  <c r="AA12146" s="3"/>
      <c r="AB12146" s="3"/>
      <c r="AC12146" s="3"/>
      <c r="AD12146" s="3"/>
      <c r="AE12146" s="3"/>
      <c r="AF12146" s="3"/>
      <c r="AG12146" s="3"/>
      <c r="AH12146" s="3"/>
    </row>
    <row r="12147" spans="1:34" ht="14.25" customHeight="1" x14ac:dyDescent="0.25">
      <c r="A12147" s="3"/>
      <c r="B12147" s="3"/>
      <c r="C12147" s="3"/>
      <c r="D12147" s="3"/>
      <c r="E12147" s="3"/>
      <c r="F12147" s="3"/>
      <c r="G12147" s="3"/>
      <c r="H12147" s="11"/>
      <c r="I12147" s="12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  <c r="AA12147" s="3"/>
      <c r="AB12147" s="3"/>
      <c r="AC12147" s="3"/>
      <c r="AD12147" s="3"/>
      <c r="AE12147" s="3"/>
      <c r="AF12147" s="3"/>
      <c r="AG12147" s="3"/>
      <c r="AH12147" s="3"/>
    </row>
    <row r="12148" spans="1:34" ht="14.25" customHeight="1" x14ac:dyDescent="0.25">
      <c r="A12148" s="3"/>
      <c r="B12148" s="3"/>
      <c r="C12148" s="3"/>
      <c r="D12148" s="3"/>
      <c r="E12148" s="3"/>
      <c r="F12148" s="3"/>
      <c r="G12148" s="3"/>
      <c r="H12148" s="11"/>
      <c r="I12148" s="12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  <c r="AA12148" s="3"/>
      <c r="AB12148" s="3"/>
      <c r="AC12148" s="3"/>
      <c r="AD12148" s="3"/>
      <c r="AE12148" s="3"/>
      <c r="AF12148" s="3"/>
      <c r="AG12148" s="3"/>
      <c r="AH12148" s="3"/>
    </row>
    <row r="12149" spans="1:34" ht="14.25" customHeight="1" x14ac:dyDescent="0.25">
      <c r="A12149" s="3"/>
      <c r="B12149" s="3"/>
      <c r="C12149" s="3"/>
      <c r="D12149" s="3"/>
      <c r="E12149" s="3"/>
      <c r="F12149" s="3"/>
      <c r="G12149" s="3"/>
      <c r="H12149" s="11"/>
      <c r="I12149" s="12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  <c r="AA12149" s="3"/>
      <c r="AB12149" s="3"/>
      <c r="AC12149" s="3"/>
      <c r="AD12149" s="3"/>
      <c r="AE12149" s="3"/>
      <c r="AF12149" s="3"/>
      <c r="AG12149" s="3"/>
      <c r="AH12149" s="3"/>
    </row>
    <row r="12150" spans="1:34" ht="14.25" customHeight="1" x14ac:dyDescent="0.25">
      <c r="A12150" s="3"/>
      <c r="B12150" s="3"/>
      <c r="C12150" s="3"/>
      <c r="D12150" s="3"/>
      <c r="E12150" s="3"/>
      <c r="F12150" s="3"/>
      <c r="G12150" s="3"/>
      <c r="H12150" s="11"/>
      <c r="I12150" s="12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  <c r="AA12150" s="3"/>
      <c r="AB12150" s="3"/>
      <c r="AC12150" s="3"/>
      <c r="AD12150" s="3"/>
      <c r="AE12150" s="3"/>
      <c r="AF12150" s="3"/>
      <c r="AG12150" s="3"/>
      <c r="AH12150" s="3"/>
    </row>
    <row r="12151" spans="1:34" ht="14.25" customHeight="1" x14ac:dyDescent="0.25">
      <c r="A12151" s="3"/>
      <c r="B12151" s="3"/>
      <c r="C12151" s="3"/>
      <c r="D12151" s="3"/>
      <c r="E12151" s="3"/>
      <c r="F12151" s="3"/>
      <c r="G12151" s="3"/>
      <c r="H12151" s="11"/>
      <c r="I12151" s="12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  <c r="AA12151" s="3"/>
      <c r="AB12151" s="3"/>
      <c r="AC12151" s="3"/>
      <c r="AD12151" s="3"/>
      <c r="AE12151" s="3"/>
      <c r="AF12151" s="3"/>
      <c r="AG12151" s="3"/>
      <c r="AH12151" s="3"/>
    </row>
    <row r="12152" spans="1:34" ht="14.25" customHeight="1" x14ac:dyDescent="0.25">
      <c r="A12152" s="3"/>
      <c r="B12152" s="3"/>
      <c r="C12152" s="3"/>
      <c r="D12152" s="3"/>
      <c r="E12152" s="3"/>
      <c r="F12152" s="3"/>
      <c r="G12152" s="3"/>
      <c r="H12152" s="11"/>
      <c r="I12152" s="12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  <c r="AA12152" s="3"/>
      <c r="AB12152" s="3"/>
      <c r="AC12152" s="3"/>
      <c r="AD12152" s="3"/>
      <c r="AE12152" s="3"/>
      <c r="AF12152" s="3"/>
      <c r="AG12152" s="3"/>
      <c r="AH12152" s="3"/>
    </row>
    <row r="12153" spans="1:34" ht="14.25" customHeight="1" x14ac:dyDescent="0.25">
      <c r="A12153" s="3"/>
      <c r="B12153" s="3"/>
      <c r="C12153" s="3"/>
      <c r="D12153" s="3"/>
      <c r="E12153" s="3"/>
      <c r="F12153" s="3"/>
      <c r="G12153" s="3"/>
      <c r="H12153" s="11"/>
      <c r="I12153" s="12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  <c r="AA12153" s="3"/>
      <c r="AB12153" s="3"/>
      <c r="AC12153" s="3"/>
      <c r="AD12153" s="3"/>
      <c r="AE12153" s="3"/>
      <c r="AF12153" s="3"/>
      <c r="AG12153" s="3"/>
      <c r="AH12153" s="3"/>
    </row>
    <row r="12154" spans="1:34" ht="14.25" customHeight="1" x14ac:dyDescent="0.25">
      <c r="A12154" s="3"/>
      <c r="B12154" s="3"/>
      <c r="C12154" s="3"/>
      <c r="D12154" s="3"/>
      <c r="E12154" s="3"/>
      <c r="F12154" s="3"/>
      <c r="G12154" s="3"/>
      <c r="H12154" s="11"/>
      <c r="I12154" s="12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  <c r="AA12154" s="3"/>
      <c r="AB12154" s="3"/>
      <c r="AC12154" s="3"/>
      <c r="AD12154" s="3"/>
      <c r="AE12154" s="3"/>
      <c r="AF12154" s="3"/>
      <c r="AG12154" s="3"/>
      <c r="AH12154" s="3"/>
    </row>
    <row r="12155" spans="1:34" ht="14.25" customHeight="1" x14ac:dyDescent="0.25">
      <c r="A12155" s="3"/>
      <c r="B12155" s="3"/>
      <c r="C12155" s="3"/>
      <c r="D12155" s="3"/>
      <c r="E12155" s="3"/>
      <c r="F12155" s="3"/>
      <c r="G12155" s="3"/>
      <c r="H12155" s="11"/>
      <c r="I12155" s="12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  <c r="AA12155" s="3"/>
      <c r="AB12155" s="3"/>
      <c r="AC12155" s="3"/>
      <c r="AD12155" s="3"/>
      <c r="AE12155" s="3"/>
      <c r="AF12155" s="3"/>
      <c r="AG12155" s="3"/>
      <c r="AH12155" s="3"/>
    </row>
    <row r="12156" spans="1:34" ht="14.25" customHeight="1" x14ac:dyDescent="0.25">
      <c r="A12156" s="3"/>
      <c r="B12156" s="3"/>
      <c r="C12156" s="3"/>
      <c r="D12156" s="3"/>
      <c r="E12156" s="3"/>
      <c r="F12156" s="3"/>
      <c r="G12156" s="3"/>
      <c r="H12156" s="11"/>
      <c r="I12156" s="12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  <c r="AA12156" s="3"/>
      <c r="AB12156" s="3"/>
      <c r="AC12156" s="3"/>
      <c r="AD12156" s="3"/>
      <c r="AE12156" s="3"/>
      <c r="AF12156" s="3"/>
      <c r="AG12156" s="3"/>
      <c r="AH12156" s="3"/>
    </row>
    <row r="12157" spans="1:34" ht="14.25" customHeight="1" x14ac:dyDescent="0.25">
      <c r="A12157" s="3"/>
      <c r="B12157" s="3"/>
      <c r="C12157" s="3"/>
      <c r="D12157" s="3"/>
      <c r="E12157" s="3"/>
      <c r="F12157" s="3"/>
      <c r="G12157" s="3"/>
      <c r="H12157" s="11"/>
      <c r="I12157" s="12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  <c r="AA12157" s="3"/>
      <c r="AB12157" s="3"/>
      <c r="AC12157" s="3"/>
      <c r="AD12157" s="3"/>
      <c r="AE12157" s="3"/>
      <c r="AF12157" s="3"/>
      <c r="AG12157" s="3"/>
      <c r="AH12157" s="3"/>
    </row>
    <row r="12158" spans="1:34" ht="14.25" customHeight="1" x14ac:dyDescent="0.25">
      <c r="A12158" s="3"/>
      <c r="B12158" s="3"/>
      <c r="C12158" s="3"/>
      <c r="D12158" s="3"/>
      <c r="E12158" s="3"/>
      <c r="F12158" s="3"/>
      <c r="G12158" s="3"/>
      <c r="H12158" s="11"/>
      <c r="I12158" s="12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  <c r="AA12158" s="3"/>
      <c r="AB12158" s="3"/>
      <c r="AC12158" s="3"/>
      <c r="AD12158" s="3"/>
      <c r="AE12158" s="3"/>
      <c r="AF12158" s="3"/>
      <c r="AG12158" s="3"/>
      <c r="AH12158" s="3"/>
    </row>
    <row r="12159" spans="1:34" ht="14.25" customHeight="1" x14ac:dyDescent="0.25">
      <c r="A12159" s="3"/>
      <c r="B12159" s="3"/>
      <c r="C12159" s="3"/>
      <c r="D12159" s="3"/>
      <c r="E12159" s="3"/>
      <c r="F12159" s="3"/>
      <c r="G12159" s="3"/>
      <c r="H12159" s="11"/>
      <c r="I12159" s="12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  <c r="AA12159" s="3"/>
      <c r="AB12159" s="3"/>
      <c r="AC12159" s="3"/>
      <c r="AD12159" s="3"/>
      <c r="AE12159" s="3"/>
      <c r="AF12159" s="3"/>
      <c r="AG12159" s="3"/>
      <c r="AH12159" s="3"/>
    </row>
    <row r="12160" spans="1:34" ht="14.25" customHeight="1" x14ac:dyDescent="0.25">
      <c r="A12160" s="3"/>
      <c r="B12160" s="3"/>
      <c r="C12160" s="3"/>
      <c r="D12160" s="3"/>
      <c r="E12160" s="3"/>
      <c r="F12160" s="3"/>
      <c r="G12160" s="3"/>
      <c r="H12160" s="11"/>
      <c r="I12160" s="12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  <c r="AA12160" s="3"/>
      <c r="AB12160" s="3"/>
      <c r="AC12160" s="3"/>
      <c r="AD12160" s="3"/>
      <c r="AE12160" s="3"/>
      <c r="AF12160" s="3"/>
      <c r="AG12160" s="3"/>
      <c r="AH12160" s="3"/>
    </row>
    <row r="12161" spans="1:34" ht="14.25" customHeight="1" x14ac:dyDescent="0.25">
      <c r="A12161" s="3"/>
      <c r="B12161" s="3"/>
      <c r="C12161" s="3"/>
      <c r="D12161" s="3"/>
      <c r="E12161" s="3"/>
      <c r="F12161" s="3"/>
      <c r="G12161" s="3"/>
      <c r="H12161" s="11"/>
      <c r="I12161" s="12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  <c r="AA12161" s="3"/>
      <c r="AB12161" s="3"/>
      <c r="AC12161" s="3"/>
      <c r="AD12161" s="3"/>
      <c r="AE12161" s="3"/>
      <c r="AF12161" s="3"/>
      <c r="AG12161" s="3"/>
      <c r="AH12161" s="3"/>
    </row>
    <row r="12162" spans="1:34" ht="14.25" customHeight="1" x14ac:dyDescent="0.25">
      <c r="A12162" s="3"/>
      <c r="B12162" s="3"/>
      <c r="C12162" s="3"/>
      <c r="D12162" s="3"/>
      <c r="E12162" s="3"/>
      <c r="F12162" s="3"/>
      <c r="G12162" s="3"/>
      <c r="H12162" s="11"/>
      <c r="I12162" s="12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  <c r="AA12162" s="3"/>
      <c r="AB12162" s="3"/>
      <c r="AC12162" s="3"/>
      <c r="AD12162" s="3"/>
      <c r="AE12162" s="3"/>
      <c r="AF12162" s="3"/>
      <c r="AG12162" s="3"/>
      <c r="AH12162" s="3"/>
    </row>
    <row r="12163" spans="1:34" ht="14.25" customHeight="1" x14ac:dyDescent="0.25">
      <c r="A12163" s="3"/>
      <c r="B12163" s="3"/>
      <c r="C12163" s="3"/>
      <c r="D12163" s="3"/>
      <c r="E12163" s="3"/>
      <c r="F12163" s="3"/>
      <c r="G12163" s="3"/>
      <c r="H12163" s="11"/>
      <c r="I12163" s="12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  <c r="AA12163" s="3"/>
      <c r="AB12163" s="3"/>
      <c r="AC12163" s="3"/>
      <c r="AD12163" s="3"/>
      <c r="AE12163" s="3"/>
      <c r="AF12163" s="3"/>
      <c r="AG12163" s="3"/>
      <c r="AH12163" s="3"/>
    </row>
    <row r="12164" spans="1:34" ht="14.25" customHeight="1" x14ac:dyDescent="0.25">
      <c r="A12164" s="3"/>
      <c r="B12164" s="3"/>
      <c r="C12164" s="3"/>
      <c r="D12164" s="3"/>
      <c r="E12164" s="3"/>
      <c r="F12164" s="3"/>
      <c r="G12164" s="3"/>
      <c r="H12164" s="11"/>
      <c r="I12164" s="12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  <c r="AA12164" s="3"/>
      <c r="AB12164" s="3"/>
      <c r="AC12164" s="3"/>
      <c r="AD12164" s="3"/>
      <c r="AE12164" s="3"/>
      <c r="AF12164" s="3"/>
      <c r="AG12164" s="3"/>
      <c r="AH12164" s="3"/>
    </row>
    <row r="12165" spans="1:34" ht="14.25" customHeight="1" x14ac:dyDescent="0.25">
      <c r="A12165" s="3"/>
      <c r="B12165" s="3"/>
      <c r="C12165" s="3"/>
      <c r="D12165" s="3"/>
      <c r="E12165" s="3"/>
      <c r="F12165" s="3"/>
      <c r="G12165" s="3"/>
      <c r="H12165" s="11"/>
      <c r="I12165" s="12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  <c r="AA12165" s="3"/>
      <c r="AB12165" s="3"/>
      <c r="AC12165" s="3"/>
      <c r="AD12165" s="3"/>
      <c r="AE12165" s="3"/>
      <c r="AF12165" s="3"/>
      <c r="AG12165" s="3"/>
      <c r="AH12165" s="3"/>
    </row>
    <row r="12166" spans="1:34" ht="14.25" customHeight="1" x14ac:dyDescent="0.25">
      <c r="A12166" s="3"/>
      <c r="B12166" s="3"/>
      <c r="C12166" s="3"/>
      <c r="D12166" s="3"/>
      <c r="E12166" s="3"/>
      <c r="F12166" s="3"/>
      <c r="G12166" s="3"/>
      <c r="H12166" s="11"/>
      <c r="I12166" s="12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  <c r="AA12166" s="3"/>
      <c r="AB12166" s="3"/>
      <c r="AC12166" s="3"/>
      <c r="AD12166" s="3"/>
      <c r="AE12166" s="3"/>
      <c r="AF12166" s="3"/>
      <c r="AG12166" s="3"/>
      <c r="AH12166" s="3"/>
    </row>
    <row r="12167" spans="1:34" ht="14.25" customHeight="1" x14ac:dyDescent="0.25">
      <c r="A12167" s="3"/>
      <c r="B12167" s="3"/>
      <c r="C12167" s="3"/>
      <c r="D12167" s="3"/>
      <c r="E12167" s="3"/>
      <c r="F12167" s="3"/>
      <c r="G12167" s="3"/>
      <c r="H12167" s="11"/>
      <c r="I12167" s="12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  <c r="AA12167" s="3"/>
      <c r="AB12167" s="3"/>
      <c r="AC12167" s="3"/>
      <c r="AD12167" s="3"/>
      <c r="AE12167" s="3"/>
      <c r="AF12167" s="3"/>
      <c r="AG12167" s="3"/>
      <c r="AH12167" s="3"/>
    </row>
    <row r="12168" spans="1:34" ht="14.25" customHeight="1" x14ac:dyDescent="0.25">
      <c r="A12168" s="3"/>
      <c r="B12168" s="3"/>
      <c r="C12168" s="3"/>
      <c r="D12168" s="3"/>
      <c r="E12168" s="3"/>
      <c r="F12168" s="3"/>
      <c r="G12168" s="3"/>
      <c r="H12168" s="11"/>
      <c r="I12168" s="12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  <c r="AA12168" s="3"/>
      <c r="AB12168" s="3"/>
      <c r="AC12168" s="3"/>
      <c r="AD12168" s="3"/>
      <c r="AE12168" s="3"/>
      <c r="AF12168" s="3"/>
      <c r="AG12168" s="3"/>
      <c r="AH12168" s="3"/>
    </row>
    <row r="12169" spans="1:34" ht="14.25" customHeight="1" x14ac:dyDescent="0.25">
      <c r="A12169" s="3"/>
      <c r="B12169" s="3"/>
      <c r="C12169" s="3"/>
      <c r="D12169" s="3"/>
      <c r="E12169" s="3"/>
      <c r="F12169" s="3"/>
      <c r="G12169" s="3"/>
      <c r="H12169" s="11"/>
      <c r="I12169" s="12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  <c r="AA12169" s="3"/>
      <c r="AB12169" s="3"/>
      <c r="AC12169" s="3"/>
      <c r="AD12169" s="3"/>
      <c r="AE12169" s="3"/>
      <c r="AF12169" s="3"/>
      <c r="AG12169" s="3"/>
      <c r="AH12169" s="3"/>
    </row>
    <row r="12170" spans="1:34" ht="14.25" customHeight="1" x14ac:dyDescent="0.25">
      <c r="A12170" s="3"/>
      <c r="B12170" s="3"/>
      <c r="C12170" s="3"/>
      <c r="D12170" s="3"/>
      <c r="E12170" s="3"/>
      <c r="F12170" s="3"/>
      <c r="G12170" s="3"/>
      <c r="H12170" s="11"/>
      <c r="I12170" s="12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  <c r="AA12170" s="3"/>
      <c r="AB12170" s="3"/>
      <c r="AC12170" s="3"/>
      <c r="AD12170" s="3"/>
      <c r="AE12170" s="3"/>
      <c r="AF12170" s="3"/>
      <c r="AG12170" s="3"/>
      <c r="AH12170" s="3"/>
    </row>
    <row r="12171" spans="1:34" ht="14.25" customHeight="1" x14ac:dyDescent="0.25">
      <c r="A12171" s="3"/>
      <c r="B12171" s="3"/>
      <c r="C12171" s="3"/>
      <c r="D12171" s="3"/>
      <c r="E12171" s="3"/>
      <c r="F12171" s="3"/>
      <c r="G12171" s="3"/>
      <c r="H12171" s="11"/>
      <c r="I12171" s="12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  <c r="AA12171" s="3"/>
      <c r="AB12171" s="3"/>
      <c r="AC12171" s="3"/>
      <c r="AD12171" s="3"/>
      <c r="AE12171" s="3"/>
      <c r="AF12171" s="3"/>
      <c r="AG12171" s="3"/>
      <c r="AH12171" s="3"/>
    </row>
    <row r="12172" spans="1:34" ht="14.25" customHeight="1" x14ac:dyDescent="0.25">
      <c r="A12172" s="3"/>
      <c r="B12172" s="3"/>
      <c r="C12172" s="3"/>
      <c r="D12172" s="3"/>
      <c r="E12172" s="3"/>
      <c r="F12172" s="3"/>
      <c r="G12172" s="3"/>
      <c r="H12172" s="11"/>
      <c r="I12172" s="12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  <c r="AA12172" s="3"/>
      <c r="AB12172" s="3"/>
      <c r="AC12172" s="3"/>
      <c r="AD12172" s="3"/>
      <c r="AE12172" s="3"/>
      <c r="AF12172" s="3"/>
      <c r="AG12172" s="3"/>
      <c r="AH12172" s="3"/>
    </row>
    <row r="12173" spans="1:34" ht="14.25" customHeight="1" x14ac:dyDescent="0.25">
      <c r="A12173" s="3"/>
      <c r="B12173" s="3"/>
      <c r="C12173" s="3"/>
      <c r="D12173" s="3"/>
      <c r="E12173" s="3"/>
      <c r="F12173" s="3"/>
      <c r="G12173" s="3"/>
      <c r="H12173" s="11"/>
      <c r="I12173" s="12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  <c r="AA12173" s="3"/>
      <c r="AB12173" s="3"/>
      <c r="AC12173" s="3"/>
      <c r="AD12173" s="3"/>
      <c r="AE12173" s="3"/>
      <c r="AF12173" s="3"/>
      <c r="AG12173" s="3"/>
      <c r="AH12173" s="3"/>
    </row>
    <row r="12174" spans="1:34" ht="14.25" customHeight="1" x14ac:dyDescent="0.25">
      <c r="A12174" s="3"/>
      <c r="B12174" s="3"/>
      <c r="C12174" s="3"/>
      <c r="D12174" s="3"/>
      <c r="E12174" s="3"/>
      <c r="F12174" s="3"/>
      <c r="G12174" s="3"/>
      <c r="H12174" s="11"/>
      <c r="I12174" s="12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  <c r="AA12174" s="3"/>
      <c r="AB12174" s="3"/>
      <c r="AC12174" s="3"/>
      <c r="AD12174" s="3"/>
      <c r="AE12174" s="3"/>
      <c r="AF12174" s="3"/>
      <c r="AG12174" s="3"/>
      <c r="AH12174" s="3"/>
    </row>
    <row r="12175" spans="1:34" ht="14.25" customHeight="1" x14ac:dyDescent="0.25">
      <c r="A12175" s="3"/>
      <c r="B12175" s="3"/>
      <c r="C12175" s="3"/>
      <c r="D12175" s="3"/>
      <c r="E12175" s="3"/>
      <c r="F12175" s="3"/>
      <c r="G12175" s="3"/>
      <c r="H12175" s="11"/>
      <c r="I12175" s="12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  <c r="AA12175" s="3"/>
      <c r="AB12175" s="3"/>
      <c r="AC12175" s="3"/>
      <c r="AD12175" s="3"/>
      <c r="AE12175" s="3"/>
      <c r="AF12175" s="3"/>
      <c r="AG12175" s="3"/>
      <c r="AH12175" s="3"/>
    </row>
    <row r="12176" spans="1:34" ht="14.25" customHeight="1" x14ac:dyDescent="0.25">
      <c r="A12176" s="3"/>
      <c r="B12176" s="3"/>
      <c r="C12176" s="3"/>
      <c r="D12176" s="3"/>
      <c r="E12176" s="3"/>
      <c r="F12176" s="3"/>
      <c r="G12176" s="3"/>
      <c r="H12176" s="11"/>
      <c r="I12176" s="12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  <c r="AA12176" s="3"/>
      <c r="AB12176" s="3"/>
      <c r="AC12176" s="3"/>
      <c r="AD12176" s="3"/>
      <c r="AE12176" s="3"/>
      <c r="AF12176" s="3"/>
      <c r="AG12176" s="3"/>
      <c r="AH12176" s="3"/>
    </row>
    <row r="12177" spans="1:34" ht="14.25" customHeight="1" x14ac:dyDescent="0.25">
      <c r="A12177" s="3"/>
      <c r="B12177" s="3"/>
      <c r="C12177" s="3"/>
      <c r="D12177" s="3"/>
      <c r="E12177" s="3"/>
      <c r="F12177" s="3"/>
      <c r="G12177" s="3"/>
      <c r="H12177" s="11"/>
      <c r="I12177" s="12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  <c r="AA12177" s="3"/>
      <c r="AB12177" s="3"/>
      <c r="AC12177" s="3"/>
      <c r="AD12177" s="3"/>
      <c r="AE12177" s="3"/>
      <c r="AF12177" s="3"/>
      <c r="AG12177" s="3"/>
      <c r="AH12177" s="3"/>
    </row>
    <row r="12178" spans="1:34" ht="14.25" customHeight="1" x14ac:dyDescent="0.25">
      <c r="A12178" s="3"/>
      <c r="B12178" s="3"/>
      <c r="C12178" s="3"/>
      <c r="D12178" s="3"/>
      <c r="E12178" s="3"/>
      <c r="F12178" s="3"/>
      <c r="G12178" s="3"/>
      <c r="H12178" s="11"/>
      <c r="I12178" s="12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  <c r="AA12178" s="3"/>
      <c r="AB12178" s="3"/>
      <c r="AC12178" s="3"/>
      <c r="AD12178" s="3"/>
      <c r="AE12178" s="3"/>
      <c r="AF12178" s="3"/>
      <c r="AG12178" s="3"/>
      <c r="AH12178" s="3"/>
    </row>
    <row r="12179" spans="1:34" ht="14.25" customHeight="1" x14ac:dyDescent="0.25">
      <c r="A12179" s="3"/>
      <c r="B12179" s="3"/>
      <c r="C12179" s="3"/>
      <c r="D12179" s="3"/>
      <c r="E12179" s="3"/>
      <c r="F12179" s="3"/>
      <c r="G12179" s="3"/>
      <c r="H12179" s="11"/>
      <c r="I12179" s="12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  <c r="AA12179" s="3"/>
      <c r="AB12179" s="3"/>
      <c r="AC12179" s="3"/>
      <c r="AD12179" s="3"/>
      <c r="AE12179" s="3"/>
      <c r="AF12179" s="3"/>
      <c r="AG12179" s="3"/>
      <c r="AH12179" s="3"/>
    </row>
    <row r="12180" spans="1:34" ht="14.25" customHeight="1" x14ac:dyDescent="0.25">
      <c r="A12180" s="3"/>
      <c r="B12180" s="3"/>
      <c r="C12180" s="3"/>
      <c r="D12180" s="3"/>
      <c r="E12180" s="3"/>
      <c r="F12180" s="3"/>
      <c r="G12180" s="3"/>
      <c r="H12180" s="11"/>
      <c r="I12180" s="12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  <c r="AA12180" s="3"/>
      <c r="AB12180" s="3"/>
      <c r="AC12180" s="3"/>
      <c r="AD12180" s="3"/>
      <c r="AE12180" s="3"/>
      <c r="AF12180" s="3"/>
      <c r="AG12180" s="3"/>
      <c r="AH12180" s="3"/>
    </row>
    <row r="12181" spans="1:34" ht="14.25" customHeight="1" x14ac:dyDescent="0.25">
      <c r="A12181" s="3"/>
      <c r="B12181" s="3"/>
      <c r="C12181" s="3"/>
      <c r="D12181" s="3"/>
      <c r="E12181" s="3"/>
      <c r="F12181" s="3"/>
      <c r="G12181" s="3"/>
      <c r="H12181" s="11"/>
      <c r="I12181" s="12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  <c r="AA12181" s="3"/>
      <c r="AB12181" s="3"/>
      <c r="AC12181" s="3"/>
      <c r="AD12181" s="3"/>
      <c r="AE12181" s="3"/>
      <c r="AF12181" s="3"/>
      <c r="AG12181" s="3"/>
      <c r="AH12181" s="3"/>
    </row>
    <row r="12182" spans="1:34" ht="14.25" customHeight="1" x14ac:dyDescent="0.25">
      <c r="A12182" s="3"/>
      <c r="B12182" s="3"/>
      <c r="C12182" s="3"/>
      <c r="D12182" s="3"/>
      <c r="E12182" s="3"/>
      <c r="F12182" s="3"/>
      <c r="G12182" s="3"/>
      <c r="H12182" s="11"/>
      <c r="I12182" s="12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  <c r="AA12182" s="3"/>
      <c r="AB12182" s="3"/>
      <c r="AC12182" s="3"/>
      <c r="AD12182" s="3"/>
      <c r="AE12182" s="3"/>
      <c r="AF12182" s="3"/>
      <c r="AG12182" s="3"/>
      <c r="AH12182" s="3"/>
    </row>
    <row r="12183" spans="1:34" ht="14.25" customHeight="1" x14ac:dyDescent="0.25">
      <c r="A12183" s="3"/>
      <c r="B12183" s="3"/>
      <c r="C12183" s="3"/>
      <c r="D12183" s="3"/>
      <c r="E12183" s="3"/>
      <c r="F12183" s="3"/>
      <c r="G12183" s="3"/>
      <c r="H12183" s="11"/>
      <c r="I12183" s="12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  <c r="AA12183" s="3"/>
      <c r="AB12183" s="3"/>
      <c r="AC12183" s="3"/>
      <c r="AD12183" s="3"/>
      <c r="AE12183" s="3"/>
      <c r="AF12183" s="3"/>
      <c r="AG12183" s="3"/>
      <c r="AH12183" s="3"/>
    </row>
    <row r="12184" spans="1:34" ht="14.25" customHeight="1" x14ac:dyDescent="0.25">
      <c r="A12184" s="3"/>
      <c r="B12184" s="3"/>
      <c r="C12184" s="3"/>
      <c r="D12184" s="3"/>
      <c r="E12184" s="3"/>
      <c r="F12184" s="3"/>
      <c r="G12184" s="3"/>
      <c r="H12184" s="11"/>
      <c r="I12184" s="12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  <c r="AA12184" s="3"/>
      <c r="AB12184" s="3"/>
      <c r="AC12184" s="3"/>
      <c r="AD12184" s="3"/>
      <c r="AE12184" s="3"/>
      <c r="AF12184" s="3"/>
      <c r="AG12184" s="3"/>
      <c r="AH12184" s="3"/>
    </row>
    <row r="12185" spans="1:34" ht="14.25" customHeight="1" x14ac:dyDescent="0.25">
      <c r="A12185" s="3"/>
      <c r="B12185" s="3"/>
      <c r="C12185" s="3"/>
      <c r="D12185" s="3"/>
      <c r="E12185" s="3"/>
      <c r="F12185" s="3"/>
      <c r="G12185" s="3"/>
      <c r="H12185" s="11"/>
      <c r="I12185" s="12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  <c r="AA12185" s="3"/>
      <c r="AB12185" s="3"/>
      <c r="AC12185" s="3"/>
      <c r="AD12185" s="3"/>
      <c r="AE12185" s="3"/>
      <c r="AF12185" s="3"/>
      <c r="AG12185" s="3"/>
      <c r="AH12185" s="3"/>
    </row>
    <row r="12186" spans="1:34" ht="14.25" customHeight="1" x14ac:dyDescent="0.25">
      <c r="A12186" s="3"/>
      <c r="B12186" s="3"/>
      <c r="C12186" s="3"/>
      <c r="D12186" s="3"/>
      <c r="E12186" s="3"/>
      <c r="F12186" s="3"/>
      <c r="G12186" s="3"/>
      <c r="H12186" s="11"/>
      <c r="I12186" s="12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  <c r="AA12186" s="3"/>
      <c r="AB12186" s="3"/>
      <c r="AC12186" s="3"/>
      <c r="AD12186" s="3"/>
      <c r="AE12186" s="3"/>
      <c r="AF12186" s="3"/>
      <c r="AG12186" s="3"/>
      <c r="AH12186" s="3"/>
    </row>
    <row r="12187" spans="1:34" ht="14.25" customHeight="1" x14ac:dyDescent="0.25">
      <c r="A12187" s="3"/>
      <c r="B12187" s="3"/>
      <c r="C12187" s="3"/>
      <c r="D12187" s="3"/>
      <c r="E12187" s="3"/>
      <c r="F12187" s="3"/>
      <c r="G12187" s="3"/>
      <c r="H12187" s="11"/>
      <c r="I12187" s="12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  <c r="AA12187" s="3"/>
      <c r="AB12187" s="3"/>
      <c r="AC12187" s="3"/>
      <c r="AD12187" s="3"/>
      <c r="AE12187" s="3"/>
      <c r="AF12187" s="3"/>
      <c r="AG12187" s="3"/>
      <c r="AH12187" s="3"/>
    </row>
    <row r="12188" spans="1:34" ht="14.25" customHeight="1" x14ac:dyDescent="0.25">
      <c r="A12188" s="3"/>
      <c r="B12188" s="3"/>
      <c r="C12188" s="3"/>
      <c r="D12188" s="3"/>
      <c r="E12188" s="3"/>
      <c r="F12188" s="3"/>
      <c r="G12188" s="3"/>
      <c r="H12188" s="11"/>
      <c r="I12188" s="12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  <c r="AA12188" s="3"/>
      <c r="AB12188" s="3"/>
      <c r="AC12188" s="3"/>
      <c r="AD12188" s="3"/>
      <c r="AE12188" s="3"/>
      <c r="AF12188" s="3"/>
      <c r="AG12188" s="3"/>
      <c r="AH12188" s="3"/>
    </row>
    <row r="12189" spans="1:34" ht="14.25" customHeight="1" x14ac:dyDescent="0.25">
      <c r="A12189" s="3"/>
      <c r="B12189" s="3"/>
      <c r="C12189" s="3"/>
      <c r="D12189" s="3"/>
      <c r="E12189" s="3"/>
      <c r="F12189" s="3"/>
      <c r="G12189" s="3"/>
      <c r="H12189" s="11"/>
      <c r="I12189" s="12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  <c r="AA12189" s="3"/>
      <c r="AB12189" s="3"/>
      <c r="AC12189" s="3"/>
      <c r="AD12189" s="3"/>
      <c r="AE12189" s="3"/>
      <c r="AF12189" s="3"/>
      <c r="AG12189" s="3"/>
      <c r="AH12189" s="3"/>
    </row>
    <row r="12190" spans="1:34" ht="14.25" customHeight="1" x14ac:dyDescent="0.25">
      <c r="A12190" s="3"/>
      <c r="B12190" s="3"/>
      <c r="C12190" s="3"/>
      <c r="D12190" s="3"/>
      <c r="E12190" s="3"/>
      <c r="F12190" s="3"/>
      <c r="G12190" s="3"/>
      <c r="H12190" s="11"/>
      <c r="I12190" s="12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  <c r="AA12190" s="3"/>
      <c r="AB12190" s="3"/>
      <c r="AC12190" s="3"/>
      <c r="AD12190" s="3"/>
      <c r="AE12190" s="3"/>
      <c r="AF12190" s="3"/>
      <c r="AG12190" s="3"/>
      <c r="AH12190" s="3"/>
    </row>
    <row r="12191" spans="1:34" ht="14.25" customHeight="1" x14ac:dyDescent="0.25">
      <c r="A12191" s="3"/>
      <c r="B12191" s="3"/>
      <c r="C12191" s="3"/>
      <c r="D12191" s="3"/>
      <c r="E12191" s="3"/>
      <c r="F12191" s="3"/>
      <c r="G12191" s="3"/>
      <c r="H12191" s="11"/>
      <c r="I12191" s="12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  <c r="AA12191" s="3"/>
      <c r="AB12191" s="3"/>
      <c r="AC12191" s="3"/>
      <c r="AD12191" s="3"/>
      <c r="AE12191" s="3"/>
      <c r="AF12191" s="3"/>
      <c r="AG12191" s="3"/>
      <c r="AH12191" s="3"/>
    </row>
    <row r="12192" spans="1:34" ht="14.25" customHeight="1" x14ac:dyDescent="0.25">
      <c r="A12192" s="3"/>
      <c r="B12192" s="3"/>
      <c r="C12192" s="3"/>
      <c r="D12192" s="3"/>
      <c r="E12192" s="3"/>
      <c r="F12192" s="3"/>
      <c r="G12192" s="3"/>
      <c r="H12192" s="11"/>
      <c r="I12192" s="12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  <c r="AA12192" s="3"/>
      <c r="AB12192" s="3"/>
      <c r="AC12192" s="3"/>
      <c r="AD12192" s="3"/>
      <c r="AE12192" s="3"/>
      <c r="AF12192" s="3"/>
      <c r="AG12192" s="3"/>
      <c r="AH12192" s="3"/>
    </row>
    <row r="12193" spans="1:34" ht="14.25" customHeight="1" x14ac:dyDescent="0.25">
      <c r="A12193" s="3"/>
      <c r="B12193" s="3"/>
      <c r="C12193" s="3"/>
      <c r="D12193" s="3"/>
      <c r="E12193" s="3"/>
      <c r="F12193" s="3"/>
      <c r="G12193" s="3"/>
      <c r="H12193" s="11"/>
      <c r="I12193" s="12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  <c r="AA12193" s="3"/>
      <c r="AB12193" s="3"/>
      <c r="AC12193" s="3"/>
      <c r="AD12193" s="3"/>
      <c r="AE12193" s="3"/>
      <c r="AF12193" s="3"/>
      <c r="AG12193" s="3"/>
      <c r="AH12193" s="3"/>
    </row>
    <row r="12194" spans="1:34" ht="14.25" customHeight="1" x14ac:dyDescent="0.25">
      <c r="A12194" s="3"/>
      <c r="B12194" s="3"/>
      <c r="C12194" s="3"/>
      <c r="D12194" s="3"/>
      <c r="E12194" s="3"/>
      <c r="F12194" s="3"/>
      <c r="G12194" s="3"/>
      <c r="H12194" s="11"/>
      <c r="I12194" s="12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  <c r="AA12194" s="3"/>
      <c r="AB12194" s="3"/>
      <c r="AC12194" s="3"/>
      <c r="AD12194" s="3"/>
      <c r="AE12194" s="3"/>
      <c r="AF12194" s="3"/>
      <c r="AG12194" s="3"/>
      <c r="AH12194" s="3"/>
    </row>
    <row r="12195" spans="1:34" ht="14.25" customHeight="1" x14ac:dyDescent="0.25">
      <c r="A12195" s="3"/>
      <c r="B12195" s="3"/>
      <c r="C12195" s="3"/>
      <c r="D12195" s="3"/>
      <c r="E12195" s="3"/>
      <c r="F12195" s="3"/>
      <c r="G12195" s="3"/>
      <c r="H12195" s="11"/>
      <c r="I12195" s="12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  <c r="AA12195" s="3"/>
      <c r="AB12195" s="3"/>
      <c r="AC12195" s="3"/>
      <c r="AD12195" s="3"/>
      <c r="AE12195" s="3"/>
      <c r="AF12195" s="3"/>
      <c r="AG12195" s="3"/>
      <c r="AH12195" s="3"/>
    </row>
    <row r="12196" spans="1:34" ht="14.25" customHeight="1" x14ac:dyDescent="0.25">
      <c r="A12196" s="3"/>
      <c r="B12196" s="3"/>
      <c r="C12196" s="3"/>
      <c r="D12196" s="3"/>
      <c r="E12196" s="3"/>
      <c r="F12196" s="3"/>
      <c r="G12196" s="3"/>
      <c r="H12196" s="11"/>
      <c r="I12196" s="12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  <c r="AA12196" s="3"/>
      <c r="AB12196" s="3"/>
      <c r="AC12196" s="3"/>
      <c r="AD12196" s="3"/>
      <c r="AE12196" s="3"/>
      <c r="AF12196" s="3"/>
      <c r="AG12196" s="3"/>
      <c r="AH12196" s="3"/>
    </row>
    <row r="12197" spans="1:34" ht="14.25" customHeight="1" x14ac:dyDescent="0.25">
      <c r="A12197" s="3"/>
      <c r="B12197" s="3"/>
      <c r="C12197" s="3"/>
      <c r="D12197" s="3"/>
      <c r="E12197" s="3"/>
      <c r="F12197" s="3"/>
      <c r="G12197" s="3"/>
      <c r="H12197" s="11"/>
      <c r="I12197" s="12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  <c r="AA12197" s="3"/>
      <c r="AB12197" s="3"/>
      <c r="AC12197" s="3"/>
      <c r="AD12197" s="3"/>
      <c r="AE12197" s="3"/>
      <c r="AF12197" s="3"/>
      <c r="AG12197" s="3"/>
      <c r="AH12197" s="3"/>
    </row>
    <row r="12198" spans="1:34" ht="14.25" customHeight="1" x14ac:dyDescent="0.25">
      <c r="A12198" s="3"/>
      <c r="B12198" s="3"/>
      <c r="C12198" s="3"/>
      <c r="D12198" s="3"/>
      <c r="E12198" s="3"/>
      <c r="F12198" s="3"/>
      <c r="G12198" s="3"/>
      <c r="H12198" s="11"/>
      <c r="I12198" s="12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  <c r="AA12198" s="3"/>
      <c r="AB12198" s="3"/>
      <c r="AC12198" s="3"/>
      <c r="AD12198" s="3"/>
      <c r="AE12198" s="3"/>
      <c r="AF12198" s="3"/>
      <c r="AG12198" s="3"/>
      <c r="AH12198" s="3"/>
    </row>
    <row r="12199" spans="1:34" ht="14.25" customHeight="1" x14ac:dyDescent="0.25">
      <c r="A12199" s="3"/>
      <c r="B12199" s="3"/>
      <c r="C12199" s="3"/>
      <c r="D12199" s="3"/>
      <c r="E12199" s="3"/>
      <c r="F12199" s="3"/>
      <c r="G12199" s="3"/>
      <c r="H12199" s="11"/>
      <c r="I12199" s="12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  <c r="AA12199" s="3"/>
      <c r="AB12199" s="3"/>
      <c r="AC12199" s="3"/>
      <c r="AD12199" s="3"/>
      <c r="AE12199" s="3"/>
      <c r="AF12199" s="3"/>
      <c r="AG12199" s="3"/>
      <c r="AH12199" s="3"/>
    </row>
    <row r="12200" spans="1:34" ht="14.25" customHeight="1" x14ac:dyDescent="0.25">
      <c r="A12200" s="3"/>
      <c r="B12200" s="3"/>
      <c r="C12200" s="3"/>
      <c r="D12200" s="3"/>
      <c r="E12200" s="3"/>
      <c r="F12200" s="3"/>
      <c r="G12200" s="3"/>
      <c r="H12200" s="11"/>
      <c r="I12200" s="12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  <c r="AA12200" s="3"/>
      <c r="AB12200" s="3"/>
      <c r="AC12200" s="3"/>
      <c r="AD12200" s="3"/>
      <c r="AE12200" s="3"/>
      <c r="AF12200" s="3"/>
      <c r="AG12200" s="3"/>
      <c r="AH12200" s="3"/>
    </row>
    <row r="12201" spans="1:34" ht="14.25" customHeight="1" x14ac:dyDescent="0.25">
      <c r="A12201" s="3"/>
      <c r="B12201" s="3"/>
      <c r="C12201" s="3"/>
      <c r="D12201" s="3"/>
      <c r="E12201" s="3"/>
      <c r="F12201" s="3"/>
      <c r="G12201" s="3"/>
      <c r="H12201" s="11"/>
      <c r="I12201" s="12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  <c r="AA12201" s="3"/>
      <c r="AB12201" s="3"/>
      <c r="AC12201" s="3"/>
      <c r="AD12201" s="3"/>
      <c r="AE12201" s="3"/>
      <c r="AF12201" s="3"/>
      <c r="AG12201" s="3"/>
      <c r="AH12201" s="3"/>
    </row>
    <row r="12202" spans="1:34" ht="14.25" customHeight="1" x14ac:dyDescent="0.25">
      <c r="A12202" s="3"/>
      <c r="B12202" s="3"/>
      <c r="C12202" s="3"/>
      <c r="D12202" s="3"/>
      <c r="E12202" s="3"/>
      <c r="F12202" s="3"/>
      <c r="G12202" s="3"/>
      <c r="H12202" s="11"/>
      <c r="I12202" s="12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  <c r="AA12202" s="3"/>
      <c r="AB12202" s="3"/>
      <c r="AC12202" s="3"/>
      <c r="AD12202" s="3"/>
      <c r="AE12202" s="3"/>
      <c r="AF12202" s="3"/>
      <c r="AG12202" s="3"/>
      <c r="AH12202" s="3"/>
    </row>
    <row r="12203" spans="1:34" ht="14.25" customHeight="1" x14ac:dyDescent="0.25">
      <c r="A12203" s="3"/>
      <c r="B12203" s="3"/>
      <c r="C12203" s="3"/>
      <c r="D12203" s="3"/>
      <c r="E12203" s="3"/>
      <c r="F12203" s="3"/>
      <c r="G12203" s="3"/>
      <c r="H12203" s="11"/>
      <c r="I12203" s="12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  <c r="AA12203" s="3"/>
      <c r="AB12203" s="3"/>
      <c r="AC12203" s="3"/>
      <c r="AD12203" s="3"/>
      <c r="AE12203" s="3"/>
      <c r="AF12203" s="3"/>
      <c r="AG12203" s="3"/>
      <c r="AH12203" s="3"/>
    </row>
    <row r="12204" spans="1:34" ht="14.25" customHeight="1" x14ac:dyDescent="0.25">
      <c r="A12204" s="3"/>
      <c r="B12204" s="3"/>
      <c r="C12204" s="3"/>
      <c r="D12204" s="3"/>
      <c r="E12204" s="3"/>
      <c r="F12204" s="3"/>
      <c r="G12204" s="3"/>
      <c r="H12204" s="11"/>
      <c r="I12204" s="12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  <c r="AA12204" s="3"/>
      <c r="AB12204" s="3"/>
      <c r="AC12204" s="3"/>
      <c r="AD12204" s="3"/>
      <c r="AE12204" s="3"/>
      <c r="AF12204" s="3"/>
      <c r="AG12204" s="3"/>
      <c r="AH12204" s="3"/>
    </row>
    <row r="12205" spans="1:34" ht="14.25" customHeight="1" x14ac:dyDescent="0.25">
      <c r="A12205" s="3"/>
      <c r="B12205" s="3"/>
      <c r="C12205" s="3"/>
      <c r="D12205" s="3"/>
      <c r="E12205" s="3"/>
      <c r="F12205" s="3"/>
      <c r="G12205" s="3"/>
      <c r="H12205" s="11"/>
      <c r="I12205" s="12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  <c r="AA12205" s="3"/>
      <c r="AB12205" s="3"/>
      <c r="AC12205" s="3"/>
      <c r="AD12205" s="3"/>
      <c r="AE12205" s="3"/>
      <c r="AF12205" s="3"/>
      <c r="AG12205" s="3"/>
      <c r="AH12205" s="3"/>
    </row>
    <row r="12206" spans="1:34" ht="14.25" customHeight="1" x14ac:dyDescent="0.25">
      <c r="A12206" s="3"/>
      <c r="B12206" s="3"/>
      <c r="C12206" s="3"/>
      <c r="D12206" s="3"/>
      <c r="E12206" s="3"/>
      <c r="F12206" s="3"/>
      <c r="G12206" s="3"/>
      <c r="H12206" s="11"/>
      <c r="I12206" s="12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  <c r="AA12206" s="3"/>
      <c r="AB12206" s="3"/>
      <c r="AC12206" s="3"/>
      <c r="AD12206" s="3"/>
      <c r="AE12206" s="3"/>
      <c r="AF12206" s="3"/>
      <c r="AG12206" s="3"/>
      <c r="AH12206" s="3"/>
    </row>
    <row r="12207" spans="1:34" ht="14.25" customHeight="1" x14ac:dyDescent="0.25">
      <c r="A12207" s="3"/>
      <c r="B12207" s="3"/>
      <c r="C12207" s="3"/>
      <c r="D12207" s="3"/>
      <c r="E12207" s="3"/>
      <c r="F12207" s="3"/>
      <c r="G12207" s="3"/>
      <c r="H12207" s="11"/>
      <c r="I12207" s="12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  <c r="AA12207" s="3"/>
      <c r="AB12207" s="3"/>
      <c r="AC12207" s="3"/>
      <c r="AD12207" s="3"/>
      <c r="AE12207" s="3"/>
      <c r="AF12207" s="3"/>
      <c r="AG12207" s="3"/>
      <c r="AH12207" s="3"/>
    </row>
    <row r="12208" spans="1:34" ht="14.25" customHeight="1" x14ac:dyDescent="0.25">
      <c r="A12208" s="3"/>
      <c r="B12208" s="3"/>
      <c r="C12208" s="3"/>
      <c r="D12208" s="3"/>
      <c r="E12208" s="3"/>
      <c r="F12208" s="3"/>
      <c r="G12208" s="3"/>
      <c r="H12208" s="11"/>
      <c r="I12208" s="12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  <c r="AA12208" s="3"/>
      <c r="AB12208" s="3"/>
      <c r="AC12208" s="3"/>
      <c r="AD12208" s="3"/>
      <c r="AE12208" s="3"/>
      <c r="AF12208" s="3"/>
      <c r="AG12208" s="3"/>
      <c r="AH12208" s="3"/>
    </row>
    <row r="12209" spans="1:34" ht="14.25" customHeight="1" x14ac:dyDescent="0.25">
      <c r="A12209" s="3"/>
      <c r="B12209" s="3"/>
      <c r="C12209" s="3"/>
      <c r="D12209" s="3"/>
      <c r="E12209" s="3"/>
      <c r="F12209" s="3"/>
      <c r="G12209" s="3"/>
      <c r="H12209" s="11"/>
      <c r="I12209" s="12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  <c r="AA12209" s="3"/>
      <c r="AB12209" s="3"/>
      <c r="AC12209" s="3"/>
      <c r="AD12209" s="3"/>
      <c r="AE12209" s="3"/>
      <c r="AF12209" s="3"/>
      <c r="AG12209" s="3"/>
      <c r="AH12209" s="3"/>
    </row>
    <row r="12210" spans="1:34" ht="14.25" customHeight="1" x14ac:dyDescent="0.25">
      <c r="A12210" s="3"/>
      <c r="B12210" s="3"/>
      <c r="C12210" s="3"/>
      <c r="D12210" s="3"/>
      <c r="E12210" s="3"/>
      <c r="F12210" s="3"/>
      <c r="G12210" s="3"/>
      <c r="H12210" s="11"/>
      <c r="I12210" s="12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  <c r="AA12210" s="3"/>
      <c r="AB12210" s="3"/>
      <c r="AC12210" s="3"/>
      <c r="AD12210" s="3"/>
      <c r="AE12210" s="3"/>
      <c r="AF12210" s="3"/>
      <c r="AG12210" s="3"/>
      <c r="AH12210" s="3"/>
    </row>
    <row r="12211" spans="1:34" ht="14.25" customHeight="1" x14ac:dyDescent="0.25">
      <c r="A12211" s="3"/>
      <c r="B12211" s="3"/>
      <c r="C12211" s="3"/>
      <c r="D12211" s="3"/>
      <c r="E12211" s="3"/>
      <c r="F12211" s="3"/>
      <c r="G12211" s="3"/>
      <c r="H12211" s="11"/>
      <c r="I12211" s="12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  <c r="AA12211" s="3"/>
      <c r="AB12211" s="3"/>
      <c r="AC12211" s="3"/>
      <c r="AD12211" s="3"/>
      <c r="AE12211" s="3"/>
      <c r="AF12211" s="3"/>
      <c r="AG12211" s="3"/>
      <c r="AH12211" s="3"/>
    </row>
    <row r="12212" spans="1:34" ht="14.25" customHeight="1" x14ac:dyDescent="0.25">
      <c r="A12212" s="3"/>
      <c r="B12212" s="3"/>
      <c r="C12212" s="3"/>
      <c r="D12212" s="3"/>
      <c r="E12212" s="3"/>
      <c r="F12212" s="3"/>
      <c r="G12212" s="3"/>
      <c r="H12212" s="11"/>
      <c r="I12212" s="12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  <c r="AA12212" s="3"/>
      <c r="AB12212" s="3"/>
      <c r="AC12212" s="3"/>
      <c r="AD12212" s="3"/>
      <c r="AE12212" s="3"/>
      <c r="AF12212" s="3"/>
      <c r="AG12212" s="3"/>
      <c r="AH12212" s="3"/>
    </row>
    <row r="12213" spans="1:34" ht="14.25" customHeight="1" x14ac:dyDescent="0.25">
      <c r="A12213" s="3"/>
      <c r="B12213" s="3"/>
      <c r="C12213" s="3"/>
      <c r="D12213" s="3"/>
      <c r="E12213" s="3"/>
      <c r="F12213" s="3"/>
      <c r="G12213" s="3"/>
      <c r="H12213" s="11"/>
      <c r="I12213" s="12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  <c r="AA12213" s="3"/>
      <c r="AB12213" s="3"/>
      <c r="AC12213" s="3"/>
      <c r="AD12213" s="3"/>
      <c r="AE12213" s="3"/>
      <c r="AF12213" s="3"/>
      <c r="AG12213" s="3"/>
      <c r="AH12213" s="3"/>
    </row>
    <row r="12214" spans="1:34" ht="14.25" customHeight="1" x14ac:dyDescent="0.25">
      <c r="A12214" s="3"/>
      <c r="B12214" s="3"/>
      <c r="C12214" s="3"/>
      <c r="D12214" s="3"/>
      <c r="E12214" s="3"/>
      <c r="F12214" s="3"/>
      <c r="G12214" s="3"/>
      <c r="H12214" s="11"/>
      <c r="I12214" s="12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  <c r="AA12214" s="3"/>
      <c r="AB12214" s="3"/>
      <c r="AC12214" s="3"/>
      <c r="AD12214" s="3"/>
      <c r="AE12214" s="3"/>
      <c r="AF12214" s="3"/>
      <c r="AG12214" s="3"/>
      <c r="AH12214" s="3"/>
    </row>
    <row r="12215" spans="1:34" ht="14.25" customHeight="1" x14ac:dyDescent="0.25">
      <c r="A12215" s="3"/>
      <c r="B12215" s="3"/>
      <c r="C12215" s="3"/>
      <c r="D12215" s="3"/>
      <c r="E12215" s="3"/>
      <c r="F12215" s="3"/>
      <c r="G12215" s="3"/>
      <c r="H12215" s="11"/>
      <c r="I12215" s="12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  <c r="AA12215" s="3"/>
      <c r="AB12215" s="3"/>
      <c r="AC12215" s="3"/>
      <c r="AD12215" s="3"/>
      <c r="AE12215" s="3"/>
      <c r="AF12215" s="3"/>
      <c r="AG12215" s="3"/>
      <c r="AH12215" s="3"/>
    </row>
    <row r="12216" spans="1:34" ht="14.25" customHeight="1" x14ac:dyDescent="0.25">
      <c r="A12216" s="3"/>
      <c r="B12216" s="3"/>
      <c r="C12216" s="3"/>
      <c r="D12216" s="3"/>
      <c r="E12216" s="3"/>
      <c r="F12216" s="3"/>
      <c r="G12216" s="3"/>
      <c r="H12216" s="11"/>
      <c r="I12216" s="12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  <c r="AA12216" s="3"/>
      <c r="AB12216" s="3"/>
      <c r="AC12216" s="3"/>
      <c r="AD12216" s="3"/>
      <c r="AE12216" s="3"/>
      <c r="AF12216" s="3"/>
      <c r="AG12216" s="3"/>
      <c r="AH12216" s="3"/>
    </row>
    <row r="12217" spans="1:34" ht="14.25" customHeight="1" x14ac:dyDescent="0.25">
      <c r="A12217" s="3"/>
      <c r="B12217" s="3"/>
      <c r="C12217" s="3"/>
      <c r="D12217" s="3"/>
      <c r="E12217" s="3"/>
      <c r="F12217" s="3"/>
      <c r="G12217" s="3"/>
      <c r="H12217" s="11"/>
      <c r="I12217" s="12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  <c r="AA12217" s="3"/>
      <c r="AB12217" s="3"/>
      <c r="AC12217" s="3"/>
      <c r="AD12217" s="3"/>
      <c r="AE12217" s="3"/>
      <c r="AF12217" s="3"/>
      <c r="AG12217" s="3"/>
      <c r="AH12217" s="3"/>
    </row>
    <row r="12218" spans="1:34" ht="14.25" customHeight="1" x14ac:dyDescent="0.25">
      <c r="A12218" s="3"/>
      <c r="B12218" s="3"/>
      <c r="C12218" s="3"/>
      <c r="D12218" s="3"/>
      <c r="E12218" s="3"/>
      <c r="F12218" s="3"/>
      <c r="G12218" s="3"/>
      <c r="H12218" s="11"/>
      <c r="I12218" s="12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  <c r="AA12218" s="3"/>
      <c r="AB12218" s="3"/>
      <c r="AC12218" s="3"/>
      <c r="AD12218" s="3"/>
      <c r="AE12218" s="3"/>
      <c r="AF12218" s="3"/>
      <c r="AG12218" s="3"/>
      <c r="AH12218" s="3"/>
    </row>
    <row r="12219" spans="1:34" ht="14.25" customHeight="1" x14ac:dyDescent="0.25">
      <c r="A12219" s="3"/>
      <c r="B12219" s="3"/>
      <c r="C12219" s="3"/>
      <c r="D12219" s="3"/>
      <c r="E12219" s="3"/>
      <c r="F12219" s="3"/>
      <c r="G12219" s="3"/>
      <c r="H12219" s="11"/>
      <c r="I12219" s="12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  <c r="AA12219" s="3"/>
      <c r="AB12219" s="3"/>
      <c r="AC12219" s="3"/>
      <c r="AD12219" s="3"/>
      <c r="AE12219" s="3"/>
      <c r="AF12219" s="3"/>
      <c r="AG12219" s="3"/>
      <c r="AH12219" s="3"/>
    </row>
    <row r="12220" spans="1:34" ht="14.25" customHeight="1" x14ac:dyDescent="0.25">
      <c r="A12220" s="3"/>
      <c r="B12220" s="3"/>
      <c r="C12220" s="3"/>
      <c r="D12220" s="3"/>
      <c r="E12220" s="3"/>
      <c r="F12220" s="3"/>
      <c r="G12220" s="3"/>
      <c r="H12220" s="11"/>
      <c r="I12220" s="12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  <c r="AA12220" s="3"/>
      <c r="AB12220" s="3"/>
      <c r="AC12220" s="3"/>
      <c r="AD12220" s="3"/>
      <c r="AE12220" s="3"/>
      <c r="AF12220" s="3"/>
      <c r="AG12220" s="3"/>
      <c r="AH12220" s="3"/>
    </row>
    <row r="12221" spans="1:34" ht="14.25" customHeight="1" x14ac:dyDescent="0.25">
      <c r="A12221" s="3"/>
      <c r="B12221" s="3"/>
      <c r="C12221" s="3"/>
      <c r="D12221" s="3"/>
      <c r="E12221" s="3"/>
      <c r="F12221" s="3"/>
      <c r="G12221" s="3"/>
      <c r="H12221" s="11"/>
      <c r="I12221" s="12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  <c r="AA12221" s="3"/>
      <c r="AB12221" s="3"/>
      <c r="AC12221" s="3"/>
      <c r="AD12221" s="3"/>
      <c r="AE12221" s="3"/>
      <c r="AF12221" s="3"/>
      <c r="AG12221" s="3"/>
      <c r="AH12221" s="3"/>
    </row>
    <row r="12222" spans="1:34" ht="14.25" customHeight="1" x14ac:dyDescent="0.25">
      <c r="A12222" s="3"/>
      <c r="B12222" s="3"/>
      <c r="C12222" s="3"/>
      <c r="D12222" s="3"/>
      <c r="E12222" s="3"/>
      <c r="F12222" s="3"/>
      <c r="G12222" s="3"/>
      <c r="H12222" s="11"/>
      <c r="I12222" s="12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  <c r="AA12222" s="3"/>
      <c r="AB12222" s="3"/>
      <c r="AC12222" s="3"/>
      <c r="AD12222" s="3"/>
      <c r="AE12222" s="3"/>
      <c r="AF12222" s="3"/>
      <c r="AG12222" s="3"/>
      <c r="AH12222" s="3"/>
    </row>
    <row r="12223" spans="1:34" ht="14.25" customHeight="1" x14ac:dyDescent="0.25">
      <c r="A12223" s="3"/>
      <c r="B12223" s="3"/>
      <c r="C12223" s="3"/>
      <c r="D12223" s="3"/>
      <c r="E12223" s="3"/>
      <c r="F12223" s="3"/>
      <c r="G12223" s="3"/>
      <c r="H12223" s="11"/>
      <c r="I12223" s="12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  <c r="AA12223" s="3"/>
      <c r="AB12223" s="3"/>
      <c r="AC12223" s="3"/>
      <c r="AD12223" s="3"/>
      <c r="AE12223" s="3"/>
      <c r="AF12223" s="3"/>
      <c r="AG12223" s="3"/>
      <c r="AH12223" s="3"/>
    </row>
    <row r="12224" spans="1:34" ht="14.25" customHeight="1" x14ac:dyDescent="0.25">
      <c r="A12224" s="3"/>
      <c r="B12224" s="3"/>
      <c r="C12224" s="3"/>
      <c r="D12224" s="3"/>
      <c r="E12224" s="3"/>
      <c r="F12224" s="3"/>
      <c r="G12224" s="3"/>
      <c r="H12224" s="11"/>
      <c r="I12224" s="12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  <c r="AA12224" s="3"/>
      <c r="AB12224" s="3"/>
      <c r="AC12224" s="3"/>
      <c r="AD12224" s="3"/>
      <c r="AE12224" s="3"/>
      <c r="AF12224" s="3"/>
      <c r="AG12224" s="3"/>
      <c r="AH12224" s="3"/>
    </row>
    <row r="12225" spans="1:34" ht="14.25" customHeight="1" x14ac:dyDescent="0.25">
      <c r="A12225" s="3"/>
      <c r="B12225" s="3"/>
      <c r="C12225" s="3"/>
      <c r="D12225" s="3"/>
      <c r="E12225" s="3"/>
      <c r="F12225" s="3"/>
      <c r="G12225" s="3"/>
      <c r="H12225" s="11"/>
      <c r="I12225" s="12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  <c r="AA12225" s="3"/>
      <c r="AB12225" s="3"/>
      <c r="AC12225" s="3"/>
      <c r="AD12225" s="3"/>
      <c r="AE12225" s="3"/>
      <c r="AF12225" s="3"/>
      <c r="AG12225" s="3"/>
      <c r="AH12225" s="3"/>
    </row>
    <row r="12226" spans="1:34" ht="14.25" customHeight="1" x14ac:dyDescent="0.25">
      <c r="A12226" s="3"/>
      <c r="B12226" s="3"/>
      <c r="C12226" s="3"/>
      <c r="D12226" s="3"/>
      <c r="E12226" s="3"/>
      <c r="F12226" s="3"/>
      <c r="G12226" s="3"/>
      <c r="H12226" s="11"/>
      <c r="I12226" s="12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  <c r="AA12226" s="3"/>
      <c r="AB12226" s="3"/>
      <c r="AC12226" s="3"/>
      <c r="AD12226" s="3"/>
      <c r="AE12226" s="3"/>
      <c r="AF12226" s="3"/>
      <c r="AG12226" s="3"/>
      <c r="AH12226" s="3"/>
    </row>
    <row r="12227" spans="1:34" ht="14.25" customHeight="1" x14ac:dyDescent="0.25">
      <c r="A12227" s="3"/>
      <c r="B12227" s="3"/>
      <c r="C12227" s="3"/>
      <c r="D12227" s="3"/>
      <c r="E12227" s="3"/>
      <c r="F12227" s="3"/>
      <c r="G12227" s="3"/>
      <c r="H12227" s="11"/>
      <c r="I12227" s="12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  <c r="AA12227" s="3"/>
      <c r="AB12227" s="3"/>
      <c r="AC12227" s="3"/>
      <c r="AD12227" s="3"/>
      <c r="AE12227" s="3"/>
      <c r="AF12227" s="3"/>
      <c r="AG12227" s="3"/>
      <c r="AH12227" s="3"/>
    </row>
    <row r="12228" spans="1:34" ht="14.25" customHeight="1" x14ac:dyDescent="0.25">
      <c r="A12228" s="3"/>
      <c r="B12228" s="3"/>
      <c r="C12228" s="3"/>
      <c r="D12228" s="3"/>
      <c r="E12228" s="3"/>
      <c r="F12228" s="3"/>
      <c r="G12228" s="3"/>
      <c r="H12228" s="11"/>
      <c r="I12228" s="12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  <c r="AA12228" s="3"/>
      <c r="AB12228" s="3"/>
      <c r="AC12228" s="3"/>
      <c r="AD12228" s="3"/>
      <c r="AE12228" s="3"/>
      <c r="AF12228" s="3"/>
      <c r="AG12228" s="3"/>
      <c r="AH12228" s="3"/>
    </row>
    <row r="12229" spans="1:34" ht="14.25" customHeight="1" x14ac:dyDescent="0.25">
      <c r="A12229" s="3"/>
      <c r="B12229" s="3"/>
      <c r="C12229" s="3"/>
      <c r="D12229" s="3"/>
      <c r="E12229" s="3"/>
      <c r="F12229" s="3"/>
      <c r="G12229" s="3"/>
      <c r="H12229" s="11"/>
      <c r="I12229" s="12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  <c r="AA12229" s="3"/>
      <c r="AB12229" s="3"/>
      <c r="AC12229" s="3"/>
      <c r="AD12229" s="3"/>
      <c r="AE12229" s="3"/>
      <c r="AF12229" s="3"/>
      <c r="AG12229" s="3"/>
      <c r="AH12229" s="3"/>
    </row>
    <row r="12230" spans="1:34" ht="14.25" customHeight="1" x14ac:dyDescent="0.25">
      <c r="A12230" s="3"/>
      <c r="B12230" s="3"/>
      <c r="C12230" s="3"/>
      <c r="D12230" s="3"/>
      <c r="E12230" s="3"/>
      <c r="F12230" s="3"/>
      <c r="G12230" s="3"/>
      <c r="H12230" s="11"/>
      <c r="I12230" s="12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  <c r="AA12230" s="3"/>
      <c r="AB12230" s="3"/>
      <c r="AC12230" s="3"/>
      <c r="AD12230" s="3"/>
      <c r="AE12230" s="3"/>
      <c r="AF12230" s="3"/>
      <c r="AG12230" s="3"/>
      <c r="AH12230" s="3"/>
    </row>
    <row r="12231" spans="1:34" ht="14.25" customHeight="1" x14ac:dyDescent="0.25">
      <c r="A12231" s="3"/>
      <c r="B12231" s="3"/>
      <c r="C12231" s="3"/>
      <c r="D12231" s="3"/>
      <c r="E12231" s="3"/>
      <c r="F12231" s="3"/>
      <c r="G12231" s="3"/>
      <c r="H12231" s="11"/>
      <c r="I12231" s="12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  <c r="AA12231" s="3"/>
      <c r="AB12231" s="3"/>
      <c r="AC12231" s="3"/>
      <c r="AD12231" s="3"/>
      <c r="AE12231" s="3"/>
      <c r="AF12231" s="3"/>
      <c r="AG12231" s="3"/>
      <c r="AH12231" s="3"/>
    </row>
    <row r="12232" spans="1:34" ht="14.25" customHeight="1" x14ac:dyDescent="0.25">
      <c r="A12232" s="3"/>
      <c r="B12232" s="3"/>
      <c r="C12232" s="3"/>
      <c r="D12232" s="3"/>
      <c r="E12232" s="3"/>
      <c r="F12232" s="3"/>
      <c r="G12232" s="3"/>
      <c r="H12232" s="11"/>
      <c r="I12232" s="12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  <c r="AA12232" s="3"/>
      <c r="AB12232" s="3"/>
      <c r="AC12232" s="3"/>
      <c r="AD12232" s="3"/>
      <c r="AE12232" s="3"/>
      <c r="AF12232" s="3"/>
      <c r="AG12232" s="3"/>
      <c r="AH12232" s="3"/>
    </row>
    <row r="12233" spans="1:34" ht="14.25" customHeight="1" x14ac:dyDescent="0.25">
      <c r="A12233" s="3"/>
      <c r="B12233" s="3"/>
      <c r="C12233" s="3"/>
      <c r="D12233" s="3"/>
      <c r="E12233" s="3"/>
      <c r="F12233" s="3"/>
      <c r="G12233" s="3"/>
      <c r="H12233" s="11"/>
      <c r="I12233" s="12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  <c r="AA12233" s="3"/>
      <c r="AB12233" s="3"/>
      <c r="AC12233" s="3"/>
      <c r="AD12233" s="3"/>
      <c r="AE12233" s="3"/>
      <c r="AF12233" s="3"/>
      <c r="AG12233" s="3"/>
      <c r="AH12233" s="3"/>
    </row>
    <row r="12234" spans="1:34" ht="14.25" customHeight="1" x14ac:dyDescent="0.25">
      <c r="A12234" s="3"/>
      <c r="B12234" s="3"/>
      <c r="C12234" s="3"/>
      <c r="D12234" s="3"/>
      <c r="E12234" s="3"/>
      <c r="F12234" s="3"/>
      <c r="G12234" s="3"/>
      <c r="H12234" s="11"/>
      <c r="I12234" s="12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  <c r="AA12234" s="3"/>
      <c r="AB12234" s="3"/>
      <c r="AC12234" s="3"/>
      <c r="AD12234" s="3"/>
      <c r="AE12234" s="3"/>
      <c r="AF12234" s="3"/>
      <c r="AG12234" s="3"/>
      <c r="AH12234" s="3"/>
    </row>
    <row r="12235" spans="1:34" ht="14.25" customHeight="1" x14ac:dyDescent="0.25">
      <c r="A12235" s="3"/>
      <c r="B12235" s="3"/>
      <c r="C12235" s="3"/>
      <c r="D12235" s="3"/>
      <c r="E12235" s="3"/>
      <c r="F12235" s="3"/>
      <c r="G12235" s="3"/>
      <c r="H12235" s="11"/>
      <c r="I12235" s="12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  <c r="AA12235" s="3"/>
      <c r="AB12235" s="3"/>
      <c r="AC12235" s="3"/>
      <c r="AD12235" s="3"/>
      <c r="AE12235" s="3"/>
      <c r="AF12235" s="3"/>
      <c r="AG12235" s="3"/>
      <c r="AH12235" s="3"/>
    </row>
    <row r="12236" spans="1:34" ht="14.25" customHeight="1" x14ac:dyDescent="0.25">
      <c r="A12236" s="3"/>
      <c r="B12236" s="3"/>
      <c r="C12236" s="3"/>
      <c r="D12236" s="3"/>
      <c r="E12236" s="3"/>
      <c r="F12236" s="3"/>
      <c r="G12236" s="3"/>
      <c r="H12236" s="11"/>
      <c r="I12236" s="12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  <c r="AA12236" s="3"/>
      <c r="AB12236" s="3"/>
      <c r="AC12236" s="3"/>
      <c r="AD12236" s="3"/>
      <c r="AE12236" s="3"/>
      <c r="AF12236" s="3"/>
      <c r="AG12236" s="3"/>
      <c r="AH12236" s="3"/>
    </row>
    <row r="12237" spans="1:34" ht="14.25" customHeight="1" x14ac:dyDescent="0.25">
      <c r="A12237" s="3"/>
      <c r="B12237" s="3"/>
      <c r="C12237" s="3"/>
      <c r="D12237" s="3"/>
      <c r="E12237" s="3"/>
      <c r="F12237" s="3"/>
      <c r="G12237" s="3"/>
      <c r="H12237" s="11"/>
      <c r="I12237" s="12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  <c r="AA12237" s="3"/>
      <c r="AB12237" s="3"/>
      <c r="AC12237" s="3"/>
      <c r="AD12237" s="3"/>
      <c r="AE12237" s="3"/>
      <c r="AF12237" s="3"/>
      <c r="AG12237" s="3"/>
      <c r="AH12237" s="3"/>
    </row>
    <row r="12238" spans="1:34" ht="14.25" customHeight="1" x14ac:dyDescent="0.25">
      <c r="A12238" s="3"/>
      <c r="B12238" s="3"/>
      <c r="C12238" s="3"/>
      <c r="D12238" s="3"/>
      <c r="E12238" s="3"/>
      <c r="F12238" s="3"/>
      <c r="G12238" s="3"/>
      <c r="H12238" s="11"/>
      <c r="I12238" s="12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  <c r="AA12238" s="3"/>
      <c r="AB12238" s="3"/>
      <c r="AC12238" s="3"/>
      <c r="AD12238" s="3"/>
      <c r="AE12238" s="3"/>
      <c r="AF12238" s="3"/>
      <c r="AG12238" s="3"/>
      <c r="AH12238" s="3"/>
    </row>
    <row r="12239" spans="1:34" ht="14.25" customHeight="1" x14ac:dyDescent="0.25">
      <c r="A12239" s="3"/>
      <c r="B12239" s="3"/>
      <c r="C12239" s="3"/>
      <c r="D12239" s="3"/>
      <c r="E12239" s="3"/>
      <c r="F12239" s="3"/>
      <c r="G12239" s="3"/>
      <c r="H12239" s="11"/>
      <c r="I12239" s="12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  <c r="AA12239" s="3"/>
      <c r="AB12239" s="3"/>
      <c r="AC12239" s="3"/>
      <c r="AD12239" s="3"/>
      <c r="AE12239" s="3"/>
      <c r="AF12239" s="3"/>
      <c r="AG12239" s="3"/>
      <c r="AH12239" s="3"/>
    </row>
    <row r="12240" spans="1:34" ht="14.25" customHeight="1" x14ac:dyDescent="0.25">
      <c r="A12240" s="3"/>
      <c r="B12240" s="3"/>
      <c r="C12240" s="3"/>
      <c r="D12240" s="3"/>
      <c r="E12240" s="3"/>
      <c r="F12240" s="3"/>
      <c r="G12240" s="3"/>
      <c r="H12240" s="11"/>
      <c r="I12240" s="12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  <c r="AA12240" s="3"/>
      <c r="AB12240" s="3"/>
      <c r="AC12240" s="3"/>
      <c r="AD12240" s="3"/>
      <c r="AE12240" s="3"/>
      <c r="AF12240" s="3"/>
      <c r="AG12240" s="3"/>
      <c r="AH12240" s="3"/>
    </row>
    <row r="12241" spans="1:34" ht="14.25" customHeight="1" x14ac:dyDescent="0.25">
      <c r="A12241" s="3"/>
      <c r="B12241" s="3"/>
      <c r="C12241" s="3"/>
      <c r="D12241" s="3"/>
      <c r="E12241" s="3"/>
      <c r="F12241" s="3"/>
      <c r="G12241" s="3"/>
      <c r="H12241" s="11"/>
      <c r="I12241" s="12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  <c r="AA12241" s="3"/>
      <c r="AB12241" s="3"/>
      <c r="AC12241" s="3"/>
      <c r="AD12241" s="3"/>
      <c r="AE12241" s="3"/>
      <c r="AF12241" s="3"/>
      <c r="AG12241" s="3"/>
      <c r="AH12241" s="3"/>
    </row>
    <row r="12242" spans="1:34" ht="14.25" customHeight="1" x14ac:dyDescent="0.25">
      <c r="A12242" s="3"/>
      <c r="B12242" s="3"/>
      <c r="C12242" s="3"/>
      <c r="D12242" s="3"/>
      <c r="E12242" s="3"/>
      <c r="F12242" s="3"/>
      <c r="G12242" s="3"/>
      <c r="H12242" s="11"/>
      <c r="I12242" s="12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  <c r="AA12242" s="3"/>
      <c r="AB12242" s="3"/>
      <c r="AC12242" s="3"/>
      <c r="AD12242" s="3"/>
      <c r="AE12242" s="3"/>
      <c r="AF12242" s="3"/>
      <c r="AG12242" s="3"/>
      <c r="AH12242" s="3"/>
    </row>
    <row r="12243" spans="1:34" ht="14.25" customHeight="1" x14ac:dyDescent="0.25">
      <c r="A12243" s="3"/>
      <c r="B12243" s="3"/>
      <c r="C12243" s="3"/>
      <c r="D12243" s="3"/>
      <c r="E12243" s="3"/>
      <c r="F12243" s="3"/>
      <c r="G12243" s="3"/>
      <c r="H12243" s="11"/>
      <c r="I12243" s="12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  <c r="AA12243" s="3"/>
      <c r="AB12243" s="3"/>
      <c r="AC12243" s="3"/>
      <c r="AD12243" s="3"/>
      <c r="AE12243" s="3"/>
      <c r="AF12243" s="3"/>
      <c r="AG12243" s="3"/>
      <c r="AH12243" s="3"/>
    </row>
    <row r="12244" spans="1:34" ht="14.25" customHeight="1" x14ac:dyDescent="0.25">
      <c r="A12244" s="3"/>
      <c r="B12244" s="3"/>
      <c r="C12244" s="3"/>
      <c r="D12244" s="3"/>
      <c r="E12244" s="3"/>
      <c r="F12244" s="3"/>
      <c r="G12244" s="3"/>
      <c r="H12244" s="11"/>
      <c r="I12244" s="12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  <c r="AA12244" s="3"/>
      <c r="AB12244" s="3"/>
      <c r="AC12244" s="3"/>
      <c r="AD12244" s="3"/>
      <c r="AE12244" s="3"/>
      <c r="AF12244" s="3"/>
      <c r="AG12244" s="3"/>
      <c r="AH12244" s="3"/>
    </row>
    <row r="12245" spans="1:34" ht="14.25" customHeight="1" x14ac:dyDescent="0.25">
      <c r="A12245" s="3"/>
      <c r="B12245" s="3"/>
      <c r="C12245" s="3"/>
      <c r="D12245" s="3"/>
      <c r="E12245" s="3"/>
      <c r="F12245" s="3"/>
      <c r="G12245" s="3"/>
      <c r="H12245" s="11"/>
      <c r="I12245" s="12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  <c r="AA12245" s="3"/>
      <c r="AB12245" s="3"/>
      <c r="AC12245" s="3"/>
      <c r="AD12245" s="3"/>
      <c r="AE12245" s="3"/>
      <c r="AF12245" s="3"/>
      <c r="AG12245" s="3"/>
      <c r="AH12245" s="3"/>
    </row>
    <row r="12246" spans="1:34" ht="14.25" customHeight="1" x14ac:dyDescent="0.25">
      <c r="A12246" s="3"/>
      <c r="B12246" s="3"/>
      <c r="C12246" s="3"/>
      <c r="D12246" s="3"/>
      <c r="E12246" s="3"/>
      <c r="F12246" s="3"/>
      <c r="G12246" s="3"/>
      <c r="H12246" s="11"/>
      <c r="I12246" s="12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  <c r="AA12246" s="3"/>
      <c r="AB12246" s="3"/>
      <c r="AC12246" s="3"/>
      <c r="AD12246" s="3"/>
      <c r="AE12246" s="3"/>
      <c r="AF12246" s="3"/>
      <c r="AG12246" s="3"/>
      <c r="AH12246" s="3"/>
    </row>
    <row r="12247" spans="1:34" ht="14.25" customHeight="1" x14ac:dyDescent="0.25">
      <c r="A12247" s="3"/>
      <c r="B12247" s="3"/>
      <c r="C12247" s="3"/>
      <c r="D12247" s="3"/>
      <c r="E12247" s="3"/>
      <c r="F12247" s="3"/>
      <c r="G12247" s="3"/>
      <c r="H12247" s="11"/>
      <c r="I12247" s="12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  <c r="AA12247" s="3"/>
      <c r="AB12247" s="3"/>
      <c r="AC12247" s="3"/>
      <c r="AD12247" s="3"/>
      <c r="AE12247" s="3"/>
      <c r="AF12247" s="3"/>
      <c r="AG12247" s="3"/>
      <c r="AH12247" s="3"/>
    </row>
    <row r="12248" spans="1:34" ht="14.25" customHeight="1" x14ac:dyDescent="0.25">
      <c r="A12248" s="3"/>
      <c r="B12248" s="3"/>
      <c r="C12248" s="3"/>
      <c r="D12248" s="3"/>
      <c r="E12248" s="3"/>
      <c r="F12248" s="3"/>
      <c r="G12248" s="3"/>
      <c r="H12248" s="11"/>
      <c r="I12248" s="12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  <c r="AA12248" s="3"/>
      <c r="AB12248" s="3"/>
      <c r="AC12248" s="3"/>
      <c r="AD12248" s="3"/>
      <c r="AE12248" s="3"/>
      <c r="AF12248" s="3"/>
      <c r="AG12248" s="3"/>
      <c r="AH12248" s="3"/>
    </row>
    <row r="12249" spans="1:34" ht="14.25" customHeight="1" x14ac:dyDescent="0.25">
      <c r="A12249" s="3"/>
      <c r="B12249" s="3"/>
      <c r="C12249" s="3"/>
      <c r="D12249" s="3"/>
      <c r="E12249" s="3"/>
      <c r="F12249" s="3"/>
      <c r="G12249" s="3"/>
      <c r="H12249" s="11"/>
      <c r="I12249" s="12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  <c r="AA12249" s="3"/>
      <c r="AB12249" s="3"/>
      <c r="AC12249" s="3"/>
      <c r="AD12249" s="3"/>
      <c r="AE12249" s="3"/>
      <c r="AF12249" s="3"/>
      <c r="AG12249" s="3"/>
      <c r="AH12249" s="3"/>
    </row>
    <row r="12250" spans="1:34" ht="14.25" customHeight="1" x14ac:dyDescent="0.25">
      <c r="A12250" s="3"/>
      <c r="B12250" s="3"/>
      <c r="C12250" s="3"/>
      <c r="D12250" s="3"/>
      <c r="E12250" s="3"/>
      <c r="F12250" s="3"/>
      <c r="G12250" s="3"/>
      <c r="H12250" s="11"/>
      <c r="I12250" s="12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  <c r="AA12250" s="3"/>
      <c r="AB12250" s="3"/>
      <c r="AC12250" s="3"/>
      <c r="AD12250" s="3"/>
      <c r="AE12250" s="3"/>
      <c r="AF12250" s="3"/>
      <c r="AG12250" s="3"/>
      <c r="AH12250" s="3"/>
    </row>
    <row r="12251" spans="1:34" ht="14.25" customHeight="1" x14ac:dyDescent="0.25">
      <c r="A12251" s="3"/>
      <c r="B12251" s="3"/>
      <c r="C12251" s="3"/>
      <c r="D12251" s="3"/>
      <c r="E12251" s="3"/>
      <c r="F12251" s="3"/>
      <c r="G12251" s="3"/>
      <c r="H12251" s="11"/>
      <c r="I12251" s="12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  <c r="AA12251" s="3"/>
      <c r="AB12251" s="3"/>
      <c r="AC12251" s="3"/>
      <c r="AD12251" s="3"/>
      <c r="AE12251" s="3"/>
      <c r="AF12251" s="3"/>
      <c r="AG12251" s="3"/>
      <c r="AH12251" s="3"/>
    </row>
    <row r="12252" spans="1:34" ht="14.25" customHeight="1" x14ac:dyDescent="0.25">
      <c r="A12252" s="3"/>
      <c r="B12252" s="3"/>
      <c r="C12252" s="3"/>
      <c r="D12252" s="3"/>
      <c r="E12252" s="3"/>
      <c r="F12252" s="3"/>
      <c r="G12252" s="3"/>
      <c r="H12252" s="11"/>
      <c r="I12252" s="12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  <c r="AA12252" s="3"/>
      <c r="AB12252" s="3"/>
      <c r="AC12252" s="3"/>
      <c r="AD12252" s="3"/>
      <c r="AE12252" s="3"/>
      <c r="AF12252" s="3"/>
      <c r="AG12252" s="3"/>
      <c r="AH12252" s="3"/>
    </row>
    <row r="12253" spans="1:34" ht="14.25" customHeight="1" x14ac:dyDescent="0.25">
      <c r="A12253" s="3"/>
      <c r="B12253" s="3"/>
      <c r="C12253" s="3"/>
      <c r="D12253" s="3"/>
      <c r="E12253" s="3"/>
      <c r="F12253" s="3"/>
      <c r="G12253" s="3"/>
      <c r="H12253" s="11"/>
      <c r="I12253" s="12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  <c r="AA12253" s="3"/>
      <c r="AB12253" s="3"/>
      <c r="AC12253" s="3"/>
      <c r="AD12253" s="3"/>
      <c r="AE12253" s="3"/>
      <c r="AF12253" s="3"/>
      <c r="AG12253" s="3"/>
      <c r="AH12253" s="3"/>
    </row>
    <row r="12254" spans="1:34" ht="14.25" customHeight="1" x14ac:dyDescent="0.25">
      <c r="A12254" s="3"/>
      <c r="B12254" s="3"/>
      <c r="C12254" s="3"/>
      <c r="D12254" s="3"/>
      <c r="E12254" s="3"/>
      <c r="F12254" s="3"/>
      <c r="G12254" s="3"/>
      <c r="H12254" s="11"/>
      <c r="I12254" s="12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  <c r="AA12254" s="3"/>
      <c r="AB12254" s="3"/>
      <c r="AC12254" s="3"/>
      <c r="AD12254" s="3"/>
      <c r="AE12254" s="3"/>
      <c r="AF12254" s="3"/>
      <c r="AG12254" s="3"/>
      <c r="AH12254" s="3"/>
    </row>
    <row r="12255" spans="1:34" ht="14.25" customHeight="1" x14ac:dyDescent="0.25">
      <c r="A12255" s="3"/>
      <c r="B12255" s="3"/>
      <c r="C12255" s="3"/>
      <c r="D12255" s="3"/>
      <c r="E12255" s="3"/>
      <c r="F12255" s="3"/>
      <c r="G12255" s="3"/>
      <c r="H12255" s="11"/>
      <c r="I12255" s="12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  <c r="AA12255" s="3"/>
      <c r="AB12255" s="3"/>
      <c r="AC12255" s="3"/>
      <c r="AD12255" s="3"/>
      <c r="AE12255" s="3"/>
      <c r="AF12255" s="3"/>
      <c r="AG12255" s="3"/>
      <c r="AH12255" s="3"/>
    </row>
    <row r="12256" spans="1:34" ht="14.25" customHeight="1" x14ac:dyDescent="0.25">
      <c r="A12256" s="3"/>
      <c r="B12256" s="3"/>
      <c r="C12256" s="3"/>
      <c r="D12256" s="3"/>
      <c r="E12256" s="3"/>
      <c r="F12256" s="3"/>
      <c r="G12256" s="3"/>
      <c r="H12256" s="11"/>
      <c r="I12256" s="12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  <c r="AA12256" s="3"/>
      <c r="AB12256" s="3"/>
      <c r="AC12256" s="3"/>
      <c r="AD12256" s="3"/>
      <c r="AE12256" s="3"/>
      <c r="AF12256" s="3"/>
      <c r="AG12256" s="3"/>
      <c r="AH12256" s="3"/>
    </row>
    <row r="12257" spans="1:34" ht="14.25" customHeight="1" x14ac:dyDescent="0.25">
      <c r="A12257" s="3"/>
      <c r="B12257" s="3"/>
      <c r="C12257" s="3"/>
      <c r="D12257" s="3"/>
      <c r="E12257" s="3"/>
      <c r="F12257" s="3"/>
      <c r="G12257" s="3"/>
      <c r="H12257" s="11"/>
      <c r="I12257" s="12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  <c r="AA12257" s="3"/>
      <c r="AB12257" s="3"/>
      <c r="AC12257" s="3"/>
      <c r="AD12257" s="3"/>
      <c r="AE12257" s="3"/>
      <c r="AF12257" s="3"/>
      <c r="AG12257" s="3"/>
      <c r="AH12257" s="3"/>
    </row>
    <row r="12258" spans="1:34" ht="14.25" customHeight="1" x14ac:dyDescent="0.25">
      <c r="A12258" s="3"/>
      <c r="B12258" s="3"/>
      <c r="C12258" s="3"/>
      <c r="D12258" s="3"/>
      <c r="E12258" s="3"/>
      <c r="F12258" s="3"/>
      <c r="G12258" s="3"/>
      <c r="H12258" s="11"/>
      <c r="I12258" s="12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  <c r="AA12258" s="3"/>
      <c r="AB12258" s="3"/>
      <c r="AC12258" s="3"/>
      <c r="AD12258" s="3"/>
      <c r="AE12258" s="3"/>
      <c r="AF12258" s="3"/>
      <c r="AG12258" s="3"/>
      <c r="AH12258" s="3"/>
    </row>
    <row r="12259" spans="1:34" ht="14.25" customHeight="1" x14ac:dyDescent="0.25">
      <c r="A12259" s="3"/>
      <c r="B12259" s="3"/>
      <c r="C12259" s="3"/>
      <c r="D12259" s="3"/>
      <c r="E12259" s="3"/>
      <c r="F12259" s="3"/>
      <c r="G12259" s="3"/>
      <c r="H12259" s="11"/>
      <c r="I12259" s="12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  <c r="AA12259" s="3"/>
      <c r="AB12259" s="3"/>
      <c r="AC12259" s="3"/>
      <c r="AD12259" s="3"/>
      <c r="AE12259" s="3"/>
      <c r="AF12259" s="3"/>
      <c r="AG12259" s="3"/>
      <c r="AH12259" s="3"/>
    </row>
    <row r="12260" spans="1:34" ht="14.25" customHeight="1" x14ac:dyDescent="0.25">
      <c r="A12260" s="3"/>
      <c r="B12260" s="3"/>
      <c r="C12260" s="3"/>
      <c r="D12260" s="3"/>
      <c r="E12260" s="3"/>
      <c r="F12260" s="3"/>
      <c r="G12260" s="3"/>
      <c r="H12260" s="11"/>
      <c r="I12260" s="12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  <c r="AA12260" s="3"/>
      <c r="AB12260" s="3"/>
      <c r="AC12260" s="3"/>
      <c r="AD12260" s="3"/>
      <c r="AE12260" s="3"/>
      <c r="AF12260" s="3"/>
      <c r="AG12260" s="3"/>
      <c r="AH12260" s="3"/>
    </row>
    <row r="12261" spans="1:34" ht="14.25" customHeight="1" x14ac:dyDescent="0.25">
      <c r="A12261" s="3"/>
      <c r="B12261" s="3"/>
      <c r="C12261" s="3"/>
      <c r="D12261" s="3"/>
      <c r="E12261" s="3"/>
      <c r="F12261" s="3"/>
      <c r="G12261" s="3"/>
      <c r="H12261" s="11"/>
      <c r="I12261" s="12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  <c r="AA12261" s="3"/>
      <c r="AB12261" s="3"/>
      <c r="AC12261" s="3"/>
      <c r="AD12261" s="3"/>
      <c r="AE12261" s="3"/>
      <c r="AF12261" s="3"/>
      <c r="AG12261" s="3"/>
      <c r="AH12261" s="3"/>
    </row>
    <row r="12262" spans="1:34" ht="14.25" customHeight="1" x14ac:dyDescent="0.25">
      <c r="A12262" s="3"/>
      <c r="B12262" s="3"/>
      <c r="C12262" s="3"/>
      <c r="D12262" s="3"/>
      <c r="E12262" s="3"/>
      <c r="F12262" s="3"/>
      <c r="G12262" s="3"/>
      <c r="H12262" s="11"/>
      <c r="I12262" s="12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  <c r="AA12262" s="3"/>
      <c r="AB12262" s="3"/>
      <c r="AC12262" s="3"/>
      <c r="AD12262" s="3"/>
      <c r="AE12262" s="3"/>
      <c r="AF12262" s="3"/>
      <c r="AG12262" s="3"/>
      <c r="AH12262" s="3"/>
    </row>
    <row r="12263" spans="1:34" ht="14.25" customHeight="1" x14ac:dyDescent="0.25">
      <c r="A12263" s="3"/>
      <c r="B12263" s="3"/>
      <c r="C12263" s="3"/>
      <c r="D12263" s="3"/>
      <c r="E12263" s="3"/>
      <c r="F12263" s="3"/>
      <c r="G12263" s="3"/>
      <c r="H12263" s="11"/>
      <c r="I12263" s="12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  <c r="AA12263" s="3"/>
      <c r="AB12263" s="3"/>
      <c r="AC12263" s="3"/>
      <c r="AD12263" s="3"/>
      <c r="AE12263" s="3"/>
      <c r="AF12263" s="3"/>
      <c r="AG12263" s="3"/>
      <c r="AH12263" s="3"/>
    </row>
    <row r="12264" spans="1:34" ht="14.25" customHeight="1" x14ac:dyDescent="0.25">
      <c r="A12264" s="3"/>
      <c r="B12264" s="3"/>
      <c r="C12264" s="3"/>
      <c r="D12264" s="3"/>
      <c r="E12264" s="3"/>
      <c r="F12264" s="3"/>
      <c r="G12264" s="3"/>
      <c r="H12264" s="11"/>
      <c r="I12264" s="12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  <c r="AA12264" s="3"/>
      <c r="AB12264" s="3"/>
      <c r="AC12264" s="3"/>
      <c r="AD12264" s="3"/>
      <c r="AE12264" s="3"/>
      <c r="AF12264" s="3"/>
      <c r="AG12264" s="3"/>
      <c r="AH12264" s="3"/>
    </row>
    <row r="12265" spans="1:34" ht="14.25" customHeight="1" x14ac:dyDescent="0.25">
      <c r="A12265" s="3"/>
      <c r="B12265" s="3"/>
      <c r="C12265" s="3"/>
      <c r="D12265" s="3"/>
      <c r="E12265" s="3"/>
      <c r="F12265" s="3"/>
      <c r="G12265" s="3"/>
      <c r="H12265" s="11"/>
      <c r="I12265" s="12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  <c r="AA12265" s="3"/>
      <c r="AB12265" s="3"/>
      <c r="AC12265" s="3"/>
      <c r="AD12265" s="3"/>
      <c r="AE12265" s="3"/>
      <c r="AF12265" s="3"/>
      <c r="AG12265" s="3"/>
      <c r="AH12265" s="3"/>
    </row>
    <row r="12266" spans="1:34" ht="14.25" customHeight="1" x14ac:dyDescent="0.25">
      <c r="A12266" s="3"/>
      <c r="B12266" s="3"/>
      <c r="C12266" s="3"/>
      <c r="D12266" s="3"/>
      <c r="E12266" s="3"/>
      <c r="F12266" s="3"/>
      <c r="G12266" s="3"/>
      <c r="H12266" s="11"/>
      <c r="I12266" s="12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  <c r="AA12266" s="3"/>
      <c r="AB12266" s="3"/>
      <c r="AC12266" s="3"/>
      <c r="AD12266" s="3"/>
      <c r="AE12266" s="3"/>
      <c r="AF12266" s="3"/>
      <c r="AG12266" s="3"/>
      <c r="AH12266" s="3"/>
    </row>
    <row r="12267" spans="1:34" ht="14.25" customHeight="1" x14ac:dyDescent="0.25">
      <c r="A12267" s="3"/>
      <c r="B12267" s="3"/>
      <c r="C12267" s="3"/>
      <c r="D12267" s="3"/>
      <c r="E12267" s="3"/>
      <c r="F12267" s="3"/>
      <c r="G12267" s="3"/>
      <c r="H12267" s="11"/>
      <c r="I12267" s="12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  <c r="AA12267" s="3"/>
      <c r="AB12267" s="3"/>
      <c r="AC12267" s="3"/>
      <c r="AD12267" s="3"/>
      <c r="AE12267" s="3"/>
      <c r="AF12267" s="3"/>
      <c r="AG12267" s="3"/>
      <c r="AH12267" s="3"/>
    </row>
    <row r="12268" spans="1:34" ht="14.25" customHeight="1" x14ac:dyDescent="0.25">
      <c r="A12268" s="3"/>
      <c r="B12268" s="3"/>
      <c r="C12268" s="3"/>
      <c r="D12268" s="3"/>
      <c r="E12268" s="3"/>
      <c r="F12268" s="3"/>
      <c r="G12268" s="3"/>
      <c r="H12268" s="11"/>
      <c r="I12268" s="12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  <c r="AA12268" s="3"/>
      <c r="AB12268" s="3"/>
      <c r="AC12268" s="3"/>
      <c r="AD12268" s="3"/>
      <c r="AE12268" s="3"/>
      <c r="AF12268" s="3"/>
      <c r="AG12268" s="3"/>
      <c r="AH12268" s="3"/>
    </row>
    <row r="12269" spans="1:34" ht="14.25" customHeight="1" x14ac:dyDescent="0.25">
      <c r="A12269" s="3"/>
      <c r="B12269" s="3"/>
      <c r="C12269" s="3"/>
      <c r="D12269" s="3"/>
      <c r="E12269" s="3"/>
      <c r="F12269" s="3"/>
      <c r="G12269" s="3"/>
      <c r="H12269" s="11"/>
      <c r="I12269" s="12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  <c r="AA12269" s="3"/>
      <c r="AB12269" s="3"/>
      <c r="AC12269" s="3"/>
      <c r="AD12269" s="3"/>
      <c r="AE12269" s="3"/>
      <c r="AF12269" s="3"/>
      <c r="AG12269" s="3"/>
      <c r="AH12269" s="3"/>
    </row>
    <row r="12270" spans="1:34" ht="14.25" customHeight="1" x14ac:dyDescent="0.25">
      <c r="A12270" s="3"/>
      <c r="B12270" s="3"/>
      <c r="C12270" s="3"/>
      <c r="D12270" s="3"/>
      <c r="E12270" s="3"/>
      <c r="F12270" s="3"/>
      <c r="G12270" s="3"/>
      <c r="H12270" s="11"/>
      <c r="I12270" s="12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  <c r="AA12270" s="3"/>
      <c r="AB12270" s="3"/>
      <c r="AC12270" s="3"/>
      <c r="AD12270" s="3"/>
      <c r="AE12270" s="3"/>
      <c r="AF12270" s="3"/>
      <c r="AG12270" s="3"/>
      <c r="AH12270" s="3"/>
    </row>
    <row r="12271" spans="1:34" ht="14.25" customHeight="1" x14ac:dyDescent="0.25">
      <c r="A12271" s="3"/>
      <c r="B12271" s="3"/>
      <c r="C12271" s="3"/>
      <c r="D12271" s="3"/>
      <c r="E12271" s="3"/>
      <c r="F12271" s="3"/>
      <c r="G12271" s="3"/>
      <c r="H12271" s="11"/>
      <c r="I12271" s="12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  <c r="AA12271" s="3"/>
      <c r="AB12271" s="3"/>
      <c r="AC12271" s="3"/>
      <c r="AD12271" s="3"/>
      <c r="AE12271" s="3"/>
      <c r="AF12271" s="3"/>
      <c r="AG12271" s="3"/>
      <c r="AH12271" s="3"/>
    </row>
    <row r="12272" spans="1:34" ht="14.25" customHeight="1" x14ac:dyDescent="0.25">
      <c r="A12272" s="3"/>
      <c r="B12272" s="3"/>
      <c r="C12272" s="3"/>
      <c r="D12272" s="3"/>
      <c r="E12272" s="3"/>
      <c r="F12272" s="3"/>
      <c r="G12272" s="3"/>
      <c r="H12272" s="11"/>
      <c r="I12272" s="12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  <c r="AA12272" s="3"/>
      <c r="AB12272" s="3"/>
      <c r="AC12272" s="3"/>
      <c r="AD12272" s="3"/>
      <c r="AE12272" s="3"/>
      <c r="AF12272" s="3"/>
      <c r="AG12272" s="3"/>
      <c r="AH12272" s="3"/>
    </row>
    <row r="12273" spans="1:34" ht="14.25" customHeight="1" x14ac:dyDescent="0.25">
      <c r="A12273" s="3"/>
      <c r="B12273" s="3"/>
      <c r="C12273" s="3"/>
      <c r="D12273" s="3"/>
      <c r="E12273" s="3"/>
      <c r="F12273" s="3"/>
      <c r="G12273" s="3"/>
      <c r="H12273" s="11"/>
      <c r="I12273" s="12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  <c r="AA12273" s="3"/>
      <c r="AB12273" s="3"/>
      <c r="AC12273" s="3"/>
      <c r="AD12273" s="3"/>
      <c r="AE12273" s="3"/>
      <c r="AF12273" s="3"/>
      <c r="AG12273" s="3"/>
      <c r="AH12273" s="3"/>
    </row>
    <row r="12274" spans="1:34" ht="14.25" customHeight="1" x14ac:dyDescent="0.25">
      <c r="A12274" s="3"/>
      <c r="B12274" s="3"/>
      <c r="C12274" s="3"/>
      <c r="D12274" s="3"/>
      <c r="E12274" s="3"/>
      <c r="F12274" s="3"/>
      <c r="G12274" s="3"/>
      <c r="H12274" s="11"/>
      <c r="I12274" s="12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  <c r="AA12274" s="3"/>
      <c r="AB12274" s="3"/>
      <c r="AC12274" s="3"/>
      <c r="AD12274" s="3"/>
      <c r="AE12274" s="3"/>
      <c r="AF12274" s="3"/>
      <c r="AG12274" s="3"/>
      <c r="AH12274" s="3"/>
    </row>
    <row r="12275" spans="1:34" ht="14.25" customHeight="1" x14ac:dyDescent="0.25">
      <c r="A12275" s="3"/>
      <c r="B12275" s="3"/>
      <c r="C12275" s="3"/>
      <c r="D12275" s="3"/>
      <c r="E12275" s="3"/>
      <c r="F12275" s="3"/>
      <c r="G12275" s="3"/>
      <c r="H12275" s="11"/>
      <c r="I12275" s="12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  <c r="AA12275" s="3"/>
      <c r="AB12275" s="3"/>
      <c r="AC12275" s="3"/>
      <c r="AD12275" s="3"/>
      <c r="AE12275" s="3"/>
      <c r="AF12275" s="3"/>
      <c r="AG12275" s="3"/>
      <c r="AH12275" s="3"/>
    </row>
    <row r="12276" spans="1:34" ht="14.25" customHeight="1" x14ac:dyDescent="0.25">
      <c r="A12276" s="3"/>
      <c r="B12276" s="3"/>
      <c r="C12276" s="3"/>
      <c r="D12276" s="3"/>
      <c r="E12276" s="3"/>
      <c r="F12276" s="3"/>
      <c r="G12276" s="3"/>
      <c r="H12276" s="11"/>
      <c r="I12276" s="12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  <c r="AA12276" s="3"/>
      <c r="AB12276" s="3"/>
      <c r="AC12276" s="3"/>
      <c r="AD12276" s="3"/>
      <c r="AE12276" s="3"/>
      <c r="AF12276" s="3"/>
      <c r="AG12276" s="3"/>
      <c r="AH12276" s="3"/>
    </row>
    <row r="12277" spans="1:34" ht="14.25" customHeight="1" x14ac:dyDescent="0.25">
      <c r="A12277" s="3"/>
      <c r="B12277" s="3"/>
      <c r="C12277" s="3"/>
      <c r="D12277" s="3"/>
      <c r="E12277" s="3"/>
      <c r="F12277" s="3"/>
      <c r="G12277" s="3"/>
      <c r="H12277" s="11"/>
      <c r="I12277" s="12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  <c r="AA12277" s="3"/>
      <c r="AB12277" s="3"/>
      <c r="AC12277" s="3"/>
      <c r="AD12277" s="3"/>
      <c r="AE12277" s="3"/>
      <c r="AF12277" s="3"/>
      <c r="AG12277" s="3"/>
      <c r="AH12277" s="3"/>
    </row>
    <row r="12278" spans="1:34" ht="14.25" customHeight="1" x14ac:dyDescent="0.25">
      <c r="A12278" s="3"/>
      <c r="B12278" s="3"/>
      <c r="C12278" s="3"/>
      <c r="D12278" s="3"/>
      <c r="E12278" s="3"/>
      <c r="F12278" s="3"/>
      <c r="G12278" s="3"/>
      <c r="H12278" s="11"/>
      <c r="I12278" s="12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  <c r="AA12278" s="3"/>
      <c r="AB12278" s="3"/>
      <c r="AC12278" s="3"/>
      <c r="AD12278" s="3"/>
      <c r="AE12278" s="3"/>
      <c r="AF12278" s="3"/>
      <c r="AG12278" s="3"/>
      <c r="AH12278" s="3"/>
    </row>
    <row r="12279" spans="1:34" ht="14.25" customHeight="1" x14ac:dyDescent="0.25">
      <c r="A12279" s="3"/>
      <c r="B12279" s="3"/>
      <c r="C12279" s="3"/>
      <c r="D12279" s="3"/>
      <c r="E12279" s="3"/>
      <c r="F12279" s="3"/>
      <c r="G12279" s="3"/>
      <c r="H12279" s="11"/>
      <c r="I12279" s="12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  <c r="AA12279" s="3"/>
      <c r="AB12279" s="3"/>
      <c r="AC12279" s="3"/>
      <c r="AD12279" s="3"/>
      <c r="AE12279" s="3"/>
      <c r="AF12279" s="3"/>
      <c r="AG12279" s="3"/>
      <c r="AH12279" s="3"/>
    </row>
    <row r="12280" spans="1:34" ht="14.25" customHeight="1" x14ac:dyDescent="0.25">
      <c r="A12280" s="3"/>
      <c r="B12280" s="3"/>
      <c r="C12280" s="3"/>
      <c r="D12280" s="3"/>
      <c r="E12280" s="3"/>
      <c r="F12280" s="3"/>
      <c r="G12280" s="3"/>
      <c r="H12280" s="11"/>
      <c r="I12280" s="12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  <c r="AA12280" s="3"/>
      <c r="AB12280" s="3"/>
      <c r="AC12280" s="3"/>
      <c r="AD12280" s="3"/>
      <c r="AE12280" s="3"/>
      <c r="AF12280" s="3"/>
      <c r="AG12280" s="3"/>
      <c r="AH12280" s="3"/>
    </row>
    <row r="12281" spans="1:34" ht="14.25" customHeight="1" x14ac:dyDescent="0.25">
      <c r="A12281" s="3"/>
      <c r="B12281" s="3"/>
      <c r="C12281" s="3"/>
      <c r="D12281" s="3"/>
      <c r="E12281" s="3"/>
      <c r="F12281" s="3"/>
      <c r="G12281" s="3"/>
      <c r="H12281" s="11"/>
      <c r="I12281" s="12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  <c r="AA12281" s="3"/>
      <c r="AB12281" s="3"/>
      <c r="AC12281" s="3"/>
      <c r="AD12281" s="3"/>
      <c r="AE12281" s="3"/>
      <c r="AF12281" s="3"/>
      <c r="AG12281" s="3"/>
      <c r="AH12281" s="3"/>
    </row>
    <row r="12282" spans="1:34" ht="14.25" customHeight="1" x14ac:dyDescent="0.25">
      <c r="A12282" s="3"/>
      <c r="B12282" s="3"/>
      <c r="C12282" s="3"/>
      <c r="D12282" s="3"/>
      <c r="E12282" s="3"/>
      <c r="F12282" s="3"/>
      <c r="G12282" s="3"/>
      <c r="H12282" s="11"/>
      <c r="I12282" s="12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  <c r="AA12282" s="3"/>
      <c r="AB12282" s="3"/>
      <c r="AC12282" s="3"/>
      <c r="AD12282" s="3"/>
      <c r="AE12282" s="3"/>
      <c r="AF12282" s="3"/>
      <c r="AG12282" s="3"/>
      <c r="AH12282" s="3"/>
    </row>
    <row r="12283" spans="1:34" ht="14.25" customHeight="1" x14ac:dyDescent="0.25">
      <c r="A12283" s="3"/>
      <c r="B12283" s="3"/>
      <c r="C12283" s="3"/>
      <c r="D12283" s="3"/>
      <c r="E12283" s="3"/>
      <c r="F12283" s="3"/>
      <c r="G12283" s="3"/>
      <c r="H12283" s="11"/>
      <c r="I12283" s="12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  <c r="AA12283" s="3"/>
      <c r="AB12283" s="3"/>
      <c r="AC12283" s="3"/>
      <c r="AD12283" s="3"/>
      <c r="AE12283" s="3"/>
      <c r="AF12283" s="3"/>
      <c r="AG12283" s="3"/>
      <c r="AH12283" s="3"/>
    </row>
    <row r="12284" spans="1:34" ht="14.25" customHeight="1" x14ac:dyDescent="0.25">
      <c r="A12284" s="3"/>
      <c r="B12284" s="3"/>
      <c r="C12284" s="3"/>
      <c r="D12284" s="3"/>
      <c r="E12284" s="3"/>
      <c r="F12284" s="3"/>
      <c r="G12284" s="3"/>
      <c r="H12284" s="11"/>
      <c r="I12284" s="12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  <c r="AA12284" s="3"/>
      <c r="AB12284" s="3"/>
      <c r="AC12284" s="3"/>
      <c r="AD12284" s="3"/>
      <c r="AE12284" s="3"/>
      <c r="AF12284" s="3"/>
      <c r="AG12284" s="3"/>
      <c r="AH12284" s="3"/>
    </row>
    <row r="12285" spans="1:34" ht="14.25" customHeight="1" x14ac:dyDescent="0.25">
      <c r="A12285" s="3"/>
      <c r="B12285" s="3"/>
      <c r="C12285" s="3"/>
      <c r="D12285" s="3"/>
      <c r="E12285" s="3"/>
      <c r="F12285" s="3"/>
      <c r="G12285" s="3"/>
      <c r="H12285" s="11"/>
      <c r="I12285" s="12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  <c r="AA12285" s="3"/>
      <c r="AB12285" s="3"/>
      <c r="AC12285" s="3"/>
      <c r="AD12285" s="3"/>
      <c r="AE12285" s="3"/>
      <c r="AF12285" s="3"/>
      <c r="AG12285" s="3"/>
      <c r="AH12285" s="3"/>
    </row>
    <row r="12286" spans="1:34" ht="14.25" customHeight="1" x14ac:dyDescent="0.25">
      <c r="A12286" s="3"/>
      <c r="B12286" s="3"/>
      <c r="C12286" s="3"/>
      <c r="D12286" s="3"/>
      <c r="E12286" s="3"/>
      <c r="F12286" s="3"/>
      <c r="G12286" s="3"/>
      <c r="H12286" s="11"/>
      <c r="I12286" s="12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  <c r="AA12286" s="3"/>
      <c r="AB12286" s="3"/>
      <c r="AC12286" s="3"/>
      <c r="AD12286" s="3"/>
      <c r="AE12286" s="3"/>
      <c r="AF12286" s="3"/>
      <c r="AG12286" s="3"/>
      <c r="AH12286" s="3"/>
    </row>
    <row r="12287" spans="1:34" ht="14.25" customHeight="1" x14ac:dyDescent="0.25">
      <c r="A12287" s="3"/>
      <c r="B12287" s="3"/>
      <c r="C12287" s="3"/>
      <c r="D12287" s="3"/>
      <c r="E12287" s="3"/>
      <c r="F12287" s="3"/>
      <c r="G12287" s="3"/>
      <c r="H12287" s="11"/>
      <c r="I12287" s="12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  <c r="AA12287" s="3"/>
      <c r="AB12287" s="3"/>
      <c r="AC12287" s="3"/>
      <c r="AD12287" s="3"/>
      <c r="AE12287" s="3"/>
      <c r="AF12287" s="3"/>
      <c r="AG12287" s="3"/>
      <c r="AH12287" s="3"/>
    </row>
    <row r="12288" spans="1:34" ht="14.25" customHeight="1" x14ac:dyDescent="0.25">
      <c r="A12288" s="3"/>
      <c r="B12288" s="3"/>
      <c r="C12288" s="3"/>
      <c r="D12288" s="3"/>
      <c r="E12288" s="3"/>
      <c r="F12288" s="3"/>
      <c r="G12288" s="3"/>
      <c r="H12288" s="11"/>
      <c r="I12288" s="12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  <c r="AA12288" s="3"/>
      <c r="AB12288" s="3"/>
      <c r="AC12288" s="3"/>
      <c r="AD12288" s="3"/>
      <c r="AE12288" s="3"/>
      <c r="AF12288" s="3"/>
      <c r="AG12288" s="3"/>
      <c r="AH12288" s="3"/>
    </row>
    <row r="12289" spans="1:34" ht="14.25" customHeight="1" x14ac:dyDescent="0.25">
      <c r="A12289" s="3"/>
      <c r="B12289" s="3"/>
      <c r="C12289" s="3"/>
      <c r="D12289" s="3"/>
      <c r="E12289" s="3"/>
      <c r="F12289" s="3"/>
      <c r="G12289" s="3"/>
      <c r="H12289" s="11"/>
      <c r="I12289" s="12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  <c r="AA12289" s="3"/>
      <c r="AB12289" s="3"/>
      <c r="AC12289" s="3"/>
      <c r="AD12289" s="3"/>
      <c r="AE12289" s="3"/>
      <c r="AF12289" s="3"/>
      <c r="AG12289" s="3"/>
      <c r="AH12289" s="3"/>
    </row>
    <row r="12290" spans="1:34" ht="14.25" customHeight="1" x14ac:dyDescent="0.25">
      <c r="A12290" s="3"/>
      <c r="B12290" s="3"/>
      <c r="C12290" s="3"/>
      <c r="D12290" s="3"/>
      <c r="E12290" s="3"/>
      <c r="F12290" s="3"/>
      <c r="G12290" s="3"/>
      <c r="H12290" s="11"/>
      <c r="I12290" s="12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  <c r="AA12290" s="3"/>
      <c r="AB12290" s="3"/>
      <c r="AC12290" s="3"/>
      <c r="AD12290" s="3"/>
      <c r="AE12290" s="3"/>
      <c r="AF12290" s="3"/>
      <c r="AG12290" s="3"/>
      <c r="AH12290" s="3"/>
    </row>
    <row r="12291" spans="1:34" ht="14.25" customHeight="1" x14ac:dyDescent="0.25">
      <c r="A12291" s="3"/>
      <c r="B12291" s="3"/>
      <c r="C12291" s="3"/>
      <c r="D12291" s="3"/>
      <c r="E12291" s="3"/>
      <c r="F12291" s="3"/>
      <c r="G12291" s="3"/>
      <c r="H12291" s="11"/>
      <c r="I12291" s="12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  <c r="AA12291" s="3"/>
      <c r="AB12291" s="3"/>
      <c r="AC12291" s="3"/>
      <c r="AD12291" s="3"/>
      <c r="AE12291" s="3"/>
      <c r="AF12291" s="3"/>
      <c r="AG12291" s="3"/>
      <c r="AH12291" s="3"/>
    </row>
    <row r="12292" spans="1:34" ht="14.25" customHeight="1" x14ac:dyDescent="0.25">
      <c r="A12292" s="3"/>
      <c r="B12292" s="3"/>
      <c r="C12292" s="3"/>
      <c r="D12292" s="3"/>
      <c r="E12292" s="3"/>
      <c r="F12292" s="3"/>
      <c r="G12292" s="3"/>
      <c r="H12292" s="11"/>
      <c r="I12292" s="12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  <c r="AA12292" s="3"/>
      <c r="AB12292" s="3"/>
      <c r="AC12292" s="3"/>
      <c r="AD12292" s="3"/>
      <c r="AE12292" s="3"/>
      <c r="AF12292" s="3"/>
      <c r="AG12292" s="3"/>
      <c r="AH12292" s="3"/>
    </row>
    <row r="12293" spans="1:34" ht="14.25" customHeight="1" x14ac:dyDescent="0.25">
      <c r="A12293" s="3"/>
      <c r="B12293" s="3"/>
      <c r="C12293" s="3"/>
      <c r="D12293" s="3"/>
      <c r="E12293" s="3"/>
      <c r="F12293" s="3"/>
      <c r="G12293" s="3"/>
      <c r="H12293" s="11"/>
      <c r="I12293" s="12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  <c r="AA12293" s="3"/>
      <c r="AB12293" s="3"/>
      <c r="AC12293" s="3"/>
      <c r="AD12293" s="3"/>
      <c r="AE12293" s="3"/>
      <c r="AF12293" s="3"/>
      <c r="AG12293" s="3"/>
      <c r="AH12293" s="3"/>
    </row>
    <row r="12294" spans="1:34" ht="14.25" customHeight="1" x14ac:dyDescent="0.25">
      <c r="A12294" s="3"/>
      <c r="B12294" s="3"/>
      <c r="C12294" s="3"/>
      <c r="D12294" s="3"/>
      <c r="E12294" s="3"/>
      <c r="F12294" s="3"/>
      <c r="G12294" s="3"/>
      <c r="H12294" s="11"/>
      <c r="I12294" s="12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  <c r="AA12294" s="3"/>
      <c r="AB12294" s="3"/>
      <c r="AC12294" s="3"/>
      <c r="AD12294" s="3"/>
      <c r="AE12294" s="3"/>
      <c r="AF12294" s="3"/>
      <c r="AG12294" s="3"/>
      <c r="AH12294" s="3"/>
    </row>
    <row r="12295" spans="1:34" ht="14.25" customHeight="1" x14ac:dyDescent="0.25">
      <c r="A12295" s="3"/>
      <c r="B12295" s="3"/>
      <c r="C12295" s="3"/>
      <c r="D12295" s="3"/>
      <c r="E12295" s="3"/>
      <c r="F12295" s="3"/>
      <c r="G12295" s="3"/>
      <c r="H12295" s="11"/>
      <c r="I12295" s="12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  <c r="AA12295" s="3"/>
      <c r="AB12295" s="3"/>
      <c r="AC12295" s="3"/>
      <c r="AD12295" s="3"/>
      <c r="AE12295" s="3"/>
      <c r="AF12295" s="3"/>
      <c r="AG12295" s="3"/>
      <c r="AH12295" s="3"/>
    </row>
    <row r="12296" spans="1:34" ht="14.25" customHeight="1" x14ac:dyDescent="0.25">
      <c r="A12296" s="3"/>
      <c r="B12296" s="3"/>
      <c r="C12296" s="3"/>
      <c r="D12296" s="3"/>
      <c r="E12296" s="3"/>
      <c r="F12296" s="3"/>
      <c r="G12296" s="3"/>
      <c r="H12296" s="11"/>
      <c r="I12296" s="12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  <c r="AA12296" s="3"/>
      <c r="AB12296" s="3"/>
      <c r="AC12296" s="3"/>
      <c r="AD12296" s="3"/>
      <c r="AE12296" s="3"/>
      <c r="AF12296" s="3"/>
      <c r="AG12296" s="3"/>
      <c r="AH12296" s="3"/>
    </row>
    <row r="12297" spans="1:34" ht="14.25" customHeight="1" x14ac:dyDescent="0.25">
      <c r="A12297" s="3"/>
      <c r="B12297" s="3"/>
      <c r="C12297" s="3"/>
      <c r="D12297" s="3"/>
      <c r="E12297" s="3"/>
      <c r="F12297" s="3"/>
      <c r="G12297" s="3"/>
      <c r="H12297" s="11"/>
      <c r="I12297" s="12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  <c r="AA12297" s="3"/>
      <c r="AB12297" s="3"/>
      <c r="AC12297" s="3"/>
      <c r="AD12297" s="3"/>
      <c r="AE12297" s="3"/>
      <c r="AF12297" s="3"/>
      <c r="AG12297" s="3"/>
      <c r="AH12297" s="3"/>
    </row>
    <row r="12298" spans="1:34" ht="14.25" customHeight="1" x14ac:dyDescent="0.25">
      <c r="A12298" s="3"/>
      <c r="B12298" s="3"/>
      <c r="C12298" s="3"/>
      <c r="D12298" s="3"/>
      <c r="E12298" s="3"/>
      <c r="F12298" s="3"/>
      <c r="G12298" s="3"/>
      <c r="H12298" s="11"/>
      <c r="I12298" s="12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  <c r="AA12298" s="3"/>
      <c r="AB12298" s="3"/>
      <c r="AC12298" s="3"/>
      <c r="AD12298" s="3"/>
      <c r="AE12298" s="3"/>
      <c r="AF12298" s="3"/>
      <c r="AG12298" s="3"/>
      <c r="AH12298" s="3"/>
    </row>
    <row r="12299" spans="1:34" ht="14.25" customHeight="1" x14ac:dyDescent="0.25">
      <c r="A12299" s="3"/>
      <c r="B12299" s="3"/>
      <c r="C12299" s="3"/>
      <c r="D12299" s="3"/>
      <c r="E12299" s="3"/>
      <c r="F12299" s="3"/>
      <c r="G12299" s="3"/>
      <c r="H12299" s="11"/>
      <c r="I12299" s="12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  <c r="AA12299" s="3"/>
      <c r="AB12299" s="3"/>
      <c r="AC12299" s="3"/>
      <c r="AD12299" s="3"/>
      <c r="AE12299" s="3"/>
      <c r="AF12299" s="3"/>
      <c r="AG12299" s="3"/>
      <c r="AH12299" s="3"/>
    </row>
    <row r="12300" spans="1:34" ht="14.25" customHeight="1" x14ac:dyDescent="0.25">
      <c r="A12300" s="3"/>
      <c r="B12300" s="3"/>
      <c r="C12300" s="3"/>
      <c r="D12300" s="3"/>
      <c r="E12300" s="3"/>
      <c r="F12300" s="3"/>
      <c r="G12300" s="3"/>
      <c r="H12300" s="11"/>
      <c r="I12300" s="12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  <c r="AA12300" s="3"/>
      <c r="AB12300" s="3"/>
      <c r="AC12300" s="3"/>
      <c r="AD12300" s="3"/>
      <c r="AE12300" s="3"/>
      <c r="AF12300" s="3"/>
      <c r="AG12300" s="3"/>
      <c r="AH12300" s="3"/>
    </row>
    <row r="12301" spans="1:34" ht="14.25" customHeight="1" x14ac:dyDescent="0.25">
      <c r="A12301" s="3"/>
      <c r="B12301" s="3"/>
      <c r="C12301" s="3"/>
      <c r="D12301" s="3"/>
      <c r="E12301" s="3"/>
      <c r="F12301" s="3"/>
      <c r="G12301" s="3"/>
      <c r="H12301" s="11"/>
      <c r="I12301" s="12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  <c r="AA12301" s="3"/>
      <c r="AB12301" s="3"/>
      <c r="AC12301" s="3"/>
      <c r="AD12301" s="3"/>
      <c r="AE12301" s="3"/>
      <c r="AF12301" s="3"/>
      <c r="AG12301" s="3"/>
      <c r="AH12301" s="3"/>
    </row>
    <row r="12302" spans="1:34" ht="14.25" customHeight="1" x14ac:dyDescent="0.25">
      <c r="A12302" s="3"/>
      <c r="B12302" s="3"/>
      <c r="C12302" s="3"/>
      <c r="D12302" s="3"/>
      <c r="E12302" s="3"/>
      <c r="F12302" s="3"/>
      <c r="G12302" s="3"/>
      <c r="H12302" s="11"/>
      <c r="I12302" s="12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  <c r="AA12302" s="3"/>
      <c r="AB12302" s="3"/>
      <c r="AC12302" s="3"/>
      <c r="AD12302" s="3"/>
      <c r="AE12302" s="3"/>
      <c r="AF12302" s="3"/>
      <c r="AG12302" s="3"/>
      <c r="AH12302" s="3"/>
    </row>
    <row r="12303" spans="1:34" ht="14.25" customHeight="1" x14ac:dyDescent="0.25">
      <c r="A12303" s="3"/>
      <c r="B12303" s="3"/>
      <c r="C12303" s="3"/>
      <c r="D12303" s="3"/>
      <c r="E12303" s="3"/>
      <c r="F12303" s="3"/>
      <c r="G12303" s="3"/>
      <c r="H12303" s="11"/>
      <c r="I12303" s="12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  <c r="AA12303" s="3"/>
      <c r="AB12303" s="3"/>
      <c r="AC12303" s="3"/>
      <c r="AD12303" s="3"/>
      <c r="AE12303" s="3"/>
      <c r="AF12303" s="3"/>
      <c r="AG12303" s="3"/>
      <c r="AH12303" s="3"/>
    </row>
    <row r="12304" spans="1:34" ht="14.25" customHeight="1" x14ac:dyDescent="0.25">
      <c r="A12304" s="3"/>
      <c r="B12304" s="3"/>
      <c r="C12304" s="3"/>
      <c r="D12304" s="3"/>
      <c r="E12304" s="3"/>
      <c r="F12304" s="3"/>
      <c r="G12304" s="3"/>
      <c r="H12304" s="11"/>
      <c r="I12304" s="12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  <c r="AA12304" s="3"/>
      <c r="AB12304" s="3"/>
      <c r="AC12304" s="3"/>
      <c r="AD12304" s="3"/>
      <c r="AE12304" s="3"/>
      <c r="AF12304" s="3"/>
      <c r="AG12304" s="3"/>
      <c r="AH12304" s="3"/>
    </row>
    <row r="12305" spans="1:34" ht="14.25" customHeight="1" x14ac:dyDescent="0.25">
      <c r="A12305" s="3"/>
      <c r="B12305" s="3"/>
      <c r="C12305" s="3"/>
      <c r="D12305" s="3"/>
      <c r="E12305" s="3"/>
      <c r="F12305" s="3"/>
      <c r="G12305" s="3"/>
      <c r="H12305" s="11"/>
      <c r="I12305" s="12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  <c r="AA12305" s="3"/>
      <c r="AB12305" s="3"/>
      <c r="AC12305" s="3"/>
      <c r="AD12305" s="3"/>
      <c r="AE12305" s="3"/>
      <c r="AF12305" s="3"/>
      <c r="AG12305" s="3"/>
      <c r="AH12305" s="3"/>
    </row>
    <row r="12306" spans="1:34" ht="14.25" customHeight="1" x14ac:dyDescent="0.25">
      <c r="A12306" s="3"/>
      <c r="B12306" s="3"/>
      <c r="C12306" s="3"/>
      <c r="D12306" s="3"/>
      <c r="E12306" s="3"/>
      <c r="F12306" s="3"/>
      <c r="G12306" s="3"/>
      <c r="H12306" s="11"/>
      <c r="I12306" s="12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  <c r="AA12306" s="3"/>
      <c r="AB12306" s="3"/>
      <c r="AC12306" s="3"/>
      <c r="AD12306" s="3"/>
      <c r="AE12306" s="3"/>
      <c r="AF12306" s="3"/>
      <c r="AG12306" s="3"/>
      <c r="AH12306" s="3"/>
    </row>
    <row r="12307" spans="1:34" ht="14.25" customHeight="1" x14ac:dyDescent="0.25">
      <c r="A12307" s="3"/>
      <c r="B12307" s="3"/>
      <c r="C12307" s="3"/>
      <c r="D12307" s="3"/>
      <c r="E12307" s="3"/>
      <c r="F12307" s="3"/>
      <c r="G12307" s="3"/>
      <c r="H12307" s="11"/>
      <c r="I12307" s="12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  <c r="AA12307" s="3"/>
      <c r="AB12307" s="3"/>
      <c r="AC12307" s="3"/>
      <c r="AD12307" s="3"/>
      <c r="AE12307" s="3"/>
      <c r="AF12307" s="3"/>
      <c r="AG12307" s="3"/>
      <c r="AH12307" s="3"/>
    </row>
    <row r="12308" spans="1:34" ht="14.25" customHeight="1" x14ac:dyDescent="0.25">
      <c r="A12308" s="3"/>
      <c r="B12308" s="3"/>
      <c r="C12308" s="3"/>
      <c r="D12308" s="3"/>
      <c r="E12308" s="3"/>
      <c r="F12308" s="3"/>
      <c r="G12308" s="3"/>
      <c r="H12308" s="11"/>
      <c r="I12308" s="12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  <c r="AA12308" s="3"/>
      <c r="AB12308" s="3"/>
      <c r="AC12308" s="3"/>
      <c r="AD12308" s="3"/>
      <c r="AE12308" s="3"/>
      <c r="AF12308" s="3"/>
      <c r="AG12308" s="3"/>
      <c r="AH12308" s="3"/>
    </row>
    <row r="12309" spans="1:34" ht="14.25" customHeight="1" x14ac:dyDescent="0.25">
      <c r="A12309" s="3"/>
      <c r="B12309" s="3"/>
      <c r="C12309" s="3"/>
      <c r="D12309" s="3"/>
      <c r="E12309" s="3"/>
      <c r="F12309" s="3"/>
      <c r="G12309" s="3"/>
      <c r="H12309" s="11"/>
      <c r="I12309" s="12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  <c r="AA12309" s="3"/>
      <c r="AB12309" s="3"/>
      <c r="AC12309" s="3"/>
      <c r="AD12309" s="3"/>
      <c r="AE12309" s="3"/>
      <c r="AF12309" s="3"/>
      <c r="AG12309" s="3"/>
      <c r="AH12309" s="3"/>
    </row>
    <row r="12310" spans="1:34" ht="14.25" customHeight="1" x14ac:dyDescent="0.25">
      <c r="A12310" s="3"/>
      <c r="B12310" s="3"/>
      <c r="C12310" s="3"/>
      <c r="D12310" s="3"/>
      <c r="E12310" s="3"/>
      <c r="F12310" s="3"/>
      <c r="G12310" s="3"/>
      <c r="H12310" s="11"/>
      <c r="I12310" s="12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  <c r="AA12310" s="3"/>
      <c r="AB12310" s="3"/>
      <c r="AC12310" s="3"/>
      <c r="AD12310" s="3"/>
      <c r="AE12310" s="3"/>
      <c r="AF12310" s="3"/>
      <c r="AG12310" s="3"/>
      <c r="AH12310" s="3"/>
    </row>
    <row r="12311" spans="1:34" ht="14.25" customHeight="1" x14ac:dyDescent="0.25">
      <c r="A12311" s="3"/>
      <c r="B12311" s="3"/>
      <c r="C12311" s="3"/>
      <c r="D12311" s="3"/>
      <c r="E12311" s="3"/>
      <c r="F12311" s="3"/>
      <c r="G12311" s="3"/>
      <c r="H12311" s="11"/>
      <c r="I12311" s="12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  <c r="AA12311" s="3"/>
      <c r="AB12311" s="3"/>
      <c r="AC12311" s="3"/>
      <c r="AD12311" s="3"/>
      <c r="AE12311" s="3"/>
      <c r="AF12311" s="3"/>
      <c r="AG12311" s="3"/>
      <c r="AH12311" s="3"/>
    </row>
    <row r="12312" spans="1:34" ht="14.25" customHeight="1" x14ac:dyDescent="0.25">
      <c r="A12312" s="3"/>
      <c r="B12312" s="3"/>
      <c r="C12312" s="3"/>
      <c r="D12312" s="3"/>
      <c r="E12312" s="3"/>
      <c r="F12312" s="3"/>
      <c r="G12312" s="3"/>
      <c r="H12312" s="11"/>
      <c r="I12312" s="12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  <c r="AA12312" s="3"/>
      <c r="AB12312" s="3"/>
      <c r="AC12312" s="3"/>
      <c r="AD12312" s="3"/>
      <c r="AE12312" s="3"/>
      <c r="AF12312" s="3"/>
      <c r="AG12312" s="3"/>
      <c r="AH12312" s="3"/>
    </row>
    <row r="12313" spans="1:34" ht="14.25" customHeight="1" x14ac:dyDescent="0.25">
      <c r="A12313" s="3"/>
      <c r="B12313" s="3"/>
      <c r="C12313" s="3"/>
      <c r="D12313" s="3"/>
      <c r="E12313" s="3"/>
      <c r="F12313" s="3"/>
      <c r="G12313" s="3"/>
      <c r="H12313" s="11"/>
      <c r="I12313" s="12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  <c r="AA12313" s="3"/>
      <c r="AB12313" s="3"/>
      <c r="AC12313" s="3"/>
      <c r="AD12313" s="3"/>
      <c r="AE12313" s="3"/>
      <c r="AF12313" s="3"/>
      <c r="AG12313" s="3"/>
      <c r="AH12313" s="3"/>
    </row>
    <row r="12314" spans="1:34" ht="14.25" customHeight="1" x14ac:dyDescent="0.25">
      <c r="A12314" s="3"/>
      <c r="B12314" s="3"/>
      <c r="C12314" s="3"/>
      <c r="D12314" s="3"/>
      <c r="E12314" s="3"/>
      <c r="F12314" s="3"/>
      <c r="G12314" s="3"/>
      <c r="H12314" s="11"/>
      <c r="I12314" s="12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  <c r="AA12314" s="3"/>
      <c r="AB12314" s="3"/>
      <c r="AC12314" s="3"/>
      <c r="AD12314" s="3"/>
      <c r="AE12314" s="3"/>
      <c r="AF12314" s="3"/>
      <c r="AG12314" s="3"/>
      <c r="AH12314" s="3"/>
    </row>
    <row r="12315" spans="1:34" ht="14.25" customHeight="1" x14ac:dyDescent="0.25">
      <c r="A12315" s="3"/>
      <c r="B12315" s="3"/>
      <c r="C12315" s="3"/>
      <c r="D12315" s="3"/>
      <c r="E12315" s="3"/>
      <c r="F12315" s="3"/>
      <c r="G12315" s="3"/>
      <c r="H12315" s="11"/>
      <c r="I12315" s="12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  <c r="AA12315" s="3"/>
      <c r="AB12315" s="3"/>
      <c r="AC12315" s="3"/>
      <c r="AD12315" s="3"/>
      <c r="AE12315" s="3"/>
      <c r="AF12315" s="3"/>
      <c r="AG12315" s="3"/>
      <c r="AH12315" s="3"/>
    </row>
    <row r="12316" spans="1:34" ht="14.25" customHeight="1" x14ac:dyDescent="0.25">
      <c r="A12316" s="3"/>
      <c r="B12316" s="3"/>
      <c r="C12316" s="3"/>
      <c r="D12316" s="3"/>
      <c r="E12316" s="3"/>
      <c r="F12316" s="3"/>
      <c r="G12316" s="3"/>
      <c r="H12316" s="11"/>
      <c r="I12316" s="12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  <c r="AA12316" s="3"/>
      <c r="AB12316" s="3"/>
      <c r="AC12316" s="3"/>
      <c r="AD12316" s="3"/>
      <c r="AE12316" s="3"/>
      <c r="AF12316" s="3"/>
      <c r="AG12316" s="3"/>
      <c r="AH12316" s="3"/>
    </row>
    <row r="12317" spans="1:34" ht="14.25" customHeight="1" x14ac:dyDescent="0.25">
      <c r="A12317" s="3"/>
      <c r="B12317" s="3"/>
      <c r="C12317" s="3"/>
      <c r="D12317" s="3"/>
      <c r="E12317" s="3"/>
      <c r="F12317" s="3"/>
      <c r="G12317" s="3"/>
      <c r="H12317" s="11"/>
      <c r="I12317" s="12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  <c r="AA12317" s="3"/>
      <c r="AB12317" s="3"/>
      <c r="AC12317" s="3"/>
      <c r="AD12317" s="3"/>
      <c r="AE12317" s="3"/>
      <c r="AF12317" s="3"/>
      <c r="AG12317" s="3"/>
      <c r="AH12317" s="3"/>
    </row>
    <row r="12318" spans="1:34" ht="14.25" customHeight="1" x14ac:dyDescent="0.25">
      <c r="A12318" s="3"/>
      <c r="B12318" s="3"/>
      <c r="C12318" s="3"/>
      <c r="D12318" s="3"/>
      <c r="E12318" s="3"/>
      <c r="F12318" s="3"/>
      <c r="G12318" s="3"/>
      <c r="H12318" s="11"/>
      <c r="I12318" s="12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  <c r="AA12318" s="3"/>
      <c r="AB12318" s="3"/>
      <c r="AC12318" s="3"/>
      <c r="AD12318" s="3"/>
      <c r="AE12318" s="3"/>
      <c r="AF12318" s="3"/>
      <c r="AG12318" s="3"/>
      <c r="AH12318" s="3"/>
    </row>
    <row r="12319" spans="1:34" ht="14.25" customHeight="1" x14ac:dyDescent="0.25">
      <c r="A12319" s="3"/>
      <c r="B12319" s="3"/>
      <c r="C12319" s="3"/>
      <c r="D12319" s="3"/>
      <c r="E12319" s="3"/>
      <c r="F12319" s="3"/>
      <c r="G12319" s="3"/>
      <c r="H12319" s="11"/>
      <c r="I12319" s="12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  <c r="AA12319" s="3"/>
      <c r="AB12319" s="3"/>
      <c r="AC12319" s="3"/>
      <c r="AD12319" s="3"/>
      <c r="AE12319" s="3"/>
      <c r="AF12319" s="3"/>
      <c r="AG12319" s="3"/>
      <c r="AH12319" s="3"/>
    </row>
    <row r="12320" spans="1:34" ht="14.25" customHeight="1" x14ac:dyDescent="0.25">
      <c r="A12320" s="3"/>
      <c r="B12320" s="3"/>
      <c r="C12320" s="3"/>
      <c r="D12320" s="3"/>
      <c r="E12320" s="3"/>
      <c r="F12320" s="3"/>
      <c r="G12320" s="3"/>
      <c r="H12320" s="11"/>
      <c r="I12320" s="12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  <c r="AA12320" s="3"/>
      <c r="AB12320" s="3"/>
      <c r="AC12320" s="3"/>
      <c r="AD12320" s="3"/>
      <c r="AE12320" s="3"/>
      <c r="AF12320" s="3"/>
      <c r="AG12320" s="3"/>
      <c r="AH12320" s="3"/>
    </row>
    <row r="12321" spans="1:34" ht="14.25" customHeight="1" x14ac:dyDescent="0.25">
      <c r="A12321" s="3"/>
      <c r="B12321" s="3"/>
      <c r="C12321" s="3"/>
      <c r="D12321" s="3"/>
      <c r="E12321" s="3"/>
      <c r="F12321" s="3"/>
      <c r="G12321" s="3"/>
      <c r="H12321" s="11"/>
      <c r="I12321" s="12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  <c r="AA12321" s="3"/>
      <c r="AB12321" s="3"/>
      <c r="AC12321" s="3"/>
      <c r="AD12321" s="3"/>
      <c r="AE12321" s="3"/>
      <c r="AF12321" s="3"/>
      <c r="AG12321" s="3"/>
      <c r="AH12321" s="3"/>
    </row>
    <row r="12322" spans="1:34" ht="14.25" customHeight="1" x14ac:dyDescent="0.25">
      <c r="A12322" s="3"/>
      <c r="B12322" s="3"/>
      <c r="C12322" s="3"/>
      <c r="D12322" s="3"/>
      <c r="E12322" s="3"/>
      <c r="F12322" s="3"/>
      <c r="G12322" s="3"/>
      <c r="H12322" s="11"/>
      <c r="I12322" s="12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  <c r="AA12322" s="3"/>
      <c r="AB12322" s="3"/>
      <c r="AC12322" s="3"/>
      <c r="AD12322" s="3"/>
      <c r="AE12322" s="3"/>
      <c r="AF12322" s="3"/>
      <c r="AG12322" s="3"/>
      <c r="AH12322" s="3"/>
    </row>
    <row r="12323" spans="1:34" ht="14.25" customHeight="1" x14ac:dyDescent="0.25">
      <c r="A12323" s="3"/>
      <c r="B12323" s="3"/>
      <c r="C12323" s="3"/>
      <c r="D12323" s="3"/>
      <c r="E12323" s="3"/>
      <c r="F12323" s="3"/>
      <c r="G12323" s="3"/>
      <c r="H12323" s="11"/>
      <c r="I12323" s="12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  <c r="AA12323" s="3"/>
      <c r="AB12323" s="3"/>
      <c r="AC12323" s="3"/>
      <c r="AD12323" s="3"/>
      <c r="AE12323" s="3"/>
      <c r="AF12323" s="3"/>
      <c r="AG12323" s="3"/>
      <c r="AH12323" s="3"/>
    </row>
    <row r="12324" spans="1:34" ht="14.25" customHeight="1" x14ac:dyDescent="0.25">
      <c r="A12324" s="3"/>
      <c r="B12324" s="3"/>
      <c r="C12324" s="3"/>
      <c r="D12324" s="3"/>
      <c r="E12324" s="3"/>
      <c r="F12324" s="3"/>
      <c r="G12324" s="3"/>
      <c r="H12324" s="11"/>
      <c r="I12324" s="12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  <c r="AA12324" s="3"/>
      <c r="AB12324" s="3"/>
      <c r="AC12324" s="3"/>
      <c r="AD12324" s="3"/>
      <c r="AE12324" s="3"/>
      <c r="AF12324" s="3"/>
      <c r="AG12324" s="3"/>
      <c r="AH12324" s="3"/>
    </row>
    <row r="12325" spans="1:34" ht="14.25" customHeight="1" x14ac:dyDescent="0.25">
      <c r="A12325" s="3"/>
      <c r="B12325" s="3"/>
      <c r="C12325" s="3"/>
      <c r="D12325" s="3"/>
      <c r="E12325" s="3"/>
      <c r="F12325" s="3"/>
      <c r="G12325" s="3"/>
      <c r="H12325" s="11"/>
      <c r="I12325" s="12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  <c r="AA12325" s="3"/>
      <c r="AB12325" s="3"/>
      <c r="AC12325" s="3"/>
      <c r="AD12325" s="3"/>
      <c r="AE12325" s="3"/>
      <c r="AF12325" s="3"/>
      <c r="AG12325" s="3"/>
      <c r="AH12325" s="3"/>
    </row>
    <row r="12326" spans="1:34" ht="14.25" customHeight="1" x14ac:dyDescent="0.25">
      <c r="A12326" s="3"/>
      <c r="B12326" s="3"/>
      <c r="C12326" s="3"/>
      <c r="D12326" s="3"/>
      <c r="E12326" s="3"/>
      <c r="F12326" s="3"/>
      <c r="G12326" s="3"/>
      <c r="H12326" s="11"/>
      <c r="I12326" s="12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  <c r="AA12326" s="3"/>
      <c r="AB12326" s="3"/>
      <c r="AC12326" s="3"/>
      <c r="AD12326" s="3"/>
      <c r="AE12326" s="3"/>
      <c r="AF12326" s="3"/>
      <c r="AG12326" s="3"/>
      <c r="AH12326" s="3"/>
    </row>
    <row r="12327" spans="1:34" ht="14.25" customHeight="1" x14ac:dyDescent="0.25">
      <c r="A12327" s="3"/>
      <c r="B12327" s="3"/>
      <c r="C12327" s="3"/>
      <c r="D12327" s="3"/>
      <c r="E12327" s="3"/>
      <c r="F12327" s="3"/>
      <c r="G12327" s="3"/>
      <c r="H12327" s="11"/>
      <c r="I12327" s="12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  <c r="AA12327" s="3"/>
      <c r="AB12327" s="3"/>
      <c r="AC12327" s="3"/>
      <c r="AD12327" s="3"/>
      <c r="AE12327" s="3"/>
      <c r="AF12327" s="3"/>
      <c r="AG12327" s="3"/>
      <c r="AH12327" s="3"/>
    </row>
    <row r="12328" spans="1:34" ht="14.25" customHeight="1" x14ac:dyDescent="0.25">
      <c r="A12328" s="3"/>
      <c r="B12328" s="3"/>
      <c r="C12328" s="3"/>
      <c r="D12328" s="3"/>
      <c r="E12328" s="3"/>
      <c r="F12328" s="3"/>
      <c r="G12328" s="3"/>
      <c r="H12328" s="11"/>
      <c r="I12328" s="12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  <c r="AA12328" s="3"/>
      <c r="AB12328" s="3"/>
      <c r="AC12328" s="3"/>
      <c r="AD12328" s="3"/>
      <c r="AE12328" s="3"/>
      <c r="AF12328" s="3"/>
      <c r="AG12328" s="3"/>
      <c r="AH12328" s="3"/>
    </row>
    <row r="12329" spans="1:34" ht="14.25" customHeight="1" x14ac:dyDescent="0.25">
      <c r="A12329" s="3"/>
      <c r="B12329" s="3"/>
      <c r="C12329" s="3"/>
      <c r="D12329" s="3"/>
      <c r="E12329" s="3"/>
      <c r="F12329" s="3"/>
      <c r="G12329" s="3"/>
      <c r="H12329" s="11"/>
      <c r="I12329" s="12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  <c r="AA12329" s="3"/>
      <c r="AB12329" s="3"/>
      <c r="AC12329" s="3"/>
      <c r="AD12329" s="3"/>
      <c r="AE12329" s="3"/>
      <c r="AF12329" s="3"/>
      <c r="AG12329" s="3"/>
      <c r="AH12329" s="3"/>
    </row>
    <row r="12330" spans="1:34" ht="14.25" customHeight="1" x14ac:dyDescent="0.25">
      <c r="A12330" s="3"/>
      <c r="B12330" s="3"/>
      <c r="C12330" s="3"/>
      <c r="D12330" s="3"/>
      <c r="E12330" s="3"/>
      <c r="F12330" s="3"/>
      <c r="G12330" s="3"/>
      <c r="H12330" s="11"/>
      <c r="I12330" s="12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  <c r="AA12330" s="3"/>
      <c r="AB12330" s="3"/>
      <c r="AC12330" s="3"/>
      <c r="AD12330" s="3"/>
      <c r="AE12330" s="3"/>
      <c r="AF12330" s="3"/>
      <c r="AG12330" s="3"/>
      <c r="AH12330" s="3"/>
    </row>
    <row r="12331" spans="1:34" ht="14.25" customHeight="1" x14ac:dyDescent="0.25">
      <c r="A12331" s="3"/>
      <c r="B12331" s="3"/>
      <c r="C12331" s="3"/>
      <c r="D12331" s="3"/>
      <c r="E12331" s="3"/>
      <c r="F12331" s="3"/>
      <c r="G12331" s="3"/>
      <c r="H12331" s="11"/>
      <c r="I12331" s="12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  <c r="AA12331" s="3"/>
      <c r="AB12331" s="3"/>
      <c r="AC12331" s="3"/>
      <c r="AD12331" s="3"/>
      <c r="AE12331" s="3"/>
      <c r="AF12331" s="3"/>
      <c r="AG12331" s="3"/>
      <c r="AH12331" s="3"/>
    </row>
    <row r="12332" spans="1:34" ht="14.25" customHeight="1" x14ac:dyDescent="0.25">
      <c r="A12332" s="3"/>
      <c r="B12332" s="3"/>
      <c r="C12332" s="3"/>
      <c r="D12332" s="3"/>
      <c r="E12332" s="3"/>
      <c r="F12332" s="3"/>
      <c r="G12332" s="3"/>
      <c r="H12332" s="11"/>
      <c r="I12332" s="12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  <c r="AA12332" s="3"/>
      <c r="AB12332" s="3"/>
      <c r="AC12332" s="3"/>
      <c r="AD12332" s="3"/>
      <c r="AE12332" s="3"/>
      <c r="AF12332" s="3"/>
      <c r="AG12332" s="3"/>
      <c r="AH12332" s="3"/>
    </row>
    <row r="12333" spans="1:34" ht="14.25" customHeight="1" x14ac:dyDescent="0.25">
      <c r="A12333" s="3"/>
      <c r="B12333" s="3"/>
      <c r="C12333" s="3"/>
      <c r="D12333" s="3"/>
      <c r="E12333" s="3"/>
      <c r="F12333" s="3"/>
      <c r="G12333" s="3"/>
      <c r="H12333" s="11"/>
      <c r="I12333" s="12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  <c r="AA12333" s="3"/>
      <c r="AB12333" s="3"/>
      <c r="AC12333" s="3"/>
      <c r="AD12333" s="3"/>
      <c r="AE12333" s="3"/>
      <c r="AF12333" s="3"/>
      <c r="AG12333" s="3"/>
      <c r="AH12333" s="3"/>
    </row>
    <row r="12334" spans="1:34" ht="14.25" customHeight="1" x14ac:dyDescent="0.25">
      <c r="A12334" s="3"/>
      <c r="B12334" s="3"/>
      <c r="C12334" s="3"/>
      <c r="D12334" s="3"/>
      <c r="E12334" s="3"/>
      <c r="F12334" s="3"/>
      <c r="G12334" s="3"/>
      <c r="H12334" s="11"/>
      <c r="I12334" s="12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  <c r="AA12334" s="3"/>
      <c r="AB12334" s="3"/>
      <c r="AC12334" s="3"/>
      <c r="AD12334" s="3"/>
      <c r="AE12334" s="3"/>
      <c r="AF12334" s="3"/>
      <c r="AG12334" s="3"/>
      <c r="AH12334" s="3"/>
    </row>
    <row r="12335" spans="1:34" ht="14.25" customHeight="1" x14ac:dyDescent="0.25">
      <c r="A12335" s="3"/>
      <c r="B12335" s="3"/>
      <c r="C12335" s="3"/>
      <c r="D12335" s="3"/>
      <c r="E12335" s="3"/>
      <c r="F12335" s="3"/>
      <c r="G12335" s="3"/>
      <c r="H12335" s="11"/>
      <c r="I12335" s="12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  <c r="AA12335" s="3"/>
      <c r="AB12335" s="3"/>
      <c r="AC12335" s="3"/>
      <c r="AD12335" s="3"/>
      <c r="AE12335" s="3"/>
      <c r="AF12335" s="3"/>
      <c r="AG12335" s="3"/>
      <c r="AH12335" s="3"/>
    </row>
    <row r="12336" spans="1:34" ht="14.25" customHeight="1" x14ac:dyDescent="0.25">
      <c r="A12336" s="3"/>
      <c r="B12336" s="3"/>
      <c r="C12336" s="3"/>
      <c r="D12336" s="3"/>
      <c r="E12336" s="3"/>
      <c r="F12336" s="3"/>
      <c r="G12336" s="3"/>
      <c r="H12336" s="11"/>
      <c r="I12336" s="12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  <c r="AA12336" s="3"/>
      <c r="AB12336" s="3"/>
      <c r="AC12336" s="3"/>
      <c r="AD12336" s="3"/>
      <c r="AE12336" s="3"/>
      <c r="AF12336" s="3"/>
      <c r="AG12336" s="3"/>
      <c r="AH12336" s="3"/>
    </row>
    <row r="12337" spans="1:34" ht="14.25" customHeight="1" x14ac:dyDescent="0.25">
      <c r="A12337" s="3"/>
      <c r="B12337" s="3"/>
      <c r="C12337" s="3"/>
      <c r="D12337" s="3"/>
      <c r="E12337" s="3"/>
      <c r="F12337" s="3"/>
      <c r="G12337" s="3"/>
      <c r="H12337" s="11"/>
      <c r="I12337" s="12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  <c r="AA12337" s="3"/>
      <c r="AB12337" s="3"/>
      <c r="AC12337" s="3"/>
      <c r="AD12337" s="3"/>
      <c r="AE12337" s="3"/>
      <c r="AF12337" s="3"/>
      <c r="AG12337" s="3"/>
      <c r="AH12337" s="3"/>
    </row>
    <row r="12338" spans="1:34" ht="14.25" customHeight="1" x14ac:dyDescent="0.25">
      <c r="A12338" s="3"/>
      <c r="B12338" s="3"/>
      <c r="C12338" s="3"/>
      <c r="D12338" s="3"/>
      <c r="E12338" s="3"/>
      <c r="F12338" s="3"/>
      <c r="G12338" s="3"/>
      <c r="H12338" s="11"/>
      <c r="I12338" s="12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  <c r="AA12338" s="3"/>
      <c r="AB12338" s="3"/>
      <c r="AC12338" s="3"/>
      <c r="AD12338" s="3"/>
      <c r="AE12338" s="3"/>
      <c r="AF12338" s="3"/>
      <c r="AG12338" s="3"/>
      <c r="AH12338" s="3"/>
    </row>
    <row r="12339" spans="1:34" ht="14.25" customHeight="1" x14ac:dyDescent="0.25">
      <c r="A12339" s="3"/>
      <c r="B12339" s="3"/>
      <c r="C12339" s="3"/>
      <c r="D12339" s="3"/>
      <c r="E12339" s="3"/>
      <c r="F12339" s="3"/>
      <c r="G12339" s="3"/>
      <c r="H12339" s="11"/>
      <c r="I12339" s="12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  <c r="AA12339" s="3"/>
      <c r="AB12339" s="3"/>
      <c r="AC12339" s="3"/>
      <c r="AD12339" s="3"/>
      <c r="AE12339" s="3"/>
      <c r="AF12339" s="3"/>
      <c r="AG12339" s="3"/>
      <c r="AH12339" s="3"/>
    </row>
    <row r="12340" spans="1:34" ht="14.25" customHeight="1" x14ac:dyDescent="0.25">
      <c r="A12340" s="3"/>
      <c r="B12340" s="3"/>
      <c r="C12340" s="3"/>
      <c r="D12340" s="3"/>
      <c r="E12340" s="3"/>
      <c r="F12340" s="3"/>
      <c r="G12340" s="3"/>
      <c r="H12340" s="11"/>
      <c r="I12340" s="12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  <c r="AA12340" s="3"/>
      <c r="AB12340" s="3"/>
      <c r="AC12340" s="3"/>
      <c r="AD12340" s="3"/>
      <c r="AE12340" s="3"/>
      <c r="AF12340" s="3"/>
      <c r="AG12340" s="3"/>
      <c r="AH12340" s="3"/>
    </row>
    <row r="12341" spans="1:34" ht="14.25" customHeight="1" x14ac:dyDescent="0.25">
      <c r="A12341" s="3"/>
      <c r="B12341" s="3"/>
      <c r="C12341" s="3"/>
      <c r="D12341" s="3"/>
      <c r="E12341" s="3"/>
      <c r="F12341" s="3"/>
      <c r="G12341" s="3"/>
      <c r="H12341" s="11"/>
      <c r="I12341" s="12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  <c r="AA12341" s="3"/>
      <c r="AB12341" s="3"/>
      <c r="AC12341" s="3"/>
      <c r="AD12341" s="3"/>
      <c r="AE12341" s="3"/>
      <c r="AF12341" s="3"/>
      <c r="AG12341" s="3"/>
      <c r="AH12341" s="3"/>
    </row>
    <row r="12342" spans="1:34" ht="14.25" customHeight="1" x14ac:dyDescent="0.25">
      <c r="A12342" s="3"/>
      <c r="B12342" s="3"/>
      <c r="C12342" s="3"/>
      <c r="D12342" s="3"/>
      <c r="E12342" s="3"/>
      <c r="F12342" s="3"/>
      <c r="G12342" s="3"/>
      <c r="H12342" s="11"/>
      <c r="I12342" s="12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  <c r="AA12342" s="3"/>
      <c r="AB12342" s="3"/>
      <c r="AC12342" s="3"/>
      <c r="AD12342" s="3"/>
      <c r="AE12342" s="3"/>
      <c r="AF12342" s="3"/>
      <c r="AG12342" s="3"/>
      <c r="AH12342" s="3"/>
    </row>
    <row r="12343" spans="1:34" ht="14.25" customHeight="1" x14ac:dyDescent="0.25">
      <c r="A12343" s="3"/>
      <c r="B12343" s="3"/>
      <c r="C12343" s="3"/>
      <c r="D12343" s="3"/>
      <c r="E12343" s="3"/>
      <c r="F12343" s="3"/>
      <c r="G12343" s="3"/>
      <c r="H12343" s="11"/>
      <c r="I12343" s="12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  <c r="AA12343" s="3"/>
      <c r="AB12343" s="3"/>
      <c r="AC12343" s="3"/>
      <c r="AD12343" s="3"/>
      <c r="AE12343" s="3"/>
      <c r="AF12343" s="3"/>
      <c r="AG12343" s="3"/>
      <c r="AH12343" s="3"/>
    </row>
    <row r="12344" spans="1:34" ht="14.25" customHeight="1" x14ac:dyDescent="0.25">
      <c r="A12344" s="3"/>
      <c r="B12344" s="3"/>
      <c r="C12344" s="3"/>
      <c r="D12344" s="3"/>
      <c r="E12344" s="3"/>
      <c r="F12344" s="3"/>
      <c r="G12344" s="3"/>
      <c r="H12344" s="11"/>
      <c r="I12344" s="12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  <c r="AA12344" s="3"/>
      <c r="AB12344" s="3"/>
      <c r="AC12344" s="3"/>
      <c r="AD12344" s="3"/>
      <c r="AE12344" s="3"/>
      <c r="AF12344" s="3"/>
      <c r="AG12344" s="3"/>
      <c r="AH12344" s="3"/>
    </row>
    <row r="12345" spans="1:34" ht="14.25" customHeight="1" x14ac:dyDescent="0.25">
      <c r="A12345" s="3"/>
      <c r="B12345" s="3"/>
      <c r="C12345" s="3"/>
      <c r="D12345" s="3"/>
      <c r="E12345" s="3"/>
      <c r="F12345" s="3"/>
      <c r="G12345" s="3"/>
      <c r="H12345" s="11"/>
      <c r="I12345" s="12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  <c r="AA12345" s="3"/>
      <c r="AB12345" s="3"/>
      <c r="AC12345" s="3"/>
      <c r="AD12345" s="3"/>
      <c r="AE12345" s="3"/>
      <c r="AF12345" s="3"/>
      <c r="AG12345" s="3"/>
      <c r="AH12345" s="3"/>
    </row>
    <row r="12346" spans="1:34" ht="14.25" customHeight="1" x14ac:dyDescent="0.25">
      <c r="A12346" s="3"/>
      <c r="B12346" s="3"/>
      <c r="C12346" s="3"/>
      <c r="D12346" s="3"/>
      <c r="E12346" s="3"/>
      <c r="F12346" s="3"/>
      <c r="G12346" s="3"/>
      <c r="H12346" s="11"/>
      <c r="I12346" s="12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  <c r="AA12346" s="3"/>
      <c r="AB12346" s="3"/>
      <c r="AC12346" s="3"/>
      <c r="AD12346" s="3"/>
      <c r="AE12346" s="3"/>
      <c r="AF12346" s="3"/>
      <c r="AG12346" s="3"/>
      <c r="AH12346" s="3"/>
    </row>
    <row r="12347" spans="1:34" ht="14.25" customHeight="1" x14ac:dyDescent="0.25">
      <c r="A12347" s="3"/>
      <c r="B12347" s="3"/>
      <c r="C12347" s="3"/>
      <c r="D12347" s="3"/>
      <c r="E12347" s="3"/>
      <c r="F12347" s="3"/>
      <c r="G12347" s="3"/>
      <c r="H12347" s="11"/>
      <c r="I12347" s="12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  <c r="AA12347" s="3"/>
      <c r="AB12347" s="3"/>
      <c r="AC12347" s="3"/>
      <c r="AD12347" s="3"/>
      <c r="AE12347" s="3"/>
      <c r="AF12347" s="3"/>
      <c r="AG12347" s="3"/>
      <c r="AH12347" s="3"/>
    </row>
    <row r="12348" spans="1:34" ht="14.25" customHeight="1" x14ac:dyDescent="0.25">
      <c r="A12348" s="3"/>
      <c r="B12348" s="3"/>
      <c r="C12348" s="3"/>
      <c r="D12348" s="3"/>
      <c r="E12348" s="3"/>
      <c r="F12348" s="3"/>
      <c r="G12348" s="3"/>
      <c r="H12348" s="11"/>
      <c r="I12348" s="12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  <c r="AA12348" s="3"/>
      <c r="AB12348" s="3"/>
      <c r="AC12348" s="3"/>
      <c r="AD12348" s="3"/>
      <c r="AE12348" s="3"/>
      <c r="AF12348" s="3"/>
      <c r="AG12348" s="3"/>
      <c r="AH12348" s="3"/>
    </row>
    <row r="12349" spans="1:34" ht="14.25" customHeight="1" x14ac:dyDescent="0.25">
      <c r="A12349" s="3"/>
      <c r="B12349" s="3"/>
      <c r="C12349" s="3"/>
      <c r="D12349" s="3"/>
      <c r="E12349" s="3"/>
      <c r="F12349" s="3"/>
      <c r="G12349" s="3"/>
      <c r="H12349" s="11"/>
      <c r="I12349" s="12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  <c r="AA12349" s="3"/>
      <c r="AB12349" s="3"/>
      <c r="AC12349" s="3"/>
      <c r="AD12349" s="3"/>
      <c r="AE12349" s="3"/>
      <c r="AF12349" s="3"/>
      <c r="AG12349" s="3"/>
      <c r="AH12349" s="3"/>
    </row>
    <row r="12350" spans="1:34" ht="14.25" customHeight="1" x14ac:dyDescent="0.25">
      <c r="A12350" s="3"/>
      <c r="B12350" s="3"/>
      <c r="C12350" s="3"/>
      <c r="D12350" s="3"/>
      <c r="E12350" s="3"/>
      <c r="F12350" s="3"/>
      <c r="G12350" s="3"/>
      <c r="H12350" s="11"/>
      <c r="I12350" s="12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  <c r="AA12350" s="3"/>
      <c r="AB12350" s="3"/>
      <c r="AC12350" s="3"/>
      <c r="AD12350" s="3"/>
      <c r="AE12350" s="3"/>
      <c r="AF12350" s="3"/>
      <c r="AG12350" s="3"/>
      <c r="AH12350" s="3"/>
    </row>
    <row r="12351" spans="1:34" ht="14.25" customHeight="1" x14ac:dyDescent="0.25">
      <c r="A12351" s="3"/>
      <c r="B12351" s="3"/>
      <c r="C12351" s="3"/>
      <c r="D12351" s="3"/>
      <c r="E12351" s="3"/>
      <c r="F12351" s="3"/>
      <c r="G12351" s="3"/>
      <c r="H12351" s="11"/>
      <c r="I12351" s="12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  <c r="AA12351" s="3"/>
      <c r="AB12351" s="3"/>
      <c r="AC12351" s="3"/>
      <c r="AD12351" s="3"/>
      <c r="AE12351" s="3"/>
      <c r="AF12351" s="3"/>
      <c r="AG12351" s="3"/>
      <c r="AH12351" s="3"/>
    </row>
    <row r="12352" spans="1:34" ht="14.25" customHeight="1" x14ac:dyDescent="0.25">
      <c r="A12352" s="3"/>
      <c r="B12352" s="3"/>
      <c r="C12352" s="3"/>
      <c r="D12352" s="3"/>
      <c r="E12352" s="3"/>
      <c r="F12352" s="3"/>
      <c r="G12352" s="3"/>
      <c r="H12352" s="11"/>
      <c r="I12352" s="12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  <c r="AA12352" s="3"/>
      <c r="AB12352" s="3"/>
      <c r="AC12352" s="3"/>
      <c r="AD12352" s="3"/>
      <c r="AE12352" s="3"/>
      <c r="AF12352" s="3"/>
      <c r="AG12352" s="3"/>
      <c r="AH12352" s="3"/>
    </row>
    <row r="12353" spans="1:34" ht="14.25" customHeight="1" x14ac:dyDescent="0.25">
      <c r="A12353" s="3"/>
      <c r="B12353" s="3"/>
      <c r="C12353" s="3"/>
      <c r="D12353" s="3"/>
      <c r="E12353" s="3"/>
      <c r="F12353" s="3"/>
      <c r="G12353" s="3"/>
      <c r="H12353" s="11"/>
      <c r="I12353" s="12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  <c r="AA12353" s="3"/>
      <c r="AB12353" s="3"/>
      <c r="AC12353" s="3"/>
      <c r="AD12353" s="3"/>
      <c r="AE12353" s="3"/>
      <c r="AF12353" s="3"/>
      <c r="AG12353" s="3"/>
      <c r="AH12353" s="3"/>
    </row>
    <row r="12354" spans="1:34" ht="14.25" customHeight="1" x14ac:dyDescent="0.25">
      <c r="A12354" s="3"/>
      <c r="B12354" s="3"/>
      <c r="C12354" s="3"/>
      <c r="D12354" s="3"/>
      <c r="E12354" s="3"/>
      <c r="F12354" s="3"/>
      <c r="G12354" s="3"/>
      <c r="H12354" s="11"/>
      <c r="I12354" s="12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  <c r="AA12354" s="3"/>
      <c r="AB12354" s="3"/>
      <c r="AC12354" s="3"/>
      <c r="AD12354" s="3"/>
      <c r="AE12354" s="3"/>
      <c r="AF12354" s="3"/>
      <c r="AG12354" s="3"/>
      <c r="AH12354" s="3"/>
    </row>
    <row r="12355" spans="1:34" ht="14.25" customHeight="1" x14ac:dyDescent="0.25">
      <c r="A12355" s="3"/>
      <c r="B12355" s="3"/>
      <c r="C12355" s="3"/>
      <c r="D12355" s="3"/>
      <c r="E12355" s="3"/>
      <c r="F12355" s="3"/>
      <c r="G12355" s="3"/>
      <c r="H12355" s="11"/>
      <c r="I12355" s="12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  <c r="AA12355" s="3"/>
      <c r="AB12355" s="3"/>
      <c r="AC12355" s="3"/>
      <c r="AD12355" s="3"/>
      <c r="AE12355" s="3"/>
      <c r="AF12355" s="3"/>
      <c r="AG12355" s="3"/>
      <c r="AH12355" s="3"/>
    </row>
    <row r="12356" spans="1:34" ht="14.25" customHeight="1" x14ac:dyDescent="0.25">
      <c r="A12356" s="3"/>
      <c r="B12356" s="3"/>
      <c r="C12356" s="3"/>
      <c r="D12356" s="3"/>
      <c r="E12356" s="3"/>
      <c r="F12356" s="3"/>
      <c r="G12356" s="3"/>
      <c r="H12356" s="11"/>
      <c r="I12356" s="12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  <c r="AA12356" s="3"/>
      <c r="AB12356" s="3"/>
      <c r="AC12356" s="3"/>
      <c r="AD12356" s="3"/>
      <c r="AE12356" s="3"/>
      <c r="AF12356" s="3"/>
      <c r="AG12356" s="3"/>
      <c r="AH12356" s="3"/>
    </row>
    <row r="12357" spans="1:34" ht="14.25" customHeight="1" x14ac:dyDescent="0.25">
      <c r="A12357" s="3"/>
      <c r="B12357" s="3"/>
      <c r="C12357" s="3"/>
      <c r="D12357" s="3"/>
      <c r="E12357" s="3"/>
      <c r="F12357" s="3"/>
      <c r="G12357" s="3"/>
      <c r="H12357" s="11"/>
      <c r="I12357" s="12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  <c r="AA12357" s="3"/>
      <c r="AB12357" s="3"/>
      <c r="AC12357" s="3"/>
      <c r="AD12357" s="3"/>
      <c r="AE12357" s="3"/>
      <c r="AF12357" s="3"/>
      <c r="AG12357" s="3"/>
      <c r="AH12357" s="3"/>
    </row>
    <row r="12358" spans="1:34" ht="14.25" customHeight="1" x14ac:dyDescent="0.25">
      <c r="A12358" s="3"/>
      <c r="B12358" s="3"/>
      <c r="C12358" s="3"/>
      <c r="D12358" s="3"/>
      <c r="E12358" s="3"/>
      <c r="F12358" s="3"/>
      <c r="G12358" s="3"/>
      <c r="H12358" s="11"/>
      <c r="I12358" s="12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  <c r="AA12358" s="3"/>
      <c r="AB12358" s="3"/>
      <c r="AC12358" s="3"/>
      <c r="AD12358" s="3"/>
      <c r="AE12358" s="3"/>
      <c r="AF12358" s="3"/>
      <c r="AG12358" s="3"/>
      <c r="AH12358" s="3"/>
    </row>
    <row r="12359" spans="1:34" ht="14.25" customHeight="1" x14ac:dyDescent="0.25">
      <c r="A12359" s="3"/>
      <c r="B12359" s="3"/>
      <c r="C12359" s="3"/>
      <c r="D12359" s="3"/>
      <c r="E12359" s="3"/>
      <c r="F12359" s="3"/>
      <c r="G12359" s="3"/>
      <c r="H12359" s="11"/>
      <c r="I12359" s="12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  <c r="AA12359" s="3"/>
      <c r="AB12359" s="3"/>
      <c r="AC12359" s="3"/>
      <c r="AD12359" s="3"/>
      <c r="AE12359" s="3"/>
      <c r="AF12359" s="3"/>
      <c r="AG12359" s="3"/>
      <c r="AH12359" s="3"/>
    </row>
    <row r="12360" spans="1:34" ht="14.25" customHeight="1" x14ac:dyDescent="0.25">
      <c r="A12360" s="3"/>
      <c r="B12360" s="3"/>
      <c r="C12360" s="3"/>
      <c r="D12360" s="3"/>
      <c r="E12360" s="3"/>
      <c r="F12360" s="3"/>
      <c r="G12360" s="3"/>
      <c r="H12360" s="11"/>
      <c r="I12360" s="12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  <c r="AA12360" s="3"/>
      <c r="AB12360" s="3"/>
      <c r="AC12360" s="3"/>
      <c r="AD12360" s="3"/>
      <c r="AE12360" s="3"/>
      <c r="AF12360" s="3"/>
      <c r="AG12360" s="3"/>
      <c r="AH12360" s="3"/>
    </row>
    <row r="12361" spans="1:34" ht="14.25" customHeight="1" x14ac:dyDescent="0.25">
      <c r="A12361" s="3"/>
      <c r="B12361" s="3"/>
      <c r="C12361" s="3"/>
      <c r="D12361" s="3"/>
      <c r="E12361" s="3"/>
      <c r="F12361" s="3"/>
      <c r="G12361" s="3"/>
      <c r="H12361" s="11"/>
      <c r="I12361" s="12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  <c r="AA12361" s="3"/>
      <c r="AB12361" s="3"/>
      <c r="AC12361" s="3"/>
      <c r="AD12361" s="3"/>
      <c r="AE12361" s="3"/>
      <c r="AF12361" s="3"/>
      <c r="AG12361" s="3"/>
      <c r="AH12361" s="3"/>
    </row>
    <row r="12362" spans="1:34" ht="14.25" customHeight="1" x14ac:dyDescent="0.25">
      <c r="A12362" s="3"/>
      <c r="B12362" s="3"/>
      <c r="C12362" s="3"/>
      <c r="D12362" s="3"/>
      <c r="E12362" s="3"/>
      <c r="F12362" s="3"/>
      <c r="G12362" s="3"/>
      <c r="H12362" s="11"/>
      <c r="I12362" s="12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  <c r="AA12362" s="3"/>
      <c r="AB12362" s="3"/>
      <c r="AC12362" s="3"/>
      <c r="AD12362" s="3"/>
      <c r="AE12362" s="3"/>
      <c r="AF12362" s="3"/>
      <c r="AG12362" s="3"/>
      <c r="AH12362" s="3"/>
    </row>
    <row r="12363" spans="1:34" ht="14.25" customHeight="1" x14ac:dyDescent="0.25">
      <c r="A12363" s="3"/>
      <c r="B12363" s="3"/>
      <c r="C12363" s="3"/>
      <c r="D12363" s="3"/>
      <c r="E12363" s="3"/>
      <c r="F12363" s="3"/>
      <c r="G12363" s="3"/>
      <c r="H12363" s="11"/>
      <c r="I12363" s="12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  <c r="AA12363" s="3"/>
      <c r="AB12363" s="3"/>
      <c r="AC12363" s="3"/>
      <c r="AD12363" s="3"/>
      <c r="AE12363" s="3"/>
      <c r="AF12363" s="3"/>
      <c r="AG12363" s="3"/>
      <c r="AH12363" s="3"/>
    </row>
    <row r="12364" spans="1:34" ht="14.25" customHeight="1" x14ac:dyDescent="0.25">
      <c r="A12364" s="3"/>
      <c r="B12364" s="3"/>
      <c r="C12364" s="3"/>
      <c r="D12364" s="3"/>
      <c r="E12364" s="3"/>
      <c r="F12364" s="3"/>
      <c r="G12364" s="3"/>
      <c r="H12364" s="11"/>
      <c r="I12364" s="12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  <c r="AA12364" s="3"/>
      <c r="AB12364" s="3"/>
      <c r="AC12364" s="3"/>
      <c r="AD12364" s="3"/>
      <c r="AE12364" s="3"/>
      <c r="AF12364" s="3"/>
      <c r="AG12364" s="3"/>
      <c r="AH12364" s="3"/>
    </row>
    <row r="12365" spans="1:34" ht="14.25" customHeight="1" x14ac:dyDescent="0.25">
      <c r="A12365" s="3"/>
      <c r="B12365" s="3"/>
      <c r="C12365" s="3"/>
      <c r="D12365" s="3"/>
      <c r="E12365" s="3"/>
      <c r="F12365" s="3"/>
      <c r="G12365" s="3"/>
      <c r="H12365" s="11"/>
      <c r="I12365" s="12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  <c r="AA12365" s="3"/>
      <c r="AB12365" s="3"/>
      <c r="AC12365" s="3"/>
      <c r="AD12365" s="3"/>
      <c r="AE12365" s="3"/>
      <c r="AF12365" s="3"/>
      <c r="AG12365" s="3"/>
      <c r="AH12365" s="3"/>
    </row>
    <row r="12366" spans="1:34" ht="14.25" customHeight="1" x14ac:dyDescent="0.25">
      <c r="A12366" s="3"/>
      <c r="B12366" s="3"/>
      <c r="C12366" s="3"/>
      <c r="D12366" s="3"/>
      <c r="E12366" s="3"/>
      <c r="F12366" s="3"/>
      <c r="G12366" s="3"/>
      <c r="H12366" s="11"/>
      <c r="I12366" s="12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  <c r="AA12366" s="3"/>
      <c r="AB12366" s="3"/>
      <c r="AC12366" s="3"/>
      <c r="AD12366" s="3"/>
      <c r="AE12366" s="3"/>
      <c r="AF12366" s="3"/>
      <c r="AG12366" s="3"/>
      <c r="AH12366" s="3"/>
    </row>
    <row r="12367" spans="1:34" ht="14.25" customHeight="1" x14ac:dyDescent="0.25">
      <c r="A12367" s="3"/>
      <c r="B12367" s="3"/>
      <c r="C12367" s="3"/>
      <c r="D12367" s="3"/>
      <c r="E12367" s="3"/>
      <c r="F12367" s="3"/>
      <c r="G12367" s="3"/>
      <c r="H12367" s="11"/>
      <c r="I12367" s="12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  <c r="AA12367" s="3"/>
      <c r="AB12367" s="3"/>
      <c r="AC12367" s="3"/>
      <c r="AD12367" s="3"/>
      <c r="AE12367" s="3"/>
      <c r="AF12367" s="3"/>
      <c r="AG12367" s="3"/>
      <c r="AH12367" s="3"/>
    </row>
    <row r="12368" spans="1:34" ht="14.25" customHeight="1" x14ac:dyDescent="0.25">
      <c r="A12368" s="3"/>
      <c r="B12368" s="3"/>
      <c r="C12368" s="3"/>
      <c r="D12368" s="3"/>
      <c r="E12368" s="3"/>
      <c r="F12368" s="3"/>
      <c r="G12368" s="3"/>
      <c r="H12368" s="11"/>
      <c r="I12368" s="12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  <c r="AA12368" s="3"/>
      <c r="AB12368" s="3"/>
      <c r="AC12368" s="3"/>
      <c r="AD12368" s="3"/>
      <c r="AE12368" s="3"/>
      <c r="AF12368" s="3"/>
      <c r="AG12368" s="3"/>
      <c r="AH12368" s="3"/>
    </row>
    <row r="12369" spans="1:34" ht="14.25" customHeight="1" x14ac:dyDescent="0.25">
      <c r="A12369" s="3"/>
      <c r="B12369" s="3"/>
      <c r="C12369" s="3"/>
      <c r="D12369" s="3"/>
      <c r="E12369" s="3"/>
      <c r="F12369" s="3"/>
      <c r="G12369" s="3"/>
      <c r="H12369" s="11"/>
      <c r="I12369" s="12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  <c r="AA12369" s="3"/>
      <c r="AB12369" s="3"/>
      <c r="AC12369" s="3"/>
      <c r="AD12369" s="3"/>
      <c r="AE12369" s="3"/>
      <c r="AF12369" s="3"/>
      <c r="AG12369" s="3"/>
      <c r="AH12369" s="3"/>
    </row>
    <row r="12370" spans="1:34" ht="14.25" customHeight="1" x14ac:dyDescent="0.25">
      <c r="A12370" s="3"/>
      <c r="B12370" s="3"/>
      <c r="C12370" s="3"/>
      <c r="D12370" s="3"/>
      <c r="E12370" s="3"/>
      <c r="F12370" s="3"/>
      <c r="G12370" s="3"/>
      <c r="H12370" s="11"/>
      <c r="I12370" s="12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  <c r="AA12370" s="3"/>
      <c r="AB12370" s="3"/>
      <c r="AC12370" s="3"/>
      <c r="AD12370" s="3"/>
      <c r="AE12370" s="3"/>
      <c r="AF12370" s="3"/>
      <c r="AG12370" s="3"/>
      <c r="AH12370" s="3"/>
    </row>
    <row r="12371" spans="1:34" ht="14.25" customHeight="1" x14ac:dyDescent="0.25">
      <c r="A12371" s="3"/>
      <c r="B12371" s="3"/>
      <c r="C12371" s="3"/>
      <c r="D12371" s="3"/>
      <c r="E12371" s="3"/>
      <c r="F12371" s="3"/>
      <c r="G12371" s="3"/>
      <c r="H12371" s="11"/>
      <c r="I12371" s="12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  <c r="AA12371" s="3"/>
      <c r="AB12371" s="3"/>
      <c r="AC12371" s="3"/>
      <c r="AD12371" s="3"/>
      <c r="AE12371" s="3"/>
      <c r="AF12371" s="3"/>
      <c r="AG12371" s="3"/>
      <c r="AH12371" s="3"/>
    </row>
    <row r="12372" spans="1:34" ht="14.25" customHeight="1" x14ac:dyDescent="0.25">
      <c r="A12372" s="3"/>
      <c r="B12372" s="3"/>
      <c r="C12372" s="3"/>
      <c r="D12372" s="3"/>
      <c r="E12372" s="3"/>
      <c r="F12372" s="3"/>
      <c r="G12372" s="3"/>
      <c r="H12372" s="11"/>
      <c r="I12372" s="12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  <c r="AA12372" s="3"/>
      <c r="AB12372" s="3"/>
      <c r="AC12372" s="3"/>
      <c r="AD12372" s="3"/>
      <c r="AE12372" s="3"/>
      <c r="AF12372" s="3"/>
      <c r="AG12372" s="3"/>
      <c r="AH12372" s="3"/>
    </row>
    <row r="12373" spans="1:34" ht="14.25" customHeight="1" x14ac:dyDescent="0.25">
      <c r="A12373" s="3"/>
      <c r="B12373" s="3"/>
      <c r="C12373" s="3"/>
      <c r="D12373" s="3"/>
      <c r="E12373" s="3"/>
      <c r="F12373" s="3"/>
      <c r="G12373" s="3"/>
      <c r="H12373" s="11"/>
      <c r="I12373" s="12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  <c r="AA12373" s="3"/>
      <c r="AB12373" s="3"/>
      <c r="AC12373" s="3"/>
      <c r="AD12373" s="3"/>
      <c r="AE12373" s="3"/>
      <c r="AF12373" s="3"/>
      <c r="AG12373" s="3"/>
      <c r="AH12373" s="3"/>
    </row>
    <row r="12374" spans="1:34" ht="14.25" customHeight="1" x14ac:dyDescent="0.25">
      <c r="A12374" s="3"/>
      <c r="B12374" s="3"/>
      <c r="C12374" s="3"/>
      <c r="D12374" s="3"/>
      <c r="E12374" s="3"/>
      <c r="F12374" s="3"/>
      <c r="G12374" s="3"/>
      <c r="H12374" s="11"/>
      <c r="I12374" s="12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  <c r="AA12374" s="3"/>
      <c r="AB12374" s="3"/>
      <c r="AC12374" s="3"/>
      <c r="AD12374" s="3"/>
      <c r="AE12374" s="3"/>
      <c r="AF12374" s="3"/>
      <c r="AG12374" s="3"/>
      <c r="AH12374" s="3"/>
    </row>
    <row r="12375" spans="1:34" ht="14.25" customHeight="1" x14ac:dyDescent="0.25">
      <c r="A12375" s="3"/>
      <c r="B12375" s="3"/>
      <c r="C12375" s="3"/>
      <c r="D12375" s="3"/>
      <c r="E12375" s="3"/>
      <c r="F12375" s="3"/>
      <c r="G12375" s="3"/>
      <c r="H12375" s="11"/>
      <c r="I12375" s="12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  <c r="AA12375" s="3"/>
      <c r="AB12375" s="3"/>
      <c r="AC12375" s="3"/>
      <c r="AD12375" s="3"/>
      <c r="AE12375" s="3"/>
      <c r="AF12375" s="3"/>
      <c r="AG12375" s="3"/>
      <c r="AH12375" s="3"/>
    </row>
    <row r="12376" spans="1:34" ht="14.25" customHeight="1" x14ac:dyDescent="0.25">
      <c r="A12376" s="3"/>
      <c r="B12376" s="3"/>
      <c r="C12376" s="3"/>
      <c r="D12376" s="3"/>
      <c r="E12376" s="3"/>
      <c r="F12376" s="3"/>
      <c r="G12376" s="3"/>
      <c r="H12376" s="11"/>
      <c r="I12376" s="12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  <c r="AA12376" s="3"/>
      <c r="AB12376" s="3"/>
      <c r="AC12376" s="3"/>
      <c r="AD12376" s="3"/>
      <c r="AE12376" s="3"/>
      <c r="AF12376" s="3"/>
      <c r="AG12376" s="3"/>
      <c r="AH12376" s="3"/>
    </row>
    <row r="12377" spans="1:34" ht="14.25" customHeight="1" x14ac:dyDescent="0.25">
      <c r="A12377" s="3"/>
      <c r="B12377" s="3"/>
      <c r="C12377" s="3"/>
      <c r="D12377" s="3"/>
      <c r="E12377" s="3"/>
      <c r="F12377" s="3"/>
      <c r="G12377" s="3"/>
      <c r="H12377" s="11"/>
      <c r="I12377" s="12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  <c r="AA12377" s="3"/>
      <c r="AB12377" s="3"/>
      <c r="AC12377" s="3"/>
      <c r="AD12377" s="3"/>
      <c r="AE12377" s="3"/>
      <c r="AF12377" s="3"/>
      <c r="AG12377" s="3"/>
      <c r="AH12377" s="3"/>
    </row>
    <row r="12378" spans="1:34" ht="14.25" customHeight="1" x14ac:dyDescent="0.25">
      <c r="A12378" s="3"/>
      <c r="B12378" s="3"/>
      <c r="C12378" s="3"/>
      <c r="D12378" s="3"/>
      <c r="E12378" s="3"/>
      <c r="F12378" s="3"/>
      <c r="G12378" s="14"/>
      <c r="H12378" s="11"/>
      <c r="I12378" s="12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  <c r="AA12378" s="3"/>
      <c r="AB12378" s="3"/>
      <c r="AC12378" s="3"/>
      <c r="AD12378" s="3"/>
      <c r="AE12378" s="3"/>
      <c r="AF12378" s="3"/>
      <c r="AG12378" s="3"/>
      <c r="AH12378" s="3"/>
    </row>
    <row r="12379" spans="1:34" ht="14.25" customHeight="1" x14ac:dyDescent="0.25">
      <c r="A12379" s="3"/>
      <c r="B12379" s="3"/>
      <c r="C12379" s="3"/>
      <c r="D12379" s="3"/>
      <c r="E12379" s="3"/>
      <c r="F12379" s="3"/>
      <c r="G12379" s="3"/>
      <c r="H12379" s="11"/>
      <c r="I12379" s="12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  <c r="AA12379" s="3"/>
      <c r="AB12379" s="3"/>
      <c r="AC12379" s="3"/>
      <c r="AD12379" s="3"/>
      <c r="AE12379" s="3"/>
      <c r="AF12379" s="3"/>
      <c r="AG12379" s="3"/>
      <c r="AH12379" s="3"/>
    </row>
    <row r="12380" spans="1:34" ht="14.25" customHeight="1" x14ac:dyDescent="0.25">
      <c r="A12380" s="3"/>
      <c r="B12380" s="3"/>
      <c r="C12380" s="3"/>
      <c r="D12380" s="3"/>
      <c r="E12380" s="3"/>
      <c r="F12380" s="3"/>
      <c r="G12380" s="3"/>
      <c r="H12380" s="11"/>
      <c r="I12380" s="12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  <c r="AA12380" s="3"/>
      <c r="AB12380" s="3"/>
      <c r="AC12380" s="3"/>
      <c r="AD12380" s="3"/>
      <c r="AE12380" s="3"/>
      <c r="AF12380" s="3"/>
      <c r="AG12380" s="3"/>
      <c r="AH12380" s="3"/>
    </row>
    <row r="12381" spans="1:34" ht="14.25" customHeight="1" x14ac:dyDescent="0.25">
      <c r="A12381" s="3"/>
      <c r="B12381" s="3"/>
      <c r="C12381" s="3"/>
      <c r="D12381" s="3"/>
      <c r="E12381" s="3"/>
      <c r="F12381" s="3"/>
      <c r="G12381" s="3"/>
      <c r="H12381" s="11"/>
      <c r="I12381" s="12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  <c r="AA12381" s="3"/>
      <c r="AB12381" s="3"/>
      <c r="AC12381" s="3"/>
      <c r="AD12381" s="3"/>
      <c r="AE12381" s="3"/>
      <c r="AF12381" s="3"/>
      <c r="AG12381" s="3"/>
      <c r="AH12381" s="3"/>
    </row>
    <row r="12382" spans="1:34" ht="14.25" customHeight="1" x14ac:dyDescent="0.25">
      <c r="A12382" s="3"/>
      <c r="B12382" s="3"/>
      <c r="C12382" s="3"/>
      <c r="D12382" s="3"/>
      <c r="E12382" s="3"/>
      <c r="F12382" s="3"/>
      <c r="G12382" s="3"/>
      <c r="H12382" s="11"/>
      <c r="I12382" s="12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  <c r="AA12382" s="3"/>
      <c r="AB12382" s="3"/>
      <c r="AC12382" s="3"/>
      <c r="AD12382" s="3"/>
      <c r="AE12382" s="3"/>
      <c r="AF12382" s="3"/>
      <c r="AG12382" s="3"/>
      <c r="AH12382" s="3"/>
    </row>
    <row r="12383" spans="1:34" ht="14.25" customHeight="1" x14ac:dyDescent="0.25">
      <c r="A12383" s="3"/>
      <c r="B12383" s="3"/>
      <c r="C12383" s="3"/>
      <c r="D12383" s="3"/>
      <c r="E12383" s="3"/>
      <c r="F12383" s="3"/>
      <c r="G12383" s="3"/>
      <c r="H12383" s="11"/>
      <c r="I12383" s="12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  <c r="AA12383" s="3"/>
      <c r="AB12383" s="3"/>
      <c r="AC12383" s="3"/>
      <c r="AD12383" s="3"/>
      <c r="AE12383" s="3"/>
      <c r="AF12383" s="3"/>
      <c r="AG12383" s="3"/>
      <c r="AH12383" s="3"/>
    </row>
    <row r="12384" spans="1:34" ht="14.25" customHeight="1" x14ac:dyDescent="0.25">
      <c r="A12384" s="3"/>
      <c r="B12384" s="3"/>
      <c r="C12384" s="3"/>
      <c r="D12384" s="3"/>
      <c r="E12384" s="3"/>
      <c r="F12384" s="3"/>
      <c r="G12384" s="3"/>
      <c r="H12384" s="11"/>
      <c r="I12384" s="12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  <c r="AA12384" s="3"/>
      <c r="AB12384" s="3"/>
      <c r="AC12384" s="3"/>
      <c r="AD12384" s="3"/>
      <c r="AE12384" s="3"/>
      <c r="AF12384" s="3"/>
      <c r="AG12384" s="3"/>
      <c r="AH12384" s="3"/>
    </row>
    <row r="12385" spans="1:34" ht="14.25" customHeight="1" x14ac:dyDescent="0.25">
      <c r="A12385" s="3"/>
      <c r="B12385" s="3"/>
      <c r="C12385" s="3"/>
      <c r="D12385" s="3"/>
      <c r="E12385" s="3"/>
      <c r="F12385" s="3"/>
      <c r="G12385" s="3"/>
      <c r="H12385" s="11"/>
      <c r="I12385" s="12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  <c r="AA12385" s="3"/>
      <c r="AB12385" s="3"/>
      <c r="AC12385" s="3"/>
      <c r="AD12385" s="3"/>
      <c r="AE12385" s="3"/>
      <c r="AF12385" s="3"/>
      <c r="AG12385" s="3"/>
      <c r="AH12385" s="3"/>
    </row>
    <row r="12386" spans="1:34" ht="14.25" customHeight="1" x14ac:dyDescent="0.25">
      <c r="A12386" s="3"/>
      <c r="B12386" s="3"/>
      <c r="C12386" s="3"/>
      <c r="D12386" s="3"/>
      <c r="E12386" s="3"/>
      <c r="F12386" s="3"/>
      <c r="G12386" s="3"/>
      <c r="H12386" s="11"/>
      <c r="I12386" s="12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  <c r="AA12386" s="3"/>
      <c r="AB12386" s="3"/>
      <c r="AC12386" s="3"/>
      <c r="AD12386" s="3"/>
      <c r="AE12386" s="3"/>
      <c r="AF12386" s="3"/>
      <c r="AG12386" s="3"/>
      <c r="AH12386" s="3"/>
    </row>
    <row r="12387" spans="1:34" ht="14.25" customHeight="1" x14ac:dyDescent="0.25">
      <c r="A12387" s="3"/>
      <c r="B12387" s="3"/>
      <c r="C12387" s="3"/>
      <c r="D12387" s="3"/>
      <c r="E12387" s="3"/>
      <c r="F12387" s="3"/>
      <c r="G12387" s="3"/>
      <c r="H12387" s="11"/>
      <c r="I12387" s="12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  <c r="AA12387" s="3"/>
      <c r="AB12387" s="3"/>
      <c r="AC12387" s="3"/>
      <c r="AD12387" s="3"/>
      <c r="AE12387" s="3"/>
      <c r="AF12387" s="3"/>
      <c r="AG12387" s="3"/>
      <c r="AH12387" s="3"/>
    </row>
    <row r="12388" spans="1:34" ht="14.25" customHeight="1" x14ac:dyDescent="0.25">
      <c r="A12388" s="3"/>
      <c r="B12388" s="3"/>
      <c r="C12388" s="3"/>
      <c r="D12388" s="3"/>
      <c r="E12388" s="3"/>
      <c r="F12388" s="3"/>
      <c r="G12388" s="3"/>
      <c r="H12388" s="11"/>
      <c r="I12388" s="12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  <c r="AA12388" s="3"/>
      <c r="AB12388" s="3"/>
      <c r="AC12388" s="3"/>
      <c r="AD12388" s="3"/>
      <c r="AE12388" s="3"/>
      <c r="AF12388" s="3"/>
      <c r="AG12388" s="3"/>
      <c r="AH12388" s="3"/>
    </row>
    <row r="12389" spans="1:34" ht="14.25" customHeight="1" x14ac:dyDescent="0.25">
      <c r="A12389" s="3"/>
      <c r="B12389" s="3"/>
      <c r="C12389" s="3"/>
      <c r="D12389" s="3"/>
      <c r="E12389" s="3"/>
      <c r="F12389" s="3"/>
      <c r="G12389" s="3"/>
      <c r="H12389" s="11"/>
      <c r="I12389" s="12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  <c r="AA12389" s="3"/>
      <c r="AB12389" s="3"/>
      <c r="AC12389" s="3"/>
      <c r="AD12389" s="3"/>
      <c r="AE12389" s="3"/>
      <c r="AF12389" s="3"/>
      <c r="AG12389" s="3"/>
      <c r="AH12389" s="3"/>
    </row>
    <row r="12390" spans="1:34" ht="14.25" customHeight="1" x14ac:dyDescent="0.25">
      <c r="A12390" s="3"/>
      <c r="B12390" s="3"/>
      <c r="C12390" s="3"/>
      <c r="D12390" s="3"/>
      <c r="E12390" s="3"/>
      <c r="F12390" s="3"/>
      <c r="G12390" s="3"/>
      <c r="H12390" s="11"/>
      <c r="I12390" s="12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  <c r="AA12390" s="3"/>
      <c r="AB12390" s="3"/>
      <c r="AC12390" s="3"/>
      <c r="AD12390" s="3"/>
      <c r="AE12390" s="3"/>
      <c r="AF12390" s="3"/>
      <c r="AG12390" s="3"/>
      <c r="AH12390" s="3"/>
    </row>
    <row r="12391" spans="1:34" ht="14.25" customHeight="1" x14ac:dyDescent="0.25">
      <c r="A12391" s="3"/>
      <c r="B12391" s="3"/>
      <c r="C12391" s="3"/>
      <c r="D12391" s="3"/>
      <c r="E12391" s="3"/>
      <c r="F12391" s="3"/>
      <c r="G12391" s="3"/>
      <c r="H12391" s="11"/>
      <c r="I12391" s="12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  <c r="AA12391" s="3"/>
      <c r="AB12391" s="3"/>
      <c r="AC12391" s="3"/>
      <c r="AD12391" s="3"/>
      <c r="AE12391" s="3"/>
      <c r="AF12391" s="3"/>
      <c r="AG12391" s="3"/>
      <c r="AH12391" s="3"/>
    </row>
    <row r="12392" spans="1:34" ht="14.25" customHeight="1" x14ac:dyDescent="0.25">
      <c r="A12392" s="3"/>
      <c r="B12392" s="3"/>
      <c r="C12392" s="3"/>
      <c r="D12392" s="3"/>
      <c r="E12392" s="3"/>
      <c r="F12392" s="3"/>
      <c r="G12392" s="3"/>
      <c r="H12392" s="11"/>
      <c r="I12392" s="12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  <c r="AA12392" s="3"/>
      <c r="AB12392" s="3"/>
      <c r="AC12392" s="3"/>
      <c r="AD12392" s="3"/>
      <c r="AE12392" s="3"/>
      <c r="AF12392" s="3"/>
      <c r="AG12392" s="3"/>
      <c r="AH12392" s="3"/>
    </row>
    <row r="12393" spans="1:34" ht="14.25" customHeight="1" x14ac:dyDescent="0.25">
      <c r="A12393" s="3"/>
      <c r="B12393" s="3"/>
      <c r="C12393" s="3"/>
      <c r="D12393" s="3"/>
      <c r="E12393" s="3"/>
      <c r="F12393" s="3"/>
      <c r="G12393" s="3"/>
      <c r="H12393" s="11"/>
      <c r="I12393" s="12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  <c r="AA12393" s="3"/>
      <c r="AB12393" s="3"/>
      <c r="AC12393" s="3"/>
      <c r="AD12393" s="3"/>
      <c r="AE12393" s="3"/>
      <c r="AF12393" s="3"/>
      <c r="AG12393" s="3"/>
      <c r="AH12393" s="3"/>
    </row>
    <row r="12394" spans="1:34" ht="14.25" customHeight="1" x14ac:dyDescent="0.25">
      <c r="A12394" s="3"/>
      <c r="B12394" s="3"/>
      <c r="C12394" s="3"/>
      <c r="D12394" s="3"/>
      <c r="E12394" s="3"/>
      <c r="F12394" s="3"/>
      <c r="G12394" s="3"/>
      <c r="H12394" s="11"/>
      <c r="I12394" s="12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  <c r="AA12394" s="3"/>
      <c r="AB12394" s="3"/>
      <c r="AC12394" s="3"/>
      <c r="AD12394" s="3"/>
      <c r="AE12394" s="3"/>
      <c r="AF12394" s="3"/>
      <c r="AG12394" s="3"/>
      <c r="AH12394" s="3"/>
    </row>
    <row r="12395" spans="1:34" ht="14.25" customHeight="1" x14ac:dyDescent="0.25">
      <c r="A12395" s="3"/>
      <c r="B12395" s="3"/>
      <c r="C12395" s="3"/>
      <c r="D12395" s="3"/>
      <c r="E12395" s="3"/>
      <c r="F12395" s="3"/>
      <c r="G12395" s="3"/>
      <c r="H12395" s="11"/>
      <c r="I12395" s="12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  <c r="AA12395" s="3"/>
      <c r="AB12395" s="3"/>
      <c r="AC12395" s="3"/>
      <c r="AD12395" s="3"/>
      <c r="AE12395" s="3"/>
      <c r="AF12395" s="3"/>
      <c r="AG12395" s="3"/>
      <c r="AH12395" s="3"/>
    </row>
    <row r="12396" spans="1:34" ht="14.25" customHeight="1" x14ac:dyDescent="0.25">
      <c r="A12396" s="3"/>
      <c r="B12396" s="3"/>
      <c r="C12396" s="3"/>
      <c r="D12396" s="3"/>
      <c r="E12396" s="3"/>
      <c r="F12396" s="3"/>
      <c r="G12396" s="3"/>
      <c r="H12396" s="11"/>
      <c r="I12396" s="12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  <c r="AA12396" s="3"/>
      <c r="AB12396" s="3"/>
      <c r="AC12396" s="3"/>
      <c r="AD12396" s="3"/>
      <c r="AE12396" s="3"/>
      <c r="AF12396" s="3"/>
      <c r="AG12396" s="3"/>
      <c r="AH12396" s="3"/>
    </row>
    <row r="12397" spans="1:34" ht="14.25" customHeight="1" x14ac:dyDescent="0.25">
      <c r="A12397" s="3"/>
      <c r="B12397" s="3"/>
      <c r="C12397" s="3"/>
      <c r="D12397" s="3"/>
      <c r="E12397" s="3"/>
      <c r="F12397" s="3"/>
      <c r="G12397" s="3"/>
      <c r="H12397" s="11"/>
      <c r="I12397" s="12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  <c r="AA12397" s="3"/>
      <c r="AB12397" s="3"/>
      <c r="AC12397" s="3"/>
      <c r="AD12397" s="3"/>
      <c r="AE12397" s="3"/>
      <c r="AF12397" s="3"/>
      <c r="AG12397" s="3"/>
      <c r="AH12397" s="3"/>
    </row>
    <row r="12398" spans="1:34" ht="14.25" customHeight="1" x14ac:dyDescent="0.25">
      <c r="A12398" s="3"/>
      <c r="B12398" s="3"/>
      <c r="C12398" s="3"/>
      <c r="D12398" s="3"/>
      <c r="E12398" s="3"/>
      <c r="F12398" s="3"/>
      <c r="G12398" s="3"/>
      <c r="H12398" s="11"/>
      <c r="I12398" s="12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  <c r="AA12398" s="3"/>
      <c r="AB12398" s="3"/>
      <c r="AC12398" s="3"/>
      <c r="AD12398" s="3"/>
      <c r="AE12398" s="3"/>
      <c r="AF12398" s="3"/>
      <c r="AG12398" s="3"/>
      <c r="AH12398" s="3"/>
    </row>
    <row r="12399" spans="1:34" ht="14.25" customHeight="1" x14ac:dyDescent="0.25">
      <c r="A12399" s="3"/>
      <c r="B12399" s="3"/>
      <c r="C12399" s="3"/>
      <c r="D12399" s="3"/>
      <c r="E12399" s="3"/>
      <c r="F12399" s="3"/>
      <c r="G12399" s="3"/>
      <c r="H12399" s="11"/>
      <c r="I12399" s="12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  <c r="AA12399" s="3"/>
      <c r="AB12399" s="3"/>
      <c r="AC12399" s="3"/>
      <c r="AD12399" s="3"/>
      <c r="AE12399" s="3"/>
      <c r="AF12399" s="3"/>
      <c r="AG12399" s="3"/>
      <c r="AH12399" s="3"/>
    </row>
    <row r="12400" spans="1:34" ht="14.25" customHeight="1" x14ac:dyDescent="0.25">
      <c r="A12400" s="3"/>
      <c r="B12400" s="3"/>
      <c r="C12400" s="3"/>
      <c r="D12400" s="3"/>
      <c r="E12400" s="3"/>
      <c r="F12400" s="3"/>
      <c r="G12400" s="3"/>
      <c r="H12400" s="11"/>
      <c r="I12400" s="12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  <c r="AA12400" s="3"/>
      <c r="AB12400" s="3"/>
      <c r="AC12400" s="3"/>
      <c r="AD12400" s="3"/>
      <c r="AE12400" s="3"/>
      <c r="AF12400" s="3"/>
      <c r="AG12400" s="3"/>
      <c r="AH12400" s="3"/>
    </row>
    <row r="12401" spans="1:34" ht="14.25" customHeight="1" x14ac:dyDescent="0.25">
      <c r="A12401" s="3"/>
      <c r="B12401" s="3"/>
      <c r="C12401" s="3"/>
      <c r="D12401" s="3"/>
      <c r="E12401" s="3"/>
      <c r="F12401" s="3"/>
      <c r="G12401" s="3"/>
      <c r="H12401" s="11"/>
      <c r="I12401" s="12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  <c r="AA12401" s="3"/>
      <c r="AB12401" s="3"/>
      <c r="AC12401" s="3"/>
      <c r="AD12401" s="3"/>
      <c r="AE12401" s="3"/>
      <c r="AF12401" s="3"/>
      <c r="AG12401" s="3"/>
      <c r="AH12401" s="3"/>
    </row>
    <row r="12402" spans="1:34" ht="14.25" customHeight="1" x14ac:dyDescent="0.25">
      <c r="A12402" s="3"/>
      <c r="B12402" s="3"/>
      <c r="C12402" s="3"/>
      <c r="D12402" s="3"/>
      <c r="E12402" s="3"/>
      <c r="F12402" s="3"/>
      <c r="G12402" s="3"/>
      <c r="H12402" s="11"/>
      <c r="I12402" s="12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  <c r="AA12402" s="3"/>
      <c r="AB12402" s="3"/>
      <c r="AC12402" s="3"/>
      <c r="AD12402" s="3"/>
      <c r="AE12402" s="3"/>
      <c r="AF12402" s="3"/>
      <c r="AG12402" s="3"/>
      <c r="AH12402" s="3"/>
    </row>
    <row r="12403" spans="1:34" ht="14.25" customHeight="1" x14ac:dyDescent="0.25">
      <c r="A12403" s="3"/>
      <c r="B12403" s="3"/>
      <c r="C12403" s="3"/>
      <c r="D12403" s="3"/>
      <c r="E12403" s="3"/>
      <c r="F12403" s="3"/>
      <c r="G12403" s="3"/>
      <c r="H12403" s="11"/>
      <c r="I12403" s="12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  <c r="AA12403" s="3"/>
      <c r="AB12403" s="3"/>
      <c r="AC12403" s="3"/>
      <c r="AD12403" s="3"/>
      <c r="AE12403" s="3"/>
      <c r="AF12403" s="3"/>
      <c r="AG12403" s="3"/>
      <c r="AH12403" s="3"/>
    </row>
    <row r="12404" spans="1:34" ht="14.25" customHeight="1" x14ac:dyDescent="0.25">
      <c r="A12404" s="3"/>
      <c r="B12404" s="3"/>
      <c r="C12404" s="3"/>
      <c r="D12404" s="3"/>
      <c r="E12404" s="3"/>
      <c r="F12404" s="3"/>
      <c r="G12404" s="3"/>
      <c r="H12404" s="11"/>
      <c r="I12404" s="12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  <c r="AA12404" s="3"/>
      <c r="AB12404" s="3"/>
      <c r="AC12404" s="3"/>
      <c r="AD12404" s="3"/>
      <c r="AE12404" s="3"/>
      <c r="AF12404" s="3"/>
      <c r="AG12404" s="3"/>
      <c r="AH12404" s="3"/>
    </row>
    <row r="12405" spans="1:34" ht="14.25" customHeight="1" x14ac:dyDescent="0.25">
      <c r="A12405" s="3"/>
      <c r="B12405" s="3"/>
      <c r="C12405" s="3"/>
      <c r="D12405" s="3"/>
      <c r="E12405" s="3"/>
      <c r="F12405" s="3"/>
      <c r="G12405" s="3"/>
      <c r="H12405" s="11"/>
      <c r="I12405" s="12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  <c r="AA12405" s="3"/>
      <c r="AB12405" s="3"/>
      <c r="AC12405" s="3"/>
      <c r="AD12405" s="3"/>
      <c r="AE12405" s="3"/>
      <c r="AF12405" s="3"/>
      <c r="AG12405" s="3"/>
      <c r="AH12405" s="3"/>
    </row>
    <row r="12406" spans="1:34" ht="14.25" customHeight="1" x14ac:dyDescent="0.25">
      <c r="A12406" s="3"/>
      <c r="B12406" s="3"/>
      <c r="C12406" s="3"/>
      <c r="D12406" s="3"/>
      <c r="E12406" s="3"/>
      <c r="F12406" s="3"/>
      <c r="G12406" s="3"/>
      <c r="H12406" s="11"/>
      <c r="I12406" s="12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  <c r="AA12406" s="3"/>
      <c r="AB12406" s="3"/>
      <c r="AC12406" s="3"/>
      <c r="AD12406" s="3"/>
      <c r="AE12406" s="3"/>
      <c r="AF12406" s="3"/>
      <c r="AG12406" s="3"/>
      <c r="AH12406" s="3"/>
    </row>
    <row r="12407" spans="1:34" ht="14.25" customHeight="1" x14ac:dyDescent="0.25">
      <c r="A12407" s="3"/>
      <c r="B12407" s="3"/>
      <c r="C12407" s="3"/>
      <c r="D12407" s="3"/>
      <c r="E12407" s="3"/>
      <c r="F12407" s="3"/>
      <c r="G12407" s="3"/>
      <c r="H12407" s="11"/>
      <c r="I12407" s="12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  <c r="AA12407" s="3"/>
      <c r="AB12407" s="3"/>
      <c r="AC12407" s="3"/>
      <c r="AD12407" s="3"/>
      <c r="AE12407" s="3"/>
      <c r="AF12407" s="3"/>
      <c r="AG12407" s="3"/>
      <c r="AH12407" s="3"/>
    </row>
    <row r="12408" spans="1:34" ht="14.25" customHeight="1" x14ac:dyDescent="0.25">
      <c r="A12408" s="3"/>
      <c r="B12408" s="3"/>
      <c r="C12408" s="3"/>
      <c r="D12408" s="3"/>
      <c r="E12408" s="3"/>
      <c r="F12408" s="3"/>
      <c r="G12408" s="3"/>
      <c r="H12408" s="11"/>
      <c r="I12408" s="12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  <c r="AA12408" s="3"/>
      <c r="AB12408" s="3"/>
      <c r="AC12408" s="3"/>
      <c r="AD12408" s="3"/>
      <c r="AE12408" s="3"/>
      <c r="AF12408" s="3"/>
      <c r="AG12408" s="3"/>
      <c r="AH12408" s="3"/>
    </row>
    <row r="12409" spans="1:34" ht="14.25" customHeight="1" x14ac:dyDescent="0.25">
      <c r="A12409" s="3"/>
      <c r="B12409" s="3"/>
      <c r="C12409" s="3"/>
      <c r="D12409" s="3"/>
      <c r="E12409" s="3"/>
      <c r="F12409" s="3"/>
      <c r="G12409" s="3"/>
      <c r="H12409" s="11"/>
      <c r="I12409" s="12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  <c r="AA12409" s="3"/>
      <c r="AB12409" s="3"/>
      <c r="AC12409" s="3"/>
      <c r="AD12409" s="3"/>
      <c r="AE12409" s="3"/>
      <c r="AF12409" s="3"/>
      <c r="AG12409" s="3"/>
      <c r="AH12409" s="3"/>
    </row>
    <row r="12410" spans="1:34" ht="14.25" customHeight="1" x14ac:dyDescent="0.25">
      <c r="A12410" s="3"/>
      <c r="B12410" s="3"/>
      <c r="C12410" s="3"/>
      <c r="D12410" s="3"/>
      <c r="E12410" s="3"/>
      <c r="F12410" s="3"/>
      <c r="G12410" s="3"/>
      <c r="H12410" s="11"/>
      <c r="I12410" s="12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  <c r="AA12410" s="3"/>
      <c r="AB12410" s="3"/>
      <c r="AC12410" s="3"/>
      <c r="AD12410" s="3"/>
      <c r="AE12410" s="3"/>
      <c r="AF12410" s="3"/>
      <c r="AG12410" s="3"/>
      <c r="AH12410" s="3"/>
    </row>
    <row r="12411" spans="1:34" ht="14.25" customHeight="1" x14ac:dyDescent="0.25">
      <c r="A12411" s="3"/>
      <c r="B12411" s="3"/>
      <c r="C12411" s="3"/>
      <c r="D12411" s="3"/>
      <c r="E12411" s="3"/>
      <c r="F12411" s="3"/>
      <c r="G12411" s="3"/>
      <c r="H12411" s="11"/>
      <c r="I12411" s="12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  <c r="AA12411" s="3"/>
      <c r="AB12411" s="3"/>
      <c r="AC12411" s="3"/>
      <c r="AD12411" s="3"/>
      <c r="AE12411" s="3"/>
      <c r="AF12411" s="3"/>
      <c r="AG12411" s="3"/>
      <c r="AH12411" s="3"/>
    </row>
    <row r="12412" spans="1:34" ht="14.25" customHeight="1" x14ac:dyDescent="0.25">
      <c r="A12412" s="3"/>
      <c r="B12412" s="3"/>
      <c r="C12412" s="3"/>
      <c r="D12412" s="3"/>
      <c r="E12412" s="3"/>
      <c r="F12412" s="3"/>
      <c r="G12412" s="3"/>
      <c r="H12412" s="11"/>
      <c r="I12412" s="12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  <c r="AA12412" s="3"/>
      <c r="AB12412" s="3"/>
      <c r="AC12412" s="3"/>
      <c r="AD12412" s="3"/>
      <c r="AE12412" s="3"/>
      <c r="AF12412" s="3"/>
      <c r="AG12412" s="3"/>
      <c r="AH12412" s="3"/>
    </row>
    <row r="12413" spans="1:34" ht="14.25" customHeight="1" x14ac:dyDescent="0.25">
      <c r="A12413" s="3"/>
      <c r="B12413" s="3"/>
      <c r="C12413" s="3"/>
      <c r="D12413" s="3"/>
      <c r="E12413" s="3"/>
      <c r="F12413" s="3"/>
      <c r="G12413" s="3"/>
      <c r="H12413" s="11"/>
      <c r="I12413" s="12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  <c r="AA12413" s="3"/>
      <c r="AB12413" s="3"/>
      <c r="AC12413" s="3"/>
      <c r="AD12413" s="3"/>
      <c r="AE12413" s="3"/>
      <c r="AF12413" s="3"/>
      <c r="AG12413" s="3"/>
      <c r="AH12413" s="3"/>
    </row>
    <row r="12414" spans="1:34" ht="14.25" customHeight="1" x14ac:dyDescent="0.25">
      <c r="A12414" s="3"/>
      <c r="B12414" s="3"/>
      <c r="C12414" s="3"/>
      <c r="D12414" s="3"/>
      <c r="E12414" s="3"/>
      <c r="F12414" s="3"/>
      <c r="G12414" s="3"/>
      <c r="H12414" s="11"/>
      <c r="I12414" s="12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  <c r="AA12414" s="3"/>
      <c r="AB12414" s="3"/>
      <c r="AC12414" s="3"/>
      <c r="AD12414" s="3"/>
      <c r="AE12414" s="3"/>
      <c r="AF12414" s="3"/>
      <c r="AG12414" s="3"/>
      <c r="AH12414" s="3"/>
    </row>
    <row r="12415" spans="1:34" ht="14.25" customHeight="1" x14ac:dyDescent="0.25">
      <c r="A12415" s="3"/>
      <c r="B12415" s="3"/>
      <c r="C12415" s="3"/>
      <c r="D12415" s="3"/>
      <c r="E12415" s="3"/>
      <c r="F12415" s="3"/>
      <c r="G12415" s="3"/>
      <c r="H12415" s="11"/>
      <c r="I12415" s="12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  <c r="AA12415" s="3"/>
      <c r="AB12415" s="3"/>
      <c r="AC12415" s="3"/>
      <c r="AD12415" s="3"/>
      <c r="AE12415" s="3"/>
      <c r="AF12415" s="3"/>
      <c r="AG12415" s="3"/>
      <c r="AH12415" s="3"/>
    </row>
    <row r="12416" spans="1:34" ht="14.25" customHeight="1" x14ac:dyDescent="0.25">
      <c r="A12416" s="3"/>
      <c r="B12416" s="3"/>
      <c r="C12416" s="3"/>
      <c r="D12416" s="3"/>
      <c r="E12416" s="3"/>
      <c r="F12416" s="3"/>
      <c r="G12416" s="3"/>
      <c r="H12416" s="11"/>
      <c r="I12416" s="12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  <c r="AA12416" s="3"/>
      <c r="AB12416" s="3"/>
      <c r="AC12416" s="3"/>
      <c r="AD12416" s="3"/>
      <c r="AE12416" s="3"/>
      <c r="AF12416" s="3"/>
      <c r="AG12416" s="3"/>
      <c r="AH12416" s="3"/>
    </row>
    <row r="12417" spans="1:34" ht="14.25" customHeight="1" x14ac:dyDescent="0.25">
      <c r="A12417" s="3"/>
      <c r="B12417" s="3"/>
      <c r="C12417" s="3"/>
      <c r="D12417" s="3"/>
      <c r="E12417" s="3"/>
      <c r="F12417" s="3"/>
      <c r="G12417" s="3"/>
      <c r="H12417" s="11"/>
      <c r="I12417" s="12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  <c r="AA12417" s="3"/>
      <c r="AB12417" s="3"/>
      <c r="AC12417" s="3"/>
      <c r="AD12417" s="3"/>
      <c r="AE12417" s="3"/>
      <c r="AF12417" s="3"/>
      <c r="AG12417" s="3"/>
      <c r="AH12417" s="3"/>
    </row>
    <row r="12418" spans="1:34" ht="14.25" customHeight="1" x14ac:dyDescent="0.25">
      <c r="A12418" s="3"/>
      <c r="B12418" s="3"/>
      <c r="C12418" s="3"/>
      <c r="D12418" s="3"/>
      <c r="E12418" s="3"/>
      <c r="F12418" s="3"/>
      <c r="G12418" s="3"/>
      <c r="H12418" s="11"/>
      <c r="I12418" s="12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  <c r="AA12418" s="3"/>
      <c r="AB12418" s="3"/>
      <c r="AC12418" s="3"/>
      <c r="AD12418" s="3"/>
      <c r="AE12418" s="3"/>
      <c r="AF12418" s="3"/>
      <c r="AG12418" s="3"/>
      <c r="AH12418" s="3"/>
    </row>
    <row r="12419" spans="1:34" ht="14.25" customHeight="1" x14ac:dyDescent="0.25">
      <c r="A12419" s="3"/>
      <c r="B12419" s="3"/>
      <c r="C12419" s="3"/>
      <c r="D12419" s="3"/>
      <c r="E12419" s="3"/>
      <c r="F12419" s="3"/>
      <c r="G12419" s="3"/>
      <c r="H12419" s="11"/>
      <c r="I12419" s="12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  <c r="AA12419" s="3"/>
      <c r="AB12419" s="3"/>
      <c r="AC12419" s="3"/>
      <c r="AD12419" s="3"/>
      <c r="AE12419" s="3"/>
      <c r="AF12419" s="3"/>
      <c r="AG12419" s="3"/>
      <c r="AH12419" s="3"/>
    </row>
    <row r="12420" spans="1:34" ht="14.25" customHeight="1" x14ac:dyDescent="0.25">
      <c r="A12420" s="3"/>
      <c r="B12420" s="3"/>
      <c r="C12420" s="3"/>
      <c r="D12420" s="3"/>
      <c r="E12420" s="3"/>
      <c r="F12420" s="3"/>
      <c r="G12420" s="3"/>
      <c r="H12420" s="11"/>
      <c r="I12420" s="12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  <c r="AA12420" s="3"/>
      <c r="AB12420" s="3"/>
      <c r="AC12420" s="3"/>
      <c r="AD12420" s="3"/>
      <c r="AE12420" s="3"/>
      <c r="AF12420" s="3"/>
      <c r="AG12420" s="3"/>
      <c r="AH12420" s="3"/>
    </row>
    <row r="12421" spans="1:34" ht="14.25" customHeight="1" x14ac:dyDescent="0.25">
      <c r="A12421" s="3"/>
      <c r="B12421" s="3"/>
      <c r="C12421" s="3"/>
      <c r="D12421" s="3"/>
      <c r="E12421" s="3"/>
      <c r="F12421" s="3"/>
      <c r="G12421" s="3"/>
      <c r="H12421" s="11"/>
      <c r="I12421" s="12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  <c r="AA12421" s="3"/>
      <c r="AB12421" s="3"/>
      <c r="AC12421" s="3"/>
      <c r="AD12421" s="3"/>
      <c r="AE12421" s="3"/>
      <c r="AF12421" s="3"/>
      <c r="AG12421" s="3"/>
      <c r="AH12421" s="3"/>
    </row>
    <row r="12422" spans="1:34" ht="14.25" customHeight="1" x14ac:dyDescent="0.25">
      <c r="A12422" s="3"/>
      <c r="B12422" s="3"/>
      <c r="C12422" s="3"/>
      <c r="D12422" s="3"/>
      <c r="E12422" s="3"/>
      <c r="F12422" s="3"/>
      <c r="G12422" s="3"/>
      <c r="H12422" s="11"/>
      <c r="I12422" s="12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  <c r="AA12422" s="3"/>
      <c r="AB12422" s="3"/>
      <c r="AC12422" s="3"/>
      <c r="AD12422" s="3"/>
      <c r="AE12422" s="3"/>
      <c r="AF12422" s="3"/>
      <c r="AG12422" s="3"/>
      <c r="AH12422" s="3"/>
    </row>
    <row r="12423" spans="1:34" ht="14.25" customHeight="1" x14ac:dyDescent="0.25">
      <c r="A12423" s="3"/>
      <c r="B12423" s="3"/>
      <c r="C12423" s="3"/>
      <c r="D12423" s="3"/>
      <c r="E12423" s="3"/>
      <c r="F12423" s="3"/>
      <c r="G12423" s="3"/>
      <c r="H12423" s="11"/>
      <c r="I12423" s="12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  <c r="AA12423" s="3"/>
      <c r="AB12423" s="3"/>
      <c r="AC12423" s="3"/>
      <c r="AD12423" s="3"/>
      <c r="AE12423" s="3"/>
      <c r="AF12423" s="3"/>
      <c r="AG12423" s="3"/>
      <c r="AH12423" s="3"/>
    </row>
    <row r="12424" spans="1:34" ht="14.25" customHeight="1" x14ac:dyDescent="0.25">
      <c r="A12424" s="3"/>
      <c r="B12424" s="3"/>
      <c r="C12424" s="3"/>
      <c r="D12424" s="3"/>
      <c r="E12424" s="3"/>
      <c r="F12424" s="3"/>
      <c r="G12424" s="3"/>
      <c r="H12424" s="11"/>
      <c r="I12424" s="12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  <c r="AA12424" s="3"/>
      <c r="AB12424" s="3"/>
      <c r="AC12424" s="3"/>
      <c r="AD12424" s="3"/>
      <c r="AE12424" s="3"/>
      <c r="AF12424" s="3"/>
      <c r="AG12424" s="3"/>
      <c r="AH12424" s="3"/>
    </row>
    <row r="12425" spans="1:34" ht="14.25" customHeight="1" x14ac:dyDescent="0.25">
      <c r="A12425" s="3"/>
      <c r="B12425" s="3"/>
      <c r="C12425" s="3"/>
      <c r="D12425" s="3"/>
      <c r="E12425" s="3"/>
      <c r="F12425" s="3"/>
      <c r="G12425" s="3"/>
      <c r="H12425" s="11"/>
      <c r="I12425" s="12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  <c r="AA12425" s="3"/>
      <c r="AB12425" s="3"/>
      <c r="AC12425" s="3"/>
      <c r="AD12425" s="3"/>
      <c r="AE12425" s="3"/>
      <c r="AF12425" s="3"/>
      <c r="AG12425" s="3"/>
      <c r="AH12425" s="3"/>
    </row>
    <row r="12426" spans="1:34" ht="14.25" customHeight="1" x14ac:dyDescent="0.25">
      <c r="A12426" s="3"/>
      <c r="B12426" s="3"/>
      <c r="C12426" s="3"/>
      <c r="D12426" s="3"/>
      <c r="E12426" s="3"/>
      <c r="F12426" s="3"/>
      <c r="G12426" s="3"/>
      <c r="H12426" s="11"/>
      <c r="I12426" s="12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  <c r="AA12426" s="3"/>
      <c r="AB12426" s="3"/>
      <c r="AC12426" s="3"/>
      <c r="AD12426" s="3"/>
      <c r="AE12426" s="3"/>
      <c r="AF12426" s="3"/>
      <c r="AG12426" s="3"/>
      <c r="AH12426" s="3"/>
    </row>
    <row r="12427" spans="1:34" ht="14.25" customHeight="1" x14ac:dyDescent="0.25">
      <c r="A12427" s="3"/>
      <c r="B12427" s="3"/>
      <c r="C12427" s="3"/>
      <c r="D12427" s="3"/>
      <c r="E12427" s="3"/>
      <c r="F12427" s="3"/>
      <c r="G12427" s="3"/>
      <c r="H12427" s="11"/>
      <c r="I12427" s="12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  <c r="AA12427" s="3"/>
      <c r="AB12427" s="3"/>
      <c r="AC12427" s="3"/>
      <c r="AD12427" s="3"/>
      <c r="AE12427" s="3"/>
      <c r="AF12427" s="3"/>
      <c r="AG12427" s="3"/>
      <c r="AH12427" s="3"/>
    </row>
    <row r="12428" spans="1:34" ht="14.25" customHeight="1" x14ac:dyDescent="0.25">
      <c r="A12428" s="3"/>
      <c r="B12428" s="3"/>
      <c r="C12428" s="3"/>
      <c r="D12428" s="3"/>
      <c r="E12428" s="3"/>
      <c r="F12428" s="3"/>
      <c r="G12428" s="3"/>
      <c r="H12428" s="11"/>
      <c r="I12428" s="12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  <c r="AA12428" s="3"/>
      <c r="AB12428" s="3"/>
      <c r="AC12428" s="3"/>
      <c r="AD12428" s="3"/>
      <c r="AE12428" s="3"/>
      <c r="AF12428" s="3"/>
      <c r="AG12428" s="3"/>
      <c r="AH12428" s="3"/>
    </row>
    <row r="12429" spans="1:34" ht="14.25" customHeight="1" x14ac:dyDescent="0.25">
      <c r="A12429" s="3"/>
      <c r="B12429" s="3"/>
      <c r="C12429" s="3"/>
      <c r="D12429" s="3"/>
      <c r="E12429" s="3"/>
      <c r="F12429" s="3"/>
      <c r="G12429" s="3"/>
      <c r="H12429" s="11"/>
      <c r="I12429" s="12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  <c r="AA12429" s="3"/>
      <c r="AB12429" s="3"/>
      <c r="AC12429" s="3"/>
      <c r="AD12429" s="3"/>
      <c r="AE12429" s="3"/>
      <c r="AF12429" s="3"/>
      <c r="AG12429" s="3"/>
      <c r="AH12429" s="3"/>
    </row>
    <row r="12430" spans="1:34" ht="14.25" customHeight="1" x14ac:dyDescent="0.25">
      <c r="A12430" s="3"/>
      <c r="B12430" s="3"/>
      <c r="C12430" s="3"/>
      <c r="D12430" s="3"/>
      <c r="E12430" s="3"/>
      <c r="F12430" s="3"/>
      <c r="G12430" s="3"/>
      <c r="H12430" s="11"/>
      <c r="I12430" s="12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  <c r="AA12430" s="3"/>
      <c r="AB12430" s="3"/>
      <c r="AC12430" s="3"/>
      <c r="AD12430" s="3"/>
      <c r="AE12430" s="3"/>
      <c r="AF12430" s="3"/>
      <c r="AG12430" s="3"/>
      <c r="AH12430" s="3"/>
    </row>
    <row r="12431" spans="1:34" ht="14.25" customHeight="1" x14ac:dyDescent="0.25">
      <c r="A12431" s="3"/>
      <c r="B12431" s="3"/>
      <c r="C12431" s="3"/>
      <c r="D12431" s="3"/>
      <c r="E12431" s="3"/>
      <c r="F12431" s="3"/>
      <c r="G12431" s="3"/>
      <c r="H12431" s="11"/>
      <c r="I12431" s="12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  <c r="AA12431" s="3"/>
      <c r="AB12431" s="3"/>
      <c r="AC12431" s="3"/>
      <c r="AD12431" s="3"/>
      <c r="AE12431" s="3"/>
      <c r="AF12431" s="3"/>
      <c r="AG12431" s="3"/>
      <c r="AH12431" s="3"/>
    </row>
    <row r="12432" spans="1:34" ht="14.25" customHeight="1" x14ac:dyDescent="0.25">
      <c r="A12432" s="3"/>
      <c r="B12432" s="3"/>
      <c r="C12432" s="3"/>
      <c r="D12432" s="3"/>
      <c r="E12432" s="3"/>
      <c r="F12432" s="3"/>
      <c r="G12432" s="3"/>
      <c r="H12432" s="11"/>
      <c r="I12432" s="12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  <c r="AA12432" s="3"/>
      <c r="AB12432" s="3"/>
      <c r="AC12432" s="3"/>
      <c r="AD12432" s="3"/>
      <c r="AE12432" s="3"/>
      <c r="AF12432" s="3"/>
      <c r="AG12432" s="3"/>
      <c r="AH12432" s="3"/>
    </row>
    <row r="12433" spans="1:34" ht="14.25" customHeight="1" x14ac:dyDescent="0.25">
      <c r="A12433" s="3"/>
      <c r="B12433" s="3"/>
      <c r="C12433" s="3"/>
      <c r="D12433" s="3"/>
      <c r="E12433" s="3"/>
      <c r="F12433" s="3"/>
      <c r="G12433" s="3"/>
      <c r="H12433" s="11"/>
      <c r="I12433" s="12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  <c r="AA12433" s="3"/>
      <c r="AB12433" s="3"/>
      <c r="AC12433" s="3"/>
      <c r="AD12433" s="3"/>
      <c r="AE12433" s="3"/>
      <c r="AF12433" s="3"/>
      <c r="AG12433" s="3"/>
      <c r="AH12433" s="3"/>
    </row>
    <row r="12434" spans="1:34" ht="14.25" customHeight="1" x14ac:dyDescent="0.25">
      <c r="A12434" s="3"/>
      <c r="B12434" s="3"/>
      <c r="C12434" s="3"/>
      <c r="D12434" s="3"/>
      <c r="E12434" s="3"/>
      <c r="F12434" s="3"/>
      <c r="G12434" s="3"/>
      <c r="H12434" s="11"/>
      <c r="I12434" s="12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  <c r="AA12434" s="3"/>
      <c r="AB12434" s="3"/>
      <c r="AC12434" s="3"/>
      <c r="AD12434" s="3"/>
      <c r="AE12434" s="3"/>
      <c r="AF12434" s="3"/>
      <c r="AG12434" s="3"/>
      <c r="AH12434" s="3"/>
    </row>
    <row r="12435" spans="1:34" ht="14.25" customHeight="1" x14ac:dyDescent="0.25">
      <c r="A12435" s="3"/>
      <c r="B12435" s="3"/>
      <c r="C12435" s="3"/>
      <c r="D12435" s="3"/>
      <c r="E12435" s="3"/>
      <c r="F12435" s="3"/>
      <c r="G12435" s="3"/>
      <c r="H12435" s="11"/>
      <c r="I12435" s="12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  <c r="AA12435" s="3"/>
      <c r="AB12435" s="3"/>
      <c r="AC12435" s="3"/>
      <c r="AD12435" s="3"/>
      <c r="AE12435" s="3"/>
      <c r="AF12435" s="3"/>
      <c r="AG12435" s="3"/>
      <c r="AH12435" s="3"/>
    </row>
    <row r="12436" spans="1:34" ht="14.25" customHeight="1" x14ac:dyDescent="0.25">
      <c r="A12436" s="3"/>
      <c r="B12436" s="3"/>
      <c r="C12436" s="3"/>
      <c r="D12436" s="3"/>
      <c r="E12436" s="3"/>
      <c r="F12436" s="3"/>
      <c r="G12436" s="3"/>
      <c r="H12436" s="11"/>
      <c r="I12436" s="12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  <c r="AA12436" s="3"/>
      <c r="AB12436" s="3"/>
      <c r="AC12436" s="3"/>
      <c r="AD12436" s="3"/>
      <c r="AE12436" s="3"/>
      <c r="AF12436" s="3"/>
      <c r="AG12436" s="3"/>
      <c r="AH12436" s="3"/>
    </row>
    <row r="12437" spans="1:34" ht="14.25" customHeight="1" x14ac:dyDescent="0.25">
      <c r="A12437" s="3"/>
      <c r="B12437" s="3"/>
      <c r="C12437" s="3"/>
      <c r="D12437" s="3"/>
      <c r="E12437" s="3"/>
      <c r="F12437" s="3"/>
      <c r="G12437" s="3"/>
      <c r="H12437" s="11"/>
      <c r="I12437" s="12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  <c r="AA12437" s="3"/>
      <c r="AB12437" s="3"/>
      <c r="AC12437" s="3"/>
      <c r="AD12437" s="3"/>
      <c r="AE12437" s="3"/>
      <c r="AF12437" s="3"/>
      <c r="AG12437" s="3"/>
      <c r="AH12437" s="3"/>
    </row>
    <row r="12438" spans="1:34" ht="14.25" customHeight="1" x14ac:dyDescent="0.25">
      <c r="A12438" s="3"/>
      <c r="B12438" s="3"/>
      <c r="C12438" s="3"/>
      <c r="D12438" s="3"/>
      <c r="E12438" s="3"/>
      <c r="F12438" s="3"/>
      <c r="G12438" s="3"/>
      <c r="H12438" s="11"/>
      <c r="I12438" s="12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  <c r="AA12438" s="3"/>
      <c r="AB12438" s="3"/>
      <c r="AC12438" s="3"/>
      <c r="AD12438" s="3"/>
      <c r="AE12438" s="3"/>
      <c r="AF12438" s="3"/>
      <c r="AG12438" s="3"/>
      <c r="AH12438" s="3"/>
    </row>
    <row r="12439" spans="1:34" ht="14.25" customHeight="1" x14ac:dyDescent="0.25">
      <c r="A12439" s="3"/>
      <c r="B12439" s="3"/>
      <c r="C12439" s="3"/>
      <c r="D12439" s="3"/>
      <c r="E12439" s="3"/>
      <c r="F12439" s="3"/>
      <c r="G12439" s="3"/>
      <c r="H12439" s="11"/>
      <c r="I12439" s="12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  <c r="AA12439" s="3"/>
      <c r="AB12439" s="3"/>
      <c r="AC12439" s="3"/>
      <c r="AD12439" s="3"/>
      <c r="AE12439" s="3"/>
      <c r="AF12439" s="3"/>
      <c r="AG12439" s="3"/>
      <c r="AH12439" s="3"/>
    </row>
    <row r="12440" spans="1:34" ht="14.25" customHeight="1" x14ac:dyDescent="0.25">
      <c r="A12440" s="3"/>
      <c r="B12440" s="3"/>
      <c r="C12440" s="3"/>
      <c r="D12440" s="3"/>
      <c r="E12440" s="3"/>
      <c r="F12440" s="3"/>
      <c r="G12440" s="3"/>
      <c r="H12440" s="11"/>
      <c r="I12440" s="12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  <c r="AA12440" s="3"/>
      <c r="AB12440" s="3"/>
      <c r="AC12440" s="3"/>
      <c r="AD12440" s="3"/>
      <c r="AE12440" s="3"/>
      <c r="AF12440" s="3"/>
      <c r="AG12440" s="3"/>
      <c r="AH12440" s="3"/>
    </row>
    <row r="12441" spans="1:34" ht="14.25" customHeight="1" x14ac:dyDescent="0.25">
      <c r="A12441" s="3"/>
      <c r="B12441" s="3"/>
      <c r="C12441" s="3"/>
      <c r="D12441" s="3"/>
      <c r="E12441" s="3"/>
      <c r="F12441" s="3"/>
      <c r="G12441" s="3"/>
      <c r="H12441" s="11"/>
      <c r="I12441" s="12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  <c r="AA12441" s="3"/>
      <c r="AB12441" s="3"/>
      <c r="AC12441" s="3"/>
      <c r="AD12441" s="3"/>
      <c r="AE12441" s="3"/>
      <c r="AF12441" s="3"/>
      <c r="AG12441" s="3"/>
      <c r="AH12441" s="3"/>
    </row>
    <row r="12442" spans="1:34" ht="14.25" customHeight="1" x14ac:dyDescent="0.25">
      <c r="A12442" s="3"/>
      <c r="B12442" s="3"/>
      <c r="C12442" s="3"/>
      <c r="D12442" s="3"/>
      <c r="E12442" s="3"/>
      <c r="F12442" s="3"/>
      <c r="G12442" s="3"/>
      <c r="H12442" s="11"/>
      <c r="I12442" s="12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  <c r="AA12442" s="3"/>
      <c r="AB12442" s="3"/>
      <c r="AC12442" s="3"/>
      <c r="AD12442" s="3"/>
      <c r="AE12442" s="3"/>
      <c r="AF12442" s="3"/>
      <c r="AG12442" s="3"/>
      <c r="AH12442" s="3"/>
    </row>
    <row r="12443" spans="1:34" ht="14.25" customHeight="1" x14ac:dyDescent="0.25">
      <c r="A12443" s="3"/>
      <c r="B12443" s="3"/>
      <c r="C12443" s="3"/>
      <c r="D12443" s="3"/>
      <c r="E12443" s="3"/>
      <c r="F12443" s="3"/>
      <c r="G12443" s="3"/>
      <c r="H12443" s="11"/>
      <c r="I12443" s="12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  <c r="AA12443" s="3"/>
      <c r="AB12443" s="3"/>
      <c r="AC12443" s="3"/>
      <c r="AD12443" s="3"/>
      <c r="AE12443" s="3"/>
      <c r="AF12443" s="3"/>
      <c r="AG12443" s="3"/>
      <c r="AH12443" s="3"/>
    </row>
    <row r="12444" spans="1:34" ht="14.25" customHeight="1" x14ac:dyDescent="0.25">
      <c r="A12444" s="3"/>
      <c r="B12444" s="3"/>
      <c r="C12444" s="3"/>
      <c r="D12444" s="3"/>
      <c r="E12444" s="3"/>
      <c r="F12444" s="3"/>
      <c r="G12444" s="3"/>
      <c r="H12444" s="11"/>
      <c r="I12444" s="12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  <c r="AA12444" s="3"/>
      <c r="AB12444" s="3"/>
      <c r="AC12444" s="3"/>
      <c r="AD12444" s="3"/>
      <c r="AE12444" s="3"/>
      <c r="AF12444" s="3"/>
      <c r="AG12444" s="3"/>
      <c r="AH12444" s="3"/>
    </row>
    <row r="12445" spans="1:34" ht="14.25" customHeight="1" x14ac:dyDescent="0.25">
      <c r="A12445" s="3"/>
      <c r="B12445" s="3"/>
      <c r="C12445" s="3"/>
      <c r="D12445" s="3"/>
      <c r="E12445" s="3"/>
      <c r="F12445" s="3"/>
      <c r="G12445" s="3"/>
      <c r="H12445" s="11"/>
      <c r="I12445" s="12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  <c r="AA12445" s="3"/>
      <c r="AB12445" s="3"/>
      <c r="AC12445" s="3"/>
      <c r="AD12445" s="3"/>
      <c r="AE12445" s="3"/>
      <c r="AF12445" s="3"/>
      <c r="AG12445" s="3"/>
      <c r="AH12445" s="3"/>
    </row>
    <row r="12446" spans="1:34" ht="14.25" customHeight="1" x14ac:dyDescent="0.25">
      <c r="A12446" s="3"/>
      <c r="B12446" s="3"/>
      <c r="C12446" s="3"/>
      <c r="D12446" s="3"/>
      <c r="E12446" s="3"/>
      <c r="F12446" s="3"/>
      <c r="G12446" s="3"/>
      <c r="H12446" s="11"/>
      <c r="I12446" s="12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  <c r="AA12446" s="3"/>
      <c r="AB12446" s="3"/>
      <c r="AC12446" s="3"/>
      <c r="AD12446" s="3"/>
      <c r="AE12446" s="3"/>
      <c r="AF12446" s="3"/>
      <c r="AG12446" s="3"/>
      <c r="AH12446" s="3"/>
    </row>
    <row r="12447" spans="1:34" ht="14.25" customHeight="1" x14ac:dyDescent="0.25">
      <c r="A12447" s="3"/>
      <c r="B12447" s="3"/>
      <c r="C12447" s="3"/>
      <c r="D12447" s="3"/>
      <c r="E12447" s="3"/>
      <c r="F12447" s="3"/>
      <c r="G12447" s="3"/>
      <c r="H12447" s="11"/>
      <c r="I12447" s="12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  <c r="AA12447" s="3"/>
      <c r="AB12447" s="3"/>
      <c r="AC12447" s="3"/>
      <c r="AD12447" s="3"/>
      <c r="AE12447" s="3"/>
      <c r="AF12447" s="3"/>
      <c r="AG12447" s="3"/>
      <c r="AH12447" s="3"/>
    </row>
    <row r="12448" spans="1:34" ht="14.25" customHeight="1" x14ac:dyDescent="0.25">
      <c r="A12448" s="3"/>
      <c r="B12448" s="3"/>
      <c r="C12448" s="3"/>
      <c r="D12448" s="3"/>
      <c r="E12448" s="3"/>
      <c r="F12448" s="3"/>
      <c r="G12448" s="3"/>
      <c r="H12448" s="11"/>
      <c r="I12448" s="12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  <c r="AA12448" s="3"/>
      <c r="AB12448" s="3"/>
      <c r="AC12448" s="3"/>
      <c r="AD12448" s="3"/>
      <c r="AE12448" s="3"/>
      <c r="AF12448" s="3"/>
      <c r="AG12448" s="3"/>
      <c r="AH12448" s="3"/>
    </row>
    <row r="12449" spans="1:34" ht="14.25" customHeight="1" x14ac:dyDescent="0.25">
      <c r="A12449" s="3"/>
      <c r="B12449" s="3"/>
      <c r="C12449" s="3"/>
      <c r="D12449" s="3"/>
      <c r="E12449" s="3"/>
      <c r="F12449" s="3"/>
      <c r="G12449" s="3"/>
      <c r="H12449" s="11"/>
      <c r="I12449" s="12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  <c r="AA12449" s="3"/>
      <c r="AB12449" s="3"/>
      <c r="AC12449" s="3"/>
      <c r="AD12449" s="3"/>
      <c r="AE12449" s="3"/>
      <c r="AF12449" s="3"/>
      <c r="AG12449" s="3"/>
      <c r="AH12449" s="3"/>
    </row>
    <row r="12450" spans="1:34" ht="14.25" customHeight="1" x14ac:dyDescent="0.25">
      <c r="A12450" s="3"/>
      <c r="B12450" s="3"/>
      <c r="C12450" s="3"/>
      <c r="D12450" s="3"/>
      <c r="E12450" s="3"/>
      <c r="F12450" s="3"/>
      <c r="G12450" s="3"/>
      <c r="H12450" s="11"/>
      <c r="I12450" s="12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  <c r="AA12450" s="3"/>
      <c r="AB12450" s="3"/>
      <c r="AC12450" s="3"/>
      <c r="AD12450" s="3"/>
      <c r="AE12450" s="3"/>
      <c r="AF12450" s="3"/>
      <c r="AG12450" s="3"/>
      <c r="AH12450" s="3"/>
    </row>
    <row r="12451" spans="1:34" ht="14.25" customHeight="1" x14ac:dyDescent="0.25">
      <c r="A12451" s="3"/>
      <c r="B12451" s="3"/>
      <c r="C12451" s="3"/>
      <c r="D12451" s="3"/>
      <c r="E12451" s="3"/>
      <c r="F12451" s="3"/>
      <c r="G12451" s="3"/>
      <c r="H12451" s="11"/>
      <c r="I12451" s="12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  <c r="AA12451" s="3"/>
      <c r="AB12451" s="3"/>
      <c r="AC12451" s="3"/>
      <c r="AD12451" s="3"/>
      <c r="AE12451" s="3"/>
      <c r="AF12451" s="3"/>
      <c r="AG12451" s="3"/>
      <c r="AH12451" s="3"/>
    </row>
    <row r="12452" spans="1:34" ht="14.25" customHeight="1" x14ac:dyDescent="0.25">
      <c r="A12452" s="3"/>
      <c r="B12452" s="3"/>
      <c r="C12452" s="3"/>
      <c r="D12452" s="3"/>
      <c r="E12452" s="3"/>
      <c r="F12452" s="3"/>
      <c r="G12452" s="3"/>
      <c r="H12452" s="11"/>
      <c r="I12452" s="12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  <c r="AA12452" s="3"/>
      <c r="AB12452" s="3"/>
      <c r="AC12452" s="3"/>
      <c r="AD12452" s="3"/>
      <c r="AE12452" s="3"/>
      <c r="AF12452" s="3"/>
      <c r="AG12452" s="3"/>
      <c r="AH12452" s="3"/>
    </row>
    <row r="12453" spans="1:34" ht="14.25" customHeight="1" x14ac:dyDescent="0.25">
      <c r="A12453" s="3"/>
      <c r="B12453" s="3"/>
      <c r="C12453" s="3"/>
      <c r="D12453" s="3"/>
      <c r="E12453" s="3"/>
      <c r="F12453" s="3"/>
      <c r="G12453" s="3"/>
      <c r="H12453" s="11"/>
      <c r="I12453" s="12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  <c r="AA12453" s="3"/>
      <c r="AB12453" s="3"/>
      <c r="AC12453" s="3"/>
      <c r="AD12453" s="3"/>
      <c r="AE12453" s="3"/>
      <c r="AF12453" s="3"/>
      <c r="AG12453" s="3"/>
      <c r="AH12453" s="3"/>
    </row>
    <row r="12454" spans="1:34" ht="14.25" customHeight="1" x14ac:dyDescent="0.25">
      <c r="A12454" s="3"/>
      <c r="B12454" s="3"/>
      <c r="C12454" s="3"/>
      <c r="D12454" s="3"/>
      <c r="E12454" s="3"/>
      <c r="F12454" s="3"/>
      <c r="G12454" s="3"/>
      <c r="H12454" s="11"/>
      <c r="I12454" s="12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  <c r="AA12454" s="3"/>
      <c r="AB12454" s="3"/>
      <c r="AC12454" s="3"/>
      <c r="AD12454" s="3"/>
      <c r="AE12454" s="3"/>
      <c r="AF12454" s="3"/>
      <c r="AG12454" s="3"/>
      <c r="AH12454" s="3"/>
    </row>
    <row r="12455" spans="1:34" ht="14.25" customHeight="1" x14ac:dyDescent="0.25">
      <c r="A12455" s="3"/>
      <c r="B12455" s="3"/>
      <c r="C12455" s="3"/>
      <c r="D12455" s="3"/>
      <c r="E12455" s="3"/>
      <c r="F12455" s="3"/>
      <c r="G12455" s="3"/>
      <c r="H12455" s="11"/>
      <c r="I12455" s="12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  <c r="AA12455" s="3"/>
      <c r="AB12455" s="3"/>
      <c r="AC12455" s="3"/>
      <c r="AD12455" s="3"/>
      <c r="AE12455" s="3"/>
      <c r="AF12455" s="3"/>
      <c r="AG12455" s="3"/>
      <c r="AH12455" s="3"/>
    </row>
    <row r="12456" spans="1:34" ht="14.25" customHeight="1" x14ac:dyDescent="0.25">
      <c r="A12456" s="3"/>
      <c r="B12456" s="3"/>
      <c r="C12456" s="3"/>
      <c r="D12456" s="3"/>
      <c r="E12456" s="3"/>
      <c r="F12456" s="3"/>
      <c r="G12456" s="3"/>
      <c r="H12456" s="11"/>
      <c r="I12456" s="12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  <c r="AA12456" s="3"/>
      <c r="AB12456" s="3"/>
      <c r="AC12456" s="3"/>
      <c r="AD12456" s="3"/>
      <c r="AE12456" s="3"/>
      <c r="AF12456" s="3"/>
      <c r="AG12456" s="3"/>
      <c r="AH12456" s="3"/>
    </row>
    <row r="12457" spans="1:34" ht="14.25" customHeight="1" x14ac:dyDescent="0.25">
      <c r="A12457" s="3"/>
      <c r="B12457" s="3"/>
      <c r="C12457" s="3"/>
      <c r="D12457" s="3"/>
      <c r="E12457" s="3"/>
      <c r="F12457" s="3"/>
      <c r="G12457" s="3"/>
      <c r="H12457" s="11"/>
      <c r="I12457" s="12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  <c r="AA12457" s="3"/>
      <c r="AB12457" s="3"/>
      <c r="AC12457" s="3"/>
      <c r="AD12457" s="3"/>
      <c r="AE12457" s="3"/>
      <c r="AF12457" s="3"/>
      <c r="AG12457" s="3"/>
      <c r="AH12457" s="3"/>
    </row>
    <row r="12458" spans="1:34" ht="14.25" customHeight="1" x14ac:dyDescent="0.25">
      <c r="A12458" s="3"/>
      <c r="B12458" s="3"/>
      <c r="C12458" s="3"/>
      <c r="D12458" s="3"/>
      <c r="E12458" s="3"/>
      <c r="F12458" s="3"/>
      <c r="G12458" s="3"/>
      <c r="H12458" s="11"/>
      <c r="I12458" s="12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  <c r="AA12458" s="3"/>
      <c r="AB12458" s="3"/>
      <c r="AC12458" s="3"/>
      <c r="AD12458" s="3"/>
      <c r="AE12458" s="3"/>
      <c r="AF12458" s="3"/>
      <c r="AG12458" s="3"/>
      <c r="AH12458" s="3"/>
    </row>
    <row r="12459" spans="1:34" ht="14.25" customHeight="1" x14ac:dyDescent="0.25">
      <c r="A12459" s="3"/>
      <c r="B12459" s="3"/>
      <c r="C12459" s="3"/>
      <c r="D12459" s="3"/>
      <c r="E12459" s="3"/>
      <c r="F12459" s="3"/>
      <c r="G12459" s="3"/>
      <c r="H12459" s="11"/>
      <c r="I12459" s="12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  <c r="AA12459" s="3"/>
      <c r="AB12459" s="3"/>
      <c r="AC12459" s="3"/>
      <c r="AD12459" s="3"/>
      <c r="AE12459" s="3"/>
      <c r="AF12459" s="3"/>
      <c r="AG12459" s="3"/>
      <c r="AH12459" s="3"/>
    </row>
    <row r="12460" spans="1:34" ht="14.25" customHeight="1" x14ac:dyDescent="0.25">
      <c r="A12460" s="3"/>
      <c r="B12460" s="3"/>
      <c r="C12460" s="3"/>
      <c r="D12460" s="3"/>
      <c r="E12460" s="3"/>
      <c r="F12460" s="3"/>
      <c r="G12460" s="3"/>
      <c r="H12460" s="11"/>
      <c r="I12460" s="12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  <c r="AA12460" s="3"/>
      <c r="AB12460" s="3"/>
      <c r="AC12460" s="3"/>
      <c r="AD12460" s="3"/>
      <c r="AE12460" s="3"/>
      <c r="AF12460" s="3"/>
      <c r="AG12460" s="3"/>
      <c r="AH12460" s="3"/>
    </row>
    <row r="12461" spans="1:34" ht="14.25" customHeight="1" x14ac:dyDescent="0.25">
      <c r="A12461" s="3"/>
      <c r="B12461" s="3"/>
      <c r="C12461" s="3"/>
      <c r="D12461" s="3"/>
      <c r="E12461" s="3"/>
      <c r="F12461" s="3"/>
      <c r="G12461" s="3"/>
      <c r="H12461" s="11"/>
      <c r="I12461" s="12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  <c r="AA12461" s="3"/>
      <c r="AB12461" s="3"/>
      <c r="AC12461" s="3"/>
      <c r="AD12461" s="3"/>
      <c r="AE12461" s="3"/>
      <c r="AF12461" s="3"/>
      <c r="AG12461" s="3"/>
      <c r="AH12461" s="3"/>
    </row>
    <row r="12462" spans="1:34" ht="14.25" customHeight="1" x14ac:dyDescent="0.25">
      <c r="A12462" s="3"/>
      <c r="B12462" s="3"/>
      <c r="C12462" s="3"/>
      <c r="D12462" s="3"/>
      <c r="E12462" s="3"/>
      <c r="F12462" s="3"/>
      <c r="G12462" s="3"/>
      <c r="H12462" s="11"/>
      <c r="I12462" s="12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  <c r="AA12462" s="3"/>
      <c r="AB12462" s="3"/>
      <c r="AC12462" s="3"/>
      <c r="AD12462" s="3"/>
      <c r="AE12462" s="3"/>
      <c r="AF12462" s="3"/>
      <c r="AG12462" s="3"/>
      <c r="AH12462" s="3"/>
    </row>
    <row r="12463" spans="1:34" ht="14.25" customHeight="1" x14ac:dyDescent="0.25">
      <c r="A12463" s="3"/>
      <c r="B12463" s="3"/>
      <c r="C12463" s="3"/>
      <c r="D12463" s="3"/>
      <c r="E12463" s="3"/>
      <c r="F12463" s="3"/>
      <c r="G12463" s="3"/>
      <c r="H12463" s="11"/>
      <c r="I12463" s="12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  <c r="AA12463" s="3"/>
      <c r="AB12463" s="3"/>
      <c r="AC12463" s="3"/>
      <c r="AD12463" s="3"/>
      <c r="AE12463" s="3"/>
      <c r="AF12463" s="3"/>
      <c r="AG12463" s="3"/>
      <c r="AH12463" s="3"/>
    </row>
    <row r="12464" spans="1:34" ht="14.25" customHeight="1" x14ac:dyDescent="0.25">
      <c r="A12464" s="3"/>
      <c r="B12464" s="3"/>
      <c r="C12464" s="3"/>
      <c r="D12464" s="3"/>
      <c r="E12464" s="3"/>
      <c r="F12464" s="3"/>
      <c r="G12464" s="3"/>
      <c r="H12464" s="11"/>
      <c r="I12464" s="12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  <c r="AA12464" s="3"/>
      <c r="AB12464" s="3"/>
      <c r="AC12464" s="3"/>
      <c r="AD12464" s="3"/>
      <c r="AE12464" s="3"/>
      <c r="AF12464" s="3"/>
      <c r="AG12464" s="3"/>
      <c r="AH12464" s="3"/>
    </row>
    <row r="12465" spans="1:34" ht="14.25" customHeight="1" x14ac:dyDescent="0.25">
      <c r="A12465" s="3"/>
      <c r="B12465" s="3"/>
      <c r="C12465" s="3"/>
      <c r="D12465" s="3"/>
      <c r="E12465" s="3"/>
      <c r="F12465" s="3"/>
      <c r="G12465" s="3"/>
      <c r="H12465" s="11"/>
      <c r="I12465" s="12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  <c r="AA12465" s="3"/>
      <c r="AB12465" s="3"/>
      <c r="AC12465" s="3"/>
      <c r="AD12465" s="3"/>
      <c r="AE12465" s="3"/>
      <c r="AF12465" s="3"/>
      <c r="AG12465" s="3"/>
      <c r="AH12465" s="3"/>
    </row>
    <row r="12466" spans="1:34" ht="14.25" customHeight="1" x14ac:dyDescent="0.25">
      <c r="A12466" s="3"/>
      <c r="B12466" s="3"/>
      <c r="C12466" s="3"/>
      <c r="D12466" s="3"/>
      <c r="E12466" s="3"/>
      <c r="F12466" s="3"/>
      <c r="G12466" s="3"/>
      <c r="H12466" s="11"/>
      <c r="I12466" s="12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  <c r="AA12466" s="3"/>
      <c r="AB12466" s="3"/>
      <c r="AC12466" s="3"/>
      <c r="AD12466" s="3"/>
      <c r="AE12466" s="3"/>
      <c r="AF12466" s="3"/>
      <c r="AG12466" s="3"/>
      <c r="AH12466" s="3"/>
    </row>
    <row r="12467" spans="1:34" ht="14.25" customHeight="1" x14ac:dyDescent="0.25">
      <c r="A12467" s="3"/>
      <c r="B12467" s="3"/>
      <c r="C12467" s="3"/>
      <c r="D12467" s="3"/>
      <c r="E12467" s="3"/>
      <c r="F12467" s="3"/>
      <c r="G12467" s="3"/>
      <c r="H12467" s="11"/>
      <c r="I12467" s="12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  <c r="AA12467" s="3"/>
      <c r="AB12467" s="3"/>
      <c r="AC12467" s="3"/>
      <c r="AD12467" s="3"/>
      <c r="AE12467" s="3"/>
      <c r="AF12467" s="3"/>
      <c r="AG12467" s="3"/>
      <c r="AH12467" s="3"/>
    </row>
    <row r="12468" spans="1:34" ht="14.25" customHeight="1" x14ac:dyDescent="0.25">
      <c r="A12468" s="3"/>
      <c r="B12468" s="3"/>
      <c r="C12468" s="3"/>
      <c r="D12468" s="3"/>
      <c r="E12468" s="3"/>
      <c r="F12468" s="3"/>
      <c r="G12468" s="3"/>
      <c r="H12468" s="11"/>
      <c r="I12468" s="12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  <c r="AA12468" s="3"/>
      <c r="AB12468" s="3"/>
      <c r="AC12468" s="3"/>
      <c r="AD12468" s="3"/>
      <c r="AE12468" s="3"/>
      <c r="AF12468" s="3"/>
      <c r="AG12468" s="3"/>
      <c r="AH12468" s="3"/>
    </row>
    <row r="12469" spans="1:34" ht="14.25" customHeight="1" x14ac:dyDescent="0.25">
      <c r="A12469" s="3"/>
      <c r="B12469" s="3"/>
      <c r="C12469" s="3"/>
      <c r="D12469" s="3"/>
      <c r="E12469" s="3"/>
      <c r="F12469" s="3"/>
      <c r="G12469" s="3"/>
      <c r="H12469" s="11"/>
      <c r="I12469" s="12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  <c r="AA12469" s="3"/>
      <c r="AB12469" s="3"/>
      <c r="AC12469" s="3"/>
      <c r="AD12469" s="3"/>
      <c r="AE12469" s="3"/>
      <c r="AF12469" s="3"/>
      <c r="AG12469" s="3"/>
      <c r="AH12469" s="3"/>
    </row>
    <row r="12470" spans="1:34" ht="14.25" customHeight="1" x14ac:dyDescent="0.25">
      <c r="A12470" s="3"/>
      <c r="B12470" s="3"/>
      <c r="C12470" s="3"/>
      <c r="D12470" s="3"/>
      <c r="E12470" s="3"/>
      <c r="F12470" s="3"/>
      <c r="G12470" s="3"/>
      <c r="H12470" s="11"/>
      <c r="I12470" s="12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  <c r="AA12470" s="3"/>
      <c r="AB12470" s="3"/>
      <c r="AC12470" s="3"/>
      <c r="AD12470" s="3"/>
      <c r="AE12470" s="3"/>
      <c r="AF12470" s="3"/>
      <c r="AG12470" s="3"/>
      <c r="AH12470" s="3"/>
    </row>
    <row r="12471" spans="1:34" ht="14.25" customHeight="1" x14ac:dyDescent="0.25">
      <c r="A12471" s="3"/>
      <c r="B12471" s="3"/>
      <c r="C12471" s="3"/>
      <c r="D12471" s="3"/>
      <c r="E12471" s="3"/>
      <c r="F12471" s="3"/>
      <c r="G12471" s="3"/>
      <c r="H12471" s="11"/>
      <c r="I12471" s="12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  <c r="AA12471" s="3"/>
      <c r="AB12471" s="3"/>
      <c r="AC12471" s="3"/>
      <c r="AD12471" s="3"/>
      <c r="AE12471" s="3"/>
      <c r="AF12471" s="3"/>
      <c r="AG12471" s="3"/>
      <c r="AH12471" s="3"/>
    </row>
    <row r="12472" spans="1:34" ht="14.25" customHeight="1" x14ac:dyDescent="0.25">
      <c r="A12472" s="3"/>
      <c r="B12472" s="3"/>
      <c r="C12472" s="3"/>
      <c r="D12472" s="3"/>
      <c r="E12472" s="3"/>
      <c r="F12472" s="3"/>
      <c r="G12472" s="3"/>
      <c r="H12472" s="11"/>
      <c r="I12472" s="12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  <c r="AA12472" s="3"/>
      <c r="AB12472" s="3"/>
      <c r="AC12472" s="3"/>
      <c r="AD12472" s="3"/>
      <c r="AE12472" s="3"/>
      <c r="AF12472" s="3"/>
      <c r="AG12472" s="3"/>
      <c r="AH12472" s="3"/>
    </row>
    <row r="12473" spans="1:34" ht="14.25" customHeight="1" x14ac:dyDescent="0.25">
      <c r="A12473" s="3"/>
      <c r="B12473" s="3"/>
      <c r="C12473" s="3"/>
      <c r="D12473" s="3"/>
      <c r="E12473" s="3"/>
      <c r="F12473" s="3"/>
      <c r="G12473" s="3"/>
      <c r="H12473" s="11"/>
      <c r="I12473" s="12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  <c r="AA12473" s="3"/>
      <c r="AB12473" s="3"/>
      <c r="AC12473" s="3"/>
      <c r="AD12473" s="3"/>
      <c r="AE12473" s="3"/>
      <c r="AF12473" s="3"/>
      <c r="AG12473" s="3"/>
      <c r="AH12473" s="3"/>
    </row>
    <row r="12474" spans="1:34" ht="14.25" customHeight="1" x14ac:dyDescent="0.25">
      <c r="A12474" s="3"/>
      <c r="B12474" s="3"/>
      <c r="C12474" s="3"/>
      <c r="D12474" s="3"/>
      <c r="E12474" s="3"/>
      <c r="F12474" s="3"/>
      <c r="G12474" s="3"/>
      <c r="H12474" s="11"/>
      <c r="I12474" s="12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  <c r="AA12474" s="3"/>
      <c r="AB12474" s="3"/>
      <c r="AC12474" s="3"/>
      <c r="AD12474" s="3"/>
      <c r="AE12474" s="3"/>
      <c r="AF12474" s="3"/>
      <c r="AG12474" s="3"/>
      <c r="AH12474" s="3"/>
    </row>
    <row r="12475" spans="1:34" ht="14.25" customHeight="1" x14ac:dyDescent="0.25">
      <c r="A12475" s="3"/>
      <c r="B12475" s="3"/>
      <c r="C12475" s="3"/>
      <c r="D12475" s="3"/>
      <c r="E12475" s="3"/>
      <c r="F12475" s="3"/>
      <c r="G12475" s="14"/>
      <c r="H12475" s="11"/>
      <c r="I12475" s="12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  <c r="AA12475" s="3"/>
      <c r="AB12475" s="3"/>
      <c r="AC12475" s="3"/>
      <c r="AD12475" s="3"/>
      <c r="AE12475" s="3"/>
      <c r="AF12475" s="3"/>
      <c r="AG12475" s="3"/>
      <c r="AH12475" s="3"/>
    </row>
    <row r="12476" spans="1:34" ht="14.25" customHeight="1" x14ac:dyDescent="0.25">
      <c r="A12476" s="3"/>
      <c r="B12476" s="3"/>
      <c r="C12476" s="3"/>
      <c r="D12476" s="3"/>
      <c r="E12476" s="3"/>
      <c r="F12476" s="3"/>
      <c r="G12476" s="3"/>
      <c r="H12476" s="11"/>
      <c r="I12476" s="12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  <c r="AA12476" s="3"/>
      <c r="AB12476" s="3"/>
      <c r="AC12476" s="3"/>
      <c r="AD12476" s="3"/>
      <c r="AE12476" s="3"/>
      <c r="AF12476" s="3"/>
      <c r="AG12476" s="3"/>
      <c r="AH12476" s="3"/>
    </row>
    <row r="12477" spans="1:34" ht="14.25" customHeight="1" x14ac:dyDescent="0.25">
      <c r="A12477" s="3"/>
      <c r="B12477" s="3"/>
      <c r="C12477" s="3"/>
      <c r="D12477" s="3"/>
      <c r="E12477" s="3"/>
      <c r="F12477" s="3"/>
      <c r="G12477" s="3"/>
      <c r="H12477" s="11"/>
      <c r="I12477" s="12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  <c r="AA12477" s="3"/>
      <c r="AB12477" s="3"/>
      <c r="AC12477" s="3"/>
      <c r="AD12477" s="3"/>
      <c r="AE12477" s="3"/>
      <c r="AF12477" s="3"/>
      <c r="AG12477" s="3"/>
      <c r="AH12477" s="3"/>
    </row>
    <row r="12478" spans="1:34" ht="14.25" customHeight="1" x14ac:dyDescent="0.25">
      <c r="A12478" s="3"/>
      <c r="B12478" s="3"/>
      <c r="C12478" s="3"/>
      <c r="D12478" s="3"/>
      <c r="E12478" s="3"/>
      <c r="F12478" s="3"/>
      <c r="G12478" s="3"/>
      <c r="H12478" s="11"/>
      <c r="I12478" s="12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  <c r="AA12478" s="3"/>
      <c r="AB12478" s="3"/>
      <c r="AC12478" s="3"/>
      <c r="AD12478" s="3"/>
      <c r="AE12478" s="3"/>
      <c r="AF12478" s="3"/>
      <c r="AG12478" s="3"/>
      <c r="AH12478" s="3"/>
    </row>
    <row r="12479" spans="1:34" ht="14.25" customHeight="1" x14ac:dyDescent="0.25">
      <c r="A12479" s="3"/>
      <c r="B12479" s="3"/>
      <c r="C12479" s="3"/>
      <c r="D12479" s="3"/>
      <c r="E12479" s="3"/>
      <c r="F12479" s="3"/>
      <c r="G12479" s="3"/>
      <c r="H12479" s="11"/>
      <c r="I12479" s="12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  <c r="AA12479" s="3"/>
      <c r="AB12479" s="3"/>
      <c r="AC12479" s="3"/>
      <c r="AD12479" s="3"/>
      <c r="AE12479" s="3"/>
      <c r="AF12479" s="3"/>
      <c r="AG12479" s="3"/>
      <c r="AH12479" s="3"/>
    </row>
    <row r="12480" spans="1:34" ht="14.25" customHeight="1" x14ac:dyDescent="0.25">
      <c r="A12480" s="3"/>
      <c r="B12480" s="3"/>
      <c r="C12480" s="3"/>
      <c r="D12480" s="3"/>
      <c r="E12480" s="3"/>
      <c r="F12480" s="3"/>
      <c r="G12480" s="3"/>
      <c r="H12480" s="11"/>
      <c r="I12480" s="12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  <c r="AA12480" s="3"/>
      <c r="AB12480" s="3"/>
      <c r="AC12480" s="3"/>
      <c r="AD12480" s="3"/>
      <c r="AE12480" s="3"/>
      <c r="AF12480" s="3"/>
      <c r="AG12480" s="3"/>
      <c r="AH12480" s="3"/>
    </row>
    <row r="12481" spans="1:34" ht="14.25" customHeight="1" x14ac:dyDescent="0.25">
      <c r="A12481" s="3"/>
      <c r="B12481" s="3"/>
      <c r="C12481" s="3"/>
      <c r="D12481" s="3"/>
      <c r="E12481" s="3"/>
      <c r="F12481" s="3"/>
      <c r="G12481" s="3"/>
      <c r="H12481" s="11"/>
      <c r="I12481" s="12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  <c r="AA12481" s="3"/>
      <c r="AB12481" s="3"/>
      <c r="AC12481" s="3"/>
      <c r="AD12481" s="3"/>
      <c r="AE12481" s="3"/>
      <c r="AF12481" s="3"/>
      <c r="AG12481" s="3"/>
      <c r="AH12481" s="3"/>
    </row>
    <row r="12482" spans="1:34" ht="14.25" customHeight="1" x14ac:dyDescent="0.25">
      <c r="A12482" s="3"/>
      <c r="B12482" s="3"/>
      <c r="C12482" s="3"/>
      <c r="D12482" s="3"/>
      <c r="E12482" s="3"/>
      <c r="F12482" s="3"/>
      <c r="G12482" s="3"/>
      <c r="H12482" s="11"/>
      <c r="I12482" s="12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  <c r="AA12482" s="3"/>
      <c r="AB12482" s="3"/>
      <c r="AC12482" s="3"/>
      <c r="AD12482" s="3"/>
      <c r="AE12482" s="3"/>
      <c r="AF12482" s="3"/>
      <c r="AG12482" s="3"/>
      <c r="AH12482" s="3"/>
    </row>
    <row r="12483" spans="1:34" ht="14.25" customHeight="1" x14ac:dyDescent="0.25">
      <c r="A12483" s="3"/>
      <c r="B12483" s="3"/>
      <c r="C12483" s="3"/>
      <c r="D12483" s="3"/>
      <c r="E12483" s="3"/>
      <c r="F12483" s="3"/>
      <c r="G12483" s="3"/>
      <c r="H12483" s="11"/>
      <c r="I12483" s="12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  <c r="AA12483" s="3"/>
      <c r="AB12483" s="3"/>
      <c r="AC12483" s="3"/>
      <c r="AD12483" s="3"/>
      <c r="AE12483" s="3"/>
      <c r="AF12483" s="3"/>
      <c r="AG12483" s="3"/>
      <c r="AH12483" s="3"/>
    </row>
    <row r="12484" spans="1:34" ht="14.25" customHeight="1" x14ac:dyDescent="0.25">
      <c r="A12484" s="3"/>
      <c r="B12484" s="3"/>
      <c r="C12484" s="3"/>
      <c r="D12484" s="3"/>
      <c r="E12484" s="3"/>
      <c r="F12484" s="3"/>
      <c r="G12484" s="3"/>
      <c r="H12484" s="11"/>
      <c r="I12484" s="12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  <c r="AA12484" s="3"/>
      <c r="AB12484" s="3"/>
      <c r="AC12484" s="3"/>
      <c r="AD12484" s="3"/>
      <c r="AE12484" s="3"/>
      <c r="AF12484" s="3"/>
      <c r="AG12484" s="3"/>
      <c r="AH12484" s="3"/>
    </row>
    <row r="12485" spans="1:34" ht="14.25" customHeight="1" x14ac:dyDescent="0.25">
      <c r="A12485" s="3"/>
      <c r="B12485" s="3"/>
      <c r="C12485" s="3"/>
      <c r="D12485" s="3"/>
      <c r="E12485" s="3"/>
      <c r="F12485" s="3"/>
      <c r="G12485" s="3"/>
      <c r="H12485" s="11"/>
      <c r="I12485" s="12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  <c r="AA12485" s="3"/>
      <c r="AB12485" s="3"/>
      <c r="AC12485" s="3"/>
      <c r="AD12485" s="3"/>
      <c r="AE12485" s="3"/>
      <c r="AF12485" s="3"/>
      <c r="AG12485" s="3"/>
      <c r="AH12485" s="3"/>
    </row>
    <row r="12486" spans="1:34" ht="14.25" customHeight="1" x14ac:dyDescent="0.25">
      <c r="A12486" s="3"/>
      <c r="B12486" s="3"/>
      <c r="C12486" s="3"/>
      <c r="D12486" s="3"/>
      <c r="E12486" s="3"/>
      <c r="F12486" s="3"/>
      <c r="G12486" s="3"/>
      <c r="H12486" s="11"/>
      <c r="I12486" s="12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  <c r="AA12486" s="3"/>
      <c r="AB12486" s="3"/>
      <c r="AC12486" s="3"/>
      <c r="AD12486" s="3"/>
      <c r="AE12486" s="3"/>
      <c r="AF12486" s="3"/>
      <c r="AG12486" s="3"/>
      <c r="AH12486" s="3"/>
    </row>
    <row r="12487" spans="1:34" ht="14.25" customHeight="1" x14ac:dyDescent="0.25">
      <c r="A12487" s="3"/>
      <c r="B12487" s="3"/>
      <c r="C12487" s="3"/>
      <c r="D12487" s="3"/>
      <c r="E12487" s="3"/>
      <c r="F12487" s="3"/>
      <c r="G12487" s="3"/>
      <c r="H12487" s="11"/>
      <c r="I12487" s="12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  <c r="AA12487" s="3"/>
      <c r="AB12487" s="3"/>
      <c r="AC12487" s="3"/>
      <c r="AD12487" s="3"/>
      <c r="AE12487" s="3"/>
      <c r="AF12487" s="3"/>
      <c r="AG12487" s="3"/>
      <c r="AH12487" s="3"/>
    </row>
    <row r="12488" spans="1:34" ht="14.25" customHeight="1" x14ac:dyDescent="0.25">
      <c r="A12488" s="3"/>
      <c r="B12488" s="3"/>
      <c r="C12488" s="3"/>
      <c r="D12488" s="3"/>
      <c r="E12488" s="3"/>
      <c r="F12488" s="3"/>
      <c r="G12488" s="14"/>
      <c r="H12488" s="11"/>
      <c r="I12488" s="12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  <c r="AA12488" s="3"/>
      <c r="AB12488" s="3"/>
      <c r="AC12488" s="3"/>
      <c r="AD12488" s="3"/>
      <c r="AE12488" s="3"/>
      <c r="AF12488" s="3"/>
      <c r="AG12488" s="3"/>
      <c r="AH12488" s="3"/>
    </row>
    <row r="12489" spans="1:34" ht="14.25" customHeight="1" x14ac:dyDescent="0.25">
      <c r="A12489" s="3"/>
      <c r="B12489" s="3"/>
      <c r="C12489" s="3"/>
      <c r="D12489" s="3"/>
      <c r="E12489" s="3"/>
      <c r="F12489" s="3"/>
      <c r="G12489" s="3"/>
      <c r="H12489" s="11"/>
      <c r="I12489" s="12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  <c r="AA12489" s="3"/>
      <c r="AB12489" s="3"/>
      <c r="AC12489" s="3"/>
      <c r="AD12489" s="3"/>
      <c r="AE12489" s="3"/>
      <c r="AF12489" s="3"/>
      <c r="AG12489" s="3"/>
      <c r="AH12489" s="3"/>
    </row>
    <row r="12490" spans="1:34" ht="14.25" customHeight="1" x14ac:dyDescent="0.25">
      <c r="A12490" s="3"/>
      <c r="B12490" s="3"/>
      <c r="C12490" s="3"/>
      <c r="D12490" s="3"/>
      <c r="E12490" s="3"/>
      <c r="F12490" s="3"/>
      <c r="G12490" s="3"/>
      <c r="H12490" s="11"/>
      <c r="I12490" s="12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  <c r="AA12490" s="3"/>
      <c r="AB12490" s="3"/>
      <c r="AC12490" s="3"/>
      <c r="AD12490" s="3"/>
      <c r="AE12490" s="3"/>
      <c r="AF12490" s="3"/>
      <c r="AG12490" s="3"/>
      <c r="AH12490" s="3"/>
    </row>
    <row r="12491" spans="1:34" ht="14.25" customHeight="1" x14ac:dyDescent="0.25">
      <c r="A12491" s="3"/>
      <c r="B12491" s="3"/>
      <c r="C12491" s="3"/>
      <c r="D12491" s="3"/>
      <c r="E12491" s="3"/>
      <c r="F12491" s="3"/>
      <c r="G12491" s="3"/>
      <c r="H12491" s="11"/>
      <c r="I12491" s="12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  <c r="AA12491" s="3"/>
      <c r="AB12491" s="3"/>
      <c r="AC12491" s="3"/>
      <c r="AD12491" s="3"/>
      <c r="AE12491" s="3"/>
      <c r="AF12491" s="3"/>
      <c r="AG12491" s="3"/>
      <c r="AH12491" s="3"/>
    </row>
    <row r="12492" spans="1:34" ht="14.25" customHeight="1" x14ac:dyDescent="0.25">
      <c r="A12492" s="3"/>
      <c r="B12492" s="3"/>
      <c r="C12492" s="3"/>
      <c r="D12492" s="3"/>
      <c r="E12492" s="3"/>
      <c r="F12492" s="3"/>
      <c r="G12492" s="3"/>
      <c r="H12492" s="11"/>
      <c r="I12492" s="12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  <c r="AA12492" s="3"/>
      <c r="AB12492" s="3"/>
      <c r="AC12492" s="3"/>
      <c r="AD12492" s="3"/>
      <c r="AE12492" s="3"/>
      <c r="AF12492" s="3"/>
      <c r="AG12492" s="3"/>
      <c r="AH12492" s="3"/>
    </row>
    <row r="12493" spans="1:34" ht="14.25" customHeight="1" x14ac:dyDescent="0.25">
      <c r="A12493" s="3"/>
      <c r="B12493" s="3"/>
      <c r="C12493" s="3"/>
      <c r="D12493" s="3"/>
      <c r="E12493" s="3"/>
      <c r="F12493" s="3"/>
      <c r="G12493" s="3"/>
      <c r="H12493" s="11"/>
      <c r="I12493" s="12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  <c r="AA12493" s="3"/>
      <c r="AB12493" s="3"/>
      <c r="AC12493" s="3"/>
      <c r="AD12493" s="3"/>
      <c r="AE12493" s="3"/>
      <c r="AF12493" s="3"/>
      <c r="AG12493" s="3"/>
      <c r="AH12493" s="3"/>
    </row>
    <row r="12494" spans="1:34" ht="14.25" customHeight="1" x14ac:dyDescent="0.25">
      <c r="A12494" s="3"/>
      <c r="B12494" s="3"/>
      <c r="C12494" s="3"/>
      <c r="D12494" s="3"/>
      <c r="E12494" s="3"/>
      <c r="F12494" s="3"/>
      <c r="G12494" s="3"/>
      <c r="H12494" s="11"/>
      <c r="I12494" s="12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  <c r="AA12494" s="3"/>
      <c r="AB12494" s="3"/>
      <c r="AC12494" s="3"/>
      <c r="AD12494" s="3"/>
      <c r="AE12494" s="3"/>
      <c r="AF12494" s="3"/>
      <c r="AG12494" s="3"/>
      <c r="AH12494" s="3"/>
    </row>
    <row r="12495" spans="1:34" ht="14.25" customHeight="1" x14ac:dyDescent="0.25">
      <c r="A12495" s="3"/>
      <c r="B12495" s="3"/>
      <c r="C12495" s="3"/>
      <c r="D12495" s="3"/>
      <c r="E12495" s="3"/>
      <c r="F12495" s="3"/>
      <c r="G12495" s="3"/>
      <c r="H12495" s="11"/>
      <c r="I12495" s="12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  <c r="AA12495" s="3"/>
      <c r="AB12495" s="3"/>
      <c r="AC12495" s="3"/>
      <c r="AD12495" s="3"/>
      <c r="AE12495" s="3"/>
      <c r="AF12495" s="3"/>
      <c r="AG12495" s="3"/>
      <c r="AH12495" s="3"/>
    </row>
    <row r="12496" spans="1:34" ht="14.25" customHeight="1" x14ac:dyDescent="0.25">
      <c r="A12496" s="3"/>
      <c r="B12496" s="3"/>
      <c r="C12496" s="3"/>
      <c r="D12496" s="3"/>
      <c r="E12496" s="3"/>
      <c r="F12496" s="3"/>
      <c r="G12496" s="3"/>
      <c r="H12496" s="11"/>
      <c r="I12496" s="12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  <c r="AA12496" s="3"/>
      <c r="AB12496" s="3"/>
      <c r="AC12496" s="3"/>
      <c r="AD12496" s="3"/>
      <c r="AE12496" s="3"/>
      <c r="AF12496" s="3"/>
      <c r="AG12496" s="3"/>
      <c r="AH12496" s="3"/>
    </row>
    <row r="12497" spans="1:34" ht="14.25" customHeight="1" x14ac:dyDescent="0.25">
      <c r="A12497" s="3"/>
      <c r="B12497" s="3"/>
      <c r="C12497" s="3"/>
      <c r="D12497" s="3"/>
      <c r="E12497" s="3"/>
      <c r="F12497" s="3"/>
      <c r="G12497" s="3"/>
      <c r="H12497" s="11"/>
      <c r="I12497" s="12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  <c r="AA12497" s="3"/>
      <c r="AB12497" s="3"/>
      <c r="AC12497" s="3"/>
      <c r="AD12497" s="3"/>
      <c r="AE12497" s="3"/>
      <c r="AF12497" s="3"/>
      <c r="AG12497" s="3"/>
      <c r="AH12497" s="3"/>
    </row>
    <row r="12498" spans="1:34" ht="14.25" customHeight="1" x14ac:dyDescent="0.25">
      <c r="A12498" s="3"/>
      <c r="B12498" s="3"/>
      <c r="C12498" s="3"/>
      <c r="D12498" s="3"/>
      <c r="E12498" s="3"/>
      <c r="F12498" s="3"/>
      <c r="G12498" s="3"/>
      <c r="H12498" s="11"/>
      <c r="I12498" s="12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  <c r="AA12498" s="3"/>
      <c r="AB12498" s="3"/>
      <c r="AC12498" s="3"/>
      <c r="AD12498" s="3"/>
      <c r="AE12498" s="3"/>
      <c r="AF12498" s="3"/>
      <c r="AG12498" s="3"/>
      <c r="AH12498" s="3"/>
    </row>
    <row r="12499" spans="1:34" ht="14.25" customHeight="1" x14ac:dyDescent="0.25">
      <c r="A12499" s="3"/>
      <c r="B12499" s="3"/>
      <c r="C12499" s="3"/>
      <c r="D12499" s="3"/>
      <c r="E12499" s="3"/>
      <c r="F12499" s="3"/>
      <c r="G12499" s="3"/>
      <c r="H12499" s="11"/>
      <c r="I12499" s="12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  <c r="AA12499" s="3"/>
      <c r="AB12499" s="3"/>
      <c r="AC12499" s="3"/>
      <c r="AD12499" s="3"/>
      <c r="AE12499" s="3"/>
      <c r="AF12499" s="3"/>
      <c r="AG12499" s="3"/>
      <c r="AH12499" s="3"/>
    </row>
    <row r="12500" spans="1:34" ht="14.25" customHeight="1" x14ac:dyDescent="0.25">
      <c r="A12500" s="3"/>
      <c r="B12500" s="3"/>
      <c r="C12500" s="3"/>
      <c r="D12500" s="3"/>
      <c r="E12500" s="3"/>
      <c r="F12500" s="3"/>
      <c r="G12500" s="3"/>
      <c r="H12500" s="11"/>
      <c r="I12500" s="12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  <c r="AA12500" s="3"/>
      <c r="AB12500" s="3"/>
      <c r="AC12500" s="3"/>
      <c r="AD12500" s="3"/>
      <c r="AE12500" s="3"/>
      <c r="AF12500" s="3"/>
      <c r="AG12500" s="3"/>
      <c r="AH12500" s="3"/>
    </row>
    <row r="12501" spans="1:34" ht="14.25" customHeight="1" x14ac:dyDescent="0.25">
      <c r="A12501" s="3"/>
      <c r="B12501" s="3"/>
      <c r="C12501" s="3"/>
      <c r="D12501" s="3"/>
      <c r="E12501" s="3"/>
      <c r="F12501" s="3"/>
      <c r="G12501" s="3"/>
      <c r="H12501" s="11"/>
      <c r="I12501" s="12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  <c r="AA12501" s="3"/>
      <c r="AB12501" s="3"/>
      <c r="AC12501" s="3"/>
      <c r="AD12501" s="3"/>
      <c r="AE12501" s="3"/>
      <c r="AF12501" s="3"/>
      <c r="AG12501" s="3"/>
      <c r="AH12501" s="3"/>
    </row>
    <row r="12502" spans="1:34" ht="14.25" customHeight="1" x14ac:dyDescent="0.25">
      <c r="A12502" s="3"/>
      <c r="B12502" s="3"/>
      <c r="C12502" s="3"/>
      <c r="D12502" s="3"/>
      <c r="E12502" s="3"/>
      <c r="F12502" s="3"/>
      <c r="G12502" s="3"/>
      <c r="H12502" s="11"/>
      <c r="I12502" s="12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  <c r="AA12502" s="3"/>
      <c r="AB12502" s="3"/>
      <c r="AC12502" s="3"/>
      <c r="AD12502" s="3"/>
      <c r="AE12502" s="3"/>
      <c r="AF12502" s="3"/>
      <c r="AG12502" s="3"/>
      <c r="AH12502" s="3"/>
    </row>
    <row r="12503" spans="1:34" ht="14.25" customHeight="1" x14ac:dyDescent="0.25">
      <c r="A12503" s="3"/>
      <c r="B12503" s="3"/>
      <c r="C12503" s="3"/>
      <c r="D12503" s="3"/>
      <c r="E12503" s="3"/>
      <c r="F12503" s="3"/>
      <c r="G12503" s="3"/>
      <c r="H12503" s="11"/>
      <c r="I12503" s="12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  <c r="AA12503" s="3"/>
      <c r="AB12503" s="3"/>
      <c r="AC12503" s="3"/>
      <c r="AD12503" s="3"/>
      <c r="AE12503" s="3"/>
      <c r="AF12503" s="3"/>
      <c r="AG12503" s="3"/>
      <c r="AH12503" s="3"/>
    </row>
    <row r="12504" spans="1:34" ht="14.25" customHeight="1" x14ac:dyDescent="0.25">
      <c r="A12504" s="3"/>
      <c r="B12504" s="3"/>
      <c r="C12504" s="3"/>
      <c r="D12504" s="3"/>
      <c r="E12504" s="3"/>
      <c r="F12504" s="3"/>
      <c r="G12504" s="3"/>
      <c r="H12504" s="11"/>
      <c r="I12504" s="12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  <c r="AA12504" s="3"/>
      <c r="AB12504" s="3"/>
      <c r="AC12504" s="3"/>
      <c r="AD12504" s="3"/>
      <c r="AE12504" s="3"/>
      <c r="AF12504" s="3"/>
      <c r="AG12504" s="3"/>
      <c r="AH12504" s="3"/>
    </row>
    <row r="12505" spans="1:34" ht="14.25" customHeight="1" x14ac:dyDescent="0.25">
      <c r="A12505" s="3"/>
      <c r="B12505" s="3"/>
      <c r="C12505" s="3"/>
      <c r="D12505" s="3"/>
      <c r="E12505" s="3"/>
      <c r="F12505" s="3"/>
      <c r="G12505" s="3"/>
      <c r="H12505" s="11"/>
      <c r="I12505" s="12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  <c r="AA12505" s="3"/>
      <c r="AB12505" s="3"/>
      <c r="AC12505" s="3"/>
      <c r="AD12505" s="3"/>
      <c r="AE12505" s="3"/>
      <c r="AF12505" s="3"/>
      <c r="AG12505" s="3"/>
      <c r="AH12505" s="3"/>
    </row>
    <row r="12506" spans="1:34" ht="14.25" customHeight="1" x14ac:dyDescent="0.25">
      <c r="A12506" s="3"/>
      <c r="B12506" s="3"/>
      <c r="C12506" s="3"/>
      <c r="D12506" s="3"/>
      <c r="E12506" s="3"/>
      <c r="F12506" s="3"/>
      <c r="G12506" s="3"/>
      <c r="H12506" s="11"/>
      <c r="I12506" s="12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  <c r="AA12506" s="3"/>
      <c r="AB12506" s="3"/>
      <c r="AC12506" s="3"/>
      <c r="AD12506" s="3"/>
      <c r="AE12506" s="3"/>
      <c r="AF12506" s="3"/>
      <c r="AG12506" s="3"/>
      <c r="AH12506" s="3"/>
    </row>
    <row r="12507" spans="1:34" ht="14.25" customHeight="1" x14ac:dyDescent="0.25">
      <c r="A12507" s="3"/>
      <c r="B12507" s="3"/>
      <c r="C12507" s="3"/>
      <c r="D12507" s="3"/>
      <c r="E12507" s="3"/>
      <c r="F12507" s="3"/>
      <c r="G12507" s="3"/>
      <c r="H12507" s="11"/>
      <c r="I12507" s="12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  <c r="AA12507" s="3"/>
      <c r="AB12507" s="3"/>
      <c r="AC12507" s="3"/>
      <c r="AD12507" s="3"/>
      <c r="AE12507" s="3"/>
      <c r="AF12507" s="3"/>
      <c r="AG12507" s="3"/>
      <c r="AH12507" s="3"/>
    </row>
    <row r="12508" spans="1:34" ht="14.25" customHeight="1" x14ac:dyDescent="0.25">
      <c r="A12508" s="3"/>
      <c r="B12508" s="3"/>
      <c r="C12508" s="3"/>
      <c r="D12508" s="3"/>
      <c r="E12508" s="3"/>
      <c r="F12508" s="3"/>
      <c r="G12508" s="3"/>
      <c r="H12508" s="11"/>
      <c r="I12508" s="12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  <c r="AA12508" s="3"/>
      <c r="AB12508" s="3"/>
      <c r="AC12508" s="3"/>
      <c r="AD12508" s="3"/>
      <c r="AE12508" s="3"/>
      <c r="AF12508" s="3"/>
      <c r="AG12508" s="3"/>
      <c r="AH12508" s="3"/>
    </row>
    <row r="12509" spans="1:34" ht="14.25" customHeight="1" x14ac:dyDescent="0.25">
      <c r="A12509" s="3"/>
      <c r="B12509" s="3"/>
      <c r="C12509" s="3"/>
      <c r="D12509" s="3"/>
      <c r="E12509" s="3"/>
      <c r="F12509" s="3"/>
      <c r="G12509" s="3"/>
      <c r="H12509" s="11"/>
      <c r="I12509" s="12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  <c r="AA12509" s="3"/>
      <c r="AB12509" s="3"/>
      <c r="AC12509" s="3"/>
      <c r="AD12509" s="3"/>
      <c r="AE12509" s="3"/>
      <c r="AF12509" s="3"/>
      <c r="AG12509" s="3"/>
      <c r="AH12509" s="3"/>
    </row>
    <row r="12510" spans="1:34" ht="14.25" customHeight="1" x14ac:dyDescent="0.25">
      <c r="A12510" s="3"/>
      <c r="B12510" s="3"/>
      <c r="C12510" s="3"/>
      <c r="D12510" s="3"/>
      <c r="E12510" s="3"/>
      <c r="F12510" s="3"/>
      <c r="G12510" s="3"/>
      <c r="H12510" s="11"/>
      <c r="I12510" s="12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  <c r="AA12510" s="3"/>
      <c r="AB12510" s="3"/>
      <c r="AC12510" s="3"/>
      <c r="AD12510" s="3"/>
      <c r="AE12510" s="3"/>
      <c r="AF12510" s="3"/>
      <c r="AG12510" s="3"/>
      <c r="AH12510" s="3"/>
    </row>
    <row r="12511" spans="1:34" ht="14.25" customHeight="1" x14ac:dyDescent="0.25">
      <c r="A12511" s="3"/>
      <c r="B12511" s="3"/>
      <c r="C12511" s="3"/>
      <c r="D12511" s="3"/>
      <c r="E12511" s="3"/>
      <c r="F12511" s="3"/>
      <c r="G12511" s="3"/>
      <c r="H12511" s="11"/>
      <c r="I12511" s="12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  <c r="AA12511" s="3"/>
      <c r="AB12511" s="3"/>
      <c r="AC12511" s="3"/>
      <c r="AD12511" s="3"/>
      <c r="AE12511" s="3"/>
      <c r="AF12511" s="3"/>
      <c r="AG12511" s="3"/>
      <c r="AH12511" s="3"/>
    </row>
    <row r="12512" spans="1:34" ht="14.25" customHeight="1" x14ac:dyDescent="0.25">
      <c r="A12512" s="3"/>
      <c r="B12512" s="3"/>
      <c r="C12512" s="3"/>
      <c r="D12512" s="3"/>
      <c r="E12512" s="3"/>
      <c r="F12512" s="3"/>
      <c r="G12512" s="3"/>
      <c r="H12512" s="11"/>
      <c r="I12512" s="12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  <c r="AA12512" s="3"/>
      <c r="AB12512" s="3"/>
      <c r="AC12512" s="3"/>
      <c r="AD12512" s="3"/>
      <c r="AE12512" s="3"/>
      <c r="AF12512" s="3"/>
      <c r="AG12512" s="3"/>
      <c r="AH12512" s="3"/>
    </row>
    <row r="12513" spans="1:34" ht="14.25" customHeight="1" x14ac:dyDescent="0.25">
      <c r="A12513" s="3"/>
      <c r="B12513" s="3"/>
      <c r="C12513" s="3"/>
      <c r="D12513" s="3"/>
      <c r="E12513" s="3"/>
      <c r="F12513" s="3"/>
      <c r="G12513" s="3"/>
      <c r="H12513" s="11"/>
      <c r="I12513" s="12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  <c r="AA12513" s="3"/>
      <c r="AB12513" s="3"/>
      <c r="AC12513" s="3"/>
      <c r="AD12513" s="3"/>
      <c r="AE12513" s="3"/>
      <c r="AF12513" s="3"/>
      <c r="AG12513" s="3"/>
      <c r="AH12513" s="3"/>
    </row>
    <row r="12514" spans="1:34" ht="14.25" customHeight="1" x14ac:dyDescent="0.25">
      <c r="A12514" s="3"/>
      <c r="B12514" s="3"/>
      <c r="C12514" s="3"/>
      <c r="D12514" s="3"/>
      <c r="E12514" s="3"/>
      <c r="F12514" s="3"/>
      <c r="G12514" s="3"/>
      <c r="H12514" s="11"/>
      <c r="I12514" s="12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  <c r="AA12514" s="3"/>
      <c r="AB12514" s="3"/>
      <c r="AC12514" s="3"/>
      <c r="AD12514" s="3"/>
      <c r="AE12514" s="3"/>
      <c r="AF12514" s="3"/>
      <c r="AG12514" s="3"/>
      <c r="AH12514" s="3"/>
    </row>
    <row r="12515" spans="1:34" ht="14.25" customHeight="1" x14ac:dyDescent="0.25">
      <c r="A12515" s="3"/>
      <c r="B12515" s="3"/>
      <c r="C12515" s="3"/>
      <c r="D12515" s="3"/>
      <c r="E12515" s="3"/>
      <c r="F12515" s="3"/>
      <c r="G12515" s="3"/>
      <c r="H12515" s="11"/>
      <c r="I12515" s="12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  <c r="AA12515" s="3"/>
      <c r="AB12515" s="3"/>
      <c r="AC12515" s="3"/>
      <c r="AD12515" s="3"/>
      <c r="AE12515" s="3"/>
      <c r="AF12515" s="3"/>
      <c r="AG12515" s="3"/>
      <c r="AH12515" s="3"/>
    </row>
    <row r="12516" spans="1:34" ht="14.25" customHeight="1" x14ac:dyDescent="0.25">
      <c r="A12516" s="3"/>
      <c r="B12516" s="3"/>
      <c r="C12516" s="3"/>
      <c r="D12516" s="3"/>
      <c r="E12516" s="3"/>
      <c r="F12516" s="3"/>
      <c r="G12516" s="3"/>
      <c r="H12516" s="11"/>
      <c r="I12516" s="12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  <c r="AA12516" s="3"/>
      <c r="AB12516" s="3"/>
      <c r="AC12516" s="3"/>
      <c r="AD12516" s="3"/>
      <c r="AE12516" s="3"/>
      <c r="AF12516" s="3"/>
      <c r="AG12516" s="3"/>
      <c r="AH12516" s="3"/>
    </row>
    <row r="12517" spans="1:34" ht="14.25" customHeight="1" x14ac:dyDescent="0.25">
      <c r="A12517" s="3"/>
      <c r="B12517" s="3"/>
      <c r="C12517" s="3"/>
      <c r="D12517" s="3"/>
      <c r="E12517" s="3"/>
      <c r="F12517" s="3"/>
      <c r="G12517" s="3"/>
      <c r="H12517" s="11"/>
      <c r="I12517" s="12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  <c r="AA12517" s="3"/>
      <c r="AB12517" s="3"/>
      <c r="AC12517" s="3"/>
      <c r="AD12517" s="3"/>
      <c r="AE12517" s="3"/>
      <c r="AF12517" s="3"/>
      <c r="AG12517" s="3"/>
      <c r="AH12517" s="3"/>
    </row>
    <row r="12518" spans="1:34" ht="14.25" customHeight="1" x14ac:dyDescent="0.25">
      <c r="A12518" s="3"/>
      <c r="B12518" s="3"/>
      <c r="C12518" s="3"/>
      <c r="D12518" s="3"/>
      <c r="E12518" s="3"/>
      <c r="F12518" s="3"/>
      <c r="G12518" s="3"/>
      <c r="H12518" s="11"/>
      <c r="I12518" s="12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  <c r="AA12518" s="3"/>
      <c r="AB12518" s="3"/>
      <c r="AC12518" s="3"/>
      <c r="AD12518" s="3"/>
      <c r="AE12518" s="3"/>
      <c r="AF12518" s="3"/>
      <c r="AG12518" s="3"/>
      <c r="AH12518" s="3"/>
    </row>
    <row r="12519" spans="1:34" ht="14.25" customHeight="1" x14ac:dyDescent="0.25">
      <c r="A12519" s="3"/>
      <c r="B12519" s="3"/>
      <c r="C12519" s="3"/>
      <c r="D12519" s="3"/>
      <c r="E12519" s="3"/>
      <c r="F12519" s="3"/>
      <c r="G12519" s="3"/>
      <c r="H12519" s="11"/>
      <c r="I12519" s="12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  <c r="AA12519" s="3"/>
      <c r="AB12519" s="3"/>
      <c r="AC12519" s="3"/>
      <c r="AD12519" s="3"/>
      <c r="AE12519" s="3"/>
      <c r="AF12519" s="3"/>
      <c r="AG12519" s="3"/>
      <c r="AH12519" s="3"/>
    </row>
    <row r="12520" spans="1:34" ht="14.25" customHeight="1" x14ac:dyDescent="0.25">
      <c r="A12520" s="3"/>
      <c r="B12520" s="3"/>
      <c r="C12520" s="3"/>
      <c r="D12520" s="3"/>
      <c r="E12520" s="3"/>
      <c r="F12520" s="3"/>
      <c r="G12520" s="3"/>
      <c r="H12520" s="11"/>
      <c r="I12520" s="12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  <c r="AA12520" s="3"/>
      <c r="AB12520" s="3"/>
      <c r="AC12520" s="3"/>
      <c r="AD12520" s="3"/>
      <c r="AE12520" s="3"/>
      <c r="AF12520" s="3"/>
      <c r="AG12520" s="3"/>
      <c r="AH12520" s="3"/>
    </row>
    <row r="12521" spans="1:34" ht="14.25" customHeight="1" x14ac:dyDescent="0.25">
      <c r="A12521" s="3"/>
      <c r="B12521" s="3"/>
      <c r="C12521" s="3"/>
      <c r="D12521" s="3"/>
      <c r="E12521" s="3"/>
      <c r="F12521" s="3"/>
      <c r="G12521" s="3"/>
      <c r="H12521" s="11"/>
      <c r="I12521" s="12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  <c r="AA12521" s="3"/>
      <c r="AB12521" s="3"/>
      <c r="AC12521" s="3"/>
      <c r="AD12521" s="3"/>
      <c r="AE12521" s="3"/>
      <c r="AF12521" s="3"/>
      <c r="AG12521" s="3"/>
      <c r="AH12521" s="3"/>
    </row>
    <row r="12522" spans="1:34" ht="14.25" customHeight="1" x14ac:dyDescent="0.25">
      <c r="A12522" s="3"/>
      <c r="B12522" s="3"/>
      <c r="C12522" s="3"/>
      <c r="D12522" s="3"/>
      <c r="E12522" s="3"/>
      <c r="F12522" s="3"/>
      <c r="G12522" s="3"/>
      <c r="H12522" s="11"/>
      <c r="I12522" s="12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  <c r="AA12522" s="3"/>
      <c r="AB12522" s="3"/>
      <c r="AC12522" s="3"/>
      <c r="AD12522" s="3"/>
      <c r="AE12522" s="3"/>
      <c r="AF12522" s="3"/>
      <c r="AG12522" s="3"/>
      <c r="AH12522" s="3"/>
    </row>
    <row r="12523" spans="1:34" ht="14.25" customHeight="1" x14ac:dyDescent="0.25">
      <c r="A12523" s="3"/>
      <c r="B12523" s="3"/>
      <c r="C12523" s="3"/>
      <c r="D12523" s="3"/>
      <c r="E12523" s="3"/>
      <c r="F12523" s="3"/>
      <c r="G12523" s="3"/>
      <c r="H12523" s="11"/>
      <c r="I12523" s="12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  <c r="AA12523" s="3"/>
      <c r="AB12523" s="3"/>
      <c r="AC12523" s="3"/>
      <c r="AD12523" s="3"/>
      <c r="AE12523" s="3"/>
      <c r="AF12523" s="3"/>
      <c r="AG12523" s="3"/>
      <c r="AH12523" s="3"/>
    </row>
    <row r="12524" spans="1:34" ht="14.25" customHeight="1" x14ac:dyDescent="0.25">
      <c r="A12524" s="3"/>
      <c r="B12524" s="3"/>
      <c r="C12524" s="3"/>
      <c r="D12524" s="3"/>
      <c r="E12524" s="3"/>
      <c r="F12524" s="3"/>
      <c r="G12524" s="3"/>
      <c r="H12524" s="11"/>
      <c r="I12524" s="12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  <c r="AA12524" s="3"/>
      <c r="AB12524" s="3"/>
      <c r="AC12524" s="3"/>
      <c r="AD12524" s="3"/>
      <c r="AE12524" s="3"/>
      <c r="AF12524" s="3"/>
      <c r="AG12524" s="3"/>
      <c r="AH12524" s="3"/>
    </row>
    <row r="12525" spans="1:34" ht="14.25" customHeight="1" x14ac:dyDescent="0.25">
      <c r="A12525" s="3"/>
      <c r="B12525" s="3"/>
      <c r="C12525" s="3"/>
      <c r="D12525" s="3"/>
      <c r="E12525" s="3"/>
      <c r="F12525" s="3"/>
      <c r="G12525" s="3"/>
      <c r="H12525" s="11"/>
      <c r="I12525" s="12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  <c r="AA12525" s="3"/>
      <c r="AB12525" s="3"/>
      <c r="AC12525" s="3"/>
      <c r="AD12525" s="3"/>
      <c r="AE12525" s="3"/>
      <c r="AF12525" s="3"/>
      <c r="AG12525" s="3"/>
      <c r="AH12525" s="3"/>
    </row>
    <row r="12526" spans="1:34" ht="14.25" customHeight="1" x14ac:dyDescent="0.25">
      <c r="A12526" s="3"/>
      <c r="B12526" s="3"/>
      <c r="C12526" s="3"/>
      <c r="D12526" s="3"/>
      <c r="E12526" s="3"/>
      <c r="F12526" s="3"/>
      <c r="G12526" s="3"/>
      <c r="H12526" s="11"/>
      <c r="I12526" s="12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  <c r="AA12526" s="3"/>
      <c r="AB12526" s="3"/>
      <c r="AC12526" s="3"/>
      <c r="AD12526" s="3"/>
      <c r="AE12526" s="3"/>
      <c r="AF12526" s="3"/>
      <c r="AG12526" s="3"/>
      <c r="AH12526" s="3"/>
    </row>
    <row r="12527" spans="1:34" ht="14.25" customHeight="1" x14ac:dyDescent="0.25">
      <c r="A12527" s="3"/>
      <c r="B12527" s="3"/>
      <c r="C12527" s="3"/>
      <c r="D12527" s="3"/>
      <c r="E12527" s="3"/>
      <c r="F12527" s="3"/>
      <c r="G12527" s="3"/>
      <c r="H12527" s="11"/>
      <c r="I12527" s="12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  <c r="AA12527" s="3"/>
      <c r="AB12527" s="3"/>
      <c r="AC12527" s="3"/>
      <c r="AD12527" s="3"/>
      <c r="AE12527" s="3"/>
      <c r="AF12527" s="3"/>
      <c r="AG12527" s="3"/>
      <c r="AH12527" s="3"/>
    </row>
    <row r="12528" spans="1:34" ht="14.25" customHeight="1" x14ac:dyDescent="0.25">
      <c r="A12528" s="3"/>
      <c r="B12528" s="3"/>
      <c r="C12528" s="3"/>
      <c r="D12528" s="3"/>
      <c r="E12528" s="3"/>
      <c r="F12528" s="3"/>
      <c r="G12528" s="3"/>
      <c r="H12528" s="11"/>
      <c r="I12528" s="12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  <c r="AA12528" s="3"/>
      <c r="AB12528" s="3"/>
      <c r="AC12528" s="3"/>
      <c r="AD12528" s="3"/>
      <c r="AE12528" s="3"/>
      <c r="AF12528" s="3"/>
      <c r="AG12528" s="3"/>
      <c r="AH12528" s="3"/>
    </row>
    <row r="12529" spans="1:34" ht="14.25" customHeight="1" x14ac:dyDescent="0.25">
      <c r="A12529" s="3"/>
      <c r="B12529" s="3"/>
      <c r="C12529" s="3"/>
      <c r="D12529" s="3"/>
      <c r="E12529" s="3"/>
      <c r="F12529" s="3"/>
      <c r="G12529" s="3"/>
      <c r="H12529" s="11"/>
      <c r="I12529" s="12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  <c r="AA12529" s="3"/>
      <c r="AB12529" s="3"/>
      <c r="AC12529" s="3"/>
      <c r="AD12529" s="3"/>
      <c r="AE12529" s="3"/>
      <c r="AF12529" s="3"/>
      <c r="AG12529" s="3"/>
      <c r="AH12529" s="3"/>
    </row>
    <row r="12530" spans="1:34" ht="14.25" customHeight="1" x14ac:dyDescent="0.25">
      <c r="A12530" s="3"/>
      <c r="B12530" s="3"/>
      <c r="C12530" s="3"/>
      <c r="D12530" s="3"/>
      <c r="E12530" s="3"/>
      <c r="F12530" s="3"/>
      <c r="G12530" s="3"/>
      <c r="H12530" s="11"/>
      <c r="I12530" s="12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  <c r="AA12530" s="3"/>
      <c r="AB12530" s="3"/>
      <c r="AC12530" s="3"/>
      <c r="AD12530" s="3"/>
      <c r="AE12530" s="3"/>
      <c r="AF12530" s="3"/>
      <c r="AG12530" s="3"/>
      <c r="AH12530" s="3"/>
    </row>
    <row r="12531" spans="1:34" ht="14.25" customHeight="1" x14ac:dyDescent="0.25">
      <c r="A12531" s="3"/>
      <c r="B12531" s="3"/>
      <c r="C12531" s="3"/>
      <c r="D12531" s="3"/>
      <c r="E12531" s="3"/>
      <c r="F12531" s="3"/>
      <c r="G12531" s="3"/>
      <c r="H12531" s="11"/>
      <c r="I12531" s="12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  <c r="AA12531" s="3"/>
      <c r="AB12531" s="3"/>
      <c r="AC12531" s="3"/>
      <c r="AD12531" s="3"/>
      <c r="AE12531" s="3"/>
      <c r="AF12531" s="3"/>
      <c r="AG12531" s="3"/>
      <c r="AH12531" s="3"/>
    </row>
    <row r="12532" spans="1:34" ht="14.25" customHeight="1" x14ac:dyDescent="0.25">
      <c r="A12532" s="3"/>
      <c r="B12532" s="3"/>
      <c r="C12532" s="3"/>
      <c r="D12532" s="3"/>
      <c r="E12532" s="3"/>
      <c r="F12532" s="3"/>
      <c r="G12532" s="3"/>
      <c r="H12532" s="11"/>
      <c r="I12532" s="12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  <c r="AA12532" s="3"/>
      <c r="AB12532" s="3"/>
      <c r="AC12532" s="3"/>
      <c r="AD12532" s="3"/>
      <c r="AE12532" s="3"/>
      <c r="AF12532" s="3"/>
      <c r="AG12532" s="3"/>
      <c r="AH12532" s="3"/>
    </row>
    <row r="12533" spans="1:34" ht="14.25" customHeight="1" x14ac:dyDescent="0.25">
      <c r="A12533" s="3"/>
      <c r="B12533" s="3"/>
      <c r="C12533" s="3"/>
      <c r="D12533" s="3"/>
      <c r="E12533" s="3"/>
      <c r="F12533" s="3"/>
      <c r="G12533" s="3"/>
      <c r="H12533" s="11"/>
      <c r="I12533" s="12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  <c r="AA12533" s="3"/>
      <c r="AB12533" s="3"/>
      <c r="AC12533" s="3"/>
      <c r="AD12533" s="3"/>
      <c r="AE12533" s="3"/>
      <c r="AF12533" s="3"/>
      <c r="AG12533" s="3"/>
      <c r="AH12533" s="3"/>
    </row>
    <row r="12534" spans="1:34" ht="14.25" customHeight="1" x14ac:dyDescent="0.25">
      <c r="A12534" s="3"/>
      <c r="B12534" s="3"/>
      <c r="C12534" s="3"/>
      <c r="D12534" s="3"/>
      <c r="E12534" s="3"/>
      <c r="F12534" s="3"/>
      <c r="G12534" s="3"/>
      <c r="H12534" s="11"/>
      <c r="I12534" s="12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  <c r="AA12534" s="3"/>
      <c r="AB12534" s="3"/>
      <c r="AC12534" s="3"/>
      <c r="AD12534" s="3"/>
      <c r="AE12534" s="3"/>
      <c r="AF12534" s="3"/>
      <c r="AG12534" s="3"/>
      <c r="AH12534" s="3"/>
    </row>
    <row r="12535" spans="1:34" ht="14.25" customHeight="1" x14ac:dyDescent="0.25">
      <c r="A12535" s="3"/>
      <c r="B12535" s="3"/>
      <c r="C12535" s="3"/>
      <c r="D12535" s="3"/>
      <c r="E12535" s="3"/>
      <c r="F12535" s="3"/>
      <c r="G12535" s="3"/>
      <c r="H12535" s="11"/>
      <c r="I12535" s="12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  <c r="AA12535" s="3"/>
      <c r="AB12535" s="3"/>
      <c r="AC12535" s="3"/>
      <c r="AD12535" s="3"/>
      <c r="AE12535" s="3"/>
      <c r="AF12535" s="3"/>
      <c r="AG12535" s="3"/>
      <c r="AH12535" s="3"/>
    </row>
    <row r="12536" spans="1:34" ht="14.25" customHeight="1" x14ac:dyDescent="0.25">
      <c r="A12536" s="3"/>
      <c r="B12536" s="3"/>
      <c r="C12536" s="3"/>
      <c r="D12536" s="3"/>
      <c r="E12536" s="3"/>
      <c r="F12536" s="3"/>
      <c r="G12536" s="3"/>
      <c r="H12536" s="11"/>
      <c r="I12536" s="12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  <c r="AA12536" s="3"/>
      <c r="AB12536" s="3"/>
      <c r="AC12536" s="3"/>
      <c r="AD12536" s="3"/>
      <c r="AE12536" s="3"/>
      <c r="AF12536" s="3"/>
      <c r="AG12536" s="3"/>
      <c r="AH12536" s="3"/>
    </row>
    <row r="12537" spans="1:34" ht="14.25" customHeight="1" x14ac:dyDescent="0.25">
      <c r="A12537" s="3"/>
      <c r="B12537" s="3"/>
      <c r="C12537" s="3"/>
      <c r="D12537" s="3"/>
      <c r="E12537" s="3"/>
      <c r="F12537" s="3"/>
      <c r="G12537" s="3"/>
      <c r="H12537" s="11"/>
      <c r="I12537" s="12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  <c r="AA12537" s="3"/>
      <c r="AB12537" s="3"/>
      <c r="AC12537" s="3"/>
      <c r="AD12537" s="3"/>
      <c r="AE12537" s="3"/>
      <c r="AF12537" s="3"/>
      <c r="AG12537" s="3"/>
      <c r="AH12537" s="3"/>
    </row>
    <row r="12538" spans="1:34" ht="14.25" customHeight="1" x14ac:dyDescent="0.25">
      <c r="A12538" s="3"/>
      <c r="B12538" s="3"/>
      <c r="C12538" s="3"/>
      <c r="D12538" s="3"/>
      <c r="E12538" s="3"/>
      <c r="F12538" s="3"/>
      <c r="G12538" s="3"/>
      <c r="H12538" s="11"/>
      <c r="I12538" s="12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  <c r="AA12538" s="3"/>
      <c r="AB12538" s="3"/>
      <c r="AC12538" s="3"/>
      <c r="AD12538" s="3"/>
      <c r="AE12538" s="3"/>
      <c r="AF12538" s="3"/>
      <c r="AG12538" s="3"/>
      <c r="AH12538" s="3"/>
    </row>
    <row r="12539" spans="1:34" ht="14.25" customHeight="1" x14ac:dyDescent="0.25">
      <c r="A12539" s="3"/>
      <c r="B12539" s="3"/>
      <c r="C12539" s="3"/>
      <c r="D12539" s="3"/>
      <c r="E12539" s="3"/>
      <c r="F12539" s="3"/>
      <c r="G12539" s="3"/>
      <c r="H12539" s="11"/>
      <c r="I12539" s="12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  <c r="AA12539" s="3"/>
      <c r="AB12539" s="3"/>
      <c r="AC12539" s="3"/>
      <c r="AD12539" s="3"/>
      <c r="AE12539" s="3"/>
      <c r="AF12539" s="3"/>
      <c r="AG12539" s="3"/>
      <c r="AH12539" s="3"/>
    </row>
    <row r="12540" spans="1:34" ht="14.25" customHeight="1" x14ac:dyDescent="0.25">
      <c r="A12540" s="3"/>
      <c r="B12540" s="3"/>
      <c r="C12540" s="3"/>
      <c r="D12540" s="3"/>
      <c r="E12540" s="3"/>
      <c r="F12540" s="3"/>
      <c r="G12540" s="3"/>
      <c r="H12540" s="11"/>
      <c r="I12540" s="12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  <c r="AA12540" s="3"/>
      <c r="AB12540" s="3"/>
      <c r="AC12540" s="3"/>
      <c r="AD12540" s="3"/>
      <c r="AE12540" s="3"/>
      <c r="AF12540" s="3"/>
      <c r="AG12540" s="3"/>
      <c r="AH12540" s="3"/>
    </row>
    <row r="12541" spans="1:34" ht="14.25" customHeight="1" x14ac:dyDescent="0.25">
      <c r="A12541" s="3"/>
      <c r="B12541" s="3"/>
      <c r="C12541" s="3"/>
      <c r="D12541" s="3"/>
      <c r="E12541" s="3"/>
      <c r="F12541" s="3"/>
      <c r="G12541" s="3"/>
      <c r="H12541" s="11"/>
      <c r="I12541" s="12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  <c r="AA12541" s="3"/>
      <c r="AB12541" s="3"/>
      <c r="AC12541" s="3"/>
      <c r="AD12541" s="3"/>
      <c r="AE12541" s="3"/>
      <c r="AF12541" s="3"/>
      <c r="AG12541" s="3"/>
      <c r="AH12541" s="3"/>
    </row>
    <row r="12542" spans="1:34" ht="14.25" customHeight="1" x14ac:dyDescent="0.25">
      <c r="A12542" s="3"/>
      <c r="B12542" s="3"/>
      <c r="C12542" s="3"/>
      <c r="D12542" s="3"/>
      <c r="E12542" s="3"/>
      <c r="F12542" s="3"/>
      <c r="G12542" s="3"/>
      <c r="H12542" s="11"/>
      <c r="I12542" s="12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  <c r="AA12542" s="3"/>
      <c r="AB12542" s="3"/>
      <c r="AC12542" s="3"/>
      <c r="AD12542" s="3"/>
      <c r="AE12542" s="3"/>
      <c r="AF12542" s="3"/>
      <c r="AG12542" s="3"/>
      <c r="AH12542" s="3"/>
    </row>
    <row r="12543" spans="1:34" ht="14.25" customHeight="1" x14ac:dyDescent="0.25">
      <c r="A12543" s="3"/>
      <c r="B12543" s="3"/>
      <c r="C12543" s="3"/>
      <c r="D12543" s="3"/>
      <c r="E12543" s="3"/>
      <c r="F12543" s="3"/>
      <c r="G12543" s="3"/>
      <c r="H12543" s="11"/>
      <c r="I12543" s="12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  <c r="AA12543" s="3"/>
      <c r="AB12543" s="3"/>
      <c r="AC12543" s="3"/>
      <c r="AD12543" s="3"/>
      <c r="AE12543" s="3"/>
      <c r="AF12543" s="3"/>
      <c r="AG12543" s="3"/>
      <c r="AH12543" s="3"/>
    </row>
    <row r="12544" spans="1:34" ht="14.25" customHeight="1" x14ac:dyDescent="0.25">
      <c r="A12544" s="3"/>
      <c r="B12544" s="3"/>
      <c r="C12544" s="3"/>
      <c r="D12544" s="3"/>
      <c r="E12544" s="3"/>
      <c r="F12544" s="3"/>
      <c r="G12544" s="3"/>
      <c r="H12544" s="11"/>
      <c r="I12544" s="12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  <c r="AA12544" s="3"/>
      <c r="AB12544" s="3"/>
      <c r="AC12544" s="3"/>
      <c r="AD12544" s="3"/>
      <c r="AE12544" s="3"/>
      <c r="AF12544" s="3"/>
      <c r="AG12544" s="3"/>
      <c r="AH12544" s="3"/>
    </row>
    <row r="12545" spans="1:34" ht="14.25" customHeight="1" x14ac:dyDescent="0.25">
      <c r="A12545" s="3"/>
      <c r="B12545" s="3"/>
      <c r="C12545" s="3"/>
      <c r="D12545" s="3"/>
      <c r="E12545" s="3"/>
      <c r="F12545" s="3"/>
      <c r="G12545" s="3"/>
      <c r="H12545" s="11"/>
      <c r="I12545" s="12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  <c r="AA12545" s="3"/>
      <c r="AB12545" s="3"/>
      <c r="AC12545" s="3"/>
      <c r="AD12545" s="3"/>
      <c r="AE12545" s="3"/>
      <c r="AF12545" s="3"/>
      <c r="AG12545" s="3"/>
      <c r="AH12545" s="3"/>
    </row>
    <row r="12546" spans="1:34" ht="14.25" customHeight="1" x14ac:dyDescent="0.25">
      <c r="A12546" s="3"/>
      <c r="B12546" s="3"/>
      <c r="C12546" s="3"/>
      <c r="D12546" s="3"/>
      <c r="E12546" s="3"/>
      <c r="F12546" s="3"/>
      <c r="G12546" s="3"/>
      <c r="H12546" s="11"/>
      <c r="I12546" s="12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  <c r="AA12546" s="3"/>
      <c r="AB12546" s="3"/>
      <c r="AC12546" s="3"/>
      <c r="AD12546" s="3"/>
      <c r="AE12546" s="3"/>
      <c r="AF12546" s="3"/>
      <c r="AG12546" s="3"/>
      <c r="AH12546" s="3"/>
    </row>
    <row r="12547" spans="1:34" ht="14.25" customHeight="1" x14ac:dyDescent="0.25">
      <c r="A12547" s="3"/>
      <c r="B12547" s="3"/>
      <c r="C12547" s="3"/>
      <c r="D12547" s="3"/>
      <c r="E12547" s="3"/>
      <c r="F12547" s="3"/>
      <c r="G12547" s="3"/>
      <c r="H12547" s="11"/>
      <c r="I12547" s="12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  <c r="AA12547" s="3"/>
      <c r="AB12547" s="3"/>
      <c r="AC12547" s="3"/>
      <c r="AD12547" s="3"/>
      <c r="AE12547" s="3"/>
      <c r="AF12547" s="3"/>
      <c r="AG12547" s="3"/>
      <c r="AH12547" s="3"/>
    </row>
    <row r="12548" spans="1:34" ht="14.25" customHeight="1" x14ac:dyDescent="0.25">
      <c r="A12548" s="3"/>
      <c r="B12548" s="3"/>
      <c r="C12548" s="3"/>
      <c r="D12548" s="3"/>
      <c r="E12548" s="3"/>
      <c r="F12548" s="3"/>
      <c r="G12548" s="3"/>
      <c r="H12548" s="11"/>
      <c r="I12548" s="12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  <c r="AA12548" s="3"/>
      <c r="AB12548" s="3"/>
      <c r="AC12548" s="3"/>
      <c r="AD12548" s="3"/>
      <c r="AE12548" s="3"/>
      <c r="AF12548" s="3"/>
      <c r="AG12548" s="3"/>
      <c r="AH12548" s="3"/>
    </row>
    <row r="12549" spans="1:34" ht="14.25" customHeight="1" x14ac:dyDescent="0.25">
      <c r="A12549" s="3"/>
      <c r="B12549" s="3"/>
      <c r="C12549" s="3"/>
      <c r="D12549" s="3"/>
      <c r="E12549" s="3"/>
      <c r="F12549" s="3"/>
      <c r="G12549" s="3"/>
      <c r="H12549" s="11"/>
      <c r="I12549" s="12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  <c r="AA12549" s="3"/>
      <c r="AB12549" s="3"/>
      <c r="AC12549" s="3"/>
      <c r="AD12549" s="3"/>
      <c r="AE12549" s="3"/>
      <c r="AF12549" s="3"/>
      <c r="AG12549" s="3"/>
      <c r="AH12549" s="3"/>
    </row>
    <row r="12550" spans="1:34" ht="14.25" customHeight="1" x14ac:dyDescent="0.25">
      <c r="A12550" s="3"/>
      <c r="B12550" s="3"/>
      <c r="C12550" s="3"/>
      <c r="D12550" s="3"/>
      <c r="E12550" s="3"/>
      <c r="F12550" s="3"/>
      <c r="G12550" s="3"/>
      <c r="H12550" s="11"/>
      <c r="I12550" s="12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  <c r="AA12550" s="3"/>
      <c r="AB12550" s="3"/>
      <c r="AC12550" s="3"/>
      <c r="AD12550" s="3"/>
      <c r="AE12550" s="3"/>
      <c r="AF12550" s="3"/>
      <c r="AG12550" s="3"/>
      <c r="AH12550" s="3"/>
    </row>
    <row r="12551" spans="1:34" ht="14.25" customHeight="1" x14ac:dyDescent="0.25">
      <c r="A12551" s="3"/>
      <c r="B12551" s="3"/>
      <c r="C12551" s="3"/>
      <c r="D12551" s="3"/>
      <c r="E12551" s="3"/>
      <c r="F12551" s="3"/>
      <c r="G12551" s="3"/>
      <c r="H12551" s="11"/>
      <c r="I12551" s="12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  <c r="AA12551" s="3"/>
      <c r="AB12551" s="3"/>
      <c r="AC12551" s="3"/>
      <c r="AD12551" s="3"/>
      <c r="AE12551" s="3"/>
      <c r="AF12551" s="3"/>
      <c r="AG12551" s="3"/>
      <c r="AH12551" s="3"/>
    </row>
    <row r="12552" spans="1:34" ht="14.25" customHeight="1" x14ac:dyDescent="0.25">
      <c r="A12552" s="3"/>
      <c r="B12552" s="3"/>
      <c r="C12552" s="3"/>
      <c r="D12552" s="3"/>
      <c r="E12552" s="3"/>
      <c r="F12552" s="3"/>
      <c r="G12552" s="3"/>
      <c r="H12552" s="11"/>
      <c r="I12552" s="12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  <c r="AA12552" s="3"/>
      <c r="AB12552" s="3"/>
      <c r="AC12552" s="3"/>
      <c r="AD12552" s="3"/>
      <c r="AE12552" s="3"/>
      <c r="AF12552" s="3"/>
      <c r="AG12552" s="3"/>
      <c r="AH12552" s="3"/>
    </row>
    <row r="12553" spans="1:34" ht="14.25" customHeight="1" x14ac:dyDescent="0.25">
      <c r="A12553" s="3"/>
      <c r="B12553" s="3"/>
      <c r="C12553" s="3"/>
      <c r="D12553" s="3"/>
      <c r="E12553" s="3"/>
      <c r="F12553" s="3"/>
      <c r="G12553" s="3"/>
      <c r="H12553" s="11"/>
      <c r="I12553" s="12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  <c r="AA12553" s="3"/>
      <c r="AB12553" s="3"/>
      <c r="AC12553" s="3"/>
      <c r="AD12553" s="3"/>
      <c r="AE12553" s="3"/>
      <c r="AF12553" s="3"/>
      <c r="AG12553" s="3"/>
      <c r="AH12553" s="3"/>
    </row>
    <row r="12554" spans="1:34" ht="14.25" customHeight="1" x14ac:dyDescent="0.25">
      <c r="A12554" s="3"/>
      <c r="B12554" s="3"/>
      <c r="C12554" s="3"/>
      <c r="D12554" s="3"/>
      <c r="E12554" s="3"/>
      <c r="F12554" s="3"/>
      <c r="G12554" s="3"/>
      <c r="H12554" s="11"/>
      <c r="I12554" s="12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  <c r="AA12554" s="3"/>
      <c r="AB12554" s="3"/>
      <c r="AC12554" s="3"/>
      <c r="AD12554" s="3"/>
      <c r="AE12554" s="3"/>
      <c r="AF12554" s="3"/>
      <c r="AG12554" s="3"/>
      <c r="AH12554" s="3"/>
    </row>
    <row r="12555" spans="1:34" ht="14.25" customHeight="1" x14ac:dyDescent="0.25">
      <c r="A12555" s="3"/>
      <c r="B12555" s="3"/>
      <c r="C12555" s="3"/>
      <c r="D12555" s="3"/>
      <c r="E12555" s="3"/>
      <c r="F12555" s="3"/>
      <c r="G12555" s="3"/>
      <c r="H12555" s="11"/>
      <c r="I12555" s="12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  <c r="AA12555" s="3"/>
      <c r="AB12555" s="3"/>
      <c r="AC12555" s="3"/>
      <c r="AD12555" s="3"/>
      <c r="AE12555" s="3"/>
      <c r="AF12555" s="3"/>
      <c r="AG12555" s="3"/>
      <c r="AH12555" s="3"/>
    </row>
    <row r="12556" spans="1:34" ht="14.25" customHeight="1" x14ac:dyDescent="0.25">
      <c r="A12556" s="3"/>
      <c r="B12556" s="3"/>
      <c r="C12556" s="3"/>
      <c r="D12556" s="3"/>
      <c r="E12556" s="3"/>
      <c r="F12556" s="3"/>
      <c r="G12556" s="3"/>
      <c r="H12556" s="11"/>
      <c r="I12556" s="12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  <c r="AA12556" s="3"/>
      <c r="AB12556" s="3"/>
      <c r="AC12556" s="3"/>
      <c r="AD12556" s="3"/>
      <c r="AE12556" s="3"/>
      <c r="AF12556" s="3"/>
      <c r="AG12556" s="3"/>
      <c r="AH12556" s="3"/>
    </row>
    <row r="12557" spans="1:34" ht="14.25" customHeight="1" x14ac:dyDescent="0.25">
      <c r="A12557" s="3"/>
      <c r="B12557" s="3"/>
      <c r="C12557" s="3"/>
      <c r="D12557" s="3"/>
      <c r="E12557" s="3"/>
      <c r="F12557" s="3"/>
      <c r="G12557" s="3"/>
      <c r="H12557" s="11"/>
      <c r="I12557" s="12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  <c r="AA12557" s="3"/>
      <c r="AB12557" s="3"/>
      <c r="AC12557" s="3"/>
      <c r="AD12557" s="3"/>
      <c r="AE12557" s="3"/>
      <c r="AF12557" s="3"/>
      <c r="AG12557" s="3"/>
      <c r="AH12557" s="3"/>
    </row>
    <row r="12558" spans="1:34" ht="14.25" customHeight="1" x14ac:dyDescent="0.25">
      <c r="A12558" s="3"/>
      <c r="B12558" s="3"/>
      <c r="C12558" s="3"/>
      <c r="D12558" s="3"/>
      <c r="E12558" s="3"/>
      <c r="F12558" s="3"/>
      <c r="G12558" s="3"/>
      <c r="H12558" s="11"/>
      <c r="I12558" s="12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  <c r="AA12558" s="3"/>
      <c r="AB12558" s="3"/>
      <c r="AC12558" s="3"/>
      <c r="AD12558" s="3"/>
      <c r="AE12558" s="3"/>
      <c r="AF12558" s="3"/>
      <c r="AG12558" s="3"/>
      <c r="AH12558" s="3"/>
    </row>
    <row r="12559" spans="1:34" ht="14.25" customHeight="1" x14ac:dyDescent="0.25">
      <c r="A12559" s="3"/>
      <c r="B12559" s="3"/>
      <c r="C12559" s="3"/>
      <c r="D12559" s="3"/>
      <c r="E12559" s="3"/>
      <c r="F12559" s="3"/>
      <c r="G12559" s="3"/>
      <c r="H12559" s="11"/>
      <c r="I12559" s="12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  <c r="AA12559" s="3"/>
      <c r="AB12559" s="3"/>
      <c r="AC12559" s="3"/>
      <c r="AD12559" s="3"/>
      <c r="AE12559" s="3"/>
      <c r="AF12559" s="3"/>
      <c r="AG12559" s="3"/>
      <c r="AH12559" s="3"/>
    </row>
    <row r="12560" spans="1:34" ht="14.25" customHeight="1" x14ac:dyDescent="0.25">
      <c r="A12560" s="3"/>
      <c r="B12560" s="3"/>
      <c r="C12560" s="3"/>
      <c r="D12560" s="3"/>
      <c r="E12560" s="3"/>
      <c r="F12560" s="3"/>
      <c r="G12560" s="3"/>
      <c r="H12560" s="11"/>
      <c r="I12560" s="12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  <c r="AA12560" s="3"/>
      <c r="AB12560" s="3"/>
      <c r="AC12560" s="3"/>
      <c r="AD12560" s="3"/>
      <c r="AE12560" s="3"/>
      <c r="AF12560" s="3"/>
      <c r="AG12560" s="3"/>
      <c r="AH12560" s="3"/>
    </row>
    <row r="12561" spans="1:34" ht="14.25" customHeight="1" x14ac:dyDescent="0.25">
      <c r="A12561" s="3"/>
      <c r="B12561" s="3"/>
      <c r="C12561" s="3"/>
      <c r="D12561" s="3"/>
      <c r="E12561" s="3"/>
      <c r="F12561" s="3"/>
      <c r="G12561" s="3"/>
      <c r="H12561" s="11"/>
      <c r="I12561" s="12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  <c r="AA12561" s="3"/>
      <c r="AB12561" s="3"/>
      <c r="AC12561" s="3"/>
      <c r="AD12561" s="3"/>
      <c r="AE12561" s="3"/>
      <c r="AF12561" s="3"/>
      <c r="AG12561" s="3"/>
      <c r="AH12561" s="3"/>
    </row>
    <row r="12562" spans="1:34" ht="14.25" customHeight="1" x14ac:dyDescent="0.25">
      <c r="A12562" s="3"/>
      <c r="B12562" s="3"/>
      <c r="C12562" s="3"/>
      <c r="D12562" s="3"/>
      <c r="E12562" s="3"/>
      <c r="F12562" s="3"/>
      <c r="G12562" s="3"/>
      <c r="H12562" s="11"/>
      <c r="I12562" s="12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  <c r="AA12562" s="3"/>
      <c r="AB12562" s="3"/>
      <c r="AC12562" s="3"/>
      <c r="AD12562" s="3"/>
      <c r="AE12562" s="3"/>
      <c r="AF12562" s="3"/>
      <c r="AG12562" s="3"/>
      <c r="AH12562" s="3"/>
    </row>
    <row r="12563" spans="1:34" ht="14.25" customHeight="1" x14ac:dyDescent="0.25">
      <c r="A12563" s="3"/>
      <c r="B12563" s="3"/>
      <c r="C12563" s="3"/>
      <c r="D12563" s="3"/>
      <c r="E12563" s="3"/>
      <c r="F12563" s="3"/>
      <c r="G12563" s="3"/>
      <c r="H12563" s="11"/>
      <c r="I12563" s="12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  <c r="AA12563" s="3"/>
      <c r="AB12563" s="3"/>
      <c r="AC12563" s="3"/>
      <c r="AD12563" s="3"/>
      <c r="AE12563" s="3"/>
      <c r="AF12563" s="3"/>
      <c r="AG12563" s="3"/>
      <c r="AH12563" s="3"/>
    </row>
    <row r="12564" spans="1:34" ht="14.25" customHeight="1" x14ac:dyDescent="0.25">
      <c r="A12564" s="3"/>
      <c r="B12564" s="3"/>
      <c r="C12564" s="3"/>
      <c r="D12564" s="3"/>
      <c r="E12564" s="3"/>
      <c r="F12564" s="3"/>
      <c r="G12564" s="3"/>
      <c r="H12564" s="11"/>
      <c r="I12564" s="12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  <c r="AA12564" s="3"/>
      <c r="AB12564" s="3"/>
      <c r="AC12564" s="3"/>
      <c r="AD12564" s="3"/>
      <c r="AE12564" s="3"/>
      <c r="AF12564" s="3"/>
      <c r="AG12564" s="3"/>
      <c r="AH12564" s="3"/>
    </row>
    <row r="12565" spans="1:34" ht="14.25" customHeight="1" x14ac:dyDescent="0.25">
      <c r="A12565" s="3"/>
      <c r="B12565" s="3"/>
      <c r="C12565" s="3"/>
      <c r="D12565" s="3"/>
      <c r="E12565" s="3"/>
      <c r="F12565" s="3"/>
      <c r="G12565" s="3"/>
      <c r="H12565" s="11"/>
      <c r="I12565" s="12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  <c r="AA12565" s="3"/>
      <c r="AB12565" s="3"/>
      <c r="AC12565" s="3"/>
      <c r="AD12565" s="3"/>
      <c r="AE12565" s="3"/>
      <c r="AF12565" s="3"/>
      <c r="AG12565" s="3"/>
      <c r="AH12565" s="3"/>
    </row>
    <row r="12566" spans="1:34" ht="14.25" customHeight="1" x14ac:dyDescent="0.25">
      <c r="A12566" s="3"/>
      <c r="B12566" s="3"/>
      <c r="C12566" s="3"/>
      <c r="D12566" s="3"/>
      <c r="E12566" s="3"/>
      <c r="F12566" s="3"/>
      <c r="G12566" s="3"/>
      <c r="H12566" s="11"/>
      <c r="I12566" s="12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  <c r="AA12566" s="3"/>
      <c r="AB12566" s="3"/>
      <c r="AC12566" s="3"/>
      <c r="AD12566" s="3"/>
      <c r="AE12566" s="3"/>
      <c r="AF12566" s="3"/>
      <c r="AG12566" s="3"/>
      <c r="AH12566" s="3"/>
    </row>
    <row r="12567" spans="1:34" ht="14.25" customHeight="1" x14ac:dyDescent="0.25">
      <c r="A12567" s="3"/>
      <c r="B12567" s="3"/>
      <c r="C12567" s="3"/>
      <c r="D12567" s="3"/>
      <c r="E12567" s="3"/>
      <c r="F12567" s="3"/>
      <c r="G12567" s="3"/>
      <c r="H12567" s="11"/>
      <c r="I12567" s="12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  <c r="AA12567" s="3"/>
      <c r="AB12567" s="3"/>
      <c r="AC12567" s="3"/>
      <c r="AD12567" s="3"/>
      <c r="AE12567" s="3"/>
      <c r="AF12567" s="3"/>
      <c r="AG12567" s="3"/>
      <c r="AH12567" s="3"/>
    </row>
    <row r="12568" spans="1:34" ht="14.25" customHeight="1" x14ac:dyDescent="0.25">
      <c r="A12568" s="3"/>
      <c r="B12568" s="3"/>
      <c r="C12568" s="3"/>
      <c r="D12568" s="3"/>
      <c r="E12568" s="3"/>
      <c r="F12568" s="3"/>
      <c r="G12568" s="3"/>
      <c r="H12568" s="11"/>
      <c r="I12568" s="12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  <c r="AA12568" s="3"/>
      <c r="AB12568" s="3"/>
      <c r="AC12568" s="3"/>
      <c r="AD12568" s="3"/>
      <c r="AE12568" s="3"/>
      <c r="AF12568" s="3"/>
      <c r="AG12568" s="3"/>
      <c r="AH12568" s="3"/>
    </row>
    <row r="12569" spans="1:34" ht="14.25" customHeight="1" x14ac:dyDescent="0.25">
      <c r="A12569" s="3"/>
      <c r="B12569" s="3"/>
      <c r="C12569" s="3"/>
      <c r="D12569" s="3"/>
      <c r="E12569" s="3"/>
      <c r="F12569" s="3"/>
      <c r="G12569" s="3"/>
      <c r="H12569" s="11"/>
      <c r="I12569" s="12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  <c r="AA12569" s="3"/>
      <c r="AB12569" s="3"/>
      <c r="AC12569" s="3"/>
      <c r="AD12569" s="3"/>
      <c r="AE12569" s="3"/>
      <c r="AF12569" s="3"/>
      <c r="AG12569" s="3"/>
      <c r="AH12569" s="3"/>
    </row>
    <row r="12570" spans="1:34" ht="14.25" customHeight="1" x14ac:dyDescent="0.25">
      <c r="A12570" s="3"/>
      <c r="B12570" s="3"/>
      <c r="C12570" s="3"/>
      <c r="D12570" s="3"/>
      <c r="E12570" s="3"/>
      <c r="F12570" s="3"/>
      <c r="G12570" s="3"/>
      <c r="H12570" s="11"/>
      <c r="I12570" s="12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  <c r="AA12570" s="3"/>
      <c r="AB12570" s="3"/>
      <c r="AC12570" s="3"/>
      <c r="AD12570" s="3"/>
      <c r="AE12570" s="3"/>
      <c r="AF12570" s="3"/>
      <c r="AG12570" s="3"/>
      <c r="AH12570" s="3"/>
    </row>
    <row r="12571" spans="1:34" ht="14.25" customHeight="1" x14ac:dyDescent="0.25">
      <c r="A12571" s="3"/>
      <c r="B12571" s="3"/>
      <c r="C12571" s="3"/>
      <c r="D12571" s="3"/>
      <c r="E12571" s="3"/>
      <c r="F12571" s="3"/>
      <c r="G12571" s="3"/>
      <c r="H12571" s="11"/>
      <c r="I12571" s="12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  <c r="AA12571" s="3"/>
      <c r="AB12571" s="3"/>
      <c r="AC12571" s="3"/>
      <c r="AD12571" s="3"/>
      <c r="AE12571" s="3"/>
      <c r="AF12571" s="3"/>
      <c r="AG12571" s="3"/>
      <c r="AH12571" s="3"/>
    </row>
    <row r="12572" spans="1:34" ht="14.25" customHeight="1" x14ac:dyDescent="0.25">
      <c r="A12572" s="3"/>
      <c r="B12572" s="3"/>
      <c r="C12572" s="3"/>
      <c r="D12572" s="3"/>
      <c r="E12572" s="3"/>
      <c r="F12572" s="3"/>
      <c r="G12572" s="3"/>
      <c r="H12572" s="11"/>
      <c r="I12572" s="12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  <c r="AA12572" s="3"/>
      <c r="AB12572" s="3"/>
      <c r="AC12572" s="3"/>
      <c r="AD12572" s="3"/>
      <c r="AE12572" s="3"/>
      <c r="AF12572" s="3"/>
      <c r="AG12572" s="3"/>
      <c r="AH12572" s="3"/>
    </row>
    <row r="12573" spans="1:34" ht="14.25" customHeight="1" x14ac:dyDescent="0.25">
      <c r="A12573" s="3"/>
      <c r="B12573" s="3"/>
      <c r="C12573" s="3"/>
      <c r="D12573" s="3"/>
      <c r="E12573" s="3"/>
      <c r="F12573" s="3"/>
      <c r="G12573" s="3"/>
      <c r="H12573" s="11"/>
      <c r="I12573" s="12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  <c r="AA12573" s="3"/>
      <c r="AB12573" s="3"/>
      <c r="AC12573" s="3"/>
      <c r="AD12573" s="3"/>
      <c r="AE12573" s="3"/>
      <c r="AF12573" s="3"/>
      <c r="AG12573" s="3"/>
      <c r="AH12573" s="3"/>
    </row>
    <row r="12574" spans="1:34" ht="14.25" customHeight="1" x14ac:dyDescent="0.25">
      <c r="A12574" s="3"/>
      <c r="B12574" s="3"/>
      <c r="C12574" s="3"/>
      <c r="D12574" s="3"/>
      <c r="E12574" s="3"/>
      <c r="F12574" s="3"/>
      <c r="G12574" s="3"/>
      <c r="H12574" s="11"/>
      <c r="I12574" s="12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  <c r="AA12574" s="3"/>
      <c r="AB12574" s="3"/>
      <c r="AC12574" s="3"/>
      <c r="AD12574" s="3"/>
      <c r="AE12574" s="3"/>
      <c r="AF12574" s="3"/>
      <c r="AG12574" s="3"/>
      <c r="AH12574" s="3"/>
    </row>
    <row r="12575" spans="1:34" ht="14.25" customHeight="1" x14ac:dyDescent="0.25">
      <c r="A12575" s="3"/>
      <c r="B12575" s="3"/>
      <c r="C12575" s="3"/>
      <c r="D12575" s="3"/>
      <c r="E12575" s="3"/>
      <c r="F12575" s="3"/>
      <c r="G12575" s="3"/>
      <c r="H12575" s="11"/>
      <c r="I12575" s="12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  <c r="AA12575" s="3"/>
      <c r="AB12575" s="3"/>
      <c r="AC12575" s="3"/>
      <c r="AD12575" s="3"/>
      <c r="AE12575" s="3"/>
      <c r="AF12575" s="3"/>
      <c r="AG12575" s="3"/>
      <c r="AH12575" s="3"/>
    </row>
    <row r="12576" spans="1:34" ht="14.25" customHeight="1" x14ac:dyDescent="0.25">
      <c r="A12576" s="3"/>
      <c r="B12576" s="3"/>
      <c r="C12576" s="3"/>
      <c r="D12576" s="3"/>
      <c r="E12576" s="3"/>
      <c r="F12576" s="3"/>
      <c r="G12576" s="3"/>
      <c r="H12576" s="11"/>
      <c r="I12576" s="12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  <c r="AA12576" s="3"/>
      <c r="AB12576" s="3"/>
      <c r="AC12576" s="3"/>
      <c r="AD12576" s="3"/>
      <c r="AE12576" s="3"/>
      <c r="AF12576" s="3"/>
      <c r="AG12576" s="3"/>
      <c r="AH12576" s="3"/>
    </row>
    <row r="12577" spans="1:34" ht="14.25" customHeight="1" x14ac:dyDescent="0.25">
      <c r="A12577" s="3"/>
      <c r="B12577" s="3"/>
      <c r="C12577" s="3"/>
      <c r="D12577" s="3"/>
      <c r="E12577" s="3"/>
      <c r="F12577" s="3"/>
      <c r="G12577" s="3"/>
      <c r="H12577" s="11"/>
      <c r="I12577" s="12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  <c r="AA12577" s="3"/>
      <c r="AB12577" s="3"/>
      <c r="AC12577" s="3"/>
      <c r="AD12577" s="3"/>
      <c r="AE12577" s="3"/>
      <c r="AF12577" s="3"/>
      <c r="AG12577" s="3"/>
      <c r="AH12577" s="3"/>
    </row>
    <row r="12578" spans="1:34" ht="14.25" customHeight="1" x14ac:dyDescent="0.25">
      <c r="A12578" s="3"/>
      <c r="B12578" s="3"/>
      <c r="C12578" s="3"/>
      <c r="D12578" s="3"/>
      <c r="E12578" s="3"/>
      <c r="F12578" s="3"/>
      <c r="G12578" s="3"/>
      <c r="H12578" s="11"/>
      <c r="I12578" s="12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  <c r="AA12578" s="3"/>
      <c r="AB12578" s="3"/>
      <c r="AC12578" s="3"/>
      <c r="AD12578" s="3"/>
      <c r="AE12578" s="3"/>
      <c r="AF12578" s="3"/>
      <c r="AG12578" s="3"/>
      <c r="AH12578" s="3"/>
    </row>
    <row r="12579" spans="1:34" ht="14.25" customHeight="1" x14ac:dyDescent="0.25">
      <c r="A12579" s="3"/>
      <c r="B12579" s="3"/>
      <c r="C12579" s="3"/>
      <c r="D12579" s="3"/>
      <c r="E12579" s="3"/>
      <c r="F12579" s="3"/>
      <c r="G12579" s="3"/>
      <c r="H12579" s="11"/>
      <c r="I12579" s="12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  <c r="AA12579" s="3"/>
      <c r="AB12579" s="3"/>
      <c r="AC12579" s="3"/>
      <c r="AD12579" s="3"/>
      <c r="AE12579" s="3"/>
      <c r="AF12579" s="3"/>
      <c r="AG12579" s="3"/>
      <c r="AH12579" s="3"/>
    </row>
    <row r="12580" spans="1:34" ht="14.25" customHeight="1" x14ac:dyDescent="0.25">
      <c r="A12580" s="3"/>
      <c r="B12580" s="3"/>
      <c r="C12580" s="3"/>
      <c r="D12580" s="3"/>
      <c r="E12580" s="3"/>
      <c r="F12580" s="3"/>
      <c r="G12580" s="3"/>
      <c r="H12580" s="11"/>
      <c r="I12580" s="12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  <c r="AA12580" s="3"/>
      <c r="AB12580" s="3"/>
      <c r="AC12580" s="3"/>
      <c r="AD12580" s="3"/>
      <c r="AE12580" s="3"/>
      <c r="AF12580" s="3"/>
      <c r="AG12580" s="3"/>
      <c r="AH12580" s="3"/>
    </row>
    <row r="12581" spans="1:34" ht="14.25" customHeight="1" x14ac:dyDescent="0.25">
      <c r="A12581" s="3"/>
      <c r="B12581" s="3"/>
      <c r="C12581" s="3"/>
      <c r="D12581" s="3"/>
      <c r="E12581" s="3"/>
      <c r="F12581" s="3"/>
      <c r="G12581" s="3"/>
      <c r="H12581" s="11"/>
      <c r="I12581" s="12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  <c r="AA12581" s="3"/>
      <c r="AB12581" s="3"/>
      <c r="AC12581" s="3"/>
      <c r="AD12581" s="3"/>
      <c r="AE12581" s="3"/>
      <c r="AF12581" s="3"/>
      <c r="AG12581" s="3"/>
      <c r="AH12581" s="3"/>
    </row>
    <row r="12582" spans="1:34" ht="14.25" customHeight="1" x14ac:dyDescent="0.25">
      <c r="A12582" s="3"/>
      <c r="B12582" s="3"/>
      <c r="C12582" s="3"/>
      <c r="D12582" s="3"/>
      <c r="E12582" s="3"/>
      <c r="F12582" s="3"/>
      <c r="G12582" s="3"/>
      <c r="H12582" s="11"/>
      <c r="I12582" s="12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  <c r="AA12582" s="3"/>
      <c r="AB12582" s="3"/>
      <c r="AC12582" s="3"/>
      <c r="AD12582" s="3"/>
      <c r="AE12582" s="3"/>
      <c r="AF12582" s="3"/>
      <c r="AG12582" s="3"/>
      <c r="AH12582" s="3"/>
    </row>
    <row r="12583" spans="1:34" ht="14.25" customHeight="1" x14ac:dyDescent="0.25">
      <c r="A12583" s="3"/>
      <c r="B12583" s="3"/>
      <c r="C12583" s="3"/>
      <c r="D12583" s="3"/>
      <c r="E12583" s="3"/>
      <c r="F12583" s="3"/>
      <c r="G12583" s="3"/>
      <c r="H12583" s="11"/>
      <c r="I12583" s="12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  <c r="AA12583" s="3"/>
      <c r="AB12583" s="3"/>
      <c r="AC12583" s="3"/>
      <c r="AD12583" s="3"/>
      <c r="AE12583" s="3"/>
      <c r="AF12583" s="3"/>
      <c r="AG12583" s="3"/>
      <c r="AH12583" s="3"/>
    </row>
    <row r="12584" spans="1:34" ht="14.25" customHeight="1" x14ac:dyDescent="0.25">
      <c r="A12584" s="3"/>
      <c r="B12584" s="3"/>
      <c r="C12584" s="3"/>
      <c r="D12584" s="3"/>
      <c r="E12584" s="3"/>
      <c r="F12584" s="3"/>
      <c r="G12584" s="3"/>
      <c r="H12584" s="11"/>
      <c r="I12584" s="12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  <c r="AA12584" s="3"/>
      <c r="AB12584" s="3"/>
      <c r="AC12584" s="3"/>
      <c r="AD12584" s="3"/>
      <c r="AE12584" s="3"/>
      <c r="AF12584" s="3"/>
      <c r="AG12584" s="3"/>
      <c r="AH12584" s="3"/>
    </row>
    <row r="12585" spans="1:34" ht="15" customHeight="1" x14ac:dyDescent="0.25">
      <c r="A12585" s="3"/>
      <c r="B12585" s="3"/>
      <c r="C12585" s="3"/>
      <c r="D12585" s="3"/>
      <c r="E12585" s="3"/>
      <c r="F12585" s="3"/>
      <c r="G12585" s="3"/>
      <c r="H12585" s="11"/>
      <c r="I12585" s="12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  <c r="AA12585" s="3"/>
      <c r="AB12585" s="3"/>
      <c r="AC12585" s="3"/>
      <c r="AD12585" s="3"/>
      <c r="AE12585" s="3"/>
      <c r="AF12585" s="3"/>
      <c r="AG12585" s="3"/>
      <c r="AH12585" s="3"/>
    </row>
    <row r="12586" spans="1:34" ht="15" customHeight="1" x14ac:dyDescent="0.25">
      <c r="A12586" s="3"/>
      <c r="B12586" s="3"/>
      <c r="C12586" s="3"/>
      <c r="D12586" s="3"/>
      <c r="E12586" s="3"/>
      <c r="F12586" s="3"/>
      <c r="G12586" s="3"/>
      <c r="H12586" s="11"/>
      <c r="I12586" s="12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  <c r="AA12586" s="3"/>
      <c r="AB12586" s="3"/>
      <c r="AC12586" s="3"/>
      <c r="AD12586" s="3"/>
      <c r="AE12586" s="3"/>
      <c r="AF12586" s="3"/>
      <c r="AG12586" s="3"/>
      <c r="AH12586" s="3"/>
    </row>
    <row r="12587" spans="1:34" ht="15" customHeight="1" x14ac:dyDescent="0.25">
      <c r="A12587" s="3"/>
      <c r="B12587" s="3"/>
      <c r="C12587" s="3"/>
      <c r="D12587" s="3"/>
      <c r="E12587" s="3"/>
      <c r="F12587" s="3"/>
      <c r="G12587" s="3"/>
      <c r="H12587" s="11"/>
      <c r="I12587" s="12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  <c r="AA12587" s="3"/>
      <c r="AB12587" s="3"/>
      <c r="AC12587" s="3"/>
      <c r="AD12587" s="3"/>
      <c r="AE12587" s="3"/>
      <c r="AF12587" s="3"/>
      <c r="AG12587" s="3"/>
      <c r="AH12587" s="3"/>
    </row>
    <row r="12588" spans="1:34" ht="15" customHeight="1" x14ac:dyDescent="0.25">
      <c r="A12588" s="3"/>
      <c r="B12588" s="3"/>
      <c r="C12588" s="3"/>
      <c r="D12588" s="3"/>
      <c r="E12588" s="3"/>
      <c r="F12588" s="3"/>
      <c r="G12588" s="3"/>
      <c r="H12588" s="11"/>
      <c r="I12588" s="12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  <c r="AA12588" s="3"/>
      <c r="AB12588" s="3"/>
      <c r="AC12588" s="3"/>
      <c r="AD12588" s="3"/>
      <c r="AE12588" s="3"/>
      <c r="AF12588" s="3"/>
      <c r="AG12588" s="3"/>
      <c r="AH12588" s="3"/>
    </row>
    <row r="12589" spans="1:34" ht="15" customHeight="1" x14ac:dyDescent="0.25">
      <c r="A12589" s="3"/>
      <c r="B12589" s="3"/>
      <c r="C12589" s="3"/>
      <c r="D12589" s="3"/>
      <c r="E12589" s="3"/>
      <c r="F12589" s="3"/>
      <c r="G12589" s="3"/>
      <c r="H12589" s="11"/>
      <c r="I12589" s="12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  <c r="AA12589" s="3"/>
      <c r="AB12589" s="3"/>
      <c r="AC12589" s="3"/>
      <c r="AD12589" s="3"/>
      <c r="AE12589" s="3"/>
      <c r="AF12589" s="3"/>
      <c r="AG12589" s="3"/>
      <c r="AH12589" s="3"/>
    </row>
    <row r="12590" spans="1:34" ht="15" customHeight="1" x14ac:dyDescent="0.25">
      <c r="A12590" s="3"/>
      <c r="B12590" s="3"/>
      <c r="C12590" s="3"/>
      <c r="D12590" s="3"/>
      <c r="E12590" s="3"/>
      <c r="F12590" s="3"/>
      <c r="G12590" s="3"/>
      <c r="H12590" s="11"/>
      <c r="I12590" s="12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  <c r="AA12590" s="3"/>
      <c r="AB12590" s="3"/>
      <c r="AC12590" s="3"/>
      <c r="AD12590" s="3"/>
      <c r="AE12590" s="3"/>
      <c r="AF12590" s="3"/>
      <c r="AG12590" s="3"/>
      <c r="AH12590" s="3"/>
    </row>
    <row r="12591" spans="1:34" ht="15" customHeight="1" x14ac:dyDescent="0.25">
      <c r="A12591" s="3"/>
      <c r="B12591" s="3"/>
      <c r="C12591" s="3"/>
      <c r="D12591" s="3"/>
      <c r="E12591" s="3"/>
      <c r="F12591" s="3"/>
      <c r="G12591" s="3"/>
      <c r="H12591" s="11"/>
      <c r="I12591" s="12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  <c r="AA12591" s="3"/>
      <c r="AB12591" s="3"/>
      <c r="AC12591" s="3"/>
      <c r="AD12591" s="3"/>
      <c r="AE12591" s="3"/>
      <c r="AF12591" s="3"/>
      <c r="AG12591" s="3"/>
      <c r="AH12591" s="3"/>
    </row>
    <row r="12592" spans="1:34" ht="15" customHeight="1" x14ac:dyDescent="0.25">
      <c r="A12592" s="3"/>
      <c r="B12592" s="3"/>
      <c r="C12592" s="3"/>
      <c r="D12592" s="3"/>
      <c r="E12592" s="3"/>
      <c r="F12592" s="3"/>
      <c r="G12592" s="3"/>
      <c r="H12592" s="11"/>
      <c r="I12592" s="12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  <c r="AA12592" s="3"/>
      <c r="AB12592" s="3"/>
      <c r="AC12592" s="3"/>
      <c r="AD12592" s="3"/>
      <c r="AE12592" s="3"/>
      <c r="AF12592" s="3"/>
      <c r="AG12592" s="3"/>
      <c r="AH12592" s="3"/>
    </row>
    <row r="12593" spans="1:34" ht="15" customHeight="1" x14ac:dyDescent="0.25">
      <c r="A12593" s="3"/>
      <c r="B12593" s="3"/>
      <c r="C12593" s="3"/>
      <c r="D12593" s="3"/>
      <c r="E12593" s="3"/>
      <c r="F12593" s="3"/>
      <c r="G12593" s="3"/>
      <c r="H12593" s="11"/>
      <c r="I12593" s="12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  <c r="AA12593" s="3"/>
      <c r="AB12593" s="3"/>
      <c r="AC12593" s="3"/>
      <c r="AD12593" s="3"/>
      <c r="AE12593" s="3"/>
      <c r="AF12593" s="3"/>
      <c r="AG12593" s="3"/>
      <c r="AH12593" s="3"/>
    </row>
    <row r="12594" spans="1:34" ht="15" customHeight="1" x14ac:dyDescent="0.25">
      <c r="A12594" s="3"/>
      <c r="B12594" s="3"/>
      <c r="C12594" s="3"/>
      <c r="D12594" s="3"/>
      <c r="E12594" s="3"/>
      <c r="F12594" s="3"/>
      <c r="G12594" s="3"/>
      <c r="H12594" s="11"/>
      <c r="I12594" s="12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  <c r="AA12594" s="3"/>
      <c r="AB12594" s="3"/>
      <c r="AC12594" s="3"/>
      <c r="AD12594" s="3"/>
      <c r="AE12594" s="3"/>
      <c r="AF12594" s="3"/>
      <c r="AG12594" s="3"/>
      <c r="AH12594" s="3"/>
    </row>
    <row r="12595" spans="1:34" ht="15" customHeight="1" x14ac:dyDescent="0.25">
      <c r="A12595" s="3"/>
      <c r="B12595" s="3"/>
      <c r="C12595" s="3"/>
      <c r="D12595" s="3"/>
      <c r="E12595" s="3"/>
      <c r="F12595" s="3"/>
      <c r="G12595" s="3"/>
      <c r="H12595" s="11"/>
      <c r="I12595" s="12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  <c r="AA12595" s="3"/>
      <c r="AB12595" s="3"/>
      <c r="AC12595" s="3"/>
      <c r="AD12595" s="3"/>
      <c r="AE12595" s="3"/>
      <c r="AF12595" s="3"/>
      <c r="AG12595" s="3"/>
      <c r="AH12595" s="3"/>
    </row>
    <row r="12596" spans="1:34" ht="15" customHeight="1" x14ac:dyDescent="0.25">
      <c r="A12596" s="3"/>
      <c r="B12596" s="3"/>
      <c r="C12596" s="3"/>
      <c r="D12596" s="3"/>
      <c r="E12596" s="3"/>
      <c r="F12596" s="3"/>
      <c r="G12596" s="3"/>
      <c r="H12596" s="11"/>
      <c r="I12596" s="12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  <c r="AA12596" s="3"/>
      <c r="AB12596" s="3"/>
      <c r="AC12596" s="3"/>
      <c r="AD12596" s="3"/>
      <c r="AE12596" s="3"/>
      <c r="AF12596" s="3"/>
      <c r="AG12596" s="3"/>
      <c r="AH12596" s="3"/>
    </row>
    <row r="12597" spans="1:34" ht="15" customHeight="1" x14ac:dyDescent="0.25">
      <c r="A12597" s="3"/>
      <c r="B12597" s="3"/>
      <c r="C12597" s="3"/>
      <c r="D12597" s="3"/>
      <c r="E12597" s="3"/>
      <c r="F12597" s="3"/>
      <c r="G12597" s="3"/>
      <c r="H12597" s="11"/>
      <c r="I12597" s="12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  <c r="AA12597" s="3"/>
      <c r="AB12597" s="3"/>
      <c r="AC12597" s="3"/>
      <c r="AD12597" s="3"/>
      <c r="AE12597" s="3"/>
      <c r="AF12597" s="3"/>
      <c r="AG12597" s="3"/>
      <c r="AH12597" s="3"/>
    </row>
    <row r="12598" spans="1:34" ht="15" customHeight="1" x14ac:dyDescent="0.25">
      <c r="A12598" s="3"/>
      <c r="B12598" s="3"/>
      <c r="C12598" s="3"/>
      <c r="D12598" s="3"/>
      <c r="E12598" s="3"/>
      <c r="F12598" s="3"/>
      <c r="G12598" s="3"/>
      <c r="H12598" s="11"/>
      <c r="I12598" s="12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  <c r="AA12598" s="3"/>
      <c r="AB12598" s="3"/>
      <c r="AC12598" s="3"/>
      <c r="AD12598" s="3"/>
      <c r="AE12598" s="3"/>
      <c r="AF12598" s="3"/>
      <c r="AG12598" s="3"/>
      <c r="AH12598" s="3"/>
    </row>
    <row r="12599" spans="1:34" ht="15" customHeight="1" x14ac:dyDescent="0.25">
      <c r="A12599" s="3"/>
      <c r="B12599" s="3"/>
      <c r="C12599" s="3"/>
      <c r="D12599" s="3"/>
      <c r="E12599" s="3"/>
      <c r="F12599" s="3"/>
      <c r="G12599" s="3"/>
      <c r="H12599" s="11"/>
      <c r="I12599" s="12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  <c r="AA12599" s="3"/>
      <c r="AB12599" s="3"/>
      <c r="AC12599" s="3"/>
      <c r="AD12599" s="3"/>
      <c r="AE12599" s="3"/>
      <c r="AF12599" s="3"/>
      <c r="AG12599" s="3"/>
      <c r="AH12599" s="3"/>
    </row>
    <row r="12600" spans="1:34" ht="15" customHeight="1" x14ac:dyDescent="0.25">
      <c r="A12600" s="3"/>
      <c r="B12600" s="3"/>
      <c r="C12600" s="3"/>
      <c r="D12600" s="3"/>
      <c r="E12600" s="3"/>
      <c r="F12600" s="3"/>
      <c r="G12600" s="3"/>
      <c r="H12600" s="11"/>
      <c r="I12600" s="12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  <c r="AA12600" s="3"/>
      <c r="AB12600" s="3"/>
      <c r="AC12600" s="3"/>
      <c r="AD12600" s="3"/>
      <c r="AE12600" s="3"/>
      <c r="AF12600" s="3"/>
      <c r="AG12600" s="3"/>
      <c r="AH12600" s="3"/>
    </row>
    <row r="12601" spans="1:34" ht="15" customHeight="1" x14ac:dyDescent="0.25">
      <c r="A12601" s="3"/>
      <c r="B12601" s="3"/>
      <c r="C12601" s="3"/>
      <c r="D12601" s="3"/>
      <c r="E12601" s="3"/>
      <c r="F12601" s="3"/>
      <c r="G12601" s="3"/>
      <c r="H12601" s="11"/>
      <c r="I12601" s="12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  <c r="AA12601" s="3"/>
      <c r="AB12601" s="3"/>
      <c r="AC12601" s="3"/>
      <c r="AD12601" s="3"/>
      <c r="AE12601" s="3"/>
      <c r="AF12601" s="3"/>
      <c r="AG12601" s="3"/>
      <c r="AH12601" s="3"/>
    </row>
    <row r="12602" spans="1:34" ht="15" customHeight="1" x14ac:dyDescent="0.25">
      <c r="A12602" s="3"/>
      <c r="B12602" s="3"/>
      <c r="C12602" s="3"/>
      <c r="D12602" s="3"/>
      <c r="E12602" s="3"/>
      <c r="F12602" s="3"/>
      <c r="G12602" s="3"/>
      <c r="H12602" s="11"/>
      <c r="I12602" s="12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  <c r="AA12602" s="3"/>
      <c r="AB12602" s="3"/>
      <c r="AC12602" s="3"/>
      <c r="AD12602" s="3"/>
      <c r="AE12602" s="3"/>
      <c r="AF12602" s="3"/>
      <c r="AG12602" s="3"/>
      <c r="AH12602" s="3"/>
    </row>
    <row r="12603" spans="1:34" ht="15" customHeight="1" x14ac:dyDescent="0.25">
      <c r="A12603" s="3"/>
      <c r="B12603" s="3"/>
      <c r="C12603" s="3"/>
      <c r="D12603" s="3"/>
      <c r="E12603" s="3"/>
      <c r="F12603" s="3"/>
      <c r="G12603" s="3"/>
      <c r="H12603" s="11"/>
      <c r="I12603" s="12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  <c r="AA12603" s="3"/>
      <c r="AB12603" s="3"/>
      <c r="AC12603" s="3"/>
      <c r="AD12603" s="3"/>
      <c r="AE12603" s="3"/>
      <c r="AF12603" s="3"/>
      <c r="AG12603" s="3"/>
      <c r="AH12603" s="3"/>
    </row>
    <row r="12604" spans="1:34" ht="15" customHeight="1" x14ac:dyDescent="0.25">
      <c r="A12604" s="3"/>
      <c r="B12604" s="3"/>
      <c r="C12604" s="3"/>
      <c r="D12604" s="3"/>
      <c r="E12604" s="3"/>
      <c r="F12604" s="3"/>
      <c r="G12604" s="3"/>
      <c r="H12604" s="11"/>
      <c r="I12604" s="12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  <c r="AA12604" s="3"/>
      <c r="AB12604" s="3"/>
      <c r="AC12604" s="3"/>
      <c r="AD12604" s="3"/>
      <c r="AE12604" s="3"/>
      <c r="AF12604" s="3"/>
      <c r="AG12604" s="3"/>
      <c r="AH12604" s="3"/>
    </row>
    <row r="12605" spans="1:34" ht="15" customHeight="1" x14ac:dyDescent="0.25">
      <c r="A12605" s="3"/>
      <c r="B12605" s="3"/>
      <c r="C12605" s="3"/>
      <c r="D12605" s="3"/>
      <c r="E12605" s="3"/>
      <c r="F12605" s="3"/>
      <c r="G12605" s="3"/>
      <c r="H12605" s="11"/>
      <c r="I12605" s="12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  <c r="AA12605" s="3"/>
      <c r="AB12605" s="3"/>
      <c r="AC12605" s="3"/>
      <c r="AD12605" s="3"/>
      <c r="AE12605" s="3"/>
      <c r="AF12605" s="3"/>
      <c r="AG12605" s="3"/>
      <c r="AH12605" s="3"/>
    </row>
    <row r="12606" spans="1:34" ht="15" customHeight="1" x14ac:dyDescent="0.25">
      <c r="A12606" s="3"/>
      <c r="B12606" s="3"/>
      <c r="C12606" s="3"/>
      <c r="D12606" s="3"/>
      <c r="E12606" s="3"/>
      <c r="F12606" s="3"/>
      <c r="G12606" s="3"/>
      <c r="H12606" s="11"/>
      <c r="I12606" s="12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  <c r="AA12606" s="3"/>
      <c r="AB12606" s="3"/>
      <c r="AC12606" s="3"/>
      <c r="AD12606" s="3"/>
      <c r="AE12606" s="3"/>
      <c r="AF12606" s="3"/>
      <c r="AG12606" s="3"/>
      <c r="AH12606" s="3"/>
    </row>
    <row r="12607" spans="1:34" ht="15" customHeight="1" x14ac:dyDescent="0.25">
      <c r="A12607" s="3"/>
      <c r="B12607" s="3"/>
      <c r="C12607" s="3"/>
      <c r="D12607" s="3"/>
      <c r="E12607" s="3"/>
      <c r="F12607" s="3"/>
      <c r="G12607" s="3"/>
      <c r="H12607" s="11"/>
      <c r="I12607" s="12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  <c r="AA12607" s="3"/>
      <c r="AB12607" s="3"/>
      <c r="AC12607" s="3"/>
      <c r="AD12607" s="3"/>
      <c r="AE12607" s="3"/>
      <c r="AF12607" s="3"/>
      <c r="AG12607" s="3"/>
      <c r="AH12607" s="3"/>
    </row>
    <row r="12608" spans="1:34" ht="15" customHeight="1" x14ac:dyDescent="0.25">
      <c r="A12608" s="3"/>
      <c r="B12608" s="3"/>
      <c r="C12608" s="3"/>
      <c r="D12608" s="3"/>
      <c r="E12608" s="3"/>
      <c r="F12608" s="3"/>
      <c r="G12608" s="3"/>
      <c r="H12608" s="11"/>
      <c r="I12608" s="12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  <c r="AA12608" s="3"/>
      <c r="AB12608" s="3"/>
      <c r="AC12608" s="3"/>
      <c r="AD12608" s="3"/>
      <c r="AE12608" s="3"/>
      <c r="AF12608" s="3"/>
      <c r="AG12608" s="3"/>
      <c r="AH12608" s="3"/>
    </row>
    <row r="12609" spans="1:34" ht="15" customHeight="1" x14ac:dyDescent="0.25">
      <c r="A12609" s="3"/>
      <c r="B12609" s="3"/>
      <c r="C12609" s="3"/>
      <c r="D12609" s="3"/>
      <c r="E12609" s="3"/>
      <c r="F12609" s="3"/>
      <c r="G12609" s="3"/>
      <c r="H12609" s="11"/>
      <c r="I12609" s="12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  <c r="AA12609" s="3"/>
      <c r="AB12609" s="3"/>
      <c r="AC12609" s="3"/>
      <c r="AD12609" s="3"/>
      <c r="AE12609" s="3"/>
      <c r="AF12609" s="3"/>
      <c r="AG12609" s="3"/>
      <c r="AH12609" s="3"/>
    </row>
    <row r="12610" spans="1:34" ht="15" customHeight="1" x14ac:dyDescent="0.25">
      <c r="A12610" s="3"/>
      <c r="B12610" s="3"/>
      <c r="C12610" s="3"/>
      <c r="D12610" s="3"/>
      <c r="E12610" s="3"/>
      <c r="F12610" s="3"/>
      <c r="G12610" s="3"/>
      <c r="H12610" s="11"/>
      <c r="I12610" s="12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  <c r="AA12610" s="3"/>
      <c r="AB12610" s="3"/>
      <c r="AC12610" s="3"/>
      <c r="AD12610" s="3"/>
      <c r="AE12610" s="3"/>
      <c r="AF12610" s="3"/>
      <c r="AG12610" s="3"/>
      <c r="AH12610" s="3"/>
    </row>
    <row r="12611" spans="1:34" ht="15" customHeight="1" x14ac:dyDescent="0.25">
      <c r="A12611" s="3"/>
      <c r="B12611" s="3"/>
      <c r="C12611" s="3"/>
      <c r="D12611" s="3"/>
      <c r="E12611" s="3"/>
      <c r="F12611" s="3"/>
      <c r="G12611" s="3"/>
      <c r="H12611" s="11"/>
      <c r="I12611" s="12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  <c r="AA12611" s="3"/>
      <c r="AB12611" s="3"/>
      <c r="AC12611" s="3"/>
      <c r="AD12611" s="3"/>
      <c r="AE12611" s="3"/>
      <c r="AF12611" s="3"/>
      <c r="AG12611" s="3"/>
      <c r="AH12611" s="3"/>
    </row>
    <row r="12612" spans="1:34" ht="15" customHeight="1" x14ac:dyDescent="0.25">
      <c r="A12612" s="3"/>
      <c r="B12612" s="3"/>
      <c r="C12612" s="3"/>
      <c r="D12612" s="3"/>
      <c r="E12612" s="3"/>
      <c r="F12612" s="3"/>
      <c r="G12612" s="3"/>
      <c r="H12612" s="11"/>
      <c r="I12612" s="12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  <c r="AA12612" s="3"/>
      <c r="AB12612" s="3"/>
      <c r="AC12612" s="3"/>
      <c r="AD12612" s="3"/>
      <c r="AE12612" s="3"/>
      <c r="AF12612" s="3"/>
      <c r="AG12612" s="3"/>
      <c r="AH12612" s="3"/>
    </row>
    <row r="12613" spans="1:34" ht="15" customHeight="1" x14ac:dyDescent="0.25">
      <c r="A12613" s="3"/>
      <c r="B12613" s="3"/>
      <c r="C12613" s="3"/>
      <c r="D12613" s="3"/>
      <c r="E12613" s="3"/>
      <c r="F12613" s="3"/>
      <c r="G12613" s="3"/>
      <c r="H12613" s="11"/>
      <c r="I12613" s="12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  <c r="AA12613" s="3"/>
      <c r="AB12613" s="3"/>
      <c r="AC12613" s="3"/>
      <c r="AD12613" s="3"/>
      <c r="AE12613" s="3"/>
      <c r="AF12613" s="3"/>
      <c r="AG12613" s="3"/>
      <c r="AH12613" s="3"/>
    </row>
    <row r="12614" spans="1:34" ht="15" customHeight="1" x14ac:dyDescent="0.25">
      <c r="A12614" s="3"/>
      <c r="B12614" s="3"/>
      <c r="C12614" s="3"/>
      <c r="D12614" s="3"/>
      <c r="E12614" s="3"/>
      <c r="F12614" s="3"/>
      <c r="G12614" s="3"/>
      <c r="H12614" s="11"/>
      <c r="I12614" s="12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  <c r="AA12614" s="3"/>
      <c r="AB12614" s="3"/>
      <c r="AC12614" s="3"/>
      <c r="AD12614" s="3"/>
      <c r="AE12614" s="3"/>
      <c r="AF12614" s="3"/>
      <c r="AG12614" s="3"/>
      <c r="AH12614" s="3"/>
    </row>
    <row r="12615" spans="1:34" ht="15" customHeight="1" x14ac:dyDescent="0.25">
      <c r="A12615" s="3"/>
      <c r="B12615" s="3"/>
      <c r="C12615" s="3"/>
      <c r="D12615" s="3"/>
      <c r="E12615" s="3"/>
      <c r="F12615" s="3"/>
      <c r="G12615" s="3"/>
      <c r="H12615" s="11"/>
      <c r="I12615" s="12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  <c r="AA12615" s="3"/>
      <c r="AB12615" s="3"/>
      <c r="AC12615" s="3"/>
      <c r="AD12615" s="3"/>
      <c r="AE12615" s="3"/>
      <c r="AF12615" s="3"/>
      <c r="AG12615" s="3"/>
      <c r="AH12615" s="3"/>
    </row>
    <row r="12616" spans="1:34" ht="15" customHeight="1" x14ac:dyDescent="0.25">
      <c r="A12616" s="3"/>
      <c r="B12616" s="3"/>
      <c r="C12616" s="3"/>
      <c r="D12616" s="3"/>
      <c r="E12616" s="3"/>
      <c r="F12616" s="3"/>
      <c r="G12616" s="3"/>
      <c r="H12616" s="11"/>
      <c r="I12616" s="12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  <c r="AA12616" s="3"/>
      <c r="AB12616" s="3"/>
      <c r="AC12616" s="3"/>
      <c r="AD12616" s="3"/>
      <c r="AE12616" s="3"/>
      <c r="AF12616" s="3"/>
      <c r="AG12616" s="3"/>
      <c r="AH12616" s="3"/>
    </row>
    <row r="12617" spans="1:34" ht="15" customHeight="1" x14ac:dyDescent="0.25">
      <c r="A12617" s="3"/>
      <c r="B12617" s="3"/>
      <c r="C12617" s="3"/>
      <c r="D12617" s="3"/>
      <c r="E12617" s="3"/>
      <c r="F12617" s="3"/>
      <c r="G12617" s="3"/>
      <c r="H12617" s="11"/>
      <c r="I12617" s="12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  <c r="AA12617" s="3"/>
      <c r="AB12617" s="3"/>
      <c r="AC12617" s="3"/>
      <c r="AD12617" s="3"/>
      <c r="AE12617" s="3"/>
      <c r="AF12617" s="3"/>
      <c r="AG12617" s="3"/>
      <c r="AH12617" s="3"/>
    </row>
    <row r="12618" spans="1:34" ht="15" customHeight="1" x14ac:dyDescent="0.25">
      <c r="A12618" s="3"/>
      <c r="B12618" s="3"/>
      <c r="C12618" s="3"/>
      <c r="D12618" s="3"/>
      <c r="E12618" s="3"/>
      <c r="F12618" s="3"/>
      <c r="G12618" s="3"/>
      <c r="H12618" s="11"/>
      <c r="I12618" s="12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  <c r="AA12618" s="3"/>
      <c r="AB12618" s="3"/>
      <c r="AC12618" s="3"/>
      <c r="AD12618" s="3"/>
      <c r="AE12618" s="3"/>
      <c r="AF12618" s="3"/>
      <c r="AG12618" s="3"/>
      <c r="AH12618" s="3"/>
    </row>
    <row r="12619" spans="1:34" ht="15" customHeight="1" x14ac:dyDescent="0.25">
      <c r="A12619" s="3"/>
      <c r="B12619" s="3"/>
      <c r="C12619" s="3"/>
      <c r="D12619" s="3"/>
      <c r="E12619" s="3"/>
      <c r="F12619" s="3"/>
      <c r="G12619" s="3"/>
      <c r="H12619" s="11"/>
      <c r="I12619" s="12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  <c r="AA12619" s="3"/>
      <c r="AB12619" s="3"/>
      <c r="AC12619" s="3"/>
      <c r="AD12619" s="3"/>
      <c r="AE12619" s="3"/>
      <c r="AF12619" s="3"/>
      <c r="AG12619" s="3"/>
      <c r="AH12619" s="3"/>
    </row>
    <row r="12620" spans="1:34" ht="15" customHeight="1" x14ac:dyDescent="0.25">
      <c r="A12620" s="3"/>
      <c r="B12620" s="3"/>
      <c r="C12620" s="3"/>
      <c r="D12620" s="3"/>
      <c r="E12620" s="3"/>
      <c r="F12620" s="3"/>
      <c r="G12620" s="3"/>
      <c r="H12620" s="11"/>
      <c r="I12620" s="12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  <c r="AA12620" s="3"/>
      <c r="AB12620" s="3"/>
      <c r="AC12620" s="3"/>
      <c r="AD12620" s="3"/>
      <c r="AE12620" s="3"/>
      <c r="AF12620" s="3"/>
      <c r="AG12620" s="3"/>
      <c r="AH12620" s="3"/>
    </row>
    <row r="12621" spans="1:34" ht="15" customHeight="1" x14ac:dyDescent="0.25">
      <c r="A12621" s="3"/>
      <c r="B12621" s="3"/>
      <c r="C12621" s="3"/>
      <c r="D12621" s="3"/>
      <c r="E12621" s="3"/>
      <c r="F12621" s="3"/>
      <c r="G12621" s="3"/>
      <c r="H12621" s="11"/>
      <c r="I12621" s="12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  <c r="AA12621" s="3"/>
      <c r="AB12621" s="3"/>
      <c r="AC12621" s="3"/>
      <c r="AD12621" s="3"/>
      <c r="AE12621" s="3"/>
      <c r="AF12621" s="3"/>
      <c r="AG12621" s="3"/>
      <c r="AH12621" s="3"/>
    </row>
    <row r="12622" spans="1:34" ht="15" customHeight="1" x14ac:dyDescent="0.25">
      <c r="A12622" s="3"/>
      <c r="B12622" s="3"/>
      <c r="C12622" s="3"/>
      <c r="D12622" s="3"/>
      <c r="E12622" s="3"/>
      <c r="F12622" s="3"/>
      <c r="G12622" s="3"/>
      <c r="H12622" s="11"/>
      <c r="I12622" s="12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  <c r="AA12622" s="3"/>
      <c r="AB12622" s="3"/>
      <c r="AC12622" s="3"/>
      <c r="AD12622" s="3"/>
      <c r="AE12622" s="3"/>
      <c r="AF12622" s="3"/>
      <c r="AG12622" s="3"/>
      <c r="AH12622" s="3"/>
    </row>
    <row r="12623" spans="1:34" ht="15" customHeight="1" x14ac:dyDescent="0.25">
      <c r="A12623" s="3"/>
      <c r="B12623" s="3"/>
      <c r="C12623" s="3"/>
      <c r="D12623" s="3"/>
      <c r="E12623" s="3"/>
      <c r="F12623" s="3"/>
      <c r="G12623" s="3"/>
      <c r="H12623" s="11"/>
      <c r="I12623" s="12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  <c r="AA12623" s="3"/>
      <c r="AB12623" s="3"/>
      <c r="AC12623" s="3"/>
      <c r="AD12623" s="3"/>
      <c r="AE12623" s="3"/>
      <c r="AF12623" s="3"/>
      <c r="AG12623" s="3"/>
      <c r="AH12623" s="3"/>
    </row>
    <row r="12624" spans="1:34" ht="15" customHeight="1" x14ac:dyDescent="0.25">
      <c r="A12624" s="3"/>
      <c r="B12624" s="3"/>
      <c r="C12624" s="3"/>
      <c r="D12624" s="3"/>
      <c r="E12624" s="3"/>
      <c r="F12624" s="3"/>
      <c r="G12624" s="3"/>
      <c r="H12624" s="11"/>
      <c r="I12624" s="12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  <c r="AA12624" s="3"/>
      <c r="AB12624" s="3"/>
      <c r="AC12624" s="3"/>
      <c r="AD12624" s="3"/>
      <c r="AE12624" s="3"/>
      <c r="AF12624" s="3"/>
      <c r="AG12624" s="3"/>
      <c r="AH12624" s="3"/>
    </row>
    <row r="12625" spans="1:34" ht="15" customHeight="1" x14ac:dyDescent="0.25">
      <c r="A12625" s="3"/>
      <c r="B12625" s="3"/>
      <c r="C12625" s="3"/>
      <c r="D12625" s="3"/>
      <c r="E12625" s="3"/>
      <c r="F12625" s="3"/>
      <c r="G12625" s="3"/>
      <c r="H12625" s="11"/>
      <c r="I12625" s="12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  <c r="AA12625" s="3"/>
      <c r="AB12625" s="3"/>
      <c r="AC12625" s="3"/>
      <c r="AD12625" s="3"/>
      <c r="AE12625" s="3"/>
      <c r="AF12625" s="3"/>
      <c r="AG12625" s="3"/>
      <c r="AH12625" s="3"/>
    </row>
    <row r="12626" spans="1:34" ht="15" customHeight="1" x14ac:dyDescent="0.25">
      <c r="A12626" s="3"/>
      <c r="B12626" s="3"/>
      <c r="C12626" s="3"/>
      <c r="D12626" s="3"/>
      <c r="E12626" s="3"/>
      <c r="F12626" s="3"/>
      <c r="G12626" s="3"/>
      <c r="H12626" s="11"/>
      <c r="I12626" s="12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  <c r="AA12626" s="3"/>
      <c r="AB12626" s="3"/>
      <c r="AC12626" s="3"/>
      <c r="AD12626" s="3"/>
      <c r="AE12626" s="3"/>
      <c r="AF12626" s="3"/>
      <c r="AG12626" s="3"/>
      <c r="AH12626" s="3"/>
    </row>
    <row r="12627" spans="1:34" ht="15" customHeight="1" x14ac:dyDescent="0.25">
      <c r="A12627" s="3"/>
      <c r="B12627" s="3"/>
      <c r="C12627" s="3"/>
      <c r="D12627" s="3"/>
      <c r="E12627" s="3"/>
      <c r="F12627" s="3"/>
      <c r="G12627" s="3"/>
      <c r="H12627" s="11"/>
      <c r="I12627" s="12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  <c r="AA12627" s="3"/>
      <c r="AB12627" s="3"/>
      <c r="AC12627" s="3"/>
      <c r="AD12627" s="3"/>
      <c r="AE12627" s="3"/>
      <c r="AF12627" s="3"/>
      <c r="AG12627" s="3"/>
      <c r="AH12627" s="3"/>
    </row>
    <row r="12628" spans="1:34" ht="15" customHeight="1" x14ac:dyDescent="0.25">
      <c r="A12628" s="3"/>
      <c r="B12628" s="3"/>
      <c r="C12628" s="3"/>
      <c r="D12628" s="3"/>
      <c r="E12628" s="3"/>
      <c r="F12628" s="3"/>
      <c r="G12628" s="3"/>
      <c r="H12628" s="11"/>
      <c r="I12628" s="12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  <c r="AA12628" s="3"/>
      <c r="AB12628" s="3"/>
      <c r="AC12628" s="3"/>
      <c r="AD12628" s="3"/>
      <c r="AE12628" s="3"/>
      <c r="AF12628" s="3"/>
      <c r="AG12628" s="3"/>
      <c r="AH12628" s="3"/>
    </row>
    <row r="12629" spans="1:34" ht="15" customHeight="1" x14ac:dyDescent="0.25">
      <c r="A12629" s="3"/>
      <c r="B12629" s="3"/>
      <c r="C12629" s="3"/>
      <c r="D12629" s="3"/>
      <c r="E12629" s="3"/>
      <c r="F12629" s="3"/>
      <c r="G12629" s="3"/>
      <c r="H12629" s="11"/>
      <c r="I12629" s="12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  <c r="AA12629" s="3"/>
      <c r="AB12629" s="3"/>
      <c r="AC12629" s="3"/>
      <c r="AD12629" s="3"/>
      <c r="AE12629" s="3"/>
      <c r="AF12629" s="3"/>
      <c r="AG12629" s="3"/>
      <c r="AH12629" s="3"/>
    </row>
    <row r="12630" spans="1:34" ht="15" customHeight="1" x14ac:dyDescent="0.25">
      <c r="A12630" s="3"/>
      <c r="B12630" s="3"/>
      <c r="C12630" s="3"/>
      <c r="D12630" s="3"/>
      <c r="E12630" s="3"/>
      <c r="F12630" s="3"/>
      <c r="G12630" s="3"/>
      <c r="H12630" s="11"/>
      <c r="I12630" s="12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  <c r="AA12630" s="3"/>
      <c r="AB12630" s="3"/>
      <c r="AC12630" s="3"/>
      <c r="AD12630" s="3"/>
      <c r="AE12630" s="3"/>
      <c r="AF12630" s="3"/>
      <c r="AG12630" s="3"/>
      <c r="AH12630" s="3"/>
    </row>
    <row r="12631" spans="1:34" ht="15" customHeight="1" x14ac:dyDescent="0.25">
      <c r="A12631" s="3"/>
      <c r="B12631" s="3"/>
      <c r="C12631" s="3"/>
      <c r="D12631" s="3"/>
      <c r="E12631" s="3"/>
      <c r="F12631" s="3"/>
      <c r="G12631" s="3"/>
      <c r="H12631" s="11"/>
      <c r="I12631" s="12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  <c r="AA12631" s="3"/>
      <c r="AB12631" s="3"/>
      <c r="AC12631" s="3"/>
      <c r="AD12631" s="3"/>
      <c r="AE12631" s="3"/>
      <c r="AF12631" s="3"/>
      <c r="AG12631" s="3"/>
      <c r="AH12631" s="3"/>
    </row>
    <row r="12632" spans="1:34" ht="15" customHeight="1" x14ac:dyDescent="0.25">
      <c r="A12632" s="3"/>
      <c r="B12632" s="3"/>
      <c r="C12632" s="3"/>
      <c r="D12632" s="3"/>
      <c r="E12632" s="3"/>
      <c r="F12632" s="3"/>
      <c r="G12632" s="3"/>
      <c r="H12632" s="11"/>
      <c r="I12632" s="12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  <c r="AA12632" s="3"/>
      <c r="AB12632" s="3"/>
      <c r="AC12632" s="3"/>
      <c r="AD12632" s="3"/>
      <c r="AE12632" s="3"/>
      <c r="AF12632" s="3"/>
      <c r="AG12632" s="3"/>
      <c r="AH12632" s="3"/>
    </row>
    <row r="12633" spans="1:34" ht="15" customHeight="1" x14ac:dyDescent="0.25">
      <c r="A12633" s="3"/>
      <c r="B12633" s="3"/>
      <c r="C12633" s="3"/>
      <c r="D12633" s="3"/>
      <c r="E12633" s="3"/>
      <c r="F12633" s="3"/>
      <c r="G12633" s="3"/>
      <c r="H12633" s="11"/>
      <c r="I12633" s="12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  <c r="AA12633" s="3"/>
      <c r="AB12633" s="3"/>
      <c r="AC12633" s="3"/>
      <c r="AD12633" s="3"/>
      <c r="AE12633" s="3"/>
      <c r="AF12633" s="3"/>
      <c r="AG12633" s="3"/>
      <c r="AH12633" s="3"/>
    </row>
    <row r="12634" spans="1:34" ht="15" customHeight="1" x14ac:dyDescent="0.25">
      <c r="A12634" s="3"/>
      <c r="B12634" s="3"/>
      <c r="C12634" s="3"/>
      <c r="D12634" s="3"/>
      <c r="E12634" s="3"/>
      <c r="F12634" s="3"/>
      <c r="G12634" s="3"/>
      <c r="H12634" s="11"/>
      <c r="I12634" s="12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  <c r="AA12634" s="3"/>
      <c r="AB12634" s="3"/>
      <c r="AC12634" s="3"/>
      <c r="AD12634" s="3"/>
      <c r="AE12634" s="3"/>
      <c r="AF12634" s="3"/>
      <c r="AG12634" s="3"/>
      <c r="AH12634" s="3"/>
    </row>
    <row r="12635" spans="1:34" ht="15" customHeight="1" x14ac:dyDescent="0.25">
      <c r="A12635" s="3"/>
      <c r="B12635" s="3"/>
      <c r="C12635" s="3"/>
      <c r="D12635" s="3"/>
      <c r="E12635" s="3"/>
      <c r="F12635" s="3"/>
      <c r="G12635" s="3"/>
      <c r="H12635" s="11"/>
      <c r="I12635" s="12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  <c r="AA12635" s="3"/>
      <c r="AB12635" s="3"/>
      <c r="AC12635" s="3"/>
      <c r="AD12635" s="3"/>
      <c r="AE12635" s="3"/>
      <c r="AF12635" s="3"/>
      <c r="AG12635" s="3"/>
      <c r="AH12635" s="3"/>
    </row>
    <row r="12636" spans="1:34" ht="15" customHeight="1" x14ac:dyDescent="0.25">
      <c r="A12636" s="3"/>
      <c r="B12636" s="3"/>
      <c r="C12636" s="3"/>
      <c r="D12636" s="3"/>
      <c r="E12636" s="3"/>
      <c r="F12636" s="3"/>
      <c r="G12636" s="3"/>
      <c r="H12636" s="11"/>
      <c r="I12636" s="12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  <c r="AA12636" s="3"/>
      <c r="AB12636" s="3"/>
      <c r="AC12636" s="3"/>
      <c r="AD12636" s="3"/>
      <c r="AE12636" s="3"/>
      <c r="AF12636" s="3"/>
      <c r="AG12636" s="3"/>
      <c r="AH12636" s="3"/>
    </row>
    <row r="12637" spans="1:34" ht="15" customHeight="1" x14ac:dyDescent="0.25">
      <c r="A12637" s="3"/>
      <c r="B12637" s="3"/>
      <c r="C12637" s="3"/>
      <c r="D12637" s="3"/>
      <c r="E12637" s="3"/>
      <c r="F12637" s="3"/>
      <c r="G12637" s="3"/>
      <c r="H12637" s="11"/>
      <c r="I12637" s="12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  <c r="AA12637" s="3"/>
      <c r="AB12637" s="3"/>
      <c r="AC12637" s="3"/>
      <c r="AD12637" s="3"/>
      <c r="AE12637" s="3"/>
      <c r="AF12637" s="3"/>
      <c r="AG12637" s="3"/>
      <c r="AH12637" s="3"/>
    </row>
    <row r="12638" spans="1:34" ht="15" customHeight="1" x14ac:dyDescent="0.25">
      <c r="A12638" s="3"/>
      <c r="B12638" s="3"/>
      <c r="C12638" s="3"/>
      <c r="D12638" s="3"/>
      <c r="E12638" s="3"/>
      <c r="F12638" s="3"/>
      <c r="G12638" s="3"/>
      <c r="H12638" s="11"/>
      <c r="I12638" s="12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  <c r="AA12638" s="3"/>
      <c r="AB12638" s="3"/>
      <c r="AC12638" s="3"/>
      <c r="AD12638" s="3"/>
      <c r="AE12638" s="3"/>
      <c r="AF12638" s="3"/>
      <c r="AG12638" s="3"/>
      <c r="AH12638" s="3"/>
    </row>
    <row r="12639" spans="1:34" ht="15" customHeight="1" x14ac:dyDescent="0.25">
      <c r="A12639" s="3"/>
      <c r="B12639" s="3"/>
      <c r="C12639" s="3"/>
      <c r="D12639" s="3"/>
      <c r="E12639" s="3"/>
      <c r="F12639" s="3"/>
      <c r="G12639" s="3"/>
      <c r="H12639" s="11"/>
      <c r="I12639" s="12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  <c r="AA12639" s="3"/>
      <c r="AB12639" s="3"/>
      <c r="AC12639" s="3"/>
      <c r="AD12639" s="3"/>
      <c r="AE12639" s="3"/>
      <c r="AF12639" s="3"/>
      <c r="AG12639" s="3"/>
      <c r="AH12639" s="3"/>
    </row>
    <row r="12640" spans="1:34" ht="15" customHeight="1" x14ac:dyDescent="0.25">
      <c r="A12640" s="3"/>
      <c r="B12640" s="3"/>
      <c r="C12640" s="3"/>
      <c r="D12640" s="3"/>
      <c r="E12640" s="3"/>
      <c r="F12640" s="3"/>
      <c r="G12640" s="3"/>
      <c r="H12640" s="11"/>
      <c r="I12640" s="12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  <c r="AA12640" s="3"/>
      <c r="AB12640" s="3"/>
      <c r="AC12640" s="3"/>
      <c r="AD12640" s="3"/>
      <c r="AE12640" s="3"/>
      <c r="AF12640" s="3"/>
      <c r="AG12640" s="3"/>
      <c r="AH12640" s="3"/>
    </row>
    <row r="12641" spans="1:34" ht="15" customHeight="1" x14ac:dyDescent="0.25">
      <c r="A12641" s="3"/>
      <c r="B12641" s="3"/>
      <c r="C12641" s="3"/>
      <c r="D12641" s="3"/>
      <c r="E12641" s="3"/>
      <c r="F12641" s="3"/>
      <c r="G12641" s="3"/>
      <c r="H12641" s="11"/>
      <c r="I12641" s="12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  <c r="AA12641" s="3"/>
      <c r="AB12641" s="3"/>
      <c r="AC12641" s="3"/>
      <c r="AD12641" s="3"/>
      <c r="AE12641" s="3"/>
      <c r="AF12641" s="3"/>
      <c r="AG12641" s="3"/>
      <c r="AH12641" s="3"/>
    </row>
    <row r="12642" spans="1:34" ht="15" customHeight="1" x14ac:dyDescent="0.25">
      <c r="A12642" s="3"/>
      <c r="B12642" s="3"/>
      <c r="C12642" s="3"/>
      <c r="D12642" s="3"/>
      <c r="E12642" s="3"/>
      <c r="F12642" s="3"/>
      <c r="G12642" s="3"/>
      <c r="H12642" s="11"/>
      <c r="I12642" s="12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  <c r="AA12642" s="3"/>
      <c r="AB12642" s="3"/>
      <c r="AC12642" s="3"/>
      <c r="AD12642" s="3"/>
      <c r="AE12642" s="3"/>
      <c r="AF12642" s="3"/>
      <c r="AG12642" s="3"/>
      <c r="AH12642" s="3"/>
    </row>
    <row r="12643" spans="1:34" ht="15" customHeight="1" x14ac:dyDescent="0.25">
      <c r="A12643" s="3"/>
      <c r="B12643" s="3"/>
      <c r="C12643" s="3"/>
      <c r="D12643" s="3"/>
      <c r="E12643" s="3"/>
      <c r="F12643" s="3"/>
      <c r="G12643" s="3"/>
      <c r="H12643" s="11"/>
      <c r="I12643" s="12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  <c r="AA12643" s="3"/>
      <c r="AB12643" s="3"/>
      <c r="AC12643" s="3"/>
      <c r="AD12643" s="3"/>
      <c r="AE12643" s="3"/>
      <c r="AF12643" s="3"/>
      <c r="AG12643" s="3"/>
      <c r="AH12643" s="3"/>
    </row>
    <row r="12644" spans="1:34" ht="15" customHeight="1" x14ac:dyDescent="0.25">
      <c r="A12644" s="3"/>
      <c r="B12644" s="3"/>
      <c r="C12644" s="3"/>
      <c r="D12644" s="3"/>
      <c r="E12644" s="3"/>
      <c r="F12644" s="3"/>
      <c r="G12644" s="3"/>
      <c r="H12644" s="11"/>
      <c r="I12644" s="12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  <c r="AA12644" s="3"/>
      <c r="AB12644" s="3"/>
      <c r="AC12644" s="3"/>
      <c r="AD12644" s="3"/>
      <c r="AE12644" s="3"/>
      <c r="AF12644" s="3"/>
      <c r="AG12644" s="3"/>
      <c r="AH12644" s="3"/>
    </row>
    <row r="12645" spans="1:34" ht="15" customHeight="1" x14ac:dyDescent="0.25">
      <c r="A12645" s="3"/>
      <c r="B12645" s="3"/>
      <c r="C12645" s="3"/>
      <c r="D12645" s="3"/>
      <c r="E12645" s="3"/>
      <c r="F12645" s="3"/>
      <c r="G12645" s="3"/>
      <c r="H12645" s="11"/>
      <c r="I12645" s="12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  <c r="AA12645" s="3"/>
      <c r="AB12645" s="3"/>
      <c r="AC12645" s="3"/>
      <c r="AD12645" s="3"/>
      <c r="AE12645" s="3"/>
      <c r="AF12645" s="3"/>
      <c r="AG12645" s="3"/>
      <c r="AH12645" s="3"/>
    </row>
    <row r="12646" spans="1:34" ht="15" customHeight="1" x14ac:dyDescent="0.25">
      <c r="A12646" s="3"/>
      <c r="B12646" s="3"/>
      <c r="C12646" s="3"/>
      <c r="D12646" s="3"/>
      <c r="E12646" s="3"/>
      <c r="F12646" s="3"/>
      <c r="G12646" s="3"/>
      <c r="H12646" s="11"/>
      <c r="I12646" s="12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  <c r="AA12646" s="3"/>
      <c r="AB12646" s="3"/>
      <c r="AC12646" s="3"/>
      <c r="AD12646" s="3"/>
      <c r="AE12646" s="3"/>
      <c r="AF12646" s="3"/>
      <c r="AG12646" s="3"/>
      <c r="AH12646" s="3"/>
    </row>
    <row r="12647" spans="1:34" ht="15" customHeight="1" x14ac:dyDescent="0.25">
      <c r="A12647" s="3"/>
      <c r="B12647" s="3"/>
      <c r="C12647" s="3"/>
      <c r="D12647" s="3"/>
      <c r="E12647" s="3"/>
      <c r="F12647" s="3"/>
      <c r="G12647" s="3"/>
      <c r="H12647" s="11"/>
      <c r="I12647" s="12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  <c r="AA12647" s="3"/>
      <c r="AB12647" s="3"/>
      <c r="AC12647" s="3"/>
      <c r="AD12647" s="3"/>
      <c r="AE12647" s="3"/>
      <c r="AF12647" s="3"/>
      <c r="AG12647" s="3"/>
      <c r="AH12647" s="3"/>
    </row>
    <row r="12648" spans="1:34" ht="15" customHeight="1" x14ac:dyDescent="0.25">
      <c r="A12648" s="3"/>
      <c r="B12648" s="3"/>
      <c r="C12648" s="3"/>
      <c r="D12648" s="3"/>
      <c r="E12648" s="3"/>
      <c r="F12648" s="3"/>
      <c r="G12648" s="3"/>
      <c r="H12648" s="11"/>
      <c r="I12648" s="12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  <c r="AA12648" s="3"/>
      <c r="AB12648" s="3"/>
      <c r="AC12648" s="3"/>
      <c r="AD12648" s="3"/>
      <c r="AE12648" s="3"/>
      <c r="AF12648" s="3"/>
      <c r="AG12648" s="3"/>
      <c r="AH12648" s="3"/>
    </row>
    <row r="12649" spans="1:34" ht="15" customHeight="1" x14ac:dyDescent="0.25">
      <c r="A12649" s="3"/>
      <c r="B12649" s="3"/>
      <c r="C12649" s="3"/>
      <c r="D12649" s="3"/>
      <c r="E12649" s="3"/>
      <c r="F12649" s="3"/>
      <c r="G12649" s="3"/>
      <c r="H12649" s="11"/>
      <c r="I12649" s="12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  <c r="AA12649" s="3"/>
      <c r="AB12649" s="3"/>
      <c r="AC12649" s="3"/>
      <c r="AD12649" s="3"/>
      <c r="AE12649" s="3"/>
      <c r="AF12649" s="3"/>
      <c r="AG12649" s="3"/>
      <c r="AH12649" s="3"/>
    </row>
    <row r="12650" spans="1:34" ht="15" customHeight="1" x14ac:dyDescent="0.25">
      <c r="A12650" s="3"/>
      <c r="B12650" s="3"/>
      <c r="C12650" s="3"/>
      <c r="D12650" s="3"/>
      <c r="E12650" s="3"/>
      <c r="F12650" s="3"/>
      <c r="G12650" s="3"/>
      <c r="H12650" s="11"/>
      <c r="I12650" s="12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  <c r="AA12650" s="3"/>
      <c r="AB12650" s="3"/>
      <c r="AC12650" s="3"/>
      <c r="AD12650" s="3"/>
      <c r="AE12650" s="3"/>
      <c r="AF12650" s="3"/>
      <c r="AG12650" s="3"/>
      <c r="AH12650" s="3"/>
    </row>
    <row r="12651" spans="1:34" ht="15" customHeight="1" x14ac:dyDescent="0.25">
      <c r="A12651" s="3"/>
      <c r="B12651" s="3"/>
      <c r="C12651" s="3"/>
      <c r="D12651" s="3"/>
      <c r="E12651" s="3"/>
      <c r="F12651" s="3"/>
      <c r="G12651" s="3"/>
      <c r="H12651" s="11"/>
      <c r="I12651" s="12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  <c r="AA12651" s="3"/>
      <c r="AB12651" s="3"/>
      <c r="AC12651" s="3"/>
      <c r="AD12651" s="3"/>
      <c r="AE12651" s="3"/>
      <c r="AF12651" s="3"/>
      <c r="AG12651" s="3"/>
      <c r="AH12651" s="3"/>
    </row>
    <row r="12652" spans="1:34" ht="15" customHeight="1" x14ac:dyDescent="0.25">
      <c r="A12652" s="3"/>
      <c r="B12652" s="3"/>
      <c r="C12652" s="3"/>
      <c r="D12652" s="3"/>
      <c r="E12652" s="3"/>
      <c r="F12652" s="3"/>
      <c r="G12652" s="3"/>
      <c r="H12652" s="11"/>
      <c r="I12652" s="12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  <c r="AA12652" s="3"/>
      <c r="AB12652" s="3"/>
      <c r="AC12652" s="3"/>
      <c r="AD12652" s="3"/>
      <c r="AE12652" s="3"/>
      <c r="AF12652" s="3"/>
      <c r="AG12652" s="3"/>
      <c r="AH12652" s="3"/>
    </row>
    <row r="12653" spans="1:34" ht="15" customHeight="1" x14ac:dyDescent="0.25">
      <c r="A12653" s="3"/>
      <c r="B12653" s="3"/>
      <c r="C12653" s="3"/>
      <c r="D12653" s="3"/>
      <c r="E12653" s="3"/>
      <c r="F12653" s="3"/>
      <c r="G12653" s="3"/>
      <c r="H12653" s="11"/>
      <c r="I12653" s="12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  <c r="AA12653" s="3"/>
      <c r="AB12653" s="3"/>
      <c r="AC12653" s="3"/>
      <c r="AD12653" s="3"/>
      <c r="AE12653" s="3"/>
      <c r="AF12653" s="3"/>
      <c r="AG12653" s="3"/>
      <c r="AH12653" s="3"/>
    </row>
    <row r="12654" spans="1:34" ht="15" customHeight="1" x14ac:dyDescent="0.25">
      <c r="A12654" s="3"/>
      <c r="B12654" s="3"/>
      <c r="C12654" s="3"/>
      <c r="D12654" s="3"/>
      <c r="E12654" s="3"/>
      <c r="F12654" s="3"/>
      <c r="G12654" s="3"/>
      <c r="H12654" s="11"/>
      <c r="I12654" s="12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  <c r="AA12654" s="3"/>
      <c r="AB12654" s="3"/>
      <c r="AC12654" s="3"/>
      <c r="AD12654" s="3"/>
      <c r="AE12654" s="3"/>
      <c r="AF12654" s="3"/>
      <c r="AG12654" s="3"/>
      <c r="AH12654" s="3"/>
    </row>
    <row r="12655" spans="1:34" ht="15" customHeight="1" x14ac:dyDescent="0.25">
      <c r="A12655" s="3"/>
      <c r="B12655" s="3"/>
      <c r="C12655" s="3"/>
      <c r="D12655" s="3"/>
      <c r="E12655" s="3"/>
      <c r="F12655" s="3"/>
      <c r="G12655" s="3"/>
      <c r="H12655" s="11"/>
      <c r="I12655" s="12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  <c r="AA12655" s="3"/>
      <c r="AB12655" s="3"/>
      <c r="AC12655" s="3"/>
      <c r="AD12655" s="3"/>
      <c r="AE12655" s="3"/>
      <c r="AF12655" s="3"/>
      <c r="AG12655" s="3"/>
      <c r="AH12655" s="3"/>
    </row>
    <row r="12656" spans="1:34" ht="15" customHeight="1" x14ac:dyDescent="0.25">
      <c r="A12656" s="3"/>
      <c r="B12656" s="3"/>
      <c r="C12656" s="3"/>
      <c r="D12656" s="3"/>
      <c r="E12656" s="3"/>
      <c r="F12656" s="3"/>
      <c r="G12656" s="3"/>
      <c r="H12656" s="11"/>
      <c r="I12656" s="12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  <c r="AA12656" s="3"/>
      <c r="AB12656" s="3"/>
      <c r="AC12656" s="3"/>
      <c r="AD12656" s="3"/>
      <c r="AE12656" s="3"/>
      <c r="AF12656" s="3"/>
      <c r="AG12656" s="3"/>
      <c r="AH12656" s="3"/>
    </row>
    <row r="12657" spans="1:34" ht="15" customHeight="1" x14ac:dyDescent="0.25">
      <c r="A12657" s="3"/>
      <c r="B12657" s="3"/>
      <c r="C12657" s="3"/>
      <c r="D12657" s="3"/>
      <c r="E12657" s="3"/>
      <c r="F12657" s="3"/>
      <c r="G12657" s="3"/>
      <c r="H12657" s="11"/>
      <c r="I12657" s="12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  <c r="AA12657" s="3"/>
      <c r="AB12657" s="3"/>
      <c r="AC12657" s="3"/>
      <c r="AD12657" s="3"/>
      <c r="AE12657" s="3"/>
      <c r="AF12657" s="3"/>
      <c r="AG12657" s="3"/>
      <c r="AH12657" s="3"/>
    </row>
    <row r="12658" spans="1:34" ht="15" customHeight="1" x14ac:dyDescent="0.25">
      <c r="A12658" s="3"/>
      <c r="B12658" s="3"/>
      <c r="C12658" s="3"/>
      <c r="D12658" s="3"/>
      <c r="E12658" s="3"/>
      <c r="F12658" s="3"/>
      <c r="G12658" s="3"/>
      <c r="H12658" s="11"/>
      <c r="I12658" s="12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  <c r="AA12658" s="3"/>
      <c r="AB12658" s="3"/>
      <c r="AC12658" s="3"/>
      <c r="AD12658" s="3"/>
      <c r="AE12658" s="3"/>
      <c r="AF12658" s="3"/>
      <c r="AG12658" s="3"/>
      <c r="AH12658" s="3"/>
    </row>
    <row r="12659" spans="1:34" ht="15" customHeight="1" x14ac:dyDescent="0.25">
      <c r="A12659" s="3"/>
      <c r="B12659" s="3"/>
      <c r="C12659" s="3"/>
      <c r="D12659" s="3"/>
      <c r="E12659" s="3"/>
      <c r="F12659" s="3"/>
      <c r="G12659" s="3"/>
      <c r="H12659" s="11"/>
      <c r="I12659" s="12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  <c r="AA12659" s="3"/>
      <c r="AB12659" s="3"/>
      <c r="AC12659" s="3"/>
      <c r="AD12659" s="3"/>
      <c r="AE12659" s="3"/>
      <c r="AF12659" s="3"/>
      <c r="AG12659" s="3"/>
      <c r="AH12659" s="3"/>
    </row>
    <row r="12660" spans="1:34" ht="15" customHeight="1" x14ac:dyDescent="0.25">
      <c r="A12660" s="3"/>
      <c r="B12660" s="3"/>
      <c r="C12660" s="3"/>
      <c r="D12660" s="3"/>
      <c r="E12660" s="3"/>
      <c r="F12660" s="3"/>
      <c r="G12660" s="3"/>
      <c r="H12660" s="11"/>
      <c r="I12660" s="12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  <c r="AA12660" s="3"/>
      <c r="AB12660" s="3"/>
      <c r="AC12660" s="3"/>
      <c r="AD12660" s="3"/>
      <c r="AE12660" s="3"/>
      <c r="AF12660" s="3"/>
      <c r="AG12660" s="3"/>
      <c r="AH12660" s="3"/>
    </row>
    <row r="12661" spans="1:34" ht="15" customHeight="1" x14ac:dyDescent="0.25">
      <c r="A12661" s="3"/>
      <c r="B12661" s="3"/>
      <c r="C12661" s="3"/>
      <c r="D12661" s="3"/>
      <c r="E12661" s="3"/>
      <c r="F12661" s="3"/>
      <c r="G12661" s="3"/>
      <c r="H12661" s="11"/>
      <c r="I12661" s="12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  <c r="AA12661" s="3"/>
      <c r="AB12661" s="3"/>
      <c r="AC12661" s="3"/>
      <c r="AD12661" s="3"/>
      <c r="AE12661" s="3"/>
      <c r="AF12661" s="3"/>
      <c r="AG12661" s="3"/>
      <c r="AH12661" s="3"/>
    </row>
    <row r="12662" spans="1:34" ht="15" customHeight="1" x14ac:dyDescent="0.25">
      <c r="A12662" s="3"/>
      <c r="B12662" s="3"/>
      <c r="C12662" s="3"/>
      <c r="D12662" s="3"/>
      <c r="E12662" s="3"/>
      <c r="F12662" s="3"/>
      <c r="G12662" s="3"/>
      <c r="H12662" s="11"/>
      <c r="I12662" s="12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  <c r="AA12662" s="3"/>
      <c r="AB12662" s="3"/>
      <c r="AC12662" s="3"/>
      <c r="AD12662" s="3"/>
      <c r="AE12662" s="3"/>
      <c r="AF12662" s="3"/>
      <c r="AG12662" s="3"/>
      <c r="AH12662" s="3"/>
    </row>
    <row r="12663" spans="1:34" ht="15" customHeight="1" x14ac:dyDescent="0.25">
      <c r="A12663" s="3"/>
      <c r="B12663" s="3"/>
      <c r="C12663" s="3"/>
      <c r="D12663" s="3"/>
      <c r="E12663" s="3"/>
      <c r="F12663" s="3"/>
      <c r="G12663" s="3"/>
      <c r="H12663" s="11"/>
      <c r="I12663" s="12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  <c r="AA12663" s="3"/>
      <c r="AB12663" s="3"/>
      <c r="AC12663" s="3"/>
      <c r="AD12663" s="3"/>
      <c r="AE12663" s="3"/>
      <c r="AF12663" s="3"/>
      <c r="AG12663" s="3"/>
      <c r="AH12663" s="3"/>
    </row>
    <row r="12664" spans="1:34" ht="15" customHeight="1" x14ac:dyDescent="0.25">
      <c r="A12664" s="3"/>
      <c r="B12664" s="3"/>
      <c r="C12664" s="3"/>
      <c r="D12664" s="3"/>
      <c r="E12664" s="3"/>
      <c r="F12664" s="3"/>
      <c r="G12664" s="3"/>
      <c r="H12664" s="11"/>
      <c r="I12664" s="12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  <c r="AA12664" s="3"/>
      <c r="AB12664" s="3"/>
      <c r="AC12664" s="3"/>
      <c r="AD12664" s="3"/>
      <c r="AE12664" s="3"/>
      <c r="AF12664" s="3"/>
      <c r="AG12664" s="3"/>
      <c r="AH12664" s="3"/>
    </row>
    <row r="12665" spans="1:34" ht="15" customHeight="1" x14ac:dyDescent="0.25">
      <c r="A12665" s="3"/>
      <c r="B12665" s="3"/>
      <c r="C12665" s="3"/>
      <c r="D12665" s="3"/>
      <c r="E12665" s="3"/>
      <c r="F12665" s="3"/>
      <c r="G12665" s="3"/>
      <c r="H12665" s="11"/>
      <c r="I12665" s="12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  <c r="AA12665" s="3"/>
      <c r="AB12665" s="3"/>
      <c r="AC12665" s="3"/>
      <c r="AD12665" s="3"/>
      <c r="AE12665" s="3"/>
      <c r="AF12665" s="3"/>
      <c r="AG12665" s="3"/>
      <c r="AH12665" s="3"/>
    </row>
    <row r="12666" spans="1:34" ht="15" customHeight="1" x14ac:dyDescent="0.25">
      <c r="A12666" s="3"/>
      <c r="B12666" s="3"/>
      <c r="C12666" s="3"/>
      <c r="D12666" s="3"/>
      <c r="E12666" s="3"/>
      <c r="F12666" s="3"/>
      <c r="G12666" s="3"/>
      <c r="H12666" s="11"/>
      <c r="I12666" s="12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  <c r="AA12666" s="3"/>
      <c r="AB12666" s="3"/>
      <c r="AC12666" s="3"/>
      <c r="AD12666" s="3"/>
      <c r="AE12666" s="3"/>
      <c r="AF12666" s="3"/>
      <c r="AG12666" s="3"/>
      <c r="AH12666" s="3"/>
    </row>
    <row r="12667" spans="1:34" ht="15" customHeight="1" x14ac:dyDescent="0.25">
      <c r="A12667" s="3"/>
      <c r="B12667" s="3"/>
      <c r="C12667" s="3"/>
      <c r="D12667" s="3"/>
      <c r="E12667" s="3"/>
      <c r="F12667" s="3"/>
      <c r="G12667" s="3"/>
      <c r="H12667" s="11"/>
      <c r="I12667" s="12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  <c r="AA12667" s="3"/>
      <c r="AB12667" s="3"/>
      <c r="AC12667" s="3"/>
      <c r="AD12667" s="3"/>
      <c r="AE12667" s="3"/>
      <c r="AF12667" s="3"/>
      <c r="AG12667" s="3"/>
      <c r="AH12667" s="3"/>
    </row>
    <row r="12668" spans="1:34" ht="15" customHeight="1" x14ac:dyDescent="0.25">
      <c r="A12668" s="3"/>
      <c r="B12668" s="3"/>
      <c r="C12668" s="3"/>
      <c r="D12668" s="3"/>
      <c r="E12668" s="3"/>
      <c r="F12668" s="3"/>
      <c r="G12668" s="3"/>
      <c r="H12668" s="11"/>
      <c r="I12668" s="12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  <c r="AA12668" s="3"/>
      <c r="AB12668" s="3"/>
      <c r="AC12668" s="3"/>
      <c r="AD12668" s="3"/>
      <c r="AE12668" s="3"/>
      <c r="AF12668" s="3"/>
      <c r="AG12668" s="3"/>
      <c r="AH12668" s="3"/>
    </row>
    <row r="12669" spans="1:34" ht="15" customHeight="1" x14ac:dyDescent="0.25">
      <c r="A12669" s="3"/>
      <c r="B12669" s="3"/>
      <c r="C12669" s="3"/>
      <c r="D12669" s="3"/>
      <c r="E12669" s="3"/>
      <c r="F12669" s="3"/>
      <c r="G12669" s="3"/>
      <c r="H12669" s="11"/>
      <c r="I12669" s="12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  <c r="AA12669" s="3"/>
      <c r="AB12669" s="3"/>
      <c r="AC12669" s="3"/>
      <c r="AD12669" s="3"/>
      <c r="AE12669" s="3"/>
      <c r="AF12669" s="3"/>
      <c r="AG12669" s="3"/>
      <c r="AH12669" s="3"/>
    </row>
    <row r="12670" spans="1:34" ht="15" customHeight="1" x14ac:dyDescent="0.25">
      <c r="A12670" s="3"/>
      <c r="B12670" s="3"/>
      <c r="C12670" s="3"/>
      <c r="D12670" s="3"/>
      <c r="E12670" s="3"/>
      <c r="F12670" s="3"/>
      <c r="G12670" s="3"/>
      <c r="H12670" s="11"/>
      <c r="I12670" s="12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  <c r="AA12670" s="3"/>
      <c r="AB12670" s="3"/>
      <c r="AC12670" s="3"/>
      <c r="AD12670" s="3"/>
      <c r="AE12670" s="3"/>
      <c r="AF12670" s="3"/>
      <c r="AG12670" s="3"/>
      <c r="AH12670" s="3"/>
    </row>
    <row r="12671" spans="1:34" ht="15" customHeight="1" x14ac:dyDescent="0.25">
      <c r="A12671" s="3"/>
      <c r="B12671" s="3"/>
      <c r="C12671" s="3"/>
      <c r="D12671" s="3"/>
      <c r="E12671" s="3"/>
      <c r="F12671" s="3"/>
      <c r="G12671" s="3"/>
      <c r="H12671" s="11"/>
      <c r="I12671" s="12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  <c r="AA12671" s="3"/>
      <c r="AB12671" s="3"/>
      <c r="AC12671" s="3"/>
      <c r="AD12671" s="3"/>
      <c r="AE12671" s="3"/>
      <c r="AF12671" s="3"/>
      <c r="AG12671" s="3"/>
      <c r="AH12671" s="3"/>
    </row>
    <row r="12672" spans="1:34" ht="15" customHeight="1" x14ac:dyDescent="0.25">
      <c r="A12672" s="3"/>
      <c r="B12672" s="3"/>
      <c r="C12672" s="3"/>
      <c r="D12672" s="3"/>
      <c r="E12672" s="3"/>
      <c r="F12672" s="3"/>
      <c r="G12672" s="3"/>
      <c r="H12672" s="11"/>
      <c r="I12672" s="12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  <c r="AA12672" s="3"/>
      <c r="AB12672" s="3"/>
      <c r="AC12672" s="3"/>
      <c r="AD12672" s="3"/>
      <c r="AE12672" s="3"/>
      <c r="AF12672" s="3"/>
      <c r="AG12672" s="3"/>
      <c r="AH12672" s="3"/>
    </row>
    <row r="12673" spans="1:34" ht="15" customHeight="1" x14ac:dyDescent="0.25">
      <c r="A12673" s="3"/>
      <c r="B12673" s="3"/>
      <c r="C12673" s="3"/>
      <c r="D12673" s="3"/>
      <c r="E12673" s="3"/>
      <c r="F12673" s="3"/>
      <c r="G12673" s="3"/>
      <c r="H12673" s="11"/>
      <c r="I12673" s="12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  <c r="AA12673" s="3"/>
      <c r="AB12673" s="3"/>
      <c r="AC12673" s="3"/>
      <c r="AD12673" s="3"/>
      <c r="AE12673" s="3"/>
      <c r="AF12673" s="3"/>
      <c r="AG12673" s="3"/>
      <c r="AH12673" s="3"/>
    </row>
    <row r="12674" spans="1:34" ht="15" customHeight="1" x14ac:dyDescent="0.25">
      <c r="A12674" s="3"/>
      <c r="B12674" s="3"/>
      <c r="C12674" s="3"/>
      <c r="D12674" s="3"/>
      <c r="E12674" s="3"/>
      <c r="F12674" s="3"/>
      <c r="G12674" s="3"/>
      <c r="H12674" s="11"/>
      <c r="I12674" s="12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  <c r="AA12674" s="3"/>
      <c r="AB12674" s="3"/>
      <c r="AC12674" s="3"/>
      <c r="AD12674" s="3"/>
      <c r="AE12674" s="3"/>
      <c r="AF12674" s="3"/>
      <c r="AG12674" s="3"/>
      <c r="AH12674" s="3"/>
    </row>
    <row r="12675" spans="1:34" ht="15" customHeight="1" x14ac:dyDescent="0.25">
      <c r="A12675" s="3"/>
      <c r="B12675" s="3"/>
      <c r="C12675" s="3"/>
      <c r="D12675" s="3"/>
      <c r="E12675" s="3"/>
      <c r="F12675" s="3"/>
      <c r="G12675" s="3"/>
      <c r="H12675" s="11"/>
      <c r="I12675" s="12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  <c r="AA12675" s="3"/>
      <c r="AB12675" s="3"/>
      <c r="AC12675" s="3"/>
      <c r="AD12675" s="3"/>
      <c r="AE12675" s="3"/>
      <c r="AF12675" s="3"/>
      <c r="AG12675" s="3"/>
      <c r="AH12675" s="3"/>
    </row>
    <row r="12676" spans="1:34" ht="15" customHeight="1" x14ac:dyDescent="0.25">
      <c r="A12676" s="3"/>
      <c r="B12676" s="3"/>
      <c r="C12676" s="3"/>
      <c r="D12676" s="3"/>
      <c r="E12676" s="3"/>
      <c r="F12676" s="3"/>
      <c r="G12676" s="3"/>
      <c r="H12676" s="11"/>
      <c r="I12676" s="12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  <c r="AA12676" s="3"/>
      <c r="AB12676" s="3"/>
      <c r="AC12676" s="3"/>
      <c r="AD12676" s="3"/>
      <c r="AE12676" s="3"/>
      <c r="AF12676" s="3"/>
      <c r="AG12676" s="3"/>
      <c r="AH12676" s="3"/>
    </row>
    <row r="12677" spans="1:34" ht="15" customHeight="1" x14ac:dyDescent="0.25">
      <c r="A12677" s="3"/>
      <c r="B12677" s="3"/>
      <c r="C12677" s="3"/>
      <c r="D12677" s="3"/>
      <c r="E12677" s="3"/>
      <c r="F12677" s="3"/>
      <c r="G12677" s="3"/>
      <c r="H12677" s="11"/>
      <c r="I12677" s="12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  <c r="AA12677" s="3"/>
      <c r="AB12677" s="3"/>
      <c r="AC12677" s="3"/>
      <c r="AD12677" s="3"/>
      <c r="AE12677" s="3"/>
      <c r="AF12677" s="3"/>
      <c r="AG12677" s="3"/>
      <c r="AH12677" s="3"/>
    </row>
    <row r="12678" spans="1:34" ht="15" customHeight="1" x14ac:dyDescent="0.25">
      <c r="A12678" s="3"/>
      <c r="B12678" s="3"/>
      <c r="C12678" s="3"/>
      <c r="D12678" s="3"/>
      <c r="E12678" s="3"/>
      <c r="F12678" s="3"/>
      <c r="G12678" s="3"/>
      <c r="H12678" s="11"/>
      <c r="I12678" s="12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  <c r="AA12678" s="3"/>
      <c r="AB12678" s="3"/>
      <c r="AC12678" s="3"/>
      <c r="AD12678" s="3"/>
      <c r="AE12678" s="3"/>
      <c r="AF12678" s="3"/>
      <c r="AG12678" s="3"/>
      <c r="AH12678" s="3"/>
    </row>
    <row r="12679" spans="1:34" ht="15" customHeight="1" x14ac:dyDescent="0.25">
      <c r="A12679" s="3"/>
      <c r="B12679" s="3"/>
      <c r="C12679" s="3"/>
      <c r="D12679" s="3"/>
      <c r="E12679" s="3"/>
      <c r="F12679" s="3"/>
      <c r="G12679" s="3"/>
      <c r="H12679" s="11"/>
      <c r="I12679" s="12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  <c r="AA12679" s="3"/>
      <c r="AB12679" s="3"/>
      <c r="AC12679" s="3"/>
      <c r="AD12679" s="3"/>
      <c r="AE12679" s="3"/>
      <c r="AF12679" s="3"/>
      <c r="AG12679" s="3"/>
      <c r="AH12679" s="3"/>
    </row>
    <row r="12680" spans="1:34" ht="15" customHeight="1" x14ac:dyDescent="0.25">
      <c r="A12680" s="3"/>
      <c r="B12680" s="3"/>
      <c r="C12680" s="3"/>
      <c r="D12680" s="3"/>
      <c r="E12680" s="3"/>
      <c r="F12680" s="3"/>
      <c r="G12680" s="3"/>
      <c r="H12680" s="11"/>
      <c r="I12680" s="12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  <c r="AA12680" s="3"/>
      <c r="AB12680" s="3"/>
      <c r="AC12680" s="3"/>
      <c r="AD12680" s="3"/>
      <c r="AE12680" s="3"/>
      <c r="AF12680" s="3"/>
      <c r="AG12680" s="3"/>
      <c r="AH12680" s="3"/>
    </row>
    <row r="12681" spans="1:34" ht="15" customHeight="1" x14ac:dyDescent="0.25">
      <c r="A12681" s="3"/>
      <c r="B12681" s="3"/>
      <c r="C12681" s="3"/>
      <c r="D12681" s="3"/>
      <c r="E12681" s="3"/>
      <c r="F12681" s="3"/>
      <c r="G12681" s="3"/>
      <c r="H12681" s="11"/>
      <c r="I12681" s="12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  <c r="AA12681" s="3"/>
      <c r="AB12681" s="3"/>
      <c r="AC12681" s="3"/>
      <c r="AD12681" s="3"/>
      <c r="AE12681" s="3"/>
      <c r="AF12681" s="3"/>
      <c r="AG12681" s="3"/>
      <c r="AH12681" s="3"/>
    </row>
    <row r="12682" spans="1:34" ht="15" customHeight="1" x14ac:dyDescent="0.25">
      <c r="A12682" s="3"/>
      <c r="B12682" s="3"/>
      <c r="C12682" s="3"/>
      <c r="D12682" s="3"/>
      <c r="E12682" s="3"/>
      <c r="F12682" s="3"/>
      <c r="G12682" s="3"/>
      <c r="H12682" s="11"/>
      <c r="I12682" s="12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  <c r="AA12682" s="3"/>
      <c r="AB12682" s="3"/>
      <c r="AC12682" s="3"/>
      <c r="AD12682" s="3"/>
      <c r="AE12682" s="3"/>
      <c r="AF12682" s="3"/>
      <c r="AG12682" s="3"/>
      <c r="AH12682" s="3"/>
    </row>
    <row r="12683" spans="1:34" ht="15" customHeight="1" x14ac:dyDescent="0.25">
      <c r="A12683" s="3"/>
      <c r="B12683" s="3"/>
      <c r="C12683" s="3"/>
      <c r="D12683" s="3"/>
      <c r="E12683" s="3"/>
      <c r="F12683" s="3"/>
      <c r="G12683" s="3"/>
      <c r="H12683" s="11"/>
      <c r="I12683" s="12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  <c r="AA12683" s="3"/>
      <c r="AB12683" s="3"/>
      <c r="AC12683" s="3"/>
      <c r="AD12683" s="3"/>
      <c r="AE12683" s="3"/>
      <c r="AF12683" s="3"/>
      <c r="AG12683" s="3"/>
      <c r="AH12683" s="3"/>
    </row>
    <row r="12684" spans="1:34" ht="15" customHeight="1" x14ac:dyDescent="0.25">
      <c r="A12684" s="3"/>
      <c r="B12684" s="3"/>
      <c r="C12684" s="3"/>
      <c r="D12684" s="3"/>
      <c r="E12684" s="3"/>
      <c r="F12684" s="3"/>
      <c r="G12684" s="3"/>
      <c r="H12684" s="11"/>
      <c r="I12684" s="12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  <c r="AA12684" s="3"/>
      <c r="AB12684" s="3"/>
      <c r="AC12684" s="3"/>
      <c r="AD12684" s="3"/>
      <c r="AE12684" s="3"/>
      <c r="AF12684" s="3"/>
      <c r="AG12684" s="3"/>
      <c r="AH12684" s="3"/>
    </row>
    <row r="12685" spans="1:34" ht="14.25" customHeight="1" x14ac:dyDescent="0.25">
      <c r="A12685" s="3"/>
      <c r="B12685" s="3"/>
      <c r="C12685" s="3"/>
      <c r="D12685" s="3"/>
      <c r="E12685" s="3"/>
      <c r="F12685" s="3"/>
      <c r="G12685" s="3"/>
      <c r="H12685" s="11"/>
      <c r="I12685" s="12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  <c r="AA12685" s="3"/>
      <c r="AB12685" s="3"/>
      <c r="AC12685" s="3"/>
      <c r="AD12685" s="3"/>
      <c r="AE12685" s="3"/>
      <c r="AF12685" s="3"/>
      <c r="AG12685" s="3"/>
      <c r="AH12685" s="3"/>
    </row>
    <row r="12686" spans="1:34" ht="14.25" customHeight="1" x14ac:dyDescent="0.25">
      <c r="A12686" s="3"/>
      <c r="B12686" s="3"/>
      <c r="C12686" s="3"/>
      <c r="D12686" s="3"/>
      <c r="E12686" s="3"/>
      <c r="F12686" s="3"/>
      <c r="G12686" s="3"/>
      <c r="H12686" s="11"/>
      <c r="I12686" s="12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  <c r="AA12686" s="3"/>
      <c r="AB12686" s="3"/>
      <c r="AC12686" s="3"/>
      <c r="AD12686" s="3"/>
      <c r="AE12686" s="3"/>
      <c r="AF12686" s="3"/>
      <c r="AG12686" s="3"/>
      <c r="AH12686" s="3"/>
    </row>
    <row r="12687" spans="1:34" ht="14.25" customHeight="1" x14ac:dyDescent="0.25">
      <c r="A12687" s="3"/>
      <c r="B12687" s="3"/>
      <c r="C12687" s="3"/>
      <c r="D12687" s="3"/>
      <c r="E12687" s="3"/>
      <c r="F12687" s="3"/>
      <c r="G12687" s="3"/>
      <c r="H12687" s="11"/>
      <c r="I12687" s="12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  <c r="AA12687" s="3"/>
      <c r="AB12687" s="3"/>
      <c r="AC12687" s="3"/>
      <c r="AD12687" s="3"/>
      <c r="AE12687" s="3"/>
      <c r="AF12687" s="3"/>
      <c r="AG12687" s="3"/>
      <c r="AH12687" s="3"/>
    </row>
    <row r="12688" spans="1:34" ht="14.25" customHeight="1" x14ac:dyDescent="0.25">
      <c r="A12688" s="3"/>
      <c r="B12688" s="3"/>
      <c r="C12688" s="3"/>
      <c r="D12688" s="3"/>
      <c r="E12688" s="3"/>
      <c r="F12688" s="3"/>
      <c r="G12688" s="3"/>
      <c r="H12688" s="11"/>
      <c r="I12688" s="12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  <c r="AA12688" s="3"/>
      <c r="AB12688" s="3"/>
      <c r="AC12688" s="3"/>
      <c r="AD12688" s="3"/>
      <c r="AE12688" s="3"/>
      <c r="AF12688" s="3"/>
      <c r="AG12688" s="3"/>
      <c r="AH12688" s="3"/>
    </row>
    <row r="12689" spans="1:34" ht="14.25" customHeight="1" x14ac:dyDescent="0.25">
      <c r="A12689" s="3"/>
      <c r="B12689" s="3"/>
      <c r="C12689" s="3"/>
      <c r="D12689" s="3"/>
      <c r="E12689" s="3"/>
      <c r="F12689" s="3"/>
      <c r="G12689" s="3"/>
      <c r="H12689" s="11"/>
      <c r="I12689" s="12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  <c r="AA12689" s="3"/>
      <c r="AB12689" s="3"/>
      <c r="AC12689" s="3"/>
      <c r="AD12689" s="3"/>
      <c r="AE12689" s="3"/>
      <c r="AF12689" s="3"/>
      <c r="AG12689" s="3"/>
      <c r="AH12689" s="3"/>
    </row>
    <row r="12690" spans="1:34" ht="14.25" customHeight="1" x14ac:dyDescent="0.25">
      <c r="A12690" s="3"/>
      <c r="B12690" s="3"/>
      <c r="C12690" s="3"/>
      <c r="D12690" s="3"/>
      <c r="E12690" s="3"/>
      <c r="F12690" s="3"/>
      <c r="G12690" s="3"/>
      <c r="H12690" s="11"/>
      <c r="I12690" s="12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  <c r="AA12690" s="3"/>
      <c r="AB12690" s="3"/>
      <c r="AC12690" s="3"/>
      <c r="AD12690" s="3"/>
      <c r="AE12690" s="3"/>
      <c r="AF12690" s="3"/>
      <c r="AG12690" s="3"/>
      <c r="AH12690" s="3"/>
    </row>
    <row r="12691" spans="1:34" ht="14.25" customHeight="1" x14ac:dyDescent="0.25">
      <c r="A12691" s="3"/>
      <c r="B12691" s="3"/>
      <c r="C12691" s="3"/>
      <c r="D12691" s="3"/>
      <c r="E12691" s="3"/>
      <c r="F12691" s="3"/>
      <c r="G12691" s="3"/>
      <c r="H12691" s="11"/>
      <c r="I12691" s="12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  <c r="AA12691" s="3"/>
      <c r="AB12691" s="3"/>
      <c r="AC12691" s="3"/>
      <c r="AD12691" s="3"/>
      <c r="AE12691" s="3"/>
      <c r="AF12691" s="3"/>
      <c r="AG12691" s="3"/>
      <c r="AH12691" s="3"/>
    </row>
    <row r="12692" spans="1:34" ht="14.25" customHeight="1" x14ac:dyDescent="0.25">
      <c r="A12692" s="3"/>
      <c r="B12692" s="3"/>
      <c r="C12692" s="3"/>
      <c r="D12692" s="3"/>
      <c r="E12692" s="3"/>
      <c r="F12692" s="3"/>
      <c r="G12692" s="3"/>
      <c r="H12692" s="11"/>
      <c r="I12692" s="12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  <c r="AA12692" s="3"/>
      <c r="AB12692" s="3"/>
      <c r="AC12692" s="3"/>
      <c r="AD12692" s="3"/>
      <c r="AE12692" s="3"/>
      <c r="AF12692" s="3"/>
      <c r="AG12692" s="3"/>
      <c r="AH12692" s="3"/>
    </row>
    <row r="12693" spans="1:34" ht="14.25" customHeight="1" x14ac:dyDescent="0.25">
      <c r="A12693" s="3"/>
      <c r="B12693" s="3"/>
      <c r="C12693" s="3"/>
      <c r="D12693" s="3"/>
      <c r="E12693" s="3"/>
      <c r="F12693" s="3"/>
      <c r="G12693" s="3"/>
      <c r="H12693" s="11"/>
      <c r="I12693" s="12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  <c r="AA12693" s="3"/>
      <c r="AB12693" s="3"/>
      <c r="AC12693" s="3"/>
      <c r="AD12693" s="3"/>
      <c r="AE12693" s="3"/>
      <c r="AF12693" s="3"/>
      <c r="AG12693" s="3"/>
      <c r="AH12693" s="3"/>
    </row>
    <row r="12694" spans="1:34" ht="14.25" customHeight="1" x14ac:dyDescent="0.25">
      <c r="A12694" s="3"/>
      <c r="B12694" s="3"/>
      <c r="C12694" s="3"/>
      <c r="D12694" s="3"/>
      <c r="E12694" s="3"/>
      <c r="F12694" s="3"/>
      <c r="G12694" s="3"/>
      <c r="H12694" s="11"/>
      <c r="I12694" s="12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  <c r="AA12694" s="3"/>
      <c r="AB12694" s="3"/>
      <c r="AC12694" s="3"/>
      <c r="AD12694" s="3"/>
      <c r="AE12694" s="3"/>
      <c r="AF12694" s="3"/>
      <c r="AG12694" s="3"/>
      <c r="AH12694" s="3"/>
    </row>
    <row r="12695" spans="1:34" ht="14.25" customHeight="1" x14ac:dyDescent="0.25">
      <c r="A12695" s="3"/>
      <c r="B12695" s="3"/>
      <c r="C12695" s="3"/>
      <c r="D12695" s="3"/>
      <c r="E12695" s="3"/>
      <c r="F12695" s="3"/>
      <c r="G12695" s="3"/>
      <c r="H12695" s="11"/>
      <c r="I12695" s="12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  <c r="AA12695" s="3"/>
      <c r="AB12695" s="3"/>
      <c r="AC12695" s="3"/>
      <c r="AD12695" s="3"/>
      <c r="AE12695" s="3"/>
      <c r="AF12695" s="3"/>
      <c r="AG12695" s="3"/>
      <c r="AH12695" s="3"/>
    </row>
    <row r="12696" spans="1:34" ht="14.25" customHeight="1" x14ac:dyDescent="0.25">
      <c r="A12696" s="3"/>
      <c r="B12696" s="3"/>
      <c r="C12696" s="3"/>
      <c r="D12696" s="3"/>
      <c r="E12696" s="3"/>
      <c r="F12696" s="3"/>
      <c r="G12696" s="3"/>
      <c r="H12696" s="11"/>
      <c r="I12696" s="12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  <c r="AA12696" s="3"/>
      <c r="AB12696" s="3"/>
      <c r="AC12696" s="3"/>
      <c r="AD12696" s="3"/>
      <c r="AE12696" s="3"/>
      <c r="AF12696" s="3"/>
      <c r="AG12696" s="3"/>
      <c r="AH12696" s="3"/>
    </row>
    <row r="12697" spans="1:34" ht="14.25" customHeight="1" x14ac:dyDescent="0.25">
      <c r="A12697" s="3"/>
      <c r="B12697" s="3"/>
      <c r="C12697" s="3"/>
      <c r="D12697" s="3"/>
      <c r="E12697" s="3"/>
      <c r="F12697" s="3"/>
      <c r="G12697" s="3"/>
      <c r="H12697" s="11"/>
      <c r="I12697" s="12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  <c r="AA12697" s="3"/>
      <c r="AB12697" s="3"/>
      <c r="AC12697" s="3"/>
      <c r="AD12697" s="3"/>
      <c r="AE12697" s="3"/>
      <c r="AF12697" s="3"/>
      <c r="AG12697" s="3"/>
      <c r="AH12697" s="3"/>
    </row>
    <row r="12698" spans="1:34" ht="14.25" customHeight="1" x14ac:dyDescent="0.25">
      <c r="A12698" s="3"/>
      <c r="B12698" s="3"/>
      <c r="C12698" s="3"/>
      <c r="D12698" s="3"/>
      <c r="E12698" s="3"/>
      <c r="F12698" s="3"/>
      <c r="G12698" s="3"/>
      <c r="H12698" s="11"/>
      <c r="I12698" s="12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  <c r="AA12698" s="3"/>
      <c r="AB12698" s="3"/>
      <c r="AC12698" s="3"/>
      <c r="AD12698" s="3"/>
      <c r="AE12698" s="3"/>
      <c r="AF12698" s="3"/>
      <c r="AG12698" s="3"/>
      <c r="AH12698" s="3"/>
    </row>
    <row r="12699" spans="1:34" ht="14.25" customHeight="1" x14ac:dyDescent="0.25">
      <c r="A12699" s="3"/>
      <c r="B12699" s="3"/>
      <c r="C12699" s="3"/>
      <c r="D12699" s="3"/>
      <c r="E12699" s="3"/>
      <c r="F12699" s="3"/>
      <c r="G12699" s="3"/>
      <c r="H12699" s="11"/>
      <c r="I12699" s="12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  <c r="AA12699" s="3"/>
      <c r="AB12699" s="3"/>
      <c r="AC12699" s="3"/>
      <c r="AD12699" s="3"/>
      <c r="AE12699" s="3"/>
      <c r="AF12699" s="3"/>
      <c r="AG12699" s="3"/>
      <c r="AH12699" s="3"/>
    </row>
    <row r="12700" spans="1:34" ht="14.25" customHeight="1" x14ac:dyDescent="0.25">
      <c r="A12700" s="3"/>
      <c r="B12700" s="3"/>
      <c r="C12700" s="3"/>
      <c r="D12700" s="3"/>
      <c r="E12700" s="3"/>
      <c r="F12700" s="3"/>
      <c r="G12700" s="3"/>
      <c r="H12700" s="11"/>
      <c r="I12700" s="12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  <c r="AA12700" s="3"/>
      <c r="AB12700" s="3"/>
      <c r="AC12700" s="3"/>
      <c r="AD12700" s="3"/>
      <c r="AE12700" s="3"/>
      <c r="AF12700" s="3"/>
      <c r="AG12700" s="3"/>
      <c r="AH12700" s="3"/>
    </row>
    <row r="12701" spans="1:34" ht="14.25" customHeight="1" x14ac:dyDescent="0.25">
      <c r="A12701" s="3"/>
      <c r="B12701" s="3"/>
      <c r="C12701" s="3"/>
      <c r="D12701" s="3"/>
      <c r="E12701" s="3"/>
      <c r="F12701" s="3"/>
      <c r="G12701" s="3"/>
      <c r="H12701" s="11"/>
      <c r="I12701" s="12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  <c r="AA12701" s="3"/>
      <c r="AB12701" s="3"/>
      <c r="AC12701" s="3"/>
      <c r="AD12701" s="3"/>
      <c r="AE12701" s="3"/>
      <c r="AF12701" s="3"/>
      <c r="AG12701" s="3"/>
      <c r="AH12701" s="3"/>
    </row>
    <row r="12702" spans="1:34" ht="14.25" customHeight="1" x14ac:dyDescent="0.25">
      <c r="A12702" s="3"/>
      <c r="B12702" s="3"/>
      <c r="C12702" s="3"/>
      <c r="D12702" s="3"/>
      <c r="E12702" s="3"/>
      <c r="F12702" s="3"/>
      <c r="G12702" s="3"/>
      <c r="H12702" s="11"/>
      <c r="I12702" s="12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  <c r="AA12702" s="3"/>
      <c r="AB12702" s="3"/>
      <c r="AC12702" s="3"/>
      <c r="AD12702" s="3"/>
      <c r="AE12702" s="3"/>
      <c r="AF12702" s="3"/>
      <c r="AG12702" s="3"/>
      <c r="AH12702" s="3"/>
    </row>
    <row r="12703" spans="1:34" ht="14.25" customHeight="1" x14ac:dyDescent="0.25">
      <c r="A12703" s="3"/>
      <c r="B12703" s="3"/>
      <c r="C12703" s="3"/>
      <c r="D12703" s="3"/>
      <c r="E12703" s="3"/>
      <c r="F12703" s="3"/>
      <c r="G12703" s="3"/>
      <c r="H12703" s="11"/>
      <c r="I12703" s="12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  <c r="AA12703" s="3"/>
      <c r="AB12703" s="3"/>
      <c r="AC12703" s="3"/>
      <c r="AD12703" s="3"/>
      <c r="AE12703" s="3"/>
      <c r="AF12703" s="3"/>
      <c r="AG12703" s="3"/>
      <c r="AH12703" s="3"/>
    </row>
    <row r="12704" spans="1:34" ht="14.25" customHeight="1" x14ac:dyDescent="0.25">
      <c r="A12704" s="3"/>
      <c r="B12704" s="3"/>
      <c r="C12704" s="3"/>
      <c r="D12704" s="3"/>
      <c r="E12704" s="3"/>
      <c r="F12704" s="3"/>
      <c r="G12704" s="3"/>
      <c r="H12704" s="11"/>
      <c r="I12704" s="12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  <c r="AA12704" s="3"/>
      <c r="AB12704" s="3"/>
      <c r="AC12704" s="3"/>
      <c r="AD12704" s="3"/>
      <c r="AE12704" s="3"/>
      <c r="AF12704" s="3"/>
      <c r="AG12704" s="3"/>
      <c r="AH12704" s="3"/>
    </row>
    <row r="12705" spans="1:34" ht="14.25" customHeight="1" x14ac:dyDescent="0.25">
      <c r="A12705" s="3"/>
      <c r="B12705" s="3"/>
      <c r="C12705" s="3"/>
      <c r="D12705" s="3"/>
      <c r="E12705" s="3"/>
      <c r="F12705" s="3"/>
      <c r="G12705" s="3"/>
      <c r="H12705" s="11"/>
      <c r="I12705" s="12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  <c r="AA12705" s="3"/>
      <c r="AB12705" s="3"/>
      <c r="AC12705" s="3"/>
      <c r="AD12705" s="3"/>
      <c r="AE12705" s="3"/>
      <c r="AF12705" s="3"/>
      <c r="AG12705" s="3"/>
      <c r="AH12705" s="3"/>
    </row>
    <row r="12706" spans="1:34" ht="14.25" customHeight="1" x14ac:dyDescent="0.25">
      <c r="A12706" s="3"/>
      <c r="B12706" s="3"/>
      <c r="C12706" s="3"/>
      <c r="D12706" s="3"/>
      <c r="E12706" s="3"/>
      <c r="F12706" s="3"/>
      <c r="G12706" s="3"/>
      <c r="H12706" s="11"/>
      <c r="I12706" s="12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  <c r="AA12706" s="3"/>
      <c r="AB12706" s="3"/>
      <c r="AC12706" s="3"/>
      <c r="AD12706" s="3"/>
      <c r="AE12706" s="3"/>
      <c r="AF12706" s="3"/>
      <c r="AG12706" s="3"/>
      <c r="AH12706" s="3"/>
    </row>
    <row r="12707" spans="1:34" ht="14.25" customHeight="1" x14ac:dyDescent="0.25">
      <c r="A12707" s="3"/>
      <c r="B12707" s="3"/>
      <c r="C12707" s="3"/>
      <c r="D12707" s="3"/>
      <c r="E12707" s="3"/>
      <c r="F12707" s="3"/>
      <c r="G12707" s="3"/>
      <c r="H12707" s="11"/>
      <c r="I12707" s="12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  <c r="AA12707" s="3"/>
      <c r="AB12707" s="3"/>
      <c r="AC12707" s="3"/>
      <c r="AD12707" s="3"/>
      <c r="AE12707" s="3"/>
      <c r="AF12707" s="3"/>
      <c r="AG12707" s="3"/>
      <c r="AH12707" s="3"/>
    </row>
    <row r="12708" spans="1:34" ht="14.25" customHeight="1" x14ac:dyDescent="0.25">
      <c r="A12708" s="3"/>
      <c r="B12708" s="3"/>
      <c r="C12708" s="3"/>
      <c r="D12708" s="3"/>
      <c r="E12708" s="3"/>
      <c r="F12708" s="3"/>
      <c r="G12708" s="3"/>
      <c r="H12708" s="11"/>
      <c r="I12708" s="12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  <c r="AA12708" s="3"/>
      <c r="AB12708" s="3"/>
      <c r="AC12708" s="3"/>
      <c r="AD12708" s="3"/>
      <c r="AE12708" s="3"/>
      <c r="AF12708" s="3"/>
      <c r="AG12708" s="3"/>
      <c r="AH12708" s="3"/>
    </row>
    <row r="12709" spans="1:34" ht="14.25" customHeight="1" x14ac:dyDescent="0.25">
      <c r="A12709" s="3"/>
      <c r="B12709" s="3"/>
      <c r="C12709" s="3"/>
      <c r="D12709" s="3"/>
      <c r="E12709" s="3"/>
      <c r="F12709" s="3"/>
      <c r="G12709" s="3"/>
      <c r="H12709" s="11"/>
      <c r="I12709" s="12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  <c r="AA12709" s="3"/>
      <c r="AB12709" s="3"/>
      <c r="AC12709" s="3"/>
      <c r="AD12709" s="3"/>
      <c r="AE12709" s="3"/>
      <c r="AF12709" s="3"/>
      <c r="AG12709" s="3"/>
      <c r="AH12709" s="3"/>
    </row>
    <row r="12710" spans="1:34" ht="14.25" customHeight="1" x14ac:dyDescent="0.25">
      <c r="A12710" s="3"/>
      <c r="B12710" s="3"/>
      <c r="C12710" s="3"/>
      <c r="D12710" s="3"/>
      <c r="E12710" s="3"/>
      <c r="F12710" s="3"/>
      <c r="G12710" s="3"/>
      <c r="H12710" s="11"/>
      <c r="I12710" s="12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  <c r="AA12710" s="3"/>
      <c r="AB12710" s="3"/>
      <c r="AC12710" s="3"/>
      <c r="AD12710" s="3"/>
      <c r="AE12710" s="3"/>
      <c r="AF12710" s="3"/>
      <c r="AG12710" s="3"/>
      <c r="AH12710" s="3"/>
    </row>
    <row r="12711" spans="1:34" ht="14.25" customHeight="1" x14ac:dyDescent="0.25">
      <c r="A12711" s="3"/>
      <c r="B12711" s="3"/>
      <c r="C12711" s="3"/>
      <c r="D12711" s="3"/>
      <c r="E12711" s="3"/>
      <c r="F12711" s="3"/>
      <c r="G12711" s="3"/>
      <c r="H12711" s="11"/>
      <c r="I12711" s="12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  <c r="AA12711" s="3"/>
      <c r="AB12711" s="3"/>
      <c r="AC12711" s="3"/>
      <c r="AD12711" s="3"/>
      <c r="AE12711" s="3"/>
      <c r="AF12711" s="3"/>
      <c r="AG12711" s="3"/>
      <c r="AH12711" s="3"/>
    </row>
    <row r="12712" spans="1:34" ht="14.25" customHeight="1" x14ac:dyDescent="0.25">
      <c r="A12712" s="3"/>
      <c r="B12712" s="3"/>
      <c r="C12712" s="3"/>
      <c r="D12712" s="3"/>
      <c r="E12712" s="3"/>
      <c r="F12712" s="3"/>
      <c r="G12712" s="3"/>
      <c r="H12712" s="11"/>
      <c r="I12712" s="12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  <c r="AA12712" s="3"/>
      <c r="AB12712" s="3"/>
      <c r="AC12712" s="3"/>
      <c r="AD12712" s="3"/>
      <c r="AE12712" s="3"/>
      <c r="AF12712" s="3"/>
      <c r="AG12712" s="3"/>
      <c r="AH12712" s="3"/>
    </row>
    <row r="12713" spans="1:34" ht="14.25" customHeight="1" x14ac:dyDescent="0.25">
      <c r="A12713" s="3"/>
      <c r="B12713" s="3"/>
      <c r="C12713" s="3"/>
      <c r="D12713" s="3"/>
      <c r="E12713" s="3"/>
      <c r="F12713" s="3"/>
      <c r="G12713" s="3"/>
      <c r="H12713" s="11"/>
      <c r="I12713" s="12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  <c r="AA12713" s="3"/>
      <c r="AB12713" s="3"/>
      <c r="AC12713" s="3"/>
      <c r="AD12713" s="3"/>
      <c r="AE12713" s="3"/>
      <c r="AF12713" s="3"/>
      <c r="AG12713" s="3"/>
      <c r="AH12713" s="3"/>
    </row>
    <row r="12714" spans="1:34" ht="14.25" customHeight="1" x14ac:dyDescent="0.25">
      <c r="A12714" s="3"/>
      <c r="B12714" s="3"/>
      <c r="C12714" s="3"/>
      <c r="D12714" s="3"/>
      <c r="E12714" s="3"/>
      <c r="F12714" s="3"/>
      <c r="G12714" s="3"/>
      <c r="H12714" s="11"/>
      <c r="I12714" s="12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  <c r="AA12714" s="3"/>
      <c r="AB12714" s="3"/>
      <c r="AC12714" s="3"/>
      <c r="AD12714" s="3"/>
      <c r="AE12714" s="3"/>
      <c r="AF12714" s="3"/>
      <c r="AG12714" s="3"/>
      <c r="AH12714" s="3"/>
    </row>
    <row r="12715" spans="1:34" ht="14.25" customHeight="1" x14ac:dyDescent="0.25">
      <c r="A12715" s="3"/>
      <c r="B12715" s="3"/>
      <c r="C12715" s="3"/>
      <c r="D12715" s="3"/>
      <c r="E12715" s="3"/>
      <c r="F12715" s="3"/>
      <c r="G12715" s="3"/>
      <c r="H12715" s="11"/>
      <c r="I12715" s="12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  <c r="AA12715" s="3"/>
      <c r="AB12715" s="3"/>
      <c r="AC12715" s="3"/>
      <c r="AD12715" s="3"/>
      <c r="AE12715" s="3"/>
      <c r="AF12715" s="3"/>
      <c r="AG12715" s="3"/>
      <c r="AH12715" s="3"/>
    </row>
    <row r="12716" spans="1:34" ht="14.25" customHeight="1" x14ac:dyDescent="0.25">
      <c r="A12716" s="3"/>
      <c r="B12716" s="3"/>
      <c r="C12716" s="3"/>
      <c r="D12716" s="3"/>
      <c r="E12716" s="3"/>
      <c r="F12716" s="3"/>
      <c r="G12716" s="3"/>
      <c r="H12716" s="11"/>
      <c r="I12716" s="12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  <c r="AA12716" s="3"/>
      <c r="AB12716" s="3"/>
      <c r="AC12716" s="3"/>
      <c r="AD12716" s="3"/>
      <c r="AE12716" s="3"/>
      <c r="AF12716" s="3"/>
      <c r="AG12716" s="3"/>
      <c r="AH12716" s="3"/>
    </row>
    <row r="12717" spans="1:34" ht="14.25" customHeight="1" x14ac:dyDescent="0.25">
      <c r="A12717" s="3"/>
      <c r="B12717" s="3"/>
      <c r="C12717" s="3"/>
      <c r="D12717" s="3"/>
      <c r="E12717" s="3"/>
      <c r="F12717" s="3"/>
      <c r="G12717" s="3"/>
      <c r="H12717" s="11"/>
      <c r="I12717" s="12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  <c r="AA12717" s="3"/>
      <c r="AB12717" s="3"/>
      <c r="AC12717" s="3"/>
      <c r="AD12717" s="3"/>
      <c r="AE12717" s="3"/>
      <c r="AF12717" s="3"/>
      <c r="AG12717" s="3"/>
      <c r="AH12717" s="3"/>
    </row>
    <row r="12718" spans="1:34" ht="14.25" customHeight="1" x14ac:dyDescent="0.25">
      <c r="A12718" s="3"/>
      <c r="B12718" s="3"/>
      <c r="C12718" s="3"/>
      <c r="D12718" s="3"/>
      <c r="E12718" s="3"/>
      <c r="F12718" s="3"/>
      <c r="G12718" s="3"/>
      <c r="H12718" s="11"/>
      <c r="I12718" s="12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  <c r="AA12718" s="3"/>
      <c r="AB12718" s="3"/>
      <c r="AC12718" s="3"/>
      <c r="AD12718" s="3"/>
      <c r="AE12718" s="3"/>
      <c r="AF12718" s="3"/>
      <c r="AG12718" s="3"/>
      <c r="AH12718" s="3"/>
    </row>
    <row r="12719" spans="1:34" ht="14.25" customHeight="1" x14ac:dyDescent="0.25">
      <c r="A12719" s="3"/>
      <c r="B12719" s="3"/>
      <c r="C12719" s="3"/>
      <c r="D12719" s="3"/>
      <c r="E12719" s="3"/>
      <c r="F12719" s="3"/>
      <c r="G12719" s="3"/>
      <c r="H12719" s="11"/>
      <c r="I12719" s="12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  <c r="AA12719" s="3"/>
      <c r="AB12719" s="3"/>
      <c r="AC12719" s="3"/>
      <c r="AD12719" s="3"/>
      <c r="AE12719" s="3"/>
      <c r="AF12719" s="3"/>
      <c r="AG12719" s="3"/>
      <c r="AH12719" s="3"/>
    </row>
    <row r="12720" spans="1:34" ht="14.25" customHeight="1" x14ac:dyDescent="0.25">
      <c r="A12720" s="3"/>
      <c r="B12720" s="3"/>
      <c r="C12720" s="3"/>
      <c r="D12720" s="3"/>
      <c r="E12720" s="3"/>
      <c r="F12720" s="3"/>
      <c r="G12720" s="3"/>
      <c r="H12720" s="11"/>
      <c r="I12720" s="12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  <c r="AA12720" s="3"/>
      <c r="AB12720" s="3"/>
      <c r="AC12720" s="3"/>
      <c r="AD12720" s="3"/>
      <c r="AE12720" s="3"/>
      <c r="AF12720" s="3"/>
      <c r="AG12720" s="3"/>
      <c r="AH12720" s="3"/>
    </row>
    <row r="12721" spans="1:34" ht="14.25" customHeight="1" x14ac:dyDescent="0.25">
      <c r="A12721" s="3"/>
      <c r="B12721" s="3"/>
      <c r="C12721" s="3"/>
      <c r="D12721" s="3"/>
      <c r="E12721" s="3"/>
      <c r="F12721" s="3"/>
      <c r="G12721" s="3"/>
      <c r="H12721" s="11"/>
      <c r="I12721" s="12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  <c r="AA12721" s="3"/>
      <c r="AB12721" s="3"/>
      <c r="AC12721" s="3"/>
      <c r="AD12721" s="3"/>
      <c r="AE12721" s="3"/>
      <c r="AF12721" s="3"/>
      <c r="AG12721" s="3"/>
      <c r="AH12721" s="3"/>
    </row>
    <row r="12722" spans="1:34" ht="14.25" customHeight="1" x14ac:dyDescent="0.25">
      <c r="A12722" s="3"/>
      <c r="B12722" s="3"/>
      <c r="C12722" s="3"/>
      <c r="D12722" s="3"/>
      <c r="E12722" s="3"/>
      <c r="F12722" s="3"/>
      <c r="G12722" s="3"/>
      <c r="H12722" s="11"/>
      <c r="I12722" s="12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  <c r="AA12722" s="3"/>
      <c r="AB12722" s="3"/>
      <c r="AC12722" s="3"/>
      <c r="AD12722" s="3"/>
      <c r="AE12722" s="3"/>
      <c r="AF12722" s="3"/>
      <c r="AG12722" s="3"/>
      <c r="AH12722" s="3"/>
    </row>
    <row r="12723" spans="1:34" ht="14.25" customHeight="1" x14ac:dyDescent="0.25">
      <c r="A12723" s="3"/>
      <c r="B12723" s="3"/>
      <c r="C12723" s="3"/>
      <c r="D12723" s="3"/>
      <c r="E12723" s="3"/>
      <c r="F12723" s="3"/>
      <c r="G12723" s="3"/>
      <c r="H12723" s="11"/>
      <c r="I12723" s="12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  <c r="AA12723" s="3"/>
      <c r="AB12723" s="3"/>
      <c r="AC12723" s="3"/>
      <c r="AD12723" s="3"/>
      <c r="AE12723" s="3"/>
      <c r="AF12723" s="3"/>
      <c r="AG12723" s="3"/>
      <c r="AH12723" s="3"/>
    </row>
    <row r="12724" spans="1:34" ht="14.25" customHeight="1" x14ac:dyDescent="0.25">
      <c r="A12724" s="3"/>
      <c r="B12724" s="3"/>
      <c r="C12724" s="3"/>
      <c r="D12724" s="3"/>
      <c r="E12724" s="3"/>
      <c r="F12724" s="3"/>
      <c r="G12724" s="3"/>
      <c r="H12724" s="11"/>
      <c r="I12724" s="12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  <c r="AA12724" s="3"/>
      <c r="AB12724" s="3"/>
      <c r="AC12724" s="3"/>
      <c r="AD12724" s="3"/>
      <c r="AE12724" s="3"/>
      <c r="AF12724" s="3"/>
      <c r="AG12724" s="3"/>
      <c r="AH12724" s="3"/>
    </row>
    <row r="12725" spans="1:34" ht="14.25" customHeight="1" x14ac:dyDescent="0.25">
      <c r="A12725" s="3"/>
      <c r="B12725" s="3"/>
      <c r="C12725" s="3"/>
      <c r="D12725" s="3"/>
      <c r="E12725" s="3"/>
      <c r="F12725" s="3"/>
      <c r="G12725" s="3"/>
      <c r="H12725" s="11"/>
      <c r="I12725" s="12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  <c r="AA12725" s="3"/>
      <c r="AB12725" s="3"/>
      <c r="AC12725" s="3"/>
      <c r="AD12725" s="3"/>
      <c r="AE12725" s="3"/>
      <c r="AF12725" s="3"/>
      <c r="AG12725" s="3"/>
      <c r="AH12725" s="3"/>
    </row>
    <row r="12726" spans="1:34" ht="14.25" customHeight="1" x14ac:dyDescent="0.25">
      <c r="A12726" s="3"/>
      <c r="B12726" s="3"/>
      <c r="C12726" s="3"/>
      <c r="D12726" s="3"/>
      <c r="E12726" s="3"/>
      <c r="F12726" s="3"/>
      <c r="G12726" s="3"/>
      <c r="H12726" s="11"/>
      <c r="I12726" s="12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  <c r="AA12726" s="3"/>
      <c r="AB12726" s="3"/>
      <c r="AC12726" s="3"/>
      <c r="AD12726" s="3"/>
      <c r="AE12726" s="3"/>
      <c r="AF12726" s="3"/>
      <c r="AG12726" s="3"/>
      <c r="AH12726" s="3"/>
    </row>
    <row r="12727" spans="1:34" ht="14.25" customHeight="1" x14ac:dyDescent="0.25">
      <c r="A12727" s="3"/>
      <c r="B12727" s="3"/>
      <c r="C12727" s="3"/>
      <c r="D12727" s="3"/>
      <c r="E12727" s="3"/>
      <c r="F12727" s="3"/>
      <c r="G12727" s="3"/>
      <c r="H12727" s="11"/>
      <c r="I12727" s="12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  <c r="AA12727" s="3"/>
      <c r="AB12727" s="3"/>
      <c r="AC12727" s="3"/>
      <c r="AD12727" s="3"/>
      <c r="AE12727" s="3"/>
      <c r="AF12727" s="3"/>
      <c r="AG12727" s="3"/>
      <c r="AH12727" s="3"/>
    </row>
    <row r="12728" spans="1:34" ht="14.25" customHeight="1" x14ac:dyDescent="0.25">
      <c r="A12728" s="3"/>
      <c r="B12728" s="3"/>
      <c r="C12728" s="3"/>
      <c r="D12728" s="3"/>
      <c r="E12728" s="3"/>
      <c r="F12728" s="3"/>
      <c r="G12728" s="3"/>
      <c r="H12728" s="11"/>
      <c r="I12728" s="12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  <c r="AA12728" s="3"/>
      <c r="AB12728" s="3"/>
      <c r="AC12728" s="3"/>
      <c r="AD12728" s="3"/>
      <c r="AE12728" s="3"/>
      <c r="AF12728" s="3"/>
      <c r="AG12728" s="3"/>
      <c r="AH12728" s="3"/>
    </row>
    <row r="12729" spans="1:34" ht="14.25" customHeight="1" x14ac:dyDescent="0.25">
      <c r="A12729" s="3"/>
      <c r="B12729" s="3"/>
      <c r="C12729" s="3"/>
      <c r="D12729" s="3"/>
      <c r="E12729" s="3"/>
      <c r="F12729" s="3"/>
      <c r="G12729" s="3"/>
      <c r="H12729" s="11"/>
      <c r="I12729" s="12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  <c r="AA12729" s="3"/>
      <c r="AB12729" s="3"/>
      <c r="AC12729" s="3"/>
      <c r="AD12729" s="3"/>
      <c r="AE12729" s="3"/>
      <c r="AF12729" s="3"/>
      <c r="AG12729" s="3"/>
      <c r="AH12729" s="3"/>
    </row>
    <row r="12730" spans="1:34" ht="14.25" customHeight="1" x14ac:dyDescent="0.25">
      <c r="A12730" s="3"/>
      <c r="B12730" s="3"/>
      <c r="C12730" s="3"/>
      <c r="D12730" s="3"/>
      <c r="E12730" s="3"/>
      <c r="F12730" s="3"/>
      <c r="G12730" s="3"/>
      <c r="H12730" s="11"/>
      <c r="I12730" s="12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  <c r="AA12730" s="3"/>
      <c r="AB12730" s="3"/>
      <c r="AC12730" s="3"/>
      <c r="AD12730" s="3"/>
      <c r="AE12730" s="3"/>
      <c r="AF12730" s="3"/>
      <c r="AG12730" s="3"/>
      <c r="AH12730" s="3"/>
    </row>
    <row r="12731" spans="1:34" ht="14.25" customHeight="1" x14ac:dyDescent="0.25">
      <c r="A12731" s="3"/>
      <c r="B12731" s="3"/>
      <c r="C12731" s="3"/>
      <c r="D12731" s="3"/>
      <c r="E12731" s="3"/>
      <c r="F12731" s="3"/>
      <c r="G12731" s="3"/>
      <c r="H12731" s="11"/>
      <c r="I12731" s="12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  <c r="AA12731" s="3"/>
      <c r="AB12731" s="3"/>
      <c r="AC12731" s="3"/>
      <c r="AD12731" s="3"/>
      <c r="AE12731" s="3"/>
      <c r="AF12731" s="3"/>
      <c r="AG12731" s="3"/>
      <c r="AH12731" s="3"/>
    </row>
    <row r="12732" spans="1:34" ht="14.25" customHeight="1" x14ac:dyDescent="0.25">
      <c r="A12732" s="3"/>
      <c r="B12732" s="3"/>
      <c r="C12732" s="3"/>
      <c r="D12732" s="3"/>
      <c r="E12732" s="3"/>
      <c r="F12732" s="3"/>
      <c r="G12732" s="3"/>
      <c r="H12732" s="11"/>
      <c r="I12732" s="12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  <c r="AA12732" s="3"/>
      <c r="AB12732" s="3"/>
      <c r="AC12732" s="3"/>
      <c r="AD12732" s="3"/>
      <c r="AE12732" s="3"/>
      <c r="AF12732" s="3"/>
      <c r="AG12732" s="3"/>
      <c r="AH12732" s="3"/>
    </row>
    <row r="12733" spans="1:34" ht="14.25" customHeight="1" x14ac:dyDescent="0.25">
      <c r="A12733" s="3"/>
      <c r="B12733" s="3"/>
      <c r="C12733" s="3"/>
      <c r="D12733" s="3"/>
      <c r="E12733" s="3"/>
      <c r="F12733" s="3"/>
      <c r="G12733" s="3"/>
      <c r="H12733" s="11"/>
      <c r="I12733" s="12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  <c r="AA12733" s="3"/>
      <c r="AB12733" s="3"/>
      <c r="AC12733" s="3"/>
      <c r="AD12733" s="3"/>
      <c r="AE12733" s="3"/>
      <c r="AF12733" s="3"/>
      <c r="AG12733" s="3"/>
      <c r="AH12733" s="3"/>
    </row>
    <row r="12734" spans="1:34" ht="14.25" customHeight="1" x14ac:dyDescent="0.25">
      <c r="A12734" s="3"/>
      <c r="B12734" s="3"/>
      <c r="C12734" s="3"/>
      <c r="D12734" s="3"/>
      <c r="E12734" s="3"/>
      <c r="F12734" s="3"/>
      <c r="G12734" s="3"/>
      <c r="H12734" s="11"/>
      <c r="I12734" s="12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  <c r="AA12734" s="3"/>
      <c r="AB12734" s="3"/>
      <c r="AC12734" s="3"/>
      <c r="AD12734" s="3"/>
      <c r="AE12734" s="3"/>
      <c r="AF12734" s="3"/>
      <c r="AG12734" s="3"/>
      <c r="AH12734" s="3"/>
    </row>
    <row r="12735" spans="1:34" ht="14.25" customHeight="1" x14ac:dyDescent="0.25">
      <c r="A12735" s="3"/>
      <c r="B12735" s="3"/>
      <c r="C12735" s="3"/>
      <c r="D12735" s="3"/>
      <c r="E12735" s="3"/>
      <c r="F12735" s="3"/>
      <c r="G12735" s="3"/>
      <c r="H12735" s="11"/>
      <c r="I12735" s="12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  <c r="AA12735" s="3"/>
      <c r="AB12735" s="3"/>
      <c r="AC12735" s="3"/>
      <c r="AD12735" s="3"/>
      <c r="AE12735" s="3"/>
      <c r="AF12735" s="3"/>
      <c r="AG12735" s="3"/>
      <c r="AH12735" s="3"/>
    </row>
    <row r="12736" spans="1:34" ht="14.25" customHeight="1" x14ac:dyDescent="0.25">
      <c r="A12736" s="3"/>
      <c r="B12736" s="3"/>
      <c r="C12736" s="3"/>
      <c r="D12736" s="3"/>
      <c r="E12736" s="3"/>
      <c r="F12736" s="3"/>
      <c r="G12736" s="3"/>
      <c r="H12736" s="11"/>
      <c r="I12736" s="12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  <c r="AA12736" s="3"/>
      <c r="AB12736" s="3"/>
      <c r="AC12736" s="3"/>
      <c r="AD12736" s="3"/>
      <c r="AE12736" s="3"/>
      <c r="AF12736" s="3"/>
      <c r="AG12736" s="3"/>
      <c r="AH12736" s="3"/>
    </row>
    <row r="12737" spans="1:34" ht="14.25" customHeight="1" x14ac:dyDescent="0.25">
      <c r="A12737" s="3"/>
      <c r="B12737" s="3"/>
      <c r="C12737" s="3"/>
      <c r="D12737" s="3"/>
      <c r="E12737" s="3"/>
      <c r="F12737" s="3"/>
      <c r="G12737" s="3"/>
      <c r="H12737" s="11"/>
      <c r="I12737" s="12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  <c r="AA12737" s="3"/>
      <c r="AB12737" s="3"/>
      <c r="AC12737" s="3"/>
      <c r="AD12737" s="3"/>
      <c r="AE12737" s="3"/>
      <c r="AF12737" s="3"/>
      <c r="AG12737" s="3"/>
      <c r="AH12737" s="3"/>
    </row>
    <row r="12738" spans="1:34" ht="14.25" customHeight="1" x14ac:dyDescent="0.25">
      <c r="A12738" s="3"/>
      <c r="B12738" s="3"/>
      <c r="C12738" s="3"/>
      <c r="D12738" s="3"/>
      <c r="E12738" s="3"/>
      <c r="F12738" s="3"/>
      <c r="G12738" s="3"/>
      <c r="H12738" s="11"/>
      <c r="I12738" s="12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  <c r="AA12738" s="3"/>
      <c r="AB12738" s="3"/>
      <c r="AC12738" s="3"/>
      <c r="AD12738" s="3"/>
      <c r="AE12738" s="3"/>
      <c r="AF12738" s="3"/>
      <c r="AG12738" s="3"/>
      <c r="AH12738" s="3"/>
    </row>
    <row r="12739" spans="1:34" ht="14.25" customHeight="1" x14ac:dyDescent="0.25">
      <c r="A12739" s="3"/>
      <c r="B12739" s="3"/>
      <c r="C12739" s="3"/>
      <c r="D12739" s="3"/>
      <c r="E12739" s="3"/>
      <c r="F12739" s="3"/>
      <c r="G12739" s="3"/>
      <c r="H12739" s="11"/>
      <c r="I12739" s="12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  <c r="AA12739" s="3"/>
      <c r="AB12739" s="3"/>
      <c r="AC12739" s="3"/>
      <c r="AD12739" s="3"/>
      <c r="AE12739" s="3"/>
      <c r="AF12739" s="3"/>
      <c r="AG12739" s="3"/>
      <c r="AH12739" s="3"/>
    </row>
    <row r="12740" spans="1:34" ht="14.25" customHeight="1" x14ac:dyDescent="0.25">
      <c r="A12740" s="3"/>
      <c r="B12740" s="3"/>
      <c r="C12740" s="3"/>
      <c r="D12740" s="3"/>
      <c r="E12740" s="3"/>
      <c r="F12740" s="3"/>
      <c r="G12740" s="3"/>
      <c r="H12740" s="11"/>
      <c r="I12740" s="12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  <c r="AA12740" s="3"/>
      <c r="AB12740" s="3"/>
      <c r="AC12740" s="3"/>
      <c r="AD12740" s="3"/>
      <c r="AE12740" s="3"/>
      <c r="AF12740" s="3"/>
      <c r="AG12740" s="3"/>
      <c r="AH12740" s="3"/>
    </row>
    <row r="12741" spans="1:34" ht="14.25" customHeight="1" x14ac:dyDescent="0.25">
      <c r="A12741" s="3"/>
      <c r="B12741" s="3"/>
      <c r="C12741" s="3"/>
      <c r="D12741" s="3"/>
      <c r="E12741" s="3"/>
      <c r="F12741" s="3"/>
      <c r="G12741" s="3"/>
      <c r="H12741" s="11"/>
      <c r="I12741" s="12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  <c r="AA12741" s="3"/>
      <c r="AB12741" s="3"/>
      <c r="AC12741" s="3"/>
      <c r="AD12741" s="3"/>
      <c r="AE12741" s="3"/>
      <c r="AF12741" s="3"/>
      <c r="AG12741" s="3"/>
      <c r="AH12741" s="3"/>
    </row>
    <row r="12742" spans="1:34" ht="14.25" customHeight="1" x14ac:dyDescent="0.25">
      <c r="A12742" s="3"/>
      <c r="B12742" s="3"/>
      <c r="C12742" s="3"/>
      <c r="D12742" s="3"/>
      <c r="E12742" s="3"/>
      <c r="F12742" s="3"/>
      <c r="G12742" s="3"/>
      <c r="H12742" s="11"/>
      <c r="I12742" s="12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  <c r="AA12742" s="3"/>
      <c r="AB12742" s="3"/>
      <c r="AC12742" s="3"/>
      <c r="AD12742" s="3"/>
      <c r="AE12742" s="3"/>
      <c r="AF12742" s="3"/>
      <c r="AG12742" s="3"/>
      <c r="AH12742" s="3"/>
    </row>
    <row r="12743" spans="1:34" ht="14.25" customHeight="1" x14ac:dyDescent="0.25">
      <c r="A12743" s="3"/>
      <c r="B12743" s="3"/>
      <c r="C12743" s="3"/>
      <c r="D12743" s="3"/>
      <c r="E12743" s="3"/>
      <c r="F12743" s="3"/>
      <c r="G12743" s="3"/>
      <c r="H12743" s="11"/>
      <c r="I12743" s="12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  <c r="AA12743" s="3"/>
      <c r="AB12743" s="3"/>
      <c r="AC12743" s="3"/>
      <c r="AD12743" s="3"/>
      <c r="AE12743" s="3"/>
      <c r="AF12743" s="3"/>
      <c r="AG12743" s="3"/>
      <c r="AH12743" s="3"/>
    </row>
    <row r="12744" spans="1:34" ht="14.25" customHeight="1" x14ac:dyDescent="0.25">
      <c r="A12744" s="3"/>
      <c r="B12744" s="3"/>
      <c r="C12744" s="3"/>
      <c r="D12744" s="3"/>
      <c r="E12744" s="3"/>
      <c r="F12744" s="3"/>
      <c r="G12744" s="3"/>
      <c r="H12744" s="11"/>
      <c r="I12744" s="12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  <c r="AA12744" s="3"/>
      <c r="AB12744" s="3"/>
      <c r="AC12744" s="3"/>
      <c r="AD12744" s="3"/>
      <c r="AE12744" s="3"/>
      <c r="AF12744" s="3"/>
      <c r="AG12744" s="3"/>
      <c r="AH12744" s="3"/>
    </row>
    <row r="12745" spans="1:34" ht="14.25" customHeight="1" x14ac:dyDescent="0.25">
      <c r="A12745" s="3"/>
      <c r="B12745" s="3"/>
      <c r="C12745" s="3"/>
      <c r="D12745" s="3"/>
      <c r="E12745" s="3"/>
      <c r="F12745" s="3"/>
      <c r="G12745" s="3"/>
      <c r="H12745" s="11"/>
      <c r="I12745" s="12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  <c r="AA12745" s="3"/>
      <c r="AB12745" s="3"/>
      <c r="AC12745" s="3"/>
      <c r="AD12745" s="3"/>
      <c r="AE12745" s="3"/>
      <c r="AF12745" s="3"/>
      <c r="AG12745" s="3"/>
      <c r="AH12745" s="3"/>
    </row>
    <row r="12746" spans="1:34" ht="14.25" customHeight="1" x14ac:dyDescent="0.25">
      <c r="A12746" s="3"/>
      <c r="B12746" s="3"/>
      <c r="C12746" s="3"/>
      <c r="D12746" s="3"/>
      <c r="E12746" s="3"/>
      <c r="F12746" s="3"/>
      <c r="G12746" s="3"/>
      <c r="H12746" s="11"/>
      <c r="I12746" s="12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  <c r="AA12746" s="3"/>
      <c r="AB12746" s="3"/>
      <c r="AC12746" s="3"/>
      <c r="AD12746" s="3"/>
      <c r="AE12746" s="3"/>
      <c r="AF12746" s="3"/>
      <c r="AG12746" s="3"/>
      <c r="AH12746" s="3"/>
    </row>
    <row r="12747" spans="1:34" ht="14.25" customHeight="1" x14ac:dyDescent="0.25">
      <c r="A12747" s="3"/>
      <c r="B12747" s="3"/>
      <c r="C12747" s="3"/>
      <c r="D12747" s="3"/>
      <c r="E12747" s="3"/>
      <c r="F12747" s="3"/>
      <c r="G12747" s="3"/>
      <c r="H12747" s="11"/>
      <c r="I12747" s="12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  <c r="AA12747" s="3"/>
      <c r="AB12747" s="3"/>
      <c r="AC12747" s="3"/>
      <c r="AD12747" s="3"/>
      <c r="AE12747" s="3"/>
      <c r="AF12747" s="3"/>
      <c r="AG12747" s="3"/>
      <c r="AH12747" s="3"/>
    </row>
    <row r="12748" spans="1:34" ht="14.25" customHeight="1" x14ac:dyDescent="0.25">
      <c r="A12748" s="3"/>
      <c r="B12748" s="3"/>
      <c r="C12748" s="3"/>
      <c r="D12748" s="3"/>
      <c r="E12748" s="3"/>
      <c r="F12748" s="3"/>
      <c r="G12748" s="3"/>
      <c r="H12748" s="11"/>
      <c r="I12748" s="12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  <c r="AA12748" s="3"/>
      <c r="AB12748" s="3"/>
      <c r="AC12748" s="3"/>
      <c r="AD12748" s="3"/>
      <c r="AE12748" s="3"/>
      <c r="AF12748" s="3"/>
      <c r="AG12748" s="3"/>
      <c r="AH12748" s="3"/>
    </row>
    <row r="12749" spans="1:34" ht="14.25" customHeight="1" x14ac:dyDescent="0.25">
      <c r="A12749" s="3"/>
      <c r="B12749" s="3"/>
      <c r="C12749" s="3"/>
      <c r="D12749" s="3"/>
      <c r="E12749" s="3"/>
      <c r="F12749" s="3"/>
      <c r="G12749" s="3"/>
      <c r="H12749" s="11"/>
      <c r="I12749" s="12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  <c r="AA12749" s="3"/>
      <c r="AB12749" s="3"/>
      <c r="AC12749" s="3"/>
      <c r="AD12749" s="3"/>
      <c r="AE12749" s="3"/>
      <c r="AF12749" s="3"/>
      <c r="AG12749" s="3"/>
      <c r="AH12749" s="3"/>
    </row>
    <row r="12750" spans="1:34" ht="14.25" customHeight="1" x14ac:dyDescent="0.25">
      <c r="A12750" s="3"/>
      <c r="B12750" s="3"/>
      <c r="C12750" s="3"/>
      <c r="D12750" s="3"/>
      <c r="E12750" s="3"/>
      <c r="F12750" s="3"/>
      <c r="G12750" s="3"/>
      <c r="H12750" s="11"/>
      <c r="I12750" s="12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  <c r="AA12750" s="3"/>
      <c r="AB12750" s="3"/>
      <c r="AC12750" s="3"/>
      <c r="AD12750" s="3"/>
      <c r="AE12750" s="3"/>
      <c r="AF12750" s="3"/>
      <c r="AG12750" s="3"/>
      <c r="AH12750" s="3"/>
    </row>
    <row r="12751" spans="1:34" ht="14.25" customHeight="1" x14ac:dyDescent="0.25">
      <c r="A12751" s="3"/>
      <c r="B12751" s="3"/>
      <c r="C12751" s="3"/>
      <c r="D12751" s="3"/>
      <c r="E12751" s="3"/>
      <c r="F12751" s="3"/>
      <c r="G12751" s="3"/>
      <c r="H12751" s="11"/>
      <c r="I12751" s="12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  <c r="AA12751" s="3"/>
      <c r="AB12751" s="3"/>
      <c r="AC12751" s="3"/>
      <c r="AD12751" s="3"/>
      <c r="AE12751" s="3"/>
      <c r="AF12751" s="3"/>
      <c r="AG12751" s="3"/>
      <c r="AH12751" s="3"/>
    </row>
    <row r="12752" spans="1:34" ht="14.25" customHeight="1" x14ac:dyDescent="0.25">
      <c r="A12752" s="3"/>
      <c r="B12752" s="3"/>
      <c r="C12752" s="3"/>
      <c r="D12752" s="3"/>
      <c r="E12752" s="3"/>
      <c r="F12752" s="3"/>
      <c r="G12752" s="3"/>
      <c r="H12752" s="11"/>
      <c r="I12752" s="12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  <c r="AA12752" s="3"/>
      <c r="AB12752" s="3"/>
      <c r="AC12752" s="3"/>
      <c r="AD12752" s="3"/>
      <c r="AE12752" s="3"/>
      <c r="AF12752" s="3"/>
      <c r="AG12752" s="3"/>
      <c r="AH12752" s="3"/>
    </row>
    <row r="12753" spans="1:34" ht="14.25" customHeight="1" x14ac:dyDescent="0.25">
      <c r="A12753" s="3"/>
      <c r="B12753" s="3"/>
      <c r="C12753" s="3"/>
      <c r="D12753" s="3"/>
      <c r="E12753" s="3"/>
      <c r="F12753" s="3"/>
      <c r="G12753" s="3"/>
      <c r="H12753" s="11"/>
      <c r="I12753" s="12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  <c r="AA12753" s="3"/>
      <c r="AB12753" s="3"/>
      <c r="AC12753" s="3"/>
      <c r="AD12753" s="3"/>
      <c r="AE12753" s="3"/>
      <c r="AF12753" s="3"/>
      <c r="AG12753" s="3"/>
      <c r="AH12753" s="3"/>
    </row>
    <row r="12754" spans="1:34" ht="14.25" customHeight="1" x14ac:dyDescent="0.25">
      <c r="A12754" s="3"/>
      <c r="B12754" s="3"/>
      <c r="C12754" s="3"/>
      <c r="D12754" s="3"/>
      <c r="E12754" s="3"/>
      <c r="F12754" s="3"/>
      <c r="G12754" s="3"/>
      <c r="H12754" s="11"/>
      <c r="I12754" s="12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  <c r="AA12754" s="3"/>
      <c r="AB12754" s="3"/>
      <c r="AC12754" s="3"/>
      <c r="AD12754" s="3"/>
      <c r="AE12754" s="3"/>
      <c r="AF12754" s="3"/>
      <c r="AG12754" s="3"/>
      <c r="AH12754" s="3"/>
    </row>
    <row r="12755" spans="1:34" ht="14.25" customHeight="1" x14ac:dyDescent="0.25">
      <c r="A12755" s="3"/>
      <c r="B12755" s="3"/>
      <c r="C12755" s="3"/>
      <c r="D12755" s="3"/>
      <c r="E12755" s="3"/>
      <c r="F12755" s="3"/>
      <c r="G12755" s="3"/>
      <c r="H12755" s="11"/>
      <c r="I12755" s="12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  <c r="AA12755" s="3"/>
      <c r="AB12755" s="3"/>
      <c r="AC12755" s="3"/>
      <c r="AD12755" s="3"/>
      <c r="AE12755" s="3"/>
      <c r="AF12755" s="3"/>
      <c r="AG12755" s="3"/>
      <c r="AH12755" s="3"/>
    </row>
    <row r="12756" spans="1:34" ht="14.25" customHeight="1" x14ac:dyDescent="0.25">
      <c r="A12756" s="3"/>
      <c r="B12756" s="3"/>
      <c r="C12756" s="3"/>
      <c r="D12756" s="3"/>
      <c r="E12756" s="3"/>
      <c r="F12756" s="3"/>
      <c r="G12756" s="3"/>
      <c r="H12756" s="11"/>
      <c r="I12756" s="12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  <c r="AA12756" s="3"/>
      <c r="AB12756" s="3"/>
      <c r="AC12756" s="3"/>
      <c r="AD12756" s="3"/>
      <c r="AE12756" s="3"/>
      <c r="AF12756" s="3"/>
      <c r="AG12756" s="3"/>
      <c r="AH12756" s="3"/>
    </row>
    <row r="12757" spans="1:34" ht="14.25" customHeight="1" x14ac:dyDescent="0.25">
      <c r="A12757" s="3"/>
      <c r="B12757" s="3"/>
      <c r="C12757" s="3"/>
      <c r="D12757" s="3"/>
      <c r="E12757" s="3"/>
      <c r="F12757" s="3"/>
      <c r="G12757" s="3"/>
      <c r="H12757" s="11"/>
      <c r="I12757" s="12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  <c r="AA12757" s="3"/>
      <c r="AB12757" s="3"/>
      <c r="AC12757" s="3"/>
      <c r="AD12757" s="3"/>
      <c r="AE12757" s="3"/>
      <c r="AF12757" s="3"/>
      <c r="AG12757" s="3"/>
      <c r="AH12757" s="3"/>
    </row>
    <row r="12758" spans="1:34" ht="14.25" customHeight="1" x14ac:dyDescent="0.25">
      <c r="A12758" s="3"/>
      <c r="B12758" s="3"/>
      <c r="C12758" s="3"/>
      <c r="D12758" s="3"/>
      <c r="E12758" s="3"/>
      <c r="F12758" s="3"/>
      <c r="G12758" s="3"/>
      <c r="H12758" s="11"/>
      <c r="I12758" s="12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  <c r="AA12758" s="3"/>
      <c r="AB12758" s="3"/>
      <c r="AC12758" s="3"/>
      <c r="AD12758" s="3"/>
      <c r="AE12758" s="3"/>
      <c r="AF12758" s="3"/>
      <c r="AG12758" s="3"/>
      <c r="AH12758" s="3"/>
    </row>
    <row r="12759" spans="1:34" ht="14.25" customHeight="1" x14ac:dyDescent="0.25">
      <c r="A12759" s="3"/>
      <c r="B12759" s="3"/>
      <c r="C12759" s="3"/>
      <c r="D12759" s="3"/>
      <c r="E12759" s="3"/>
      <c r="F12759" s="3"/>
      <c r="G12759" s="3"/>
      <c r="H12759" s="11"/>
      <c r="I12759" s="12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  <c r="AA12759" s="3"/>
      <c r="AB12759" s="3"/>
      <c r="AC12759" s="3"/>
      <c r="AD12759" s="3"/>
      <c r="AE12759" s="3"/>
      <c r="AF12759" s="3"/>
      <c r="AG12759" s="3"/>
      <c r="AH12759" s="3"/>
    </row>
    <row r="12760" spans="1:34" ht="14.25" customHeight="1" x14ac:dyDescent="0.25">
      <c r="A12760" s="3"/>
      <c r="B12760" s="3"/>
      <c r="C12760" s="3"/>
      <c r="D12760" s="3"/>
      <c r="E12760" s="3"/>
      <c r="F12760" s="3"/>
      <c r="G12760" s="3"/>
      <c r="H12760" s="11"/>
      <c r="I12760" s="12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  <c r="AA12760" s="3"/>
      <c r="AB12760" s="3"/>
      <c r="AC12760" s="3"/>
      <c r="AD12760" s="3"/>
      <c r="AE12760" s="3"/>
      <c r="AF12760" s="3"/>
      <c r="AG12760" s="3"/>
      <c r="AH12760" s="3"/>
    </row>
    <row r="12761" spans="1:34" ht="14.25" customHeight="1" x14ac:dyDescent="0.25">
      <c r="A12761" s="3"/>
      <c r="B12761" s="3"/>
      <c r="C12761" s="3"/>
      <c r="D12761" s="3"/>
      <c r="E12761" s="3"/>
      <c r="F12761" s="3"/>
      <c r="G12761" s="3"/>
      <c r="H12761" s="11"/>
      <c r="I12761" s="12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  <c r="AA12761" s="3"/>
      <c r="AB12761" s="3"/>
      <c r="AC12761" s="3"/>
      <c r="AD12761" s="3"/>
      <c r="AE12761" s="3"/>
      <c r="AF12761" s="3"/>
      <c r="AG12761" s="3"/>
      <c r="AH12761" s="3"/>
    </row>
    <row r="12762" spans="1:34" ht="14.25" customHeight="1" x14ac:dyDescent="0.25">
      <c r="A12762" s="3"/>
      <c r="B12762" s="3"/>
      <c r="C12762" s="3"/>
      <c r="D12762" s="3"/>
      <c r="E12762" s="3"/>
      <c r="F12762" s="3"/>
      <c r="G12762" s="3"/>
      <c r="H12762" s="11"/>
      <c r="I12762" s="12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  <c r="AA12762" s="3"/>
      <c r="AB12762" s="3"/>
      <c r="AC12762" s="3"/>
      <c r="AD12762" s="3"/>
      <c r="AE12762" s="3"/>
      <c r="AF12762" s="3"/>
      <c r="AG12762" s="3"/>
      <c r="AH12762" s="3"/>
    </row>
    <row r="12763" spans="1:34" ht="14.25" customHeight="1" x14ac:dyDescent="0.25">
      <c r="A12763" s="3"/>
      <c r="B12763" s="3"/>
      <c r="C12763" s="3"/>
      <c r="D12763" s="3"/>
      <c r="E12763" s="3"/>
      <c r="F12763" s="3"/>
      <c r="G12763" s="3"/>
      <c r="H12763" s="11"/>
      <c r="I12763" s="12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  <c r="AA12763" s="3"/>
      <c r="AB12763" s="3"/>
      <c r="AC12763" s="3"/>
      <c r="AD12763" s="3"/>
      <c r="AE12763" s="3"/>
      <c r="AF12763" s="3"/>
      <c r="AG12763" s="3"/>
      <c r="AH12763" s="3"/>
    </row>
    <row r="12764" spans="1:34" ht="14.25" customHeight="1" x14ac:dyDescent="0.25">
      <c r="A12764" s="3"/>
      <c r="B12764" s="3"/>
      <c r="C12764" s="3"/>
      <c r="D12764" s="3"/>
      <c r="E12764" s="3"/>
      <c r="F12764" s="3"/>
      <c r="G12764" s="3"/>
      <c r="H12764" s="11"/>
      <c r="I12764" s="12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  <c r="AA12764" s="3"/>
      <c r="AB12764" s="3"/>
      <c r="AC12764" s="3"/>
      <c r="AD12764" s="3"/>
      <c r="AE12764" s="3"/>
      <c r="AF12764" s="3"/>
      <c r="AG12764" s="3"/>
      <c r="AH12764" s="3"/>
    </row>
    <row r="12765" spans="1:34" ht="14.25" customHeight="1" x14ac:dyDescent="0.25">
      <c r="A12765" s="3"/>
      <c r="B12765" s="3"/>
      <c r="C12765" s="3"/>
      <c r="D12765" s="3"/>
      <c r="E12765" s="3"/>
      <c r="F12765" s="3"/>
      <c r="G12765" s="3"/>
      <c r="H12765" s="11"/>
      <c r="I12765" s="12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  <c r="AA12765" s="3"/>
      <c r="AB12765" s="3"/>
      <c r="AC12765" s="3"/>
      <c r="AD12765" s="3"/>
      <c r="AE12765" s="3"/>
      <c r="AF12765" s="3"/>
      <c r="AG12765" s="3"/>
      <c r="AH12765" s="3"/>
    </row>
    <row r="12766" spans="1:34" ht="14.25" customHeight="1" x14ac:dyDescent="0.25">
      <c r="A12766" s="3"/>
      <c r="B12766" s="3"/>
      <c r="C12766" s="3"/>
      <c r="D12766" s="3"/>
      <c r="E12766" s="3"/>
      <c r="F12766" s="3"/>
      <c r="G12766" s="3"/>
      <c r="H12766" s="11"/>
      <c r="I12766" s="12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  <c r="AA12766" s="3"/>
      <c r="AB12766" s="3"/>
      <c r="AC12766" s="3"/>
      <c r="AD12766" s="3"/>
      <c r="AE12766" s="3"/>
      <c r="AF12766" s="3"/>
      <c r="AG12766" s="3"/>
      <c r="AH12766" s="3"/>
    </row>
    <row r="12767" spans="1:34" ht="14.25" customHeight="1" x14ac:dyDescent="0.25">
      <c r="A12767" s="3"/>
      <c r="B12767" s="3"/>
      <c r="C12767" s="3"/>
      <c r="D12767" s="3"/>
      <c r="E12767" s="3"/>
      <c r="F12767" s="3"/>
      <c r="G12767" s="3"/>
      <c r="H12767" s="11"/>
      <c r="I12767" s="12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  <c r="AA12767" s="3"/>
      <c r="AB12767" s="3"/>
      <c r="AC12767" s="3"/>
      <c r="AD12767" s="3"/>
      <c r="AE12767" s="3"/>
      <c r="AF12767" s="3"/>
      <c r="AG12767" s="3"/>
      <c r="AH12767" s="3"/>
    </row>
    <row r="12768" spans="1:34" ht="14.25" customHeight="1" x14ac:dyDescent="0.25">
      <c r="A12768" s="3"/>
      <c r="B12768" s="3"/>
      <c r="C12768" s="3"/>
      <c r="D12768" s="3"/>
      <c r="E12768" s="3"/>
      <c r="F12768" s="3"/>
      <c r="G12768" s="3"/>
      <c r="H12768" s="11"/>
      <c r="I12768" s="12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  <c r="AA12768" s="3"/>
      <c r="AB12768" s="3"/>
      <c r="AC12768" s="3"/>
      <c r="AD12768" s="3"/>
      <c r="AE12768" s="3"/>
      <c r="AF12768" s="3"/>
      <c r="AG12768" s="3"/>
      <c r="AH12768" s="3"/>
    </row>
    <row r="12769" spans="1:34" ht="14.25" customHeight="1" x14ac:dyDescent="0.25">
      <c r="A12769" s="3"/>
      <c r="B12769" s="3"/>
      <c r="C12769" s="3"/>
      <c r="D12769" s="3"/>
      <c r="E12769" s="3"/>
      <c r="F12769" s="3"/>
      <c r="G12769" s="3"/>
      <c r="H12769" s="11"/>
      <c r="I12769" s="12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  <c r="AA12769" s="3"/>
      <c r="AB12769" s="3"/>
      <c r="AC12769" s="3"/>
      <c r="AD12769" s="3"/>
      <c r="AE12769" s="3"/>
      <c r="AF12769" s="3"/>
      <c r="AG12769" s="3"/>
      <c r="AH12769" s="3"/>
    </row>
    <row r="12770" spans="1:34" ht="14.25" customHeight="1" x14ac:dyDescent="0.25">
      <c r="A12770" s="3"/>
      <c r="B12770" s="3"/>
      <c r="C12770" s="3"/>
      <c r="D12770" s="3"/>
      <c r="E12770" s="3"/>
      <c r="F12770" s="3"/>
      <c r="G12770" s="3"/>
      <c r="H12770" s="11"/>
      <c r="I12770" s="12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  <c r="AA12770" s="3"/>
      <c r="AB12770" s="3"/>
      <c r="AC12770" s="3"/>
      <c r="AD12770" s="3"/>
      <c r="AE12770" s="3"/>
      <c r="AF12770" s="3"/>
      <c r="AG12770" s="3"/>
      <c r="AH12770" s="3"/>
    </row>
    <row r="12771" spans="1:34" ht="14.25" customHeight="1" x14ac:dyDescent="0.25">
      <c r="A12771" s="3"/>
      <c r="B12771" s="3"/>
      <c r="C12771" s="3"/>
      <c r="D12771" s="3"/>
      <c r="E12771" s="3"/>
      <c r="F12771" s="3"/>
      <c r="G12771" s="3"/>
      <c r="H12771" s="11"/>
      <c r="I12771" s="12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  <c r="AA12771" s="3"/>
      <c r="AB12771" s="3"/>
      <c r="AC12771" s="3"/>
      <c r="AD12771" s="3"/>
      <c r="AE12771" s="3"/>
      <c r="AF12771" s="3"/>
      <c r="AG12771" s="3"/>
      <c r="AH12771" s="3"/>
    </row>
    <row r="12772" spans="1:34" ht="14.25" customHeight="1" x14ac:dyDescent="0.25">
      <c r="A12772" s="3"/>
      <c r="B12772" s="3"/>
      <c r="C12772" s="3"/>
      <c r="D12772" s="3"/>
      <c r="E12772" s="3"/>
      <c r="F12772" s="3"/>
      <c r="G12772" s="3"/>
      <c r="H12772" s="11"/>
      <c r="I12772" s="12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  <c r="AA12772" s="3"/>
      <c r="AB12772" s="3"/>
      <c r="AC12772" s="3"/>
      <c r="AD12772" s="3"/>
      <c r="AE12772" s="3"/>
      <c r="AF12772" s="3"/>
      <c r="AG12772" s="3"/>
      <c r="AH12772" s="3"/>
    </row>
    <row r="12773" spans="1:34" ht="14.25" customHeight="1" x14ac:dyDescent="0.25">
      <c r="A12773" s="3"/>
      <c r="B12773" s="3"/>
      <c r="C12773" s="3"/>
      <c r="D12773" s="3"/>
      <c r="E12773" s="3"/>
      <c r="F12773" s="3"/>
      <c r="G12773" s="3"/>
      <c r="H12773" s="11"/>
      <c r="I12773" s="12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  <c r="AA12773" s="3"/>
      <c r="AB12773" s="3"/>
      <c r="AC12773" s="3"/>
      <c r="AD12773" s="3"/>
      <c r="AE12773" s="3"/>
      <c r="AF12773" s="3"/>
      <c r="AG12773" s="3"/>
      <c r="AH12773" s="3"/>
    </row>
    <row r="12774" spans="1:34" ht="14.25" customHeight="1" x14ac:dyDescent="0.25">
      <c r="A12774" s="3"/>
      <c r="B12774" s="3"/>
      <c r="C12774" s="3"/>
      <c r="D12774" s="3"/>
      <c r="E12774" s="3"/>
      <c r="F12774" s="3"/>
      <c r="G12774" s="3"/>
      <c r="H12774" s="11"/>
      <c r="I12774" s="12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  <c r="AA12774" s="3"/>
      <c r="AB12774" s="3"/>
      <c r="AC12774" s="3"/>
      <c r="AD12774" s="3"/>
      <c r="AE12774" s="3"/>
      <c r="AF12774" s="3"/>
      <c r="AG12774" s="3"/>
      <c r="AH12774" s="3"/>
    </row>
    <row r="12775" spans="1:34" ht="14.25" customHeight="1" x14ac:dyDescent="0.25">
      <c r="A12775" s="3"/>
      <c r="B12775" s="3"/>
      <c r="C12775" s="3"/>
      <c r="D12775" s="3"/>
      <c r="E12775" s="3"/>
      <c r="F12775" s="3"/>
      <c r="G12775" s="3"/>
      <c r="H12775" s="11"/>
      <c r="I12775" s="12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  <c r="AA12775" s="3"/>
      <c r="AB12775" s="3"/>
      <c r="AC12775" s="3"/>
      <c r="AD12775" s="3"/>
      <c r="AE12775" s="3"/>
      <c r="AF12775" s="3"/>
      <c r="AG12775" s="3"/>
      <c r="AH12775" s="3"/>
    </row>
    <row r="12776" spans="1:34" ht="14.25" customHeight="1" x14ac:dyDescent="0.25">
      <c r="A12776" s="3"/>
      <c r="B12776" s="3"/>
      <c r="C12776" s="3"/>
      <c r="D12776" s="3"/>
      <c r="E12776" s="3"/>
      <c r="F12776" s="3"/>
      <c r="G12776" s="3"/>
      <c r="H12776" s="11"/>
      <c r="I12776" s="12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  <c r="AA12776" s="3"/>
      <c r="AB12776" s="3"/>
      <c r="AC12776" s="3"/>
      <c r="AD12776" s="3"/>
      <c r="AE12776" s="3"/>
      <c r="AF12776" s="3"/>
      <c r="AG12776" s="3"/>
      <c r="AH12776" s="3"/>
    </row>
    <row r="12777" spans="1:34" ht="14.25" customHeight="1" x14ac:dyDescent="0.25">
      <c r="A12777" s="3"/>
      <c r="B12777" s="3"/>
      <c r="C12777" s="3"/>
      <c r="D12777" s="3"/>
      <c r="E12777" s="3"/>
      <c r="F12777" s="3"/>
      <c r="G12777" s="3"/>
      <c r="H12777" s="11"/>
      <c r="I12777" s="12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  <c r="AA12777" s="3"/>
      <c r="AB12777" s="3"/>
      <c r="AC12777" s="3"/>
      <c r="AD12777" s="3"/>
      <c r="AE12777" s="3"/>
      <c r="AF12777" s="3"/>
      <c r="AG12777" s="3"/>
      <c r="AH12777" s="3"/>
    </row>
    <row r="12778" spans="1:34" ht="14.25" customHeight="1" x14ac:dyDescent="0.25">
      <c r="A12778" s="3"/>
      <c r="B12778" s="3"/>
      <c r="C12778" s="3"/>
      <c r="D12778" s="3"/>
      <c r="E12778" s="3"/>
      <c r="F12778" s="3"/>
      <c r="G12778" s="3"/>
      <c r="H12778" s="11"/>
      <c r="I12778" s="12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  <c r="AA12778" s="3"/>
      <c r="AB12778" s="3"/>
      <c r="AC12778" s="3"/>
      <c r="AD12778" s="3"/>
      <c r="AE12778" s="3"/>
      <c r="AF12778" s="3"/>
      <c r="AG12778" s="3"/>
      <c r="AH12778" s="3"/>
    </row>
    <row r="12779" spans="1:34" ht="14.25" customHeight="1" x14ac:dyDescent="0.25">
      <c r="A12779" s="3"/>
      <c r="B12779" s="3"/>
      <c r="C12779" s="3"/>
      <c r="D12779" s="3"/>
      <c r="E12779" s="3"/>
      <c r="F12779" s="3"/>
      <c r="G12779" s="3"/>
      <c r="H12779" s="11"/>
      <c r="I12779" s="12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  <c r="AA12779" s="3"/>
      <c r="AB12779" s="3"/>
      <c r="AC12779" s="3"/>
      <c r="AD12779" s="3"/>
      <c r="AE12779" s="3"/>
      <c r="AF12779" s="3"/>
      <c r="AG12779" s="3"/>
      <c r="AH12779" s="3"/>
    </row>
    <row r="12780" spans="1:34" ht="14.25" customHeight="1" x14ac:dyDescent="0.25">
      <c r="A12780" s="3"/>
      <c r="B12780" s="3"/>
      <c r="C12780" s="3"/>
      <c r="D12780" s="3"/>
      <c r="E12780" s="3"/>
      <c r="F12780" s="3"/>
      <c r="G12780" s="3"/>
      <c r="H12780" s="11"/>
      <c r="I12780" s="12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  <c r="AA12780" s="3"/>
      <c r="AB12780" s="3"/>
      <c r="AC12780" s="3"/>
      <c r="AD12780" s="3"/>
      <c r="AE12780" s="3"/>
      <c r="AF12780" s="3"/>
      <c r="AG12780" s="3"/>
      <c r="AH12780" s="3"/>
    </row>
    <row r="12781" spans="1:34" ht="14.25" customHeight="1" x14ac:dyDescent="0.25">
      <c r="A12781" s="3"/>
      <c r="B12781" s="3"/>
      <c r="C12781" s="3"/>
      <c r="D12781" s="3"/>
      <c r="E12781" s="3"/>
      <c r="F12781" s="3"/>
      <c r="G12781" s="3"/>
      <c r="H12781" s="11"/>
      <c r="I12781" s="12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  <c r="AA12781" s="3"/>
      <c r="AB12781" s="3"/>
      <c r="AC12781" s="3"/>
      <c r="AD12781" s="3"/>
      <c r="AE12781" s="3"/>
      <c r="AF12781" s="3"/>
      <c r="AG12781" s="3"/>
      <c r="AH12781" s="3"/>
    </row>
    <row r="12782" spans="1:34" ht="14.25" customHeight="1" x14ac:dyDescent="0.25">
      <c r="A12782" s="3"/>
      <c r="B12782" s="3"/>
      <c r="C12782" s="3"/>
      <c r="D12782" s="3"/>
      <c r="E12782" s="3"/>
      <c r="F12782" s="3"/>
      <c r="G12782" s="3"/>
      <c r="H12782" s="11"/>
      <c r="I12782" s="12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  <c r="AA12782" s="3"/>
      <c r="AB12782" s="3"/>
      <c r="AC12782" s="3"/>
      <c r="AD12782" s="3"/>
      <c r="AE12782" s="3"/>
      <c r="AF12782" s="3"/>
      <c r="AG12782" s="3"/>
      <c r="AH12782" s="3"/>
    </row>
    <row r="12783" spans="1:34" ht="14.25" customHeight="1" x14ac:dyDescent="0.25">
      <c r="A12783" s="3"/>
      <c r="B12783" s="3"/>
      <c r="C12783" s="3"/>
      <c r="D12783" s="3"/>
      <c r="E12783" s="3"/>
      <c r="F12783" s="3"/>
      <c r="G12783" s="3"/>
      <c r="H12783" s="11"/>
      <c r="I12783" s="12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  <c r="AA12783" s="3"/>
      <c r="AB12783" s="3"/>
      <c r="AC12783" s="3"/>
      <c r="AD12783" s="3"/>
      <c r="AE12783" s="3"/>
      <c r="AF12783" s="3"/>
      <c r="AG12783" s="3"/>
      <c r="AH12783" s="3"/>
    </row>
    <row r="12784" spans="1:34" ht="14.25" customHeight="1" x14ac:dyDescent="0.25">
      <c r="A12784" s="3"/>
      <c r="B12784" s="3"/>
      <c r="C12784" s="3"/>
      <c r="D12784" s="3"/>
      <c r="E12784" s="3"/>
      <c r="F12784" s="3"/>
      <c r="G12784" s="3"/>
      <c r="H12784" s="11"/>
      <c r="I12784" s="12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  <c r="AA12784" s="3"/>
      <c r="AB12784" s="3"/>
      <c r="AC12784" s="3"/>
      <c r="AD12784" s="3"/>
      <c r="AE12784" s="3"/>
      <c r="AF12784" s="3"/>
      <c r="AG12784" s="3"/>
      <c r="AH12784" s="3"/>
    </row>
    <row r="12785" spans="1:34" ht="14.25" customHeight="1" x14ac:dyDescent="0.25">
      <c r="A12785" s="3"/>
      <c r="B12785" s="3"/>
      <c r="C12785" s="3"/>
      <c r="D12785" s="3"/>
      <c r="E12785" s="3"/>
      <c r="F12785" s="3"/>
      <c r="G12785" s="3"/>
      <c r="H12785" s="11"/>
      <c r="I12785" s="12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  <c r="AA12785" s="3"/>
      <c r="AB12785" s="3"/>
      <c r="AC12785" s="3"/>
      <c r="AD12785" s="3"/>
      <c r="AE12785" s="3"/>
      <c r="AF12785" s="3"/>
      <c r="AG12785" s="3"/>
      <c r="AH12785" s="3"/>
    </row>
    <row r="12786" spans="1:34" ht="14.25" customHeight="1" x14ac:dyDescent="0.25">
      <c r="A12786" s="3"/>
      <c r="B12786" s="3"/>
      <c r="C12786" s="3"/>
      <c r="D12786" s="3"/>
      <c r="E12786" s="3"/>
      <c r="F12786" s="3"/>
      <c r="G12786" s="3"/>
      <c r="H12786" s="11"/>
      <c r="I12786" s="12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  <c r="AA12786" s="3"/>
      <c r="AB12786" s="3"/>
      <c r="AC12786" s="3"/>
      <c r="AD12786" s="3"/>
      <c r="AE12786" s="3"/>
      <c r="AF12786" s="3"/>
      <c r="AG12786" s="3"/>
      <c r="AH12786" s="3"/>
    </row>
    <row r="12787" spans="1:34" ht="14.25" customHeight="1" x14ac:dyDescent="0.25">
      <c r="A12787" s="3"/>
      <c r="B12787" s="3"/>
      <c r="C12787" s="3"/>
      <c r="D12787" s="3"/>
      <c r="E12787" s="3"/>
      <c r="F12787" s="3"/>
      <c r="G12787" s="3"/>
      <c r="H12787" s="11"/>
      <c r="I12787" s="12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  <c r="AA12787" s="3"/>
      <c r="AB12787" s="3"/>
      <c r="AC12787" s="3"/>
      <c r="AD12787" s="3"/>
      <c r="AE12787" s="3"/>
      <c r="AF12787" s="3"/>
      <c r="AG12787" s="3"/>
      <c r="AH12787" s="3"/>
    </row>
    <row r="12788" spans="1:34" ht="14.25" customHeight="1" x14ac:dyDescent="0.25">
      <c r="A12788" s="3"/>
      <c r="B12788" s="3"/>
      <c r="C12788" s="3"/>
      <c r="D12788" s="3"/>
      <c r="E12788" s="3"/>
      <c r="F12788" s="3"/>
      <c r="G12788" s="3"/>
      <c r="H12788" s="11"/>
      <c r="I12788" s="12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  <c r="AA12788" s="3"/>
      <c r="AB12788" s="3"/>
      <c r="AC12788" s="3"/>
      <c r="AD12788" s="3"/>
      <c r="AE12788" s="3"/>
      <c r="AF12788" s="3"/>
      <c r="AG12788" s="3"/>
      <c r="AH12788" s="3"/>
    </row>
    <row r="12789" spans="1:34" ht="14.25" customHeight="1" x14ac:dyDescent="0.25">
      <c r="A12789" s="3"/>
      <c r="B12789" s="3"/>
      <c r="C12789" s="3"/>
      <c r="D12789" s="3"/>
      <c r="E12789" s="3"/>
      <c r="F12789" s="3"/>
      <c r="G12789" s="3"/>
      <c r="H12789" s="11"/>
      <c r="I12789" s="12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  <c r="AA12789" s="3"/>
      <c r="AB12789" s="3"/>
      <c r="AC12789" s="3"/>
      <c r="AD12789" s="3"/>
      <c r="AE12789" s="3"/>
      <c r="AF12789" s="3"/>
      <c r="AG12789" s="3"/>
      <c r="AH12789" s="3"/>
    </row>
    <row r="12790" spans="1:34" ht="14.25" customHeight="1" x14ac:dyDescent="0.25">
      <c r="A12790" s="3"/>
      <c r="B12790" s="3"/>
      <c r="C12790" s="3"/>
      <c r="D12790" s="3"/>
      <c r="E12790" s="3"/>
      <c r="F12790" s="3"/>
      <c r="G12790" s="3"/>
      <c r="H12790" s="11"/>
      <c r="I12790" s="12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  <c r="AA12790" s="3"/>
      <c r="AB12790" s="3"/>
      <c r="AC12790" s="3"/>
      <c r="AD12790" s="3"/>
      <c r="AE12790" s="3"/>
      <c r="AF12790" s="3"/>
      <c r="AG12790" s="3"/>
      <c r="AH12790" s="3"/>
    </row>
    <row r="12791" spans="1:34" ht="14.25" customHeight="1" x14ac:dyDescent="0.25">
      <c r="A12791" s="3"/>
      <c r="B12791" s="3"/>
      <c r="C12791" s="3"/>
      <c r="D12791" s="3"/>
      <c r="E12791" s="3"/>
      <c r="F12791" s="3"/>
      <c r="G12791" s="3"/>
      <c r="H12791" s="11"/>
      <c r="I12791" s="12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  <c r="AA12791" s="3"/>
      <c r="AB12791" s="3"/>
      <c r="AC12791" s="3"/>
      <c r="AD12791" s="3"/>
      <c r="AE12791" s="3"/>
      <c r="AF12791" s="3"/>
      <c r="AG12791" s="3"/>
      <c r="AH12791" s="3"/>
    </row>
    <row r="12792" spans="1:34" ht="14.25" customHeight="1" x14ac:dyDescent="0.25">
      <c r="A12792" s="3"/>
      <c r="B12792" s="3"/>
      <c r="C12792" s="3"/>
      <c r="D12792" s="3"/>
      <c r="E12792" s="3"/>
      <c r="F12792" s="3"/>
      <c r="G12792" s="3"/>
      <c r="H12792" s="11"/>
      <c r="I12792" s="12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  <c r="AA12792" s="3"/>
      <c r="AB12792" s="3"/>
      <c r="AC12792" s="3"/>
      <c r="AD12792" s="3"/>
      <c r="AE12792" s="3"/>
      <c r="AF12792" s="3"/>
      <c r="AG12792" s="3"/>
      <c r="AH12792" s="3"/>
    </row>
    <row r="12793" spans="1:34" ht="14.25" customHeight="1" x14ac:dyDescent="0.25">
      <c r="A12793" s="3"/>
      <c r="B12793" s="3"/>
      <c r="C12793" s="3"/>
      <c r="D12793" s="3"/>
      <c r="E12793" s="3"/>
      <c r="F12793" s="3"/>
      <c r="G12793" s="3"/>
      <c r="H12793" s="11"/>
      <c r="I12793" s="12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  <c r="AA12793" s="3"/>
      <c r="AB12793" s="3"/>
      <c r="AC12793" s="3"/>
      <c r="AD12793" s="3"/>
      <c r="AE12793" s="3"/>
      <c r="AF12793" s="3"/>
      <c r="AG12793" s="3"/>
      <c r="AH12793" s="3"/>
    </row>
    <row r="12794" spans="1:34" ht="14.25" customHeight="1" x14ac:dyDescent="0.25">
      <c r="A12794" s="3"/>
      <c r="B12794" s="3"/>
      <c r="C12794" s="3"/>
      <c r="D12794" s="3"/>
      <c r="E12794" s="3"/>
      <c r="F12794" s="3"/>
      <c r="G12794" s="3"/>
      <c r="H12794" s="11"/>
      <c r="I12794" s="12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  <c r="AA12794" s="3"/>
      <c r="AB12794" s="3"/>
      <c r="AC12794" s="3"/>
      <c r="AD12794" s="3"/>
      <c r="AE12794" s="3"/>
      <c r="AF12794" s="3"/>
      <c r="AG12794" s="3"/>
      <c r="AH12794" s="3"/>
    </row>
    <row r="12795" spans="1:34" ht="14.25" customHeight="1" x14ac:dyDescent="0.25">
      <c r="A12795" s="3"/>
      <c r="B12795" s="3"/>
      <c r="C12795" s="3"/>
      <c r="D12795" s="3"/>
      <c r="E12795" s="3"/>
      <c r="F12795" s="3"/>
      <c r="G12795" s="3"/>
      <c r="H12795" s="11"/>
      <c r="I12795" s="12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  <c r="AA12795" s="3"/>
      <c r="AB12795" s="3"/>
      <c r="AC12795" s="3"/>
      <c r="AD12795" s="3"/>
      <c r="AE12795" s="3"/>
      <c r="AF12795" s="3"/>
      <c r="AG12795" s="3"/>
      <c r="AH12795" s="3"/>
    </row>
    <row r="12796" spans="1:34" ht="14.25" customHeight="1" x14ac:dyDescent="0.25">
      <c r="A12796" s="3"/>
      <c r="B12796" s="3"/>
      <c r="C12796" s="3"/>
      <c r="D12796" s="3"/>
      <c r="E12796" s="3"/>
      <c r="F12796" s="3"/>
      <c r="G12796" s="3"/>
      <c r="H12796" s="11"/>
      <c r="I12796" s="12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  <c r="AA12796" s="3"/>
      <c r="AB12796" s="3"/>
      <c r="AC12796" s="3"/>
      <c r="AD12796" s="3"/>
      <c r="AE12796" s="3"/>
      <c r="AF12796" s="3"/>
      <c r="AG12796" s="3"/>
      <c r="AH12796" s="3"/>
    </row>
    <row r="12797" spans="1:34" ht="14.25" customHeight="1" x14ac:dyDescent="0.25">
      <c r="A12797" s="3"/>
      <c r="B12797" s="3"/>
      <c r="C12797" s="3"/>
      <c r="D12797" s="3"/>
      <c r="E12797" s="3"/>
      <c r="F12797" s="3"/>
      <c r="G12797" s="3"/>
      <c r="H12797" s="11"/>
      <c r="I12797" s="12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  <c r="AA12797" s="3"/>
      <c r="AB12797" s="3"/>
      <c r="AC12797" s="3"/>
      <c r="AD12797" s="3"/>
      <c r="AE12797" s="3"/>
      <c r="AF12797" s="3"/>
      <c r="AG12797" s="3"/>
      <c r="AH12797" s="3"/>
    </row>
    <row r="12798" spans="1:34" ht="14.25" customHeight="1" x14ac:dyDescent="0.25">
      <c r="A12798" s="3"/>
      <c r="B12798" s="3"/>
      <c r="C12798" s="3"/>
      <c r="D12798" s="3"/>
      <c r="E12798" s="3"/>
      <c r="F12798" s="3"/>
      <c r="G12798" s="3"/>
      <c r="H12798" s="11"/>
      <c r="I12798" s="12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  <c r="AA12798" s="3"/>
      <c r="AB12798" s="3"/>
      <c r="AC12798" s="3"/>
      <c r="AD12798" s="3"/>
      <c r="AE12798" s="3"/>
      <c r="AF12798" s="3"/>
      <c r="AG12798" s="3"/>
      <c r="AH12798" s="3"/>
    </row>
    <row r="12799" spans="1:34" ht="14.25" customHeight="1" x14ac:dyDescent="0.25">
      <c r="A12799" s="3"/>
      <c r="B12799" s="3"/>
      <c r="C12799" s="3"/>
      <c r="D12799" s="3"/>
      <c r="E12799" s="3"/>
      <c r="F12799" s="3"/>
      <c r="G12799" s="3"/>
      <c r="H12799" s="11"/>
      <c r="I12799" s="12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  <c r="AA12799" s="3"/>
      <c r="AB12799" s="3"/>
      <c r="AC12799" s="3"/>
      <c r="AD12799" s="3"/>
      <c r="AE12799" s="3"/>
      <c r="AF12799" s="3"/>
      <c r="AG12799" s="3"/>
      <c r="AH12799" s="3"/>
    </row>
    <row r="12800" spans="1:34" ht="14.25" customHeight="1" x14ac:dyDescent="0.25">
      <c r="A12800" s="3"/>
      <c r="B12800" s="3"/>
      <c r="C12800" s="3"/>
      <c r="D12800" s="3"/>
      <c r="E12800" s="3"/>
      <c r="F12800" s="3"/>
      <c r="G12800" s="3"/>
      <c r="H12800" s="11"/>
      <c r="I12800" s="12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  <c r="AA12800" s="3"/>
      <c r="AB12800" s="3"/>
      <c r="AC12800" s="3"/>
      <c r="AD12800" s="3"/>
      <c r="AE12800" s="3"/>
      <c r="AF12800" s="3"/>
      <c r="AG12800" s="3"/>
      <c r="AH12800" s="3"/>
    </row>
    <row r="12801" spans="1:34" ht="14.25" customHeight="1" x14ac:dyDescent="0.25">
      <c r="A12801" s="3"/>
      <c r="B12801" s="3"/>
      <c r="C12801" s="3"/>
      <c r="D12801" s="3"/>
      <c r="E12801" s="3"/>
      <c r="F12801" s="3"/>
      <c r="G12801" s="3"/>
      <c r="H12801" s="11"/>
      <c r="I12801" s="12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  <c r="AA12801" s="3"/>
      <c r="AB12801" s="3"/>
      <c r="AC12801" s="3"/>
      <c r="AD12801" s="3"/>
      <c r="AE12801" s="3"/>
      <c r="AF12801" s="3"/>
      <c r="AG12801" s="3"/>
      <c r="AH12801" s="3"/>
    </row>
    <row r="12802" spans="1:34" ht="14.25" customHeight="1" x14ac:dyDescent="0.25">
      <c r="A12802" s="3"/>
      <c r="B12802" s="3"/>
      <c r="C12802" s="3"/>
      <c r="D12802" s="3"/>
      <c r="E12802" s="3"/>
      <c r="F12802" s="3"/>
      <c r="G12802" s="3"/>
      <c r="H12802" s="11"/>
      <c r="I12802" s="12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  <c r="AA12802" s="3"/>
      <c r="AB12802" s="3"/>
      <c r="AC12802" s="3"/>
      <c r="AD12802" s="3"/>
      <c r="AE12802" s="3"/>
      <c r="AF12802" s="3"/>
      <c r="AG12802" s="3"/>
      <c r="AH12802" s="3"/>
    </row>
    <row r="12803" spans="1:34" ht="14.25" customHeight="1" x14ac:dyDescent="0.25">
      <c r="A12803" s="3"/>
      <c r="B12803" s="3"/>
      <c r="C12803" s="3"/>
      <c r="D12803" s="3"/>
      <c r="E12803" s="3"/>
      <c r="F12803" s="3"/>
      <c r="G12803" s="3"/>
      <c r="H12803" s="11"/>
      <c r="I12803" s="12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  <c r="AA12803" s="3"/>
      <c r="AB12803" s="3"/>
      <c r="AC12803" s="3"/>
      <c r="AD12803" s="3"/>
      <c r="AE12803" s="3"/>
      <c r="AF12803" s="3"/>
      <c r="AG12803" s="3"/>
      <c r="AH12803" s="3"/>
    </row>
    <row r="12804" spans="1:34" ht="14.25" customHeight="1" x14ac:dyDescent="0.25">
      <c r="A12804" s="3"/>
      <c r="B12804" s="3"/>
      <c r="C12804" s="3"/>
      <c r="D12804" s="3"/>
      <c r="E12804" s="3"/>
      <c r="F12804" s="3"/>
      <c r="G12804" s="3"/>
      <c r="H12804" s="11"/>
      <c r="I12804" s="12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  <c r="AA12804" s="3"/>
      <c r="AB12804" s="3"/>
      <c r="AC12804" s="3"/>
      <c r="AD12804" s="3"/>
      <c r="AE12804" s="3"/>
      <c r="AF12804" s="3"/>
      <c r="AG12804" s="3"/>
      <c r="AH12804" s="3"/>
    </row>
    <row r="12805" spans="1:34" ht="14.25" customHeight="1" x14ac:dyDescent="0.25">
      <c r="A12805" s="3"/>
      <c r="B12805" s="3"/>
      <c r="C12805" s="3"/>
      <c r="D12805" s="3"/>
      <c r="E12805" s="3"/>
      <c r="F12805" s="3"/>
      <c r="G12805" s="3"/>
      <c r="H12805" s="11"/>
      <c r="I12805" s="12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  <c r="AA12805" s="3"/>
      <c r="AB12805" s="3"/>
      <c r="AC12805" s="3"/>
      <c r="AD12805" s="3"/>
      <c r="AE12805" s="3"/>
      <c r="AF12805" s="3"/>
      <c r="AG12805" s="3"/>
      <c r="AH12805" s="3"/>
    </row>
    <row r="12806" spans="1:34" ht="14.25" customHeight="1" x14ac:dyDescent="0.25">
      <c r="A12806" s="3"/>
      <c r="B12806" s="3"/>
      <c r="C12806" s="3"/>
      <c r="D12806" s="3"/>
      <c r="E12806" s="3"/>
      <c r="F12806" s="3"/>
      <c r="G12806" s="3"/>
      <c r="H12806" s="11"/>
      <c r="I12806" s="12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  <c r="AA12806" s="3"/>
      <c r="AB12806" s="3"/>
      <c r="AC12806" s="3"/>
      <c r="AD12806" s="3"/>
      <c r="AE12806" s="3"/>
      <c r="AF12806" s="3"/>
      <c r="AG12806" s="3"/>
      <c r="AH12806" s="3"/>
    </row>
    <row r="12807" spans="1:34" ht="14.25" customHeight="1" x14ac:dyDescent="0.25">
      <c r="A12807" s="3"/>
      <c r="B12807" s="3"/>
      <c r="C12807" s="3"/>
      <c r="D12807" s="3"/>
      <c r="E12807" s="3"/>
      <c r="F12807" s="3"/>
      <c r="G12807" s="3"/>
      <c r="H12807" s="11"/>
      <c r="I12807" s="12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  <c r="AA12807" s="3"/>
      <c r="AB12807" s="3"/>
      <c r="AC12807" s="3"/>
      <c r="AD12807" s="3"/>
      <c r="AE12807" s="3"/>
      <c r="AF12807" s="3"/>
      <c r="AG12807" s="3"/>
      <c r="AH12807" s="3"/>
    </row>
    <row r="12808" spans="1:34" ht="14.25" customHeight="1" x14ac:dyDescent="0.25">
      <c r="A12808" s="3"/>
      <c r="B12808" s="3"/>
      <c r="C12808" s="3"/>
      <c r="D12808" s="3"/>
      <c r="E12808" s="3"/>
      <c r="F12808" s="3"/>
      <c r="G12808" s="3"/>
      <c r="H12808" s="11"/>
      <c r="I12808" s="12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  <c r="AA12808" s="3"/>
      <c r="AB12808" s="3"/>
      <c r="AC12808" s="3"/>
      <c r="AD12808" s="3"/>
      <c r="AE12808" s="3"/>
      <c r="AF12808" s="3"/>
      <c r="AG12808" s="3"/>
      <c r="AH12808" s="3"/>
    </row>
    <row r="12809" spans="1:34" ht="14.25" customHeight="1" x14ac:dyDescent="0.25">
      <c r="A12809" s="3"/>
      <c r="B12809" s="3"/>
      <c r="C12809" s="3"/>
      <c r="D12809" s="3"/>
      <c r="E12809" s="3"/>
      <c r="F12809" s="3"/>
      <c r="G12809" s="3"/>
      <c r="H12809" s="11"/>
      <c r="I12809" s="12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  <c r="AA12809" s="3"/>
      <c r="AB12809" s="3"/>
      <c r="AC12809" s="3"/>
      <c r="AD12809" s="3"/>
      <c r="AE12809" s="3"/>
      <c r="AF12809" s="3"/>
      <c r="AG12809" s="3"/>
      <c r="AH12809" s="3"/>
    </row>
    <row r="12810" spans="1:34" ht="14.25" customHeight="1" x14ac:dyDescent="0.25">
      <c r="A12810" s="3"/>
      <c r="B12810" s="3"/>
      <c r="C12810" s="3"/>
      <c r="D12810" s="3"/>
      <c r="E12810" s="3"/>
      <c r="F12810" s="3"/>
      <c r="G12810" s="3"/>
      <c r="H12810" s="11"/>
      <c r="I12810" s="12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  <c r="AA12810" s="3"/>
      <c r="AB12810" s="3"/>
      <c r="AC12810" s="3"/>
      <c r="AD12810" s="3"/>
      <c r="AE12810" s="3"/>
      <c r="AF12810" s="3"/>
      <c r="AG12810" s="3"/>
      <c r="AH12810" s="3"/>
    </row>
    <row r="12811" spans="1:34" ht="14.25" customHeight="1" x14ac:dyDescent="0.25">
      <c r="A12811" s="3"/>
      <c r="B12811" s="3"/>
      <c r="C12811" s="3"/>
      <c r="D12811" s="3"/>
      <c r="E12811" s="3"/>
      <c r="F12811" s="3"/>
      <c r="G12811" s="3"/>
      <c r="H12811" s="11"/>
      <c r="I12811" s="12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  <c r="AA12811" s="3"/>
      <c r="AB12811" s="3"/>
      <c r="AC12811" s="3"/>
      <c r="AD12811" s="3"/>
      <c r="AE12811" s="3"/>
      <c r="AF12811" s="3"/>
      <c r="AG12811" s="3"/>
      <c r="AH12811" s="3"/>
    </row>
    <row r="12812" spans="1:34" ht="14.25" customHeight="1" x14ac:dyDescent="0.25">
      <c r="A12812" s="3"/>
      <c r="B12812" s="3"/>
      <c r="C12812" s="3"/>
      <c r="D12812" s="3"/>
      <c r="E12812" s="3"/>
      <c r="F12812" s="3"/>
      <c r="G12812" s="3"/>
      <c r="H12812" s="11"/>
      <c r="I12812" s="12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  <c r="AA12812" s="3"/>
      <c r="AB12812" s="3"/>
      <c r="AC12812" s="3"/>
      <c r="AD12812" s="3"/>
      <c r="AE12812" s="3"/>
      <c r="AF12812" s="3"/>
      <c r="AG12812" s="3"/>
      <c r="AH12812" s="3"/>
    </row>
    <row r="12813" spans="1:34" ht="14.25" customHeight="1" x14ac:dyDescent="0.25">
      <c r="A12813" s="3"/>
      <c r="B12813" s="3"/>
      <c r="C12813" s="3"/>
      <c r="D12813" s="3"/>
      <c r="E12813" s="3"/>
      <c r="F12813" s="3"/>
      <c r="G12813" s="3"/>
      <c r="H12813" s="11"/>
      <c r="I12813" s="12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  <c r="AA12813" s="3"/>
      <c r="AB12813" s="3"/>
      <c r="AC12813" s="3"/>
      <c r="AD12813" s="3"/>
      <c r="AE12813" s="3"/>
      <c r="AF12813" s="3"/>
      <c r="AG12813" s="3"/>
      <c r="AH12813" s="3"/>
    </row>
    <row r="12814" spans="1:34" ht="14.25" customHeight="1" x14ac:dyDescent="0.25">
      <c r="A12814" s="3"/>
      <c r="B12814" s="3"/>
      <c r="C12814" s="3"/>
      <c r="D12814" s="3"/>
      <c r="E12814" s="3"/>
      <c r="F12814" s="3"/>
      <c r="G12814" s="3"/>
      <c r="H12814" s="11"/>
      <c r="I12814" s="12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  <c r="AA12814" s="3"/>
      <c r="AB12814" s="3"/>
      <c r="AC12814" s="3"/>
      <c r="AD12814" s="3"/>
      <c r="AE12814" s="3"/>
      <c r="AF12814" s="3"/>
      <c r="AG12814" s="3"/>
      <c r="AH12814" s="3"/>
    </row>
    <row r="12815" spans="1:34" ht="14.25" customHeight="1" x14ac:dyDescent="0.25">
      <c r="A12815" s="3"/>
      <c r="B12815" s="3"/>
      <c r="C12815" s="3"/>
      <c r="D12815" s="3"/>
      <c r="E12815" s="3"/>
      <c r="F12815" s="3"/>
      <c r="G12815" s="3"/>
      <c r="H12815" s="11"/>
      <c r="I12815" s="12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  <c r="AA12815" s="3"/>
      <c r="AB12815" s="3"/>
      <c r="AC12815" s="3"/>
      <c r="AD12815" s="3"/>
      <c r="AE12815" s="3"/>
      <c r="AF12815" s="3"/>
      <c r="AG12815" s="3"/>
      <c r="AH12815" s="3"/>
    </row>
    <row r="12816" spans="1:34" ht="14.25" customHeight="1" x14ac:dyDescent="0.25">
      <c r="A12816" s="3"/>
      <c r="B12816" s="3"/>
      <c r="C12816" s="3"/>
      <c r="D12816" s="3"/>
      <c r="E12816" s="3"/>
      <c r="F12816" s="3"/>
      <c r="G12816" s="3"/>
      <c r="H12816" s="11"/>
      <c r="I12816" s="12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  <c r="AA12816" s="3"/>
      <c r="AB12816" s="3"/>
      <c r="AC12816" s="3"/>
      <c r="AD12816" s="3"/>
      <c r="AE12816" s="3"/>
      <c r="AF12816" s="3"/>
      <c r="AG12816" s="3"/>
      <c r="AH12816" s="3"/>
    </row>
    <row r="12817" spans="1:34" ht="14.25" customHeight="1" x14ac:dyDescent="0.25">
      <c r="A12817" s="3"/>
      <c r="B12817" s="3"/>
      <c r="C12817" s="3"/>
      <c r="D12817" s="3"/>
      <c r="E12817" s="3"/>
      <c r="F12817" s="3"/>
      <c r="G12817" s="3"/>
      <c r="H12817" s="11"/>
      <c r="I12817" s="12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  <c r="AA12817" s="3"/>
      <c r="AB12817" s="3"/>
      <c r="AC12817" s="3"/>
      <c r="AD12817" s="3"/>
      <c r="AE12817" s="3"/>
      <c r="AF12817" s="3"/>
      <c r="AG12817" s="3"/>
      <c r="AH12817" s="3"/>
    </row>
    <row r="12818" spans="1:34" ht="14.25" customHeight="1" x14ac:dyDescent="0.25">
      <c r="A12818" s="3"/>
      <c r="B12818" s="3"/>
      <c r="C12818" s="3"/>
      <c r="D12818" s="3"/>
      <c r="E12818" s="3"/>
      <c r="F12818" s="3"/>
      <c r="G12818" s="3"/>
      <c r="H12818" s="11"/>
      <c r="I12818" s="12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  <c r="AA12818" s="3"/>
      <c r="AB12818" s="3"/>
      <c r="AC12818" s="3"/>
      <c r="AD12818" s="3"/>
      <c r="AE12818" s="3"/>
      <c r="AF12818" s="3"/>
      <c r="AG12818" s="3"/>
      <c r="AH12818" s="3"/>
    </row>
    <row r="12819" spans="1:34" ht="14.25" customHeight="1" x14ac:dyDescent="0.25">
      <c r="A12819" s="3"/>
      <c r="B12819" s="3"/>
      <c r="C12819" s="3"/>
      <c r="D12819" s="3"/>
      <c r="E12819" s="3"/>
      <c r="F12819" s="3"/>
      <c r="G12819" s="3"/>
      <c r="H12819" s="11"/>
      <c r="I12819" s="12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  <c r="AA12819" s="3"/>
      <c r="AB12819" s="3"/>
      <c r="AC12819" s="3"/>
      <c r="AD12819" s="3"/>
      <c r="AE12819" s="3"/>
      <c r="AF12819" s="3"/>
      <c r="AG12819" s="3"/>
      <c r="AH12819" s="3"/>
    </row>
    <row r="12820" spans="1:34" ht="14.25" customHeight="1" x14ac:dyDescent="0.25">
      <c r="A12820" s="3"/>
      <c r="B12820" s="3"/>
      <c r="C12820" s="3"/>
      <c r="D12820" s="3"/>
      <c r="E12820" s="3"/>
      <c r="F12820" s="3"/>
      <c r="G12820" s="3"/>
      <c r="H12820" s="11"/>
      <c r="I12820" s="12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  <c r="AA12820" s="3"/>
      <c r="AB12820" s="3"/>
      <c r="AC12820" s="3"/>
      <c r="AD12820" s="3"/>
      <c r="AE12820" s="3"/>
      <c r="AF12820" s="3"/>
      <c r="AG12820" s="3"/>
      <c r="AH12820" s="3"/>
    </row>
    <row r="12821" spans="1:34" ht="14.25" customHeight="1" x14ac:dyDescent="0.25">
      <c r="A12821" s="3"/>
      <c r="B12821" s="3"/>
      <c r="C12821" s="3"/>
      <c r="D12821" s="3"/>
      <c r="E12821" s="3"/>
      <c r="F12821" s="3"/>
      <c r="G12821" s="3"/>
      <c r="H12821" s="11"/>
      <c r="I12821" s="12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  <c r="AA12821" s="3"/>
      <c r="AB12821" s="3"/>
      <c r="AC12821" s="3"/>
      <c r="AD12821" s="3"/>
      <c r="AE12821" s="3"/>
      <c r="AF12821" s="3"/>
      <c r="AG12821" s="3"/>
      <c r="AH12821" s="3"/>
    </row>
    <row r="12822" spans="1:34" ht="14.25" customHeight="1" x14ac:dyDescent="0.25">
      <c r="A12822" s="3"/>
      <c r="B12822" s="3"/>
      <c r="C12822" s="3"/>
      <c r="D12822" s="3"/>
      <c r="E12822" s="3"/>
      <c r="F12822" s="3"/>
      <c r="G12822" s="3"/>
      <c r="H12822" s="11"/>
      <c r="I12822" s="12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  <c r="AA12822" s="3"/>
      <c r="AB12822" s="3"/>
      <c r="AC12822" s="3"/>
      <c r="AD12822" s="3"/>
      <c r="AE12822" s="3"/>
      <c r="AF12822" s="3"/>
      <c r="AG12822" s="3"/>
      <c r="AH12822" s="3"/>
    </row>
    <row r="12823" spans="1:34" ht="14.25" customHeight="1" x14ac:dyDescent="0.25">
      <c r="A12823" s="3"/>
      <c r="B12823" s="3"/>
      <c r="C12823" s="3"/>
      <c r="D12823" s="3"/>
      <c r="E12823" s="3"/>
      <c r="F12823" s="3"/>
      <c r="G12823" s="3"/>
      <c r="H12823" s="11"/>
      <c r="I12823" s="12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  <c r="AA12823" s="3"/>
      <c r="AB12823" s="3"/>
      <c r="AC12823" s="3"/>
      <c r="AD12823" s="3"/>
      <c r="AE12823" s="3"/>
      <c r="AF12823" s="3"/>
      <c r="AG12823" s="3"/>
      <c r="AH12823" s="3"/>
    </row>
    <row r="12824" spans="1:34" ht="14.25" customHeight="1" x14ac:dyDescent="0.25">
      <c r="A12824" s="3"/>
      <c r="B12824" s="3"/>
      <c r="C12824" s="3"/>
      <c r="D12824" s="3"/>
      <c r="E12824" s="3"/>
      <c r="F12824" s="3"/>
      <c r="G12824" s="3"/>
      <c r="H12824" s="11"/>
      <c r="I12824" s="12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  <c r="AA12824" s="3"/>
      <c r="AB12824" s="3"/>
      <c r="AC12824" s="3"/>
      <c r="AD12824" s="3"/>
      <c r="AE12824" s="3"/>
      <c r="AF12824" s="3"/>
      <c r="AG12824" s="3"/>
      <c r="AH12824" s="3"/>
    </row>
    <row r="12825" spans="1:34" ht="14.25" customHeight="1" x14ac:dyDescent="0.25">
      <c r="A12825" s="3"/>
      <c r="B12825" s="3"/>
      <c r="C12825" s="3"/>
      <c r="D12825" s="3"/>
      <c r="E12825" s="3"/>
      <c r="F12825" s="3"/>
      <c r="G12825" s="3"/>
      <c r="H12825" s="11"/>
      <c r="I12825" s="12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  <c r="AA12825" s="3"/>
      <c r="AB12825" s="3"/>
      <c r="AC12825" s="3"/>
      <c r="AD12825" s="3"/>
      <c r="AE12825" s="3"/>
      <c r="AF12825" s="3"/>
      <c r="AG12825" s="3"/>
      <c r="AH12825" s="3"/>
    </row>
    <row r="12826" spans="1:34" ht="14.25" customHeight="1" x14ac:dyDescent="0.25">
      <c r="A12826" s="3"/>
      <c r="B12826" s="3"/>
      <c r="C12826" s="3"/>
      <c r="D12826" s="3"/>
      <c r="E12826" s="3"/>
      <c r="F12826" s="3"/>
      <c r="G12826" s="3"/>
      <c r="H12826" s="11"/>
      <c r="I12826" s="12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  <c r="AA12826" s="3"/>
      <c r="AB12826" s="3"/>
      <c r="AC12826" s="3"/>
      <c r="AD12826" s="3"/>
      <c r="AE12826" s="3"/>
      <c r="AF12826" s="3"/>
      <c r="AG12826" s="3"/>
      <c r="AH12826" s="3"/>
    </row>
    <row r="12827" spans="1:34" ht="14.25" customHeight="1" x14ac:dyDescent="0.25">
      <c r="A12827" s="3"/>
      <c r="B12827" s="3"/>
      <c r="C12827" s="3"/>
      <c r="D12827" s="3"/>
      <c r="E12827" s="3"/>
      <c r="F12827" s="3"/>
      <c r="G12827" s="3"/>
      <c r="H12827" s="11"/>
      <c r="I12827" s="12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  <c r="AA12827" s="3"/>
      <c r="AB12827" s="3"/>
      <c r="AC12827" s="3"/>
      <c r="AD12827" s="3"/>
      <c r="AE12827" s="3"/>
      <c r="AF12827" s="3"/>
      <c r="AG12827" s="3"/>
      <c r="AH12827" s="3"/>
    </row>
    <row r="12828" spans="1:34" ht="14.25" customHeight="1" x14ac:dyDescent="0.25">
      <c r="A12828" s="3"/>
      <c r="B12828" s="3"/>
      <c r="C12828" s="3"/>
      <c r="D12828" s="3"/>
      <c r="E12828" s="3"/>
      <c r="F12828" s="3"/>
      <c r="G12828" s="3"/>
      <c r="H12828" s="11"/>
      <c r="I12828" s="12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  <c r="AA12828" s="3"/>
      <c r="AB12828" s="3"/>
      <c r="AC12828" s="3"/>
      <c r="AD12828" s="3"/>
      <c r="AE12828" s="3"/>
      <c r="AF12828" s="3"/>
      <c r="AG12828" s="3"/>
      <c r="AH12828" s="3"/>
    </row>
    <row r="12829" spans="1:34" ht="14.25" customHeight="1" x14ac:dyDescent="0.25">
      <c r="A12829" s="3"/>
      <c r="B12829" s="3"/>
      <c r="C12829" s="3"/>
      <c r="D12829" s="3"/>
      <c r="E12829" s="3"/>
      <c r="F12829" s="3"/>
      <c r="G12829" s="3"/>
      <c r="H12829" s="11"/>
      <c r="I12829" s="12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  <c r="AA12829" s="3"/>
      <c r="AB12829" s="3"/>
      <c r="AC12829" s="3"/>
      <c r="AD12829" s="3"/>
      <c r="AE12829" s="3"/>
      <c r="AF12829" s="3"/>
      <c r="AG12829" s="3"/>
      <c r="AH12829" s="3"/>
    </row>
    <row r="12830" spans="1:34" ht="14.25" customHeight="1" x14ac:dyDescent="0.25">
      <c r="A12830" s="3"/>
      <c r="B12830" s="3"/>
      <c r="C12830" s="3"/>
      <c r="D12830" s="3"/>
      <c r="E12830" s="3"/>
      <c r="F12830" s="3"/>
      <c r="G12830" s="3"/>
      <c r="H12830" s="11"/>
      <c r="I12830" s="12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  <c r="AA12830" s="3"/>
      <c r="AB12830" s="3"/>
      <c r="AC12830" s="3"/>
      <c r="AD12830" s="3"/>
      <c r="AE12830" s="3"/>
      <c r="AF12830" s="3"/>
      <c r="AG12830" s="3"/>
      <c r="AH12830" s="3"/>
    </row>
    <row r="12831" spans="1:34" ht="14.25" customHeight="1" x14ac:dyDescent="0.25">
      <c r="A12831" s="3"/>
      <c r="B12831" s="3"/>
      <c r="C12831" s="3"/>
      <c r="D12831" s="3"/>
      <c r="E12831" s="3"/>
      <c r="F12831" s="3"/>
      <c r="G12831" s="3"/>
      <c r="H12831" s="11"/>
      <c r="I12831" s="12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  <c r="AA12831" s="3"/>
      <c r="AB12831" s="3"/>
      <c r="AC12831" s="3"/>
      <c r="AD12831" s="3"/>
      <c r="AE12831" s="3"/>
      <c r="AF12831" s="3"/>
      <c r="AG12831" s="3"/>
      <c r="AH12831" s="3"/>
    </row>
    <row r="12832" spans="1:34" ht="14.25" customHeight="1" x14ac:dyDescent="0.25">
      <c r="A12832" s="3"/>
      <c r="B12832" s="3"/>
      <c r="C12832" s="3"/>
      <c r="D12832" s="3"/>
      <c r="E12832" s="3"/>
      <c r="F12832" s="3"/>
      <c r="G12832" s="3"/>
      <c r="H12832" s="11"/>
      <c r="I12832" s="12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  <c r="AA12832" s="3"/>
      <c r="AB12832" s="3"/>
      <c r="AC12832" s="3"/>
      <c r="AD12832" s="3"/>
      <c r="AE12832" s="3"/>
      <c r="AF12832" s="3"/>
      <c r="AG12832" s="3"/>
      <c r="AH12832" s="3"/>
    </row>
    <row r="12833" spans="1:34" ht="14.25" customHeight="1" x14ac:dyDescent="0.25">
      <c r="A12833" s="3"/>
      <c r="B12833" s="3"/>
      <c r="C12833" s="3"/>
      <c r="D12833" s="3"/>
      <c r="E12833" s="3"/>
      <c r="F12833" s="3"/>
      <c r="G12833" s="3"/>
      <c r="H12833" s="11"/>
      <c r="I12833" s="12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  <c r="AA12833" s="3"/>
      <c r="AB12833" s="3"/>
      <c r="AC12833" s="3"/>
      <c r="AD12833" s="3"/>
      <c r="AE12833" s="3"/>
      <c r="AF12833" s="3"/>
      <c r="AG12833" s="3"/>
      <c r="AH12833" s="3"/>
    </row>
    <row r="12834" spans="1:34" ht="14.25" customHeight="1" x14ac:dyDescent="0.25">
      <c r="A12834" s="3"/>
      <c r="B12834" s="3"/>
      <c r="C12834" s="3"/>
      <c r="D12834" s="3"/>
      <c r="E12834" s="3"/>
      <c r="F12834" s="3"/>
      <c r="G12834" s="3"/>
      <c r="H12834" s="11"/>
      <c r="I12834" s="12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  <c r="AA12834" s="3"/>
      <c r="AB12834" s="3"/>
      <c r="AC12834" s="3"/>
      <c r="AD12834" s="3"/>
      <c r="AE12834" s="3"/>
      <c r="AF12834" s="3"/>
      <c r="AG12834" s="3"/>
      <c r="AH12834" s="3"/>
    </row>
    <row r="12835" spans="1:34" ht="14.25" customHeight="1" x14ac:dyDescent="0.25">
      <c r="A12835" s="3"/>
      <c r="B12835" s="3"/>
      <c r="C12835" s="3"/>
      <c r="D12835" s="3"/>
      <c r="E12835" s="3"/>
      <c r="F12835" s="3"/>
      <c r="G12835" s="3"/>
      <c r="H12835" s="11"/>
      <c r="I12835" s="12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  <c r="AA12835" s="3"/>
      <c r="AB12835" s="3"/>
      <c r="AC12835" s="3"/>
      <c r="AD12835" s="3"/>
      <c r="AE12835" s="3"/>
      <c r="AF12835" s="3"/>
      <c r="AG12835" s="3"/>
      <c r="AH12835" s="3"/>
    </row>
    <row r="12836" spans="1:34" ht="14.25" customHeight="1" x14ac:dyDescent="0.25">
      <c r="A12836" s="3"/>
      <c r="B12836" s="3"/>
      <c r="C12836" s="3"/>
      <c r="D12836" s="3"/>
      <c r="E12836" s="3"/>
      <c r="F12836" s="3"/>
      <c r="G12836" s="3"/>
      <c r="H12836" s="11"/>
      <c r="I12836" s="12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  <c r="AA12836" s="3"/>
      <c r="AB12836" s="3"/>
      <c r="AC12836" s="3"/>
      <c r="AD12836" s="3"/>
      <c r="AE12836" s="3"/>
      <c r="AF12836" s="3"/>
      <c r="AG12836" s="3"/>
      <c r="AH12836" s="3"/>
    </row>
    <row r="12837" spans="1:34" ht="14.25" customHeight="1" x14ac:dyDescent="0.25">
      <c r="A12837" s="3"/>
      <c r="B12837" s="3"/>
      <c r="C12837" s="3"/>
      <c r="D12837" s="3"/>
      <c r="E12837" s="3"/>
      <c r="F12837" s="3"/>
      <c r="G12837" s="3"/>
      <c r="H12837" s="11"/>
      <c r="I12837" s="12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  <c r="AA12837" s="3"/>
      <c r="AB12837" s="3"/>
      <c r="AC12837" s="3"/>
      <c r="AD12837" s="3"/>
      <c r="AE12837" s="3"/>
      <c r="AF12837" s="3"/>
      <c r="AG12837" s="3"/>
      <c r="AH12837" s="3"/>
    </row>
    <row r="12838" spans="1:34" ht="14.25" customHeight="1" x14ac:dyDescent="0.25">
      <c r="A12838" s="3"/>
      <c r="B12838" s="3"/>
      <c r="C12838" s="3"/>
      <c r="D12838" s="3"/>
      <c r="E12838" s="3"/>
      <c r="F12838" s="3"/>
      <c r="G12838" s="3"/>
      <c r="H12838" s="11"/>
      <c r="I12838" s="12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  <c r="AA12838" s="3"/>
      <c r="AB12838" s="3"/>
      <c r="AC12838" s="3"/>
      <c r="AD12838" s="3"/>
      <c r="AE12838" s="3"/>
      <c r="AF12838" s="3"/>
      <c r="AG12838" s="3"/>
      <c r="AH12838" s="3"/>
    </row>
    <row r="12839" spans="1:34" ht="14.25" customHeight="1" x14ac:dyDescent="0.25">
      <c r="A12839" s="3"/>
      <c r="B12839" s="3"/>
      <c r="C12839" s="3"/>
      <c r="D12839" s="3"/>
      <c r="E12839" s="3"/>
      <c r="F12839" s="3"/>
      <c r="G12839" s="3"/>
      <c r="H12839" s="11"/>
      <c r="I12839" s="12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  <c r="AA12839" s="3"/>
      <c r="AB12839" s="3"/>
      <c r="AC12839" s="3"/>
      <c r="AD12839" s="3"/>
      <c r="AE12839" s="3"/>
      <c r="AF12839" s="3"/>
      <c r="AG12839" s="3"/>
      <c r="AH12839" s="3"/>
    </row>
    <row r="12840" spans="1:34" ht="14.25" customHeight="1" x14ac:dyDescent="0.25">
      <c r="A12840" s="3"/>
      <c r="B12840" s="3"/>
      <c r="C12840" s="3"/>
      <c r="D12840" s="3"/>
      <c r="E12840" s="3"/>
      <c r="F12840" s="3"/>
      <c r="G12840" s="3"/>
      <c r="H12840" s="11"/>
      <c r="I12840" s="12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  <c r="AA12840" s="3"/>
      <c r="AB12840" s="3"/>
      <c r="AC12840" s="3"/>
      <c r="AD12840" s="3"/>
      <c r="AE12840" s="3"/>
      <c r="AF12840" s="3"/>
      <c r="AG12840" s="3"/>
      <c r="AH12840" s="3"/>
    </row>
    <row r="12841" spans="1:34" ht="14.25" customHeight="1" x14ac:dyDescent="0.25">
      <c r="A12841" s="3"/>
      <c r="B12841" s="3"/>
      <c r="C12841" s="3"/>
      <c r="D12841" s="3"/>
      <c r="E12841" s="3"/>
      <c r="F12841" s="3"/>
      <c r="G12841" s="3"/>
      <c r="H12841" s="11"/>
      <c r="I12841" s="12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  <c r="AA12841" s="3"/>
      <c r="AB12841" s="3"/>
      <c r="AC12841" s="3"/>
      <c r="AD12841" s="3"/>
      <c r="AE12841" s="3"/>
      <c r="AF12841" s="3"/>
      <c r="AG12841" s="3"/>
      <c r="AH12841" s="3"/>
    </row>
    <row r="12842" spans="1:34" ht="14.25" customHeight="1" x14ac:dyDescent="0.25">
      <c r="A12842" s="3"/>
      <c r="B12842" s="3"/>
      <c r="C12842" s="3"/>
      <c r="D12842" s="3"/>
      <c r="E12842" s="3"/>
      <c r="F12842" s="3"/>
      <c r="G12842" s="3"/>
      <c r="H12842" s="11"/>
      <c r="I12842" s="12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  <c r="AA12842" s="3"/>
      <c r="AB12842" s="3"/>
      <c r="AC12842" s="3"/>
      <c r="AD12842" s="3"/>
      <c r="AE12842" s="3"/>
      <c r="AF12842" s="3"/>
      <c r="AG12842" s="3"/>
      <c r="AH12842" s="3"/>
    </row>
    <row r="12843" spans="1:34" ht="14.25" customHeight="1" x14ac:dyDescent="0.25">
      <c r="A12843" s="3"/>
      <c r="B12843" s="3"/>
      <c r="C12843" s="3"/>
      <c r="D12843" s="3"/>
      <c r="E12843" s="3"/>
      <c r="F12843" s="3"/>
      <c r="G12843" s="3"/>
      <c r="H12843" s="11"/>
      <c r="I12843" s="12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  <c r="AA12843" s="3"/>
      <c r="AB12843" s="3"/>
      <c r="AC12843" s="3"/>
      <c r="AD12843" s="3"/>
      <c r="AE12843" s="3"/>
      <c r="AF12843" s="3"/>
      <c r="AG12843" s="3"/>
      <c r="AH12843" s="3"/>
    </row>
    <row r="12844" spans="1:34" ht="14.25" customHeight="1" x14ac:dyDescent="0.25">
      <c r="A12844" s="3"/>
      <c r="B12844" s="3"/>
      <c r="C12844" s="3"/>
      <c r="D12844" s="3"/>
      <c r="E12844" s="3"/>
      <c r="F12844" s="3"/>
      <c r="G12844" s="3"/>
      <c r="H12844" s="11"/>
      <c r="I12844" s="12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  <c r="AA12844" s="3"/>
      <c r="AB12844" s="3"/>
      <c r="AC12844" s="3"/>
      <c r="AD12844" s="3"/>
      <c r="AE12844" s="3"/>
      <c r="AF12844" s="3"/>
      <c r="AG12844" s="3"/>
      <c r="AH12844" s="3"/>
    </row>
    <row r="12845" spans="1:34" ht="14.25" customHeight="1" x14ac:dyDescent="0.25">
      <c r="A12845" s="3"/>
      <c r="B12845" s="3"/>
      <c r="C12845" s="3"/>
      <c r="D12845" s="3"/>
      <c r="E12845" s="3"/>
      <c r="F12845" s="3"/>
      <c r="G12845" s="3"/>
      <c r="H12845" s="11"/>
      <c r="I12845" s="12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  <c r="AA12845" s="3"/>
      <c r="AB12845" s="3"/>
      <c r="AC12845" s="3"/>
      <c r="AD12845" s="3"/>
      <c r="AE12845" s="3"/>
      <c r="AF12845" s="3"/>
      <c r="AG12845" s="3"/>
      <c r="AH12845" s="3"/>
    </row>
    <row r="12846" spans="1:34" ht="14.25" customHeight="1" x14ac:dyDescent="0.25">
      <c r="A12846" s="3"/>
      <c r="B12846" s="3"/>
      <c r="C12846" s="3"/>
      <c r="D12846" s="3"/>
      <c r="E12846" s="3"/>
      <c r="F12846" s="3"/>
      <c r="G12846" s="3"/>
      <c r="H12846" s="11"/>
      <c r="I12846" s="12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  <c r="AA12846" s="3"/>
      <c r="AB12846" s="3"/>
      <c r="AC12846" s="3"/>
      <c r="AD12846" s="3"/>
      <c r="AE12846" s="3"/>
      <c r="AF12846" s="3"/>
      <c r="AG12846" s="3"/>
      <c r="AH12846" s="3"/>
    </row>
    <row r="12847" spans="1:34" ht="14.25" customHeight="1" x14ac:dyDescent="0.25">
      <c r="A12847" s="3"/>
      <c r="B12847" s="3"/>
      <c r="C12847" s="3"/>
      <c r="D12847" s="3"/>
      <c r="E12847" s="3"/>
      <c r="F12847" s="3"/>
      <c r="G12847" s="3"/>
      <c r="H12847" s="11"/>
      <c r="I12847" s="12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  <c r="AA12847" s="3"/>
      <c r="AB12847" s="3"/>
      <c r="AC12847" s="3"/>
      <c r="AD12847" s="3"/>
      <c r="AE12847" s="3"/>
      <c r="AF12847" s="3"/>
      <c r="AG12847" s="3"/>
      <c r="AH12847" s="3"/>
    </row>
    <row r="12848" spans="1:34" ht="14.25" customHeight="1" x14ac:dyDescent="0.25">
      <c r="A12848" s="3"/>
      <c r="B12848" s="3"/>
      <c r="C12848" s="3"/>
      <c r="D12848" s="3"/>
      <c r="E12848" s="3"/>
      <c r="F12848" s="3"/>
      <c r="G12848" s="3"/>
      <c r="H12848" s="11"/>
      <c r="I12848" s="12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  <c r="AA12848" s="3"/>
      <c r="AB12848" s="3"/>
      <c r="AC12848" s="3"/>
      <c r="AD12848" s="3"/>
      <c r="AE12848" s="3"/>
      <c r="AF12848" s="3"/>
      <c r="AG12848" s="3"/>
      <c r="AH12848" s="3"/>
    </row>
    <row r="12849" spans="1:34" ht="14.25" customHeight="1" x14ac:dyDescent="0.25">
      <c r="A12849" s="3"/>
      <c r="B12849" s="3"/>
      <c r="C12849" s="3"/>
      <c r="D12849" s="3"/>
      <c r="E12849" s="3"/>
      <c r="F12849" s="3"/>
      <c r="G12849" s="3"/>
      <c r="H12849" s="11"/>
      <c r="I12849" s="12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  <c r="AA12849" s="3"/>
      <c r="AB12849" s="3"/>
      <c r="AC12849" s="3"/>
      <c r="AD12849" s="3"/>
      <c r="AE12849" s="3"/>
      <c r="AF12849" s="3"/>
      <c r="AG12849" s="3"/>
      <c r="AH12849" s="3"/>
    </row>
    <row r="12850" spans="1:34" ht="14.25" customHeight="1" x14ac:dyDescent="0.25">
      <c r="A12850" s="3"/>
      <c r="B12850" s="3"/>
      <c r="C12850" s="3"/>
      <c r="D12850" s="3"/>
      <c r="E12850" s="3"/>
      <c r="F12850" s="3"/>
      <c r="G12850" s="3"/>
      <c r="H12850" s="11"/>
      <c r="I12850" s="12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  <c r="AA12850" s="3"/>
      <c r="AB12850" s="3"/>
      <c r="AC12850" s="3"/>
      <c r="AD12850" s="3"/>
      <c r="AE12850" s="3"/>
      <c r="AF12850" s="3"/>
      <c r="AG12850" s="3"/>
      <c r="AH12850" s="3"/>
    </row>
    <row r="12851" spans="1:34" ht="14.25" customHeight="1" x14ac:dyDescent="0.25">
      <c r="A12851" s="3"/>
      <c r="B12851" s="3"/>
      <c r="C12851" s="3"/>
      <c r="D12851" s="3"/>
      <c r="E12851" s="3"/>
      <c r="F12851" s="3"/>
      <c r="G12851" s="3"/>
      <c r="H12851" s="11"/>
      <c r="I12851" s="12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  <c r="AA12851" s="3"/>
      <c r="AB12851" s="3"/>
      <c r="AC12851" s="3"/>
      <c r="AD12851" s="3"/>
      <c r="AE12851" s="3"/>
      <c r="AF12851" s="3"/>
      <c r="AG12851" s="3"/>
      <c r="AH12851" s="3"/>
    </row>
    <row r="12852" spans="1:34" ht="14.25" customHeight="1" x14ac:dyDescent="0.25">
      <c r="A12852" s="3"/>
      <c r="B12852" s="3"/>
      <c r="C12852" s="3"/>
      <c r="D12852" s="3"/>
      <c r="E12852" s="3"/>
      <c r="F12852" s="3"/>
      <c r="G12852" s="3"/>
      <c r="H12852" s="11"/>
      <c r="I12852" s="12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  <c r="AA12852" s="3"/>
      <c r="AB12852" s="3"/>
      <c r="AC12852" s="3"/>
      <c r="AD12852" s="3"/>
      <c r="AE12852" s="3"/>
      <c r="AF12852" s="3"/>
      <c r="AG12852" s="3"/>
      <c r="AH12852" s="3"/>
    </row>
    <row r="12853" spans="1:34" ht="14.25" customHeight="1" x14ac:dyDescent="0.25">
      <c r="A12853" s="3"/>
      <c r="B12853" s="3"/>
      <c r="C12853" s="3"/>
      <c r="D12853" s="3"/>
      <c r="E12853" s="3"/>
      <c r="F12853" s="3"/>
      <c r="G12853" s="3"/>
      <c r="H12853" s="11"/>
      <c r="I12853" s="12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  <c r="AA12853" s="3"/>
      <c r="AB12853" s="3"/>
      <c r="AC12853" s="3"/>
      <c r="AD12853" s="3"/>
      <c r="AE12853" s="3"/>
      <c r="AF12853" s="3"/>
      <c r="AG12853" s="3"/>
      <c r="AH12853" s="3"/>
    </row>
    <row r="12854" spans="1:34" ht="14.25" customHeight="1" x14ac:dyDescent="0.25">
      <c r="A12854" s="3"/>
      <c r="B12854" s="3"/>
      <c r="C12854" s="3"/>
      <c r="D12854" s="3"/>
      <c r="E12854" s="3"/>
      <c r="F12854" s="3"/>
      <c r="G12854" s="3"/>
      <c r="H12854" s="11"/>
      <c r="I12854" s="12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  <c r="AA12854" s="3"/>
      <c r="AB12854" s="3"/>
      <c r="AC12854" s="3"/>
      <c r="AD12854" s="3"/>
      <c r="AE12854" s="3"/>
      <c r="AF12854" s="3"/>
      <c r="AG12854" s="3"/>
      <c r="AH12854" s="3"/>
    </row>
    <row r="12855" spans="1:34" ht="14.25" customHeight="1" x14ac:dyDescent="0.25">
      <c r="A12855" s="3"/>
      <c r="B12855" s="3"/>
      <c r="C12855" s="3"/>
      <c r="D12855" s="3"/>
      <c r="E12855" s="3"/>
      <c r="F12855" s="3"/>
      <c r="G12855" s="3"/>
      <c r="H12855" s="11"/>
      <c r="I12855" s="12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  <c r="AA12855" s="3"/>
      <c r="AB12855" s="3"/>
      <c r="AC12855" s="3"/>
      <c r="AD12855" s="3"/>
      <c r="AE12855" s="3"/>
      <c r="AF12855" s="3"/>
      <c r="AG12855" s="3"/>
      <c r="AH12855" s="3"/>
    </row>
    <row r="12856" spans="1:34" ht="14.25" customHeight="1" x14ac:dyDescent="0.25">
      <c r="A12856" s="3"/>
      <c r="B12856" s="3"/>
      <c r="C12856" s="3"/>
      <c r="D12856" s="3"/>
      <c r="E12856" s="3"/>
      <c r="F12856" s="3"/>
      <c r="G12856" s="3"/>
      <c r="H12856" s="11"/>
      <c r="I12856" s="12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  <c r="AA12856" s="3"/>
      <c r="AB12856" s="3"/>
      <c r="AC12856" s="3"/>
      <c r="AD12856" s="3"/>
      <c r="AE12856" s="3"/>
      <c r="AF12856" s="3"/>
      <c r="AG12856" s="3"/>
      <c r="AH12856" s="3"/>
    </row>
    <row r="12857" spans="1:34" ht="14.25" customHeight="1" x14ac:dyDescent="0.25">
      <c r="A12857" s="3"/>
      <c r="B12857" s="3"/>
      <c r="C12857" s="3"/>
      <c r="D12857" s="3"/>
      <c r="E12857" s="3"/>
      <c r="F12857" s="3"/>
      <c r="G12857" s="3"/>
      <c r="H12857" s="11"/>
      <c r="I12857" s="12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  <c r="AA12857" s="3"/>
      <c r="AB12857" s="3"/>
      <c r="AC12857" s="3"/>
      <c r="AD12857" s="3"/>
      <c r="AE12857" s="3"/>
      <c r="AF12857" s="3"/>
      <c r="AG12857" s="3"/>
      <c r="AH12857" s="3"/>
    </row>
    <row r="12858" spans="1:34" ht="14.25" customHeight="1" x14ac:dyDescent="0.25">
      <c r="A12858" s="3"/>
      <c r="B12858" s="3"/>
      <c r="C12858" s="3"/>
      <c r="D12858" s="3"/>
      <c r="E12858" s="3"/>
      <c r="F12858" s="3"/>
      <c r="G12858" s="3"/>
      <c r="H12858" s="11"/>
      <c r="I12858" s="12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  <c r="AA12858" s="3"/>
      <c r="AB12858" s="3"/>
      <c r="AC12858" s="3"/>
      <c r="AD12858" s="3"/>
      <c r="AE12858" s="3"/>
      <c r="AF12858" s="3"/>
      <c r="AG12858" s="3"/>
      <c r="AH12858" s="3"/>
    </row>
    <row r="12859" spans="1:34" ht="14.25" customHeight="1" x14ac:dyDescent="0.25">
      <c r="A12859" s="3"/>
      <c r="B12859" s="3"/>
      <c r="C12859" s="3"/>
      <c r="D12859" s="3"/>
      <c r="E12859" s="3"/>
      <c r="F12859" s="3"/>
      <c r="G12859" s="3"/>
      <c r="H12859" s="11"/>
      <c r="I12859" s="12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  <c r="AA12859" s="3"/>
      <c r="AB12859" s="3"/>
      <c r="AC12859" s="3"/>
      <c r="AD12859" s="3"/>
      <c r="AE12859" s="3"/>
      <c r="AF12859" s="3"/>
      <c r="AG12859" s="3"/>
      <c r="AH12859" s="3"/>
    </row>
    <row r="12860" spans="1:34" ht="14.25" customHeight="1" x14ac:dyDescent="0.25">
      <c r="A12860" s="3"/>
      <c r="B12860" s="3"/>
      <c r="C12860" s="3"/>
      <c r="D12860" s="3"/>
      <c r="E12860" s="3"/>
      <c r="F12860" s="3"/>
      <c r="G12860" s="3"/>
      <c r="H12860" s="11"/>
      <c r="I12860" s="12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  <c r="AA12860" s="3"/>
      <c r="AB12860" s="3"/>
      <c r="AC12860" s="3"/>
      <c r="AD12860" s="3"/>
      <c r="AE12860" s="3"/>
      <c r="AF12860" s="3"/>
      <c r="AG12860" s="3"/>
      <c r="AH12860" s="3"/>
    </row>
    <row r="12861" spans="1:34" ht="14.25" customHeight="1" x14ac:dyDescent="0.25">
      <c r="A12861" s="3"/>
      <c r="B12861" s="3"/>
      <c r="C12861" s="3"/>
      <c r="D12861" s="3"/>
      <c r="E12861" s="3"/>
      <c r="F12861" s="3"/>
      <c r="G12861" s="3"/>
      <c r="H12861" s="11"/>
      <c r="I12861" s="12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  <c r="AA12861" s="3"/>
      <c r="AB12861" s="3"/>
      <c r="AC12861" s="3"/>
      <c r="AD12861" s="3"/>
      <c r="AE12861" s="3"/>
      <c r="AF12861" s="3"/>
      <c r="AG12861" s="3"/>
      <c r="AH12861" s="3"/>
    </row>
    <row r="12862" spans="1:34" ht="14.25" customHeight="1" x14ac:dyDescent="0.25">
      <c r="A12862" s="3"/>
      <c r="B12862" s="3"/>
      <c r="C12862" s="3"/>
      <c r="D12862" s="3"/>
      <c r="E12862" s="3"/>
      <c r="F12862" s="3"/>
      <c r="G12862" s="3"/>
      <c r="H12862" s="11"/>
      <c r="I12862" s="12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  <c r="AA12862" s="3"/>
      <c r="AB12862" s="3"/>
      <c r="AC12862" s="3"/>
      <c r="AD12862" s="3"/>
      <c r="AE12862" s="3"/>
      <c r="AF12862" s="3"/>
      <c r="AG12862" s="3"/>
      <c r="AH12862" s="3"/>
    </row>
    <row r="12863" spans="1:34" ht="14.25" customHeight="1" x14ac:dyDescent="0.25">
      <c r="A12863" s="3"/>
      <c r="B12863" s="3"/>
      <c r="C12863" s="3"/>
      <c r="D12863" s="3"/>
      <c r="E12863" s="3"/>
      <c r="F12863" s="3"/>
      <c r="G12863" s="3"/>
      <c r="H12863" s="11"/>
      <c r="I12863" s="12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  <c r="AA12863" s="3"/>
      <c r="AB12863" s="3"/>
      <c r="AC12863" s="3"/>
      <c r="AD12863" s="3"/>
      <c r="AE12863" s="3"/>
      <c r="AF12863" s="3"/>
      <c r="AG12863" s="3"/>
      <c r="AH12863" s="3"/>
    </row>
    <row r="12864" spans="1:34" ht="14.25" customHeight="1" x14ac:dyDescent="0.25">
      <c r="A12864" s="3"/>
      <c r="B12864" s="3"/>
      <c r="C12864" s="3"/>
      <c r="D12864" s="3"/>
      <c r="E12864" s="3"/>
      <c r="F12864" s="3"/>
      <c r="G12864" s="3"/>
      <c r="H12864" s="11"/>
      <c r="I12864" s="12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  <c r="AA12864" s="3"/>
      <c r="AB12864" s="3"/>
      <c r="AC12864" s="3"/>
      <c r="AD12864" s="3"/>
      <c r="AE12864" s="3"/>
      <c r="AF12864" s="3"/>
      <c r="AG12864" s="3"/>
      <c r="AH12864" s="3"/>
    </row>
    <row r="12865" spans="1:34" ht="14.25" customHeight="1" x14ac:dyDescent="0.25">
      <c r="A12865" s="3"/>
      <c r="B12865" s="3"/>
      <c r="C12865" s="3"/>
      <c r="D12865" s="3"/>
      <c r="E12865" s="3"/>
      <c r="F12865" s="3"/>
      <c r="G12865" s="3"/>
      <c r="H12865" s="11"/>
      <c r="I12865" s="12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  <c r="AA12865" s="3"/>
      <c r="AB12865" s="3"/>
      <c r="AC12865" s="3"/>
      <c r="AD12865" s="3"/>
      <c r="AE12865" s="3"/>
      <c r="AF12865" s="3"/>
      <c r="AG12865" s="3"/>
      <c r="AH12865" s="3"/>
    </row>
    <row r="12866" spans="1:34" ht="14.25" customHeight="1" x14ac:dyDescent="0.25">
      <c r="A12866" s="3"/>
      <c r="B12866" s="3"/>
      <c r="C12866" s="3"/>
      <c r="D12866" s="3"/>
      <c r="E12866" s="3"/>
      <c r="F12866" s="3"/>
      <c r="G12866" s="3"/>
      <c r="H12866" s="11"/>
      <c r="I12866" s="12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  <c r="AA12866" s="3"/>
      <c r="AB12866" s="3"/>
      <c r="AC12866" s="3"/>
      <c r="AD12866" s="3"/>
      <c r="AE12866" s="3"/>
      <c r="AF12866" s="3"/>
      <c r="AG12866" s="3"/>
      <c r="AH12866" s="3"/>
    </row>
    <row r="12867" spans="1:34" ht="14.25" customHeight="1" x14ac:dyDescent="0.25">
      <c r="A12867" s="3"/>
      <c r="B12867" s="3"/>
      <c r="C12867" s="3"/>
      <c r="D12867" s="3"/>
      <c r="E12867" s="3"/>
      <c r="F12867" s="3"/>
      <c r="G12867" s="3"/>
      <c r="H12867" s="11"/>
      <c r="I12867" s="12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  <c r="AA12867" s="3"/>
      <c r="AB12867" s="3"/>
      <c r="AC12867" s="3"/>
      <c r="AD12867" s="3"/>
      <c r="AE12867" s="3"/>
      <c r="AF12867" s="3"/>
      <c r="AG12867" s="3"/>
      <c r="AH12867" s="3"/>
    </row>
    <row r="12868" spans="1:34" ht="14.25" customHeight="1" x14ac:dyDescent="0.25">
      <c r="A12868" s="3"/>
      <c r="B12868" s="3"/>
      <c r="C12868" s="3"/>
      <c r="D12868" s="3"/>
      <c r="E12868" s="3"/>
      <c r="F12868" s="3"/>
      <c r="G12868" s="3"/>
      <c r="H12868" s="11"/>
      <c r="I12868" s="12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  <c r="AA12868" s="3"/>
      <c r="AB12868" s="3"/>
      <c r="AC12868" s="3"/>
      <c r="AD12868" s="3"/>
      <c r="AE12868" s="3"/>
      <c r="AF12868" s="3"/>
      <c r="AG12868" s="3"/>
      <c r="AH12868" s="3"/>
    </row>
    <row r="12869" spans="1:34" ht="14.25" customHeight="1" x14ac:dyDescent="0.25">
      <c r="A12869" s="3"/>
      <c r="B12869" s="3"/>
      <c r="C12869" s="3"/>
      <c r="D12869" s="3"/>
      <c r="E12869" s="3"/>
      <c r="F12869" s="3"/>
      <c r="G12869" s="3"/>
      <c r="H12869" s="11"/>
      <c r="I12869" s="12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  <c r="AA12869" s="3"/>
      <c r="AB12869" s="3"/>
      <c r="AC12869" s="3"/>
      <c r="AD12869" s="3"/>
      <c r="AE12869" s="3"/>
      <c r="AF12869" s="3"/>
      <c r="AG12869" s="3"/>
      <c r="AH12869" s="3"/>
    </row>
    <row r="12870" spans="1:34" ht="14.25" customHeight="1" x14ac:dyDescent="0.25">
      <c r="A12870" s="3"/>
      <c r="B12870" s="3"/>
      <c r="C12870" s="3"/>
      <c r="D12870" s="3"/>
      <c r="E12870" s="3"/>
      <c r="F12870" s="3"/>
      <c r="G12870" s="3"/>
      <c r="H12870" s="11"/>
      <c r="I12870" s="12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  <c r="AA12870" s="3"/>
      <c r="AB12870" s="3"/>
      <c r="AC12870" s="3"/>
      <c r="AD12870" s="3"/>
      <c r="AE12870" s="3"/>
      <c r="AF12870" s="3"/>
      <c r="AG12870" s="3"/>
      <c r="AH12870" s="3"/>
    </row>
    <row r="12871" spans="1:34" ht="14.25" customHeight="1" x14ac:dyDescent="0.25">
      <c r="A12871" s="3"/>
      <c r="B12871" s="3"/>
      <c r="C12871" s="3"/>
      <c r="D12871" s="3"/>
      <c r="E12871" s="3"/>
      <c r="F12871" s="3"/>
      <c r="G12871" s="3"/>
      <c r="H12871" s="11"/>
      <c r="I12871" s="12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  <c r="AA12871" s="3"/>
      <c r="AB12871" s="3"/>
      <c r="AC12871" s="3"/>
      <c r="AD12871" s="3"/>
      <c r="AE12871" s="3"/>
      <c r="AF12871" s="3"/>
      <c r="AG12871" s="3"/>
      <c r="AH12871" s="3"/>
    </row>
    <row r="12872" spans="1:34" ht="14.25" customHeight="1" x14ac:dyDescent="0.25">
      <c r="A12872" s="3"/>
      <c r="B12872" s="3"/>
      <c r="C12872" s="3"/>
      <c r="D12872" s="3"/>
      <c r="E12872" s="3"/>
      <c r="F12872" s="3"/>
      <c r="G12872" s="3"/>
      <c r="H12872" s="11"/>
      <c r="I12872" s="12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  <c r="AA12872" s="3"/>
      <c r="AB12872" s="3"/>
      <c r="AC12872" s="3"/>
      <c r="AD12872" s="3"/>
      <c r="AE12872" s="3"/>
      <c r="AF12872" s="3"/>
      <c r="AG12872" s="3"/>
      <c r="AH12872" s="3"/>
    </row>
    <row r="12873" spans="1:34" ht="14.25" customHeight="1" x14ac:dyDescent="0.25">
      <c r="A12873" s="3"/>
      <c r="B12873" s="3"/>
      <c r="C12873" s="3"/>
      <c r="D12873" s="3"/>
      <c r="E12873" s="3"/>
      <c r="F12873" s="3"/>
      <c r="G12873" s="3"/>
      <c r="H12873" s="11"/>
      <c r="I12873" s="12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  <c r="AA12873" s="3"/>
      <c r="AB12873" s="3"/>
      <c r="AC12873" s="3"/>
      <c r="AD12873" s="3"/>
      <c r="AE12873" s="3"/>
      <c r="AF12873" s="3"/>
      <c r="AG12873" s="3"/>
      <c r="AH12873" s="3"/>
    </row>
    <row r="12874" spans="1:34" ht="14.25" customHeight="1" x14ac:dyDescent="0.25">
      <c r="A12874" s="3"/>
      <c r="B12874" s="3"/>
      <c r="C12874" s="3"/>
      <c r="D12874" s="3"/>
      <c r="E12874" s="3"/>
      <c r="F12874" s="3"/>
      <c r="G12874" s="3"/>
      <c r="H12874" s="11"/>
      <c r="I12874" s="12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  <c r="AA12874" s="3"/>
      <c r="AB12874" s="3"/>
      <c r="AC12874" s="3"/>
      <c r="AD12874" s="3"/>
      <c r="AE12874" s="3"/>
      <c r="AF12874" s="3"/>
      <c r="AG12874" s="3"/>
      <c r="AH12874" s="3"/>
    </row>
    <row r="12875" spans="1:34" ht="14.25" customHeight="1" x14ac:dyDescent="0.25">
      <c r="A12875" s="3"/>
      <c r="B12875" s="3"/>
      <c r="C12875" s="3"/>
      <c r="D12875" s="3"/>
      <c r="E12875" s="3"/>
      <c r="F12875" s="3"/>
      <c r="G12875" s="3"/>
      <c r="H12875" s="11"/>
      <c r="I12875" s="12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  <c r="AA12875" s="3"/>
      <c r="AB12875" s="3"/>
      <c r="AC12875" s="3"/>
      <c r="AD12875" s="3"/>
      <c r="AE12875" s="3"/>
      <c r="AF12875" s="3"/>
      <c r="AG12875" s="3"/>
      <c r="AH12875" s="3"/>
    </row>
    <row r="12876" spans="1:34" ht="14.25" customHeight="1" x14ac:dyDescent="0.25">
      <c r="A12876" s="3"/>
      <c r="B12876" s="3"/>
      <c r="C12876" s="3"/>
      <c r="D12876" s="3"/>
      <c r="E12876" s="3"/>
      <c r="F12876" s="3"/>
      <c r="G12876" s="3"/>
      <c r="H12876" s="11"/>
      <c r="I12876" s="12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  <c r="AA12876" s="3"/>
      <c r="AB12876" s="3"/>
      <c r="AC12876" s="3"/>
      <c r="AD12876" s="3"/>
      <c r="AE12876" s="3"/>
      <c r="AF12876" s="3"/>
      <c r="AG12876" s="3"/>
      <c r="AH12876" s="3"/>
    </row>
    <row r="12877" spans="1:34" ht="14.25" customHeight="1" x14ac:dyDescent="0.25">
      <c r="A12877" s="3"/>
      <c r="B12877" s="3"/>
      <c r="C12877" s="3"/>
      <c r="D12877" s="3"/>
      <c r="E12877" s="3"/>
      <c r="F12877" s="3"/>
      <c r="G12877" s="3"/>
      <c r="H12877" s="11"/>
      <c r="I12877" s="12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  <c r="AA12877" s="3"/>
      <c r="AB12877" s="3"/>
      <c r="AC12877" s="3"/>
      <c r="AD12877" s="3"/>
      <c r="AE12877" s="3"/>
      <c r="AF12877" s="3"/>
      <c r="AG12877" s="3"/>
      <c r="AH12877" s="3"/>
    </row>
    <row r="12878" spans="1:34" ht="14.25" customHeight="1" x14ac:dyDescent="0.25">
      <c r="A12878" s="3"/>
      <c r="B12878" s="3"/>
      <c r="C12878" s="3"/>
      <c r="D12878" s="3"/>
      <c r="E12878" s="3"/>
      <c r="F12878" s="3"/>
      <c r="G12878" s="3"/>
      <c r="H12878" s="11"/>
      <c r="I12878" s="12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  <c r="AA12878" s="3"/>
      <c r="AB12878" s="3"/>
      <c r="AC12878" s="3"/>
      <c r="AD12878" s="3"/>
      <c r="AE12878" s="3"/>
      <c r="AF12878" s="3"/>
      <c r="AG12878" s="3"/>
      <c r="AH12878" s="3"/>
    </row>
    <row r="12879" spans="1:34" ht="14.25" customHeight="1" x14ac:dyDescent="0.25">
      <c r="A12879" s="3"/>
      <c r="B12879" s="3"/>
      <c r="C12879" s="3"/>
      <c r="D12879" s="3"/>
      <c r="E12879" s="3"/>
      <c r="F12879" s="3"/>
      <c r="G12879" s="3"/>
      <c r="H12879" s="11"/>
      <c r="I12879" s="12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  <c r="AA12879" s="3"/>
      <c r="AB12879" s="3"/>
      <c r="AC12879" s="3"/>
      <c r="AD12879" s="3"/>
      <c r="AE12879" s="3"/>
      <c r="AF12879" s="3"/>
      <c r="AG12879" s="3"/>
      <c r="AH12879" s="3"/>
    </row>
    <row r="12880" spans="1:34" ht="14.25" customHeight="1" x14ac:dyDescent="0.25">
      <c r="A12880" s="3"/>
      <c r="B12880" s="3"/>
      <c r="C12880" s="3"/>
      <c r="D12880" s="3"/>
      <c r="E12880" s="3"/>
      <c r="F12880" s="3"/>
      <c r="G12880" s="3"/>
      <c r="H12880" s="11"/>
      <c r="I12880" s="12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  <c r="AA12880" s="3"/>
      <c r="AB12880" s="3"/>
      <c r="AC12880" s="3"/>
      <c r="AD12880" s="3"/>
      <c r="AE12880" s="3"/>
      <c r="AF12880" s="3"/>
      <c r="AG12880" s="3"/>
      <c r="AH12880" s="3"/>
    </row>
    <row r="12881" spans="1:34" ht="14.25" customHeight="1" x14ac:dyDescent="0.25">
      <c r="A12881" s="3"/>
      <c r="B12881" s="3"/>
      <c r="C12881" s="3"/>
      <c r="D12881" s="3"/>
      <c r="E12881" s="3"/>
      <c r="F12881" s="3"/>
      <c r="G12881" s="3"/>
      <c r="H12881" s="11"/>
      <c r="I12881" s="12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  <c r="AA12881" s="3"/>
      <c r="AB12881" s="3"/>
      <c r="AC12881" s="3"/>
      <c r="AD12881" s="3"/>
      <c r="AE12881" s="3"/>
      <c r="AF12881" s="3"/>
      <c r="AG12881" s="3"/>
      <c r="AH12881" s="3"/>
    </row>
    <row r="12882" spans="1:34" ht="14.25" customHeight="1" x14ac:dyDescent="0.25">
      <c r="A12882" s="3"/>
      <c r="B12882" s="3"/>
      <c r="C12882" s="3"/>
      <c r="D12882" s="3"/>
      <c r="E12882" s="3"/>
      <c r="F12882" s="3"/>
      <c r="G12882" s="3"/>
      <c r="H12882" s="11"/>
      <c r="I12882" s="12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  <c r="AA12882" s="3"/>
      <c r="AB12882" s="3"/>
      <c r="AC12882" s="3"/>
      <c r="AD12882" s="3"/>
      <c r="AE12882" s="3"/>
      <c r="AF12882" s="3"/>
      <c r="AG12882" s="3"/>
      <c r="AH12882" s="3"/>
    </row>
    <row r="12883" spans="1:34" ht="14.25" customHeight="1" x14ac:dyDescent="0.25">
      <c r="A12883" s="3"/>
      <c r="B12883" s="3"/>
      <c r="C12883" s="3"/>
      <c r="D12883" s="3"/>
      <c r="E12883" s="3"/>
      <c r="F12883" s="3"/>
      <c r="G12883" s="3"/>
      <c r="H12883" s="11"/>
      <c r="I12883" s="12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  <c r="AA12883" s="3"/>
      <c r="AB12883" s="3"/>
      <c r="AC12883" s="3"/>
      <c r="AD12883" s="3"/>
      <c r="AE12883" s="3"/>
      <c r="AF12883" s="3"/>
      <c r="AG12883" s="3"/>
      <c r="AH12883" s="3"/>
    </row>
    <row r="12884" spans="1:34" ht="14.25" customHeight="1" x14ac:dyDescent="0.25">
      <c r="A12884" s="3"/>
      <c r="B12884" s="3"/>
      <c r="C12884" s="3"/>
      <c r="D12884" s="3"/>
      <c r="E12884" s="3"/>
      <c r="F12884" s="3"/>
      <c r="G12884" s="3"/>
      <c r="H12884" s="11"/>
      <c r="I12884" s="12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  <c r="AA12884" s="3"/>
      <c r="AB12884" s="3"/>
      <c r="AC12884" s="3"/>
      <c r="AD12884" s="3"/>
      <c r="AE12884" s="3"/>
      <c r="AF12884" s="3"/>
      <c r="AG12884" s="3"/>
      <c r="AH12884" s="3"/>
    </row>
    <row r="12885" spans="1:34" ht="14.25" customHeight="1" x14ac:dyDescent="0.25">
      <c r="A12885" s="3"/>
      <c r="B12885" s="3"/>
      <c r="C12885" s="3"/>
      <c r="D12885" s="3"/>
      <c r="E12885" s="3"/>
      <c r="F12885" s="3"/>
      <c r="G12885" s="3"/>
      <c r="H12885" s="11"/>
      <c r="I12885" s="12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  <c r="AA12885" s="3"/>
      <c r="AB12885" s="3"/>
      <c r="AC12885" s="3"/>
      <c r="AD12885" s="3"/>
      <c r="AE12885" s="3"/>
      <c r="AF12885" s="3"/>
      <c r="AG12885" s="3"/>
      <c r="AH12885" s="3"/>
    </row>
    <row r="12886" spans="1:34" ht="14.25" customHeight="1" x14ac:dyDescent="0.25">
      <c r="A12886" s="3"/>
      <c r="B12886" s="3"/>
      <c r="C12886" s="3"/>
      <c r="D12886" s="3"/>
      <c r="E12886" s="3"/>
      <c r="F12886" s="3"/>
      <c r="G12886" s="3"/>
      <c r="H12886" s="11"/>
      <c r="I12886" s="12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  <c r="AA12886" s="3"/>
      <c r="AB12886" s="3"/>
      <c r="AC12886" s="3"/>
      <c r="AD12886" s="3"/>
      <c r="AE12886" s="3"/>
      <c r="AF12886" s="3"/>
      <c r="AG12886" s="3"/>
      <c r="AH12886" s="3"/>
    </row>
    <row r="12887" spans="1:34" ht="14.25" customHeight="1" x14ac:dyDescent="0.25">
      <c r="A12887" s="3"/>
      <c r="B12887" s="3"/>
      <c r="C12887" s="3"/>
      <c r="D12887" s="3"/>
      <c r="E12887" s="3"/>
      <c r="F12887" s="3"/>
      <c r="G12887" s="3"/>
      <c r="H12887" s="11"/>
      <c r="I12887" s="12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  <c r="AA12887" s="3"/>
      <c r="AB12887" s="3"/>
      <c r="AC12887" s="3"/>
      <c r="AD12887" s="3"/>
      <c r="AE12887" s="3"/>
      <c r="AF12887" s="3"/>
      <c r="AG12887" s="3"/>
      <c r="AH12887" s="3"/>
    </row>
    <row r="12888" spans="1:34" ht="14.25" customHeight="1" x14ac:dyDescent="0.25">
      <c r="A12888" s="3"/>
      <c r="B12888" s="3"/>
      <c r="C12888" s="3"/>
      <c r="D12888" s="3"/>
      <c r="E12888" s="3"/>
      <c r="F12888" s="3"/>
      <c r="G12888" s="3"/>
      <c r="H12888" s="11"/>
      <c r="I12888" s="12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  <c r="AA12888" s="3"/>
      <c r="AB12888" s="3"/>
      <c r="AC12888" s="3"/>
      <c r="AD12888" s="3"/>
      <c r="AE12888" s="3"/>
      <c r="AF12888" s="3"/>
      <c r="AG12888" s="3"/>
      <c r="AH12888" s="3"/>
    </row>
    <row r="12889" spans="1:34" ht="14.25" customHeight="1" x14ac:dyDescent="0.25">
      <c r="A12889" s="3"/>
      <c r="B12889" s="3"/>
      <c r="C12889" s="3"/>
      <c r="D12889" s="3"/>
      <c r="E12889" s="3"/>
      <c r="F12889" s="3"/>
      <c r="G12889" s="3"/>
      <c r="H12889" s="11"/>
      <c r="I12889" s="12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  <c r="AA12889" s="3"/>
      <c r="AB12889" s="3"/>
      <c r="AC12889" s="3"/>
      <c r="AD12889" s="3"/>
      <c r="AE12889" s="3"/>
      <c r="AF12889" s="3"/>
      <c r="AG12889" s="3"/>
      <c r="AH12889" s="3"/>
    </row>
    <row r="12890" spans="1:34" ht="14.25" customHeight="1" x14ac:dyDescent="0.25">
      <c r="A12890" s="3"/>
      <c r="B12890" s="3"/>
      <c r="C12890" s="3"/>
      <c r="D12890" s="3"/>
      <c r="E12890" s="3"/>
      <c r="F12890" s="3"/>
      <c r="G12890" s="3"/>
      <c r="H12890" s="11"/>
      <c r="I12890" s="12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  <c r="AA12890" s="3"/>
      <c r="AB12890" s="3"/>
      <c r="AC12890" s="3"/>
      <c r="AD12890" s="3"/>
      <c r="AE12890" s="3"/>
      <c r="AF12890" s="3"/>
      <c r="AG12890" s="3"/>
      <c r="AH12890" s="3"/>
    </row>
    <row r="12891" spans="1:34" ht="14.25" customHeight="1" x14ac:dyDescent="0.25">
      <c r="A12891" s="3"/>
      <c r="B12891" s="3"/>
      <c r="C12891" s="3"/>
      <c r="D12891" s="3"/>
      <c r="E12891" s="3"/>
      <c r="F12891" s="3"/>
      <c r="G12891" s="3"/>
      <c r="H12891" s="11"/>
      <c r="I12891" s="12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  <c r="AA12891" s="3"/>
      <c r="AB12891" s="3"/>
      <c r="AC12891" s="3"/>
      <c r="AD12891" s="3"/>
      <c r="AE12891" s="3"/>
      <c r="AF12891" s="3"/>
      <c r="AG12891" s="3"/>
      <c r="AH12891" s="3"/>
    </row>
    <row r="12892" spans="1:34" ht="14.25" customHeight="1" x14ac:dyDescent="0.25">
      <c r="A12892" s="3"/>
      <c r="B12892" s="3"/>
      <c r="C12892" s="3"/>
      <c r="D12892" s="3"/>
      <c r="E12892" s="3"/>
      <c r="F12892" s="3"/>
      <c r="G12892" s="3"/>
      <c r="H12892" s="11"/>
      <c r="I12892" s="12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  <c r="AA12892" s="3"/>
      <c r="AB12892" s="3"/>
      <c r="AC12892" s="3"/>
      <c r="AD12892" s="3"/>
      <c r="AE12892" s="3"/>
      <c r="AF12892" s="3"/>
      <c r="AG12892" s="3"/>
      <c r="AH12892" s="3"/>
    </row>
    <row r="12893" spans="1:34" ht="14.25" customHeight="1" x14ac:dyDescent="0.25">
      <c r="A12893" s="3"/>
      <c r="B12893" s="3"/>
      <c r="C12893" s="3"/>
      <c r="D12893" s="3"/>
      <c r="E12893" s="3"/>
      <c r="F12893" s="3"/>
      <c r="G12893" s="3"/>
      <c r="H12893" s="11"/>
      <c r="I12893" s="12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  <c r="AA12893" s="3"/>
      <c r="AB12893" s="3"/>
      <c r="AC12893" s="3"/>
      <c r="AD12893" s="3"/>
      <c r="AE12893" s="3"/>
      <c r="AF12893" s="3"/>
      <c r="AG12893" s="3"/>
      <c r="AH12893" s="3"/>
    </row>
    <row r="12894" spans="1:34" ht="14.25" customHeight="1" x14ac:dyDescent="0.25">
      <c r="A12894" s="3"/>
      <c r="B12894" s="3"/>
      <c r="C12894" s="3"/>
      <c r="D12894" s="3"/>
      <c r="E12894" s="3"/>
      <c r="F12894" s="3"/>
      <c r="G12894" s="3"/>
      <c r="H12894" s="11"/>
      <c r="I12894" s="12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  <c r="AA12894" s="3"/>
      <c r="AB12894" s="3"/>
      <c r="AC12894" s="3"/>
      <c r="AD12894" s="3"/>
      <c r="AE12894" s="3"/>
      <c r="AF12894" s="3"/>
      <c r="AG12894" s="3"/>
      <c r="AH12894" s="3"/>
    </row>
    <row r="12895" spans="1:34" ht="14.25" customHeight="1" x14ac:dyDescent="0.25">
      <c r="A12895" s="3"/>
      <c r="B12895" s="3"/>
      <c r="C12895" s="3"/>
      <c r="D12895" s="3"/>
      <c r="E12895" s="3"/>
      <c r="F12895" s="3"/>
      <c r="G12895" s="3"/>
      <c r="H12895" s="11"/>
      <c r="I12895" s="12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  <c r="AA12895" s="3"/>
      <c r="AB12895" s="3"/>
      <c r="AC12895" s="3"/>
      <c r="AD12895" s="3"/>
      <c r="AE12895" s="3"/>
      <c r="AF12895" s="3"/>
      <c r="AG12895" s="3"/>
      <c r="AH12895" s="3"/>
    </row>
    <row r="12896" spans="1:34" ht="14.25" customHeight="1" x14ac:dyDescent="0.25">
      <c r="A12896" s="3"/>
      <c r="B12896" s="3"/>
      <c r="C12896" s="3"/>
      <c r="D12896" s="3"/>
      <c r="E12896" s="3"/>
      <c r="F12896" s="3"/>
      <c r="G12896" s="3"/>
      <c r="H12896" s="11"/>
      <c r="I12896" s="12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  <c r="AA12896" s="3"/>
      <c r="AB12896" s="3"/>
      <c r="AC12896" s="3"/>
      <c r="AD12896" s="3"/>
      <c r="AE12896" s="3"/>
      <c r="AF12896" s="3"/>
      <c r="AG12896" s="3"/>
      <c r="AH12896" s="3"/>
    </row>
    <row r="12897" spans="1:34" ht="14.25" customHeight="1" x14ac:dyDescent="0.25">
      <c r="A12897" s="3"/>
      <c r="B12897" s="3"/>
      <c r="C12897" s="3"/>
      <c r="D12897" s="3"/>
      <c r="E12897" s="3"/>
      <c r="F12897" s="3"/>
      <c r="G12897" s="3"/>
      <c r="H12897" s="11"/>
      <c r="I12897" s="12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  <c r="AA12897" s="3"/>
      <c r="AB12897" s="3"/>
      <c r="AC12897" s="3"/>
      <c r="AD12897" s="3"/>
      <c r="AE12897" s="3"/>
      <c r="AF12897" s="3"/>
      <c r="AG12897" s="3"/>
      <c r="AH12897" s="3"/>
    </row>
    <row r="12898" spans="1:34" ht="14.25" customHeight="1" x14ac:dyDescent="0.25">
      <c r="A12898" s="3"/>
      <c r="B12898" s="3"/>
      <c r="C12898" s="3"/>
      <c r="D12898" s="3"/>
      <c r="E12898" s="3"/>
      <c r="F12898" s="3"/>
      <c r="G12898" s="3"/>
      <c r="H12898" s="11"/>
      <c r="I12898" s="12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  <c r="AA12898" s="3"/>
      <c r="AB12898" s="3"/>
      <c r="AC12898" s="3"/>
      <c r="AD12898" s="3"/>
      <c r="AE12898" s="3"/>
      <c r="AF12898" s="3"/>
      <c r="AG12898" s="3"/>
      <c r="AH12898" s="3"/>
    </row>
    <row r="12899" spans="1:34" ht="14.25" customHeight="1" x14ac:dyDescent="0.25">
      <c r="A12899" s="3"/>
      <c r="B12899" s="3"/>
      <c r="C12899" s="3"/>
      <c r="D12899" s="3"/>
      <c r="E12899" s="3"/>
      <c r="F12899" s="3"/>
      <c r="G12899" s="3"/>
      <c r="H12899" s="11"/>
      <c r="I12899" s="12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  <c r="AA12899" s="3"/>
      <c r="AB12899" s="3"/>
      <c r="AC12899" s="3"/>
      <c r="AD12899" s="3"/>
      <c r="AE12899" s="3"/>
      <c r="AF12899" s="3"/>
      <c r="AG12899" s="3"/>
      <c r="AH12899" s="3"/>
    </row>
    <row r="12900" spans="1:34" ht="14.25" customHeight="1" x14ac:dyDescent="0.25">
      <c r="A12900" s="3"/>
      <c r="B12900" s="3"/>
      <c r="C12900" s="3"/>
      <c r="D12900" s="3"/>
      <c r="E12900" s="3"/>
      <c r="F12900" s="3"/>
      <c r="G12900" s="3"/>
      <c r="H12900" s="11"/>
      <c r="I12900" s="12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  <c r="AA12900" s="3"/>
      <c r="AB12900" s="3"/>
      <c r="AC12900" s="3"/>
      <c r="AD12900" s="3"/>
      <c r="AE12900" s="3"/>
      <c r="AF12900" s="3"/>
      <c r="AG12900" s="3"/>
      <c r="AH12900" s="3"/>
    </row>
    <row r="12901" spans="1:34" ht="14.25" customHeight="1" x14ac:dyDescent="0.25">
      <c r="A12901" s="3"/>
      <c r="B12901" s="3"/>
      <c r="C12901" s="3"/>
      <c r="D12901" s="3"/>
      <c r="E12901" s="3"/>
      <c r="F12901" s="3"/>
      <c r="G12901" s="3"/>
      <c r="H12901" s="11"/>
      <c r="I12901" s="12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  <c r="AA12901" s="3"/>
      <c r="AB12901" s="3"/>
      <c r="AC12901" s="3"/>
      <c r="AD12901" s="3"/>
      <c r="AE12901" s="3"/>
      <c r="AF12901" s="3"/>
      <c r="AG12901" s="3"/>
      <c r="AH12901" s="3"/>
    </row>
    <row r="12902" spans="1:34" ht="14.25" customHeight="1" x14ac:dyDescent="0.25">
      <c r="A12902" s="3"/>
      <c r="B12902" s="3"/>
      <c r="C12902" s="3"/>
      <c r="D12902" s="3"/>
      <c r="E12902" s="3"/>
      <c r="F12902" s="3"/>
      <c r="G12902" s="3"/>
      <c r="H12902" s="11"/>
      <c r="I12902" s="12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  <c r="AA12902" s="3"/>
      <c r="AB12902" s="3"/>
      <c r="AC12902" s="3"/>
      <c r="AD12902" s="3"/>
      <c r="AE12902" s="3"/>
      <c r="AF12902" s="3"/>
      <c r="AG12902" s="3"/>
      <c r="AH12902" s="3"/>
    </row>
    <row r="12903" spans="1:34" ht="14.25" customHeight="1" x14ac:dyDescent="0.25">
      <c r="A12903" s="3"/>
      <c r="B12903" s="3"/>
      <c r="C12903" s="3"/>
      <c r="D12903" s="3"/>
      <c r="E12903" s="3"/>
      <c r="F12903" s="3"/>
      <c r="G12903" s="3"/>
      <c r="H12903" s="11"/>
      <c r="I12903" s="12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  <c r="AA12903" s="3"/>
      <c r="AB12903" s="3"/>
      <c r="AC12903" s="3"/>
      <c r="AD12903" s="3"/>
      <c r="AE12903" s="3"/>
      <c r="AF12903" s="3"/>
      <c r="AG12903" s="3"/>
      <c r="AH12903" s="3"/>
    </row>
    <row r="12904" spans="1:34" ht="14.25" customHeight="1" x14ac:dyDescent="0.25">
      <c r="A12904" s="3"/>
      <c r="B12904" s="3"/>
      <c r="C12904" s="3"/>
      <c r="D12904" s="3"/>
      <c r="E12904" s="3"/>
      <c r="F12904" s="3"/>
      <c r="G12904" s="3"/>
      <c r="H12904" s="11"/>
      <c r="I12904" s="12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  <c r="AA12904" s="3"/>
      <c r="AB12904" s="3"/>
      <c r="AC12904" s="3"/>
      <c r="AD12904" s="3"/>
      <c r="AE12904" s="3"/>
      <c r="AF12904" s="3"/>
      <c r="AG12904" s="3"/>
      <c r="AH12904" s="3"/>
    </row>
    <row r="12905" spans="1:34" ht="14.25" customHeight="1" x14ac:dyDescent="0.25">
      <c r="A12905" s="3"/>
      <c r="B12905" s="3"/>
      <c r="C12905" s="3"/>
      <c r="D12905" s="3"/>
      <c r="E12905" s="3"/>
      <c r="F12905" s="3"/>
      <c r="G12905" s="3"/>
      <c r="H12905" s="11"/>
      <c r="I12905" s="12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  <c r="AA12905" s="3"/>
      <c r="AB12905" s="3"/>
      <c r="AC12905" s="3"/>
      <c r="AD12905" s="3"/>
      <c r="AE12905" s="3"/>
      <c r="AF12905" s="3"/>
      <c r="AG12905" s="3"/>
      <c r="AH12905" s="3"/>
    </row>
    <row r="12906" spans="1:34" ht="14.25" customHeight="1" x14ac:dyDescent="0.25">
      <c r="A12906" s="3"/>
      <c r="B12906" s="3"/>
      <c r="C12906" s="3"/>
      <c r="D12906" s="3"/>
      <c r="E12906" s="3"/>
      <c r="F12906" s="3"/>
      <c r="G12906" s="3"/>
      <c r="H12906" s="11"/>
      <c r="I12906" s="12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  <c r="AA12906" s="3"/>
      <c r="AB12906" s="3"/>
      <c r="AC12906" s="3"/>
      <c r="AD12906" s="3"/>
      <c r="AE12906" s="3"/>
      <c r="AF12906" s="3"/>
      <c r="AG12906" s="3"/>
      <c r="AH12906" s="3"/>
    </row>
    <row r="12907" spans="1:34" ht="14.25" customHeight="1" x14ac:dyDescent="0.25">
      <c r="A12907" s="3"/>
      <c r="B12907" s="3"/>
      <c r="C12907" s="3"/>
      <c r="D12907" s="3"/>
      <c r="E12907" s="3"/>
      <c r="F12907" s="3"/>
      <c r="G12907" s="3"/>
      <c r="H12907" s="11"/>
      <c r="I12907" s="12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  <c r="AA12907" s="3"/>
      <c r="AB12907" s="3"/>
      <c r="AC12907" s="3"/>
      <c r="AD12907" s="3"/>
      <c r="AE12907" s="3"/>
      <c r="AF12907" s="3"/>
      <c r="AG12907" s="3"/>
      <c r="AH12907" s="3"/>
    </row>
    <row r="12908" spans="1:34" ht="14.25" customHeight="1" x14ac:dyDescent="0.25">
      <c r="A12908" s="3"/>
      <c r="B12908" s="3"/>
      <c r="C12908" s="3"/>
      <c r="D12908" s="3"/>
      <c r="E12908" s="3"/>
      <c r="F12908" s="3"/>
      <c r="G12908" s="3"/>
      <c r="H12908" s="11"/>
      <c r="I12908" s="12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  <c r="AA12908" s="3"/>
      <c r="AB12908" s="3"/>
      <c r="AC12908" s="3"/>
      <c r="AD12908" s="3"/>
      <c r="AE12908" s="3"/>
      <c r="AF12908" s="3"/>
      <c r="AG12908" s="3"/>
      <c r="AH12908" s="3"/>
    </row>
    <row r="12909" spans="1:34" ht="14.25" customHeight="1" x14ac:dyDescent="0.25">
      <c r="A12909" s="3"/>
      <c r="B12909" s="3"/>
      <c r="C12909" s="3"/>
      <c r="D12909" s="3"/>
      <c r="E12909" s="3"/>
      <c r="F12909" s="3"/>
      <c r="G12909" s="3"/>
      <c r="H12909" s="11"/>
      <c r="I12909" s="12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  <c r="AA12909" s="3"/>
      <c r="AB12909" s="3"/>
      <c r="AC12909" s="3"/>
      <c r="AD12909" s="3"/>
      <c r="AE12909" s="3"/>
      <c r="AF12909" s="3"/>
      <c r="AG12909" s="3"/>
      <c r="AH12909" s="3"/>
    </row>
    <row r="12910" spans="1:34" ht="14.25" customHeight="1" x14ac:dyDescent="0.25">
      <c r="A12910" s="3"/>
      <c r="B12910" s="3"/>
      <c r="C12910" s="3"/>
      <c r="D12910" s="3"/>
      <c r="E12910" s="3"/>
      <c r="F12910" s="3"/>
      <c r="G12910" s="3"/>
      <c r="H12910" s="11"/>
      <c r="I12910" s="12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  <c r="AA12910" s="3"/>
      <c r="AB12910" s="3"/>
      <c r="AC12910" s="3"/>
      <c r="AD12910" s="3"/>
      <c r="AE12910" s="3"/>
      <c r="AF12910" s="3"/>
      <c r="AG12910" s="3"/>
      <c r="AH12910" s="3"/>
    </row>
    <row r="12911" spans="1:34" ht="14.25" customHeight="1" x14ac:dyDescent="0.25">
      <c r="A12911" s="3"/>
      <c r="B12911" s="3"/>
      <c r="C12911" s="3"/>
      <c r="D12911" s="3"/>
      <c r="E12911" s="3"/>
      <c r="F12911" s="3"/>
      <c r="G12911" s="3"/>
      <c r="H12911" s="11"/>
      <c r="I12911" s="12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  <c r="AA12911" s="3"/>
      <c r="AB12911" s="3"/>
      <c r="AC12911" s="3"/>
      <c r="AD12911" s="3"/>
      <c r="AE12911" s="3"/>
      <c r="AF12911" s="3"/>
      <c r="AG12911" s="3"/>
      <c r="AH12911" s="3"/>
    </row>
    <row r="12912" spans="1:34" ht="14.25" customHeight="1" x14ac:dyDescent="0.25">
      <c r="A12912" s="3"/>
      <c r="B12912" s="3"/>
      <c r="C12912" s="3"/>
      <c r="D12912" s="3"/>
      <c r="E12912" s="3"/>
      <c r="F12912" s="3"/>
      <c r="G12912" s="3"/>
      <c r="H12912" s="11"/>
      <c r="I12912" s="12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  <c r="AA12912" s="3"/>
      <c r="AB12912" s="3"/>
      <c r="AC12912" s="3"/>
      <c r="AD12912" s="3"/>
      <c r="AE12912" s="3"/>
      <c r="AF12912" s="3"/>
      <c r="AG12912" s="3"/>
      <c r="AH12912" s="3"/>
    </row>
    <row r="12913" spans="1:34" ht="14.25" customHeight="1" x14ac:dyDescent="0.25">
      <c r="A12913" s="3"/>
      <c r="B12913" s="3"/>
      <c r="C12913" s="3"/>
      <c r="D12913" s="3"/>
      <c r="E12913" s="3"/>
      <c r="F12913" s="3"/>
      <c r="G12913" s="3"/>
      <c r="H12913" s="11"/>
      <c r="I12913" s="12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  <c r="AA12913" s="3"/>
      <c r="AB12913" s="3"/>
      <c r="AC12913" s="3"/>
      <c r="AD12913" s="3"/>
      <c r="AE12913" s="3"/>
      <c r="AF12913" s="3"/>
      <c r="AG12913" s="3"/>
      <c r="AH12913" s="3"/>
    </row>
    <row r="12914" spans="1:34" ht="14.25" customHeight="1" x14ac:dyDescent="0.25">
      <c r="A12914" s="3"/>
      <c r="B12914" s="3"/>
      <c r="C12914" s="3"/>
      <c r="D12914" s="3"/>
      <c r="E12914" s="3"/>
      <c r="F12914" s="3"/>
      <c r="G12914" s="3"/>
      <c r="H12914" s="11"/>
      <c r="I12914" s="12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  <c r="AA12914" s="3"/>
      <c r="AB12914" s="3"/>
      <c r="AC12914" s="3"/>
      <c r="AD12914" s="3"/>
      <c r="AE12914" s="3"/>
      <c r="AF12914" s="3"/>
      <c r="AG12914" s="3"/>
      <c r="AH12914" s="3"/>
    </row>
    <row r="12915" spans="1:34" ht="14.25" customHeight="1" x14ac:dyDescent="0.25">
      <c r="A12915" s="3"/>
      <c r="B12915" s="3"/>
      <c r="C12915" s="3"/>
      <c r="D12915" s="3"/>
      <c r="E12915" s="3"/>
      <c r="F12915" s="3"/>
      <c r="G12915" s="3"/>
      <c r="H12915" s="11"/>
      <c r="I12915" s="12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  <c r="AA12915" s="3"/>
      <c r="AB12915" s="3"/>
      <c r="AC12915" s="3"/>
      <c r="AD12915" s="3"/>
      <c r="AE12915" s="3"/>
      <c r="AF12915" s="3"/>
      <c r="AG12915" s="3"/>
      <c r="AH12915" s="3"/>
    </row>
    <row r="12916" spans="1:34" ht="14.25" customHeight="1" x14ac:dyDescent="0.25">
      <c r="A12916" s="3"/>
      <c r="B12916" s="3"/>
      <c r="C12916" s="3"/>
      <c r="D12916" s="3"/>
      <c r="E12916" s="3"/>
      <c r="F12916" s="3"/>
      <c r="G12916" s="3"/>
      <c r="H12916" s="11"/>
      <c r="I12916" s="12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  <c r="AA12916" s="3"/>
      <c r="AB12916" s="3"/>
      <c r="AC12916" s="3"/>
      <c r="AD12916" s="3"/>
      <c r="AE12916" s="3"/>
      <c r="AF12916" s="3"/>
      <c r="AG12916" s="3"/>
      <c r="AH12916" s="3"/>
    </row>
    <row r="12917" spans="1:34" ht="14.25" customHeight="1" x14ac:dyDescent="0.25">
      <c r="A12917" s="3"/>
      <c r="B12917" s="3"/>
      <c r="C12917" s="3"/>
      <c r="D12917" s="3"/>
      <c r="E12917" s="3"/>
      <c r="F12917" s="3"/>
      <c r="G12917" s="3"/>
      <c r="H12917" s="11"/>
      <c r="I12917" s="12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  <c r="AA12917" s="3"/>
      <c r="AB12917" s="3"/>
      <c r="AC12917" s="3"/>
      <c r="AD12917" s="3"/>
      <c r="AE12917" s="3"/>
      <c r="AF12917" s="3"/>
      <c r="AG12917" s="3"/>
      <c r="AH12917" s="3"/>
    </row>
    <row r="12918" spans="1:34" ht="14.25" customHeight="1" x14ac:dyDescent="0.25">
      <c r="A12918" s="3"/>
      <c r="B12918" s="3"/>
      <c r="C12918" s="3"/>
      <c r="D12918" s="3"/>
      <c r="E12918" s="3"/>
      <c r="F12918" s="3"/>
      <c r="G12918" s="3"/>
      <c r="H12918" s="11"/>
      <c r="I12918" s="12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  <c r="AA12918" s="3"/>
      <c r="AB12918" s="3"/>
      <c r="AC12918" s="3"/>
      <c r="AD12918" s="3"/>
      <c r="AE12918" s="3"/>
      <c r="AF12918" s="3"/>
      <c r="AG12918" s="3"/>
      <c r="AH12918" s="3"/>
    </row>
    <row r="12919" spans="1:34" ht="14.25" customHeight="1" x14ac:dyDescent="0.25">
      <c r="A12919" s="3"/>
      <c r="B12919" s="3"/>
      <c r="C12919" s="3"/>
      <c r="D12919" s="3"/>
      <c r="E12919" s="3"/>
      <c r="F12919" s="3"/>
      <c r="G12919" s="3"/>
      <c r="H12919" s="11"/>
      <c r="I12919" s="12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  <c r="AA12919" s="3"/>
      <c r="AB12919" s="3"/>
      <c r="AC12919" s="3"/>
      <c r="AD12919" s="3"/>
      <c r="AE12919" s="3"/>
      <c r="AF12919" s="3"/>
      <c r="AG12919" s="3"/>
      <c r="AH12919" s="3"/>
    </row>
    <row r="12920" spans="1:34" ht="14.25" customHeight="1" x14ac:dyDescent="0.25">
      <c r="A12920" s="3"/>
      <c r="B12920" s="3"/>
      <c r="C12920" s="3"/>
      <c r="D12920" s="3"/>
      <c r="E12920" s="3"/>
      <c r="F12920" s="3"/>
      <c r="G12920" s="3"/>
      <c r="H12920" s="11"/>
      <c r="I12920" s="12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  <c r="AA12920" s="3"/>
      <c r="AB12920" s="3"/>
      <c r="AC12920" s="3"/>
      <c r="AD12920" s="3"/>
      <c r="AE12920" s="3"/>
      <c r="AF12920" s="3"/>
      <c r="AG12920" s="3"/>
      <c r="AH12920" s="3"/>
    </row>
    <row r="12921" spans="1:34" ht="14.25" customHeight="1" x14ac:dyDescent="0.25">
      <c r="A12921" s="3"/>
      <c r="B12921" s="3"/>
      <c r="C12921" s="3"/>
      <c r="D12921" s="3"/>
      <c r="E12921" s="3"/>
      <c r="F12921" s="3"/>
      <c r="G12921" s="3"/>
      <c r="H12921" s="11"/>
      <c r="I12921" s="12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  <c r="AA12921" s="3"/>
      <c r="AB12921" s="3"/>
      <c r="AC12921" s="3"/>
      <c r="AD12921" s="3"/>
      <c r="AE12921" s="3"/>
      <c r="AF12921" s="3"/>
      <c r="AG12921" s="3"/>
      <c r="AH12921" s="3"/>
    </row>
    <row r="12922" spans="1:34" ht="14.25" customHeight="1" x14ac:dyDescent="0.25">
      <c r="A12922" s="3"/>
      <c r="B12922" s="3"/>
      <c r="C12922" s="3"/>
      <c r="D12922" s="3"/>
      <c r="E12922" s="3"/>
      <c r="F12922" s="3"/>
      <c r="G12922" s="3"/>
      <c r="H12922" s="11"/>
      <c r="I12922" s="12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  <c r="AA12922" s="3"/>
      <c r="AB12922" s="3"/>
      <c r="AC12922" s="3"/>
      <c r="AD12922" s="3"/>
      <c r="AE12922" s="3"/>
      <c r="AF12922" s="3"/>
      <c r="AG12922" s="3"/>
      <c r="AH12922" s="3"/>
    </row>
    <row r="12923" spans="1:34" ht="14.25" customHeight="1" x14ac:dyDescent="0.25">
      <c r="A12923" s="3"/>
      <c r="B12923" s="3"/>
      <c r="C12923" s="3"/>
      <c r="D12923" s="3"/>
      <c r="E12923" s="3"/>
      <c r="F12923" s="3"/>
      <c r="G12923" s="3"/>
      <c r="H12923" s="11"/>
      <c r="I12923" s="12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  <c r="AA12923" s="3"/>
      <c r="AB12923" s="3"/>
      <c r="AC12923" s="3"/>
      <c r="AD12923" s="3"/>
      <c r="AE12923" s="3"/>
      <c r="AF12923" s="3"/>
      <c r="AG12923" s="3"/>
      <c r="AH12923" s="3"/>
    </row>
    <row r="12924" spans="1:34" ht="14.25" customHeight="1" x14ac:dyDescent="0.25">
      <c r="A12924" s="3"/>
      <c r="B12924" s="3"/>
      <c r="C12924" s="3"/>
      <c r="D12924" s="3"/>
      <c r="E12924" s="3"/>
      <c r="F12924" s="3"/>
      <c r="G12924" s="3"/>
      <c r="H12924" s="11"/>
      <c r="I12924" s="12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  <c r="AA12924" s="3"/>
      <c r="AB12924" s="3"/>
      <c r="AC12924" s="3"/>
      <c r="AD12924" s="3"/>
      <c r="AE12924" s="3"/>
      <c r="AF12924" s="3"/>
      <c r="AG12924" s="3"/>
      <c r="AH12924" s="3"/>
    </row>
    <row r="12925" spans="1:34" ht="14.25" customHeight="1" x14ac:dyDescent="0.25">
      <c r="A12925" s="3"/>
      <c r="B12925" s="3"/>
      <c r="C12925" s="3"/>
      <c r="D12925" s="3"/>
      <c r="E12925" s="3"/>
      <c r="F12925" s="3"/>
      <c r="G12925" s="3"/>
      <c r="H12925" s="11"/>
      <c r="I12925" s="12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  <c r="AA12925" s="3"/>
      <c r="AB12925" s="3"/>
      <c r="AC12925" s="3"/>
      <c r="AD12925" s="3"/>
      <c r="AE12925" s="3"/>
      <c r="AF12925" s="3"/>
      <c r="AG12925" s="3"/>
      <c r="AH12925" s="3"/>
    </row>
    <row r="12926" spans="1:34" ht="14.25" customHeight="1" x14ac:dyDescent="0.25">
      <c r="A12926" s="3"/>
      <c r="B12926" s="3"/>
      <c r="C12926" s="3"/>
      <c r="D12926" s="3"/>
      <c r="E12926" s="3"/>
      <c r="F12926" s="3"/>
      <c r="G12926" s="3"/>
      <c r="H12926" s="11"/>
      <c r="I12926" s="12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  <c r="AA12926" s="3"/>
      <c r="AB12926" s="3"/>
      <c r="AC12926" s="3"/>
      <c r="AD12926" s="3"/>
      <c r="AE12926" s="3"/>
      <c r="AF12926" s="3"/>
      <c r="AG12926" s="3"/>
      <c r="AH12926" s="3"/>
    </row>
    <row r="12927" spans="1:34" ht="14.25" customHeight="1" x14ac:dyDescent="0.25">
      <c r="A12927" s="3"/>
      <c r="B12927" s="3"/>
      <c r="C12927" s="3"/>
      <c r="D12927" s="3"/>
      <c r="E12927" s="3"/>
      <c r="F12927" s="3"/>
      <c r="G12927" s="3"/>
      <c r="H12927" s="11"/>
      <c r="I12927" s="12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  <c r="AA12927" s="3"/>
      <c r="AB12927" s="3"/>
      <c r="AC12927" s="3"/>
      <c r="AD12927" s="3"/>
      <c r="AE12927" s="3"/>
      <c r="AF12927" s="3"/>
      <c r="AG12927" s="3"/>
      <c r="AH12927" s="3"/>
    </row>
    <row r="12928" spans="1:34" ht="14.25" customHeight="1" x14ac:dyDescent="0.25">
      <c r="A12928" s="3"/>
      <c r="B12928" s="3"/>
      <c r="C12928" s="3"/>
      <c r="D12928" s="3"/>
      <c r="E12928" s="3"/>
      <c r="F12928" s="3"/>
      <c r="G12928" s="3"/>
      <c r="H12928" s="11"/>
      <c r="I12928" s="12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  <c r="AA12928" s="3"/>
      <c r="AB12928" s="3"/>
      <c r="AC12928" s="3"/>
      <c r="AD12928" s="3"/>
      <c r="AE12928" s="3"/>
      <c r="AF12928" s="3"/>
      <c r="AG12928" s="3"/>
      <c r="AH12928" s="3"/>
    </row>
    <row r="12929" spans="1:34" ht="14.25" customHeight="1" x14ac:dyDescent="0.25">
      <c r="A12929" s="3"/>
      <c r="B12929" s="3"/>
      <c r="C12929" s="3"/>
      <c r="D12929" s="3"/>
      <c r="E12929" s="3"/>
      <c r="F12929" s="3"/>
      <c r="G12929" s="3"/>
      <c r="H12929" s="11"/>
      <c r="I12929" s="12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  <c r="AA12929" s="3"/>
      <c r="AB12929" s="3"/>
      <c r="AC12929" s="3"/>
      <c r="AD12929" s="3"/>
      <c r="AE12929" s="3"/>
      <c r="AF12929" s="3"/>
      <c r="AG12929" s="3"/>
      <c r="AH12929" s="3"/>
    </row>
    <row r="12930" spans="1:34" ht="14.25" customHeight="1" x14ac:dyDescent="0.25">
      <c r="A12930" s="3"/>
      <c r="B12930" s="3"/>
      <c r="C12930" s="3"/>
      <c r="D12930" s="3"/>
      <c r="E12930" s="3"/>
      <c r="F12930" s="3"/>
      <c r="G12930" s="3"/>
      <c r="H12930" s="11"/>
      <c r="I12930" s="12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  <c r="AA12930" s="3"/>
      <c r="AB12930" s="3"/>
      <c r="AC12930" s="3"/>
      <c r="AD12930" s="3"/>
      <c r="AE12930" s="3"/>
      <c r="AF12930" s="3"/>
      <c r="AG12930" s="3"/>
      <c r="AH12930" s="3"/>
    </row>
    <row r="12931" spans="1:34" ht="14.25" customHeight="1" x14ac:dyDescent="0.25">
      <c r="A12931" s="3"/>
      <c r="B12931" s="3"/>
      <c r="C12931" s="3"/>
      <c r="D12931" s="3"/>
      <c r="E12931" s="3"/>
      <c r="F12931" s="3"/>
      <c r="G12931" s="3"/>
      <c r="H12931" s="11"/>
      <c r="I12931" s="12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  <c r="AA12931" s="3"/>
      <c r="AB12931" s="3"/>
      <c r="AC12931" s="3"/>
      <c r="AD12931" s="3"/>
      <c r="AE12931" s="3"/>
      <c r="AF12931" s="3"/>
      <c r="AG12931" s="3"/>
      <c r="AH12931" s="3"/>
    </row>
    <row r="12932" spans="1:34" ht="14.25" customHeight="1" x14ac:dyDescent="0.25">
      <c r="A12932" s="3"/>
      <c r="B12932" s="3"/>
      <c r="C12932" s="3"/>
      <c r="D12932" s="3"/>
      <c r="E12932" s="3"/>
      <c r="F12932" s="3"/>
      <c r="G12932" s="3"/>
      <c r="H12932" s="11"/>
      <c r="I12932" s="12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  <c r="AA12932" s="3"/>
      <c r="AB12932" s="3"/>
      <c r="AC12932" s="3"/>
      <c r="AD12932" s="3"/>
      <c r="AE12932" s="3"/>
      <c r="AF12932" s="3"/>
      <c r="AG12932" s="3"/>
      <c r="AH12932" s="3"/>
    </row>
    <row r="12933" spans="1:34" ht="14.25" customHeight="1" x14ac:dyDescent="0.25">
      <c r="A12933" s="3"/>
      <c r="B12933" s="3"/>
      <c r="C12933" s="3"/>
      <c r="D12933" s="3"/>
      <c r="E12933" s="3"/>
      <c r="F12933" s="3"/>
      <c r="G12933" s="3"/>
      <c r="H12933" s="11"/>
      <c r="I12933" s="12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  <c r="AA12933" s="3"/>
      <c r="AB12933" s="3"/>
      <c r="AC12933" s="3"/>
      <c r="AD12933" s="3"/>
      <c r="AE12933" s="3"/>
      <c r="AF12933" s="3"/>
      <c r="AG12933" s="3"/>
      <c r="AH12933" s="3"/>
    </row>
    <row r="12934" spans="1:34" ht="14.25" customHeight="1" x14ac:dyDescent="0.25">
      <c r="A12934" s="3"/>
      <c r="B12934" s="3"/>
      <c r="C12934" s="3"/>
      <c r="D12934" s="3"/>
      <c r="E12934" s="3"/>
      <c r="F12934" s="3"/>
      <c r="G12934" s="3"/>
      <c r="H12934" s="11"/>
      <c r="I12934" s="12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  <c r="AA12934" s="3"/>
      <c r="AB12934" s="3"/>
      <c r="AC12934" s="3"/>
      <c r="AD12934" s="3"/>
      <c r="AE12934" s="3"/>
      <c r="AF12934" s="3"/>
      <c r="AG12934" s="3"/>
      <c r="AH12934" s="3"/>
    </row>
    <row r="12935" spans="1:34" ht="14.25" customHeight="1" x14ac:dyDescent="0.25">
      <c r="A12935" s="3"/>
      <c r="B12935" s="3"/>
      <c r="C12935" s="3"/>
      <c r="D12935" s="3"/>
      <c r="E12935" s="3"/>
      <c r="F12935" s="3"/>
      <c r="G12935" s="3"/>
      <c r="H12935" s="11"/>
      <c r="I12935" s="12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  <c r="AA12935" s="3"/>
      <c r="AB12935" s="3"/>
      <c r="AC12935" s="3"/>
      <c r="AD12935" s="3"/>
      <c r="AE12935" s="3"/>
      <c r="AF12935" s="3"/>
      <c r="AG12935" s="3"/>
      <c r="AH12935" s="3"/>
    </row>
    <row r="12936" spans="1:34" ht="14.25" customHeight="1" x14ac:dyDescent="0.25">
      <c r="A12936" s="3"/>
      <c r="B12936" s="3"/>
      <c r="C12936" s="3"/>
      <c r="D12936" s="3"/>
      <c r="E12936" s="3"/>
      <c r="F12936" s="3"/>
      <c r="G12936" s="3"/>
      <c r="H12936" s="11"/>
      <c r="I12936" s="12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  <c r="AA12936" s="3"/>
      <c r="AB12936" s="3"/>
      <c r="AC12936" s="3"/>
      <c r="AD12936" s="3"/>
      <c r="AE12936" s="3"/>
      <c r="AF12936" s="3"/>
      <c r="AG12936" s="3"/>
      <c r="AH12936" s="3"/>
    </row>
    <row r="12937" spans="1:34" ht="14.25" customHeight="1" x14ac:dyDescent="0.25">
      <c r="A12937" s="3"/>
      <c r="B12937" s="3"/>
      <c r="C12937" s="3"/>
      <c r="D12937" s="3"/>
      <c r="E12937" s="3"/>
      <c r="F12937" s="3"/>
      <c r="G12937" s="3"/>
      <c r="H12937" s="11"/>
      <c r="I12937" s="12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  <c r="AA12937" s="3"/>
      <c r="AB12937" s="3"/>
      <c r="AC12937" s="3"/>
      <c r="AD12937" s="3"/>
      <c r="AE12937" s="3"/>
      <c r="AF12937" s="3"/>
      <c r="AG12937" s="3"/>
      <c r="AH12937" s="3"/>
    </row>
    <row r="12938" spans="1:34" ht="14.25" customHeight="1" x14ac:dyDescent="0.25">
      <c r="A12938" s="3"/>
      <c r="B12938" s="3"/>
      <c r="C12938" s="3"/>
      <c r="D12938" s="3"/>
      <c r="E12938" s="3"/>
      <c r="F12938" s="3"/>
      <c r="G12938" s="3"/>
      <c r="H12938" s="11"/>
      <c r="I12938" s="12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  <c r="AA12938" s="3"/>
      <c r="AB12938" s="3"/>
      <c r="AC12938" s="3"/>
      <c r="AD12938" s="3"/>
      <c r="AE12938" s="3"/>
      <c r="AF12938" s="3"/>
      <c r="AG12938" s="3"/>
      <c r="AH12938" s="3"/>
    </row>
    <row r="12939" spans="1:34" ht="14.25" customHeight="1" x14ac:dyDescent="0.25">
      <c r="A12939" s="3"/>
      <c r="B12939" s="3"/>
      <c r="C12939" s="3"/>
      <c r="D12939" s="3"/>
      <c r="E12939" s="3"/>
      <c r="F12939" s="3"/>
      <c r="G12939" s="3"/>
      <c r="H12939" s="11"/>
      <c r="I12939" s="12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  <c r="AA12939" s="3"/>
      <c r="AB12939" s="3"/>
      <c r="AC12939" s="3"/>
      <c r="AD12939" s="3"/>
      <c r="AE12939" s="3"/>
      <c r="AF12939" s="3"/>
      <c r="AG12939" s="3"/>
      <c r="AH12939" s="3"/>
    </row>
    <row r="12940" spans="1:34" ht="14.25" customHeight="1" x14ac:dyDescent="0.25">
      <c r="A12940" s="3"/>
      <c r="B12940" s="3"/>
      <c r="C12940" s="3"/>
      <c r="D12940" s="3"/>
      <c r="E12940" s="3"/>
      <c r="F12940" s="3"/>
      <c r="G12940" s="3"/>
      <c r="H12940" s="11"/>
      <c r="I12940" s="12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  <c r="AA12940" s="3"/>
      <c r="AB12940" s="3"/>
      <c r="AC12940" s="3"/>
      <c r="AD12940" s="3"/>
      <c r="AE12940" s="3"/>
      <c r="AF12940" s="3"/>
      <c r="AG12940" s="3"/>
      <c r="AH12940" s="3"/>
    </row>
    <row r="12941" spans="1:34" ht="14.25" customHeight="1" x14ac:dyDescent="0.25">
      <c r="A12941" s="3"/>
      <c r="B12941" s="3"/>
      <c r="C12941" s="3"/>
      <c r="D12941" s="3"/>
      <c r="E12941" s="3"/>
      <c r="F12941" s="3"/>
      <c r="G12941" s="3"/>
      <c r="H12941" s="11"/>
      <c r="I12941" s="12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  <c r="AA12941" s="3"/>
      <c r="AB12941" s="3"/>
      <c r="AC12941" s="3"/>
      <c r="AD12941" s="3"/>
      <c r="AE12941" s="3"/>
      <c r="AF12941" s="3"/>
      <c r="AG12941" s="3"/>
      <c r="AH12941" s="3"/>
    </row>
    <row r="12942" spans="1:34" ht="14.25" customHeight="1" x14ac:dyDescent="0.25">
      <c r="A12942" s="3"/>
      <c r="B12942" s="3"/>
      <c r="C12942" s="3"/>
      <c r="D12942" s="3"/>
      <c r="E12942" s="3"/>
      <c r="F12942" s="3"/>
      <c r="G12942" s="3"/>
      <c r="H12942" s="11"/>
      <c r="I12942" s="12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  <c r="AA12942" s="3"/>
      <c r="AB12942" s="3"/>
      <c r="AC12942" s="3"/>
      <c r="AD12942" s="3"/>
      <c r="AE12942" s="3"/>
      <c r="AF12942" s="3"/>
      <c r="AG12942" s="3"/>
      <c r="AH12942" s="3"/>
    </row>
    <row r="12943" spans="1:34" ht="14.25" customHeight="1" x14ac:dyDescent="0.25">
      <c r="A12943" s="3"/>
      <c r="B12943" s="3"/>
      <c r="C12943" s="3"/>
      <c r="D12943" s="3"/>
      <c r="E12943" s="3"/>
      <c r="F12943" s="3"/>
      <c r="G12943" s="3"/>
      <c r="H12943" s="11"/>
      <c r="I12943" s="12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  <c r="AA12943" s="3"/>
      <c r="AB12943" s="3"/>
      <c r="AC12943" s="3"/>
      <c r="AD12943" s="3"/>
      <c r="AE12943" s="3"/>
      <c r="AF12943" s="3"/>
      <c r="AG12943" s="3"/>
      <c r="AH12943" s="3"/>
    </row>
    <row r="12944" spans="1:34" ht="14.25" customHeight="1" x14ac:dyDescent="0.25">
      <c r="A12944" s="3"/>
      <c r="B12944" s="3"/>
      <c r="C12944" s="3"/>
      <c r="D12944" s="3"/>
      <c r="E12944" s="3"/>
      <c r="F12944" s="3"/>
      <c r="G12944" s="3"/>
      <c r="H12944" s="11"/>
      <c r="I12944" s="12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  <c r="AA12944" s="3"/>
      <c r="AB12944" s="3"/>
      <c r="AC12944" s="3"/>
      <c r="AD12944" s="3"/>
      <c r="AE12944" s="3"/>
      <c r="AF12944" s="3"/>
      <c r="AG12944" s="3"/>
      <c r="AH12944" s="3"/>
    </row>
    <row r="12945" spans="1:34" ht="14.25" customHeight="1" x14ac:dyDescent="0.25">
      <c r="A12945" s="3"/>
      <c r="B12945" s="3"/>
      <c r="C12945" s="3"/>
      <c r="D12945" s="3"/>
      <c r="E12945" s="3"/>
      <c r="F12945" s="3"/>
      <c r="G12945" s="3"/>
      <c r="H12945" s="11"/>
      <c r="I12945" s="12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  <c r="AA12945" s="3"/>
      <c r="AB12945" s="3"/>
      <c r="AC12945" s="3"/>
      <c r="AD12945" s="3"/>
      <c r="AE12945" s="3"/>
      <c r="AF12945" s="3"/>
      <c r="AG12945" s="3"/>
      <c r="AH12945" s="3"/>
    </row>
    <row r="12946" spans="1:34" ht="14.25" customHeight="1" x14ac:dyDescent="0.25">
      <c r="A12946" s="3"/>
      <c r="B12946" s="3"/>
      <c r="C12946" s="3"/>
      <c r="D12946" s="3"/>
      <c r="E12946" s="3"/>
      <c r="F12946" s="3"/>
      <c r="G12946" s="3"/>
      <c r="H12946" s="11"/>
      <c r="I12946" s="12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  <c r="AA12946" s="3"/>
      <c r="AB12946" s="3"/>
      <c r="AC12946" s="3"/>
      <c r="AD12946" s="3"/>
      <c r="AE12946" s="3"/>
      <c r="AF12946" s="3"/>
      <c r="AG12946" s="3"/>
      <c r="AH12946" s="3"/>
    </row>
    <row r="12947" spans="1:34" ht="14.25" customHeight="1" x14ac:dyDescent="0.25">
      <c r="A12947" s="3"/>
      <c r="B12947" s="3"/>
      <c r="C12947" s="3"/>
      <c r="D12947" s="3"/>
      <c r="E12947" s="3"/>
      <c r="F12947" s="3"/>
      <c r="G12947" s="3"/>
      <c r="H12947" s="11"/>
      <c r="I12947" s="12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  <c r="AA12947" s="3"/>
      <c r="AB12947" s="3"/>
      <c r="AC12947" s="3"/>
      <c r="AD12947" s="3"/>
      <c r="AE12947" s="3"/>
      <c r="AF12947" s="3"/>
      <c r="AG12947" s="3"/>
      <c r="AH12947" s="3"/>
    </row>
    <row r="12948" spans="1:34" ht="14.25" customHeight="1" x14ac:dyDescent="0.25">
      <c r="A12948" s="3"/>
      <c r="B12948" s="3"/>
      <c r="C12948" s="3"/>
      <c r="D12948" s="3"/>
      <c r="E12948" s="3"/>
      <c r="F12948" s="3"/>
      <c r="G12948" s="3"/>
      <c r="H12948" s="11"/>
      <c r="I12948" s="12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  <c r="AA12948" s="3"/>
      <c r="AB12948" s="3"/>
      <c r="AC12948" s="3"/>
      <c r="AD12948" s="3"/>
      <c r="AE12948" s="3"/>
      <c r="AF12948" s="3"/>
      <c r="AG12948" s="3"/>
      <c r="AH12948" s="3"/>
    </row>
    <row r="12949" spans="1:34" ht="14.25" customHeight="1" x14ac:dyDescent="0.25">
      <c r="A12949" s="3"/>
      <c r="B12949" s="3"/>
      <c r="C12949" s="3"/>
      <c r="D12949" s="3"/>
      <c r="E12949" s="3"/>
      <c r="F12949" s="3"/>
      <c r="G12949" s="3"/>
      <c r="H12949" s="11"/>
      <c r="I12949" s="12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  <c r="AA12949" s="3"/>
      <c r="AB12949" s="3"/>
      <c r="AC12949" s="3"/>
      <c r="AD12949" s="3"/>
      <c r="AE12949" s="3"/>
      <c r="AF12949" s="3"/>
      <c r="AG12949" s="3"/>
      <c r="AH12949" s="3"/>
    </row>
    <row r="12950" spans="1:34" ht="14.25" customHeight="1" x14ac:dyDescent="0.25">
      <c r="A12950" s="3"/>
      <c r="B12950" s="3"/>
      <c r="C12950" s="3"/>
      <c r="D12950" s="3"/>
      <c r="E12950" s="3"/>
      <c r="F12950" s="3"/>
      <c r="G12950" s="3"/>
      <c r="H12950" s="11"/>
      <c r="I12950" s="12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  <c r="AA12950" s="3"/>
      <c r="AB12950" s="3"/>
      <c r="AC12950" s="3"/>
      <c r="AD12950" s="3"/>
      <c r="AE12950" s="3"/>
      <c r="AF12950" s="3"/>
      <c r="AG12950" s="3"/>
      <c r="AH12950" s="3"/>
    </row>
    <row r="12951" spans="1:34" ht="14.25" customHeight="1" x14ac:dyDescent="0.25">
      <c r="A12951" s="3"/>
      <c r="B12951" s="3"/>
      <c r="C12951" s="3"/>
      <c r="D12951" s="3"/>
      <c r="E12951" s="3"/>
      <c r="F12951" s="3"/>
      <c r="G12951" s="3"/>
      <c r="H12951" s="11"/>
      <c r="I12951" s="12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  <c r="AA12951" s="3"/>
      <c r="AB12951" s="3"/>
      <c r="AC12951" s="3"/>
      <c r="AD12951" s="3"/>
      <c r="AE12951" s="3"/>
      <c r="AF12951" s="3"/>
      <c r="AG12951" s="3"/>
      <c r="AH12951" s="3"/>
    </row>
    <row r="12952" spans="1:34" ht="14.25" customHeight="1" x14ac:dyDescent="0.25">
      <c r="A12952" s="3"/>
      <c r="B12952" s="3"/>
      <c r="C12952" s="3"/>
      <c r="D12952" s="3"/>
      <c r="E12952" s="3"/>
      <c r="F12952" s="3"/>
      <c r="G12952" s="3"/>
      <c r="H12952" s="11"/>
      <c r="I12952" s="12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  <c r="AA12952" s="3"/>
      <c r="AB12952" s="3"/>
      <c r="AC12952" s="3"/>
      <c r="AD12952" s="3"/>
      <c r="AE12952" s="3"/>
      <c r="AF12952" s="3"/>
      <c r="AG12952" s="3"/>
      <c r="AH12952" s="3"/>
    </row>
    <row r="12953" spans="1:34" ht="14.25" customHeight="1" x14ac:dyDescent="0.25">
      <c r="A12953" s="3"/>
      <c r="B12953" s="3"/>
      <c r="C12953" s="3"/>
      <c r="D12953" s="3"/>
      <c r="E12953" s="3"/>
      <c r="F12953" s="3"/>
      <c r="G12953" s="3"/>
      <c r="H12953" s="11"/>
      <c r="I12953" s="12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  <c r="AA12953" s="3"/>
      <c r="AB12953" s="3"/>
      <c r="AC12953" s="3"/>
      <c r="AD12953" s="3"/>
      <c r="AE12953" s="3"/>
      <c r="AF12953" s="3"/>
      <c r="AG12953" s="3"/>
      <c r="AH12953" s="3"/>
    </row>
    <row r="12954" spans="1:34" ht="14.25" customHeight="1" x14ac:dyDescent="0.25">
      <c r="A12954" s="3"/>
      <c r="B12954" s="3"/>
      <c r="C12954" s="3"/>
      <c r="D12954" s="3"/>
      <c r="E12954" s="3"/>
      <c r="F12954" s="3"/>
      <c r="G12954" s="3"/>
      <c r="H12954" s="11"/>
      <c r="I12954" s="12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  <c r="AA12954" s="3"/>
      <c r="AB12954" s="3"/>
      <c r="AC12954" s="3"/>
      <c r="AD12954" s="3"/>
      <c r="AE12954" s="3"/>
      <c r="AF12954" s="3"/>
      <c r="AG12954" s="3"/>
      <c r="AH12954" s="3"/>
    </row>
    <row r="12955" spans="1:34" ht="14.25" customHeight="1" x14ac:dyDescent="0.25">
      <c r="A12955" s="3"/>
      <c r="B12955" s="3"/>
      <c r="C12955" s="3"/>
      <c r="D12955" s="3"/>
      <c r="E12955" s="3"/>
      <c r="F12955" s="3"/>
      <c r="G12955" s="3"/>
      <c r="H12955" s="11"/>
      <c r="I12955" s="12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  <c r="AA12955" s="3"/>
      <c r="AB12955" s="3"/>
      <c r="AC12955" s="3"/>
      <c r="AD12955" s="3"/>
      <c r="AE12955" s="3"/>
      <c r="AF12955" s="3"/>
      <c r="AG12955" s="3"/>
      <c r="AH12955" s="3"/>
    </row>
    <row r="12956" spans="1:34" ht="14.25" customHeight="1" x14ac:dyDescent="0.25">
      <c r="A12956" s="3"/>
      <c r="B12956" s="3"/>
      <c r="C12956" s="3"/>
      <c r="D12956" s="3"/>
      <c r="E12956" s="3"/>
      <c r="F12956" s="3"/>
      <c r="G12956" s="3"/>
      <c r="H12956" s="11"/>
      <c r="I12956" s="12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  <c r="AA12956" s="3"/>
      <c r="AB12956" s="3"/>
      <c r="AC12956" s="3"/>
      <c r="AD12956" s="3"/>
      <c r="AE12956" s="3"/>
      <c r="AF12956" s="3"/>
      <c r="AG12956" s="3"/>
      <c r="AH12956" s="3"/>
    </row>
    <row r="12957" spans="1:34" ht="14.25" customHeight="1" x14ac:dyDescent="0.25">
      <c r="A12957" s="3"/>
      <c r="B12957" s="3"/>
      <c r="C12957" s="3"/>
      <c r="D12957" s="3"/>
      <c r="E12957" s="3"/>
      <c r="F12957" s="3"/>
      <c r="G12957" s="3"/>
      <c r="H12957" s="11"/>
      <c r="I12957" s="12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  <c r="AA12957" s="3"/>
      <c r="AB12957" s="3"/>
      <c r="AC12957" s="3"/>
      <c r="AD12957" s="3"/>
      <c r="AE12957" s="3"/>
      <c r="AF12957" s="3"/>
      <c r="AG12957" s="3"/>
      <c r="AH12957" s="3"/>
    </row>
    <row r="12958" spans="1:34" ht="14.25" customHeight="1" x14ac:dyDescent="0.25">
      <c r="A12958" s="3"/>
      <c r="B12958" s="3"/>
      <c r="C12958" s="3"/>
      <c r="D12958" s="3"/>
      <c r="E12958" s="3"/>
      <c r="F12958" s="3"/>
      <c r="G12958" s="3"/>
      <c r="H12958" s="11"/>
      <c r="I12958" s="12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  <c r="AA12958" s="3"/>
      <c r="AB12958" s="3"/>
      <c r="AC12958" s="3"/>
      <c r="AD12958" s="3"/>
      <c r="AE12958" s="3"/>
      <c r="AF12958" s="3"/>
      <c r="AG12958" s="3"/>
      <c r="AH12958" s="3"/>
    </row>
    <row r="12959" spans="1:34" ht="14.25" customHeight="1" x14ac:dyDescent="0.25">
      <c r="A12959" s="3"/>
      <c r="B12959" s="3"/>
      <c r="C12959" s="3"/>
      <c r="D12959" s="3"/>
      <c r="E12959" s="3"/>
      <c r="F12959" s="3"/>
      <c r="G12959" s="3"/>
      <c r="H12959" s="11"/>
      <c r="I12959" s="12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  <c r="AA12959" s="3"/>
      <c r="AB12959" s="3"/>
      <c r="AC12959" s="3"/>
      <c r="AD12959" s="3"/>
      <c r="AE12959" s="3"/>
      <c r="AF12959" s="3"/>
      <c r="AG12959" s="3"/>
      <c r="AH12959" s="3"/>
    </row>
    <row r="12960" spans="1:34" ht="14.25" customHeight="1" x14ac:dyDescent="0.25">
      <c r="A12960" s="3"/>
      <c r="B12960" s="3"/>
      <c r="C12960" s="3"/>
      <c r="D12960" s="3"/>
      <c r="E12960" s="3"/>
      <c r="F12960" s="3"/>
      <c r="G12960" s="3"/>
      <c r="H12960" s="11"/>
      <c r="I12960" s="12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  <c r="AA12960" s="3"/>
      <c r="AB12960" s="3"/>
      <c r="AC12960" s="3"/>
      <c r="AD12960" s="3"/>
      <c r="AE12960" s="3"/>
      <c r="AF12960" s="3"/>
      <c r="AG12960" s="3"/>
      <c r="AH12960" s="3"/>
    </row>
    <row r="12961" spans="1:34" ht="14.25" customHeight="1" x14ac:dyDescent="0.25">
      <c r="A12961" s="3"/>
      <c r="B12961" s="3"/>
      <c r="C12961" s="3"/>
      <c r="D12961" s="3"/>
      <c r="E12961" s="3"/>
      <c r="F12961" s="3"/>
      <c r="G12961" s="3"/>
      <c r="H12961" s="11"/>
      <c r="I12961" s="12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  <c r="AA12961" s="3"/>
      <c r="AB12961" s="3"/>
      <c r="AC12961" s="3"/>
      <c r="AD12961" s="3"/>
      <c r="AE12961" s="3"/>
      <c r="AF12961" s="3"/>
      <c r="AG12961" s="3"/>
      <c r="AH12961" s="3"/>
    </row>
    <row r="12962" spans="1:34" ht="14.25" customHeight="1" x14ac:dyDescent="0.25">
      <c r="A12962" s="3"/>
      <c r="B12962" s="3"/>
      <c r="C12962" s="3"/>
      <c r="D12962" s="3"/>
      <c r="E12962" s="3"/>
      <c r="F12962" s="3"/>
      <c r="G12962" s="3"/>
      <c r="H12962" s="11"/>
      <c r="I12962" s="12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  <c r="AA12962" s="3"/>
      <c r="AB12962" s="3"/>
      <c r="AC12962" s="3"/>
      <c r="AD12962" s="3"/>
      <c r="AE12962" s="3"/>
      <c r="AF12962" s="3"/>
      <c r="AG12962" s="3"/>
      <c r="AH12962" s="3"/>
    </row>
    <row r="12963" spans="1:34" ht="14.25" customHeight="1" x14ac:dyDescent="0.25">
      <c r="A12963" s="3"/>
      <c r="B12963" s="3"/>
      <c r="C12963" s="3"/>
      <c r="D12963" s="3"/>
      <c r="E12963" s="3"/>
      <c r="F12963" s="3"/>
      <c r="G12963" s="3"/>
      <c r="H12963" s="11"/>
      <c r="I12963" s="12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  <c r="AA12963" s="3"/>
      <c r="AB12963" s="3"/>
      <c r="AC12963" s="3"/>
      <c r="AD12963" s="3"/>
      <c r="AE12963" s="3"/>
      <c r="AF12963" s="3"/>
      <c r="AG12963" s="3"/>
      <c r="AH12963" s="3"/>
    </row>
    <row r="12964" spans="1:34" ht="14.25" customHeight="1" x14ac:dyDescent="0.25">
      <c r="A12964" s="3"/>
      <c r="B12964" s="3"/>
      <c r="C12964" s="3"/>
      <c r="D12964" s="3"/>
      <c r="E12964" s="3"/>
      <c r="F12964" s="3"/>
      <c r="G12964" s="3"/>
      <c r="H12964" s="11"/>
      <c r="I12964" s="12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  <c r="AA12964" s="3"/>
      <c r="AB12964" s="3"/>
      <c r="AC12964" s="3"/>
      <c r="AD12964" s="3"/>
      <c r="AE12964" s="3"/>
      <c r="AF12964" s="3"/>
      <c r="AG12964" s="3"/>
      <c r="AH12964" s="3"/>
    </row>
    <row r="12965" spans="1:34" ht="14.25" customHeight="1" x14ac:dyDescent="0.25">
      <c r="A12965" s="3"/>
      <c r="B12965" s="3"/>
      <c r="C12965" s="3"/>
      <c r="D12965" s="3"/>
      <c r="E12965" s="3"/>
      <c r="F12965" s="3"/>
      <c r="G12965" s="3"/>
      <c r="H12965" s="11"/>
      <c r="I12965" s="12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  <c r="AA12965" s="3"/>
      <c r="AB12965" s="3"/>
      <c r="AC12965" s="3"/>
      <c r="AD12965" s="3"/>
      <c r="AE12965" s="3"/>
      <c r="AF12965" s="3"/>
      <c r="AG12965" s="3"/>
      <c r="AH12965" s="3"/>
    </row>
    <row r="12966" spans="1:34" ht="14.25" customHeight="1" x14ac:dyDescent="0.25">
      <c r="A12966" s="3"/>
      <c r="B12966" s="3"/>
      <c r="C12966" s="3"/>
      <c r="D12966" s="3"/>
      <c r="E12966" s="3"/>
      <c r="F12966" s="3"/>
      <c r="G12966" s="3"/>
      <c r="H12966" s="11"/>
      <c r="I12966" s="12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  <c r="AA12966" s="3"/>
      <c r="AB12966" s="3"/>
      <c r="AC12966" s="3"/>
      <c r="AD12966" s="3"/>
      <c r="AE12966" s="3"/>
      <c r="AF12966" s="3"/>
      <c r="AG12966" s="3"/>
      <c r="AH12966" s="3"/>
    </row>
    <row r="12967" spans="1:34" ht="14.25" customHeight="1" x14ac:dyDescent="0.25">
      <c r="A12967" s="3"/>
      <c r="B12967" s="3"/>
      <c r="C12967" s="3"/>
      <c r="D12967" s="3"/>
      <c r="E12967" s="3"/>
      <c r="F12967" s="3"/>
      <c r="G12967" s="3"/>
      <c r="H12967" s="11"/>
      <c r="I12967" s="12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  <c r="AA12967" s="3"/>
      <c r="AB12967" s="3"/>
      <c r="AC12967" s="3"/>
      <c r="AD12967" s="3"/>
      <c r="AE12967" s="3"/>
      <c r="AF12967" s="3"/>
      <c r="AG12967" s="3"/>
      <c r="AH12967" s="3"/>
    </row>
    <row r="12968" spans="1:34" ht="14.25" customHeight="1" x14ac:dyDescent="0.25">
      <c r="A12968" s="3"/>
      <c r="B12968" s="3"/>
      <c r="C12968" s="3"/>
      <c r="D12968" s="3"/>
      <c r="E12968" s="3"/>
      <c r="F12968" s="3"/>
      <c r="G12968" s="3"/>
      <c r="H12968" s="11"/>
      <c r="I12968" s="12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  <c r="AA12968" s="3"/>
      <c r="AB12968" s="3"/>
      <c r="AC12968" s="3"/>
      <c r="AD12968" s="3"/>
      <c r="AE12968" s="3"/>
      <c r="AF12968" s="3"/>
      <c r="AG12968" s="3"/>
      <c r="AH12968" s="3"/>
    </row>
    <row r="12969" spans="1:34" ht="14.25" customHeight="1" x14ac:dyDescent="0.25">
      <c r="A12969" s="3"/>
      <c r="B12969" s="3"/>
      <c r="C12969" s="3"/>
      <c r="D12969" s="3"/>
      <c r="E12969" s="3"/>
      <c r="F12969" s="3"/>
      <c r="G12969" s="3"/>
      <c r="H12969" s="11"/>
      <c r="I12969" s="12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  <c r="AA12969" s="3"/>
      <c r="AB12969" s="3"/>
      <c r="AC12969" s="3"/>
      <c r="AD12969" s="3"/>
      <c r="AE12969" s="3"/>
      <c r="AF12969" s="3"/>
      <c r="AG12969" s="3"/>
      <c r="AH12969" s="3"/>
    </row>
    <row r="12970" spans="1:34" ht="14.25" customHeight="1" x14ac:dyDescent="0.25">
      <c r="A12970" s="3"/>
      <c r="B12970" s="3"/>
      <c r="C12970" s="3"/>
      <c r="D12970" s="3"/>
      <c r="E12970" s="3"/>
      <c r="F12970" s="3"/>
      <c r="G12970" s="3"/>
      <c r="H12970" s="11"/>
      <c r="I12970" s="12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  <c r="AA12970" s="3"/>
      <c r="AB12970" s="3"/>
      <c r="AC12970" s="3"/>
      <c r="AD12970" s="3"/>
      <c r="AE12970" s="3"/>
      <c r="AF12970" s="3"/>
      <c r="AG12970" s="3"/>
      <c r="AH12970" s="3"/>
    </row>
    <row r="12971" spans="1:34" ht="14.25" customHeight="1" x14ac:dyDescent="0.25">
      <c r="A12971" s="3"/>
      <c r="B12971" s="3"/>
      <c r="C12971" s="3"/>
      <c r="D12971" s="3"/>
      <c r="E12971" s="3"/>
      <c r="F12971" s="3"/>
      <c r="G12971" s="3"/>
      <c r="H12971" s="11"/>
      <c r="I12971" s="12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  <c r="AA12971" s="3"/>
      <c r="AB12971" s="3"/>
      <c r="AC12971" s="3"/>
      <c r="AD12971" s="3"/>
      <c r="AE12971" s="3"/>
      <c r="AF12971" s="3"/>
      <c r="AG12971" s="3"/>
      <c r="AH12971" s="3"/>
    </row>
    <row r="12972" spans="1:34" ht="14.25" customHeight="1" x14ac:dyDescent="0.25">
      <c r="A12972" s="3"/>
      <c r="B12972" s="3"/>
      <c r="C12972" s="3"/>
      <c r="D12972" s="3"/>
      <c r="E12972" s="3"/>
      <c r="F12972" s="3"/>
      <c r="G12972" s="3"/>
      <c r="H12972" s="11"/>
      <c r="I12972" s="12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  <c r="AA12972" s="3"/>
      <c r="AB12972" s="3"/>
      <c r="AC12972" s="3"/>
      <c r="AD12972" s="3"/>
      <c r="AE12972" s="3"/>
      <c r="AF12972" s="3"/>
      <c r="AG12972" s="3"/>
      <c r="AH12972" s="3"/>
    </row>
    <row r="12973" spans="1:34" ht="14.25" customHeight="1" x14ac:dyDescent="0.25">
      <c r="A12973" s="3"/>
      <c r="B12973" s="3"/>
      <c r="C12973" s="3"/>
      <c r="D12973" s="3"/>
      <c r="E12973" s="3"/>
      <c r="F12973" s="3"/>
      <c r="G12973" s="3"/>
      <c r="H12973" s="11"/>
      <c r="I12973" s="12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  <c r="AA12973" s="3"/>
      <c r="AB12973" s="3"/>
      <c r="AC12973" s="3"/>
      <c r="AD12973" s="3"/>
      <c r="AE12973" s="3"/>
      <c r="AF12973" s="3"/>
      <c r="AG12973" s="3"/>
      <c r="AH12973" s="3"/>
    </row>
    <row r="12974" spans="1:34" ht="14.25" customHeight="1" x14ac:dyDescent="0.25">
      <c r="A12974" s="3"/>
      <c r="B12974" s="3"/>
      <c r="C12974" s="3"/>
      <c r="D12974" s="3"/>
      <c r="E12974" s="3"/>
      <c r="F12974" s="3"/>
      <c r="G12974" s="3"/>
      <c r="H12974" s="11"/>
      <c r="I12974" s="12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  <c r="AA12974" s="3"/>
      <c r="AB12974" s="3"/>
      <c r="AC12974" s="3"/>
      <c r="AD12974" s="3"/>
      <c r="AE12974" s="3"/>
      <c r="AF12974" s="3"/>
      <c r="AG12974" s="3"/>
      <c r="AH12974" s="3"/>
    </row>
    <row r="12975" spans="1:34" ht="14.25" customHeight="1" x14ac:dyDescent="0.25">
      <c r="A12975" s="3"/>
      <c r="B12975" s="3"/>
      <c r="C12975" s="3"/>
      <c r="D12975" s="3"/>
      <c r="E12975" s="3"/>
      <c r="F12975" s="3"/>
      <c r="G12975" s="3"/>
      <c r="H12975" s="11"/>
      <c r="I12975" s="12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  <c r="AA12975" s="3"/>
      <c r="AB12975" s="3"/>
      <c r="AC12975" s="3"/>
      <c r="AD12975" s="3"/>
      <c r="AE12975" s="3"/>
      <c r="AF12975" s="3"/>
      <c r="AG12975" s="3"/>
      <c r="AH12975" s="3"/>
    </row>
    <row r="12976" spans="1:34" ht="14.25" customHeight="1" x14ac:dyDescent="0.25">
      <c r="A12976" s="3"/>
      <c r="B12976" s="3"/>
      <c r="C12976" s="3"/>
      <c r="D12976" s="3"/>
      <c r="E12976" s="3"/>
      <c r="F12976" s="3"/>
      <c r="G12976" s="3"/>
      <c r="H12976" s="11"/>
      <c r="I12976" s="12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  <c r="AA12976" s="3"/>
      <c r="AB12976" s="3"/>
      <c r="AC12976" s="3"/>
      <c r="AD12976" s="3"/>
      <c r="AE12976" s="3"/>
      <c r="AF12976" s="3"/>
      <c r="AG12976" s="3"/>
      <c r="AH12976" s="3"/>
    </row>
    <row r="12977" spans="1:34" ht="14.25" customHeight="1" x14ac:dyDescent="0.25">
      <c r="A12977" s="3"/>
      <c r="B12977" s="3"/>
      <c r="C12977" s="3"/>
      <c r="D12977" s="3"/>
      <c r="E12977" s="3"/>
      <c r="F12977" s="3"/>
      <c r="G12977" s="3"/>
      <c r="H12977" s="11"/>
      <c r="I12977" s="12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  <c r="AA12977" s="3"/>
      <c r="AB12977" s="3"/>
      <c r="AC12977" s="3"/>
      <c r="AD12977" s="3"/>
      <c r="AE12977" s="3"/>
      <c r="AF12977" s="3"/>
      <c r="AG12977" s="3"/>
      <c r="AH12977" s="3"/>
    </row>
    <row r="12978" spans="1:34" ht="14.25" customHeight="1" x14ac:dyDescent="0.25">
      <c r="A12978" s="3"/>
      <c r="B12978" s="3"/>
      <c r="C12978" s="3"/>
      <c r="D12978" s="3"/>
      <c r="E12978" s="3"/>
      <c r="F12978" s="3"/>
      <c r="G12978" s="3"/>
      <c r="H12978" s="11"/>
      <c r="I12978" s="12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  <c r="AA12978" s="3"/>
      <c r="AB12978" s="3"/>
      <c r="AC12978" s="3"/>
      <c r="AD12978" s="3"/>
      <c r="AE12978" s="3"/>
      <c r="AF12978" s="3"/>
      <c r="AG12978" s="3"/>
      <c r="AH12978" s="3"/>
    </row>
    <row r="12979" spans="1:34" ht="14.25" customHeight="1" x14ac:dyDescent="0.25">
      <c r="A12979" s="3"/>
      <c r="B12979" s="3"/>
      <c r="C12979" s="3"/>
      <c r="D12979" s="3"/>
      <c r="E12979" s="3"/>
      <c r="F12979" s="3"/>
      <c r="G12979" s="3"/>
      <c r="H12979" s="11"/>
      <c r="I12979" s="12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  <c r="AA12979" s="3"/>
      <c r="AB12979" s="3"/>
      <c r="AC12979" s="3"/>
      <c r="AD12979" s="3"/>
      <c r="AE12979" s="3"/>
      <c r="AF12979" s="3"/>
      <c r="AG12979" s="3"/>
      <c r="AH12979" s="3"/>
    </row>
    <row r="12980" spans="1:34" ht="14.25" customHeight="1" x14ac:dyDescent="0.25">
      <c r="A12980" s="3"/>
      <c r="B12980" s="3"/>
      <c r="C12980" s="3"/>
      <c r="D12980" s="3"/>
      <c r="E12980" s="3"/>
      <c r="F12980" s="3"/>
      <c r="G12980" s="3"/>
      <c r="H12980" s="11"/>
      <c r="I12980" s="12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  <c r="AA12980" s="3"/>
      <c r="AB12980" s="3"/>
      <c r="AC12980" s="3"/>
      <c r="AD12980" s="3"/>
      <c r="AE12980" s="3"/>
      <c r="AF12980" s="3"/>
      <c r="AG12980" s="3"/>
      <c r="AH12980" s="3"/>
    </row>
    <row r="12981" spans="1:34" ht="14.25" customHeight="1" x14ac:dyDescent="0.25">
      <c r="A12981" s="3"/>
      <c r="B12981" s="3"/>
      <c r="C12981" s="3"/>
      <c r="D12981" s="3"/>
      <c r="E12981" s="3"/>
      <c r="F12981" s="3"/>
      <c r="G12981" s="3"/>
      <c r="H12981" s="11"/>
      <c r="I12981" s="12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  <c r="AA12981" s="3"/>
      <c r="AB12981" s="3"/>
      <c r="AC12981" s="3"/>
      <c r="AD12981" s="3"/>
      <c r="AE12981" s="3"/>
      <c r="AF12981" s="3"/>
      <c r="AG12981" s="3"/>
      <c r="AH12981" s="3"/>
    </row>
    <row r="12982" spans="1:34" ht="14.25" customHeight="1" x14ac:dyDescent="0.25">
      <c r="A12982" s="3"/>
      <c r="B12982" s="3"/>
      <c r="C12982" s="3"/>
      <c r="D12982" s="3"/>
      <c r="E12982" s="3"/>
      <c r="F12982" s="3"/>
      <c r="G12982" s="3"/>
      <c r="H12982" s="11"/>
      <c r="I12982" s="12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  <c r="AA12982" s="3"/>
      <c r="AB12982" s="3"/>
      <c r="AC12982" s="3"/>
      <c r="AD12982" s="3"/>
      <c r="AE12982" s="3"/>
      <c r="AF12982" s="3"/>
      <c r="AG12982" s="3"/>
      <c r="AH12982" s="3"/>
    </row>
    <row r="12983" spans="1:34" ht="14.25" customHeight="1" x14ac:dyDescent="0.25">
      <c r="A12983" s="3"/>
      <c r="B12983" s="3"/>
      <c r="C12983" s="3"/>
      <c r="D12983" s="3"/>
      <c r="E12983" s="3"/>
      <c r="F12983" s="3"/>
      <c r="G12983" s="3"/>
      <c r="H12983" s="11"/>
      <c r="I12983" s="12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  <c r="AA12983" s="3"/>
      <c r="AB12983" s="3"/>
      <c r="AC12983" s="3"/>
      <c r="AD12983" s="3"/>
      <c r="AE12983" s="3"/>
      <c r="AF12983" s="3"/>
      <c r="AG12983" s="3"/>
      <c r="AH12983" s="3"/>
    </row>
    <row r="12984" spans="1:34" ht="14.25" customHeight="1" x14ac:dyDescent="0.25">
      <c r="A12984" s="3"/>
      <c r="B12984" s="3"/>
      <c r="C12984" s="3"/>
      <c r="D12984" s="3"/>
      <c r="E12984" s="3"/>
      <c r="F12984" s="3"/>
      <c r="G12984" s="3"/>
      <c r="H12984" s="11"/>
      <c r="I12984" s="12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  <c r="AA12984" s="3"/>
      <c r="AB12984" s="3"/>
      <c r="AC12984" s="3"/>
      <c r="AD12984" s="3"/>
      <c r="AE12984" s="3"/>
      <c r="AF12984" s="3"/>
      <c r="AG12984" s="3"/>
      <c r="AH12984" s="3"/>
    </row>
    <row r="12985" spans="1:34" ht="14.25" customHeight="1" x14ac:dyDescent="0.25">
      <c r="A12985" s="3"/>
      <c r="B12985" s="3"/>
      <c r="C12985" s="3"/>
      <c r="D12985" s="3"/>
      <c r="E12985" s="3"/>
      <c r="F12985" s="3"/>
      <c r="G12985" s="3"/>
      <c r="H12985" s="11"/>
      <c r="I12985" s="12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  <c r="AA12985" s="3"/>
      <c r="AB12985" s="3"/>
      <c r="AC12985" s="3"/>
      <c r="AD12985" s="3"/>
      <c r="AE12985" s="3"/>
      <c r="AF12985" s="3"/>
      <c r="AG12985" s="3"/>
      <c r="AH12985" s="3"/>
    </row>
    <row r="12986" spans="1:34" ht="14.25" customHeight="1" x14ac:dyDescent="0.25">
      <c r="A12986" s="3"/>
      <c r="B12986" s="3"/>
      <c r="C12986" s="3"/>
      <c r="D12986" s="3"/>
      <c r="E12986" s="3"/>
      <c r="F12986" s="3"/>
      <c r="G12986" s="3"/>
      <c r="H12986" s="11"/>
      <c r="I12986" s="12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  <c r="AA12986" s="3"/>
      <c r="AB12986" s="3"/>
      <c r="AC12986" s="3"/>
      <c r="AD12986" s="3"/>
      <c r="AE12986" s="3"/>
      <c r="AF12986" s="3"/>
      <c r="AG12986" s="3"/>
      <c r="AH12986" s="3"/>
    </row>
    <row r="12987" spans="1:34" ht="14.25" customHeight="1" x14ac:dyDescent="0.25">
      <c r="A12987" s="3"/>
      <c r="B12987" s="3"/>
      <c r="C12987" s="3"/>
      <c r="D12987" s="3"/>
      <c r="E12987" s="3"/>
      <c r="F12987" s="3"/>
      <c r="G12987" s="3"/>
      <c r="H12987" s="11"/>
      <c r="I12987" s="12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  <c r="AA12987" s="3"/>
      <c r="AB12987" s="3"/>
      <c r="AC12987" s="3"/>
      <c r="AD12987" s="3"/>
      <c r="AE12987" s="3"/>
      <c r="AF12987" s="3"/>
      <c r="AG12987" s="3"/>
      <c r="AH12987" s="3"/>
    </row>
    <row r="12988" spans="1:34" ht="14.25" customHeight="1" x14ac:dyDescent="0.25">
      <c r="A12988" s="3"/>
      <c r="B12988" s="3"/>
      <c r="C12988" s="3"/>
      <c r="D12988" s="3"/>
      <c r="E12988" s="3"/>
      <c r="F12988" s="3"/>
      <c r="G12988" s="3"/>
      <c r="H12988" s="11"/>
      <c r="I12988" s="12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  <c r="AA12988" s="3"/>
      <c r="AB12988" s="3"/>
      <c r="AC12988" s="3"/>
      <c r="AD12988" s="3"/>
      <c r="AE12988" s="3"/>
      <c r="AF12988" s="3"/>
      <c r="AG12988" s="3"/>
      <c r="AH12988" s="3"/>
    </row>
    <row r="12989" spans="1:34" ht="14.25" customHeight="1" x14ac:dyDescent="0.25">
      <c r="A12989" s="3"/>
      <c r="B12989" s="3"/>
      <c r="C12989" s="3"/>
      <c r="D12989" s="3"/>
      <c r="E12989" s="3"/>
      <c r="F12989" s="3"/>
      <c r="G12989" s="3"/>
      <c r="H12989" s="11"/>
      <c r="I12989" s="12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  <c r="AA12989" s="3"/>
      <c r="AB12989" s="3"/>
      <c r="AC12989" s="3"/>
      <c r="AD12989" s="3"/>
      <c r="AE12989" s="3"/>
      <c r="AF12989" s="3"/>
      <c r="AG12989" s="3"/>
      <c r="AH12989" s="3"/>
    </row>
    <row r="12990" spans="1:34" ht="14.25" customHeight="1" x14ac:dyDescent="0.25">
      <c r="A12990" s="3"/>
      <c r="B12990" s="3"/>
      <c r="C12990" s="3"/>
      <c r="D12990" s="3"/>
      <c r="E12990" s="3"/>
      <c r="F12990" s="3"/>
      <c r="G12990" s="3"/>
      <c r="H12990" s="11"/>
      <c r="I12990" s="12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  <c r="AA12990" s="3"/>
      <c r="AB12990" s="3"/>
      <c r="AC12990" s="3"/>
      <c r="AD12990" s="3"/>
      <c r="AE12990" s="3"/>
      <c r="AF12990" s="3"/>
      <c r="AG12990" s="3"/>
      <c r="AH12990" s="3"/>
    </row>
    <row r="12991" spans="1:34" ht="14.25" customHeight="1" x14ac:dyDescent="0.25">
      <c r="A12991" s="3"/>
      <c r="B12991" s="3"/>
      <c r="C12991" s="3"/>
      <c r="D12991" s="3"/>
      <c r="E12991" s="3"/>
      <c r="F12991" s="3"/>
      <c r="G12991" s="3"/>
      <c r="H12991" s="11"/>
      <c r="I12991" s="12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  <c r="AA12991" s="3"/>
      <c r="AB12991" s="3"/>
      <c r="AC12991" s="3"/>
      <c r="AD12991" s="3"/>
      <c r="AE12991" s="3"/>
      <c r="AF12991" s="3"/>
      <c r="AG12991" s="3"/>
      <c r="AH12991" s="3"/>
    </row>
    <row r="12992" spans="1:34" ht="14.25" customHeight="1" x14ac:dyDescent="0.25">
      <c r="A12992" s="3"/>
      <c r="B12992" s="3"/>
      <c r="C12992" s="3"/>
      <c r="D12992" s="3"/>
      <c r="E12992" s="3"/>
      <c r="F12992" s="3"/>
      <c r="G12992" s="3"/>
      <c r="H12992" s="11"/>
      <c r="I12992" s="12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  <c r="AA12992" s="3"/>
      <c r="AB12992" s="3"/>
      <c r="AC12992" s="3"/>
      <c r="AD12992" s="3"/>
      <c r="AE12992" s="3"/>
      <c r="AF12992" s="3"/>
      <c r="AG12992" s="3"/>
      <c r="AH12992" s="3"/>
    </row>
    <row r="12993" spans="1:34" ht="14.25" customHeight="1" x14ac:dyDescent="0.25">
      <c r="A12993" s="3"/>
      <c r="B12993" s="3"/>
      <c r="C12993" s="3"/>
      <c r="D12993" s="3"/>
      <c r="E12993" s="3"/>
      <c r="F12993" s="3"/>
      <c r="G12993" s="3"/>
      <c r="H12993" s="11"/>
      <c r="I12993" s="12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  <c r="AA12993" s="3"/>
      <c r="AB12993" s="3"/>
      <c r="AC12993" s="3"/>
      <c r="AD12993" s="3"/>
      <c r="AE12993" s="3"/>
      <c r="AF12993" s="3"/>
      <c r="AG12993" s="3"/>
      <c r="AH12993" s="3"/>
    </row>
    <row r="12994" spans="1:34" ht="14.25" customHeight="1" x14ac:dyDescent="0.25">
      <c r="A12994" s="3"/>
      <c r="B12994" s="3"/>
      <c r="C12994" s="3"/>
      <c r="D12994" s="3"/>
      <c r="E12994" s="3"/>
      <c r="F12994" s="3"/>
      <c r="G12994" s="3"/>
      <c r="H12994" s="11"/>
      <c r="I12994" s="12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  <c r="AA12994" s="3"/>
      <c r="AB12994" s="3"/>
      <c r="AC12994" s="3"/>
      <c r="AD12994" s="3"/>
      <c r="AE12994" s="3"/>
      <c r="AF12994" s="3"/>
      <c r="AG12994" s="3"/>
      <c r="AH12994" s="3"/>
    </row>
    <row r="12995" spans="1:34" ht="14.25" customHeight="1" x14ac:dyDescent="0.25">
      <c r="A12995" s="3"/>
      <c r="B12995" s="3"/>
      <c r="C12995" s="3"/>
      <c r="D12995" s="3"/>
      <c r="E12995" s="3"/>
      <c r="F12995" s="3"/>
      <c r="G12995" s="3"/>
      <c r="H12995" s="11"/>
      <c r="I12995" s="12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  <c r="AA12995" s="3"/>
      <c r="AB12995" s="3"/>
      <c r="AC12995" s="3"/>
      <c r="AD12995" s="3"/>
      <c r="AE12995" s="3"/>
      <c r="AF12995" s="3"/>
      <c r="AG12995" s="3"/>
      <c r="AH12995" s="3"/>
    </row>
    <row r="12996" spans="1:34" ht="14.25" customHeight="1" x14ac:dyDescent="0.25">
      <c r="A12996" s="3"/>
      <c r="B12996" s="3"/>
      <c r="C12996" s="3"/>
      <c r="D12996" s="3"/>
      <c r="E12996" s="3"/>
      <c r="F12996" s="3"/>
      <c r="G12996" s="3"/>
      <c r="H12996" s="11"/>
      <c r="I12996" s="12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  <c r="AA12996" s="3"/>
      <c r="AB12996" s="3"/>
      <c r="AC12996" s="3"/>
      <c r="AD12996" s="3"/>
      <c r="AE12996" s="3"/>
      <c r="AF12996" s="3"/>
      <c r="AG12996" s="3"/>
      <c r="AH12996" s="3"/>
    </row>
    <row r="12997" spans="1:34" ht="14.25" customHeight="1" x14ac:dyDescent="0.25">
      <c r="A12997" s="3"/>
      <c r="B12997" s="3"/>
      <c r="C12997" s="3"/>
      <c r="D12997" s="3"/>
      <c r="E12997" s="3"/>
      <c r="F12997" s="3"/>
      <c r="G12997" s="3"/>
      <c r="H12997" s="11"/>
      <c r="I12997" s="12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  <c r="AA12997" s="3"/>
      <c r="AB12997" s="3"/>
      <c r="AC12997" s="3"/>
      <c r="AD12997" s="3"/>
      <c r="AE12997" s="3"/>
      <c r="AF12997" s="3"/>
      <c r="AG12997" s="3"/>
      <c r="AH12997" s="3"/>
    </row>
    <row r="12998" spans="1:34" ht="14.25" customHeight="1" x14ac:dyDescent="0.25">
      <c r="A12998" s="3"/>
      <c r="B12998" s="3"/>
      <c r="C12998" s="3"/>
      <c r="D12998" s="3"/>
      <c r="E12998" s="3"/>
      <c r="F12998" s="3"/>
      <c r="G12998" s="3"/>
      <c r="H12998" s="11"/>
      <c r="I12998" s="12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  <c r="AA12998" s="3"/>
      <c r="AB12998" s="3"/>
      <c r="AC12998" s="3"/>
      <c r="AD12998" s="3"/>
      <c r="AE12998" s="3"/>
      <c r="AF12998" s="3"/>
      <c r="AG12998" s="3"/>
      <c r="AH12998" s="3"/>
    </row>
    <row r="12999" spans="1:34" ht="14.25" customHeight="1" x14ac:dyDescent="0.25">
      <c r="A12999" s="3"/>
      <c r="B12999" s="3"/>
      <c r="C12999" s="3"/>
      <c r="D12999" s="3"/>
      <c r="E12999" s="3"/>
      <c r="F12999" s="3"/>
      <c r="G12999" s="3"/>
      <c r="H12999" s="11"/>
      <c r="I12999" s="12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  <c r="AA12999" s="3"/>
      <c r="AB12999" s="3"/>
      <c r="AC12999" s="3"/>
      <c r="AD12999" s="3"/>
      <c r="AE12999" s="3"/>
      <c r="AF12999" s="3"/>
      <c r="AG12999" s="3"/>
      <c r="AH12999" s="3"/>
    </row>
    <row r="13000" spans="1:34" ht="14.25" customHeight="1" x14ac:dyDescent="0.25">
      <c r="A13000" s="3"/>
      <c r="B13000" s="3"/>
      <c r="C13000" s="3"/>
      <c r="D13000" s="3"/>
      <c r="E13000" s="3"/>
      <c r="F13000" s="3"/>
      <c r="G13000" s="3"/>
      <c r="H13000" s="11"/>
      <c r="I13000" s="12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  <c r="AA13000" s="3"/>
      <c r="AB13000" s="3"/>
      <c r="AC13000" s="3"/>
      <c r="AD13000" s="3"/>
      <c r="AE13000" s="3"/>
      <c r="AF13000" s="3"/>
      <c r="AG13000" s="3"/>
      <c r="AH13000" s="3"/>
    </row>
    <row r="13001" spans="1:34" ht="14.25" customHeight="1" x14ac:dyDescent="0.25">
      <c r="A13001" s="3"/>
      <c r="B13001" s="3"/>
      <c r="C13001" s="3"/>
      <c r="D13001" s="3"/>
      <c r="E13001" s="3"/>
      <c r="F13001" s="3"/>
      <c r="G13001" s="3"/>
      <c r="H13001" s="11"/>
      <c r="I13001" s="12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  <c r="AA13001" s="3"/>
      <c r="AB13001" s="3"/>
      <c r="AC13001" s="3"/>
      <c r="AD13001" s="3"/>
      <c r="AE13001" s="3"/>
      <c r="AF13001" s="3"/>
      <c r="AG13001" s="3"/>
      <c r="AH13001" s="3"/>
    </row>
    <row r="13002" spans="1:34" ht="14.25" customHeight="1" x14ac:dyDescent="0.25">
      <c r="A13002" s="3"/>
      <c r="B13002" s="3"/>
      <c r="C13002" s="3"/>
      <c r="D13002" s="3"/>
      <c r="E13002" s="3"/>
      <c r="F13002" s="3"/>
      <c r="G13002" s="3"/>
      <c r="H13002" s="11"/>
      <c r="I13002" s="12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  <c r="AA13002" s="3"/>
      <c r="AB13002" s="3"/>
      <c r="AC13002" s="3"/>
      <c r="AD13002" s="3"/>
      <c r="AE13002" s="3"/>
      <c r="AF13002" s="3"/>
      <c r="AG13002" s="3"/>
      <c r="AH13002" s="3"/>
    </row>
    <row r="13003" spans="1:34" ht="14.25" customHeight="1" x14ac:dyDescent="0.25">
      <c r="A13003" s="3"/>
      <c r="B13003" s="3"/>
      <c r="C13003" s="3"/>
      <c r="D13003" s="3"/>
      <c r="E13003" s="3"/>
      <c r="F13003" s="3"/>
      <c r="G13003" s="3"/>
      <c r="H13003" s="11"/>
      <c r="I13003" s="12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  <c r="AA13003" s="3"/>
      <c r="AB13003" s="3"/>
      <c r="AC13003" s="3"/>
      <c r="AD13003" s="3"/>
      <c r="AE13003" s="3"/>
      <c r="AF13003" s="3"/>
      <c r="AG13003" s="3"/>
      <c r="AH13003" s="3"/>
    </row>
    <row r="13004" spans="1:34" ht="14.25" customHeight="1" x14ac:dyDescent="0.25">
      <c r="A13004" s="3"/>
      <c r="B13004" s="3"/>
      <c r="C13004" s="3"/>
      <c r="D13004" s="3"/>
      <c r="E13004" s="3"/>
      <c r="F13004" s="3"/>
      <c r="G13004" s="3"/>
      <c r="H13004" s="11"/>
      <c r="I13004" s="12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  <c r="AA13004" s="3"/>
      <c r="AB13004" s="3"/>
      <c r="AC13004" s="3"/>
      <c r="AD13004" s="3"/>
      <c r="AE13004" s="3"/>
      <c r="AF13004" s="3"/>
      <c r="AG13004" s="3"/>
      <c r="AH13004" s="3"/>
    </row>
    <row r="13005" spans="1:34" ht="14.25" customHeight="1" x14ac:dyDescent="0.25">
      <c r="A13005" s="3"/>
      <c r="B13005" s="3"/>
      <c r="C13005" s="3"/>
      <c r="D13005" s="3"/>
      <c r="E13005" s="3"/>
      <c r="F13005" s="3"/>
      <c r="G13005" s="3"/>
      <c r="H13005" s="11"/>
      <c r="I13005" s="12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  <c r="AA13005" s="3"/>
      <c r="AB13005" s="3"/>
      <c r="AC13005" s="3"/>
      <c r="AD13005" s="3"/>
      <c r="AE13005" s="3"/>
      <c r="AF13005" s="3"/>
      <c r="AG13005" s="3"/>
      <c r="AH13005" s="3"/>
    </row>
    <row r="13006" spans="1:34" ht="14.25" customHeight="1" x14ac:dyDescent="0.25">
      <c r="A13006" s="3"/>
      <c r="B13006" s="3"/>
      <c r="C13006" s="3"/>
      <c r="D13006" s="3"/>
      <c r="E13006" s="3"/>
      <c r="F13006" s="3"/>
      <c r="G13006" s="3"/>
      <c r="H13006" s="11"/>
      <c r="I13006" s="12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  <c r="AA13006" s="3"/>
      <c r="AB13006" s="3"/>
      <c r="AC13006" s="3"/>
      <c r="AD13006" s="3"/>
      <c r="AE13006" s="3"/>
      <c r="AF13006" s="3"/>
      <c r="AG13006" s="3"/>
      <c r="AH13006" s="3"/>
    </row>
    <row r="13007" spans="1:34" ht="14.25" customHeight="1" x14ac:dyDescent="0.25">
      <c r="A13007" s="3"/>
      <c r="B13007" s="3"/>
      <c r="C13007" s="3"/>
      <c r="D13007" s="3"/>
      <c r="E13007" s="3"/>
      <c r="F13007" s="3"/>
      <c r="G13007" s="3"/>
      <c r="H13007" s="11"/>
      <c r="I13007" s="12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  <c r="AA13007" s="3"/>
      <c r="AB13007" s="3"/>
      <c r="AC13007" s="3"/>
      <c r="AD13007" s="3"/>
      <c r="AE13007" s="3"/>
      <c r="AF13007" s="3"/>
      <c r="AG13007" s="3"/>
      <c r="AH13007" s="3"/>
    </row>
    <row r="13008" spans="1:34" ht="14.25" customHeight="1" x14ac:dyDescent="0.25">
      <c r="A13008" s="3"/>
      <c r="B13008" s="3"/>
      <c r="C13008" s="3"/>
      <c r="D13008" s="3"/>
      <c r="E13008" s="3"/>
      <c r="F13008" s="3"/>
      <c r="G13008" s="3"/>
      <c r="H13008" s="11"/>
      <c r="I13008" s="12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  <c r="AA13008" s="3"/>
      <c r="AB13008" s="3"/>
      <c r="AC13008" s="3"/>
      <c r="AD13008" s="3"/>
      <c r="AE13008" s="3"/>
      <c r="AF13008" s="3"/>
      <c r="AG13008" s="3"/>
      <c r="AH13008" s="3"/>
    </row>
    <row r="13009" spans="1:34" ht="14.25" customHeight="1" x14ac:dyDescent="0.25">
      <c r="A13009" s="3"/>
      <c r="B13009" s="3"/>
      <c r="C13009" s="3"/>
      <c r="D13009" s="3"/>
      <c r="E13009" s="3"/>
      <c r="F13009" s="3"/>
      <c r="G13009" s="3"/>
      <c r="H13009" s="11"/>
      <c r="I13009" s="12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  <c r="AA13009" s="3"/>
      <c r="AB13009" s="3"/>
      <c r="AC13009" s="3"/>
      <c r="AD13009" s="3"/>
      <c r="AE13009" s="3"/>
      <c r="AF13009" s="3"/>
      <c r="AG13009" s="3"/>
      <c r="AH13009" s="3"/>
    </row>
    <row r="13010" spans="1:34" ht="14.25" customHeight="1" x14ac:dyDescent="0.25">
      <c r="A13010" s="3"/>
      <c r="B13010" s="3"/>
      <c r="C13010" s="3"/>
      <c r="D13010" s="3"/>
      <c r="E13010" s="3"/>
      <c r="F13010" s="3"/>
      <c r="G13010" s="3"/>
      <c r="H13010" s="11"/>
      <c r="I13010" s="12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  <c r="AA13010" s="3"/>
      <c r="AB13010" s="3"/>
      <c r="AC13010" s="3"/>
      <c r="AD13010" s="3"/>
      <c r="AE13010" s="3"/>
      <c r="AF13010" s="3"/>
      <c r="AG13010" s="3"/>
      <c r="AH13010" s="3"/>
    </row>
    <row r="13011" spans="1:34" ht="14.25" customHeight="1" x14ac:dyDescent="0.25">
      <c r="A13011" s="3"/>
      <c r="B13011" s="3"/>
      <c r="C13011" s="3"/>
      <c r="D13011" s="3"/>
      <c r="E13011" s="3"/>
      <c r="F13011" s="3"/>
      <c r="G13011" s="3"/>
      <c r="H13011" s="11"/>
      <c r="I13011" s="12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  <c r="AA13011" s="3"/>
      <c r="AB13011" s="3"/>
      <c r="AC13011" s="3"/>
      <c r="AD13011" s="3"/>
      <c r="AE13011" s="3"/>
      <c r="AF13011" s="3"/>
      <c r="AG13011" s="3"/>
      <c r="AH13011" s="3"/>
    </row>
    <row r="13012" spans="1:34" ht="14.25" customHeight="1" x14ac:dyDescent="0.25">
      <c r="A13012" s="3"/>
      <c r="B13012" s="3"/>
      <c r="C13012" s="3"/>
      <c r="D13012" s="3"/>
      <c r="E13012" s="3"/>
      <c r="F13012" s="3"/>
      <c r="G13012" s="3"/>
      <c r="H13012" s="11"/>
      <c r="I13012" s="12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  <c r="AA13012" s="3"/>
      <c r="AB13012" s="3"/>
      <c r="AC13012" s="3"/>
      <c r="AD13012" s="3"/>
      <c r="AE13012" s="3"/>
      <c r="AF13012" s="3"/>
      <c r="AG13012" s="3"/>
      <c r="AH13012" s="3"/>
    </row>
    <row r="13013" spans="1:34" ht="14.25" customHeight="1" x14ac:dyDescent="0.25">
      <c r="A13013" s="3"/>
      <c r="B13013" s="3"/>
      <c r="C13013" s="3"/>
      <c r="D13013" s="3"/>
      <c r="E13013" s="3"/>
      <c r="F13013" s="3"/>
      <c r="G13013" s="3"/>
      <c r="H13013" s="11"/>
      <c r="I13013" s="12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  <c r="AA13013" s="3"/>
      <c r="AB13013" s="3"/>
      <c r="AC13013" s="3"/>
      <c r="AD13013" s="3"/>
      <c r="AE13013" s="3"/>
      <c r="AF13013" s="3"/>
      <c r="AG13013" s="3"/>
      <c r="AH13013" s="3"/>
    </row>
    <row r="13014" spans="1:34" ht="14.25" customHeight="1" x14ac:dyDescent="0.25">
      <c r="A13014" s="3"/>
      <c r="B13014" s="3"/>
      <c r="C13014" s="3"/>
      <c r="D13014" s="3"/>
      <c r="E13014" s="3"/>
      <c r="F13014" s="3"/>
      <c r="G13014" s="3"/>
      <c r="H13014" s="11"/>
      <c r="I13014" s="12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  <c r="AA13014" s="3"/>
      <c r="AB13014" s="3"/>
      <c r="AC13014" s="3"/>
      <c r="AD13014" s="3"/>
      <c r="AE13014" s="3"/>
      <c r="AF13014" s="3"/>
      <c r="AG13014" s="3"/>
      <c r="AH13014" s="3"/>
    </row>
    <row r="13015" spans="1:34" ht="14.25" customHeight="1" x14ac:dyDescent="0.25">
      <c r="A13015" s="3"/>
      <c r="B13015" s="3"/>
      <c r="C13015" s="3"/>
      <c r="D13015" s="3"/>
      <c r="E13015" s="3"/>
      <c r="F13015" s="3"/>
      <c r="G13015" s="3"/>
      <c r="H13015" s="11"/>
      <c r="I13015" s="12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  <c r="AA13015" s="3"/>
      <c r="AB13015" s="3"/>
      <c r="AC13015" s="3"/>
      <c r="AD13015" s="3"/>
      <c r="AE13015" s="3"/>
      <c r="AF13015" s="3"/>
      <c r="AG13015" s="3"/>
      <c r="AH13015" s="3"/>
    </row>
    <row r="13016" spans="1:34" ht="14.25" customHeight="1" x14ac:dyDescent="0.25">
      <c r="A13016" s="3"/>
      <c r="B13016" s="3"/>
      <c r="C13016" s="3"/>
      <c r="D13016" s="3"/>
      <c r="E13016" s="3"/>
      <c r="F13016" s="3"/>
      <c r="G13016" s="3"/>
      <c r="H13016" s="11"/>
      <c r="I13016" s="12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  <c r="AA13016" s="3"/>
      <c r="AB13016" s="3"/>
      <c r="AC13016" s="3"/>
      <c r="AD13016" s="3"/>
      <c r="AE13016" s="3"/>
      <c r="AF13016" s="3"/>
      <c r="AG13016" s="3"/>
      <c r="AH13016" s="3"/>
    </row>
    <row r="13017" spans="1:34" ht="14.25" customHeight="1" x14ac:dyDescent="0.25">
      <c r="A13017" s="3"/>
      <c r="B13017" s="3"/>
      <c r="C13017" s="3"/>
      <c r="D13017" s="3"/>
      <c r="E13017" s="3"/>
      <c r="F13017" s="3"/>
      <c r="G13017" s="3"/>
      <c r="H13017" s="11"/>
      <c r="I13017" s="12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  <c r="AA13017" s="3"/>
      <c r="AB13017" s="3"/>
      <c r="AC13017" s="3"/>
      <c r="AD13017" s="3"/>
      <c r="AE13017" s="3"/>
      <c r="AF13017" s="3"/>
      <c r="AG13017" s="3"/>
      <c r="AH13017" s="3"/>
    </row>
    <row r="13018" spans="1:34" ht="14.25" customHeight="1" x14ac:dyDescent="0.25">
      <c r="A13018" s="3"/>
      <c r="B13018" s="3"/>
      <c r="C13018" s="3"/>
      <c r="D13018" s="3"/>
      <c r="E13018" s="3"/>
      <c r="F13018" s="3"/>
      <c r="G13018" s="3"/>
      <c r="H13018" s="11"/>
      <c r="I13018" s="12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  <c r="AA13018" s="3"/>
      <c r="AB13018" s="3"/>
      <c r="AC13018" s="3"/>
      <c r="AD13018" s="3"/>
      <c r="AE13018" s="3"/>
      <c r="AF13018" s="3"/>
      <c r="AG13018" s="3"/>
      <c r="AH13018" s="3"/>
    </row>
    <row r="13019" spans="1:34" ht="14.25" customHeight="1" x14ac:dyDescent="0.25">
      <c r="A13019" s="3"/>
      <c r="B13019" s="3"/>
      <c r="C13019" s="3"/>
      <c r="D13019" s="3"/>
      <c r="E13019" s="3"/>
      <c r="F13019" s="3"/>
      <c r="G13019" s="3"/>
      <c r="H13019" s="11"/>
      <c r="I13019" s="12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  <c r="AA13019" s="3"/>
      <c r="AB13019" s="3"/>
      <c r="AC13019" s="3"/>
      <c r="AD13019" s="3"/>
      <c r="AE13019" s="3"/>
      <c r="AF13019" s="3"/>
      <c r="AG13019" s="3"/>
      <c r="AH13019" s="3"/>
    </row>
    <row r="13020" spans="1:34" ht="14.25" customHeight="1" x14ac:dyDescent="0.25">
      <c r="A13020" s="3"/>
      <c r="B13020" s="3"/>
      <c r="C13020" s="3"/>
      <c r="D13020" s="3"/>
      <c r="E13020" s="3"/>
      <c r="F13020" s="3"/>
      <c r="G13020" s="3"/>
      <c r="H13020" s="11"/>
      <c r="I13020" s="12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  <c r="AA13020" s="3"/>
      <c r="AB13020" s="3"/>
      <c r="AC13020" s="3"/>
      <c r="AD13020" s="3"/>
      <c r="AE13020" s="3"/>
      <c r="AF13020" s="3"/>
      <c r="AG13020" s="3"/>
      <c r="AH13020" s="3"/>
    </row>
    <row r="13021" spans="1:34" ht="14.25" customHeight="1" x14ac:dyDescent="0.25">
      <c r="A13021" s="3"/>
      <c r="B13021" s="3"/>
      <c r="C13021" s="3"/>
      <c r="D13021" s="3"/>
      <c r="E13021" s="3"/>
      <c r="F13021" s="3"/>
      <c r="G13021" s="3"/>
      <c r="H13021" s="11"/>
      <c r="I13021" s="12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  <c r="AA13021" s="3"/>
      <c r="AB13021" s="3"/>
      <c r="AC13021" s="3"/>
      <c r="AD13021" s="3"/>
      <c r="AE13021" s="3"/>
      <c r="AF13021" s="3"/>
      <c r="AG13021" s="3"/>
      <c r="AH13021" s="3"/>
    </row>
    <row r="13022" spans="1:34" ht="14.25" customHeight="1" x14ac:dyDescent="0.25">
      <c r="A13022" s="3"/>
      <c r="B13022" s="3"/>
      <c r="C13022" s="3"/>
      <c r="D13022" s="3"/>
      <c r="E13022" s="3"/>
      <c r="F13022" s="3"/>
      <c r="G13022" s="3"/>
      <c r="H13022" s="11"/>
      <c r="I13022" s="12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  <c r="AA13022" s="3"/>
      <c r="AB13022" s="3"/>
      <c r="AC13022" s="3"/>
      <c r="AD13022" s="3"/>
      <c r="AE13022" s="3"/>
      <c r="AF13022" s="3"/>
      <c r="AG13022" s="3"/>
      <c r="AH13022" s="3"/>
    </row>
    <row r="13023" spans="1:34" ht="14.25" customHeight="1" x14ac:dyDescent="0.25">
      <c r="A13023" s="3"/>
      <c r="B13023" s="3"/>
      <c r="C13023" s="3"/>
      <c r="D13023" s="3"/>
      <c r="E13023" s="3"/>
      <c r="F13023" s="3"/>
      <c r="G13023" s="3"/>
      <c r="H13023" s="11"/>
      <c r="I13023" s="12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  <c r="AA13023" s="3"/>
      <c r="AB13023" s="3"/>
      <c r="AC13023" s="3"/>
      <c r="AD13023" s="3"/>
      <c r="AE13023" s="3"/>
      <c r="AF13023" s="3"/>
      <c r="AG13023" s="3"/>
      <c r="AH13023" s="3"/>
    </row>
    <row r="13024" spans="1:34" ht="14.25" customHeight="1" x14ac:dyDescent="0.25">
      <c r="A13024" s="3"/>
      <c r="B13024" s="3"/>
      <c r="C13024" s="3"/>
      <c r="D13024" s="3"/>
      <c r="E13024" s="3"/>
      <c r="F13024" s="3"/>
      <c r="G13024" s="3"/>
      <c r="H13024" s="11"/>
      <c r="I13024" s="12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  <c r="AA13024" s="3"/>
      <c r="AB13024" s="3"/>
      <c r="AC13024" s="3"/>
      <c r="AD13024" s="3"/>
      <c r="AE13024" s="3"/>
      <c r="AF13024" s="3"/>
      <c r="AG13024" s="3"/>
      <c r="AH13024" s="3"/>
    </row>
    <row r="13025" spans="1:34" ht="14.25" customHeight="1" x14ac:dyDescent="0.25">
      <c r="A13025" s="3"/>
      <c r="B13025" s="3"/>
      <c r="C13025" s="3"/>
      <c r="D13025" s="3"/>
      <c r="E13025" s="3"/>
      <c r="F13025" s="3"/>
      <c r="G13025" s="3"/>
      <c r="H13025" s="11"/>
      <c r="I13025" s="12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  <c r="AA13025" s="3"/>
      <c r="AB13025" s="3"/>
      <c r="AC13025" s="3"/>
      <c r="AD13025" s="3"/>
      <c r="AE13025" s="3"/>
      <c r="AF13025" s="3"/>
      <c r="AG13025" s="3"/>
      <c r="AH13025" s="3"/>
    </row>
    <row r="13026" spans="1:34" ht="14.25" customHeight="1" x14ac:dyDescent="0.25">
      <c r="A13026" s="3"/>
      <c r="B13026" s="3"/>
      <c r="C13026" s="3"/>
      <c r="D13026" s="3"/>
      <c r="E13026" s="3"/>
      <c r="F13026" s="3"/>
      <c r="G13026" s="3"/>
      <c r="H13026" s="11"/>
      <c r="I13026" s="12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  <c r="AA13026" s="3"/>
      <c r="AB13026" s="3"/>
      <c r="AC13026" s="3"/>
      <c r="AD13026" s="3"/>
      <c r="AE13026" s="3"/>
      <c r="AF13026" s="3"/>
      <c r="AG13026" s="3"/>
      <c r="AH13026" s="3"/>
    </row>
    <row r="13027" spans="1:34" ht="14.25" customHeight="1" x14ac:dyDescent="0.25">
      <c r="A13027" s="3"/>
      <c r="B13027" s="3"/>
      <c r="C13027" s="3"/>
      <c r="D13027" s="3"/>
      <c r="E13027" s="3"/>
      <c r="F13027" s="3"/>
      <c r="G13027" s="3"/>
      <c r="H13027" s="11"/>
      <c r="I13027" s="12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  <c r="AA13027" s="3"/>
      <c r="AB13027" s="3"/>
      <c r="AC13027" s="3"/>
      <c r="AD13027" s="3"/>
      <c r="AE13027" s="3"/>
      <c r="AF13027" s="3"/>
      <c r="AG13027" s="3"/>
      <c r="AH13027" s="3"/>
    </row>
    <row r="13028" spans="1:34" ht="14.25" customHeight="1" x14ac:dyDescent="0.25">
      <c r="A13028" s="3"/>
      <c r="B13028" s="3"/>
      <c r="C13028" s="3"/>
      <c r="D13028" s="3"/>
      <c r="E13028" s="3"/>
      <c r="F13028" s="3"/>
      <c r="G13028" s="3"/>
      <c r="H13028" s="11"/>
      <c r="I13028" s="12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  <c r="AA13028" s="3"/>
      <c r="AB13028" s="3"/>
      <c r="AC13028" s="3"/>
      <c r="AD13028" s="3"/>
      <c r="AE13028" s="3"/>
      <c r="AF13028" s="3"/>
      <c r="AG13028" s="3"/>
      <c r="AH13028" s="3"/>
    </row>
    <row r="13029" spans="1:34" ht="14.25" customHeight="1" x14ac:dyDescent="0.25">
      <c r="A13029" s="3"/>
      <c r="B13029" s="3"/>
      <c r="C13029" s="3"/>
      <c r="D13029" s="3"/>
      <c r="E13029" s="3"/>
      <c r="F13029" s="3"/>
      <c r="G13029" s="3"/>
      <c r="H13029" s="11"/>
      <c r="I13029" s="12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  <c r="AA13029" s="3"/>
      <c r="AB13029" s="3"/>
      <c r="AC13029" s="3"/>
      <c r="AD13029" s="3"/>
      <c r="AE13029" s="3"/>
      <c r="AF13029" s="3"/>
      <c r="AG13029" s="3"/>
      <c r="AH13029" s="3"/>
    </row>
    <row r="13030" spans="1:34" ht="14.25" customHeight="1" x14ac:dyDescent="0.25">
      <c r="A13030" s="3"/>
      <c r="B13030" s="3"/>
      <c r="C13030" s="3"/>
      <c r="D13030" s="3"/>
      <c r="E13030" s="3"/>
      <c r="F13030" s="3"/>
      <c r="G13030" s="3"/>
      <c r="H13030" s="11"/>
      <c r="I13030" s="12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  <c r="AA13030" s="3"/>
      <c r="AB13030" s="3"/>
      <c r="AC13030" s="3"/>
      <c r="AD13030" s="3"/>
      <c r="AE13030" s="3"/>
      <c r="AF13030" s="3"/>
      <c r="AG13030" s="3"/>
      <c r="AH13030" s="3"/>
    </row>
    <row r="13031" spans="1:34" ht="14.25" customHeight="1" x14ac:dyDescent="0.25">
      <c r="A13031" s="3"/>
      <c r="B13031" s="3"/>
      <c r="C13031" s="3"/>
      <c r="D13031" s="3"/>
      <c r="E13031" s="3"/>
      <c r="F13031" s="3"/>
      <c r="G13031" s="3"/>
      <c r="H13031" s="11"/>
      <c r="I13031" s="12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  <c r="AA13031" s="3"/>
      <c r="AB13031" s="3"/>
      <c r="AC13031" s="3"/>
      <c r="AD13031" s="3"/>
      <c r="AE13031" s="3"/>
      <c r="AF13031" s="3"/>
      <c r="AG13031" s="3"/>
      <c r="AH13031" s="3"/>
    </row>
    <row r="13032" spans="1:34" ht="14.25" customHeight="1" x14ac:dyDescent="0.25">
      <c r="A13032" s="3"/>
      <c r="B13032" s="3"/>
      <c r="C13032" s="3"/>
      <c r="D13032" s="3"/>
      <c r="E13032" s="3"/>
      <c r="F13032" s="3"/>
      <c r="G13032" s="3"/>
      <c r="H13032" s="11"/>
      <c r="I13032" s="12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  <c r="AA13032" s="3"/>
      <c r="AB13032" s="3"/>
      <c r="AC13032" s="3"/>
      <c r="AD13032" s="3"/>
      <c r="AE13032" s="3"/>
      <c r="AF13032" s="3"/>
      <c r="AG13032" s="3"/>
      <c r="AH13032" s="3"/>
    </row>
    <row r="13033" spans="1:34" ht="14.25" customHeight="1" x14ac:dyDescent="0.25">
      <c r="A13033" s="3"/>
      <c r="B13033" s="3"/>
      <c r="C13033" s="3"/>
      <c r="D13033" s="3"/>
      <c r="E13033" s="3"/>
      <c r="F13033" s="3"/>
      <c r="G13033" s="3"/>
      <c r="H13033" s="11"/>
      <c r="I13033" s="12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  <c r="AA13033" s="3"/>
      <c r="AB13033" s="3"/>
      <c r="AC13033" s="3"/>
      <c r="AD13033" s="3"/>
      <c r="AE13033" s="3"/>
      <c r="AF13033" s="3"/>
      <c r="AG13033" s="3"/>
      <c r="AH13033" s="3"/>
    </row>
    <row r="13034" spans="1:34" ht="14.25" customHeight="1" x14ac:dyDescent="0.25">
      <c r="A13034" s="3"/>
      <c r="B13034" s="3"/>
      <c r="C13034" s="3"/>
      <c r="D13034" s="3"/>
      <c r="E13034" s="3"/>
      <c r="F13034" s="3"/>
      <c r="G13034" s="3"/>
      <c r="H13034" s="11"/>
      <c r="I13034" s="12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  <c r="AA13034" s="3"/>
      <c r="AB13034" s="3"/>
      <c r="AC13034" s="3"/>
      <c r="AD13034" s="3"/>
      <c r="AE13034" s="3"/>
      <c r="AF13034" s="3"/>
      <c r="AG13034" s="3"/>
      <c r="AH13034" s="3"/>
    </row>
    <row r="13035" spans="1:34" ht="14.25" customHeight="1" x14ac:dyDescent="0.25">
      <c r="A13035" s="3"/>
      <c r="B13035" s="3"/>
      <c r="C13035" s="3"/>
      <c r="D13035" s="3"/>
      <c r="E13035" s="3"/>
      <c r="F13035" s="3"/>
      <c r="G13035" s="3"/>
      <c r="H13035" s="11"/>
      <c r="I13035" s="12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  <c r="AA13035" s="3"/>
      <c r="AB13035" s="3"/>
      <c r="AC13035" s="3"/>
      <c r="AD13035" s="3"/>
      <c r="AE13035" s="3"/>
      <c r="AF13035" s="3"/>
      <c r="AG13035" s="3"/>
      <c r="AH13035" s="3"/>
    </row>
    <row r="13036" spans="1:34" ht="14.25" customHeight="1" x14ac:dyDescent="0.25">
      <c r="A13036" s="3"/>
      <c r="B13036" s="3"/>
      <c r="C13036" s="3"/>
      <c r="D13036" s="3"/>
      <c r="E13036" s="3"/>
      <c r="F13036" s="3"/>
      <c r="G13036" s="3"/>
      <c r="H13036" s="11"/>
      <c r="I13036" s="12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  <c r="AA13036" s="3"/>
      <c r="AB13036" s="3"/>
      <c r="AC13036" s="3"/>
      <c r="AD13036" s="3"/>
      <c r="AE13036" s="3"/>
      <c r="AF13036" s="3"/>
      <c r="AG13036" s="3"/>
      <c r="AH13036" s="3"/>
    </row>
    <row r="13037" spans="1:34" ht="14.25" customHeight="1" x14ac:dyDescent="0.25">
      <c r="A13037" s="3"/>
      <c r="B13037" s="3"/>
      <c r="C13037" s="3"/>
      <c r="D13037" s="3"/>
      <c r="E13037" s="3"/>
      <c r="F13037" s="3"/>
      <c r="G13037" s="3"/>
      <c r="H13037" s="11"/>
      <c r="I13037" s="12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  <c r="AA13037" s="3"/>
      <c r="AB13037" s="3"/>
      <c r="AC13037" s="3"/>
      <c r="AD13037" s="3"/>
      <c r="AE13037" s="3"/>
      <c r="AF13037" s="3"/>
      <c r="AG13037" s="3"/>
      <c r="AH13037" s="3"/>
    </row>
    <row r="13038" spans="1:34" ht="14.25" customHeight="1" x14ac:dyDescent="0.25">
      <c r="A13038" s="3"/>
      <c r="B13038" s="3"/>
      <c r="C13038" s="3"/>
      <c r="D13038" s="3"/>
      <c r="E13038" s="3"/>
      <c r="F13038" s="3"/>
      <c r="G13038" s="3"/>
      <c r="H13038" s="11"/>
      <c r="I13038" s="12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  <c r="AA13038" s="3"/>
      <c r="AB13038" s="3"/>
      <c r="AC13038" s="3"/>
      <c r="AD13038" s="3"/>
      <c r="AE13038" s="3"/>
      <c r="AF13038" s="3"/>
      <c r="AG13038" s="3"/>
      <c r="AH13038" s="3"/>
    </row>
    <row r="13039" spans="1:34" ht="14.25" customHeight="1" x14ac:dyDescent="0.25">
      <c r="A13039" s="3"/>
      <c r="B13039" s="3"/>
      <c r="C13039" s="3"/>
      <c r="D13039" s="3"/>
      <c r="E13039" s="3"/>
      <c r="F13039" s="3"/>
      <c r="G13039" s="3"/>
      <c r="H13039" s="11"/>
      <c r="I13039" s="12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  <c r="AA13039" s="3"/>
      <c r="AB13039" s="3"/>
      <c r="AC13039" s="3"/>
      <c r="AD13039" s="3"/>
      <c r="AE13039" s="3"/>
      <c r="AF13039" s="3"/>
      <c r="AG13039" s="3"/>
      <c r="AH13039" s="3"/>
    </row>
    <row r="13040" spans="1:34" ht="14.25" customHeight="1" x14ac:dyDescent="0.25">
      <c r="A13040" s="3"/>
      <c r="B13040" s="3"/>
      <c r="C13040" s="3"/>
      <c r="D13040" s="3"/>
      <c r="E13040" s="3"/>
      <c r="F13040" s="3"/>
      <c r="G13040" s="3"/>
      <c r="H13040" s="11"/>
      <c r="I13040" s="12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  <c r="AA13040" s="3"/>
      <c r="AB13040" s="3"/>
      <c r="AC13040" s="3"/>
      <c r="AD13040" s="3"/>
      <c r="AE13040" s="3"/>
      <c r="AF13040" s="3"/>
      <c r="AG13040" s="3"/>
      <c r="AH13040" s="3"/>
    </row>
    <row r="13041" spans="1:34" ht="14.25" customHeight="1" x14ac:dyDescent="0.25">
      <c r="A13041" s="3"/>
      <c r="B13041" s="3"/>
      <c r="C13041" s="3"/>
      <c r="D13041" s="3"/>
      <c r="E13041" s="3"/>
      <c r="F13041" s="3"/>
      <c r="G13041" s="3"/>
      <c r="H13041" s="11"/>
      <c r="I13041" s="12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  <c r="AA13041" s="3"/>
      <c r="AB13041" s="3"/>
      <c r="AC13041" s="3"/>
      <c r="AD13041" s="3"/>
      <c r="AE13041" s="3"/>
      <c r="AF13041" s="3"/>
      <c r="AG13041" s="3"/>
      <c r="AH13041" s="3"/>
    </row>
    <row r="13042" spans="1:34" ht="14.25" customHeight="1" x14ac:dyDescent="0.25">
      <c r="A13042" s="3"/>
      <c r="B13042" s="3"/>
      <c r="C13042" s="3"/>
      <c r="D13042" s="3"/>
      <c r="E13042" s="3"/>
      <c r="F13042" s="3"/>
      <c r="G13042" s="3"/>
      <c r="H13042" s="11"/>
      <c r="I13042" s="12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  <c r="AA13042" s="3"/>
      <c r="AB13042" s="3"/>
      <c r="AC13042" s="3"/>
      <c r="AD13042" s="3"/>
      <c r="AE13042" s="3"/>
      <c r="AF13042" s="3"/>
      <c r="AG13042" s="3"/>
      <c r="AH13042" s="3"/>
    </row>
    <row r="13043" spans="1:34" ht="14.25" customHeight="1" x14ac:dyDescent="0.25">
      <c r="A13043" s="3"/>
      <c r="B13043" s="3"/>
      <c r="C13043" s="3"/>
      <c r="D13043" s="3"/>
      <c r="E13043" s="3"/>
      <c r="F13043" s="3"/>
      <c r="G13043" s="3"/>
      <c r="H13043" s="11"/>
      <c r="I13043" s="12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  <c r="AA13043" s="3"/>
      <c r="AB13043" s="3"/>
      <c r="AC13043" s="3"/>
      <c r="AD13043" s="3"/>
      <c r="AE13043" s="3"/>
      <c r="AF13043" s="3"/>
      <c r="AG13043" s="3"/>
      <c r="AH13043" s="3"/>
    </row>
    <row r="13044" spans="1:34" ht="14.25" customHeight="1" x14ac:dyDescent="0.25">
      <c r="A13044" s="3"/>
      <c r="B13044" s="3"/>
      <c r="C13044" s="3"/>
      <c r="D13044" s="3"/>
      <c r="E13044" s="3"/>
      <c r="F13044" s="3"/>
      <c r="G13044" s="3"/>
      <c r="H13044" s="11"/>
      <c r="I13044" s="12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  <c r="AA13044" s="3"/>
      <c r="AB13044" s="3"/>
      <c r="AC13044" s="3"/>
      <c r="AD13044" s="3"/>
      <c r="AE13044" s="3"/>
      <c r="AF13044" s="3"/>
      <c r="AG13044" s="3"/>
      <c r="AH13044" s="3"/>
    </row>
    <row r="13045" spans="1:34" ht="14.25" customHeight="1" x14ac:dyDescent="0.25">
      <c r="A13045" s="3"/>
      <c r="B13045" s="3"/>
      <c r="C13045" s="3"/>
      <c r="D13045" s="3"/>
      <c r="E13045" s="3"/>
      <c r="F13045" s="3"/>
      <c r="G13045" s="3"/>
      <c r="H13045" s="11"/>
      <c r="I13045" s="12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  <c r="AA13045" s="3"/>
      <c r="AB13045" s="3"/>
      <c r="AC13045" s="3"/>
      <c r="AD13045" s="3"/>
      <c r="AE13045" s="3"/>
      <c r="AF13045" s="3"/>
      <c r="AG13045" s="3"/>
      <c r="AH13045" s="3"/>
    </row>
    <row r="13046" spans="1:34" ht="14.25" customHeight="1" x14ac:dyDescent="0.25">
      <c r="A13046" s="3"/>
      <c r="B13046" s="3"/>
      <c r="C13046" s="3"/>
      <c r="D13046" s="3"/>
      <c r="E13046" s="3"/>
      <c r="F13046" s="3"/>
      <c r="G13046" s="3"/>
      <c r="H13046" s="11"/>
      <c r="I13046" s="12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  <c r="AA13046" s="3"/>
      <c r="AB13046" s="3"/>
      <c r="AC13046" s="3"/>
      <c r="AD13046" s="3"/>
      <c r="AE13046" s="3"/>
      <c r="AF13046" s="3"/>
      <c r="AG13046" s="3"/>
      <c r="AH13046" s="3"/>
    </row>
    <row r="13047" spans="1:34" ht="14.25" customHeight="1" x14ac:dyDescent="0.25">
      <c r="A13047" s="3"/>
      <c r="B13047" s="3"/>
      <c r="C13047" s="3"/>
      <c r="D13047" s="3"/>
      <c r="E13047" s="3"/>
      <c r="F13047" s="3"/>
      <c r="G13047" s="3"/>
      <c r="H13047" s="11"/>
      <c r="I13047" s="12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  <c r="AA13047" s="3"/>
      <c r="AB13047" s="3"/>
      <c r="AC13047" s="3"/>
      <c r="AD13047" s="3"/>
      <c r="AE13047" s="3"/>
      <c r="AF13047" s="3"/>
      <c r="AG13047" s="3"/>
      <c r="AH13047" s="3"/>
    </row>
    <row r="13048" spans="1:34" ht="14.25" customHeight="1" x14ac:dyDescent="0.25">
      <c r="A13048" s="3"/>
      <c r="B13048" s="3"/>
      <c r="C13048" s="3"/>
      <c r="D13048" s="3"/>
      <c r="E13048" s="3"/>
      <c r="F13048" s="3"/>
      <c r="G13048" s="3"/>
      <c r="H13048" s="11"/>
      <c r="I13048" s="12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  <c r="AA13048" s="3"/>
      <c r="AB13048" s="3"/>
      <c r="AC13048" s="3"/>
      <c r="AD13048" s="3"/>
      <c r="AE13048" s="3"/>
      <c r="AF13048" s="3"/>
      <c r="AG13048" s="3"/>
      <c r="AH13048" s="3"/>
    </row>
    <row r="13049" spans="1:34" ht="14.25" customHeight="1" x14ac:dyDescent="0.25">
      <c r="A13049" s="3"/>
      <c r="B13049" s="3"/>
      <c r="C13049" s="3"/>
      <c r="D13049" s="3"/>
      <c r="E13049" s="3"/>
      <c r="F13049" s="3"/>
      <c r="G13049" s="3"/>
      <c r="H13049" s="11"/>
      <c r="I13049" s="12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  <c r="AA13049" s="3"/>
      <c r="AB13049" s="3"/>
      <c r="AC13049" s="3"/>
      <c r="AD13049" s="3"/>
      <c r="AE13049" s="3"/>
      <c r="AF13049" s="3"/>
      <c r="AG13049" s="3"/>
      <c r="AH13049" s="3"/>
    </row>
    <row r="13050" spans="1:34" ht="14.25" customHeight="1" x14ac:dyDescent="0.25">
      <c r="A13050" s="3"/>
      <c r="B13050" s="3"/>
      <c r="C13050" s="3"/>
      <c r="D13050" s="3"/>
      <c r="E13050" s="3"/>
      <c r="F13050" s="3"/>
      <c r="G13050" s="3"/>
      <c r="H13050" s="11"/>
      <c r="I13050" s="12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  <c r="AA13050" s="3"/>
      <c r="AB13050" s="3"/>
      <c r="AC13050" s="3"/>
      <c r="AD13050" s="3"/>
      <c r="AE13050" s="3"/>
      <c r="AF13050" s="3"/>
      <c r="AG13050" s="3"/>
      <c r="AH13050" s="3"/>
    </row>
    <row r="13051" spans="1:34" ht="14.25" customHeight="1" x14ac:dyDescent="0.25">
      <c r="A13051" s="3"/>
      <c r="B13051" s="3"/>
      <c r="C13051" s="3"/>
      <c r="D13051" s="3"/>
      <c r="E13051" s="3"/>
      <c r="F13051" s="3"/>
      <c r="G13051" s="3"/>
      <c r="H13051" s="11"/>
      <c r="I13051" s="12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  <c r="AA13051" s="3"/>
      <c r="AB13051" s="3"/>
      <c r="AC13051" s="3"/>
      <c r="AD13051" s="3"/>
      <c r="AE13051" s="3"/>
      <c r="AF13051" s="3"/>
      <c r="AG13051" s="3"/>
      <c r="AH13051" s="3"/>
    </row>
    <row r="13052" spans="1:34" ht="14.25" customHeight="1" x14ac:dyDescent="0.25">
      <c r="A13052" s="3"/>
      <c r="B13052" s="3"/>
      <c r="C13052" s="3"/>
      <c r="D13052" s="3"/>
      <c r="E13052" s="3"/>
      <c r="F13052" s="3"/>
      <c r="G13052" s="3"/>
      <c r="H13052" s="11"/>
      <c r="I13052" s="12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  <c r="AA13052" s="3"/>
      <c r="AB13052" s="3"/>
      <c r="AC13052" s="3"/>
      <c r="AD13052" s="3"/>
      <c r="AE13052" s="3"/>
      <c r="AF13052" s="3"/>
      <c r="AG13052" s="3"/>
      <c r="AH13052" s="3"/>
    </row>
    <row r="13053" spans="1:34" ht="14.25" customHeight="1" x14ac:dyDescent="0.25">
      <c r="A13053" s="3"/>
      <c r="B13053" s="3"/>
      <c r="C13053" s="3"/>
      <c r="D13053" s="3"/>
      <c r="E13053" s="3"/>
      <c r="F13053" s="3"/>
      <c r="G13053" s="3"/>
      <c r="H13053" s="11"/>
      <c r="I13053" s="12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  <c r="AA13053" s="3"/>
      <c r="AB13053" s="3"/>
      <c r="AC13053" s="3"/>
      <c r="AD13053" s="3"/>
      <c r="AE13053" s="3"/>
      <c r="AF13053" s="3"/>
      <c r="AG13053" s="3"/>
      <c r="AH13053" s="3"/>
    </row>
    <row r="13054" spans="1:34" ht="14.25" customHeight="1" x14ac:dyDescent="0.25">
      <c r="A13054" s="3"/>
      <c r="B13054" s="3"/>
      <c r="C13054" s="3"/>
      <c r="D13054" s="3"/>
      <c r="E13054" s="3"/>
      <c r="F13054" s="3"/>
      <c r="G13054" s="3"/>
      <c r="H13054" s="11"/>
      <c r="I13054" s="12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  <c r="AA13054" s="3"/>
      <c r="AB13054" s="3"/>
      <c r="AC13054" s="3"/>
      <c r="AD13054" s="3"/>
      <c r="AE13054" s="3"/>
      <c r="AF13054" s="3"/>
      <c r="AG13054" s="3"/>
      <c r="AH13054" s="3"/>
    </row>
    <row r="13055" spans="1:34" ht="14.25" customHeight="1" x14ac:dyDescent="0.25">
      <c r="A13055" s="3"/>
      <c r="B13055" s="3"/>
      <c r="C13055" s="3"/>
      <c r="D13055" s="3"/>
      <c r="E13055" s="3"/>
      <c r="F13055" s="3"/>
      <c r="G13055" s="3"/>
      <c r="H13055" s="11"/>
      <c r="I13055" s="12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  <c r="AA13055" s="3"/>
      <c r="AB13055" s="3"/>
      <c r="AC13055" s="3"/>
      <c r="AD13055" s="3"/>
      <c r="AE13055" s="3"/>
      <c r="AF13055" s="3"/>
      <c r="AG13055" s="3"/>
      <c r="AH13055" s="3"/>
    </row>
    <row r="13056" spans="1:34" ht="14.25" customHeight="1" x14ac:dyDescent="0.25">
      <c r="A13056" s="3"/>
      <c r="B13056" s="3"/>
      <c r="C13056" s="3"/>
      <c r="D13056" s="3"/>
      <c r="E13056" s="3"/>
      <c r="F13056" s="3"/>
      <c r="G13056" s="3"/>
      <c r="H13056" s="11"/>
      <c r="I13056" s="12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  <c r="AA13056" s="3"/>
      <c r="AB13056" s="3"/>
      <c r="AC13056" s="3"/>
      <c r="AD13056" s="3"/>
      <c r="AE13056" s="3"/>
      <c r="AF13056" s="3"/>
      <c r="AG13056" s="3"/>
      <c r="AH13056" s="3"/>
    </row>
    <row r="13057" spans="1:34" ht="14.25" customHeight="1" x14ac:dyDescent="0.25">
      <c r="A13057" s="3"/>
      <c r="B13057" s="3"/>
      <c r="C13057" s="3"/>
      <c r="D13057" s="3"/>
      <c r="E13057" s="3"/>
      <c r="F13057" s="3"/>
      <c r="G13057" s="3"/>
      <c r="H13057" s="11"/>
      <c r="I13057" s="12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  <c r="AA13057" s="3"/>
      <c r="AB13057" s="3"/>
      <c r="AC13057" s="3"/>
      <c r="AD13057" s="3"/>
      <c r="AE13057" s="3"/>
      <c r="AF13057" s="3"/>
      <c r="AG13057" s="3"/>
      <c r="AH13057" s="3"/>
    </row>
    <row r="13058" spans="1:34" ht="14.25" customHeight="1" x14ac:dyDescent="0.25">
      <c r="A13058" s="3"/>
      <c r="B13058" s="3"/>
      <c r="C13058" s="3"/>
      <c r="D13058" s="3"/>
      <c r="E13058" s="3"/>
      <c r="F13058" s="3"/>
      <c r="G13058" s="3"/>
      <c r="H13058" s="11"/>
      <c r="I13058" s="12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  <c r="AA13058" s="3"/>
      <c r="AB13058" s="3"/>
      <c r="AC13058" s="3"/>
      <c r="AD13058" s="3"/>
      <c r="AE13058" s="3"/>
      <c r="AF13058" s="3"/>
      <c r="AG13058" s="3"/>
      <c r="AH13058" s="3"/>
    </row>
    <row r="13059" spans="1:34" ht="14.25" customHeight="1" x14ac:dyDescent="0.25">
      <c r="A13059" s="3"/>
      <c r="B13059" s="3"/>
      <c r="C13059" s="3"/>
      <c r="D13059" s="3"/>
      <c r="E13059" s="3"/>
      <c r="F13059" s="3"/>
      <c r="G13059" s="3"/>
      <c r="H13059" s="11"/>
      <c r="I13059" s="12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  <c r="AA13059" s="3"/>
      <c r="AB13059" s="3"/>
      <c r="AC13059" s="3"/>
      <c r="AD13059" s="3"/>
      <c r="AE13059" s="3"/>
      <c r="AF13059" s="3"/>
      <c r="AG13059" s="3"/>
      <c r="AH13059" s="3"/>
    </row>
    <row r="13060" spans="1:34" ht="14.25" customHeight="1" x14ac:dyDescent="0.25">
      <c r="A13060" s="3"/>
      <c r="B13060" s="3"/>
      <c r="C13060" s="3"/>
      <c r="D13060" s="3"/>
      <c r="E13060" s="3"/>
      <c r="F13060" s="3"/>
      <c r="G13060" s="3"/>
      <c r="H13060" s="11"/>
      <c r="I13060" s="12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  <c r="AA13060" s="3"/>
      <c r="AB13060" s="3"/>
      <c r="AC13060" s="3"/>
      <c r="AD13060" s="3"/>
      <c r="AE13060" s="3"/>
      <c r="AF13060" s="3"/>
      <c r="AG13060" s="3"/>
      <c r="AH13060" s="3"/>
    </row>
    <row r="13061" spans="1:34" ht="14.25" customHeight="1" x14ac:dyDescent="0.25">
      <c r="A13061" s="3"/>
      <c r="B13061" s="3"/>
      <c r="C13061" s="3"/>
      <c r="D13061" s="3"/>
      <c r="E13061" s="3"/>
      <c r="F13061" s="3"/>
      <c r="G13061" s="3"/>
      <c r="H13061" s="11"/>
      <c r="I13061" s="12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  <c r="AA13061" s="3"/>
      <c r="AB13061" s="3"/>
      <c r="AC13061" s="3"/>
      <c r="AD13061" s="3"/>
      <c r="AE13061" s="3"/>
      <c r="AF13061" s="3"/>
      <c r="AG13061" s="3"/>
      <c r="AH13061" s="3"/>
    </row>
    <row r="13062" spans="1:34" ht="14.25" customHeight="1" x14ac:dyDescent="0.25">
      <c r="A13062" s="3"/>
      <c r="B13062" s="3"/>
      <c r="C13062" s="3"/>
      <c r="D13062" s="3"/>
      <c r="E13062" s="3"/>
      <c r="F13062" s="3"/>
      <c r="G13062" s="3"/>
      <c r="H13062" s="11"/>
      <c r="I13062" s="12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  <c r="AA13062" s="3"/>
      <c r="AB13062" s="3"/>
      <c r="AC13062" s="3"/>
      <c r="AD13062" s="3"/>
      <c r="AE13062" s="3"/>
      <c r="AF13062" s="3"/>
      <c r="AG13062" s="3"/>
      <c r="AH13062" s="3"/>
    </row>
    <row r="13063" spans="1:34" ht="14.25" customHeight="1" x14ac:dyDescent="0.25">
      <c r="A13063" s="3"/>
      <c r="B13063" s="3"/>
      <c r="C13063" s="3"/>
      <c r="D13063" s="3"/>
      <c r="E13063" s="3"/>
      <c r="F13063" s="3"/>
      <c r="G13063" s="3"/>
      <c r="H13063" s="11"/>
      <c r="I13063" s="12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  <c r="AA13063" s="3"/>
      <c r="AB13063" s="3"/>
      <c r="AC13063" s="3"/>
      <c r="AD13063" s="3"/>
      <c r="AE13063" s="3"/>
      <c r="AF13063" s="3"/>
      <c r="AG13063" s="3"/>
      <c r="AH13063" s="3"/>
    </row>
    <row r="13064" spans="1:34" ht="14.25" customHeight="1" x14ac:dyDescent="0.25">
      <c r="A13064" s="3"/>
      <c r="B13064" s="3"/>
      <c r="C13064" s="3"/>
      <c r="D13064" s="3"/>
      <c r="E13064" s="3"/>
      <c r="F13064" s="3"/>
      <c r="G13064" s="3"/>
      <c r="H13064" s="11"/>
      <c r="I13064" s="12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  <c r="AA13064" s="3"/>
      <c r="AB13064" s="3"/>
      <c r="AC13064" s="3"/>
      <c r="AD13064" s="3"/>
      <c r="AE13064" s="3"/>
      <c r="AF13064" s="3"/>
      <c r="AG13064" s="3"/>
      <c r="AH13064" s="3"/>
    </row>
    <row r="13065" spans="1:34" ht="14.25" customHeight="1" x14ac:dyDescent="0.25">
      <c r="A13065" s="3"/>
      <c r="B13065" s="3"/>
      <c r="C13065" s="3"/>
      <c r="D13065" s="3"/>
      <c r="E13065" s="3"/>
      <c r="F13065" s="3"/>
      <c r="G13065" s="3"/>
      <c r="H13065" s="11"/>
      <c r="I13065" s="12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  <c r="AA13065" s="3"/>
      <c r="AB13065" s="3"/>
      <c r="AC13065" s="3"/>
      <c r="AD13065" s="3"/>
      <c r="AE13065" s="3"/>
      <c r="AF13065" s="3"/>
      <c r="AG13065" s="3"/>
      <c r="AH13065" s="3"/>
    </row>
    <row r="13066" spans="1:34" ht="14.25" customHeight="1" x14ac:dyDescent="0.25">
      <c r="A13066" s="3"/>
      <c r="B13066" s="3"/>
      <c r="C13066" s="3"/>
      <c r="D13066" s="3"/>
      <c r="E13066" s="3"/>
      <c r="F13066" s="3"/>
      <c r="G13066" s="3"/>
      <c r="H13066" s="11"/>
      <c r="I13066" s="12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  <c r="AA13066" s="3"/>
      <c r="AB13066" s="3"/>
      <c r="AC13066" s="3"/>
      <c r="AD13066" s="3"/>
      <c r="AE13066" s="3"/>
      <c r="AF13066" s="3"/>
      <c r="AG13066" s="3"/>
      <c r="AH13066" s="3"/>
    </row>
    <row r="13067" spans="1:34" ht="14.25" customHeight="1" x14ac:dyDescent="0.25">
      <c r="A13067" s="3"/>
      <c r="B13067" s="3"/>
      <c r="C13067" s="3"/>
      <c r="D13067" s="3"/>
      <c r="E13067" s="3"/>
      <c r="F13067" s="3"/>
      <c r="G13067" s="3"/>
      <c r="H13067" s="11"/>
      <c r="I13067" s="12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  <c r="AA13067" s="3"/>
      <c r="AB13067" s="3"/>
      <c r="AC13067" s="3"/>
      <c r="AD13067" s="3"/>
      <c r="AE13067" s="3"/>
      <c r="AF13067" s="3"/>
      <c r="AG13067" s="3"/>
      <c r="AH13067" s="3"/>
    </row>
    <row r="13068" spans="1:34" ht="14.25" customHeight="1" x14ac:dyDescent="0.25">
      <c r="A13068" s="3"/>
      <c r="B13068" s="3"/>
      <c r="C13068" s="3"/>
      <c r="D13068" s="3"/>
      <c r="E13068" s="3"/>
      <c r="F13068" s="3"/>
      <c r="G13068" s="3"/>
      <c r="H13068" s="11"/>
      <c r="I13068" s="12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  <c r="AA13068" s="3"/>
      <c r="AB13068" s="3"/>
      <c r="AC13068" s="3"/>
      <c r="AD13068" s="3"/>
      <c r="AE13068" s="3"/>
      <c r="AF13068" s="3"/>
      <c r="AG13068" s="3"/>
      <c r="AH13068" s="3"/>
    </row>
    <row r="13069" spans="1:34" ht="14.25" customHeight="1" x14ac:dyDescent="0.25">
      <c r="A13069" s="3"/>
      <c r="B13069" s="3"/>
      <c r="C13069" s="3"/>
      <c r="D13069" s="3"/>
      <c r="E13069" s="3"/>
      <c r="F13069" s="3"/>
      <c r="G13069" s="3"/>
      <c r="H13069" s="11"/>
      <c r="I13069" s="12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  <c r="AA13069" s="3"/>
      <c r="AB13069" s="3"/>
      <c r="AC13069" s="3"/>
      <c r="AD13069" s="3"/>
      <c r="AE13069" s="3"/>
      <c r="AF13069" s="3"/>
      <c r="AG13069" s="3"/>
      <c r="AH13069" s="3"/>
    </row>
    <row r="13070" spans="1:34" ht="14.25" customHeight="1" x14ac:dyDescent="0.25">
      <c r="A13070" s="3"/>
      <c r="B13070" s="3"/>
      <c r="C13070" s="3"/>
      <c r="D13070" s="3"/>
      <c r="E13070" s="3"/>
      <c r="F13070" s="3"/>
      <c r="G13070" s="3"/>
      <c r="H13070" s="11"/>
      <c r="I13070" s="12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  <c r="AA13070" s="3"/>
      <c r="AB13070" s="3"/>
      <c r="AC13070" s="3"/>
      <c r="AD13070" s="3"/>
      <c r="AE13070" s="3"/>
      <c r="AF13070" s="3"/>
      <c r="AG13070" s="3"/>
      <c r="AH13070" s="3"/>
    </row>
    <row r="13071" spans="1:34" ht="14.25" customHeight="1" x14ac:dyDescent="0.25">
      <c r="A13071" s="3"/>
      <c r="B13071" s="3"/>
      <c r="C13071" s="3"/>
      <c r="D13071" s="3"/>
      <c r="E13071" s="3"/>
      <c r="F13071" s="3"/>
      <c r="G13071" s="3"/>
      <c r="H13071" s="11"/>
      <c r="I13071" s="12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  <c r="AA13071" s="3"/>
      <c r="AB13071" s="3"/>
      <c r="AC13071" s="3"/>
      <c r="AD13071" s="3"/>
      <c r="AE13071" s="3"/>
      <c r="AF13071" s="3"/>
      <c r="AG13071" s="3"/>
      <c r="AH13071" s="3"/>
    </row>
    <row r="13072" spans="1:34" ht="14.25" customHeight="1" x14ac:dyDescent="0.25">
      <c r="A13072" s="3"/>
      <c r="B13072" s="3"/>
      <c r="C13072" s="3"/>
      <c r="D13072" s="3"/>
      <c r="E13072" s="3"/>
      <c r="F13072" s="3"/>
      <c r="G13072" s="3"/>
      <c r="H13072" s="11"/>
      <c r="I13072" s="12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  <c r="AA13072" s="3"/>
      <c r="AB13072" s="3"/>
      <c r="AC13072" s="3"/>
      <c r="AD13072" s="3"/>
      <c r="AE13072" s="3"/>
      <c r="AF13072" s="3"/>
      <c r="AG13072" s="3"/>
      <c r="AH13072" s="3"/>
    </row>
    <row r="13073" spans="1:34" ht="14.25" customHeight="1" x14ac:dyDescent="0.25">
      <c r="A13073" s="3"/>
      <c r="B13073" s="3"/>
      <c r="C13073" s="3"/>
      <c r="D13073" s="3"/>
      <c r="E13073" s="3"/>
      <c r="F13073" s="3"/>
      <c r="G13073" s="3"/>
      <c r="H13073" s="11"/>
      <c r="I13073" s="12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  <c r="AA13073" s="3"/>
      <c r="AB13073" s="3"/>
      <c r="AC13073" s="3"/>
      <c r="AD13073" s="3"/>
      <c r="AE13073" s="3"/>
      <c r="AF13073" s="3"/>
      <c r="AG13073" s="3"/>
      <c r="AH13073" s="3"/>
    </row>
    <row r="13074" spans="1:34" ht="14.25" customHeight="1" x14ac:dyDescent="0.25">
      <c r="A13074" s="3"/>
      <c r="B13074" s="3"/>
      <c r="C13074" s="3"/>
      <c r="D13074" s="3"/>
      <c r="E13074" s="3"/>
      <c r="F13074" s="3"/>
      <c r="G13074" s="3"/>
      <c r="H13074" s="11"/>
      <c r="I13074" s="12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  <c r="AA13074" s="3"/>
      <c r="AB13074" s="3"/>
      <c r="AC13074" s="3"/>
      <c r="AD13074" s="3"/>
      <c r="AE13074" s="3"/>
      <c r="AF13074" s="3"/>
      <c r="AG13074" s="3"/>
      <c r="AH13074" s="3"/>
    </row>
    <row r="13075" spans="1:34" ht="14.25" customHeight="1" x14ac:dyDescent="0.25">
      <c r="A13075" s="3"/>
      <c r="B13075" s="3"/>
      <c r="C13075" s="3"/>
      <c r="D13075" s="3"/>
      <c r="E13075" s="3"/>
      <c r="F13075" s="3"/>
      <c r="G13075" s="3"/>
      <c r="H13075" s="11"/>
      <c r="I13075" s="12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  <c r="AA13075" s="3"/>
      <c r="AB13075" s="3"/>
      <c r="AC13075" s="3"/>
      <c r="AD13075" s="3"/>
      <c r="AE13075" s="3"/>
      <c r="AF13075" s="3"/>
      <c r="AG13075" s="3"/>
      <c r="AH13075" s="3"/>
    </row>
    <row r="13076" spans="1:34" ht="14.25" customHeight="1" x14ac:dyDescent="0.25">
      <c r="A13076" s="3"/>
      <c r="B13076" s="3"/>
      <c r="C13076" s="3"/>
      <c r="D13076" s="3"/>
      <c r="E13076" s="3"/>
      <c r="F13076" s="3"/>
      <c r="G13076" s="3"/>
      <c r="H13076" s="11"/>
      <c r="I13076" s="12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  <c r="AA13076" s="3"/>
      <c r="AB13076" s="3"/>
      <c r="AC13076" s="3"/>
      <c r="AD13076" s="3"/>
      <c r="AE13076" s="3"/>
      <c r="AF13076" s="3"/>
      <c r="AG13076" s="3"/>
      <c r="AH13076" s="3"/>
    </row>
    <row r="13077" spans="1:34" ht="14.25" customHeight="1" x14ac:dyDescent="0.25">
      <c r="A13077" s="3"/>
      <c r="B13077" s="3"/>
      <c r="C13077" s="3"/>
      <c r="D13077" s="3"/>
      <c r="E13077" s="3"/>
      <c r="F13077" s="3"/>
      <c r="G13077" s="3"/>
      <c r="H13077" s="11"/>
      <c r="I13077" s="12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  <c r="AA13077" s="3"/>
      <c r="AB13077" s="3"/>
      <c r="AC13077" s="3"/>
      <c r="AD13077" s="3"/>
      <c r="AE13077" s="3"/>
      <c r="AF13077" s="3"/>
      <c r="AG13077" s="3"/>
      <c r="AH13077" s="3"/>
    </row>
    <row r="13078" spans="1:34" ht="14.25" customHeight="1" x14ac:dyDescent="0.25">
      <c r="A13078" s="3"/>
      <c r="B13078" s="3"/>
      <c r="C13078" s="3"/>
      <c r="D13078" s="3"/>
      <c r="E13078" s="3"/>
      <c r="F13078" s="3"/>
      <c r="G13078" s="3"/>
      <c r="H13078" s="11"/>
      <c r="I13078" s="12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  <c r="AA13078" s="3"/>
      <c r="AB13078" s="3"/>
      <c r="AC13078" s="3"/>
      <c r="AD13078" s="3"/>
      <c r="AE13078" s="3"/>
      <c r="AF13078" s="3"/>
      <c r="AG13078" s="3"/>
      <c r="AH13078" s="3"/>
    </row>
    <row r="13079" spans="1:34" ht="14.25" customHeight="1" x14ac:dyDescent="0.25">
      <c r="A13079" s="3"/>
      <c r="B13079" s="3"/>
      <c r="C13079" s="3"/>
      <c r="D13079" s="3"/>
      <c r="E13079" s="3"/>
      <c r="F13079" s="3"/>
      <c r="G13079" s="3"/>
      <c r="H13079" s="11"/>
      <c r="I13079" s="12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  <c r="AA13079" s="3"/>
      <c r="AB13079" s="3"/>
      <c r="AC13079" s="3"/>
      <c r="AD13079" s="3"/>
      <c r="AE13079" s="3"/>
      <c r="AF13079" s="3"/>
      <c r="AG13079" s="3"/>
      <c r="AH13079" s="3"/>
    </row>
    <row r="13080" spans="1:34" ht="14.25" customHeight="1" x14ac:dyDescent="0.25">
      <c r="A13080" s="3"/>
      <c r="B13080" s="3"/>
      <c r="C13080" s="3"/>
      <c r="D13080" s="3"/>
      <c r="E13080" s="3"/>
      <c r="F13080" s="3"/>
      <c r="G13080" s="3"/>
      <c r="H13080" s="11"/>
      <c r="I13080" s="12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  <c r="AA13080" s="3"/>
      <c r="AB13080" s="3"/>
      <c r="AC13080" s="3"/>
      <c r="AD13080" s="3"/>
      <c r="AE13080" s="3"/>
      <c r="AF13080" s="3"/>
      <c r="AG13080" s="3"/>
      <c r="AH13080" s="3"/>
    </row>
    <row r="13081" spans="1:34" ht="14.25" customHeight="1" x14ac:dyDescent="0.25">
      <c r="A13081" s="3"/>
      <c r="B13081" s="3"/>
      <c r="C13081" s="3"/>
      <c r="D13081" s="3"/>
      <c r="E13081" s="3"/>
      <c r="F13081" s="3"/>
      <c r="G13081" s="3"/>
      <c r="H13081" s="11"/>
      <c r="I13081" s="12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  <c r="AA13081" s="3"/>
      <c r="AB13081" s="3"/>
      <c r="AC13081" s="3"/>
      <c r="AD13081" s="3"/>
      <c r="AE13081" s="3"/>
      <c r="AF13081" s="3"/>
      <c r="AG13081" s="3"/>
      <c r="AH13081" s="3"/>
    </row>
    <row r="13082" spans="1:34" ht="14.25" customHeight="1" x14ac:dyDescent="0.25">
      <c r="A13082" s="3"/>
      <c r="B13082" s="3"/>
      <c r="C13082" s="3"/>
      <c r="D13082" s="3"/>
      <c r="E13082" s="3"/>
      <c r="F13082" s="3"/>
      <c r="G13082" s="3"/>
      <c r="H13082" s="11"/>
      <c r="I13082" s="12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  <c r="AA13082" s="3"/>
      <c r="AB13082" s="3"/>
      <c r="AC13082" s="3"/>
      <c r="AD13082" s="3"/>
      <c r="AE13082" s="3"/>
      <c r="AF13082" s="3"/>
      <c r="AG13082" s="3"/>
      <c r="AH13082" s="3"/>
    </row>
    <row r="13083" spans="1:34" ht="14.25" customHeight="1" x14ac:dyDescent="0.25">
      <c r="A13083" s="3"/>
      <c r="B13083" s="3"/>
      <c r="C13083" s="3"/>
      <c r="D13083" s="3"/>
      <c r="E13083" s="3"/>
      <c r="F13083" s="3"/>
      <c r="G13083" s="3"/>
      <c r="H13083" s="11"/>
      <c r="I13083" s="12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  <c r="AA13083" s="3"/>
      <c r="AB13083" s="3"/>
      <c r="AC13083" s="3"/>
      <c r="AD13083" s="3"/>
      <c r="AE13083" s="3"/>
      <c r="AF13083" s="3"/>
      <c r="AG13083" s="3"/>
      <c r="AH13083" s="3"/>
    </row>
    <row r="13084" spans="1:34" ht="14.25" customHeight="1" x14ac:dyDescent="0.25">
      <c r="A13084" s="3"/>
      <c r="B13084" s="3"/>
      <c r="C13084" s="3"/>
      <c r="D13084" s="3"/>
      <c r="E13084" s="3"/>
      <c r="F13084" s="3"/>
      <c r="G13084" s="3"/>
      <c r="H13084" s="11"/>
      <c r="I13084" s="12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  <c r="AA13084" s="3"/>
      <c r="AB13084" s="3"/>
      <c r="AC13084" s="3"/>
      <c r="AD13084" s="3"/>
      <c r="AE13084" s="3"/>
      <c r="AF13084" s="3"/>
      <c r="AG13084" s="3"/>
      <c r="AH13084" s="3"/>
    </row>
    <row r="13085" spans="1:34" ht="14.25" customHeight="1" x14ac:dyDescent="0.25">
      <c r="A13085" s="3"/>
      <c r="B13085" s="3"/>
      <c r="C13085" s="3"/>
      <c r="D13085" s="3"/>
      <c r="E13085" s="3"/>
      <c r="F13085" s="3"/>
      <c r="G13085" s="3"/>
      <c r="H13085" s="11"/>
      <c r="I13085" s="12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  <c r="AA13085" s="3"/>
      <c r="AB13085" s="3"/>
      <c r="AC13085" s="3"/>
      <c r="AD13085" s="3"/>
      <c r="AE13085" s="3"/>
      <c r="AF13085" s="3"/>
      <c r="AG13085" s="3"/>
      <c r="AH13085" s="3"/>
    </row>
    <row r="13086" spans="1:34" ht="14.25" customHeight="1" x14ac:dyDescent="0.25">
      <c r="A13086" s="3"/>
      <c r="B13086" s="3"/>
      <c r="C13086" s="3"/>
      <c r="D13086" s="3"/>
      <c r="E13086" s="3"/>
      <c r="F13086" s="3"/>
      <c r="G13086" s="3"/>
      <c r="H13086" s="11"/>
      <c r="I13086" s="12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  <c r="AA13086" s="3"/>
      <c r="AB13086" s="3"/>
      <c r="AC13086" s="3"/>
      <c r="AD13086" s="3"/>
      <c r="AE13086" s="3"/>
      <c r="AF13086" s="3"/>
      <c r="AG13086" s="3"/>
      <c r="AH13086" s="3"/>
    </row>
    <row r="13087" spans="1:34" ht="14.25" customHeight="1" x14ac:dyDescent="0.25">
      <c r="A13087" s="3"/>
      <c r="B13087" s="3"/>
      <c r="C13087" s="3"/>
      <c r="D13087" s="3"/>
      <c r="E13087" s="3"/>
      <c r="F13087" s="3"/>
      <c r="G13087" s="3"/>
      <c r="H13087" s="11"/>
      <c r="I13087" s="12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  <c r="AA13087" s="3"/>
      <c r="AB13087" s="3"/>
      <c r="AC13087" s="3"/>
      <c r="AD13087" s="3"/>
      <c r="AE13087" s="3"/>
      <c r="AF13087" s="3"/>
      <c r="AG13087" s="3"/>
      <c r="AH13087" s="3"/>
    </row>
    <row r="13088" spans="1:34" ht="14.25" customHeight="1" x14ac:dyDescent="0.25">
      <c r="A13088" s="3"/>
      <c r="B13088" s="3"/>
      <c r="C13088" s="3"/>
      <c r="D13088" s="3"/>
      <c r="E13088" s="3"/>
      <c r="F13088" s="3"/>
      <c r="G13088" s="3"/>
      <c r="H13088" s="11"/>
      <c r="I13088" s="12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  <c r="AA13088" s="3"/>
      <c r="AB13088" s="3"/>
      <c r="AC13088" s="3"/>
      <c r="AD13088" s="3"/>
      <c r="AE13088" s="3"/>
      <c r="AF13088" s="3"/>
      <c r="AG13088" s="3"/>
      <c r="AH13088" s="3"/>
    </row>
    <row r="13089" spans="1:34" ht="14.25" customHeight="1" x14ac:dyDescent="0.25">
      <c r="A13089" s="3"/>
      <c r="B13089" s="3"/>
      <c r="C13089" s="3"/>
      <c r="D13089" s="3"/>
      <c r="E13089" s="3"/>
      <c r="F13089" s="3"/>
      <c r="G13089" s="3"/>
      <c r="H13089" s="11"/>
      <c r="I13089" s="12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  <c r="AA13089" s="3"/>
      <c r="AB13089" s="3"/>
      <c r="AC13089" s="3"/>
      <c r="AD13089" s="3"/>
      <c r="AE13089" s="3"/>
      <c r="AF13089" s="3"/>
      <c r="AG13089" s="3"/>
      <c r="AH13089" s="3"/>
    </row>
    <row r="13090" spans="1:34" ht="14.25" customHeight="1" x14ac:dyDescent="0.25">
      <c r="A13090" s="3"/>
      <c r="B13090" s="3"/>
      <c r="C13090" s="3"/>
      <c r="D13090" s="3"/>
      <c r="E13090" s="3"/>
      <c r="F13090" s="3"/>
      <c r="G13090" s="3"/>
      <c r="H13090" s="11"/>
      <c r="I13090" s="12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  <c r="AA13090" s="3"/>
      <c r="AB13090" s="3"/>
      <c r="AC13090" s="3"/>
      <c r="AD13090" s="3"/>
      <c r="AE13090" s="3"/>
      <c r="AF13090" s="3"/>
      <c r="AG13090" s="3"/>
      <c r="AH13090" s="3"/>
    </row>
    <row r="13091" spans="1:34" ht="14.25" customHeight="1" x14ac:dyDescent="0.25">
      <c r="A13091" s="3"/>
      <c r="B13091" s="3"/>
      <c r="C13091" s="3"/>
      <c r="D13091" s="3"/>
      <c r="E13091" s="3"/>
      <c r="F13091" s="3"/>
      <c r="G13091" s="3"/>
      <c r="H13091" s="11"/>
      <c r="I13091" s="12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  <c r="AA13091" s="3"/>
      <c r="AB13091" s="3"/>
      <c r="AC13091" s="3"/>
      <c r="AD13091" s="3"/>
      <c r="AE13091" s="3"/>
      <c r="AF13091" s="3"/>
      <c r="AG13091" s="3"/>
      <c r="AH13091" s="3"/>
    </row>
    <row r="13092" spans="1:34" ht="14.25" customHeight="1" x14ac:dyDescent="0.25">
      <c r="A13092" s="3"/>
      <c r="B13092" s="3"/>
      <c r="C13092" s="3"/>
      <c r="D13092" s="3"/>
      <c r="E13092" s="3"/>
      <c r="F13092" s="3"/>
      <c r="G13092" s="3"/>
      <c r="H13092" s="11"/>
      <c r="I13092" s="12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  <c r="AA13092" s="3"/>
      <c r="AB13092" s="3"/>
      <c r="AC13092" s="3"/>
      <c r="AD13092" s="3"/>
      <c r="AE13092" s="3"/>
      <c r="AF13092" s="3"/>
      <c r="AG13092" s="3"/>
      <c r="AH13092" s="3"/>
    </row>
    <row r="13093" spans="1:34" ht="14.25" customHeight="1" x14ac:dyDescent="0.25">
      <c r="A13093" s="3"/>
      <c r="B13093" s="3"/>
      <c r="C13093" s="3"/>
      <c r="D13093" s="3"/>
      <c r="E13093" s="3"/>
      <c r="F13093" s="3"/>
      <c r="G13093" s="3"/>
      <c r="H13093" s="11"/>
      <c r="I13093" s="12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  <c r="AA13093" s="3"/>
      <c r="AB13093" s="3"/>
      <c r="AC13093" s="3"/>
      <c r="AD13093" s="3"/>
      <c r="AE13093" s="3"/>
      <c r="AF13093" s="3"/>
      <c r="AG13093" s="3"/>
      <c r="AH13093" s="3"/>
    </row>
    <row r="13094" spans="1:34" ht="14.25" customHeight="1" x14ac:dyDescent="0.25">
      <c r="A13094" s="3"/>
      <c r="B13094" s="3"/>
      <c r="C13094" s="3"/>
      <c r="D13094" s="3"/>
      <c r="E13094" s="3"/>
      <c r="F13094" s="3"/>
      <c r="G13094" s="3"/>
      <c r="H13094" s="11"/>
      <c r="I13094" s="12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  <c r="AA13094" s="3"/>
      <c r="AB13094" s="3"/>
      <c r="AC13094" s="3"/>
      <c r="AD13094" s="3"/>
      <c r="AE13094" s="3"/>
      <c r="AF13094" s="3"/>
      <c r="AG13094" s="3"/>
      <c r="AH13094" s="3"/>
    </row>
    <row r="13095" spans="1:34" ht="14.25" customHeight="1" x14ac:dyDescent="0.25">
      <c r="A13095" s="3"/>
      <c r="B13095" s="3"/>
      <c r="C13095" s="3"/>
      <c r="D13095" s="3"/>
      <c r="E13095" s="3"/>
      <c r="F13095" s="3"/>
      <c r="G13095" s="3"/>
      <c r="H13095" s="11"/>
      <c r="I13095" s="12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  <c r="AA13095" s="3"/>
      <c r="AB13095" s="3"/>
      <c r="AC13095" s="3"/>
      <c r="AD13095" s="3"/>
      <c r="AE13095" s="3"/>
      <c r="AF13095" s="3"/>
      <c r="AG13095" s="3"/>
      <c r="AH13095" s="3"/>
    </row>
    <row r="13096" spans="1:34" ht="14.25" customHeight="1" x14ac:dyDescent="0.25">
      <c r="A13096" s="3"/>
      <c r="B13096" s="3"/>
      <c r="C13096" s="3"/>
      <c r="D13096" s="3"/>
      <c r="E13096" s="3"/>
      <c r="F13096" s="3"/>
      <c r="G13096" s="3"/>
      <c r="H13096" s="11"/>
      <c r="I13096" s="12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  <c r="AA13096" s="3"/>
      <c r="AB13096" s="3"/>
      <c r="AC13096" s="3"/>
      <c r="AD13096" s="3"/>
      <c r="AE13096" s="3"/>
      <c r="AF13096" s="3"/>
      <c r="AG13096" s="3"/>
      <c r="AH13096" s="3"/>
    </row>
    <row r="13097" spans="1:34" ht="14.25" customHeight="1" x14ac:dyDescent="0.25">
      <c r="A13097" s="3"/>
      <c r="B13097" s="3"/>
      <c r="C13097" s="3"/>
      <c r="D13097" s="3"/>
      <c r="E13097" s="3"/>
      <c r="F13097" s="3"/>
      <c r="G13097" s="3"/>
      <c r="H13097" s="11"/>
      <c r="I13097" s="12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  <c r="AA13097" s="3"/>
      <c r="AB13097" s="3"/>
      <c r="AC13097" s="3"/>
      <c r="AD13097" s="3"/>
      <c r="AE13097" s="3"/>
      <c r="AF13097" s="3"/>
      <c r="AG13097" s="3"/>
      <c r="AH13097" s="3"/>
    </row>
    <row r="13098" spans="1:34" ht="14.25" customHeight="1" x14ac:dyDescent="0.25">
      <c r="A13098" s="3"/>
      <c r="B13098" s="3"/>
      <c r="C13098" s="3"/>
      <c r="D13098" s="3"/>
      <c r="E13098" s="3"/>
      <c r="F13098" s="3"/>
      <c r="G13098" s="3"/>
      <c r="H13098" s="11"/>
      <c r="I13098" s="12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  <c r="AA13098" s="3"/>
      <c r="AB13098" s="3"/>
      <c r="AC13098" s="3"/>
      <c r="AD13098" s="3"/>
      <c r="AE13098" s="3"/>
      <c r="AF13098" s="3"/>
      <c r="AG13098" s="3"/>
      <c r="AH13098" s="3"/>
    </row>
    <row r="13099" spans="1:34" ht="14.25" customHeight="1" x14ac:dyDescent="0.25">
      <c r="A13099" s="3"/>
      <c r="B13099" s="3"/>
      <c r="C13099" s="3"/>
      <c r="D13099" s="3"/>
      <c r="E13099" s="3"/>
      <c r="F13099" s="3"/>
      <c r="G13099" s="3"/>
      <c r="H13099" s="11"/>
      <c r="I13099" s="12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  <c r="AA13099" s="3"/>
      <c r="AB13099" s="3"/>
      <c r="AC13099" s="3"/>
      <c r="AD13099" s="3"/>
      <c r="AE13099" s="3"/>
      <c r="AF13099" s="3"/>
      <c r="AG13099" s="3"/>
      <c r="AH13099" s="3"/>
    </row>
    <row r="13100" spans="1:34" ht="14.25" customHeight="1" x14ac:dyDescent="0.25">
      <c r="A13100" s="3"/>
      <c r="B13100" s="3"/>
      <c r="C13100" s="3"/>
      <c r="D13100" s="3"/>
      <c r="E13100" s="3"/>
      <c r="F13100" s="3"/>
      <c r="G13100" s="3"/>
      <c r="H13100" s="11"/>
      <c r="I13100" s="12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  <c r="AA13100" s="3"/>
      <c r="AB13100" s="3"/>
      <c r="AC13100" s="3"/>
      <c r="AD13100" s="3"/>
      <c r="AE13100" s="3"/>
      <c r="AF13100" s="3"/>
      <c r="AG13100" s="3"/>
      <c r="AH13100" s="3"/>
    </row>
    <row r="13101" spans="1:34" ht="14.25" customHeight="1" x14ac:dyDescent="0.25">
      <c r="A13101" s="3"/>
      <c r="B13101" s="3"/>
      <c r="C13101" s="3"/>
      <c r="D13101" s="3"/>
      <c r="E13101" s="3"/>
      <c r="F13101" s="3"/>
      <c r="G13101" s="3"/>
      <c r="H13101" s="11"/>
      <c r="I13101" s="12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  <c r="AA13101" s="3"/>
      <c r="AB13101" s="3"/>
      <c r="AC13101" s="3"/>
      <c r="AD13101" s="3"/>
      <c r="AE13101" s="3"/>
      <c r="AF13101" s="3"/>
      <c r="AG13101" s="3"/>
      <c r="AH13101" s="3"/>
    </row>
    <row r="13102" spans="1:34" ht="14.25" customHeight="1" x14ac:dyDescent="0.25">
      <c r="A13102" s="3"/>
      <c r="B13102" s="3"/>
      <c r="C13102" s="3"/>
      <c r="D13102" s="3"/>
      <c r="E13102" s="3"/>
      <c r="F13102" s="3"/>
      <c r="G13102" s="3"/>
      <c r="H13102" s="11"/>
      <c r="I13102" s="12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  <c r="AA13102" s="3"/>
      <c r="AB13102" s="3"/>
      <c r="AC13102" s="3"/>
      <c r="AD13102" s="3"/>
      <c r="AE13102" s="3"/>
      <c r="AF13102" s="3"/>
      <c r="AG13102" s="3"/>
      <c r="AH13102" s="3"/>
    </row>
    <row r="13103" spans="1:34" ht="14.25" customHeight="1" x14ac:dyDescent="0.25">
      <c r="A13103" s="3"/>
      <c r="B13103" s="3"/>
      <c r="C13103" s="3"/>
      <c r="D13103" s="3"/>
      <c r="E13103" s="3"/>
      <c r="F13103" s="3"/>
      <c r="G13103" s="3"/>
      <c r="H13103" s="11"/>
      <c r="I13103" s="12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  <c r="AA13103" s="3"/>
      <c r="AB13103" s="3"/>
      <c r="AC13103" s="3"/>
      <c r="AD13103" s="3"/>
      <c r="AE13103" s="3"/>
      <c r="AF13103" s="3"/>
      <c r="AG13103" s="3"/>
      <c r="AH13103" s="3"/>
    </row>
    <row r="13104" spans="1:34" ht="14.25" customHeight="1" x14ac:dyDescent="0.25">
      <c r="A13104" s="3"/>
      <c r="B13104" s="3"/>
      <c r="C13104" s="3"/>
      <c r="D13104" s="3"/>
      <c r="E13104" s="3"/>
      <c r="F13104" s="3"/>
      <c r="G13104" s="3"/>
      <c r="H13104" s="11"/>
      <c r="I13104" s="12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  <c r="AA13104" s="3"/>
      <c r="AB13104" s="3"/>
      <c r="AC13104" s="3"/>
      <c r="AD13104" s="3"/>
      <c r="AE13104" s="3"/>
      <c r="AF13104" s="3"/>
      <c r="AG13104" s="3"/>
      <c r="AH13104" s="3"/>
    </row>
    <row r="13105" spans="1:34" ht="14.25" customHeight="1" x14ac:dyDescent="0.25">
      <c r="A13105" s="3"/>
      <c r="B13105" s="3"/>
      <c r="C13105" s="3"/>
      <c r="D13105" s="3"/>
      <c r="E13105" s="3"/>
      <c r="F13105" s="3"/>
      <c r="G13105" s="3"/>
      <c r="H13105" s="11"/>
      <c r="I13105" s="12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  <c r="AA13105" s="3"/>
      <c r="AB13105" s="3"/>
      <c r="AC13105" s="3"/>
      <c r="AD13105" s="3"/>
      <c r="AE13105" s="3"/>
      <c r="AF13105" s="3"/>
      <c r="AG13105" s="3"/>
      <c r="AH13105" s="3"/>
    </row>
    <row r="13106" spans="1:34" ht="14.25" customHeight="1" x14ac:dyDescent="0.25">
      <c r="A13106" s="3"/>
      <c r="B13106" s="3"/>
      <c r="C13106" s="3"/>
      <c r="D13106" s="3"/>
      <c r="E13106" s="3"/>
      <c r="F13106" s="3"/>
      <c r="G13106" s="3"/>
      <c r="H13106" s="11"/>
      <c r="I13106" s="12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  <c r="AA13106" s="3"/>
      <c r="AB13106" s="3"/>
      <c r="AC13106" s="3"/>
      <c r="AD13106" s="3"/>
      <c r="AE13106" s="3"/>
      <c r="AF13106" s="3"/>
      <c r="AG13106" s="3"/>
      <c r="AH13106" s="3"/>
    </row>
    <row r="13107" spans="1:34" ht="14.25" customHeight="1" x14ac:dyDescent="0.25">
      <c r="A13107" s="3"/>
      <c r="B13107" s="3"/>
      <c r="C13107" s="3"/>
      <c r="D13107" s="3"/>
      <c r="E13107" s="3"/>
      <c r="F13107" s="3"/>
      <c r="G13107" s="3"/>
      <c r="H13107" s="11"/>
      <c r="I13107" s="12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  <c r="AA13107" s="3"/>
      <c r="AB13107" s="3"/>
      <c r="AC13107" s="3"/>
      <c r="AD13107" s="3"/>
      <c r="AE13107" s="3"/>
      <c r="AF13107" s="3"/>
      <c r="AG13107" s="3"/>
      <c r="AH13107" s="3"/>
    </row>
    <row r="13108" spans="1:34" ht="14.25" customHeight="1" x14ac:dyDescent="0.25">
      <c r="A13108" s="3"/>
      <c r="B13108" s="3"/>
      <c r="C13108" s="3"/>
      <c r="D13108" s="3"/>
      <c r="E13108" s="3"/>
      <c r="F13108" s="3"/>
      <c r="G13108" s="3"/>
      <c r="H13108" s="11"/>
      <c r="I13108" s="12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  <c r="AA13108" s="3"/>
      <c r="AB13108" s="3"/>
      <c r="AC13108" s="3"/>
      <c r="AD13108" s="3"/>
      <c r="AE13108" s="3"/>
      <c r="AF13108" s="3"/>
      <c r="AG13108" s="3"/>
      <c r="AH13108" s="3"/>
    </row>
    <row r="13109" spans="1:34" ht="14.25" customHeight="1" x14ac:dyDescent="0.25">
      <c r="A13109" s="3"/>
      <c r="B13109" s="3"/>
      <c r="C13109" s="3"/>
      <c r="D13109" s="3"/>
      <c r="E13109" s="3"/>
      <c r="F13109" s="3"/>
      <c r="G13109" s="3"/>
      <c r="H13109" s="11"/>
      <c r="I13109" s="12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  <c r="AA13109" s="3"/>
      <c r="AB13109" s="3"/>
      <c r="AC13109" s="3"/>
      <c r="AD13109" s="3"/>
      <c r="AE13109" s="3"/>
      <c r="AF13109" s="3"/>
      <c r="AG13109" s="3"/>
      <c r="AH13109" s="3"/>
    </row>
    <row r="13110" spans="1:34" ht="14.25" customHeight="1" x14ac:dyDescent="0.25">
      <c r="A13110" s="3"/>
      <c r="B13110" s="3"/>
      <c r="C13110" s="3"/>
      <c r="D13110" s="3"/>
      <c r="E13110" s="3"/>
      <c r="F13110" s="3"/>
      <c r="G13110" s="3"/>
      <c r="H13110" s="11"/>
      <c r="I13110" s="12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  <c r="AA13110" s="3"/>
      <c r="AB13110" s="3"/>
      <c r="AC13110" s="3"/>
      <c r="AD13110" s="3"/>
      <c r="AE13110" s="3"/>
      <c r="AF13110" s="3"/>
      <c r="AG13110" s="3"/>
      <c r="AH13110" s="3"/>
    </row>
    <row r="13111" spans="1:34" ht="14.25" customHeight="1" x14ac:dyDescent="0.25">
      <c r="A13111" s="3"/>
      <c r="B13111" s="3"/>
      <c r="C13111" s="3"/>
      <c r="D13111" s="3"/>
      <c r="E13111" s="3"/>
      <c r="F13111" s="3"/>
      <c r="G13111" s="3"/>
      <c r="H13111" s="11"/>
      <c r="I13111" s="12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  <c r="AA13111" s="3"/>
      <c r="AB13111" s="3"/>
      <c r="AC13111" s="3"/>
      <c r="AD13111" s="3"/>
      <c r="AE13111" s="3"/>
      <c r="AF13111" s="3"/>
      <c r="AG13111" s="3"/>
      <c r="AH13111" s="3"/>
    </row>
    <row r="13112" spans="1:34" ht="14.25" customHeight="1" x14ac:dyDescent="0.25">
      <c r="A13112" s="3"/>
      <c r="B13112" s="3"/>
      <c r="C13112" s="3"/>
      <c r="D13112" s="3"/>
      <c r="E13112" s="3"/>
      <c r="F13112" s="3"/>
      <c r="G13112" s="3"/>
      <c r="H13112" s="11"/>
      <c r="I13112" s="12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  <c r="AA13112" s="3"/>
      <c r="AB13112" s="3"/>
      <c r="AC13112" s="3"/>
      <c r="AD13112" s="3"/>
      <c r="AE13112" s="3"/>
      <c r="AF13112" s="3"/>
      <c r="AG13112" s="3"/>
      <c r="AH13112" s="3"/>
    </row>
    <row r="13113" spans="1:34" ht="14.25" customHeight="1" x14ac:dyDescent="0.25">
      <c r="A13113" s="3"/>
      <c r="B13113" s="3"/>
      <c r="C13113" s="3"/>
      <c r="D13113" s="3"/>
      <c r="E13113" s="3"/>
      <c r="F13113" s="3"/>
      <c r="G13113" s="3"/>
      <c r="H13113" s="11"/>
      <c r="I13113" s="12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  <c r="AA13113" s="3"/>
      <c r="AB13113" s="3"/>
      <c r="AC13113" s="3"/>
      <c r="AD13113" s="3"/>
      <c r="AE13113" s="3"/>
      <c r="AF13113" s="3"/>
      <c r="AG13113" s="3"/>
      <c r="AH13113" s="3"/>
    </row>
    <row r="13114" spans="1:34" ht="14.25" customHeight="1" x14ac:dyDescent="0.25">
      <c r="A13114" s="3"/>
      <c r="B13114" s="3"/>
      <c r="C13114" s="3"/>
      <c r="D13114" s="3"/>
      <c r="E13114" s="3"/>
      <c r="F13114" s="3"/>
      <c r="G13114" s="3"/>
      <c r="H13114" s="11"/>
      <c r="I13114" s="12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  <c r="AA13114" s="3"/>
      <c r="AB13114" s="3"/>
      <c r="AC13114" s="3"/>
      <c r="AD13114" s="3"/>
      <c r="AE13114" s="3"/>
      <c r="AF13114" s="3"/>
      <c r="AG13114" s="3"/>
      <c r="AH13114" s="3"/>
    </row>
    <row r="13115" spans="1:34" ht="14.25" customHeight="1" x14ac:dyDescent="0.25">
      <c r="A13115" s="3"/>
      <c r="B13115" s="3"/>
      <c r="C13115" s="3"/>
      <c r="D13115" s="3"/>
      <c r="E13115" s="3"/>
      <c r="F13115" s="3"/>
      <c r="G13115" s="3"/>
      <c r="H13115" s="11"/>
      <c r="I13115" s="12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  <c r="AA13115" s="3"/>
      <c r="AB13115" s="3"/>
      <c r="AC13115" s="3"/>
      <c r="AD13115" s="3"/>
      <c r="AE13115" s="3"/>
      <c r="AF13115" s="3"/>
      <c r="AG13115" s="3"/>
      <c r="AH13115" s="3"/>
    </row>
    <row r="13116" spans="1:34" ht="14.25" customHeight="1" x14ac:dyDescent="0.25">
      <c r="A13116" s="3"/>
      <c r="B13116" s="3"/>
      <c r="C13116" s="3"/>
      <c r="D13116" s="3"/>
      <c r="E13116" s="3"/>
      <c r="F13116" s="3"/>
      <c r="G13116" s="3"/>
      <c r="H13116" s="11"/>
      <c r="I13116" s="12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  <c r="AA13116" s="3"/>
      <c r="AB13116" s="3"/>
      <c r="AC13116" s="3"/>
      <c r="AD13116" s="3"/>
      <c r="AE13116" s="3"/>
      <c r="AF13116" s="3"/>
      <c r="AG13116" s="3"/>
      <c r="AH13116" s="3"/>
    </row>
    <row r="13117" spans="1:34" ht="14.25" customHeight="1" x14ac:dyDescent="0.25">
      <c r="A13117" s="3"/>
      <c r="B13117" s="3"/>
      <c r="C13117" s="3"/>
      <c r="D13117" s="3"/>
      <c r="E13117" s="3"/>
      <c r="F13117" s="3"/>
      <c r="G13117" s="3"/>
      <c r="H13117" s="11"/>
      <c r="I13117" s="12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  <c r="AA13117" s="3"/>
      <c r="AB13117" s="3"/>
      <c r="AC13117" s="3"/>
      <c r="AD13117" s="3"/>
      <c r="AE13117" s="3"/>
      <c r="AF13117" s="3"/>
      <c r="AG13117" s="3"/>
      <c r="AH13117" s="3"/>
    </row>
    <row r="13118" spans="1:34" ht="14.25" customHeight="1" x14ac:dyDescent="0.25">
      <c r="A13118" s="3"/>
      <c r="B13118" s="3"/>
      <c r="C13118" s="3"/>
      <c r="D13118" s="3"/>
      <c r="E13118" s="3"/>
      <c r="F13118" s="3"/>
      <c r="G13118" s="3"/>
      <c r="H13118" s="11"/>
      <c r="I13118" s="12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  <c r="AA13118" s="3"/>
      <c r="AB13118" s="3"/>
      <c r="AC13118" s="3"/>
      <c r="AD13118" s="3"/>
      <c r="AE13118" s="3"/>
      <c r="AF13118" s="3"/>
      <c r="AG13118" s="3"/>
      <c r="AH13118" s="3"/>
    </row>
    <row r="13119" spans="1:34" ht="14.25" customHeight="1" x14ac:dyDescent="0.25">
      <c r="A13119" s="3"/>
      <c r="B13119" s="3"/>
      <c r="C13119" s="3"/>
      <c r="D13119" s="3"/>
      <c r="E13119" s="3"/>
      <c r="F13119" s="3"/>
      <c r="G13119" s="3"/>
      <c r="H13119" s="11"/>
      <c r="I13119" s="12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  <c r="AA13119" s="3"/>
      <c r="AB13119" s="3"/>
      <c r="AC13119" s="3"/>
      <c r="AD13119" s="3"/>
      <c r="AE13119" s="3"/>
      <c r="AF13119" s="3"/>
      <c r="AG13119" s="3"/>
      <c r="AH13119" s="3"/>
    </row>
    <row r="13120" spans="1:34" ht="14.25" customHeight="1" x14ac:dyDescent="0.25">
      <c r="A13120" s="3"/>
      <c r="B13120" s="3"/>
      <c r="C13120" s="3"/>
      <c r="D13120" s="3"/>
      <c r="E13120" s="3"/>
      <c r="F13120" s="3"/>
      <c r="G13120" s="3"/>
      <c r="H13120" s="11"/>
      <c r="I13120" s="12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  <c r="AA13120" s="3"/>
      <c r="AB13120" s="3"/>
      <c r="AC13120" s="3"/>
      <c r="AD13120" s="3"/>
      <c r="AE13120" s="3"/>
      <c r="AF13120" s="3"/>
      <c r="AG13120" s="3"/>
      <c r="AH13120" s="3"/>
    </row>
    <row r="13121" spans="1:34" ht="14.25" customHeight="1" x14ac:dyDescent="0.25">
      <c r="A13121" s="3"/>
      <c r="B13121" s="3"/>
      <c r="C13121" s="3"/>
      <c r="D13121" s="3"/>
      <c r="E13121" s="3"/>
      <c r="F13121" s="3"/>
      <c r="G13121" s="3"/>
      <c r="H13121" s="11"/>
      <c r="I13121" s="12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  <c r="AA13121" s="3"/>
      <c r="AB13121" s="3"/>
      <c r="AC13121" s="3"/>
      <c r="AD13121" s="3"/>
      <c r="AE13121" s="3"/>
      <c r="AF13121" s="3"/>
      <c r="AG13121" s="3"/>
      <c r="AH13121" s="3"/>
    </row>
    <row r="13122" spans="1:34" ht="14.25" customHeight="1" x14ac:dyDescent="0.25">
      <c r="A13122" s="3"/>
      <c r="B13122" s="3"/>
      <c r="C13122" s="3"/>
      <c r="D13122" s="3"/>
      <c r="E13122" s="3"/>
      <c r="F13122" s="3"/>
      <c r="G13122" s="3"/>
      <c r="H13122" s="11"/>
      <c r="I13122" s="12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  <c r="AA13122" s="3"/>
      <c r="AB13122" s="3"/>
      <c r="AC13122" s="3"/>
      <c r="AD13122" s="3"/>
      <c r="AE13122" s="3"/>
      <c r="AF13122" s="3"/>
      <c r="AG13122" s="3"/>
      <c r="AH13122" s="3"/>
    </row>
    <row r="13123" spans="1:34" ht="14.25" customHeight="1" x14ac:dyDescent="0.25">
      <c r="A13123" s="3"/>
      <c r="B13123" s="3"/>
      <c r="C13123" s="3"/>
      <c r="D13123" s="3"/>
      <c r="E13123" s="3"/>
      <c r="F13123" s="3"/>
      <c r="G13123" s="3"/>
      <c r="H13123" s="11"/>
      <c r="I13123" s="12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  <c r="AA13123" s="3"/>
      <c r="AB13123" s="3"/>
      <c r="AC13123" s="3"/>
      <c r="AD13123" s="3"/>
      <c r="AE13123" s="3"/>
      <c r="AF13123" s="3"/>
      <c r="AG13123" s="3"/>
      <c r="AH13123" s="3"/>
    </row>
    <row r="13124" spans="1:34" ht="14.25" customHeight="1" x14ac:dyDescent="0.25">
      <c r="A13124" s="3"/>
      <c r="B13124" s="3"/>
      <c r="C13124" s="3"/>
      <c r="D13124" s="3"/>
      <c r="E13124" s="3"/>
      <c r="F13124" s="3"/>
      <c r="G13124" s="3"/>
      <c r="H13124" s="11"/>
      <c r="I13124" s="12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  <c r="AA13124" s="3"/>
      <c r="AB13124" s="3"/>
      <c r="AC13124" s="3"/>
      <c r="AD13124" s="3"/>
      <c r="AE13124" s="3"/>
      <c r="AF13124" s="3"/>
      <c r="AG13124" s="3"/>
      <c r="AH13124" s="3"/>
    </row>
    <row r="13125" spans="1:34" ht="14.25" customHeight="1" x14ac:dyDescent="0.25">
      <c r="A13125" s="3"/>
      <c r="B13125" s="3"/>
      <c r="C13125" s="3"/>
      <c r="D13125" s="3"/>
      <c r="E13125" s="3"/>
      <c r="F13125" s="3"/>
      <c r="G13125" s="3"/>
      <c r="H13125" s="11"/>
      <c r="I13125" s="12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  <c r="AA13125" s="3"/>
      <c r="AB13125" s="3"/>
      <c r="AC13125" s="3"/>
      <c r="AD13125" s="3"/>
      <c r="AE13125" s="3"/>
      <c r="AF13125" s="3"/>
      <c r="AG13125" s="3"/>
      <c r="AH13125" s="3"/>
    </row>
    <row r="13126" spans="1:34" ht="14.25" customHeight="1" x14ac:dyDescent="0.25">
      <c r="A13126" s="3"/>
      <c r="B13126" s="3"/>
      <c r="C13126" s="3"/>
      <c r="D13126" s="3"/>
      <c r="E13126" s="3"/>
      <c r="F13126" s="3"/>
      <c r="G13126" s="3"/>
      <c r="H13126" s="11"/>
      <c r="I13126" s="12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  <c r="AA13126" s="3"/>
      <c r="AB13126" s="3"/>
      <c r="AC13126" s="3"/>
      <c r="AD13126" s="3"/>
      <c r="AE13126" s="3"/>
      <c r="AF13126" s="3"/>
      <c r="AG13126" s="3"/>
      <c r="AH13126" s="3"/>
    </row>
    <row r="13127" spans="1:34" ht="14.25" customHeight="1" x14ac:dyDescent="0.25">
      <c r="A13127" s="3"/>
      <c r="B13127" s="3"/>
      <c r="C13127" s="3"/>
      <c r="D13127" s="3"/>
      <c r="E13127" s="3"/>
      <c r="F13127" s="3"/>
      <c r="G13127" s="3"/>
      <c r="H13127" s="11"/>
      <c r="I13127" s="12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  <c r="AA13127" s="3"/>
      <c r="AB13127" s="3"/>
      <c r="AC13127" s="3"/>
      <c r="AD13127" s="3"/>
      <c r="AE13127" s="3"/>
      <c r="AF13127" s="3"/>
      <c r="AG13127" s="3"/>
      <c r="AH13127" s="3"/>
    </row>
    <row r="13128" spans="1:34" ht="14.25" customHeight="1" x14ac:dyDescent="0.25">
      <c r="A13128" s="3"/>
      <c r="B13128" s="3"/>
      <c r="C13128" s="3"/>
      <c r="D13128" s="3"/>
      <c r="E13128" s="3"/>
      <c r="F13128" s="3"/>
      <c r="G13128" s="3"/>
      <c r="H13128" s="11"/>
      <c r="I13128" s="12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  <c r="AA13128" s="3"/>
      <c r="AB13128" s="3"/>
      <c r="AC13128" s="3"/>
      <c r="AD13128" s="3"/>
      <c r="AE13128" s="3"/>
      <c r="AF13128" s="3"/>
      <c r="AG13128" s="3"/>
      <c r="AH13128" s="3"/>
    </row>
    <row r="13129" spans="1:34" ht="14.25" customHeight="1" x14ac:dyDescent="0.25">
      <c r="A13129" s="3"/>
      <c r="B13129" s="3"/>
      <c r="C13129" s="3"/>
      <c r="D13129" s="3"/>
      <c r="E13129" s="3"/>
      <c r="F13129" s="3"/>
      <c r="G13129" s="3"/>
      <c r="H13129" s="11"/>
      <c r="I13129" s="12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  <c r="AA13129" s="3"/>
      <c r="AB13129" s="3"/>
      <c r="AC13129" s="3"/>
      <c r="AD13129" s="3"/>
      <c r="AE13129" s="3"/>
      <c r="AF13129" s="3"/>
      <c r="AG13129" s="3"/>
      <c r="AH13129" s="3"/>
    </row>
    <row r="13130" spans="1:34" ht="14.25" customHeight="1" x14ac:dyDescent="0.25">
      <c r="A13130" s="3"/>
      <c r="B13130" s="3"/>
      <c r="C13130" s="3"/>
      <c r="D13130" s="3"/>
      <c r="E13130" s="3"/>
      <c r="F13130" s="3"/>
      <c r="G13130" s="3"/>
      <c r="H13130" s="11"/>
      <c r="I13130" s="12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  <c r="AA13130" s="3"/>
      <c r="AB13130" s="3"/>
      <c r="AC13130" s="3"/>
      <c r="AD13130" s="3"/>
      <c r="AE13130" s="3"/>
      <c r="AF13130" s="3"/>
      <c r="AG13130" s="3"/>
      <c r="AH13130" s="3"/>
    </row>
    <row r="13131" spans="1:34" ht="14.25" customHeight="1" x14ac:dyDescent="0.25">
      <c r="A13131" s="3"/>
      <c r="B13131" s="3"/>
      <c r="C13131" s="3"/>
      <c r="D13131" s="3"/>
      <c r="E13131" s="3"/>
      <c r="F13131" s="3"/>
      <c r="G13131" s="3"/>
      <c r="H13131" s="11"/>
      <c r="I13131" s="12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  <c r="AA13131" s="3"/>
      <c r="AB13131" s="3"/>
      <c r="AC13131" s="3"/>
      <c r="AD13131" s="3"/>
      <c r="AE13131" s="3"/>
      <c r="AF13131" s="3"/>
      <c r="AG13131" s="3"/>
      <c r="AH13131" s="3"/>
    </row>
    <row r="13132" spans="1:34" ht="14.25" customHeight="1" x14ac:dyDescent="0.25">
      <c r="A13132" s="3"/>
      <c r="B13132" s="3"/>
      <c r="C13132" s="3"/>
      <c r="D13132" s="3"/>
      <c r="E13132" s="3"/>
      <c r="F13132" s="3"/>
      <c r="G13132" s="3"/>
      <c r="H13132" s="11"/>
      <c r="I13132" s="12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  <c r="AA13132" s="3"/>
      <c r="AB13132" s="3"/>
      <c r="AC13132" s="3"/>
      <c r="AD13132" s="3"/>
      <c r="AE13132" s="3"/>
      <c r="AF13132" s="3"/>
      <c r="AG13132" s="3"/>
      <c r="AH13132" s="3"/>
    </row>
    <row r="13133" spans="1:34" ht="14.25" customHeight="1" x14ac:dyDescent="0.25">
      <c r="A13133" s="3"/>
      <c r="B13133" s="3"/>
      <c r="C13133" s="3"/>
      <c r="D13133" s="3"/>
      <c r="E13133" s="3"/>
      <c r="F13133" s="3"/>
      <c r="G13133" s="3"/>
      <c r="H13133" s="11"/>
      <c r="I13133" s="12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  <c r="AA13133" s="3"/>
      <c r="AB13133" s="3"/>
      <c r="AC13133" s="3"/>
      <c r="AD13133" s="3"/>
      <c r="AE13133" s="3"/>
      <c r="AF13133" s="3"/>
      <c r="AG13133" s="3"/>
      <c r="AH13133" s="3"/>
    </row>
    <row r="13134" spans="1:34" ht="14.25" customHeight="1" x14ac:dyDescent="0.25">
      <c r="A13134" s="3"/>
      <c r="B13134" s="3"/>
      <c r="C13134" s="3"/>
      <c r="D13134" s="3"/>
      <c r="E13134" s="3"/>
      <c r="F13134" s="3"/>
      <c r="G13134" s="3"/>
      <c r="H13134" s="11"/>
      <c r="I13134" s="12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  <c r="AA13134" s="3"/>
      <c r="AB13134" s="3"/>
      <c r="AC13134" s="3"/>
      <c r="AD13134" s="3"/>
      <c r="AE13134" s="3"/>
      <c r="AF13134" s="3"/>
      <c r="AG13134" s="3"/>
      <c r="AH13134" s="3"/>
    </row>
    <row r="13135" spans="1:34" ht="14.25" customHeight="1" x14ac:dyDescent="0.25">
      <c r="A13135" s="3"/>
      <c r="B13135" s="3"/>
      <c r="C13135" s="3"/>
      <c r="D13135" s="3"/>
      <c r="E13135" s="3"/>
      <c r="F13135" s="3"/>
      <c r="G13135" s="3"/>
      <c r="H13135" s="11"/>
      <c r="I13135" s="12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  <c r="AA13135" s="3"/>
      <c r="AB13135" s="3"/>
      <c r="AC13135" s="3"/>
      <c r="AD13135" s="3"/>
      <c r="AE13135" s="3"/>
      <c r="AF13135" s="3"/>
      <c r="AG13135" s="3"/>
      <c r="AH13135" s="3"/>
    </row>
    <row r="13136" spans="1:34" ht="14.25" customHeight="1" x14ac:dyDescent="0.25">
      <c r="A13136" s="3"/>
      <c r="B13136" s="3"/>
      <c r="C13136" s="3"/>
      <c r="D13136" s="3"/>
      <c r="E13136" s="3"/>
      <c r="F13136" s="3"/>
      <c r="G13136" s="3"/>
      <c r="H13136" s="11"/>
      <c r="I13136" s="12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  <c r="AA13136" s="3"/>
      <c r="AB13136" s="3"/>
      <c r="AC13136" s="3"/>
      <c r="AD13136" s="3"/>
      <c r="AE13136" s="3"/>
      <c r="AF13136" s="3"/>
      <c r="AG13136" s="3"/>
      <c r="AH13136" s="3"/>
    </row>
    <row r="13137" spans="1:34" ht="14.25" customHeight="1" x14ac:dyDescent="0.25">
      <c r="A13137" s="3"/>
      <c r="B13137" s="3"/>
      <c r="C13137" s="3"/>
      <c r="D13137" s="3"/>
      <c r="E13137" s="3"/>
      <c r="F13137" s="3"/>
      <c r="G13137" s="3"/>
      <c r="H13137" s="11"/>
      <c r="I13137" s="12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  <c r="AA13137" s="3"/>
      <c r="AB13137" s="3"/>
      <c r="AC13137" s="3"/>
      <c r="AD13137" s="3"/>
      <c r="AE13137" s="3"/>
      <c r="AF13137" s="3"/>
      <c r="AG13137" s="3"/>
      <c r="AH13137" s="3"/>
    </row>
    <row r="13138" spans="1:34" ht="14.25" customHeight="1" x14ac:dyDescent="0.25">
      <c r="A13138" s="3"/>
      <c r="B13138" s="3"/>
      <c r="C13138" s="3"/>
      <c r="D13138" s="3"/>
      <c r="E13138" s="3"/>
      <c r="F13138" s="3"/>
      <c r="G13138" s="3"/>
      <c r="H13138" s="11"/>
      <c r="I13138" s="12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  <c r="AA13138" s="3"/>
      <c r="AB13138" s="3"/>
      <c r="AC13138" s="3"/>
      <c r="AD13138" s="3"/>
      <c r="AE13138" s="3"/>
      <c r="AF13138" s="3"/>
      <c r="AG13138" s="3"/>
      <c r="AH13138" s="3"/>
    </row>
    <row r="13139" spans="1:34" ht="14.25" customHeight="1" x14ac:dyDescent="0.25">
      <c r="A13139" s="3"/>
      <c r="B13139" s="3"/>
      <c r="C13139" s="3"/>
      <c r="D13139" s="3"/>
      <c r="E13139" s="3"/>
      <c r="F13139" s="3"/>
      <c r="G13139" s="3"/>
      <c r="H13139" s="11"/>
      <c r="I13139" s="12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  <c r="AA13139" s="3"/>
      <c r="AB13139" s="3"/>
      <c r="AC13139" s="3"/>
      <c r="AD13139" s="3"/>
      <c r="AE13139" s="3"/>
      <c r="AF13139" s="3"/>
      <c r="AG13139" s="3"/>
      <c r="AH13139" s="3"/>
    </row>
    <row r="13140" spans="1:34" ht="14.25" customHeight="1" x14ac:dyDescent="0.25">
      <c r="A13140" s="3"/>
      <c r="B13140" s="3"/>
      <c r="C13140" s="3"/>
      <c r="D13140" s="3"/>
      <c r="E13140" s="3"/>
      <c r="F13140" s="3"/>
      <c r="G13140" s="3"/>
      <c r="H13140" s="11"/>
      <c r="I13140" s="12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  <c r="AA13140" s="3"/>
      <c r="AB13140" s="3"/>
      <c r="AC13140" s="3"/>
      <c r="AD13140" s="3"/>
      <c r="AE13140" s="3"/>
      <c r="AF13140" s="3"/>
      <c r="AG13140" s="3"/>
      <c r="AH13140" s="3"/>
    </row>
    <row r="13141" spans="1:34" ht="14.25" customHeight="1" x14ac:dyDescent="0.25">
      <c r="A13141" s="3"/>
      <c r="B13141" s="3"/>
      <c r="C13141" s="3"/>
      <c r="D13141" s="3"/>
      <c r="E13141" s="3"/>
      <c r="F13141" s="3"/>
      <c r="G13141" s="3"/>
      <c r="H13141" s="11"/>
      <c r="I13141" s="12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  <c r="AA13141" s="3"/>
      <c r="AB13141" s="3"/>
      <c r="AC13141" s="3"/>
      <c r="AD13141" s="3"/>
      <c r="AE13141" s="3"/>
      <c r="AF13141" s="3"/>
      <c r="AG13141" s="3"/>
      <c r="AH13141" s="3"/>
    </row>
    <row r="13142" spans="1:34" ht="14.25" customHeight="1" x14ac:dyDescent="0.25">
      <c r="A13142" s="3"/>
      <c r="B13142" s="3"/>
      <c r="C13142" s="3"/>
      <c r="D13142" s="3"/>
      <c r="E13142" s="3"/>
      <c r="F13142" s="3"/>
      <c r="G13142" s="3"/>
      <c r="H13142" s="11"/>
      <c r="I13142" s="12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  <c r="AA13142" s="3"/>
      <c r="AB13142" s="3"/>
      <c r="AC13142" s="3"/>
      <c r="AD13142" s="3"/>
      <c r="AE13142" s="3"/>
      <c r="AF13142" s="3"/>
      <c r="AG13142" s="3"/>
      <c r="AH13142" s="3"/>
    </row>
    <row r="13143" spans="1:34" ht="14.25" customHeight="1" x14ac:dyDescent="0.25">
      <c r="A13143" s="3"/>
      <c r="B13143" s="3"/>
      <c r="C13143" s="3"/>
      <c r="D13143" s="3"/>
      <c r="E13143" s="3"/>
      <c r="F13143" s="3"/>
      <c r="G13143" s="3"/>
      <c r="H13143" s="11"/>
      <c r="I13143" s="12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  <c r="AA13143" s="3"/>
      <c r="AB13143" s="3"/>
      <c r="AC13143" s="3"/>
      <c r="AD13143" s="3"/>
      <c r="AE13143" s="3"/>
      <c r="AF13143" s="3"/>
      <c r="AG13143" s="3"/>
      <c r="AH13143" s="3"/>
    </row>
    <row r="13144" spans="1:34" ht="14.25" customHeight="1" x14ac:dyDescent="0.25">
      <c r="A13144" s="3"/>
      <c r="B13144" s="3"/>
      <c r="C13144" s="3"/>
      <c r="D13144" s="3"/>
      <c r="E13144" s="3"/>
      <c r="F13144" s="3"/>
      <c r="G13144" s="3"/>
      <c r="H13144" s="11"/>
      <c r="I13144" s="12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  <c r="AA13144" s="3"/>
      <c r="AB13144" s="3"/>
      <c r="AC13144" s="3"/>
      <c r="AD13144" s="3"/>
      <c r="AE13144" s="3"/>
      <c r="AF13144" s="3"/>
      <c r="AG13144" s="3"/>
      <c r="AH13144" s="3"/>
    </row>
    <row r="13145" spans="1:34" ht="14.25" customHeight="1" x14ac:dyDescent="0.25">
      <c r="A13145" s="3"/>
      <c r="B13145" s="3"/>
      <c r="C13145" s="3"/>
      <c r="D13145" s="3"/>
      <c r="E13145" s="3"/>
      <c r="F13145" s="3"/>
      <c r="G13145" s="3"/>
      <c r="H13145" s="11"/>
      <c r="I13145" s="12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  <c r="AA13145" s="3"/>
      <c r="AB13145" s="3"/>
      <c r="AC13145" s="3"/>
      <c r="AD13145" s="3"/>
      <c r="AE13145" s="3"/>
      <c r="AF13145" s="3"/>
      <c r="AG13145" s="3"/>
      <c r="AH13145" s="3"/>
    </row>
    <row r="13146" spans="1:34" ht="14.25" customHeight="1" x14ac:dyDescent="0.25">
      <c r="A13146" s="3"/>
      <c r="B13146" s="3"/>
      <c r="C13146" s="3"/>
      <c r="D13146" s="3"/>
      <c r="E13146" s="3"/>
      <c r="F13146" s="3"/>
      <c r="G13146" s="3"/>
      <c r="H13146" s="11"/>
      <c r="I13146" s="12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  <c r="AA13146" s="3"/>
      <c r="AB13146" s="3"/>
      <c r="AC13146" s="3"/>
      <c r="AD13146" s="3"/>
      <c r="AE13146" s="3"/>
      <c r="AF13146" s="3"/>
      <c r="AG13146" s="3"/>
      <c r="AH13146" s="3"/>
    </row>
    <row r="13147" spans="1:34" ht="14.25" customHeight="1" x14ac:dyDescent="0.25">
      <c r="A13147" s="3"/>
      <c r="B13147" s="3"/>
      <c r="C13147" s="3"/>
      <c r="D13147" s="3"/>
      <c r="E13147" s="3"/>
      <c r="F13147" s="3"/>
      <c r="G13147" s="3"/>
      <c r="H13147" s="11"/>
      <c r="I13147" s="12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  <c r="AA13147" s="3"/>
      <c r="AB13147" s="3"/>
      <c r="AC13147" s="3"/>
      <c r="AD13147" s="3"/>
      <c r="AE13147" s="3"/>
      <c r="AF13147" s="3"/>
      <c r="AG13147" s="3"/>
      <c r="AH13147" s="3"/>
    </row>
    <row r="13148" spans="1:34" ht="14.25" customHeight="1" x14ac:dyDescent="0.25">
      <c r="A13148" s="3"/>
      <c r="B13148" s="3"/>
      <c r="C13148" s="3"/>
      <c r="D13148" s="3"/>
      <c r="E13148" s="3"/>
      <c r="F13148" s="3"/>
      <c r="G13148" s="3"/>
      <c r="H13148" s="11"/>
      <c r="I13148" s="12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  <c r="AA13148" s="3"/>
      <c r="AB13148" s="3"/>
      <c r="AC13148" s="3"/>
      <c r="AD13148" s="3"/>
      <c r="AE13148" s="3"/>
      <c r="AF13148" s="3"/>
      <c r="AG13148" s="3"/>
      <c r="AH13148" s="3"/>
    </row>
    <row r="13149" spans="1:34" ht="14.25" customHeight="1" x14ac:dyDescent="0.25">
      <c r="A13149" s="3"/>
      <c r="B13149" s="3"/>
      <c r="C13149" s="3"/>
      <c r="D13149" s="3"/>
      <c r="E13149" s="3"/>
      <c r="F13149" s="3"/>
      <c r="G13149" s="3"/>
      <c r="H13149" s="11"/>
      <c r="I13149" s="12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  <c r="AA13149" s="3"/>
      <c r="AB13149" s="3"/>
      <c r="AC13149" s="3"/>
      <c r="AD13149" s="3"/>
      <c r="AE13149" s="3"/>
      <c r="AF13149" s="3"/>
      <c r="AG13149" s="3"/>
      <c r="AH13149" s="3"/>
    </row>
    <row r="13150" spans="1:34" ht="14.25" customHeight="1" x14ac:dyDescent="0.25">
      <c r="A13150" s="3"/>
      <c r="B13150" s="3"/>
      <c r="C13150" s="3"/>
      <c r="D13150" s="3"/>
      <c r="E13150" s="3"/>
      <c r="F13150" s="3"/>
      <c r="G13150" s="3"/>
      <c r="H13150" s="11"/>
      <c r="I13150" s="12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  <c r="AA13150" s="3"/>
      <c r="AB13150" s="3"/>
      <c r="AC13150" s="3"/>
      <c r="AD13150" s="3"/>
      <c r="AE13150" s="3"/>
      <c r="AF13150" s="3"/>
      <c r="AG13150" s="3"/>
      <c r="AH13150" s="3"/>
    </row>
    <row r="13151" spans="1:34" ht="14.25" customHeight="1" x14ac:dyDescent="0.25">
      <c r="A13151" s="3"/>
      <c r="B13151" s="3"/>
      <c r="C13151" s="3"/>
      <c r="D13151" s="3"/>
      <c r="E13151" s="3"/>
      <c r="F13151" s="3"/>
      <c r="G13151" s="3"/>
      <c r="H13151" s="11"/>
      <c r="I13151" s="12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  <c r="AA13151" s="3"/>
      <c r="AB13151" s="3"/>
      <c r="AC13151" s="3"/>
      <c r="AD13151" s="3"/>
      <c r="AE13151" s="3"/>
      <c r="AF13151" s="3"/>
      <c r="AG13151" s="3"/>
      <c r="AH13151" s="3"/>
    </row>
    <row r="13152" spans="1:34" ht="14.25" customHeight="1" x14ac:dyDescent="0.25">
      <c r="A13152" s="3"/>
      <c r="B13152" s="3"/>
      <c r="C13152" s="3"/>
      <c r="D13152" s="3"/>
      <c r="E13152" s="3"/>
      <c r="F13152" s="3"/>
      <c r="G13152" s="3"/>
      <c r="H13152" s="11"/>
      <c r="I13152" s="12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  <c r="AA13152" s="3"/>
      <c r="AB13152" s="3"/>
      <c r="AC13152" s="3"/>
      <c r="AD13152" s="3"/>
      <c r="AE13152" s="3"/>
      <c r="AF13152" s="3"/>
      <c r="AG13152" s="3"/>
      <c r="AH13152" s="3"/>
    </row>
    <row r="13153" spans="1:34" ht="14.25" customHeight="1" x14ac:dyDescent="0.25">
      <c r="A13153" s="3"/>
      <c r="B13153" s="3"/>
      <c r="C13153" s="3"/>
      <c r="D13153" s="3"/>
      <c r="E13153" s="3"/>
      <c r="F13153" s="3"/>
      <c r="G13153" s="3"/>
      <c r="H13153" s="11"/>
      <c r="I13153" s="12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  <c r="AA13153" s="3"/>
      <c r="AB13153" s="3"/>
      <c r="AC13153" s="3"/>
      <c r="AD13153" s="3"/>
      <c r="AE13153" s="3"/>
      <c r="AF13153" s="3"/>
      <c r="AG13153" s="3"/>
      <c r="AH13153" s="3"/>
    </row>
    <row r="13154" spans="1:34" ht="14.25" customHeight="1" x14ac:dyDescent="0.25">
      <c r="A13154" s="3"/>
      <c r="B13154" s="3"/>
      <c r="C13154" s="3"/>
      <c r="D13154" s="3"/>
      <c r="E13154" s="3"/>
      <c r="F13154" s="3"/>
      <c r="G13154" s="3"/>
      <c r="H13154" s="11"/>
      <c r="I13154" s="12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  <c r="AA13154" s="3"/>
      <c r="AB13154" s="3"/>
      <c r="AC13154" s="3"/>
      <c r="AD13154" s="3"/>
      <c r="AE13154" s="3"/>
      <c r="AF13154" s="3"/>
      <c r="AG13154" s="3"/>
      <c r="AH13154" s="3"/>
    </row>
    <row r="13155" spans="1:34" ht="14.25" customHeight="1" x14ac:dyDescent="0.25">
      <c r="A13155" s="3"/>
      <c r="B13155" s="3"/>
      <c r="C13155" s="3"/>
      <c r="D13155" s="3"/>
      <c r="E13155" s="3"/>
      <c r="F13155" s="3"/>
      <c r="G13155" s="3"/>
      <c r="H13155" s="11"/>
      <c r="I13155" s="12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  <c r="AA13155" s="3"/>
      <c r="AB13155" s="3"/>
      <c r="AC13155" s="3"/>
      <c r="AD13155" s="3"/>
      <c r="AE13155" s="3"/>
      <c r="AF13155" s="3"/>
      <c r="AG13155" s="3"/>
      <c r="AH13155" s="3"/>
    </row>
    <row r="13156" spans="1:34" ht="14.25" customHeight="1" x14ac:dyDescent="0.25">
      <c r="A13156" s="3"/>
      <c r="B13156" s="3"/>
      <c r="C13156" s="3"/>
      <c r="D13156" s="3"/>
      <c r="E13156" s="3"/>
      <c r="F13156" s="3"/>
      <c r="G13156" s="3"/>
      <c r="H13156" s="11"/>
      <c r="I13156" s="12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  <c r="AA13156" s="3"/>
      <c r="AB13156" s="3"/>
      <c r="AC13156" s="3"/>
      <c r="AD13156" s="3"/>
      <c r="AE13156" s="3"/>
      <c r="AF13156" s="3"/>
      <c r="AG13156" s="3"/>
      <c r="AH13156" s="3"/>
    </row>
    <row r="13157" spans="1:34" ht="14.25" customHeight="1" x14ac:dyDescent="0.25">
      <c r="A13157" s="3"/>
      <c r="B13157" s="3"/>
      <c r="C13157" s="3"/>
      <c r="D13157" s="3"/>
      <c r="E13157" s="3"/>
      <c r="F13157" s="3"/>
      <c r="G13157" s="3"/>
      <c r="H13157" s="11"/>
      <c r="I13157" s="12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  <c r="AA13157" s="3"/>
      <c r="AB13157" s="3"/>
      <c r="AC13157" s="3"/>
      <c r="AD13157" s="3"/>
      <c r="AE13157" s="3"/>
      <c r="AF13157" s="3"/>
      <c r="AG13157" s="3"/>
      <c r="AH13157" s="3"/>
    </row>
    <row r="13158" spans="1:34" ht="14.25" customHeight="1" x14ac:dyDescent="0.25">
      <c r="A13158" s="3"/>
      <c r="B13158" s="3"/>
      <c r="C13158" s="3"/>
      <c r="D13158" s="3"/>
      <c r="E13158" s="3"/>
      <c r="F13158" s="3"/>
      <c r="G13158" s="3"/>
      <c r="H13158" s="11"/>
      <c r="I13158" s="12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  <c r="AA13158" s="3"/>
      <c r="AB13158" s="3"/>
      <c r="AC13158" s="3"/>
      <c r="AD13158" s="3"/>
      <c r="AE13158" s="3"/>
      <c r="AF13158" s="3"/>
      <c r="AG13158" s="3"/>
      <c r="AH13158" s="3"/>
    </row>
    <row r="13159" spans="1:34" ht="14.25" customHeight="1" x14ac:dyDescent="0.25">
      <c r="A13159" s="3"/>
      <c r="B13159" s="3"/>
      <c r="C13159" s="3"/>
      <c r="D13159" s="3"/>
      <c r="E13159" s="3"/>
      <c r="F13159" s="3"/>
      <c r="G13159" s="3"/>
      <c r="H13159" s="11"/>
      <c r="I13159" s="12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  <c r="AA13159" s="3"/>
      <c r="AB13159" s="3"/>
      <c r="AC13159" s="3"/>
      <c r="AD13159" s="3"/>
      <c r="AE13159" s="3"/>
      <c r="AF13159" s="3"/>
      <c r="AG13159" s="3"/>
      <c r="AH13159" s="3"/>
    </row>
    <row r="13160" spans="1:34" ht="14.25" customHeight="1" x14ac:dyDescent="0.25">
      <c r="A13160" s="3"/>
      <c r="B13160" s="3"/>
      <c r="C13160" s="3"/>
      <c r="D13160" s="3"/>
      <c r="E13160" s="3"/>
      <c r="F13160" s="3"/>
      <c r="G13160" s="3"/>
      <c r="H13160" s="11"/>
      <c r="I13160" s="12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  <c r="AA13160" s="3"/>
      <c r="AB13160" s="3"/>
      <c r="AC13160" s="3"/>
      <c r="AD13160" s="3"/>
      <c r="AE13160" s="3"/>
      <c r="AF13160" s="3"/>
      <c r="AG13160" s="3"/>
      <c r="AH13160" s="3"/>
    </row>
    <row r="13161" spans="1:34" ht="14.25" customHeight="1" x14ac:dyDescent="0.25">
      <c r="A13161" s="3"/>
      <c r="B13161" s="3"/>
      <c r="C13161" s="3"/>
      <c r="D13161" s="3"/>
      <c r="E13161" s="3"/>
      <c r="F13161" s="3"/>
      <c r="G13161" s="3"/>
      <c r="H13161" s="11"/>
      <c r="I13161" s="12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  <c r="AA13161" s="3"/>
      <c r="AB13161" s="3"/>
      <c r="AC13161" s="3"/>
      <c r="AD13161" s="3"/>
      <c r="AE13161" s="3"/>
      <c r="AF13161" s="3"/>
      <c r="AG13161" s="3"/>
      <c r="AH13161" s="3"/>
    </row>
    <row r="13162" spans="1:34" ht="14.25" customHeight="1" x14ac:dyDescent="0.25">
      <c r="A13162" s="3"/>
      <c r="B13162" s="3"/>
      <c r="C13162" s="3"/>
      <c r="D13162" s="3"/>
      <c r="E13162" s="3"/>
      <c r="F13162" s="3"/>
      <c r="G13162" s="3"/>
      <c r="H13162" s="11"/>
      <c r="I13162" s="12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  <c r="AA13162" s="3"/>
      <c r="AB13162" s="3"/>
      <c r="AC13162" s="3"/>
      <c r="AD13162" s="3"/>
      <c r="AE13162" s="3"/>
      <c r="AF13162" s="3"/>
      <c r="AG13162" s="3"/>
      <c r="AH13162" s="3"/>
    </row>
    <row r="13163" spans="1:34" ht="14.25" customHeight="1" x14ac:dyDescent="0.25">
      <c r="A13163" s="3"/>
      <c r="B13163" s="3"/>
      <c r="C13163" s="3"/>
      <c r="D13163" s="3"/>
      <c r="E13163" s="3"/>
      <c r="F13163" s="3"/>
      <c r="G13163" s="3"/>
      <c r="H13163" s="11"/>
      <c r="I13163" s="12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  <c r="AA13163" s="3"/>
      <c r="AB13163" s="3"/>
      <c r="AC13163" s="3"/>
      <c r="AD13163" s="3"/>
      <c r="AE13163" s="3"/>
      <c r="AF13163" s="3"/>
      <c r="AG13163" s="3"/>
      <c r="AH13163" s="3"/>
    </row>
    <row r="13164" spans="1:34" ht="14.25" customHeight="1" x14ac:dyDescent="0.25">
      <c r="A13164" s="3"/>
      <c r="B13164" s="3"/>
      <c r="C13164" s="3"/>
      <c r="D13164" s="3"/>
      <c r="E13164" s="3"/>
      <c r="F13164" s="3"/>
      <c r="G13164" s="3"/>
      <c r="H13164" s="11"/>
      <c r="I13164" s="12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  <c r="AA13164" s="3"/>
      <c r="AB13164" s="3"/>
      <c r="AC13164" s="3"/>
      <c r="AD13164" s="3"/>
      <c r="AE13164" s="3"/>
      <c r="AF13164" s="3"/>
      <c r="AG13164" s="3"/>
      <c r="AH13164" s="3"/>
    </row>
    <row r="13165" spans="1:34" ht="14.25" customHeight="1" x14ac:dyDescent="0.25">
      <c r="A13165" s="3"/>
      <c r="B13165" s="3"/>
      <c r="C13165" s="3"/>
      <c r="D13165" s="3"/>
      <c r="E13165" s="3"/>
      <c r="F13165" s="3"/>
      <c r="G13165" s="3"/>
      <c r="H13165" s="11"/>
      <c r="I13165" s="12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  <c r="AA13165" s="3"/>
      <c r="AB13165" s="3"/>
      <c r="AC13165" s="3"/>
      <c r="AD13165" s="3"/>
      <c r="AE13165" s="3"/>
      <c r="AF13165" s="3"/>
      <c r="AG13165" s="3"/>
      <c r="AH13165" s="3"/>
    </row>
    <row r="13166" spans="1:34" ht="14.25" customHeight="1" x14ac:dyDescent="0.25">
      <c r="A13166" s="3"/>
      <c r="B13166" s="3"/>
      <c r="C13166" s="3"/>
      <c r="D13166" s="3"/>
      <c r="E13166" s="3"/>
      <c r="F13166" s="3"/>
      <c r="G13166" s="3"/>
      <c r="H13166" s="11"/>
      <c r="I13166" s="12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  <c r="AA13166" s="3"/>
      <c r="AB13166" s="3"/>
      <c r="AC13166" s="3"/>
      <c r="AD13166" s="3"/>
      <c r="AE13166" s="3"/>
      <c r="AF13166" s="3"/>
      <c r="AG13166" s="3"/>
      <c r="AH13166" s="3"/>
    </row>
    <row r="13167" spans="1:34" ht="14.25" customHeight="1" x14ac:dyDescent="0.25">
      <c r="A13167" s="3"/>
      <c r="B13167" s="3"/>
      <c r="C13167" s="3"/>
      <c r="D13167" s="3"/>
      <c r="E13167" s="3"/>
      <c r="F13167" s="3"/>
      <c r="G13167" s="3"/>
      <c r="H13167" s="11"/>
      <c r="I13167" s="12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  <c r="AA13167" s="3"/>
      <c r="AB13167" s="3"/>
      <c r="AC13167" s="3"/>
      <c r="AD13167" s="3"/>
      <c r="AE13167" s="3"/>
      <c r="AF13167" s="3"/>
      <c r="AG13167" s="3"/>
      <c r="AH13167" s="3"/>
    </row>
    <row r="13168" spans="1:34" ht="14.25" customHeight="1" x14ac:dyDescent="0.25">
      <c r="A13168" s="3"/>
      <c r="B13168" s="3"/>
      <c r="C13168" s="3"/>
      <c r="D13168" s="3"/>
      <c r="E13168" s="3"/>
      <c r="F13168" s="3"/>
      <c r="G13168" s="3"/>
      <c r="H13168" s="11"/>
      <c r="I13168" s="12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  <c r="AA13168" s="3"/>
      <c r="AB13168" s="3"/>
      <c r="AC13168" s="3"/>
      <c r="AD13168" s="3"/>
      <c r="AE13168" s="3"/>
      <c r="AF13168" s="3"/>
      <c r="AG13168" s="3"/>
      <c r="AH13168" s="3"/>
    </row>
    <row r="13169" spans="1:34" ht="14.25" customHeight="1" x14ac:dyDescent="0.25">
      <c r="A13169" s="3"/>
      <c r="B13169" s="3"/>
      <c r="C13169" s="3"/>
      <c r="D13169" s="3"/>
      <c r="E13169" s="3"/>
      <c r="F13169" s="3"/>
      <c r="G13169" s="3"/>
      <c r="H13169" s="11"/>
      <c r="I13169" s="12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  <c r="AA13169" s="3"/>
      <c r="AB13169" s="3"/>
      <c r="AC13169" s="3"/>
      <c r="AD13169" s="3"/>
      <c r="AE13169" s="3"/>
      <c r="AF13169" s="3"/>
      <c r="AG13169" s="3"/>
      <c r="AH13169" s="3"/>
    </row>
    <row r="13170" spans="1:34" ht="14.25" customHeight="1" x14ac:dyDescent="0.25">
      <c r="A13170" s="3"/>
      <c r="B13170" s="3"/>
      <c r="C13170" s="3"/>
      <c r="D13170" s="3"/>
      <c r="E13170" s="3"/>
      <c r="F13170" s="3"/>
      <c r="G13170" s="3"/>
      <c r="H13170" s="11"/>
      <c r="I13170" s="12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  <c r="AA13170" s="3"/>
      <c r="AB13170" s="3"/>
      <c r="AC13170" s="3"/>
      <c r="AD13170" s="3"/>
      <c r="AE13170" s="3"/>
      <c r="AF13170" s="3"/>
      <c r="AG13170" s="3"/>
      <c r="AH13170" s="3"/>
    </row>
    <row r="13171" spans="1:34" ht="14.25" customHeight="1" x14ac:dyDescent="0.25">
      <c r="A13171" s="3"/>
      <c r="B13171" s="3"/>
      <c r="C13171" s="3"/>
      <c r="D13171" s="3"/>
      <c r="E13171" s="3"/>
      <c r="F13171" s="3"/>
      <c r="G13171" s="3"/>
      <c r="H13171" s="11"/>
      <c r="I13171" s="12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  <c r="AA13171" s="3"/>
      <c r="AB13171" s="3"/>
      <c r="AC13171" s="3"/>
      <c r="AD13171" s="3"/>
      <c r="AE13171" s="3"/>
      <c r="AF13171" s="3"/>
      <c r="AG13171" s="3"/>
      <c r="AH13171" s="3"/>
    </row>
    <row r="13172" spans="1:34" ht="14.25" customHeight="1" x14ac:dyDescent="0.25">
      <c r="A13172" s="3"/>
      <c r="B13172" s="3"/>
      <c r="C13172" s="3"/>
      <c r="D13172" s="3"/>
      <c r="E13172" s="3"/>
      <c r="F13172" s="3"/>
      <c r="G13172" s="3"/>
      <c r="H13172" s="11"/>
      <c r="I13172" s="12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  <c r="AA13172" s="3"/>
      <c r="AB13172" s="3"/>
      <c r="AC13172" s="3"/>
      <c r="AD13172" s="3"/>
      <c r="AE13172" s="3"/>
      <c r="AF13172" s="3"/>
      <c r="AG13172" s="3"/>
      <c r="AH13172" s="3"/>
    </row>
    <row r="13173" spans="1:34" ht="14.25" customHeight="1" x14ac:dyDescent="0.25">
      <c r="A13173" s="3"/>
      <c r="B13173" s="3"/>
      <c r="C13173" s="3"/>
      <c r="D13173" s="3"/>
      <c r="E13173" s="3"/>
      <c r="F13173" s="3"/>
      <c r="G13173" s="3"/>
      <c r="H13173" s="11"/>
      <c r="I13173" s="12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  <c r="AA13173" s="3"/>
      <c r="AB13173" s="3"/>
      <c r="AC13173" s="3"/>
      <c r="AD13173" s="3"/>
      <c r="AE13173" s="3"/>
      <c r="AF13173" s="3"/>
      <c r="AG13173" s="3"/>
      <c r="AH13173" s="3"/>
    </row>
    <row r="13174" spans="1:34" ht="14.25" customHeight="1" x14ac:dyDescent="0.25">
      <c r="A13174" s="3"/>
      <c r="B13174" s="3"/>
      <c r="C13174" s="3"/>
      <c r="D13174" s="3"/>
      <c r="E13174" s="3"/>
      <c r="F13174" s="3"/>
      <c r="G13174" s="3"/>
      <c r="H13174" s="11"/>
      <c r="I13174" s="12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  <c r="AA13174" s="3"/>
      <c r="AB13174" s="3"/>
      <c r="AC13174" s="3"/>
      <c r="AD13174" s="3"/>
      <c r="AE13174" s="3"/>
      <c r="AF13174" s="3"/>
      <c r="AG13174" s="3"/>
      <c r="AH13174" s="3"/>
    </row>
    <row r="13175" spans="1:34" ht="14.25" customHeight="1" x14ac:dyDescent="0.25">
      <c r="A13175" s="3"/>
      <c r="B13175" s="3"/>
      <c r="C13175" s="3"/>
      <c r="D13175" s="3"/>
      <c r="E13175" s="3"/>
      <c r="F13175" s="3"/>
      <c r="G13175" s="3"/>
      <c r="H13175" s="11"/>
      <c r="I13175" s="12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  <c r="AA13175" s="3"/>
      <c r="AB13175" s="3"/>
      <c r="AC13175" s="3"/>
      <c r="AD13175" s="3"/>
      <c r="AE13175" s="3"/>
      <c r="AF13175" s="3"/>
      <c r="AG13175" s="3"/>
      <c r="AH13175" s="3"/>
    </row>
    <row r="13176" spans="1:34" ht="14.25" customHeight="1" x14ac:dyDescent="0.25">
      <c r="A13176" s="3"/>
      <c r="B13176" s="3"/>
      <c r="C13176" s="3"/>
      <c r="D13176" s="3"/>
      <c r="E13176" s="3"/>
      <c r="F13176" s="3"/>
      <c r="G13176" s="3"/>
      <c r="H13176" s="11"/>
      <c r="I13176" s="12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  <c r="AA13176" s="3"/>
      <c r="AB13176" s="3"/>
      <c r="AC13176" s="3"/>
      <c r="AD13176" s="3"/>
      <c r="AE13176" s="3"/>
      <c r="AF13176" s="3"/>
      <c r="AG13176" s="3"/>
      <c r="AH13176" s="3"/>
    </row>
    <row r="13177" spans="1:34" ht="14.25" customHeight="1" x14ac:dyDescent="0.25">
      <c r="A13177" s="3"/>
      <c r="B13177" s="3"/>
      <c r="C13177" s="3"/>
      <c r="D13177" s="3"/>
      <c r="E13177" s="3"/>
      <c r="F13177" s="3"/>
      <c r="G13177" s="3"/>
      <c r="H13177" s="11"/>
      <c r="I13177" s="12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  <c r="AA13177" s="3"/>
      <c r="AB13177" s="3"/>
      <c r="AC13177" s="3"/>
      <c r="AD13177" s="3"/>
      <c r="AE13177" s="3"/>
      <c r="AF13177" s="3"/>
      <c r="AG13177" s="3"/>
      <c r="AH13177" s="3"/>
    </row>
    <row r="13178" spans="1:34" ht="14.25" customHeight="1" x14ac:dyDescent="0.25">
      <c r="A13178" s="3"/>
      <c r="B13178" s="3"/>
      <c r="C13178" s="3"/>
      <c r="D13178" s="3"/>
      <c r="E13178" s="3"/>
      <c r="F13178" s="3"/>
      <c r="G13178" s="3"/>
      <c r="H13178" s="11"/>
      <c r="I13178" s="12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  <c r="AA13178" s="3"/>
      <c r="AB13178" s="3"/>
      <c r="AC13178" s="3"/>
      <c r="AD13178" s="3"/>
      <c r="AE13178" s="3"/>
      <c r="AF13178" s="3"/>
      <c r="AG13178" s="3"/>
      <c r="AH13178" s="3"/>
    </row>
    <row r="13179" spans="1:34" ht="14.25" customHeight="1" x14ac:dyDescent="0.25">
      <c r="A13179" s="3"/>
      <c r="B13179" s="3"/>
      <c r="C13179" s="3"/>
      <c r="D13179" s="3"/>
      <c r="E13179" s="3"/>
      <c r="F13179" s="3"/>
      <c r="G13179" s="3"/>
      <c r="H13179" s="11"/>
      <c r="I13179" s="12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  <c r="AA13179" s="3"/>
      <c r="AB13179" s="3"/>
      <c r="AC13179" s="3"/>
      <c r="AD13179" s="3"/>
      <c r="AE13179" s="3"/>
      <c r="AF13179" s="3"/>
      <c r="AG13179" s="3"/>
      <c r="AH13179" s="3"/>
    </row>
    <row r="13180" spans="1:34" ht="14.25" customHeight="1" x14ac:dyDescent="0.25">
      <c r="A13180" s="3"/>
      <c r="B13180" s="3"/>
      <c r="C13180" s="3"/>
      <c r="D13180" s="3"/>
      <c r="E13180" s="3"/>
      <c r="F13180" s="3"/>
      <c r="G13180" s="3"/>
      <c r="H13180" s="11"/>
      <c r="I13180" s="12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  <c r="AA13180" s="3"/>
      <c r="AB13180" s="3"/>
      <c r="AC13180" s="3"/>
      <c r="AD13180" s="3"/>
      <c r="AE13180" s="3"/>
      <c r="AF13180" s="3"/>
      <c r="AG13180" s="3"/>
      <c r="AH13180" s="3"/>
    </row>
    <row r="13181" spans="1:34" ht="14.25" customHeight="1" x14ac:dyDescent="0.25">
      <c r="A13181" s="3"/>
      <c r="B13181" s="3"/>
      <c r="C13181" s="3"/>
      <c r="D13181" s="3"/>
      <c r="E13181" s="3"/>
      <c r="F13181" s="3"/>
      <c r="G13181" s="3"/>
      <c r="H13181" s="11"/>
      <c r="I13181" s="12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  <c r="AA13181" s="3"/>
      <c r="AB13181" s="3"/>
      <c r="AC13181" s="3"/>
      <c r="AD13181" s="3"/>
      <c r="AE13181" s="3"/>
      <c r="AF13181" s="3"/>
      <c r="AG13181" s="3"/>
      <c r="AH13181" s="3"/>
    </row>
    <row r="13182" spans="1:34" ht="14.25" customHeight="1" x14ac:dyDescent="0.25">
      <c r="A13182" s="3"/>
      <c r="B13182" s="3"/>
      <c r="C13182" s="3"/>
      <c r="D13182" s="3"/>
      <c r="E13182" s="3"/>
      <c r="F13182" s="3"/>
      <c r="G13182" s="3"/>
      <c r="H13182" s="11"/>
      <c r="I13182" s="12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  <c r="AA13182" s="3"/>
      <c r="AB13182" s="3"/>
      <c r="AC13182" s="3"/>
      <c r="AD13182" s="3"/>
      <c r="AE13182" s="3"/>
      <c r="AF13182" s="3"/>
      <c r="AG13182" s="3"/>
      <c r="AH13182" s="3"/>
    </row>
    <row r="13183" spans="1:34" ht="14.25" customHeight="1" x14ac:dyDescent="0.25">
      <c r="A13183" s="3"/>
      <c r="B13183" s="3"/>
      <c r="C13183" s="3"/>
      <c r="D13183" s="3"/>
      <c r="E13183" s="3"/>
      <c r="F13183" s="3"/>
      <c r="G13183" s="3"/>
      <c r="H13183" s="11"/>
      <c r="I13183" s="12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  <c r="AA13183" s="3"/>
      <c r="AB13183" s="3"/>
      <c r="AC13183" s="3"/>
      <c r="AD13183" s="3"/>
      <c r="AE13183" s="3"/>
      <c r="AF13183" s="3"/>
      <c r="AG13183" s="3"/>
      <c r="AH13183" s="3"/>
    </row>
    <row r="13184" spans="1:34" ht="14.25" customHeight="1" x14ac:dyDescent="0.25">
      <c r="A13184" s="3"/>
      <c r="B13184" s="3"/>
      <c r="C13184" s="3"/>
      <c r="D13184" s="3"/>
      <c r="E13184" s="3"/>
      <c r="F13184" s="3"/>
      <c r="G13184" s="3"/>
      <c r="H13184" s="11"/>
      <c r="I13184" s="12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  <c r="AA13184" s="3"/>
      <c r="AB13184" s="3"/>
      <c r="AC13184" s="3"/>
      <c r="AD13184" s="3"/>
      <c r="AE13184" s="3"/>
      <c r="AF13184" s="3"/>
      <c r="AG13184" s="3"/>
      <c r="AH13184" s="3"/>
    </row>
    <row r="13185" spans="1:34" ht="14.25" customHeight="1" x14ac:dyDescent="0.25">
      <c r="A13185" s="3"/>
      <c r="B13185" s="3"/>
      <c r="C13185" s="3"/>
      <c r="D13185" s="3"/>
      <c r="E13185" s="3"/>
      <c r="F13185" s="3"/>
      <c r="G13185" s="3"/>
      <c r="H13185" s="11"/>
      <c r="I13185" s="12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  <c r="AA13185" s="3"/>
      <c r="AB13185" s="3"/>
      <c r="AC13185" s="3"/>
      <c r="AD13185" s="3"/>
      <c r="AE13185" s="3"/>
      <c r="AF13185" s="3"/>
      <c r="AG13185" s="3"/>
      <c r="AH13185" s="3"/>
    </row>
    <row r="13186" spans="1:34" ht="14.25" customHeight="1" x14ac:dyDescent="0.25">
      <c r="A13186" s="3"/>
      <c r="B13186" s="3"/>
      <c r="C13186" s="3"/>
      <c r="D13186" s="3"/>
      <c r="E13186" s="3"/>
      <c r="F13186" s="3"/>
      <c r="G13186" s="3"/>
      <c r="H13186" s="11"/>
      <c r="I13186" s="12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  <c r="AA13186" s="3"/>
      <c r="AB13186" s="3"/>
      <c r="AC13186" s="3"/>
      <c r="AD13186" s="3"/>
      <c r="AE13186" s="3"/>
      <c r="AF13186" s="3"/>
      <c r="AG13186" s="3"/>
      <c r="AH13186" s="3"/>
    </row>
    <row r="13187" spans="1:34" ht="14.25" customHeight="1" x14ac:dyDescent="0.25">
      <c r="A13187" s="3"/>
      <c r="B13187" s="3"/>
      <c r="C13187" s="3"/>
      <c r="D13187" s="3"/>
      <c r="E13187" s="3"/>
      <c r="F13187" s="3"/>
      <c r="G13187" s="3"/>
      <c r="H13187" s="11"/>
      <c r="I13187" s="12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  <c r="AA13187" s="3"/>
      <c r="AB13187" s="3"/>
      <c r="AC13187" s="3"/>
      <c r="AD13187" s="3"/>
      <c r="AE13187" s="3"/>
      <c r="AF13187" s="3"/>
      <c r="AG13187" s="3"/>
      <c r="AH13187" s="3"/>
    </row>
    <row r="13188" spans="1:34" ht="14.25" customHeight="1" x14ac:dyDescent="0.25">
      <c r="A13188" s="3"/>
      <c r="B13188" s="3"/>
      <c r="C13188" s="3"/>
      <c r="D13188" s="3"/>
      <c r="E13188" s="3"/>
      <c r="F13188" s="3"/>
      <c r="G13188" s="3"/>
      <c r="H13188" s="11"/>
      <c r="I13188" s="12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  <c r="AA13188" s="3"/>
      <c r="AB13188" s="3"/>
      <c r="AC13188" s="3"/>
      <c r="AD13188" s="3"/>
      <c r="AE13188" s="3"/>
      <c r="AF13188" s="3"/>
      <c r="AG13188" s="3"/>
      <c r="AH13188" s="3"/>
    </row>
    <row r="13189" spans="1:34" ht="14.25" customHeight="1" x14ac:dyDescent="0.25">
      <c r="A13189" s="3"/>
      <c r="B13189" s="3"/>
      <c r="C13189" s="3"/>
      <c r="D13189" s="3"/>
      <c r="E13189" s="3"/>
      <c r="F13189" s="3"/>
      <c r="G13189" s="3"/>
      <c r="H13189" s="11"/>
      <c r="I13189" s="12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  <c r="AA13189" s="3"/>
      <c r="AB13189" s="3"/>
      <c r="AC13189" s="3"/>
      <c r="AD13189" s="3"/>
      <c r="AE13189" s="3"/>
      <c r="AF13189" s="3"/>
      <c r="AG13189" s="3"/>
      <c r="AH13189" s="3"/>
    </row>
    <row r="13190" spans="1:34" ht="14.25" customHeight="1" x14ac:dyDescent="0.25">
      <c r="A13190" s="3"/>
      <c r="B13190" s="3"/>
      <c r="C13190" s="3"/>
      <c r="D13190" s="3"/>
      <c r="E13190" s="3"/>
      <c r="F13190" s="3"/>
      <c r="G13190" s="3"/>
      <c r="H13190" s="11"/>
      <c r="I13190" s="12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  <c r="AA13190" s="3"/>
      <c r="AB13190" s="3"/>
      <c r="AC13190" s="3"/>
      <c r="AD13190" s="3"/>
      <c r="AE13190" s="3"/>
      <c r="AF13190" s="3"/>
      <c r="AG13190" s="3"/>
      <c r="AH13190" s="3"/>
    </row>
    <row r="13191" spans="1:34" ht="14.25" customHeight="1" x14ac:dyDescent="0.25">
      <c r="A13191" s="3"/>
      <c r="B13191" s="3"/>
      <c r="C13191" s="3"/>
      <c r="D13191" s="3"/>
      <c r="E13191" s="3"/>
      <c r="F13191" s="3"/>
      <c r="G13191" s="3"/>
      <c r="H13191" s="11"/>
      <c r="I13191" s="12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  <c r="AA13191" s="3"/>
      <c r="AB13191" s="3"/>
      <c r="AC13191" s="3"/>
      <c r="AD13191" s="3"/>
      <c r="AE13191" s="3"/>
      <c r="AF13191" s="3"/>
      <c r="AG13191" s="3"/>
      <c r="AH13191" s="3"/>
    </row>
    <row r="13192" spans="1:34" ht="14.25" customHeight="1" x14ac:dyDescent="0.25">
      <c r="A13192" s="3"/>
      <c r="B13192" s="3"/>
      <c r="C13192" s="3"/>
      <c r="D13192" s="3"/>
      <c r="E13192" s="3"/>
      <c r="F13192" s="3"/>
      <c r="G13192" s="3"/>
      <c r="H13192" s="11"/>
      <c r="I13192" s="12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  <c r="AA13192" s="3"/>
      <c r="AB13192" s="3"/>
      <c r="AC13192" s="3"/>
      <c r="AD13192" s="3"/>
      <c r="AE13192" s="3"/>
      <c r="AF13192" s="3"/>
      <c r="AG13192" s="3"/>
      <c r="AH13192" s="3"/>
    </row>
    <row r="13193" spans="1:34" ht="14.25" customHeight="1" x14ac:dyDescent="0.25">
      <c r="A13193" s="3"/>
      <c r="B13193" s="3"/>
      <c r="C13193" s="3"/>
      <c r="D13193" s="3"/>
      <c r="E13193" s="3"/>
      <c r="F13193" s="3"/>
      <c r="G13193" s="3"/>
      <c r="H13193" s="11"/>
      <c r="I13193" s="12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  <c r="AA13193" s="3"/>
      <c r="AB13193" s="3"/>
      <c r="AC13193" s="3"/>
      <c r="AD13193" s="3"/>
      <c r="AE13193" s="3"/>
      <c r="AF13193" s="3"/>
      <c r="AG13193" s="3"/>
      <c r="AH13193" s="3"/>
    </row>
    <row r="13194" spans="1:34" ht="14.25" customHeight="1" x14ac:dyDescent="0.25">
      <c r="A13194" s="3"/>
      <c r="B13194" s="3"/>
      <c r="C13194" s="3"/>
      <c r="D13194" s="3"/>
      <c r="E13194" s="3"/>
      <c r="F13194" s="3"/>
      <c r="G13194" s="3"/>
      <c r="H13194" s="11"/>
      <c r="I13194" s="12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  <c r="AA13194" s="3"/>
      <c r="AB13194" s="3"/>
      <c r="AC13194" s="3"/>
      <c r="AD13194" s="3"/>
      <c r="AE13194" s="3"/>
      <c r="AF13194" s="3"/>
      <c r="AG13194" s="3"/>
      <c r="AH13194" s="3"/>
    </row>
    <row r="13195" spans="1:34" ht="14.25" customHeight="1" x14ac:dyDescent="0.25">
      <c r="A13195" s="3"/>
      <c r="B13195" s="3"/>
      <c r="C13195" s="3"/>
      <c r="D13195" s="3"/>
      <c r="E13195" s="3"/>
      <c r="F13195" s="3"/>
      <c r="G13195" s="3"/>
      <c r="H13195" s="11"/>
      <c r="I13195" s="12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  <c r="AA13195" s="3"/>
      <c r="AB13195" s="3"/>
      <c r="AC13195" s="3"/>
      <c r="AD13195" s="3"/>
      <c r="AE13195" s="3"/>
      <c r="AF13195" s="3"/>
      <c r="AG13195" s="3"/>
      <c r="AH13195" s="3"/>
    </row>
    <row r="13196" spans="1:34" ht="14.25" customHeight="1" x14ac:dyDescent="0.25">
      <c r="A13196" s="3"/>
      <c r="B13196" s="3"/>
      <c r="C13196" s="3"/>
      <c r="D13196" s="3"/>
      <c r="E13196" s="3"/>
      <c r="F13196" s="3"/>
      <c r="G13196" s="3"/>
      <c r="H13196" s="11"/>
      <c r="I13196" s="12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  <c r="AA13196" s="3"/>
      <c r="AB13196" s="3"/>
      <c r="AC13196" s="3"/>
      <c r="AD13196" s="3"/>
      <c r="AE13196" s="3"/>
      <c r="AF13196" s="3"/>
      <c r="AG13196" s="3"/>
      <c r="AH13196" s="3"/>
    </row>
    <row r="13197" spans="1:34" ht="14.25" customHeight="1" x14ac:dyDescent="0.25">
      <c r="A13197" s="3"/>
      <c r="B13197" s="3"/>
      <c r="C13197" s="3"/>
      <c r="D13197" s="3"/>
      <c r="E13197" s="3"/>
      <c r="F13197" s="3"/>
      <c r="G13197" s="3"/>
      <c r="H13197" s="11"/>
      <c r="I13197" s="12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  <c r="AA13197" s="3"/>
      <c r="AB13197" s="3"/>
      <c r="AC13197" s="3"/>
      <c r="AD13197" s="3"/>
      <c r="AE13197" s="3"/>
      <c r="AF13197" s="3"/>
      <c r="AG13197" s="3"/>
      <c r="AH13197" s="3"/>
    </row>
    <row r="13198" spans="1:34" ht="14.25" customHeight="1" x14ac:dyDescent="0.25">
      <c r="A13198" s="3"/>
      <c r="B13198" s="3"/>
      <c r="C13198" s="3"/>
      <c r="D13198" s="3"/>
      <c r="E13198" s="3"/>
      <c r="F13198" s="3"/>
      <c r="G13198" s="3"/>
      <c r="H13198" s="11"/>
      <c r="I13198" s="12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  <c r="AA13198" s="3"/>
      <c r="AB13198" s="3"/>
      <c r="AC13198" s="3"/>
      <c r="AD13198" s="3"/>
      <c r="AE13198" s="3"/>
      <c r="AF13198" s="3"/>
      <c r="AG13198" s="3"/>
      <c r="AH13198" s="3"/>
    </row>
    <row r="13199" spans="1:34" ht="14.25" customHeight="1" x14ac:dyDescent="0.25">
      <c r="A13199" s="3"/>
      <c r="B13199" s="3"/>
      <c r="C13199" s="3"/>
      <c r="D13199" s="3"/>
      <c r="E13199" s="3"/>
      <c r="F13199" s="3"/>
      <c r="G13199" s="3"/>
      <c r="H13199" s="11"/>
      <c r="I13199" s="12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  <c r="AA13199" s="3"/>
      <c r="AB13199" s="3"/>
      <c r="AC13199" s="3"/>
      <c r="AD13199" s="3"/>
      <c r="AE13199" s="3"/>
      <c r="AF13199" s="3"/>
      <c r="AG13199" s="3"/>
      <c r="AH13199" s="3"/>
    </row>
    <row r="13200" spans="1:34" ht="14.25" customHeight="1" x14ac:dyDescent="0.25">
      <c r="A13200" s="3"/>
      <c r="B13200" s="3"/>
      <c r="C13200" s="3"/>
      <c r="D13200" s="3"/>
      <c r="E13200" s="3"/>
      <c r="F13200" s="3"/>
      <c r="G13200" s="3"/>
      <c r="H13200" s="11"/>
      <c r="I13200" s="12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  <c r="AA13200" s="3"/>
      <c r="AB13200" s="3"/>
      <c r="AC13200" s="3"/>
      <c r="AD13200" s="3"/>
      <c r="AE13200" s="3"/>
      <c r="AF13200" s="3"/>
      <c r="AG13200" s="3"/>
      <c r="AH13200" s="3"/>
    </row>
    <row r="13201" spans="1:34" ht="14.25" customHeight="1" x14ac:dyDescent="0.25">
      <c r="A13201" s="3"/>
      <c r="B13201" s="3"/>
      <c r="C13201" s="3"/>
      <c r="D13201" s="3"/>
      <c r="E13201" s="3"/>
      <c r="F13201" s="3"/>
      <c r="G13201" s="3"/>
      <c r="H13201" s="11"/>
      <c r="I13201" s="12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  <c r="AA13201" s="3"/>
      <c r="AB13201" s="3"/>
      <c r="AC13201" s="3"/>
      <c r="AD13201" s="3"/>
      <c r="AE13201" s="3"/>
      <c r="AF13201" s="3"/>
      <c r="AG13201" s="3"/>
      <c r="AH13201" s="3"/>
    </row>
    <row r="13202" spans="1:34" ht="14.25" customHeight="1" x14ac:dyDescent="0.25">
      <c r="A13202" s="3"/>
      <c r="B13202" s="3"/>
      <c r="C13202" s="3"/>
      <c r="D13202" s="3"/>
      <c r="E13202" s="3"/>
      <c r="F13202" s="3"/>
      <c r="G13202" s="3"/>
      <c r="H13202" s="11"/>
      <c r="I13202" s="12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  <c r="AA13202" s="3"/>
      <c r="AB13202" s="3"/>
      <c r="AC13202" s="3"/>
      <c r="AD13202" s="3"/>
      <c r="AE13202" s="3"/>
      <c r="AF13202" s="3"/>
      <c r="AG13202" s="3"/>
      <c r="AH13202" s="3"/>
    </row>
    <row r="13203" spans="1:34" ht="14.25" customHeight="1" x14ac:dyDescent="0.25">
      <c r="A13203" s="3"/>
      <c r="B13203" s="3"/>
      <c r="C13203" s="3"/>
      <c r="D13203" s="3"/>
      <c r="E13203" s="3"/>
      <c r="F13203" s="3"/>
      <c r="G13203" s="3"/>
      <c r="H13203" s="11"/>
      <c r="I13203" s="12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  <c r="AA13203" s="3"/>
      <c r="AB13203" s="3"/>
      <c r="AC13203" s="3"/>
      <c r="AD13203" s="3"/>
      <c r="AE13203" s="3"/>
      <c r="AF13203" s="3"/>
      <c r="AG13203" s="3"/>
      <c r="AH13203" s="3"/>
    </row>
    <row r="13204" spans="1:34" ht="14.25" customHeight="1" x14ac:dyDescent="0.25">
      <c r="A13204" s="3"/>
      <c r="B13204" s="3"/>
      <c r="C13204" s="3"/>
      <c r="D13204" s="3"/>
      <c r="E13204" s="3"/>
      <c r="F13204" s="3"/>
      <c r="G13204" s="3"/>
      <c r="H13204" s="11"/>
      <c r="I13204" s="12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  <c r="AA13204" s="3"/>
      <c r="AB13204" s="3"/>
      <c r="AC13204" s="3"/>
      <c r="AD13204" s="3"/>
      <c r="AE13204" s="3"/>
      <c r="AF13204" s="3"/>
      <c r="AG13204" s="3"/>
      <c r="AH13204" s="3"/>
    </row>
    <row r="13205" spans="1:34" ht="14.25" customHeight="1" x14ac:dyDescent="0.25">
      <c r="A13205" s="3"/>
      <c r="B13205" s="3"/>
      <c r="C13205" s="3"/>
      <c r="D13205" s="3"/>
      <c r="E13205" s="3"/>
      <c r="F13205" s="3"/>
      <c r="G13205" s="3"/>
      <c r="H13205" s="11"/>
      <c r="I13205" s="12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  <c r="AA13205" s="3"/>
      <c r="AB13205" s="3"/>
      <c r="AC13205" s="3"/>
      <c r="AD13205" s="3"/>
      <c r="AE13205" s="3"/>
      <c r="AF13205" s="3"/>
      <c r="AG13205" s="3"/>
      <c r="AH13205" s="3"/>
    </row>
    <row r="13206" spans="1:34" ht="14.25" customHeight="1" x14ac:dyDescent="0.25">
      <c r="A13206" s="3"/>
      <c r="B13206" s="3"/>
      <c r="C13206" s="3"/>
      <c r="D13206" s="3"/>
      <c r="E13206" s="3"/>
      <c r="F13206" s="3"/>
      <c r="G13206" s="3"/>
      <c r="H13206" s="11"/>
      <c r="I13206" s="12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  <c r="AA13206" s="3"/>
      <c r="AB13206" s="3"/>
      <c r="AC13206" s="3"/>
      <c r="AD13206" s="3"/>
      <c r="AE13206" s="3"/>
      <c r="AF13206" s="3"/>
      <c r="AG13206" s="3"/>
      <c r="AH13206" s="3"/>
    </row>
    <row r="13207" spans="1:34" ht="14.25" customHeight="1" x14ac:dyDescent="0.25">
      <c r="A13207" s="3"/>
      <c r="B13207" s="3"/>
      <c r="C13207" s="3"/>
      <c r="D13207" s="3"/>
      <c r="E13207" s="3"/>
      <c r="F13207" s="3"/>
      <c r="G13207" s="3"/>
      <c r="H13207" s="11"/>
      <c r="I13207" s="12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  <c r="AA13207" s="3"/>
      <c r="AB13207" s="3"/>
      <c r="AC13207" s="3"/>
      <c r="AD13207" s="3"/>
      <c r="AE13207" s="3"/>
      <c r="AF13207" s="3"/>
      <c r="AG13207" s="3"/>
      <c r="AH13207" s="3"/>
    </row>
    <row r="13208" spans="1:34" ht="14.25" customHeight="1" x14ac:dyDescent="0.25">
      <c r="A13208" s="3"/>
      <c r="B13208" s="3"/>
      <c r="C13208" s="3"/>
      <c r="D13208" s="3"/>
      <c r="E13208" s="3"/>
      <c r="F13208" s="3"/>
      <c r="G13208" s="3"/>
      <c r="H13208" s="11"/>
      <c r="I13208" s="12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  <c r="AA13208" s="3"/>
      <c r="AB13208" s="3"/>
      <c r="AC13208" s="3"/>
      <c r="AD13208" s="3"/>
      <c r="AE13208" s="3"/>
      <c r="AF13208" s="3"/>
      <c r="AG13208" s="3"/>
      <c r="AH13208" s="3"/>
    </row>
    <row r="13209" spans="1:34" ht="14.25" customHeight="1" x14ac:dyDescent="0.25">
      <c r="A13209" s="3"/>
      <c r="B13209" s="3"/>
      <c r="C13209" s="3"/>
      <c r="D13209" s="3"/>
      <c r="E13209" s="3"/>
      <c r="F13209" s="3"/>
      <c r="G13209" s="3"/>
      <c r="H13209" s="11"/>
      <c r="I13209" s="12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  <c r="AA13209" s="3"/>
      <c r="AB13209" s="3"/>
      <c r="AC13209" s="3"/>
      <c r="AD13209" s="3"/>
      <c r="AE13209" s="3"/>
      <c r="AF13209" s="3"/>
      <c r="AG13209" s="3"/>
      <c r="AH13209" s="3"/>
    </row>
    <row r="13210" spans="1:34" ht="14.25" customHeight="1" x14ac:dyDescent="0.25">
      <c r="A13210" s="3"/>
      <c r="B13210" s="3"/>
      <c r="C13210" s="3"/>
      <c r="D13210" s="3"/>
      <c r="E13210" s="3"/>
      <c r="F13210" s="3"/>
      <c r="G13210" s="3"/>
      <c r="H13210" s="11"/>
      <c r="I13210" s="12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  <c r="AA13210" s="3"/>
      <c r="AB13210" s="3"/>
      <c r="AC13210" s="3"/>
      <c r="AD13210" s="3"/>
      <c r="AE13210" s="3"/>
      <c r="AF13210" s="3"/>
      <c r="AG13210" s="3"/>
      <c r="AH13210" s="3"/>
    </row>
    <row r="13211" spans="1:34" ht="14.25" customHeight="1" x14ac:dyDescent="0.25">
      <c r="A13211" s="3"/>
      <c r="B13211" s="3"/>
      <c r="C13211" s="3"/>
      <c r="D13211" s="3"/>
      <c r="E13211" s="3"/>
      <c r="F13211" s="3"/>
      <c r="G13211" s="3"/>
      <c r="H13211" s="11"/>
      <c r="I13211" s="12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  <c r="AA13211" s="3"/>
      <c r="AB13211" s="3"/>
      <c r="AC13211" s="3"/>
      <c r="AD13211" s="3"/>
      <c r="AE13211" s="3"/>
      <c r="AF13211" s="3"/>
      <c r="AG13211" s="3"/>
      <c r="AH13211" s="3"/>
    </row>
    <row r="13212" spans="1:34" ht="14.25" customHeight="1" x14ac:dyDescent="0.25">
      <c r="A13212" s="3"/>
      <c r="B13212" s="3"/>
      <c r="C13212" s="3"/>
      <c r="D13212" s="3"/>
      <c r="E13212" s="3"/>
      <c r="F13212" s="3"/>
      <c r="G13212" s="3"/>
      <c r="H13212" s="11"/>
      <c r="I13212" s="12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  <c r="AA13212" s="3"/>
      <c r="AB13212" s="3"/>
      <c r="AC13212" s="3"/>
      <c r="AD13212" s="3"/>
      <c r="AE13212" s="3"/>
      <c r="AF13212" s="3"/>
      <c r="AG13212" s="3"/>
      <c r="AH13212" s="3"/>
    </row>
    <row r="13213" spans="1:34" ht="14.25" customHeight="1" x14ac:dyDescent="0.25">
      <c r="A13213" s="3"/>
      <c r="B13213" s="3"/>
      <c r="C13213" s="3"/>
      <c r="D13213" s="3"/>
      <c r="E13213" s="3"/>
      <c r="F13213" s="3"/>
      <c r="G13213" s="3"/>
      <c r="H13213" s="11"/>
      <c r="I13213" s="12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  <c r="AA13213" s="3"/>
      <c r="AB13213" s="3"/>
      <c r="AC13213" s="3"/>
      <c r="AD13213" s="3"/>
      <c r="AE13213" s="3"/>
      <c r="AF13213" s="3"/>
      <c r="AG13213" s="3"/>
      <c r="AH13213" s="3"/>
    </row>
    <row r="13214" spans="1:34" ht="14.25" customHeight="1" x14ac:dyDescent="0.25">
      <c r="A13214" s="3"/>
      <c r="B13214" s="3"/>
      <c r="C13214" s="3"/>
      <c r="D13214" s="3"/>
      <c r="E13214" s="3"/>
      <c r="F13214" s="3"/>
      <c r="G13214" s="3"/>
      <c r="H13214" s="11"/>
      <c r="I13214" s="12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  <c r="AA13214" s="3"/>
      <c r="AB13214" s="3"/>
      <c r="AC13214" s="3"/>
      <c r="AD13214" s="3"/>
      <c r="AE13214" s="3"/>
      <c r="AF13214" s="3"/>
      <c r="AG13214" s="3"/>
      <c r="AH13214" s="3"/>
    </row>
    <row r="13215" spans="1:34" ht="14.25" customHeight="1" x14ac:dyDescent="0.25">
      <c r="A13215" s="3"/>
      <c r="B13215" s="3"/>
      <c r="C13215" s="3"/>
      <c r="D13215" s="3"/>
      <c r="E13215" s="3"/>
      <c r="F13215" s="3"/>
      <c r="G13215" s="3"/>
      <c r="H13215" s="11"/>
      <c r="I13215" s="12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  <c r="AA13215" s="3"/>
      <c r="AB13215" s="3"/>
      <c r="AC13215" s="3"/>
      <c r="AD13215" s="3"/>
      <c r="AE13215" s="3"/>
      <c r="AF13215" s="3"/>
      <c r="AG13215" s="3"/>
      <c r="AH13215" s="3"/>
    </row>
    <row r="13216" spans="1:34" ht="14.25" customHeight="1" x14ac:dyDescent="0.25">
      <c r="A13216" s="3"/>
      <c r="B13216" s="3"/>
      <c r="C13216" s="3"/>
      <c r="D13216" s="3"/>
      <c r="E13216" s="3"/>
      <c r="F13216" s="3"/>
      <c r="G13216" s="3"/>
      <c r="H13216" s="11"/>
      <c r="I13216" s="12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  <c r="AA13216" s="3"/>
      <c r="AB13216" s="3"/>
      <c r="AC13216" s="3"/>
      <c r="AD13216" s="3"/>
      <c r="AE13216" s="3"/>
      <c r="AF13216" s="3"/>
      <c r="AG13216" s="3"/>
      <c r="AH13216" s="3"/>
    </row>
    <row r="13217" spans="1:34" ht="14.25" customHeight="1" x14ac:dyDescent="0.25">
      <c r="A13217" s="3"/>
      <c r="B13217" s="3"/>
      <c r="C13217" s="3"/>
      <c r="D13217" s="3"/>
      <c r="E13217" s="3"/>
      <c r="F13217" s="3"/>
      <c r="G13217" s="3"/>
      <c r="H13217" s="11"/>
      <c r="I13217" s="12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  <c r="AA13217" s="3"/>
      <c r="AB13217" s="3"/>
      <c r="AC13217" s="3"/>
      <c r="AD13217" s="3"/>
      <c r="AE13217" s="3"/>
      <c r="AF13217" s="3"/>
      <c r="AG13217" s="3"/>
      <c r="AH13217" s="3"/>
    </row>
    <row r="13218" spans="1:34" ht="14.25" customHeight="1" x14ac:dyDescent="0.25">
      <c r="A13218" s="3"/>
      <c r="B13218" s="3"/>
      <c r="C13218" s="3"/>
      <c r="D13218" s="3"/>
      <c r="E13218" s="3"/>
      <c r="F13218" s="3"/>
      <c r="G13218" s="3"/>
      <c r="H13218" s="11"/>
      <c r="I13218" s="12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  <c r="AA13218" s="3"/>
      <c r="AB13218" s="3"/>
      <c r="AC13218" s="3"/>
      <c r="AD13218" s="3"/>
      <c r="AE13218" s="3"/>
      <c r="AF13218" s="3"/>
      <c r="AG13218" s="3"/>
      <c r="AH13218" s="3"/>
    </row>
    <row r="13219" spans="1:34" ht="14.25" customHeight="1" x14ac:dyDescent="0.25">
      <c r="A13219" s="3"/>
      <c r="B13219" s="3"/>
      <c r="C13219" s="3"/>
      <c r="D13219" s="3"/>
      <c r="E13219" s="3"/>
      <c r="F13219" s="3"/>
      <c r="G13219" s="3"/>
      <c r="H13219" s="11"/>
      <c r="I13219" s="12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  <c r="AA13219" s="3"/>
      <c r="AB13219" s="3"/>
      <c r="AC13219" s="3"/>
      <c r="AD13219" s="3"/>
      <c r="AE13219" s="3"/>
      <c r="AF13219" s="3"/>
      <c r="AG13219" s="3"/>
      <c r="AH13219" s="3"/>
    </row>
    <row r="13220" spans="1:34" ht="14.25" customHeight="1" x14ac:dyDescent="0.25">
      <c r="A13220" s="3"/>
      <c r="B13220" s="3"/>
      <c r="C13220" s="3"/>
      <c r="D13220" s="3"/>
      <c r="E13220" s="3"/>
      <c r="F13220" s="3"/>
      <c r="G13220" s="3"/>
      <c r="H13220" s="11"/>
      <c r="I13220" s="12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  <c r="AA13220" s="3"/>
      <c r="AB13220" s="3"/>
      <c r="AC13220" s="3"/>
      <c r="AD13220" s="3"/>
      <c r="AE13220" s="3"/>
      <c r="AF13220" s="3"/>
      <c r="AG13220" s="3"/>
      <c r="AH13220" s="3"/>
    </row>
    <row r="13221" spans="1:34" ht="14.25" customHeight="1" x14ac:dyDescent="0.25">
      <c r="A13221" s="3"/>
      <c r="B13221" s="3"/>
      <c r="C13221" s="3"/>
      <c r="D13221" s="3"/>
      <c r="E13221" s="3"/>
      <c r="F13221" s="3"/>
      <c r="G13221" s="3"/>
      <c r="H13221" s="11"/>
      <c r="I13221" s="12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  <c r="AA13221" s="3"/>
      <c r="AB13221" s="3"/>
      <c r="AC13221" s="3"/>
      <c r="AD13221" s="3"/>
      <c r="AE13221" s="3"/>
      <c r="AF13221" s="3"/>
      <c r="AG13221" s="3"/>
      <c r="AH13221" s="3"/>
    </row>
    <row r="13222" spans="1:34" ht="14.25" customHeight="1" x14ac:dyDescent="0.25">
      <c r="A13222" s="3"/>
      <c r="B13222" s="3"/>
      <c r="C13222" s="3"/>
      <c r="D13222" s="3"/>
      <c r="E13222" s="3"/>
      <c r="F13222" s="3"/>
      <c r="G13222" s="3"/>
      <c r="H13222" s="11"/>
      <c r="I13222" s="12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  <c r="AA13222" s="3"/>
      <c r="AB13222" s="3"/>
      <c r="AC13222" s="3"/>
      <c r="AD13222" s="3"/>
      <c r="AE13222" s="3"/>
      <c r="AF13222" s="3"/>
      <c r="AG13222" s="3"/>
      <c r="AH13222" s="3"/>
    </row>
    <row r="13223" spans="1:34" ht="14.25" customHeight="1" x14ac:dyDescent="0.25">
      <c r="A13223" s="3"/>
      <c r="B13223" s="3"/>
      <c r="C13223" s="3"/>
      <c r="D13223" s="3"/>
      <c r="E13223" s="3"/>
      <c r="F13223" s="3"/>
      <c r="G13223" s="3"/>
      <c r="H13223" s="11"/>
      <c r="I13223" s="12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  <c r="AA13223" s="3"/>
      <c r="AB13223" s="3"/>
      <c r="AC13223" s="3"/>
      <c r="AD13223" s="3"/>
      <c r="AE13223" s="3"/>
      <c r="AF13223" s="3"/>
      <c r="AG13223" s="3"/>
      <c r="AH13223" s="3"/>
    </row>
    <row r="13224" spans="1:34" ht="14.25" customHeight="1" x14ac:dyDescent="0.25">
      <c r="A13224" s="3"/>
      <c r="B13224" s="3"/>
      <c r="C13224" s="3"/>
      <c r="D13224" s="3"/>
      <c r="E13224" s="3"/>
      <c r="F13224" s="3"/>
      <c r="G13224" s="3"/>
      <c r="H13224" s="11"/>
      <c r="I13224" s="12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  <c r="AA13224" s="3"/>
      <c r="AB13224" s="3"/>
      <c r="AC13224" s="3"/>
      <c r="AD13224" s="3"/>
      <c r="AE13224" s="3"/>
      <c r="AF13224" s="3"/>
      <c r="AG13224" s="3"/>
      <c r="AH13224" s="3"/>
    </row>
    <row r="13225" spans="1:34" ht="14.25" customHeight="1" x14ac:dyDescent="0.25">
      <c r="A13225" s="3"/>
      <c r="B13225" s="3"/>
      <c r="C13225" s="3"/>
      <c r="D13225" s="3"/>
      <c r="E13225" s="3"/>
      <c r="F13225" s="3"/>
      <c r="G13225" s="3"/>
      <c r="H13225" s="11"/>
      <c r="I13225" s="12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  <c r="AA13225" s="3"/>
      <c r="AB13225" s="3"/>
      <c r="AC13225" s="3"/>
      <c r="AD13225" s="3"/>
      <c r="AE13225" s="3"/>
      <c r="AF13225" s="3"/>
      <c r="AG13225" s="3"/>
      <c r="AH13225" s="3"/>
    </row>
    <row r="13226" spans="1:34" ht="14.25" customHeight="1" x14ac:dyDescent="0.25">
      <c r="A13226" s="3"/>
      <c r="B13226" s="3"/>
      <c r="C13226" s="3"/>
      <c r="D13226" s="3"/>
      <c r="E13226" s="3"/>
      <c r="F13226" s="3"/>
      <c r="G13226" s="3"/>
      <c r="H13226" s="11"/>
      <c r="I13226" s="12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  <c r="AA13226" s="3"/>
      <c r="AB13226" s="3"/>
      <c r="AC13226" s="3"/>
      <c r="AD13226" s="3"/>
      <c r="AE13226" s="3"/>
      <c r="AF13226" s="3"/>
      <c r="AG13226" s="3"/>
      <c r="AH13226" s="3"/>
    </row>
    <row r="13227" spans="1:34" ht="14.25" customHeight="1" x14ac:dyDescent="0.25">
      <c r="A13227" s="3"/>
      <c r="B13227" s="3"/>
      <c r="C13227" s="3"/>
      <c r="D13227" s="3"/>
      <c r="E13227" s="3"/>
      <c r="F13227" s="3"/>
      <c r="G13227" s="3"/>
      <c r="H13227" s="11"/>
      <c r="I13227" s="12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  <c r="AA13227" s="3"/>
      <c r="AB13227" s="3"/>
      <c r="AC13227" s="3"/>
      <c r="AD13227" s="3"/>
      <c r="AE13227" s="3"/>
      <c r="AF13227" s="3"/>
      <c r="AG13227" s="3"/>
      <c r="AH13227" s="3"/>
    </row>
    <row r="13228" spans="1:34" ht="14.25" customHeight="1" x14ac:dyDescent="0.25">
      <c r="A13228" s="3"/>
      <c r="B13228" s="3"/>
      <c r="C13228" s="3"/>
      <c r="D13228" s="3"/>
      <c r="E13228" s="3"/>
      <c r="F13228" s="3"/>
      <c r="G13228" s="3"/>
      <c r="H13228" s="11"/>
      <c r="I13228" s="12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  <c r="AA13228" s="3"/>
      <c r="AB13228" s="3"/>
      <c r="AC13228" s="3"/>
      <c r="AD13228" s="3"/>
      <c r="AE13228" s="3"/>
      <c r="AF13228" s="3"/>
      <c r="AG13228" s="3"/>
      <c r="AH13228" s="3"/>
    </row>
    <row r="13229" spans="1:34" ht="14.25" customHeight="1" x14ac:dyDescent="0.25">
      <c r="A13229" s="3"/>
      <c r="B13229" s="3"/>
      <c r="C13229" s="3"/>
      <c r="D13229" s="3"/>
      <c r="E13229" s="3"/>
      <c r="F13229" s="3"/>
      <c r="G13229" s="3"/>
      <c r="H13229" s="11"/>
      <c r="I13229" s="12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  <c r="AA13229" s="3"/>
      <c r="AB13229" s="3"/>
      <c r="AC13229" s="3"/>
      <c r="AD13229" s="3"/>
      <c r="AE13229" s="3"/>
      <c r="AF13229" s="3"/>
      <c r="AG13229" s="3"/>
      <c r="AH13229" s="3"/>
    </row>
    <row r="13230" spans="1:34" ht="14.25" customHeight="1" x14ac:dyDescent="0.25">
      <c r="A13230" s="3"/>
      <c r="B13230" s="3"/>
      <c r="C13230" s="3"/>
      <c r="D13230" s="3"/>
      <c r="E13230" s="3"/>
      <c r="F13230" s="3"/>
      <c r="G13230" s="3"/>
      <c r="H13230" s="11"/>
      <c r="I13230" s="12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  <c r="AA13230" s="3"/>
      <c r="AB13230" s="3"/>
      <c r="AC13230" s="3"/>
      <c r="AD13230" s="3"/>
      <c r="AE13230" s="3"/>
      <c r="AF13230" s="3"/>
      <c r="AG13230" s="3"/>
      <c r="AH13230" s="3"/>
    </row>
    <row r="13231" spans="1:34" ht="14.25" customHeight="1" x14ac:dyDescent="0.25">
      <c r="A13231" s="3"/>
      <c r="B13231" s="3"/>
      <c r="C13231" s="3"/>
      <c r="D13231" s="3"/>
      <c r="E13231" s="3"/>
      <c r="F13231" s="3"/>
      <c r="G13231" s="3"/>
      <c r="H13231" s="11"/>
      <c r="I13231" s="12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  <c r="AA13231" s="3"/>
      <c r="AB13231" s="3"/>
      <c r="AC13231" s="3"/>
      <c r="AD13231" s="3"/>
      <c r="AE13231" s="3"/>
      <c r="AF13231" s="3"/>
      <c r="AG13231" s="3"/>
      <c r="AH13231" s="3"/>
    </row>
    <row r="13232" spans="1:34" ht="14.25" customHeight="1" x14ac:dyDescent="0.25">
      <c r="A13232" s="3"/>
      <c r="B13232" s="3"/>
      <c r="C13232" s="3"/>
      <c r="D13232" s="3"/>
      <c r="E13232" s="3"/>
      <c r="F13232" s="3"/>
      <c r="G13232" s="3"/>
      <c r="H13232" s="11"/>
      <c r="I13232" s="12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  <c r="AA13232" s="3"/>
      <c r="AB13232" s="3"/>
      <c r="AC13232" s="3"/>
      <c r="AD13232" s="3"/>
      <c r="AE13232" s="3"/>
      <c r="AF13232" s="3"/>
      <c r="AG13232" s="3"/>
      <c r="AH13232" s="3"/>
    </row>
    <row r="13233" spans="1:34" ht="14.25" customHeight="1" x14ac:dyDescent="0.25">
      <c r="A13233" s="3"/>
      <c r="B13233" s="3"/>
      <c r="C13233" s="3"/>
      <c r="D13233" s="3"/>
      <c r="E13233" s="3"/>
      <c r="F13233" s="3"/>
      <c r="G13233" s="3"/>
      <c r="H13233" s="11"/>
      <c r="I13233" s="12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  <c r="AA13233" s="3"/>
      <c r="AB13233" s="3"/>
      <c r="AC13233" s="3"/>
      <c r="AD13233" s="3"/>
      <c r="AE13233" s="3"/>
      <c r="AF13233" s="3"/>
      <c r="AG13233" s="3"/>
      <c r="AH13233" s="3"/>
    </row>
    <row r="13234" spans="1:34" ht="14.25" customHeight="1" x14ac:dyDescent="0.25">
      <c r="A13234" s="3"/>
      <c r="B13234" s="3"/>
      <c r="C13234" s="3"/>
      <c r="D13234" s="3"/>
      <c r="E13234" s="3"/>
      <c r="F13234" s="3"/>
      <c r="G13234" s="3"/>
      <c r="H13234" s="11"/>
      <c r="I13234" s="12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  <c r="AA13234" s="3"/>
      <c r="AB13234" s="3"/>
      <c r="AC13234" s="3"/>
      <c r="AD13234" s="3"/>
      <c r="AE13234" s="3"/>
      <c r="AF13234" s="3"/>
      <c r="AG13234" s="3"/>
      <c r="AH13234" s="3"/>
    </row>
    <row r="13235" spans="1:34" ht="14.25" customHeight="1" x14ac:dyDescent="0.25">
      <c r="A13235" s="3"/>
      <c r="B13235" s="3"/>
      <c r="C13235" s="3"/>
      <c r="D13235" s="3"/>
      <c r="E13235" s="3"/>
      <c r="F13235" s="3"/>
      <c r="G13235" s="3"/>
      <c r="H13235" s="11"/>
      <c r="I13235" s="12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  <c r="AA13235" s="3"/>
      <c r="AB13235" s="3"/>
      <c r="AC13235" s="3"/>
      <c r="AD13235" s="3"/>
      <c r="AE13235" s="3"/>
      <c r="AF13235" s="3"/>
      <c r="AG13235" s="3"/>
      <c r="AH13235" s="3"/>
    </row>
    <row r="13236" spans="1:34" ht="14.25" customHeight="1" x14ac:dyDescent="0.25">
      <c r="A13236" s="3"/>
      <c r="B13236" s="3"/>
      <c r="C13236" s="3"/>
      <c r="D13236" s="3"/>
      <c r="E13236" s="3"/>
      <c r="F13236" s="3"/>
      <c r="G13236" s="3"/>
      <c r="H13236" s="11"/>
      <c r="I13236" s="12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  <c r="AA13236" s="3"/>
      <c r="AB13236" s="3"/>
      <c r="AC13236" s="3"/>
      <c r="AD13236" s="3"/>
      <c r="AE13236" s="3"/>
      <c r="AF13236" s="3"/>
      <c r="AG13236" s="3"/>
      <c r="AH13236" s="3"/>
    </row>
    <row r="13237" spans="1:34" ht="14.25" customHeight="1" x14ac:dyDescent="0.25">
      <c r="A13237" s="3"/>
      <c r="B13237" s="3"/>
      <c r="C13237" s="3"/>
      <c r="D13237" s="3"/>
      <c r="E13237" s="3"/>
      <c r="F13237" s="3"/>
      <c r="G13237" s="3"/>
      <c r="H13237" s="11"/>
      <c r="I13237" s="12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  <c r="AA13237" s="3"/>
      <c r="AB13237" s="3"/>
      <c r="AC13237" s="3"/>
      <c r="AD13237" s="3"/>
      <c r="AE13237" s="3"/>
      <c r="AF13237" s="3"/>
      <c r="AG13237" s="3"/>
      <c r="AH13237" s="3"/>
    </row>
    <row r="13238" spans="1:34" ht="14.25" customHeight="1" x14ac:dyDescent="0.25">
      <c r="A13238" s="3"/>
      <c r="B13238" s="3"/>
      <c r="C13238" s="3"/>
      <c r="D13238" s="3"/>
      <c r="E13238" s="3"/>
      <c r="F13238" s="3"/>
      <c r="G13238" s="3"/>
      <c r="H13238" s="11"/>
      <c r="I13238" s="12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  <c r="AA13238" s="3"/>
      <c r="AB13238" s="3"/>
      <c r="AC13238" s="3"/>
      <c r="AD13238" s="3"/>
      <c r="AE13238" s="3"/>
      <c r="AF13238" s="3"/>
      <c r="AG13238" s="3"/>
      <c r="AH13238" s="3"/>
    </row>
    <row r="13239" spans="1:34" ht="14.25" customHeight="1" x14ac:dyDescent="0.25">
      <c r="A13239" s="3"/>
      <c r="B13239" s="3"/>
      <c r="C13239" s="3"/>
      <c r="D13239" s="3"/>
      <c r="E13239" s="3"/>
      <c r="F13239" s="3"/>
      <c r="G13239" s="3"/>
      <c r="H13239" s="11"/>
      <c r="I13239" s="12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  <c r="AA13239" s="3"/>
      <c r="AB13239" s="3"/>
      <c r="AC13239" s="3"/>
      <c r="AD13239" s="3"/>
      <c r="AE13239" s="3"/>
      <c r="AF13239" s="3"/>
      <c r="AG13239" s="3"/>
      <c r="AH13239" s="3"/>
    </row>
    <row r="13240" spans="1:34" ht="14.25" customHeight="1" x14ac:dyDescent="0.25">
      <c r="A13240" s="3"/>
      <c r="B13240" s="3"/>
      <c r="C13240" s="3"/>
      <c r="D13240" s="3"/>
      <c r="E13240" s="3"/>
      <c r="F13240" s="3"/>
      <c r="G13240" s="3"/>
      <c r="H13240" s="11"/>
      <c r="I13240" s="12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  <c r="AA13240" s="3"/>
      <c r="AB13240" s="3"/>
      <c r="AC13240" s="3"/>
      <c r="AD13240" s="3"/>
      <c r="AE13240" s="3"/>
      <c r="AF13240" s="3"/>
      <c r="AG13240" s="3"/>
      <c r="AH13240" s="3"/>
    </row>
    <row r="13241" spans="1:34" ht="14.25" customHeight="1" x14ac:dyDescent="0.25">
      <c r="A13241" s="3"/>
      <c r="B13241" s="3"/>
      <c r="C13241" s="3"/>
      <c r="D13241" s="3"/>
      <c r="E13241" s="3"/>
      <c r="F13241" s="3"/>
      <c r="G13241" s="3"/>
      <c r="H13241" s="11"/>
      <c r="I13241" s="12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  <c r="AA13241" s="3"/>
      <c r="AB13241" s="3"/>
      <c r="AC13241" s="3"/>
      <c r="AD13241" s="3"/>
      <c r="AE13241" s="3"/>
      <c r="AF13241" s="3"/>
      <c r="AG13241" s="3"/>
      <c r="AH13241" s="3"/>
    </row>
    <row r="13242" spans="1:34" ht="14.25" customHeight="1" x14ac:dyDescent="0.25">
      <c r="A13242" s="3"/>
      <c r="B13242" s="3"/>
      <c r="C13242" s="3"/>
      <c r="D13242" s="3"/>
      <c r="E13242" s="3"/>
      <c r="F13242" s="3"/>
      <c r="G13242" s="3"/>
      <c r="H13242" s="11"/>
      <c r="I13242" s="12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  <c r="AA13242" s="3"/>
      <c r="AB13242" s="3"/>
      <c r="AC13242" s="3"/>
      <c r="AD13242" s="3"/>
      <c r="AE13242" s="3"/>
      <c r="AF13242" s="3"/>
      <c r="AG13242" s="3"/>
      <c r="AH13242" s="3"/>
    </row>
    <row r="13243" spans="1:34" ht="14.25" customHeight="1" x14ac:dyDescent="0.25">
      <c r="A13243" s="3"/>
      <c r="B13243" s="3"/>
      <c r="C13243" s="3"/>
      <c r="D13243" s="3"/>
      <c r="E13243" s="3"/>
      <c r="F13243" s="3"/>
      <c r="G13243" s="3"/>
      <c r="H13243" s="11"/>
      <c r="I13243" s="12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  <c r="AA13243" s="3"/>
      <c r="AB13243" s="3"/>
      <c r="AC13243" s="3"/>
      <c r="AD13243" s="3"/>
      <c r="AE13243" s="3"/>
      <c r="AF13243" s="3"/>
      <c r="AG13243" s="3"/>
      <c r="AH13243" s="3"/>
    </row>
    <row r="13244" spans="1:34" ht="14.25" customHeight="1" x14ac:dyDescent="0.25">
      <c r="A13244" s="3"/>
      <c r="B13244" s="3"/>
      <c r="C13244" s="3"/>
      <c r="D13244" s="3"/>
      <c r="E13244" s="3"/>
      <c r="F13244" s="3"/>
      <c r="G13244" s="3"/>
      <c r="H13244" s="11"/>
      <c r="I13244" s="12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  <c r="AA13244" s="3"/>
      <c r="AB13244" s="3"/>
      <c r="AC13244" s="3"/>
      <c r="AD13244" s="3"/>
      <c r="AE13244" s="3"/>
      <c r="AF13244" s="3"/>
      <c r="AG13244" s="3"/>
      <c r="AH13244" s="3"/>
    </row>
    <row r="13245" spans="1:34" ht="14.25" customHeight="1" x14ac:dyDescent="0.25">
      <c r="A13245" s="3"/>
      <c r="B13245" s="3"/>
      <c r="C13245" s="3"/>
      <c r="D13245" s="3"/>
      <c r="E13245" s="3"/>
      <c r="F13245" s="3"/>
      <c r="G13245" s="3"/>
      <c r="H13245" s="11"/>
      <c r="I13245" s="12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  <c r="AA13245" s="3"/>
      <c r="AB13245" s="3"/>
      <c r="AC13245" s="3"/>
      <c r="AD13245" s="3"/>
      <c r="AE13245" s="3"/>
      <c r="AF13245" s="3"/>
      <c r="AG13245" s="3"/>
      <c r="AH13245" s="3"/>
    </row>
    <row r="13246" spans="1:34" ht="14.25" customHeight="1" x14ac:dyDescent="0.25">
      <c r="A13246" s="3"/>
      <c r="B13246" s="3"/>
      <c r="C13246" s="3"/>
      <c r="D13246" s="3"/>
      <c r="E13246" s="3"/>
      <c r="F13246" s="3"/>
      <c r="G13246" s="3"/>
      <c r="H13246" s="11"/>
      <c r="I13246" s="12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  <c r="AA13246" s="3"/>
      <c r="AB13246" s="3"/>
      <c r="AC13246" s="3"/>
      <c r="AD13246" s="3"/>
      <c r="AE13246" s="3"/>
      <c r="AF13246" s="3"/>
      <c r="AG13246" s="3"/>
      <c r="AH13246" s="3"/>
    </row>
    <row r="13247" spans="1:34" ht="14.25" customHeight="1" x14ac:dyDescent="0.25">
      <c r="A13247" s="3"/>
      <c r="B13247" s="3"/>
      <c r="C13247" s="3"/>
      <c r="D13247" s="3"/>
      <c r="E13247" s="3"/>
      <c r="F13247" s="3"/>
      <c r="G13247" s="3"/>
      <c r="H13247" s="11"/>
      <c r="I13247" s="12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  <c r="AA13247" s="3"/>
      <c r="AB13247" s="3"/>
      <c r="AC13247" s="3"/>
      <c r="AD13247" s="3"/>
      <c r="AE13247" s="3"/>
      <c r="AF13247" s="3"/>
      <c r="AG13247" s="3"/>
      <c r="AH13247" s="3"/>
    </row>
    <row r="13248" spans="1:34" ht="14.25" customHeight="1" x14ac:dyDescent="0.25">
      <c r="A13248" s="3"/>
      <c r="B13248" s="3"/>
      <c r="C13248" s="3"/>
      <c r="D13248" s="3"/>
      <c r="E13248" s="3"/>
      <c r="F13248" s="3"/>
      <c r="G13248" s="3"/>
      <c r="H13248" s="11"/>
      <c r="I13248" s="12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  <c r="AA13248" s="3"/>
      <c r="AB13248" s="3"/>
      <c r="AC13248" s="3"/>
      <c r="AD13248" s="3"/>
      <c r="AE13248" s="3"/>
      <c r="AF13248" s="3"/>
      <c r="AG13248" s="3"/>
      <c r="AH13248" s="3"/>
    </row>
    <row r="13249" spans="1:34" ht="14.25" customHeight="1" x14ac:dyDescent="0.25">
      <c r="A13249" s="3"/>
      <c r="B13249" s="3"/>
      <c r="C13249" s="3"/>
      <c r="D13249" s="3"/>
      <c r="E13249" s="3"/>
      <c r="F13249" s="3"/>
      <c r="G13249" s="3"/>
      <c r="H13249" s="11"/>
      <c r="I13249" s="12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  <c r="AA13249" s="3"/>
      <c r="AB13249" s="3"/>
      <c r="AC13249" s="3"/>
      <c r="AD13249" s="3"/>
      <c r="AE13249" s="3"/>
      <c r="AF13249" s="3"/>
      <c r="AG13249" s="3"/>
      <c r="AH13249" s="3"/>
    </row>
    <row r="13250" spans="1:34" ht="14.25" customHeight="1" x14ac:dyDescent="0.25">
      <c r="A13250" s="3"/>
      <c r="B13250" s="3"/>
      <c r="C13250" s="3"/>
      <c r="D13250" s="3"/>
      <c r="E13250" s="3"/>
      <c r="F13250" s="3"/>
      <c r="G13250" s="3"/>
      <c r="H13250" s="11"/>
      <c r="I13250" s="12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  <c r="AA13250" s="3"/>
      <c r="AB13250" s="3"/>
      <c r="AC13250" s="3"/>
      <c r="AD13250" s="3"/>
      <c r="AE13250" s="3"/>
      <c r="AF13250" s="3"/>
      <c r="AG13250" s="3"/>
      <c r="AH13250" s="3"/>
    </row>
    <row r="13251" spans="1:34" ht="14.25" customHeight="1" x14ac:dyDescent="0.25">
      <c r="A13251" s="3"/>
      <c r="B13251" s="3"/>
      <c r="C13251" s="3"/>
      <c r="D13251" s="3"/>
      <c r="E13251" s="3"/>
      <c r="F13251" s="3"/>
      <c r="G13251" s="3"/>
      <c r="H13251" s="11"/>
      <c r="I13251" s="12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  <c r="AA13251" s="3"/>
      <c r="AB13251" s="3"/>
      <c r="AC13251" s="3"/>
      <c r="AD13251" s="3"/>
      <c r="AE13251" s="3"/>
      <c r="AF13251" s="3"/>
      <c r="AG13251" s="3"/>
      <c r="AH13251" s="3"/>
    </row>
    <row r="13252" spans="1:34" ht="14.25" customHeight="1" x14ac:dyDescent="0.25">
      <c r="A13252" s="3"/>
      <c r="B13252" s="3"/>
      <c r="C13252" s="3"/>
      <c r="D13252" s="3"/>
      <c r="E13252" s="3"/>
      <c r="F13252" s="3"/>
      <c r="G13252" s="3"/>
      <c r="H13252" s="11"/>
      <c r="I13252" s="12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  <c r="AA13252" s="3"/>
      <c r="AB13252" s="3"/>
      <c r="AC13252" s="3"/>
      <c r="AD13252" s="3"/>
      <c r="AE13252" s="3"/>
      <c r="AF13252" s="3"/>
      <c r="AG13252" s="3"/>
      <c r="AH13252" s="3"/>
    </row>
    <row r="13253" spans="1:34" ht="14.25" customHeight="1" x14ac:dyDescent="0.25">
      <c r="A13253" s="3"/>
      <c r="B13253" s="3"/>
      <c r="C13253" s="3"/>
      <c r="D13253" s="3"/>
      <c r="E13253" s="3"/>
      <c r="F13253" s="3"/>
      <c r="G13253" s="3"/>
      <c r="H13253" s="11"/>
      <c r="I13253" s="12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  <c r="AA13253" s="3"/>
      <c r="AB13253" s="3"/>
      <c r="AC13253" s="3"/>
      <c r="AD13253" s="3"/>
      <c r="AE13253" s="3"/>
      <c r="AF13253" s="3"/>
      <c r="AG13253" s="3"/>
      <c r="AH13253" s="3"/>
    </row>
    <row r="13254" spans="1:34" ht="14.25" customHeight="1" x14ac:dyDescent="0.25">
      <c r="A13254" s="3"/>
      <c r="B13254" s="3"/>
      <c r="C13254" s="3"/>
      <c r="D13254" s="3"/>
      <c r="E13254" s="3"/>
      <c r="F13254" s="3"/>
      <c r="G13254" s="3"/>
      <c r="H13254" s="11"/>
      <c r="I13254" s="12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  <c r="AA13254" s="3"/>
      <c r="AB13254" s="3"/>
      <c r="AC13254" s="3"/>
      <c r="AD13254" s="3"/>
      <c r="AE13254" s="3"/>
      <c r="AF13254" s="3"/>
      <c r="AG13254" s="3"/>
      <c r="AH13254" s="3"/>
    </row>
    <row r="13255" spans="1:34" ht="14.25" customHeight="1" x14ac:dyDescent="0.25">
      <c r="A13255" s="3"/>
      <c r="B13255" s="3"/>
      <c r="C13255" s="3"/>
      <c r="D13255" s="3"/>
      <c r="E13255" s="3"/>
      <c r="F13255" s="3"/>
      <c r="G13255" s="3"/>
      <c r="H13255" s="11"/>
      <c r="I13255" s="12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  <c r="AA13255" s="3"/>
      <c r="AB13255" s="3"/>
      <c r="AC13255" s="3"/>
      <c r="AD13255" s="3"/>
      <c r="AE13255" s="3"/>
      <c r="AF13255" s="3"/>
      <c r="AG13255" s="3"/>
      <c r="AH13255" s="3"/>
    </row>
    <row r="13256" spans="1:34" ht="14.25" customHeight="1" x14ac:dyDescent="0.25">
      <c r="A13256" s="3"/>
      <c r="B13256" s="3"/>
      <c r="C13256" s="3"/>
      <c r="D13256" s="3"/>
      <c r="E13256" s="3"/>
      <c r="F13256" s="3"/>
      <c r="G13256" s="3"/>
      <c r="H13256" s="11"/>
      <c r="I13256" s="12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  <c r="AA13256" s="3"/>
      <c r="AB13256" s="3"/>
      <c r="AC13256" s="3"/>
      <c r="AD13256" s="3"/>
      <c r="AE13256" s="3"/>
      <c r="AF13256" s="3"/>
      <c r="AG13256" s="3"/>
      <c r="AH13256" s="3"/>
    </row>
    <row r="13257" spans="1:34" ht="14.25" customHeight="1" x14ac:dyDescent="0.25">
      <c r="A13257" s="3"/>
      <c r="B13257" s="3"/>
      <c r="C13257" s="3"/>
      <c r="D13257" s="3"/>
      <c r="E13257" s="3"/>
      <c r="F13257" s="3"/>
      <c r="G13257" s="3"/>
      <c r="H13257" s="11"/>
      <c r="I13257" s="12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  <c r="AA13257" s="3"/>
      <c r="AB13257" s="3"/>
      <c r="AC13257" s="3"/>
      <c r="AD13257" s="3"/>
      <c r="AE13257" s="3"/>
      <c r="AF13257" s="3"/>
      <c r="AG13257" s="3"/>
      <c r="AH13257" s="3"/>
    </row>
    <row r="13258" spans="1:34" ht="14.25" customHeight="1" x14ac:dyDescent="0.25">
      <c r="A13258" s="3"/>
      <c r="B13258" s="3"/>
      <c r="C13258" s="3"/>
      <c r="D13258" s="3"/>
      <c r="E13258" s="3"/>
      <c r="F13258" s="3"/>
      <c r="G13258" s="3"/>
      <c r="H13258" s="11"/>
      <c r="I13258" s="12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  <c r="AA13258" s="3"/>
      <c r="AB13258" s="3"/>
      <c r="AC13258" s="3"/>
      <c r="AD13258" s="3"/>
      <c r="AE13258" s="3"/>
      <c r="AF13258" s="3"/>
      <c r="AG13258" s="3"/>
      <c r="AH13258" s="3"/>
    </row>
    <row r="13259" spans="1:34" ht="14.25" customHeight="1" x14ac:dyDescent="0.25">
      <c r="A13259" s="3"/>
      <c r="B13259" s="3"/>
      <c r="C13259" s="3"/>
      <c r="D13259" s="3"/>
      <c r="E13259" s="3"/>
      <c r="F13259" s="3"/>
      <c r="G13259" s="3"/>
      <c r="H13259" s="11"/>
      <c r="I13259" s="12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  <c r="AA13259" s="3"/>
      <c r="AB13259" s="3"/>
      <c r="AC13259" s="3"/>
      <c r="AD13259" s="3"/>
      <c r="AE13259" s="3"/>
      <c r="AF13259" s="3"/>
      <c r="AG13259" s="3"/>
      <c r="AH13259" s="3"/>
    </row>
    <row r="13260" spans="1:34" ht="14.25" customHeight="1" x14ac:dyDescent="0.25">
      <c r="A13260" s="3"/>
      <c r="B13260" s="3"/>
      <c r="C13260" s="3"/>
      <c r="D13260" s="3"/>
      <c r="E13260" s="3"/>
      <c r="F13260" s="3"/>
      <c r="G13260" s="3"/>
      <c r="H13260" s="11"/>
      <c r="I13260" s="12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  <c r="AA13260" s="3"/>
      <c r="AB13260" s="3"/>
      <c r="AC13260" s="3"/>
      <c r="AD13260" s="3"/>
      <c r="AE13260" s="3"/>
      <c r="AF13260" s="3"/>
      <c r="AG13260" s="3"/>
      <c r="AH13260" s="3"/>
    </row>
    <row r="13261" spans="1:34" ht="14.25" customHeight="1" x14ac:dyDescent="0.25">
      <c r="A13261" s="3"/>
      <c r="B13261" s="3"/>
      <c r="C13261" s="3"/>
      <c r="D13261" s="3"/>
      <c r="E13261" s="3"/>
      <c r="F13261" s="3"/>
      <c r="G13261" s="3"/>
      <c r="H13261" s="11"/>
      <c r="I13261" s="12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  <c r="AA13261" s="3"/>
      <c r="AB13261" s="3"/>
      <c r="AC13261" s="3"/>
      <c r="AD13261" s="3"/>
      <c r="AE13261" s="3"/>
      <c r="AF13261" s="3"/>
      <c r="AG13261" s="3"/>
      <c r="AH13261" s="3"/>
    </row>
    <row r="13262" spans="1:34" ht="14.25" customHeight="1" x14ac:dyDescent="0.25">
      <c r="A13262" s="3"/>
      <c r="B13262" s="3"/>
      <c r="C13262" s="3"/>
      <c r="D13262" s="3"/>
      <c r="E13262" s="3"/>
      <c r="F13262" s="3"/>
      <c r="G13262" s="3"/>
      <c r="H13262" s="11"/>
      <c r="I13262" s="12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  <c r="AA13262" s="3"/>
      <c r="AB13262" s="3"/>
      <c r="AC13262" s="3"/>
      <c r="AD13262" s="3"/>
      <c r="AE13262" s="3"/>
      <c r="AF13262" s="3"/>
      <c r="AG13262" s="3"/>
      <c r="AH13262" s="3"/>
    </row>
    <row r="13263" spans="1:34" ht="14.25" customHeight="1" x14ac:dyDescent="0.25">
      <c r="A13263" s="3"/>
      <c r="B13263" s="3"/>
      <c r="C13263" s="3"/>
      <c r="D13263" s="3"/>
      <c r="E13263" s="3"/>
      <c r="F13263" s="3"/>
      <c r="G13263" s="3"/>
      <c r="H13263" s="11"/>
      <c r="I13263" s="12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  <c r="AA13263" s="3"/>
      <c r="AB13263" s="3"/>
      <c r="AC13263" s="3"/>
      <c r="AD13263" s="3"/>
      <c r="AE13263" s="3"/>
      <c r="AF13263" s="3"/>
      <c r="AG13263" s="3"/>
      <c r="AH13263" s="3"/>
    </row>
    <row r="13264" spans="1:34" ht="14.25" customHeight="1" x14ac:dyDescent="0.25">
      <c r="A13264" s="3"/>
      <c r="B13264" s="3"/>
      <c r="C13264" s="3"/>
      <c r="D13264" s="3"/>
      <c r="E13264" s="3"/>
      <c r="F13264" s="3"/>
      <c r="G13264" s="3"/>
      <c r="H13264" s="11"/>
      <c r="I13264" s="12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  <c r="AA13264" s="3"/>
      <c r="AB13264" s="3"/>
      <c r="AC13264" s="3"/>
      <c r="AD13264" s="3"/>
      <c r="AE13264" s="3"/>
      <c r="AF13264" s="3"/>
      <c r="AG13264" s="3"/>
      <c r="AH13264" s="3"/>
    </row>
    <row r="13265" spans="1:34" ht="14.25" customHeight="1" x14ac:dyDescent="0.25">
      <c r="A13265" s="3"/>
      <c r="B13265" s="3"/>
      <c r="C13265" s="3"/>
      <c r="D13265" s="3"/>
      <c r="E13265" s="3"/>
      <c r="F13265" s="3"/>
      <c r="G13265" s="3"/>
      <c r="H13265" s="11"/>
      <c r="I13265" s="12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  <c r="AA13265" s="3"/>
      <c r="AB13265" s="3"/>
      <c r="AC13265" s="3"/>
      <c r="AD13265" s="3"/>
      <c r="AE13265" s="3"/>
      <c r="AF13265" s="3"/>
      <c r="AG13265" s="3"/>
      <c r="AH13265" s="3"/>
    </row>
    <row r="13266" spans="1:34" ht="14.25" customHeight="1" x14ac:dyDescent="0.25">
      <c r="A13266" s="3"/>
      <c r="B13266" s="3"/>
      <c r="C13266" s="3"/>
      <c r="D13266" s="3"/>
      <c r="E13266" s="3"/>
      <c r="F13266" s="3"/>
      <c r="G13266" s="3"/>
      <c r="H13266" s="11"/>
      <c r="I13266" s="12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  <c r="AA13266" s="3"/>
      <c r="AB13266" s="3"/>
      <c r="AC13266" s="3"/>
      <c r="AD13266" s="3"/>
      <c r="AE13266" s="3"/>
      <c r="AF13266" s="3"/>
      <c r="AG13266" s="3"/>
      <c r="AH13266" s="3"/>
    </row>
    <row r="13267" spans="1:34" ht="14.25" customHeight="1" x14ac:dyDescent="0.25">
      <c r="A13267" s="3"/>
      <c r="B13267" s="3"/>
      <c r="C13267" s="3"/>
      <c r="D13267" s="3"/>
      <c r="E13267" s="3"/>
      <c r="F13267" s="3"/>
      <c r="G13267" s="3"/>
      <c r="H13267" s="11"/>
      <c r="I13267" s="12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  <c r="AA13267" s="3"/>
      <c r="AB13267" s="3"/>
      <c r="AC13267" s="3"/>
      <c r="AD13267" s="3"/>
      <c r="AE13267" s="3"/>
      <c r="AF13267" s="3"/>
      <c r="AG13267" s="3"/>
      <c r="AH13267" s="3"/>
    </row>
    <row r="13268" spans="1:34" ht="14.25" customHeight="1" x14ac:dyDescent="0.25">
      <c r="A13268" s="3"/>
      <c r="B13268" s="3"/>
      <c r="C13268" s="3"/>
      <c r="D13268" s="3"/>
      <c r="E13268" s="3"/>
      <c r="F13268" s="3"/>
      <c r="G13268" s="3"/>
      <c r="H13268" s="11"/>
      <c r="I13268" s="12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  <c r="AA13268" s="3"/>
      <c r="AB13268" s="3"/>
      <c r="AC13268" s="3"/>
      <c r="AD13268" s="3"/>
      <c r="AE13268" s="3"/>
      <c r="AF13268" s="3"/>
      <c r="AG13268" s="3"/>
      <c r="AH13268" s="3"/>
    </row>
    <row r="13269" spans="1:34" ht="14.25" customHeight="1" x14ac:dyDescent="0.25">
      <c r="A13269" s="3"/>
      <c r="B13269" s="3"/>
      <c r="C13269" s="3"/>
      <c r="D13269" s="3"/>
      <c r="E13269" s="3"/>
      <c r="F13269" s="3"/>
      <c r="G13269" s="3"/>
      <c r="H13269" s="11"/>
      <c r="I13269" s="12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  <c r="AA13269" s="3"/>
      <c r="AB13269" s="3"/>
      <c r="AC13269" s="3"/>
      <c r="AD13269" s="3"/>
      <c r="AE13269" s="3"/>
      <c r="AF13269" s="3"/>
      <c r="AG13269" s="3"/>
      <c r="AH13269" s="3"/>
    </row>
    <row r="13270" spans="1:34" ht="14.25" customHeight="1" x14ac:dyDescent="0.25">
      <c r="A13270" s="3"/>
      <c r="B13270" s="3"/>
      <c r="C13270" s="3"/>
      <c r="D13270" s="3"/>
      <c r="E13270" s="3"/>
      <c r="F13270" s="3"/>
      <c r="G13270" s="3"/>
      <c r="H13270" s="11"/>
      <c r="I13270" s="12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  <c r="AA13270" s="3"/>
      <c r="AB13270" s="3"/>
      <c r="AC13270" s="3"/>
      <c r="AD13270" s="3"/>
      <c r="AE13270" s="3"/>
      <c r="AF13270" s="3"/>
      <c r="AG13270" s="3"/>
      <c r="AH13270" s="3"/>
    </row>
    <row r="13271" spans="1:34" ht="14.25" customHeight="1" x14ac:dyDescent="0.25">
      <c r="A13271" s="3"/>
      <c r="B13271" s="3"/>
      <c r="C13271" s="3"/>
      <c r="D13271" s="3"/>
      <c r="E13271" s="3"/>
      <c r="F13271" s="3"/>
      <c r="G13271" s="3"/>
      <c r="H13271" s="11"/>
      <c r="I13271" s="12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  <c r="AA13271" s="3"/>
      <c r="AB13271" s="3"/>
      <c r="AC13271" s="3"/>
      <c r="AD13271" s="3"/>
      <c r="AE13271" s="3"/>
      <c r="AF13271" s="3"/>
      <c r="AG13271" s="3"/>
      <c r="AH13271" s="3"/>
    </row>
    <row r="13272" spans="1:34" ht="14.25" customHeight="1" x14ac:dyDescent="0.25">
      <c r="A13272" s="3"/>
      <c r="B13272" s="3"/>
      <c r="C13272" s="3"/>
      <c r="D13272" s="3"/>
      <c r="E13272" s="3"/>
      <c r="F13272" s="3"/>
      <c r="G13272" s="3"/>
      <c r="H13272" s="11"/>
      <c r="I13272" s="12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  <c r="AA13272" s="3"/>
      <c r="AB13272" s="3"/>
      <c r="AC13272" s="3"/>
      <c r="AD13272" s="3"/>
      <c r="AE13272" s="3"/>
      <c r="AF13272" s="3"/>
      <c r="AG13272" s="3"/>
      <c r="AH13272" s="3"/>
    </row>
    <row r="13273" spans="1:34" ht="14.25" customHeight="1" x14ac:dyDescent="0.25">
      <c r="A13273" s="3"/>
      <c r="B13273" s="3"/>
      <c r="C13273" s="3"/>
      <c r="D13273" s="3"/>
      <c r="E13273" s="3"/>
      <c r="F13273" s="3"/>
      <c r="G13273" s="3"/>
      <c r="H13273" s="11"/>
      <c r="I13273" s="12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  <c r="AA13273" s="3"/>
      <c r="AB13273" s="3"/>
      <c r="AC13273" s="3"/>
      <c r="AD13273" s="3"/>
      <c r="AE13273" s="3"/>
      <c r="AF13273" s="3"/>
      <c r="AG13273" s="3"/>
      <c r="AH13273" s="3"/>
    </row>
    <row r="13274" spans="1:34" ht="14.25" customHeight="1" x14ac:dyDescent="0.25">
      <c r="A13274" s="3"/>
      <c r="B13274" s="3"/>
      <c r="C13274" s="3"/>
      <c r="D13274" s="3"/>
      <c r="E13274" s="3"/>
      <c r="F13274" s="3"/>
      <c r="G13274" s="3"/>
      <c r="H13274" s="11"/>
      <c r="I13274" s="12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  <c r="AA13274" s="3"/>
      <c r="AB13274" s="3"/>
      <c r="AC13274" s="3"/>
      <c r="AD13274" s="3"/>
      <c r="AE13274" s="3"/>
      <c r="AF13274" s="3"/>
      <c r="AG13274" s="3"/>
      <c r="AH13274" s="3"/>
    </row>
    <row r="13275" spans="1:34" ht="14.25" customHeight="1" x14ac:dyDescent="0.25">
      <c r="A13275" s="3"/>
      <c r="B13275" s="3"/>
      <c r="C13275" s="3"/>
      <c r="D13275" s="3"/>
      <c r="E13275" s="3"/>
      <c r="F13275" s="3"/>
      <c r="G13275" s="3"/>
      <c r="H13275" s="11"/>
      <c r="I13275" s="12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  <c r="AA13275" s="3"/>
      <c r="AB13275" s="3"/>
      <c r="AC13275" s="3"/>
      <c r="AD13275" s="3"/>
      <c r="AE13275" s="3"/>
      <c r="AF13275" s="3"/>
      <c r="AG13275" s="3"/>
      <c r="AH13275" s="3"/>
    </row>
    <row r="13276" spans="1:34" ht="14.25" customHeight="1" x14ac:dyDescent="0.25">
      <c r="A13276" s="3"/>
      <c r="B13276" s="3"/>
      <c r="C13276" s="3"/>
      <c r="D13276" s="3"/>
      <c r="E13276" s="3"/>
      <c r="F13276" s="3"/>
      <c r="G13276" s="3"/>
      <c r="H13276" s="11"/>
      <c r="I13276" s="12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  <c r="AA13276" s="3"/>
      <c r="AB13276" s="3"/>
      <c r="AC13276" s="3"/>
      <c r="AD13276" s="3"/>
      <c r="AE13276" s="3"/>
      <c r="AF13276" s="3"/>
      <c r="AG13276" s="3"/>
      <c r="AH13276" s="3"/>
    </row>
    <row r="13277" spans="1:34" ht="14.25" customHeight="1" x14ac:dyDescent="0.25">
      <c r="A13277" s="3"/>
      <c r="B13277" s="3"/>
      <c r="C13277" s="3"/>
      <c r="D13277" s="3"/>
      <c r="E13277" s="3"/>
      <c r="F13277" s="3"/>
      <c r="G13277" s="3"/>
      <c r="H13277" s="11"/>
      <c r="I13277" s="12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  <c r="AA13277" s="3"/>
      <c r="AB13277" s="3"/>
      <c r="AC13277" s="3"/>
      <c r="AD13277" s="3"/>
      <c r="AE13277" s="3"/>
      <c r="AF13277" s="3"/>
      <c r="AG13277" s="3"/>
      <c r="AH13277" s="3"/>
    </row>
    <row r="13278" spans="1:34" ht="14.25" customHeight="1" x14ac:dyDescent="0.25">
      <c r="A13278" s="3"/>
      <c r="B13278" s="3"/>
      <c r="C13278" s="3"/>
      <c r="D13278" s="3"/>
      <c r="E13278" s="3"/>
      <c r="F13278" s="3"/>
      <c r="G13278" s="3"/>
      <c r="H13278" s="11"/>
      <c r="I13278" s="12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  <c r="AA13278" s="3"/>
      <c r="AB13278" s="3"/>
      <c r="AC13278" s="3"/>
      <c r="AD13278" s="3"/>
      <c r="AE13278" s="3"/>
      <c r="AF13278" s="3"/>
      <c r="AG13278" s="3"/>
      <c r="AH13278" s="3"/>
    </row>
    <row r="13279" spans="1:34" ht="14.25" customHeight="1" x14ac:dyDescent="0.25">
      <c r="A13279" s="3"/>
      <c r="B13279" s="3"/>
      <c r="C13279" s="3"/>
      <c r="D13279" s="3"/>
      <c r="E13279" s="3"/>
      <c r="F13279" s="3"/>
      <c r="G13279" s="3"/>
      <c r="H13279" s="11"/>
      <c r="I13279" s="12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  <c r="AA13279" s="3"/>
      <c r="AB13279" s="3"/>
      <c r="AC13279" s="3"/>
      <c r="AD13279" s="3"/>
      <c r="AE13279" s="3"/>
      <c r="AF13279" s="3"/>
      <c r="AG13279" s="3"/>
      <c r="AH13279" s="3"/>
    </row>
    <row r="13280" spans="1:34" ht="14.25" customHeight="1" x14ac:dyDescent="0.25">
      <c r="A13280" s="3"/>
      <c r="B13280" s="3"/>
      <c r="C13280" s="3"/>
      <c r="D13280" s="3"/>
      <c r="E13280" s="3"/>
      <c r="F13280" s="3"/>
      <c r="G13280" s="3"/>
      <c r="H13280" s="11"/>
      <c r="I13280" s="12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  <c r="AA13280" s="3"/>
      <c r="AB13280" s="3"/>
      <c r="AC13280" s="3"/>
      <c r="AD13280" s="3"/>
      <c r="AE13280" s="3"/>
      <c r="AF13280" s="3"/>
      <c r="AG13280" s="3"/>
      <c r="AH13280" s="3"/>
    </row>
    <row r="13281" spans="1:34" ht="14.25" customHeight="1" x14ac:dyDescent="0.25">
      <c r="A13281" s="3"/>
      <c r="B13281" s="3"/>
      <c r="C13281" s="3"/>
      <c r="D13281" s="3"/>
      <c r="E13281" s="3"/>
      <c r="F13281" s="3"/>
      <c r="G13281" s="3"/>
      <c r="H13281" s="11"/>
      <c r="I13281" s="12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  <c r="AA13281" s="3"/>
      <c r="AB13281" s="3"/>
      <c r="AC13281" s="3"/>
      <c r="AD13281" s="3"/>
      <c r="AE13281" s="3"/>
      <c r="AF13281" s="3"/>
      <c r="AG13281" s="3"/>
      <c r="AH13281" s="3"/>
    </row>
    <row r="13282" spans="1:34" ht="14.25" customHeight="1" x14ac:dyDescent="0.25">
      <c r="A13282" s="3"/>
      <c r="B13282" s="3"/>
      <c r="C13282" s="3"/>
      <c r="D13282" s="3"/>
      <c r="E13282" s="3"/>
      <c r="F13282" s="3"/>
      <c r="G13282" s="3"/>
      <c r="H13282" s="11"/>
      <c r="I13282" s="12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  <c r="AA13282" s="3"/>
      <c r="AB13282" s="3"/>
      <c r="AC13282" s="3"/>
      <c r="AD13282" s="3"/>
      <c r="AE13282" s="3"/>
      <c r="AF13282" s="3"/>
      <c r="AG13282" s="3"/>
      <c r="AH13282" s="3"/>
    </row>
    <row r="13283" spans="1:34" ht="14.25" customHeight="1" x14ac:dyDescent="0.25">
      <c r="A13283" s="3"/>
      <c r="B13283" s="3"/>
      <c r="C13283" s="3"/>
      <c r="D13283" s="3"/>
      <c r="E13283" s="3"/>
      <c r="F13283" s="3"/>
      <c r="G13283" s="3"/>
      <c r="H13283" s="11"/>
      <c r="I13283" s="12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  <c r="AA13283" s="3"/>
      <c r="AB13283" s="3"/>
      <c r="AC13283" s="3"/>
      <c r="AD13283" s="3"/>
      <c r="AE13283" s="3"/>
      <c r="AF13283" s="3"/>
      <c r="AG13283" s="3"/>
      <c r="AH13283" s="3"/>
    </row>
    <row r="13284" spans="1:34" ht="14.25" customHeight="1" x14ac:dyDescent="0.25">
      <c r="A13284" s="3"/>
      <c r="B13284" s="3"/>
      <c r="C13284" s="3"/>
      <c r="D13284" s="3"/>
      <c r="E13284" s="3"/>
      <c r="F13284" s="3"/>
      <c r="G13284" s="3"/>
      <c r="H13284" s="11"/>
      <c r="I13284" s="12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  <c r="AA13284" s="3"/>
      <c r="AB13284" s="3"/>
      <c r="AC13284" s="3"/>
      <c r="AD13284" s="3"/>
      <c r="AE13284" s="3"/>
      <c r="AF13284" s="3"/>
      <c r="AG13284" s="3"/>
      <c r="AH13284" s="3"/>
    </row>
    <row r="13285" spans="1:34" ht="14.25" customHeight="1" x14ac:dyDescent="0.25">
      <c r="A13285" s="3"/>
      <c r="B13285" s="3"/>
      <c r="C13285" s="3"/>
      <c r="D13285" s="3"/>
      <c r="E13285" s="3"/>
      <c r="F13285" s="3"/>
      <c r="G13285" s="3"/>
      <c r="H13285" s="11"/>
      <c r="I13285" s="12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  <c r="AA13285" s="3"/>
      <c r="AB13285" s="3"/>
      <c r="AC13285" s="3"/>
      <c r="AD13285" s="3"/>
      <c r="AE13285" s="3"/>
      <c r="AF13285" s="3"/>
      <c r="AG13285" s="3"/>
      <c r="AH13285" s="3"/>
    </row>
    <row r="13286" spans="1:34" ht="14.25" customHeight="1" x14ac:dyDescent="0.25">
      <c r="A13286" s="3"/>
      <c r="B13286" s="3"/>
      <c r="C13286" s="3"/>
      <c r="D13286" s="3"/>
      <c r="E13286" s="3"/>
      <c r="F13286" s="3"/>
      <c r="G13286" s="3"/>
      <c r="H13286" s="11"/>
      <c r="I13286" s="12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  <c r="AA13286" s="3"/>
      <c r="AB13286" s="3"/>
      <c r="AC13286" s="3"/>
      <c r="AD13286" s="3"/>
      <c r="AE13286" s="3"/>
      <c r="AF13286" s="3"/>
      <c r="AG13286" s="3"/>
      <c r="AH13286" s="3"/>
    </row>
    <row r="13287" spans="1:34" ht="14.25" customHeight="1" x14ac:dyDescent="0.25">
      <c r="A13287" s="3"/>
      <c r="B13287" s="3"/>
      <c r="C13287" s="3"/>
      <c r="D13287" s="3"/>
      <c r="E13287" s="3"/>
      <c r="F13287" s="3"/>
      <c r="G13287" s="3"/>
      <c r="H13287" s="11"/>
      <c r="I13287" s="12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  <c r="AA13287" s="3"/>
      <c r="AB13287" s="3"/>
      <c r="AC13287" s="3"/>
      <c r="AD13287" s="3"/>
      <c r="AE13287" s="3"/>
      <c r="AF13287" s="3"/>
      <c r="AG13287" s="3"/>
      <c r="AH13287" s="3"/>
    </row>
    <row r="13288" spans="1:34" ht="14.25" customHeight="1" x14ac:dyDescent="0.25">
      <c r="A13288" s="3"/>
      <c r="B13288" s="3"/>
      <c r="C13288" s="3"/>
      <c r="D13288" s="3"/>
      <c r="E13288" s="3"/>
      <c r="F13288" s="3"/>
      <c r="G13288" s="3"/>
      <c r="H13288" s="11"/>
      <c r="I13288" s="12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  <c r="AA13288" s="3"/>
      <c r="AB13288" s="3"/>
      <c r="AC13288" s="3"/>
      <c r="AD13288" s="3"/>
      <c r="AE13288" s="3"/>
      <c r="AF13288" s="3"/>
      <c r="AG13288" s="3"/>
      <c r="AH13288" s="3"/>
    </row>
    <row r="13289" spans="1:34" ht="14.25" customHeight="1" x14ac:dyDescent="0.25">
      <c r="A13289" s="3"/>
      <c r="B13289" s="3"/>
      <c r="C13289" s="3"/>
      <c r="D13289" s="3"/>
      <c r="E13289" s="3"/>
      <c r="F13289" s="3"/>
      <c r="G13289" s="3"/>
      <c r="H13289" s="11"/>
      <c r="I13289" s="12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  <c r="AA13289" s="3"/>
      <c r="AB13289" s="3"/>
      <c r="AC13289" s="3"/>
      <c r="AD13289" s="3"/>
      <c r="AE13289" s="3"/>
      <c r="AF13289" s="3"/>
      <c r="AG13289" s="3"/>
      <c r="AH13289" s="3"/>
    </row>
    <row r="13290" spans="1:34" ht="14.25" customHeight="1" x14ac:dyDescent="0.25">
      <c r="A13290" s="3"/>
      <c r="B13290" s="3"/>
      <c r="C13290" s="3"/>
      <c r="D13290" s="3"/>
      <c r="E13290" s="3"/>
      <c r="F13290" s="3"/>
      <c r="G13290" s="3"/>
      <c r="H13290" s="11"/>
      <c r="I13290" s="12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  <c r="AA13290" s="3"/>
      <c r="AB13290" s="3"/>
      <c r="AC13290" s="3"/>
      <c r="AD13290" s="3"/>
      <c r="AE13290" s="3"/>
      <c r="AF13290" s="3"/>
      <c r="AG13290" s="3"/>
      <c r="AH13290" s="3"/>
    </row>
    <row r="13291" spans="1:34" ht="14.25" customHeight="1" x14ac:dyDescent="0.25">
      <c r="A13291" s="3"/>
      <c r="B13291" s="3"/>
      <c r="C13291" s="3"/>
      <c r="D13291" s="3"/>
      <c r="E13291" s="3"/>
      <c r="F13291" s="3"/>
      <c r="G13291" s="3"/>
      <c r="H13291" s="11"/>
      <c r="I13291" s="12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  <c r="AA13291" s="3"/>
      <c r="AB13291" s="3"/>
      <c r="AC13291" s="3"/>
      <c r="AD13291" s="3"/>
      <c r="AE13291" s="3"/>
      <c r="AF13291" s="3"/>
      <c r="AG13291" s="3"/>
      <c r="AH13291" s="3"/>
    </row>
    <row r="13292" spans="1:34" ht="14.25" customHeight="1" x14ac:dyDescent="0.25">
      <c r="A13292" s="3"/>
      <c r="B13292" s="3"/>
      <c r="C13292" s="3"/>
      <c r="D13292" s="3"/>
      <c r="E13292" s="3"/>
      <c r="F13292" s="3"/>
      <c r="G13292" s="3"/>
      <c r="H13292" s="11"/>
      <c r="I13292" s="12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  <c r="AA13292" s="3"/>
      <c r="AB13292" s="3"/>
      <c r="AC13292" s="3"/>
      <c r="AD13292" s="3"/>
      <c r="AE13292" s="3"/>
      <c r="AF13292" s="3"/>
      <c r="AG13292" s="3"/>
      <c r="AH13292" s="3"/>
    </row>
    <row r="13293" spans="1:34" ht="14.25" customHeight="1" x14ac:dyDescent="0.25">
      <c r="A13293" s="3"/>
      <c r="B13293" s="3"/>
      <c r="C13293" s="3"/>
      <c r="D13293" s="3"/>
      <c r="E13293" s="3"/>
      <c r="F13293" s="3"/>
      <c r="G13293" s="3"/>
      <c r="H13293" s="11"/>
      <c r="I13293" s="12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  <c r="AA13293" s="3"/>
      <c r="AB13293" s="3"/>
      <c r="AC13293" s="3"/>
      <c r="AD13293" s="3"/>
      <c r="AE13293" s="3"/>
      <c r="AF13293" s="3"/>
      <c r="AG13293" s="3"/>
      <c r="AH13293" s="3"/>
    </row>
    <row r="13294" spans="1:34" ht="14.25" customHeight="1" x14ac:dyDescent="0.25">
      <c r="A13294" s="3"/>
      <c r="B13294" s="3"/>
      <c r="C13294" s="3"/>
      <c r="D13294" s="3"/>
      <c r="E13294" s="3"/>
      <c r="F13294" s="3"/>
      <c r="G13294" s="3"/>
      <c r="H13294" s="11"/>
      <c r="I13294" s="12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  <c r="AA13294" s="3"/>
      <c r="AB13294" s="3"/>
      <c r="AC13294" s="3"/>
      <c r="AD13294" s="3"/>
      <c r="AE13294" s="3"/>
      <c r="AF13294" s="3"/>
      <c r="AG13294" s="3"/>
      <c r="AH13294" s="3"/>
    </row>
    <row r="13295" spans="1:34" ht="14.25" customHeight="1" x14ac:dyDescent="0.25">
      <c r="A13295" s="3"/>
      <c r="B13295" s="3"/>
      <c r="C13295" s="3"/>
      <c r="D13295" s="3"/>
      <c r="E13295" s="3"/>
      <c r="F13295" s="3"/>
      <c r="G13295" s="3"/>
      <c r="H13295" s="11"/>
      <c r="I13295" s="12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  <c r="AA13295" s="3"/>
      <c r="AB13295" s="3"/>
      <c r="AC13295" s="3"/>
      <c r="AD13295" s="3"/>
      <c r="AE13295" s="3"/>
      <c r="AF13295" s="3"/>
      <c r="AG13295" s="3"/>
      <c r="AH13295" s="3"/>
    </row>
    <row r="13296" spans="1:34" ht="14.25" customHeight="1" x14ac:dyDescent="0.25">
      <c r="A13296" s="3"/>
      <c r="B13296" s="3"/>
      <c r="C13296" s="3"/>
      <c r="D13296" s="3"/>
      <c r="E13296" s="3"/>
      <c r="F13296" s="3"/>
      <c r="G13296" s="3"/>
      <c r="H13296" s="11"/>
      <c r="I13296" s="12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  <c r="AA13296" s="3"/>
      <c r="AB13296" s="3"/>
      <c r="AC13296" s="3"/>
      <c r="AD13296" s="3"/>
      <c r="AE13296" s="3"/>
      <c r="AF13296" s="3"/>
      <c r="AG13296" s="3"/>
      <c r="AH13296" s="3"/>
    </row>
    <row r="13297" spans="1:34" ht="14.25" customHeight="1" x14ac:dyDescent="0.25">
      <c r="A13297" s="3"/>
      <c r="B13297" s="3"/>
      <c r="C13297" s="3"/>
      <c r="D13297" s="3"/>
      <c r="E13297" s="3"/>
      <c r="F13297" s="3"/>
      <c r="G13297" s="3"/>
      <c r="H13297" s="11"/>
      <c r="I13297" s="12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  <c r="AA13297" s="3"/>
      <c r="AB13297" s="3"/>
      <c r="AC13297" s="3"/>
      <c r="AD13297" s="3"/>
      <c r="AE13297" s="3"/>
      <c r="AF13297" s="3"/>
      <c r="AG13297" s="3"/>
      <c r="AH13297" s="3"/>
    </row>
    <row r="13298" spans="1:34" ht="14.25" customHeight="1" x14ac:dyDescent="0.25">
      <c r="A13298" s="3"/>
      <c r="B13298" s="3"/>
      <c r="C13298" s="3"/>
      <c r="D13298" s="3"/>
      <c r="E13298" s="3"/>
      <c r="F13298" s="3"/>
      <c r="G13298" s="3"/>
      <c r="H13298" s="11"/>
      <c r="I13298" s="12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  <c r="AA13298" s="3"/>
      <c r="AB13298" s="3"/>
      <c r="AC13298" s="3"/>
      <c r="AD13298" s="3"/>
      <c r="AE13298" s="3"/>
      <c r="AF13298" s="3"/>
      <c r="AG13298" s="3"/>
      <c r="AH13298" s="3"/>
    </row>
    <row r="13299" spans="1:34" ht="14.25" customHeight="1" x14ac:dyDescent="0.25">
      <c r="A13299" s="3"/>
      <c r="B13299" s="3"/>
      <c r="C13299" s="3"/>
      <c r="D13299" s="3"/>
      <c r="E13299" s="3"/>
      <c r="F13299" s="3"/>
      <c r="G13299" s="3"/>
      <c r="H13299" s="11"/>
      <c r="I13299" s="12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  <c r="AA13299" s="3"/>
      <c r="AB13299" s="3"/>
      <c r="AC13299" s="3"/>
      <c r="AD13299" s="3"/>
      <c r="AE13299" s="3"/>
      <c r="AF13299" s="3"/>
      <c r="AG13299" s="3"/>
      <c r="AH13299" s="3"/>
    </row>
    <row r="13300" spans="1:34" ht="14.25" customHeight="1" x14ac:dyDescent="0.25">
      <c r="A13300" s="3"/>
      <c r="B13300" s="3"/>
      <c r="C13300" s="3"/>
      <c r="D13300" s="3"/>
      <c r="E13300" s="3"/>
      <c r="F13300" s="3"/>
      <c r="G13300" s="3"/>
      <c r="H13300" s="11"/>
      <c r="I13300" s="12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  <c r="AA13300" s="3"/>
      <c r="AB13300" s="3"/>
      <c r="AC13300" s="3"/>
      <c r="AD13300" s="3"/>
      <c r="AE13300" s="3"/>
      <c r="AF13300" s="3"/>
      <c r="AG13300" s="3"/>
      <c r="AH13300" s="3"/>
    </row>
    <row r="13301" spans="1:34" ht="14.25" customHeight="1" x14ac:dyDescent="0.25">
      <c r="A13301" s="3"/>
      <c r="B13301" s="3"/>
      <c r="C13301" s="3"/>
      <c r="D13301" s="3"/>
      <c r="E13301" s="3"/>
      <c r="F13301" s="3"/>
      <c r="G13301" s="3"/>
      <c r="H13301" s="11"/>
      <c r="I13301" s="12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  <c r="AA13301" s="3"/>
      <c r="AB13301" s="3"/>
      <c r="AC13301" s="3"/>
      <c r="AD13301" s="3"/>
      <c r="AE13301" s="3"/>
      <c r="AF13301" s="3"/>
      <c r="AG13301" s="3"/>
      <c r="AH13301" s="3"/>
    </row>
    <row r="13302" spans="1:34" ht="14.25" customHeight="1" x14ac:dyDescent="0.25">
      <c r="A13302" s="3"/>
      <c r="B13302" s="3"/>
      <c r="C13302" s="3"/>
      <c r="D13302" s="3"/>
      <c r="E13302" s="3"/>
      <c r="F13302" s="3"/>
      <c r="G13302" s="3"/>
      <c r="H13302" s="11"/>
      <c r="I13302" s="12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  <c r="AA13302" s="3"/>
      <c r="AB13302" s="3"/>
      <c r="AC13302" s="3"/>
      <c r="AD13302" s="3"/>
      <c r="AE13302" s="3"/>
      <c r="AF13302" s="3"/>
      <c r="AG13302" s="3"/>
      <c r="AH13302" s="3"/>
    </row>
    <row r="13303" spans="1:34" ht="14.25" customHeight="1" x14ac:dyDescent="0.25">
      <c r="A13303" s="3"/>
      <c r="B13303" s="3"/>
      <c r="C13303" s="3"/>
      <c r="D13303" s="3"/>
      <c r="E13303" s="3"/>
      <c r="F13303" s="3"/>
      <c r="G13303" s="3"/>
      <c r="H13303" s="11"/>
      <c r="I13303" s="12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  <c r="AA13303" s="3"/>
      <c r="AB13303" s="3"/>
      <c r="AC13303" s="3"/>
      <c r="AD13303" s="3"/>
      <c r="AE13303" s="3"/>
      <c r="AF13303" s="3"/>
      <c r="AG13303" s="3"/>
      <c r="AH13303" s="3"/>
    </row>
    <row r="13304" spans="1:34" ht="14.25" customHeight="1" x14ac:dyDescent="0.25">
      <c r="A13304" s="3"/>
      <c r="B13304" s="3"/>
      <c r="C13304" s="3"/>
      <c r="D13304" s="3"/>
      <c r="E13304" s="3"/>
      <c r="F13304" s="3"/>
      <c r="G13304" s="3"/>
      <c r="H13304" s="11"/>
      <c r="I13304" s="12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  <c r="AA13304" s="3"/>
      <c r="AB13304" s="3"/>
      <c r="AC13304" s="3"/>
      <c r="AD13304" s="3"/>
      <c r="AE13304" s="3"/>
      <c r="AF13304" s="3"/>
      <c r="AG13304" s="3"/>
      <c r="AH13304" s="3"/>
    </row>
    <row r="13305" spans="1:34" ht="14.25" customHeight="1" x14ac:dyDescent="0.25">
      <c r="A13305" s="3"/>
      <c r="B13305" s="3"/>
      <c r="C13305" s="3"/>
      <c r="D13305" s="3"/>
      <c r="E13305" s="3"/>
      <c r="F13305" s="3"/>
      <c r="G13305" s="3"/>
      <c r="H13305" s="11"/>
      <c r="I13305" s="12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  <c r="AA13305" s="3"/>
      <c r="AB13305" s="3"/>
      <c r="AC13305" s="3"/>
      <c r="AD13305" s="3"/>
      <c r="AE13305" s="3"/>
      <c r="AF13305" s="3"/>
      <c r="AG13305" s="3"/>
      <c r="AH13305" s="3"/>
    </row>
    <row r="13306" spans="1:34" ht="14.25" customHeight="1" x14ac:dyDescent="0.25">
      <c r="A13306" s="3"/>
      <c r="B13306" s="3"/>
      <c r="C13306" s="3"/>
      <c r="D13306" s="3"/>
      <c r="E13306" s="3"/>
      <c r="F13306" s="3"/>
      <c r="G13306" s="3"/>
      <c r="H13306" s="11"/>
      <c r="I13306" s="12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  <c r="AA13306" s="3"/>
      <c r="AB13306" s="3"/>
      <c r="AC13306" s="3"/>
      <c r="AD13306" s="3"/>
      <c r="AE13306" s="3"/>
      <c r="AF13306" s="3"/>
      <c r="AG13306" s="3"/>
      <c r="AH13306" s="3"/>
    </row>
    <row r="13307" spans="1:34" ht="14.25" customHeight="1" x14ac:dyDescent="0.25">
      <c r="A13307" s="3"/>
      <c r="B13307" s="3"/>
      <c r="C13307" s="3"/>
      <c r="D13307" s="3"/>
      <c r="E13307" s="3"/>
      <c r="F13307" s="3"/>
      <c r="G13307" s="3"/>
      <c r="H13307" s="11"/>
      <c r="I13307" s="12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  <c r="AA13307" s="3"/>
      <c r="AB13307" s="3"/>
      <c r="AC13307" s="3"/>
      <c r="AD13307" s="3"/>
      <c r="AE13307" s="3"/>
      <c r="AF13307" s="3"/>
      <c r="AG13307" s="3"/>
      <c r="AH13307" s="3"/>
    </row>
    <row r="13308" spans="1:34" ht="14.25" customHeight="1" x14ac:dyDescent="0.25">
      <c r="A13308" s="3"/>
      <c r="B13308" s="3"/>
      <c r="C13308" s="3"/>
      <c r="D13308" s="3"/>
      <c r="E13308" s="3"/>
      <c r="F13308" s="3"/>
      <c r="G13308" s="3"/>
      <c r="H13308" s="11"/>
      <c r="I13308" s="12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  <c r="AA13308" s="3"/>
      <c r="AB13308" s="3"/>
      <c r="AC13308" s="3"/>
      <c r="AD13308" s="3"/>
      <c r="AE13308" s="3"/>
      <c r="AF13308" s="3"/>
      <c r="AG13308" s="3"/>
      <c r="AH13308" s="3"/>
    </row>
    <row r="13309" spans="1:34" ht="14.25" customHeight="1" x14ac:dyDescent="0.25">
      <c r="A13309" s="3"/>
      <c r="B13309" s="3"/>
      <c r="C13309" s="3"/>
      <c r="D13309" s="3"/>
      <c r="E13309" s="3"/>
      <c r="F13309" s="3"/>
      <c r="G13309" s="3"/>
      <c r="H13309" s="11"/>
      <c r="I13309" s="12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  <c r="AA13309" s="3"/>
      <c r="AB13309" s="3"/>
      <c r="AC13309" s="3"/>
      <c r="AD13309" s="3"/>
      <c r="AE13309" s="3"/>
      <c r="AF13309" s="3"/>
      <c r="AG13309" s="3"/>
      <c r="AH13309" s="3"/>
    </row>
    <row r="13310" spans="1:34" ht="14.25" customHeight="1" x14ac:dyDescent="0.25">
      <c r="A13310" s="3"/>
      <c r="B13310" s="3"/>
      <c r="C13310" s="3"/>
      <c r="D13310" s="3"/>
      <c r="E13310" s="3"/>
      <c r="F13310" s="3"/>
      <c r="G13310" s="3"/>
      <c r="H13310" s="11"/>
      <c r="I13310" s="12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  <c r="AA13310" s="3"/>
      <c r="AB13310" s="3"/>
      <c r="AC13310" s="3"/>
      <c r="AD13310" s="3"/>
      <c r="AE13310" s="3"/>
      <c r="AF13310" s="3"/>
      <c r="AG13310" s="3"/>
      <c r="AH13310" s="3"/>
    </row>
    <row r="13311" spans="1:34" ht="14.25" customHeight="1" x14ac:dyDescent="0.25">
      <c r="A13311" s="3"/>
      <c r="B13311" s="3"/>
      <c r="C13311" s="3"/>
      <c r="D13311" s="3"/>
      <c r="E13311" s="3"/>
      <c r="F13311" s="3"/>
      <c r="G13311" s="3"/>
      <c r="H13311" s="11"/>
      <c r="I13311" s="12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  <c r="AA13311" s="3"/>
      <c r="AB13311" s="3"/>
      <c r="AC13311" s="3"/>
      <c r="AD13311" s="3"/>
      <c r="AE13311" s="3"/>
      <c r="AF13311" s="3"/>
      <c r="AG13311" s="3"/>
      <c r="AH13311" s="3"/>
    </row>
    <row r="13312" spans="1:34" ht="14.25" customHeight="1" x14ac:dyDescent="0.25">
      <c r="A13312" s="3"/>
      <c r="B13312" s="3"/>
      <c r="C13312" s="3"/>
      <c r="D13312" s="3"/>
      <c r="E13312" s="3"/>
      <c r="F13312" s="3"/>
      <c r="G13312" s="3"/>
      <c r="H13312" s="11"/>
      <c r="I13312" s="12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  <c r="AA13312" s="3"/>
      <c r="AB13312" s="3"/>
      <c r="AC13312" s="3"/>
      <c r="AD13312" s="3"/>
      <c r="AE13312" s="3"/>
      <c r="AF13312" s="3"/>
      <c r="AG13312" s="3"/>
      <c r="AH13312" s="3"/>
    </row>
    <row r="13313" spans="1:34" ht="14.25" customHeight="1" x14ac:dyDescent="0.25">
      <c r="A13313" s="3"/>
      <c r="B13313" s="3"/>
      <c r="C13313" s="3"/>
      <c r="D13313" s="3"/>
      <c r="E13313" s="3"/>
      <c r="F13313" s="3"/>
      <c r="G13313" s="3"/>
      <c r="H13313" s="11"/>
      <c r="I13313" s="12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  <c r="AA13313" s="3"/>
      <c r="AB13313" s="3"/>
      <c r="AC13313" s="3"/>
      <c r="AD13313" s="3"/>
      <c r="AE13313" s="3"/>
      <c r="AF13313" s="3"/>
      <c r="AG13313" s="3"/>
      <c r="AH13313" s="3"/>
    </row>
    <row r="13314" spans="1:34" ht="14.25" customHeight="1" x14ac:dyDescent="0.25">
      <c r="A13314" s="3"/>
      <c r="B13314" s="3"/>
      <c r="C13314" s="3"/>
      <c r="D13314" s="3"/>
      <c r="E13314" s="3"/>
      <c r="F13314" s="3"/>
      <c r="G13314" s="3"/>
      <c r="H13314" s="11"/>
      <c r="I13314" s="12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  <c r="AA13314" s="3"/>
      <c r="AB13314" s="3"/>
      <c r="AC13314" s="3"/>
      <c r="AD13314" s="3"/>
      <c r="AE13314" s="3"/>
      <c r="AF13314" s="3"/>
      <c r="AG13314" s="3"/>
      <c r="AH13314" s="3"/>
    </row>
    <row r="13315" spans="1:34" ht="14.25" customHeight="1" x14ac:dyDescent="0.25">
      <c r="A13315" s="3"/>
      <c r="B13315" s="3"/>
      <c r="C13315" s="3"/>
      <c r="D13315" s="3"/>
      <c r="E13315" s="3"/>
      <c r="F13315" s="3"/>
      <c r="G13315" s="3"/>
      <c r="H13315" s="11"/>
      <c r="I13315" s="12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  <c r="AA13315" s="3"/>
      <c r="AB13315" s="3"/>
      <c r="AC13315" s="3"/>
      <c r="AD13315" s="3"/>
      <c r="AE13315" s="3"/>
      <c r="AF13315" s="3"/>
      <c r="AG13315" s="3"/>
      <c r="AH13315" s="3"/>
    </row>
    <row r="13316" spans="1:34" ht="14.25" customHeight="1" x14ac:dyDescent="0.25">
      <c r="A13316" s="3"/>
      <c r="B13316" s="3"/>
      <c r="C13316" s="3"/>
      <c r="D13316" s="3"/>
      <c r="E13316" s="3"/>
      <c r="F13316" s="3"/>
      <c r="G13316" s="3"/>
      <c r="H13316" s="11"/>
      <c r="I13316" s="12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  <c r="AA13316" s="3"/>
      <c r="AB13316" s="3"/>
      <c r="AC13316" s="3"/>
      <c r="AD13316" s="3"/>
      <c r="AE13316" s="3"/>
      <c r="AF13316" s="3"/>
      <c r="AG13316" s="3"/>
      <c r="AH13316" s="3"/>
    </row>
    <row r="13317" spans="1:34" ht="14.25" customHeight="1" x14ac:dyDescent="0.25">
      <c r="A13317" s="3"/>
      <c r="B13317" s="3"/>
      <c r="C13317" s="3"/>
      <c r="D13317" s="3"/>
      <c r="E13317" s="3"/>
      <c r="F13317" s="3"/>
      <c r="G13317" s="3"/>
      <c r="H13317" s="11"/>
      <c r="I13317" s="12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  <c r="AA13317" s="3"/>
      <c r="AB13317" s="3"/>
      <c r="AC13317" s="3"/>
      <c r="AD13317" s="3"/>
      <c r="AE13317" s="3"/>
      <c r="AF13317" s="3"/>
      <c r="AG13317" s="3"/>
      <c r="AH13317" s="3"/>
    </row>
    <row r="13318" spans="1:34" ht="14.25" customHeight="1" x14ac:dyDescent="0.25">
      <c r="A13318" s="3"/>
      <c r="B13318" s="3"/>
      <c r="C13318" s="3"/>
      <c r="D13318" s="3"/>
      <c r="E13318" s="3"/>
      <c r="F13318" s="3"/>
      <c r="G13318" s="3"/>
      <c r="H13318" s="11"/>
      <c r="I13318" s="12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  <c r="AA13318" s="3"/>
      <c r="AB13318" s="3"/>
      <c r="AC13318" s="3"/>
      <c r="AD13318" s="3"/>
      <c r="AE13318" s="3"/>
      <c r="AF13318" s="3"/>
      <c r="AG13318" s="3"/>
      <c r="AH13318" s="3"/>
    </row>
    <row r="13319" spans="1:34" ht="14.25" customHeight="1" x14ac:dyDescent="0.25">
      <c r="A13319" s="3"/>
      <c r="B13319" s="3"/>
      <c r="C13319" s="3"/>
      <c r="D13319" s="3"/>
      <c r="E13319" s="3"/>
      <c r="F13319" s="3"/>
      <c r="G13319" s="3"/>
      <c r="H13319" s="11"/>
      <c r="I13319" s="12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  <c r="AA13319" s="3"/>
      <c r="AB13319" s="3"/>
      <c r="AC13319" s="3"/>
      <c r="AD13319" s="3"/>
      <c r="AE13319" s="3"/>
      <c r="AF13319" s="3"/>
      <c r="AG13319" s="3"/>
      <c r="AH13319" s="3"/>
    </row>
    <row r="13320" spans="1:34" ht="14.25" customHeight="1" x14ac:dyDescent="0.25">
      <c r="A13320" s="3"/>
      <c r="B13320" s="3"/>
      <c r="C13320" s="3"/>
      <c r="D13320" s="3"/>
      <c r="E13320" s="3"/>
      <c r="F13320" s="3"/>
      <c r="G13320" s="3"/>
      <c r="H13320" s="11"/>
      <c r="I13320" s="12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  <c r="AA13320" s="3"/>
      <c r="AB13320" s="3"/>
      <c r="AC13320" s="3"/>
      <c r="AD13320" s="3"/>
      <c r="AE13320" s="3"/>
      <c r="AF13320" s="3"/>
      <c r="AG13320" s="3"/>
      <c r="AH13320" s="3"/>
    </row>
    <row r="13321" spans="1:34" ht="14.25" customHeight="1" x14ac:dyDescent="0.25">
      <c r="A13321" s="3"/>
      <c r="B13321" s="3"/>
      <c r="C13321" s="3"/>
      <c r="D13321" s="3"/>
      <c r="E13321" s="3"/>
      <c r="F13321" s="3"/>
      <c r="G13321" s="3"/>
      <c r="H13321" s="11"/>
      <c r="I13321" s="12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  <c r="AA13321" s="3"/>
      <c r="AB13321" s="3"/>
      <c r="AC13321" s="3"/>
      <c r="AD13321" s="3"/>
      <c r="AE13321" s="3"/>
      <c r="AF13321" s="3"/>
      <c r="AG13321" s="3"/>
      <c r="AH13321" s="3"/>
    </row>
    <row r="13322" spans="1:34" ht="14.25" customHeight="1" x14ac:dyDescent="0.25">
      <c r="A13322" s="3"/>
      <c r="B13322" s="3"/>
      <c r="C13322" s="3"/>
      <c r="D13322" s="3"/>
      <c r="E13322" s="3"/>
      <c r="F13322" s="3"/>
      <c r="G13322" s="3"/>
      <c r="H13322" s="11"/>
      <c r="I13322" s="12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  <c r="AA13322" s="3"/>
      <c r="AB13322" s="3"/>
      <c r="AC13322" s="3"/>
      <c r="AD13322" s="3"/>
      <c r="AE13322" s="3"/>
      <c r="AF13322" s="3"/>
      <c r="AG13322" s="3"/>
      <c r="AH13322" s="3"/>
    </row>
    <row r="13323" spans="1:34" ht="14.25" customHeight="1" x14ac:dyDescent="0.25">
      <c r="A13323" s="3"/>
      <c r="B13323" s="3"/>
      <c r="C13323" s="3"/>
      <c r="D13323" s="3"/>
      <c r="E13323" s="3"/>
      <c r="F13323" s="3"/>
      <c r="G13323" s="3"/>
      <c r="H13323" s="11"/>
      <c r="I13323" s="12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  <c r="AA13323" s="3"/>
      <c r="AB13323" s="3"/>
      <c r="AC13323" s="3"/>
      <c r="AD13323" s="3"/>
      <c r="AE13323" s="3"/>
      <c r="AF13323" s="3"/>
      <c r="AG13323" s="3"/>
      <c r="AH13323" s="3"/>
    </row>
    <row r="13324" spans="1:34" ht="14.25" customHeight="1" x14ac:dyDescent="0.25">
      <c r="A13324" s="3"/>
      <c r="B13324" s="3"/>
      <c r="C13324" s="3"/>
      <c r="D13324" s="3"/>
      <c r="E13324" s="3"/>
      <c r="F13324" s="3"/>
      <c r="G13324" s="3"/>
      <c r="H13324" s="11"/>
      <c r="I13324" s="12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  <c r="AA13324" s="3"/>
      <c r="AB13324" s="3"/>
      <c r="AC13324" s="3"/>
      <c r="AD13324" s="3"/>
      <c r="AE13324" s="3"/>
      <c r="AF13324" s="3"/>
      <c r="AG13324" s="3"/>
      <c r="AH13324" s="3"/>
    </row>
    <row r="13325" spans="1:34" ht="14.25" customHeight="1" x14ac:dyDescent="0.25">
      <c r="A13325" s="3"/>
      <c r="B13325" s="3"/>
      <c r="C13325" s="3"/>
      <c r="D13325" s="3"/>
      <c r="E13325" s="3"/>
      <c r="F13325" s="3"/>
      <c r="G13325" s="3"/>
      <c r="H13325" s="11"/>
      <c r="I13325" s="12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  <c r="AA13325" s="3"/>
      <c r="AB13325" s="3"/>
      <c r="AC13325" s="3"/>
      <c r="AD13325" s="3"/>
      <c r="AE13325" s="3"/>
      <c r="AF13325" s="3"/>
      <c r="AG13325" s="3"/>
      <c r="AH13325" s="3"/>
    </row>
    <row r="13326" spans="1:34" ht="14.25" customHeight="1" x14ac:dyDescent="0.25">
      <c r="A13326" s="3"/>
      <c r="B13326" s="3"/>
      <c r="C13326" s="3"/>
      <c r="D13326" s="3"/>
      <c r="E13326" s="3"/>
      <c r="F13326" s="3"/>
      <c r="G13326" s="3"/>
      <c r="H13326" s="11"/>
      <c r="I13326" s="12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  <c r="AA13326" s="3"/>
      <c r="AB13326" s="3"/>
      <c r="AC13326" s="3"/>
      <c r="AD13326" s="3"/>
      <c r="AE13326" s="3"/>
      <c r="AF13326" s="3"/>
      <c r="AG13326" s="3"/>
      <c r="AH13326" s="3"/>
    </row>
    <row r="13327" spans="1:34" ht="14.25" customHeight="1" x14ac:dyDescent="0.25">
      <c r="A13327" s="3"/>
      <c r="B13327" s="3"/>
      <c r="C13327" s="3"/>
      <c r="D13327" s="3"/>
      <c r="E13327" s="3"/>
      <c r="F13327" s="3"/>
      <c r="G13327" s="3"/>
      <c r="H13327" s="11"/>
      <c r="I13327" s="12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  <c r="AA13327" s="3"/>
      <c r="AB13327" s="3"/>
      <c r="AC13327" s="3"/>
      <c r="AD13327" s="3"/>
      <c r="AE13327" s="3"/>
      <c r="AF13327" s="3"/>
      <c r="AG13327" s="3"/>
      <c r="AH13327" s="3"/>
    </row>
    <row r="13328" spans="1:34" ht="14.25" customHeight="1" x14ac:dyDescent="0.25">
      <c r="A13328" s="3"/>
      <c r="B13328" s="3"/>
      <c r="C13328" s="3"/>
      <c r="D13328" s="3"/>
      <c r="E13328" s="3"/>
      <c r="F13328" s="3"/>
      <c r="G13328" s="3"/>
      <c r="H13328" s="11"/>
      <c r="I13328" s="12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  <c r="AA13328" s="3"/>
      <c r="AB13328" s="3"/>
      <c r="AC13328" s="3"/>
      <c r="AD13328" s="3"/>
      <c r="AE13328" s="3"/>
      <c r="AF13328" s="3"/>
      <c r="AG13328" s="3"/>
      <c r="AH13328" s="3"/>
    </row>
    <row r="13329" spans="1:34" ht="14.25" customHeight="1" x14ac:dyDescent="0.25">
      <c r="A13329" s="3"/>
      <c r="B13329" s="3"/>
      <c r="C13329" s="3"/>
      <c r="D13329" s="3"/>
      <c r="E13329" s="3"/>
      <c r="F13329" s="3"/>
      <c r="G13329" s="3"/>
      <c r="H13329" s="11"/>
      <c r="I13329" s="12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  <c r="AA13329" s="3"/>
      <c r="AB13329" s="3"/>
      <c r="AC13329" s="3"/>
      <c r="AD13329" s="3"/>
      <c r="AE13329" s="3"/>
      <c r="AF13329" s="3"/>
      <c r="AG13329" s="3"/>
      <c r="AH13329" s="3"/>
    </row>
    <row r="13330" spans="1:34" ht="14.25" customHeight="1" x14ac:dyDescent="0.25">
      <c r="A13330" s="3"/>
      <c r="B13330" s="3"/>
      <c r="C13330" s="3"/>
      <c r="D13330" s="3"/>
      <c r="E13330" s="3"/>
      <c r="F13330" s="3"/>
      <c r="G13330" s="3"/>
      <c r="H13330" s="11"/>
      <c r="I13330" s="12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  <c r="AA13330" s="3"/>
      <c r="AB13330" s="3"/>
      <c r="AC13330" s="3"/>
      <c r="AD13330" s="3"/>
      <c r="AE13330" s="3"/>
      <c r="AF13330" s="3"/>
      <c r="AG13330" s="3"/>
      <c r="AH13330" s="3"/>
    </row>
    <row r="13331" spans="1:34" ht="14.25" customHeight="1" x14ac:dyDescent="0.25">
      <c r="A13331" s="3"/>
      <c r="B13331" s="3"/>
      <c r="C13331" s="3"/>
      <c r="D13331" s="3"/>
      <c r="E13331" s="3"/>
      <c r="F13331" s="3"/>
      <c r="G13331" s="3"/>
      <c r="H13331" s="11"/>
      <c r="I13331" s="12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  <c r="AA13331" s="3"/>
      <c r="AB13331" s="3"/>
      <c r="AC13331" s="3"/>
      <c r="AD13331" s="3"/>
      <c r="AE13331" s="3"/>
      <c r="AF13331" s="3"/>
      <c r="AG13331" s="3"/>
      <c r="AH13331" s="3"/>
    </row>
    <row r="13332" spans="1:34" ht="14.25" customHeight="1" x14ac:dyDescent="0.25">
      <c r="A13332" s="3"/>
      <c r="B13332" s="3"/>
      <c r="C13332" s="3"/>
      <c r="D13332" s="3"/>
      <c r="E13332" s="3"/>
      <c r="F13332" s="3"/>
      <c r="G13332" s="3"/>
      <c r="H13332" s="11"/>
      <c r="I13332" s="12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  <c r="AA13332" s="3"/>
      <c r="AB13332" s="3"/>
      <c r="AC13332" s="3"/>
      <c r="AD13332" s="3"/>
      <c r="AE13332" s="3"/>
      <c r="AF13332" s="3"/>
      <c r="AG13332" s="3"/>
      <c r="AH13332" s="3"/>
    </row>
    <row r="13333" spans="1:34" ht="14.25" customHeight="1" x14ac:dyDescent="0.25">
      <c r="A13333" s="3"/>
      <c r="B13333" s="3"/>
      <c r="C13333" s="3"/>
      <c r="D13333" s="3"/>
      <c r="E13333" s="3"/>
      <c r="F13333" s="3"/>
      <c r="G13333" s="3"/>
      <c r="H13333" s="11"/>
      <c r="I13333" s="12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  <c r="AA13333" s="3"/>
      <c r="AB13333" s="3"/>
      <c r="AC13333" s="3"/>
      <c r="AD13333" s="3"/>
      <c r="AE13333" s="3"/>
      <c r="AF13333" s="3"/>
      <c r="AG13333" s="3"/>
      <c r="AH13333" s="3"/>
    </row>
    <row r="13334" spans="1:34" ht="14.25" customHeight="1" x14ac:dyDescent="0.25">
      <c r="A13334" s="3"/>
      <c r="B13334" s="3"/>
      <c r="C13334" s="3"/>
      <c r="D13334" s="3"/>
      <c r="E13334" s="3"/>
      <c r="F13334" s="3"/>
      <c r="G13334" s="3"/>
      <c r="H13334" s="11"/>
      <c r="I13334" s="12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  <c r="AA13334" s="3"/>
      <c r="AB13334" s="3"/>
      <c r="AC13334" s="3"/>
      <c r="AD13334" s="3"/>
      <c r="AE13334" s="3"/>
      <c r="AF13334" s="3"/>
      <c r="AG13334" s="3"/>
      <c r="AH13334" s="3"/>
    </row>
    <row r="13335" spans="1:34" ht="14.25" customHeight="1" x14ac:dyDescent="0.25">
      <c r="A13335" s="3"/>
      <c r="B13335" s="3"/>
      <c r="C13335" s="3"/>
      <c r="D13335" s="3"/>
      <c r="E13335" s="3"/>
      <c r="F13335" s="3"/>
      <c r="G13335" s="3"/>
      <c r="H13335" s="11"/>
      <c r="I13335" s="12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  <c r="AA13335" s="3"/>
      <c r="AB13335" s="3"/>
      <c r="AC13335" s="3"/>
      <c r="AD13335" s="3"/>
      <c r="AE13335" s="3"/>
      <c r="AF13335" s="3"/>
      <c r="AG13335" s="3"/>
      <c r="AH13335" s="3"/>
    </row>
    <row r="13336" spans="1:34" ht="14.25" customHeight="1" x14ac:dyDescent="0.25">
      <c r="A13336" s="3"/>
      <c r="B13336" s="3"/>
      <c r="C13336" s="3"/>
      <c r="D13336" s="3"/>
      <c r="E13336" s="3"/>
      <c r="F13336" s="3"/>
      <c r="G13336" s="3"/>
      <c r="H13336" s="11"/>
      <c r="I13336" s="12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  <c r="AA13336" s="3"/>
      <c r="AB13336" s="3"/>
      <c r="AC13336" s="3"/>
      <c r="AD13336" s="3"/>
      <c r="AE13336" s="3"/>
      <c r="AF13336" s="3"/>
      <c r="AG13336" s="3"/>
      <c r="AH13336" s="3"/>
    </row>
    <row r="13337" spans="1:34" ht="14.25" customHeight="1" x14ac:dyDescent="0.25">
      <c r="A13337" s="3"/>
      <c r="B13337" s="3"/>
      <c r="C13337" s="3"/>
      <c r="D13337" s="3"/>
      <c r="E13337" s="3"/>
      <c r="F13337" s="3"/>
      <c r="G13337" s="3"/>
      <c r="H13337" s="11"/>
      <c r="I13337" s="12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  <c r="AA13337" s="3"/>
      <c r="AB13337" s="3"/>
      <c r="AC13337" s="3"/>
      <c r="AD13337" s="3"/>
      <c r="AE13337" s="3"/>
      <c r="AF13337" s="3"/>
      <c r="AG13337" s="3"/>
      <c r="AH13337" s="3"/>
    </row>
    <row r="13338" spans="1:34" ht="14.25" customHeight="1" x14ac:dyDescent="0.25">
      <c r="A13338" s="3"/>
      <c r="B13338" s="3"/>
      <c r="C13338" s="3"/>
      <c r="D13338" s="3"/>
      <c r="E13338" s="3"/>
      <c r="F13338" s="3"/>
      <c r="G13338" s="3"/>
      <c r="H13338" s="11"/>
      <c r="I13338" s="12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  <c r="AA13338" s="3"/>
      <c r="AB13338" s="3"/>
      <c r="AC13338" s="3"/>
      <c r="AD13338" s="3"/>
      <c r="AE13338" s="3"/>
      <c r="AF13338" s="3"/>
      <c r="AG13338" s="3"/>
      <c r="AH13338" s="3"/>
    </row>
    <row r="13339" spans="1:34" ht="14.25" customHeight="1" x14ac:dyDescent="0.25">
      <c r="A13339" s="3"/>
      <c r="B13339" s="3"/>
      <c r="C13339" s="3"/>
      <c r="D13339" s="3"/>
      <c r="E13339" s="3"/>
      <c r="F13339" s="3"/>
      <c r="G13339" s="3"/>
      <c r="H13339" s="11"/>
      <c r="I13339" s="12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  <c r="AA13339" s="3"/>
      <c r="AB13339" s="3"/>
      <c r="AC13339" s="3"/>
      <c r="AD13339" s="3"/>
      <c r="AE13339" s="3"/>
      <c r="AF13339" s="3"/>
      <c r="AG13339" s="3"/>
      <c r="AH13339" s="3"/>
    </row>
    <row r="13340" spans="1:34" ht="14.25" customHeight="1" x14ac:dyDescent="0.25">
      <c r="A13340" s="3"/>
      <c r="B13340" s="3"/>
      <c r="C13340" s="3"/>
      <c r="D13340" s="3"/>
      <c r="E13340" s="3"/>
      <c r="F13340" s="3"/>
      <c r="G13340" s="3"/>
      <c r="H13340" s="11"/>
      <c r="I13340" s="12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  <c r="AA13340" s="3"/>
      <c r="AB13340" s="3"/>
      <c r="AC13340" s="3"/>
      <c r="AD13340" s="3"/>
      <c r="AE13340" s="3"/>
      <c r="AF13340" s="3"/>
      <c r="AG13340" s="3"/>
      <c r="AH13340" s="3"/>
    </row>
    <row r="13341" spans="1:34" ht="14.25" customHeight="1" x14ac:dyDescent="0.25">
      <c r="A13341" s="3"/>
      <c r="B13341" s="3"/>
      <c r="C13341" s="3"/>
      <c r="D13341" s="3"/>
      <c r="E13341" s="3"/>
      <c r="F13341" s="3"/>
      <c r="G13341" s="3"/>
      <c r="H13341" s="11"/>
      <c r="I13341" s="12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  <c r="AA13341" s="3"/>
      <c r="AB13341" s="3"/>
      <c r="AC13341" s="3"/>
      <c r="AD13341" s="3"/>
      <c r="AE13341" s="3"/>
      <c r="AF13341" s="3"/>
      <c r="AG13341" s="3"/>
      <c r="AH13341" s="3"/>
    </row>
    <row r="13342" spans="1:34" ht="14.25" customHeight="1" x14ac:dyDescent="0.25">
      <c r="A13342" s="3"/>
      <c r="B13342" s="3"/>
      <c r="C13342" s="3"/>
      <c r="D13342" s="3"/>
      <c r="E13342" s="3"/>
      <c r="F13342" s="3"/>
      <c r="G13342" s="3"/>
      <c r="H13342" s="11"/>
      <c r="I13342" s="12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  <c r="AA13342" s="3"/>
      <c r="AB13342" s="3"/>
      <c r="AC13342" s="3"/>
      <c r="AD13342" s="3"/>
      <c r="AE13342" s="3"/>
      <c r="AF13342" s="3"/>
      <c r="AG13342" s="3"/>
      <c r="AH13342" s="3"/>
    </row>
    <row r="13343" spans="1:34" ht="14.25" customHeight="1" x14ac:dyDescent="0.25">
      <c r="A13343" s="3"/>
      <c r="B13343" s="3"/>
      <c r="C13343" s="3"/>
      <c r="D13343" s="3"/>
      <c r="E13343" s="3"/>
      <c r="F13343" s="3"/>
      <c r="G13343" s="3"/>
      <c r="H13343" s="11"/>
      <c r="I13343" s="12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  <c r="AA13343" s="3"/>
      <c r="AB13343" s="3"/>
      <c r="AC13343" s="3"/>
      <c r="AD13343" s="3"/>
      <c r="AE13343" s="3"/>
      <c r="AF13343" s="3"/>
      <c r="AG13343" s="3"/>
      <c r="AH13343" s="3"/>
    </row>
    <row r="13344" spans="1:34" ht="14.25" customHeight="1" x14ac:dyDescent="0.25">
      <c r="A13344" s="3"/>
      <c r="B13344" s="3"/>
      <c r="C13344" s="3"/>
      <c r="D13344" s="3"/>
      <c r="E13344" s="3"/>
      <c r="F13344" s="3"/>
      <c r="G13344" s="3"/>
      <c r="H13344" s="11"/>
      <c r="I13344" s="12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  <c r="AA13344" s="3"/>
      <c r="AB13344" s="3"/>
      <c r="AC13344" s="3"/>
      <c r="AD13344" s="3"/>
      <c r="AE13344" s="3"/>
      <c r="AF13344" s="3"/>
      <c r="AG13344" s="3"/>
      <c r="AH13344" s="3"/>
    </row>
    <row r="13345" spans="1:34" ht="14.25" customHeight="1" x14ac:dyDescent="0.25">
      <c r="A13345" s="3"/>
      <c r="B13345" s="3"/>
      <c r="C13345" s="3"/>
      <c r="D13345" s="3"/>
      <c r="E13345" s="3"/>
      <c r="F13345" s="3"/>
      <c r="G13345" s="3"/>
      <c r="H13345" s="11"/>
      <c r="I13345" s="12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  <c r="AA13345" s="3"/>
      <c r="AB13345" s="3"/>
      <c r="AC13345" s="3"/>
      <c r="AD13345" s="3"/>
      <c r="AE13345" s="3"/>
      <c r="AF13345" s="3"/>
      <c r="AG13345" s="3"/>
      <c r="AH13345" s="3"/>
    </row>
    <row r="13346" spans="1:34" ht="14.25" customHeight="1" x14ac:dyDescent="0.25">
      <c r="A13346" s="3"/>
      <c r="B13346" s="3"/>
      <c r="C13346" s="3"/>
      <c r="D13346" s="3"/>
      <c r="E13346" s="3"/>
      <c r="F13346" s="3"/>
      <c r="G13346" s="3"/>
      <c r="H13346" s="11"/>
      <c r="I13346" s="12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  <c r="AA13346" s="3"/>
      <c r="AB13346" s="3"/>
      <c r="AC13346" s="3"/>
      <c r="AD13346" s="3"/>
      <c r="AE13346" s="3"/>
      <c r="AF13346" s="3"/>
      <c r="AG13346" s="3"/>
      <c r="AH13346" s="3"/>
    </row>
    <row r="13347" spans="1:34" ht="14.25" customHeight="1" x14ac:dyDescent="0.25">
      <c r="A13347" s="3"/>
      <c r="B13347" s="3"/>
      <c r="C13347" s="3"/>
      <c r="D13347" s="3"/>
      <c r="E13347" s="3"/>
      <c r="F13347" s="3"/>
      <c r="G13347" s="3"/>
      <c r="H13347" s="11"/>
      <c r="I13347" s="12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  <c r="AA13347" s="3"/>
      <c r="AB13347" s="3"/>
      <c r="AC13347" s="3"/>
      <c r="AD13347" s="3"/>
      <c r="AE13347" s="3"/>
      <c r="AF13347" s="3"/>
      <c r="AG13347" s="3"/>
      <c r="AH13347" s="3"/>
    </row>
    <row r="13348" spans="1:34" ht="14.25" customHeight="1" x14ac:dyDescent="0.25">
      <c r="A13348" s="3"/>
      <c r="B13348" s="3"/>
      <c r="C13348" s="3"/>
      <c r="D13348" s="3"/>
      <c r="E13348" s="3"/>
      <c r="F13348" s="3"/>
      <c r="G13348" s="3"/>
      <c r="H13348" s="11"/>
      <c r="I13348" s="12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  <c r="AA13348" s="3"/>
      <c r="AB13348" s="3"/>
      <c r="AC13348" s="3"/>
      <c r="AD13348" s="3"/>
      <c r="AE13348" s="3"/>
      <c r="AF13348" s="3"/>
      <c r="AG13348" s="3"/>
      <c r="AH13348" s="3"/>
    </row>
    <row r="13349" spans="1:34" ht="14.25" customHeight="1" x14ac:dyDescent="0.25">
      <c r="A13349" s="3"/>
      <c r="B13349" s="3"/>
      <c r="C13349" s="3"/>
      <c r="D13349" s="3"/>
      <c r="E13349" s="3"/>
      <c r="F13349" s="3"/>
      <c r="G13349" s="3"/>
      <c r="H13349" s="11"/>
      <c r="I13349" s="12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  <c r="AA13349" s="3"/>
      <c r="AB13349" s="3"/>
      <c r="AC13349" s="3"/>
      <c r="AD13349" s="3"/>
      <c r="AE13349" s="3"/>
      <c r="AF13349" s="3"/>
      <c r="AG13349" s="3"/>
      <c r="AH13349" s="3"/>
    </row>
    <row r="13350" spans="1:34" ht="14.25" customHeight="1" x14ac:dyDescent="0.25">
      <c r="A13350" s="3"/>
      <c r="B13350" s="3"/>
      <c r="C13350" s="3"/>
      <c r="D13350" s="3"/>
      <c r="E13350" s="3"/>
      <c r="F13350" s="3"/>
      <c r="G13350" s="3"/>
      <c r="H13350" s="11"/>
      <c r="I13350" s="12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  <c r="AA13350" s="3"/>
      <c r="AB13350" s="3"/>
      <c r="AC13350" s="3"/>
      <c r="AD13350" s="3"/>
      <c r="AE13350" s="3"/>
      <c r="AF13350" s="3"/>
      <c r="AG13350" s="3"/>
      <c r="AH13350" s="3"/>
    </row>
    <row r="13351" spans="1:34" ht="14.25" customHeight="1" x14ac:dyDescent="0.25">
      <c r="A13351" s="3"/>
      <c r="B13351" s="3"/>
      <c r="C13351" s="3"/>
      <c r="D13351" s="3"/>
      <c r="E13351" s="3"/>
      <c r="F13351" s="3"/>
      <c r="G13351" s="3"/>
      <c r="H13351" s="11"/>
      <c r="I13351" s="12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  <c r="AA13351" s="3"/>
      <c r="AB13351" s="3"/>
      <c r="AC13351" s="3"/>
      <c r="AD13351" s="3"/>
      <c r="AE13351" s="3"/>
      <c r="AF13351" s="3"/>
      <c r="AG13351" s="3"/>
      <c r="AH13351" s="3"/>
    </row>
    <row r="13352" spans="1:34" ht="14.25" customHeight="1" x14ac:dyDescent="0.25">
      <c r="A13352" s="3"/>
      <c r="B13352" s="3"/>
      <c r="C13352" s="3"/>
      <c r="D13352" s="3"/>
      <c r="E13352" s="3"/>
      <c r="F13352" s="3"/>
      <c r="G13352" s="3"/>
      <c r="H13352" s="11"/>
      <c r="I13352" s="12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  <c r="AA13352" s="3"/>
      <c r="AB13352" s="3"/>
      <c r="AC13352" s="3"/>
      <c r="AD13352" s="3"/>
      <c r="AE13352" s="3"/>
      <c r="AF13352" s="3"/>
      <c r="AG13352" s="3"/>
      <c r="AH13352" s="3"/>
    </row>
    <row r="13353" spans="1:34" ht="14.25" customHeight="1" x14ac:dyDescent="0.25">
      <c r="A13353" s="3"/>
      <c r="B13353" s="3"/>
      <c r="C13353" s="3"/>
      <c r="D13353" s="3"/>
      <c r="E13353" s="3"/>
      <c r="F13353" s="3"/>
      <c r="G13353" s="3"/>
      <c r="H13353" s="11"/>
      <c r="I13353" s="12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  <c r="AA13353" s="3"/>
      <c r="AB13353" s="3"/>
      <c r="AC13353" s="3"/>
      <c r="AD13353" s="3"/>
      <c r="AE13353" s="3"/>
      <c r="AF13353" s="3"/>
      <c r="AG13353" s="3"/>
      <c r="AH13353" s="3"/>
    </row>
    <row r="13354" spans="1:34" ht="14.25" customHeight="1" x14ac:dyDescent="0.25">
      <c r="A13354" s="3"/>
      <c r="B13354" s="3"/>
      <c r="C13354" s="3"/>
      <c r="D13354" s="3"/>
      <c r="E13354" s="3"/>
      <c r="F13354" s="3"/>
      <c r="G13354" s="3"/>
      <c r="H13354" s="11"/>
      <c r="I13354" s="12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  <c r="AA13354" s="3"/>
      <c r="AB13354" s="3"/>
      <c r="AC13354" s="3"/>
      <c r="AD13354" s="3"/>
      <c r="AE13354" s="3"/>
      <c r="AF13354" s="3"/>
      <c r="AG13354" s="3"/>
      <c r="AH13354" s="3"/>
    </row>
    <row r="13355" spans="1:34" ht="14.25" customHeight="1" x14ac:dyDescent="0.25">
      <c r="A13355" s="3"/>
      <c r="B13355" s="3"/>
      <c r="C13355" s="3"/>
      <c r="D13355" s="3"/>
      <c r="E13355" s="3"/>
      <c r="F13355" s="3"/>
      <c r="G13355" s="3"/>
      <c r="H13355" s="11"/>
      <c r="I13355" s="12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  <c r="AA13355" s="3"/>
      <c r="AB13355" s="3"/>
      <c r="AC13355" s="3"/>
      <c r="AD13355" s="3"/>
      <c r="AE13355" s="3"/>
      <c r="AF13355" s="3"/>
      <c r="AG13355" s="3"/>
      <c r="AH13355" s="3"/>
    </row>
    <row r="13356" spans="1:34" ht="14.25" customHeight="1" x14ac:dyDescent="0.25">
      <c r="A13356" s="3"/>
      <c r="B13356" s="3"/>
      <c r="C13356" s="3"/>
      <c r="D13356" s="3"/>
      <c r="E13356" s="3"/>
      <c r="F13356" s="3"/>
      <c r="G13356" s="3"/>
      <c r="H13356" s="11"/>
      <c r="I13356" s="12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  <c r="AA13356" s="3"/>
      <c r="AB13356" s="3"/>
      <c r="AC13356" s="3"/>
      <c r="AD13356" s="3"/>
      <c r="AE13356" s="3"/>
      <c r="AF13356" s="3"/>
      <c r="AG13356" s="3"/>
      <c r="AH13356" s="3"/>
    </row>
    <row r="13357" spans="1:34" ht="14.25" customHeight="1" x14ac:dyDescent="0.25">
      <c r="A13357" s="3"/>
      <c r="B13357" s="3"/>
      <c r="C13357" s="3"/>
      <c r="D13357" s="3"/>
      <c r="E13357" s="3"/>
      <c r="F13357" s="3"/>
      <c r="G13357" s="3"/>
      <c r="H13357" s="11"/>
      <c r="I13357" s="12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  <c r="AA13357" s="3"/>
      <c r="AB13357" s="3"/>
      <c r="AC13357" s="3"/>
      <c r="AD13357" s="3"/>
      <c r="AE13357" s="3"/>
      <c r="AF13357" s="3"/>
      <c r="AG13357" s="3"/>
      <c r="AH13357" s="3"/>
    </row>
    <row r="13358" spans="1:34" ht="14.25" customHeight="1" x14ac:dyDescent="0.25">
      <c r="A13358" s="3"/>
      <c r="B13358" s="3"/>
      <c r="C13358" s="3"/>
      <c r="D13358" s="3"/>
      <c r="E13358" s="3"/>
      <c r="F13358" s="3"/>
      <c r="G13358" s="3"/>
      <c r="H13358" s="11"/>
      <c r="I13358" s="12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  <c r="AA13358" s="3"/>
      <c r="AB13358" s="3"/>
      <c r="AC13358" s="3"/>
      <c r="AD13358" s="3"/>
      <c r="AE13358" s="3"/>
      <c r="AF13358" s="3"/>
      <c r="AG13358" s="3"/>
      <c r="AH13358" s="3"/>
    </row>
    <row r="13359" spans="1:34" ht="14.25" customHeight="1" x14ac:dyDescent="0.25">
      <c r="A13359" s="3"/>
      <c r="B13359" s="3"/>
      <c r="C13359" s="3"/>
      <c r="D13359" s="3"/>
      <c r="E13359" s="3"/>
      <c r="F13359" s="3"/>
      <c r="G13359" s="3"/>
      <c r="H13359" s="11"/>
      <c r="I13359" s="12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  <c r="AA13359" s="3"/>
      <c r="AB13359" s="3"/>
      <c r="AC13359" s="3"/>
      <c r="AD13359" s="3"/>
      <c r="AE13359" s="3"/>
      <c r="AF13359" s="3"/>
      <c r="AG13359" s="3"/>
      <c r="AH13359" s="3"/>
    </row>
    <row r="13360" spans="1:34" ht="14.25" customHeight="1" x14ac:dyDescent="0.25">
      <c r="A13360" s="3"/>
      <c r="B13360" s="3"/>
      <c r="C13360" s="3"/>
      <c r="D13360" s="3"/>
      <c r="E13360" s="3"/>
      <c r="F13360" s="3"/>
      <c r="G13360" s="3"/>
      <c r="H13360" s="11"/>
      <c r="I13360" s="12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  <c r="AA13360" s="3"/>
      <c r="AB13360" s="3"/>
      <c r="AC13360" s="3"/>
      <c r="AD13360" s="3"/>
      <c r="AE13360" s="3"/>
      <c r="AF13360" s="3"/>
      <c r="AG13360" s="3"/>
      <c r="AH13360" s="3"/>
    </row>
    <row r="13361" spans="1:34" ht="14.25" customHeight="1" x14ac:dyDescent="0.25">
      <c r="A13361" s="3"/>
      <c r="B13361" s="3"/>
      <c r="C13361" s="3"/>
      <c r="D13361" s="3"/>
      <c r="E13361" s="3"/>
      <c r="F13361" s="3"/>
      <c r="G13361" s="3"/>
      <c r="H13361" s="11"/>
      <c r="I13361" s="12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  <c r="AA13361" s="3"/>
      <c r="AB13361" s="3"/>
      <c r="AC13361" s="3"/>
      <c r="AD13361" s="3"/>
      <c r="AE13361" s="3"/>
      <c r="AF13361" s="3"/>
      <c r="AG13361" s="3"/>
      <c r="AH13361" s="3"/>
    </row>
    <row r="13362" spans="1:34" ht="14.25" customHeight="1" x14ac:dyDescent="0.25">
      <c r="A13362" s="3"/>
      <c r="B13362" s="3"/>
      <c r="C13362" s="3"/>
      <c r="D13362" s="3"/>
      <c r="E13362" s="3"/>
      <c r="F13362" s="3"/>
      <c r="G13362" s="3"/>
      <c r="H13362" s="11"/>
      <c r="I13362" s="12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  <c r="AA13362" s="3"/>
      <c r="AB13362" s="3"/>
      <c r="AC13362" s="3"/>
      <c r="AD13362" s="3"/>
      <c r="AE13362" s="3"/>
      <c r="AF13362" s="3"/>
      <c r="AG13362" s="3"/>
      <c r="AH13362" s="3"/>
    </row>
    <row r="13363" spans="1:34" ht="14.25" customHeight="1" x14ac:dyDescent="0.25">
      <c r="A13363" s="3"/>
      <c r="B13363" s="3"/>
      <c r="C13363" s="3"/>
      <c r="D13363" s="3"/>
      <c r="E13363" s="3"/>
      <c r="F13363" s="3"/>
      <c r="G13363" s="3"/>
      <c r="H13363" s="11"/>
      <c r="I13363" s="12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  <c r="AA13363" s="3"/>
      <c r="AB13363" s="3"/>
      <c r="AC13363" s="3"/>
      <c r="AD13363" s="3"/>
      <c r="AE13363" s="3"/>
      <c r="AF13363" s="3"/>
      <c r="AG13363" s="3"/>
      <c r="AH13363" s="3"/>
    </row>
    <row r="13364" spans="1:34" ht="14.25" customHeight="1" x14ac:dyDescent="0.25">
      <c r="A13364" s="3"/>
      <c r="B13364" s="3"/>
      <c r="C13364" s="3"/>
      <c r="D13364" s="3"/>
      <c r="E13364" s="3"/>
      <c r="F13364" s="3"/>
      <c r="G13364" s="3"/>
      <c r="H13364" s="11"/>
      <c r="I13364" s="12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  <c r="AA13364" s="3"/>
      <c r="AB13364" s="3"/>
      <c r="AC13364" s="3"/>
      <c r="AD13364" s="3"/>
      <c r="AE13364" s="3"/>
      <c r="AF13364" s="3"/>
      <c r="AG13364" s="3"/>
      <c r="AH13364" s="3"/>
    </row>
    <row r="13365" spans="1:34" ht="14.25" customHeight="1" x14ac:dyDescent="0.25">
      <c r="A13365" s="3"/>
      <c r="B13365" s="3"/>
      <c r="C13365" s="3"/>
      <c r="D13365" s="3"/>
      <c r="E13365" s="3"/>
      <c r="F13365" s="3"/>
      <c r="G13365" s="3"/>
      <c r="H13365" s="11"/>
      <c r="I13365" s="12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  <c r="AA13365" s="3"/>
      <c r="AB13365" s="3"/>
      <c r="AC13365" s="3"/>
      <c r="AD13365" s="3"/>
      <c r="AE13365" s="3"/>
      <c r="AF13365" s="3"/>
      <c r="AG13365" s="3"/>
      <c r="AH13365" s="3"/>
    </row>
    <row r="13366" spans="1:34" ht="14.25" customHeight="1" x14ac:dyDescent="0.25">
      <c r="A13366" s="3"/>
      <c r="B13366" s="3"/>
      <c r="C13366" s="3"/>
      <c r="D13366" s="3"/>
      <c r="E13366" s="3"/>
      <c r="F13366" s="3"/>
      <c r="G13366" s="3"/>
      <c r="H13366" s="11"/>
      <c r="I13366" s="12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  <c r="AA13366" s="3"/>
      <c r="AB13366" s="3"/>
      <c r="AC13366" s="3"/>
      <c r="AD13366" s="3"/>
      <c r="AE13366" s="3"/>
      <c r="AF13366" s="3"/>
      <c r="AG13366" s="3"/>
      <c r="AH13366" s="3"/>
    </row>
    <row r="13367" spans="1:34" ht="14.25" customHeight="1" x14ac:dyDescent="0.25">
      <c r="A13367" s="3"/>
      <c r="B13367" s="3"/>
      <c r="C13367" s="3"/>
      <c r="D13367" s="3"/>
      <c r="E13367" s="3"/>
      <c r="F13367" s="3"/>
      <c r="G13367" s="3"/>
      <c r="H13367" s="11"/>
      <c r="I13367" s="12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  <c r="AA13367" s="3"/>
      <c r="AB13367" s="3"/>
      <c r="AC13367" s="3"/>
      <c r="AD13367" s="3"/>
      <c r="AE13367" s="3"/>
      <c r="AF13367" s="3"/>
      <c r="AG13367" s="3"/>
      <c r="AH13367" s="3"/>
    </row>
    <row r="13368" spans="1:34" ht="14.25" customHeight="1" x14ac:dyDescent="0.25">
      <c r="A13368" s="3"/>
      <c r="B13368" s="3"/>
      <c r="C13368" s="3"/>
      <c r="D13368" s="3"/>
      <c r="E13368" s="3"/>
      <c r="F13368" s="3"/>
      <c r="G13368" s="3"/>
      <c r="H13368" s="11"/>
      <c r="I13368" s="12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  <c r="AA13368" s="3"/>
      <c r="AB13368" s="3"/>
      <c r="AC13368" s="3"/>
      <c r="AD13368" s="3"/>
      <c r="AE13368" s="3"/>
      <c r="AF13368" s="3"/>
      <c r="AG13368" s="3"/>
      <c r="AH13368" s="3"/>
    </row>
    <row r="13369" spans="1:34" ht="14.25" customHeight="1" x14ac:dyDescent="0.25">
      <c r="A13369" s="3"/>
      <c r="B13369" s="3"/>
      <c r="C13369" s="3"/>
      <c r="D13369" s="3"/>
      <c r="E13369" s="3"/>
      <c r="F13369" s="3"/>
      <c r="G13369" s="3"/>
      <c r="H13369" s="11"/>
      <c r="I13369" s="12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  <c r="AA13369" s="3"/>
      <c r="AB13369" s="3"/>
      <c r="AC13369" s="3"/>
      <c r="AD13369" s="3"/>
      <c r="AE13369" s="3"/>
      <c r="AF13369" s="3"/>
      <c r="AG13369" s="3"/>
      <c r="AH13369" s="3"/>
    </row>
    <row r="13370" spans="1:34" ht="14.25" customHeight="1" x14ac:dyDescent="0.25">
      <c r="A13370" s="3"/>
      <c r="B13370" s="3"/>
      <c r="C13370" s="3"/>
      <c r="D13370" s="3"/>
      <c r="E13370" s="3"/>
      <c r="F13370" s="3"/>
      <c r="G13370" s="3"/>
      <c r="H13370" s="11"/>
      <c r="I13370" s="12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  <c r="AA13370" s="3"/>
      <c r="AB13370" s="3"/>
      <c r="AC13370" s="3"/>
      <c r="AD13370" s="3"/>
      <c r="AE13370" s="3"/>
      <c r="AF13370" s="3"/>
      <c r="AG13370" s="3"/>
      <c r="AH13370" s="3"/>
    </row>
    <row r="13371" spans="1:34" ht="14.25" customHeight="1" x14ac:dyDescent="0.25">
      <c r="A13371" s="3"/>
      <c r="B13371" s="3"/>
      <c r="C13371" s="3"/>
      <c r="D13371" s="3"/>
      <c r="E13371" s="3"/>
      <c r="F13371" s="3"/>
      <c r="G13371" s="3"/>
      <c r="H13371" s="11"/>
      <c r="I13371" s="12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  <c r="AA13371" s="3"/>
      <c r="AB13371" s="3"/>
      <c r="AC13371" s="3"/>
      <c r="AD13371" s="3"/>
      <c r="AE13371" s="3"/>
      <c r="AF13371" s="3"/>
      <c r="AG13371" s="3"/>
      <c r="AH13371" s="3"/>
    </row>
    <row r="13372" spans="1:34" ht="14.25" customHeight="1" x14ac:dyDescent="0.25">
      <c r="A13372" s="3"/>
      <c r="B13372" s="3"/>
      <c r="C13372" s="3"/>
      <c r="D13372" s="3"/>
      <c r="E13372" s="3"/>
      <c r="F13372" s="3"/>
      <c r="G13372" s="3"/>
      <c r="H13372" s="11"/>
      <c r="I13372" s="12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  <c r="AA13372" s="3"/>
      <c r="AB13372" s="3"/>
      <c r="AC13372" s="3"/>
      <c r="AD13372" s="3"/>
      <c r="AE13372" s="3"/>
      <c r="AF13372" s="3"/>
      <c r="AG13372" s="3"/>
      <c r="AH13372" s="3"/>
    </row>
    <row r="13373" spans="1:34" ht="14.25" customHeight="1" x14ac:dyDescent="0.25">
      <c r="A13373" s="3"/>
      <c r="B13373" s="3"/>
      <c r="C13373" s="3"/>
      <c r="D13373" s="3"/>
      <c r="E13373" s="3"/>
      <c r="F13373" s="3"/>
      <c r="G13373" s="3"/>
      <c r="H13373" s="11"/>
      <c r="I13373" s="12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  <c r="AA13373" s="3"/>
      <c r="AB13373" s="3"/>
      <c r="AC13373" s="3"/>
      <c r="AD13373" s="3"/>
      <c r="AE13373" s="3"/>
      <c r="AF13373" s="3"/>
      <c r="AG13373" s="3"/>
      <c r="AH13373" s="3"/>
    </row>
    <row r="13374" spans="1:34" ht="14.25" customHeight="1" x14ac:dyDescent="0.25">
      <c r="A13374" s="3"/>
      <c r="B13374" s="3"/>
      <c r="C13374" s="3"/>
      <c r="D13374" s="3"/>
      <c r="E13374" s="3"/>
      <c r="F13374" s="3"/>
      <c r="G13374" s="3"/>
      <c r="H13374" s="11"/>
      <c r="I13374" s="12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  <c r="AA13374" s="3"/>
      <c r="AB13374" s="3"/>
      <c r="AC13374" s="3"/>
      <c r="AD13374" s="3"/>
      <c r="AE13374" s="3"/>
      <c r="AF13374" s="3"/>
      <c r="AG13374" s="3"/>
      <c r="AH13374" s="3"/>
    </row>
    <row r="13375" spans="1:34" ht="14.25" customHeight="1" x14ac:dyDescent="0.25">
      <c r="A13375" s="3"/>
      <c r="B13375" s="3"/>
      <c r="C13375" s="3"/>
      <c r="D13375" s="3"/>
      <c r="E13375" s="3"/>
      <c r="F13375" s="3"/>
      <c r="G13375" s="3"/>
      <c r="H13375" s="11"/>
      <c r="I13375" s="12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  <c r="AA13375" s="3"/>
      <c r="AB13375" s="3"/>
      <c r="AC13375" s="3"/>
      <c r="AD13375" s="3"/>
      <c r="AE13375" s="3"/>
      <c r="AF13375" s="3"/>
      <c r="AG13375" s="3"/>
      <c r="AH13375" s="3"/>
    </row>
    <row r="13376" spans="1:34" ht="14.25" customHeight="1" x14ac:dyDescent="0.25">
      <c r="A13376" s="3"/>
      <c r="B13376" s="3"/>
      <c r="C13376" s="3"/>
      <c r="D13376" s="3"/>
      <c r="E13376" s="3"/>
      <c r="F13376" s="3"/>
      <c r="G13376" s="3"/>
      <c r="H13376" s="11"/>
      <c r="I13376" s="12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  <c r="AA13376" s="3"/>
      <c r="AB13376" s="3"/>
      <c r="AC13376" s="3"/>
      <c r="AD13376" s="3"/>
      <c r="AE13376" s="3"/>
      <c r="AF13376" s="3"/>
      <c r="AG13376" s="3"/>
      <c r="AH13376" s="3"/>
    </row>
    <row r="13377" spans="1:34" ht="14.25" customHeight="1" x14ac:dyDescent="0.25">
      <c r="A13377" s="3"/>
      <c r="B13377" s="3"/>
      <c r="C13377" s="3"/>
      <c r="D13377" s="3"/>
      <c r="E13377" s="3"/>
      <c r="F13377" s="3"/>
      <c r="G13377" s="3"/>
      <c r="H13377" s="11"/>
      <c r="I13377" s="12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  <c r="AA13377" s="3"/>
      <c r="AB13377" s="3"/>
      <c r="AC13377" s="3"/>
      <c r="AD13377" s="3"/>
      <c r="AE13377" s="3"/>
      <c r="AF13377" s="3"/>
      <c r="AG13377" s="3"/>
      <c r="AH13377" s="3"/>
    </row>
    <row r="13378" spans="1:34" ht="14.25" customHeight="1" x14ac:dyDescent="0.25">
      <c r="A13378" s="3"/>
      <c r="B13378" s="3"/>
      <c r="C13378" s="3"/>
      <c r="D13378" s="3"/>
      <c r="E13378" s="3"/>
      <c r="F13378" s="3"/>
      <c r="G13378" s="3"/>
      <c r="H13378" s="11"/>
      <c r="I13378" s="12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  <c r="AA13378" s="3"/>
      <c r="AB13378" s="3"/>
      <c r="AC13378" s="3"/>
      <c r="AD13378" s="3"/>
      <c r="AE13378" s="3"/>
      <c r="AF13378" s="3"/>
      <c r="AG13378" s="3"/>
      <c r="AH13378" s="3"/>
    </row>
    <row r="13379" spans="1:34" ht="14.25" customHeight="1" x14ac:dyDescent="0.25">
      <c r="A13379" s="3"/>
      <c r="B13379" s="3"/>
      <c r="C13379" s="3"/>
      <c r="D13379" s="3"/>
      <c r="E13379" s="3"/>
      <c r="F13379" s="3"/>
      <c r="G13379" s="3"/>
      <c r="H13379" s="11"/>
      <c r="I13379" s="12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  <c r="AA13379" s="3"/>
      <c r="AB13379" s="3"/>
      <c r="AC13379" s="3"/>
      <c r="AD13379" s="3"/>
      <c r="AE13379" s="3"/>
      <c r="AF13379" s="3"/>
      <c r="AG13379" s="3"/>
      <c r="AH13379" s="3"/>
    </row>
    <row r="13380" spans="1:34" ht="14.25" customHeight="1" x14ac:dyDescent="0.25">
      <c r="A13380" s="3"/>
      <c r="B13380" s="3"/>
      <c r="C13380" s="3"/>
      <c r="D13380" s="3"/>
      <c r="E13380" s="3"/>
      <c r="F13380" s="3"/>
      <c r="G13380" s="3"/>
      <c r="H13380" s="11"/>
      <c r="I13380" s="12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  <c r="AA13380" s="3"/>
      <c r="AB13380" s="3"/>
      <c r="AC13380" s="3"/>
      <c r="AD13380" s="3"/>
      <c r="AE13380" s="3"/>
      <c r="AF13380" s="3"/>
      <c r="AG13380" s="3"/>
      <c r="AH13380" s="3"/>
    </row>
    <row r="13381" spans="1:34" ht="14.25" customHeight="1" x14ac:dyDescent="0.25">
      <c r="A13381" s="3"/>
      <c r="B13381" s="3"/>
      <c r="C13381" s="3"/>
      <c r="D13381" s="3"/>
      <c r="E13381" s="3"/>
      <c r="F13381" s="3"/>
      <c r="G13381" s="3"/>
      <c r="H13381" s="11"/>
      <c r="I13381" s="12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  <c r="AA13381" s="3"/>
      <c r="AB13381" s="3"/>
      <c r="AC13381" s="3"/>
      <c r="AD13381" s="3"/>
      <c r="AE13381" s="3"/>
      <c r="AF13381" s="3"/>
      <c r="AG13381" s="3"/>
      <c r="AH13381" s="3"/>
    </row>
    <row r="13382" spans="1:34" ht="14.25" customHeight="1" x14ac:dyDescent="0.25">
      <c r="A13382" s="3"/>
      <c r="B13382" s="3"/>
      <c r="C13382" s="3"/>
      <c r="D13382" s="3"/>
      <c r="E13382" s="3"/>
      <c r="F13382" s="3"/>
      <c r="G13382" s="3"/>
      <c r="H13382" s="11"/>
      <c r="I13382" s="12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  <c r="AA13382" s="3"/>
      <c r="AB13382" s="3"/>
      <c r="AC13382" s="3"/>
      <c r="AD13382" s="3"/>
      <c r="AE13382" s="3"/>
      <c r="AF13382" s="3"/>
      <c r="AG13382" s="3"/>
      <c r="AH13382" s="3"/>
    </row>
    <row r="13383" spans="1:34" ht="14.25" customHeight="1" x14ac:dyDescent="0.25">
      <c r="A13383" s="3"/>
      <c r="B13383" s="3"/>
      <c r="C13383" s="3"/>
      <c r="D13383" s="3"/>
      <c r="E13383" s="3"/>
      <c r="F13383" s="3"/>
      <c r="G13383" s="3"/>
      <c r="H13383" s="11"/>
      <c r="I13383" s="12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  <c r="AA13383" s="3"/>
      <c r="AB13383" s="3"/>
      <c r="AC13383" s="3"/>
      <c r="AD13383" s="3"/>
      <c r="AE13383" s="3"/>
      <c r="AF13383" s="3"/>
      <c r="AG13383" s="3"/>
      <c r="AH13383" s="3"/>
    </row>
    <row r="13384" spans="1:34" ht="14.25" customHeight="1" x14ac:dyDescent="0.25">
      <c r="A13384" s="3"/>
      <c r="B13384" s="3"/>
      <c r="C13384" s="3"/>
      <c r="D13384" s="3"/>
      <c r="E13384" s="3"/>
      <c r="F13384" s="3"/>
      <c r="G13384" s="3"/>
      <c r="H13384" s="11"/>
      <c r="I13384" s="12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  <c r="AA13384" s="3"/>
      <c r="AB13384" s="3"/>
      <c r="AC13384" s="3"/>
      <c r="AD13384" s="3"/>
      <c r="AE13384" s="3"/>
      <c r="AF13384" s="3"/>
      <c r="AG13384" s="3"/>
      <c r="AH13384" s="3"/>
    </row>
    <row r="13385" spans="1:34" ht="14.25" customHeight="1" x14ac:dyDescent="0.25">
      <c r="A13385" s="3"/>
      <c r="B13385" s="3"/>
      <c r="C13385" s="3"/>
      <c r="D13385" s="3"/>
      <c r="E13385" s="3"/>
      <c r="F13385" s="3"/>
      <c r="G13385" s="3"/>
      <c r="H13385" s="11"/>
      <c r="I13385" s="12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  <c r="AA13385" s="3"/>
      <c r="AB13385" s="3"/>
      <c r="AC13385" s="3"/>
      <c r="AD13385" s="3"/>
      <c r="AE13385" s="3"/>
      <c r="AF13385" s="3"/>
      <c r="AG13385" s="3"/>
      <c r="AH13385" s="3"/>
    </row>
    <row r="13386" spans="1:34" ht="14.25" customHeight="1" x14ac:dyDescent="0.25">
      <c r="A13386" s="3"/>
      <c r="B13386" s="3"/>
      <c r="C13386" s="3"/>
      <c r="D13386" s="3"/>
      <c r="E13386" s="3"/>
      <c r="F13386" s="3"/>
      <c r="G13386" s="3"/>
      <c r="H13386" s="11"/>
      <c r="I13386" s="12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  <c r="AA13386" s="3"/>
      <c r="AB13386" s="3"/>
      <c r="AC13386" s="3"/>
      <c r="AD13386" s="3"/>
      <c r="AE13386" s="3"/>
      <c r="AF13386" s="3"/>
      <c r="AG13386" s="3"/>
      <c r="AH13386" s="3"/>
    </row>
    <row r="13387" spans="1:34" ht="14.25" customHeight="1" x14ac:dyDescent="0.25">
      <c r="A13387" s="3"/>
      <c r="B13387" s="3"/>
      <c r="C13387" s="3"/>
      <c r="D13387" s="3"/>
      <c r="E13387" s="3"/>
      <c r="F13387" s="3"/>
      <c r="G13387" s="3"/>
      <c r="H13387" s="11"/>
      <c r="I13387" s="12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  <c r="AA13387" s="3"/>
      <c r="AB13387" s="3"/>
      <c r="AC13387" s="3"/>
      <c r="AD13387" s="3"/>
      <c r="AE13387" s="3"/>
      <c r="AF13387" s="3"/>
      <c r="AG13387" s="3"/>
      <c r="AH13387" s="3"/>
    </row>
    <row r="13388" spans="1:34" ht="14.25" customHeight="1" x14ac:dyDescent="0.25">
      <c r="A13388" s="3"/>
      <c r="B13388" s="3"/>
      <c r="C13388" s="3"/>
      <c r="D13388" s="3"/>
      <c r="E13388" s="3"/>
      <c r="F13388" s="3"/>
      <c r="G13388" s="3"/>
      <c r="H13388" s="11"/>
      <c r="I13388" s="12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  <c r="AA13388" s="3"/>
      <c r="AB13388" s="3"/>
      <c r="AC13388" s="3"/>
      <c r="AD13388" s="3"/>
      <c r="AE13388" s="3"/>
      <c r="AF13388" s="3"/>
      <c r="AG13388" s="3"/>
      <c r="AH13388" s="3"/>
    </row>
    <row r="13389" spans="1:34" ht="14.25" customHeight="1" x14ac:dyDescent="0.25">
      <c r="A13389" s="3"/>
      <c r="B13389" s="3"/>
      <c r="C13389" s="3"/>
      <c r="D13389" s="3"/>
      <c r="E13389" s="3"/>
      <c r="F13389" s="3"/>
      <c r="G13389" s="3"/>
      <c r="H13389" s="11"/>
      <c r="I13389" s="12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  <c r="AA13389" s="3"/>
      <c r="AB13389" s="3"/>
      <c r="AC13389" s="3"/>
      <c r="AD13389" s="3"/>
      <c r="AE13389" s="3"/>
      <c r="AF13389" s="3"/>
      <c r="AG13389" s="3"/>
      <c r="AH13389" s="3"/>
    </row>
    <row r="13390" spans="1:34" ht="14.25" customHeight="1" x14ac:dyDescent="0.25">
      <c r="A13390" s="3"/>
      <c r="B13390" s="3"/>
      <c r="C13390" s="3"/>
      <c r="D13390" s="3"/>
      <c r="E13390" s="3"/>
      <c r="F13390" s="3"/>
      <c r="G13390" s="3"/>
      <c r="H13390" s="11"/>
      <c r="I13390" s="12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  <c r="AA13390" s="3"/>
      <c r="AB13390" s="3"/>
      <c r="AC13390" s="3"/>
      <c r="AD13390" s="3"/>
      <c r="AE13390" s="3"/>
      <c r="AF13390" s="3"/>
      <c r="AG13390" s="3"/>
      <c r="AH13390" s="3"/>
    </row>
    <row r="13391" spans="1:34" ht="14.25" customHeight="1" x14ac:dyDescent="0.25">
      <c r="A13391" s="3"/>
      <c r="B13391" s="3"/>
      <c r="C13391" s="3"/>
      <c r="D13391" s="3"/>
      <c r="E13391" s="3"/>
      <c r="F13391" s="3"/>
      <c r="G13391" s="3"/>
      <c r="H13391" s="11"/>
      <c r="I13391" s="12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  <c r="AA13391" s="3"/>
      <c r="AB13391" s="3"/>
      <c r="AC13391" s="3"/>
      <c r="AD13391" s="3"/>
      <c r="AE13391" s="3"/>
      <c r="AF13391" s="3"/>
      <c r="AG13391" s="3"/>
      <c r="AH13391" s="3"/>
    </row>
    <row r="13392" spans="1:34" ht="14.25" customHeight="1" x14ac:dyDescent="0.25">
      <c r="A13392" s="3"/>
      <c r="B13392" s="3"/>
      <c r="C13392" s="3"/>
      <c r="D13392" s="3"/>
      <c r="E13392" s="3"/>
      <c r="F13392" s="3"/>
      <c r="G13392" s="3"/>
      <c r="H13392" s="11"/>
      <c r="I13392" s="12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  <c r="AA13392" s="3"/>
      <c r="AB13392" s="3"/>
      <c r="AC13392" s="3"/>
      <c r="AD13392" s="3"/>
      <c r="AE13392" s="3"/>
      <c r="AF13392" s="3"/>
      <c r="AG13392" s="3"/>
      <c r="AH13392" s="3"/>
    </row>
    <row r="13393" spans="1:34" ht="14.25" customHeight="1" x14ac:dyDescent="0.25">
      <c r="A13393" s="3"/>
      <c r="B13393" s="3"/>
      <c r="C13393" s="3"/>
      <c r="D13393" s="3"/>
      <c r="E13393" s="3"/>
      <c r="F13393" s="3"/>
      <c r="G13393" s="3"/>
      <c r="H13393" s="11"/>
      <c r="I13393" s="12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  <c r="AA13393" s="3"/>
      <c r="AB13393" s="3"/>
      <c r="AC13393" s="3"/>
      <c r="AD13393" s="3"/>
      <c r="AE13393" s="3"/>
      <c r="AF13393" s="3"/>
      <c r="AG13393" s="3"/>
      <c r="AH13393" s="3"/>
    </row>
    <row r="13394" spans="1:34" ht="14.25" customHeight="1" x14ac:dyDescent="0.25">
      <c r="A13394" s="3"/>
      <c r="B13394" s="3"/>
      <c r="C13394" s="3"/>
      <c r="D13394" s="3"/>
      <c r="E13394" s="3"/>
      <c r="F13394" s="3"/>
      <c r="G13394" s="3"/>
      <c r="H13394" s="11"/>
      <c r="I13394" s="12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  <c r="AA13394" s="3"/>
      <c r="AB13394" s="3"/>
      <c r="AC13394" s="3"/>
      <c r="AD13394" s="3"/>
      <c r="AE13394" s="3"/>
      <c r="AF13394" s="3"/>
      <c r="AG13394" s="3"/>
      <c r="AH13394" s="3"/>
    </row>
    <row r="13395" spans="1:34" ht="14.25" customHeight="1" x14ac:dyDescent="0.25">
      <c r="A13395" s="3"/>
      <c r="B13395" s="3"/>
      <c r="C13395" s="3"/>
      <c r="D13395" s="3"/>
      <c r="E13395" s="3"/>
      <c r="F13395" s="3"/>
      <c r="G13395" s="3"/>
      <c r="H13395" s="11"/>
      <c r="I13395" s="12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  <c r="AA13395" s="3"/>
      <c r="AB13395" s="3"/>
      <c r="AC13395" s="3"/>
      <c r="AD13395" s="3"/>
      <c r="AE13395" s="3"/>
      <c r="AF13395" s="3"/>
      <c r="AG13395" s="3"/>
      <c r="AH13395" s="3"/>
    </row>
    <row r="13396" spans="1:34" ht="14.25" customHeight="1" x14ac:dyDescent="0.25">
      <c r="A13396" s="3"/>
      <c r="B13396" s="3"/>
      <c r="C13396" s="3"/>
      <c r="D13396" s="3"/>
      <c r="E13396" s="3"/>
      <c r="F13396" s="3"/>
      <c r="G13396" s="3"/>
      <c r="H13396" s="11"/>
      <c r="I13396" s="12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  <c r="AA13396" s="3"/>
      <c r="AB13396" s="3"/>
      <c r="AC13396" s="3"/>
      <c r="AD13396" s="3"/>
      <c r="AE13396" s="3"/>
      <c r="AF13396" s="3"/>
      <c r="AG13396" s="3"/>
      <c r="AH13396" s="3"/>
    </row>
    <row r="13397" spans="1:34" ht="14.25" customHeight="1" x14ac:dyDescent="0.25">
      <c r="A13397" s="3"/>
      <c r="B13397" s="3"/>
      <c r="C13397" s="3"/>
      <c r="D13397" s="3"/>
      <c r="E13397" s="3"/>
      <c r="F13397" s="3"/>
      <c r="G13397" s="3"/>
      <c r="H13397" s="11"/>
      <c r="I13397" s="12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  <c r="AA13397" s="3"/>
      <c r="AB13397" s="3"/>
      <c r="AC13397" s="3"/>
      <c r="AD13397" s="3"/>
      <c r="AE13397" s="3"/>
      <c r="AF13397" s="3"/>
      <c r="AG13397" s="3"/>
      <c r="AH13397" s="3"/>
    </row>
    <row r="13398" spans="1:34" ht="14.25" customHeight="1" x14ac:dyDescent="0.25">
      <c r="A13398" s="3"/>
      <c r="B13398" s="3"/>
      <c r="C13398" s="3"/>
      <c r="D13398" s="3"/>
      <c r="E13398" s="3"/>
      <c r="F13398" s="3"/>
      <c r="G13398" s="3"/>
      <c r="H13398" s="11"/>
      <c r="I13398" s="12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  <c r="AA13398" s="3"/>
      <c r="AB13398" s="3"/>
      <c r="AC13398" s="3"/>
      <c r="AD13398" s="3"/>
      <c r="AE13398" s="3"/>
      <c r="AF13398" s="3"/>
      <c r="AG13398" s="3"/>
      <c r="AH13398" s="3"/>
    </row>
    <row r="13399" spans="1:34" ht="14.25" customHeight="1" x14ac:dyDescent="0.25">
      <c r="A13399" s="3"/>
      <c r="B13399" s="3"/>
      <c r="C13399" s="3"/>
      <c r="D13399" s="3"/>
      <c r="E13399" s="3"/>
      <c r="F13399" s="3"/>
      <c r="G13399" s="3"/>
      <c r="H13399" s="11"/>
      <c r="I13399" s="12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  <c r="AA13399" s="3"/>
      <c r="AB13399" s="3"/>
      <c r="AC13399" s="3"/>
      <c r="AD13399" s="3"/>
      <c r="AE13399" s="3"/>
      <c r="AF13399" s="3"/>
      <c r="AG13399" s="3"/>
      <c r="AH13399" s="3"/>
    </row>
    <row r="13400" spans="1:34" ht="14.25" customHeight="1" x14ac:dyDescent="0.25">
      <c r="A13400" s="3"/>
      <c r="B13400" s="3"/>
      <c r="C13400" s="3"/>
      <c r="D13400" s="3"/>
      <c r="E13400" s="3"/>
      <c r="F13400" s="3"/>
      <c r="G13400" s="3"/>
      <c r="H13400" s="11"/>
      <c r="I13400" s="12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  <c r="AA13400" s="3"/>
      <c r="AB13400" s="3"/>
      <c r="AC13400" s="3"/>
      <c r="AD13400" s="3"/>
      <c r="AE13400" s="3"/>
      <c r="AF13400" s="3"/>
      <c r="AG13400" s="3"/>
      <c r="AH13400" s="3"/>
    </row>
    <row r="13401" spans="1:34" ht="14.25" customHeight="1" x14ac:dyDescent="0.25">
      <c r="A13401" s="3"/>
      <c r="B13401" s="3"/>
      <c r="C13401" s="3"/>
      <c r="D13401" s="3"/>
      <c r="E13401" s="3"/>
      <c r="F13401" s="3"/>
      <c r="G13401" s="3"/>
      <c r="H13401" s="11"/>
      <c r="I13401" s="12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  <c r="AA13401" s="3"/>
      <c r="AB13401" s="3"/>
      <c r="AC13401" s="3"/>
      <c r="AD13401" s="3"/>
      <c r="AE13401" s="3"/>
      <c r="AF13401" s="3"/>
      <c r="AG13401" s="3"/>
      <c r="AH13401" s="3"/>
    </row>
    <row r="13402" spans="1:34" ht="14.25" customHeight="1" x14ac:dyDescent="0.25">
      <c r="A13402" s="3"/>
      <c r="B13402" s="3"/>
      <c r="C13402" s="3"/>
      <c r="D13402" s="3"/>
      <c r="E13402" s="3"/>
      <c r="F13402" s="3"/>
      <c r="G13402" s="3"/>
      <c r="H13402" s="11"/>
      <c r="I13402" s="12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  <c r="AA13402" s="3"/>
      <c r="AB13402" s="3"/>
      <c r="AC13402" s="3"/>
      <c r="AD13402" s="3"/>
      <c r="AE13402" s="3"/>
      <c r="AF13402" s="3"/>
      <c r="AG13402" s="3"/>
      <c r="AH13402" s="3"/>
    </row>
    <row r="13403" spans="1:34" ht="14.25" customHeight="1" x14ac:dyDescent="0.25">
      <c r="A13403" s="3"/>
      <c r="B13403" s="3"/>
      <c r="C13403" s="3"/>
      <c r="D13403" s="3"/>
      <c r="E13403" s="3"/>
      <c r="F13403" s="3"/>
      <c r="G13403" s="3"/>
      <c r="H13403" s="11"/>
      <c r="I13403" s="12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  <c r="AA13403" s="3"/>
      <c r="AB13403" s="3"/>
      <c r="AC13403" s="3"/>
      <c r="AD13403" s="3"/>
      <c r="AE13403" s="3"/>
      <c r="AF13403" s="3"/>
      <c r="AG13403" s="3"/>
      <c r="AH13403" s="3"/>
    </row>
    <row r="13404" spans="1:34" ht="14.25" customHeight="1" x14ac:dyDescent="0.25">
      <c r="A13404" s="3"/>
      <c r="B13404" s="3"/>
      <c r="C13404" s="3"/>
      <c r="D13404" s="3"/>
      <c r="E13404" s="3"/>
      <c r="F13404" s="3"/>
      <c r="G13404" s="3"/>
      <c r="H13404" s="11"/>
      <c r="I13404" s="12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  <c r="AA13404" s="3"/>
      <c r="AB13404" s="3"/>
      <c r="AC13404" s="3"/>
      <c r="AD13404" s="3"/>
      <c r="AE13404" s="3"/>
      <c r="AF13404" s="3"/>
      <c r="AG13404" s="3"/>
      <c r="AH13404" s="3"/>
    </row>
    <row r="13405" spans="1:34" ht="14.25" customHeight="1" x14ac:dyDescent="0.25">
      <c r="A13405" s="3"/>
      <c r="B13405" s="3"/>
      <c r="C13405" s="3"/>
      <c r="D13405" s="3"/>
      <c r="E13405" s="3"/>
      <c r="F13405" s="3"/>
      <c r="G13405" s="3"/>
      <c r="H13405" s="11"/>
      <c r="I13405" s="12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  <c r="AA13405" s="3"/>
      <c r="AB13405" s="3"/>
      <c r="AC13405" s="3"/>
      <c r="AD13405" s="3"/>
      <c r="AE13405" s="3"/>
      <c r="AF13405" s="3"/>
      <c r="AG13405" s="3"/>
      <c r="AH13405" s="3"/>
    </row>
    <row r="13406" spans="1:34" ht="14.25" customHeight="1" x14ac:dyDescent="0.25">
      <c r="A13406" s="3"/>
      <c r="B13406" s="3"/>
      <c r="C13406" s="3"/>
      <c r="D13406" s="3"/>
      <c r="E13406" s="3"/>
      <c r="F13406" s="3"/>
      <c r="G13406" s="3"/>
      <c r="H13406" s="11"/>
      <c r="I13406" s="12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  <c r="AA13406" s="3"/>
      <c r="AB13406" s="3"/>
      <c r="AC13406" s="3"/>
      <c r="AD13406" s="3"/>
      <c r="AE13406" s="3"/>
      <c r="AF13406" s="3"/>
      <c r="AG13406" s="3"/>
      <c r="AH13406" s="3"/>
    </row>
    <row r="13407" spans="1:34" ht="14.25" customHeight="1" x14ac:dyDescent="0.25">
      <c r="A13407" s="3"/>
      <c r="B13407" s="3"/>
      <c r="C13407" s="3"/>
      <c r="D13407" s="3"/>
      <c r="E13407" s="3"/>
      <c r="F13407" s="3"/>
      <c r="G13407" s="3"/>
      <c r="H13407" s="11"/>
      <c r="I13407" s="12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  <c r="AA13407" s="3"/>
      <c r="AB13407" s="3"/>
      <c r="AC13407" s="3"/>
      <c r="AD13407" s="3"/>
      <c r="AE13407" s="3"/>
      <c r="AF13407" s="3"/>
      <c r="AG13407" s="3"/>
      <c r="AH13407" s="3"/>
    </row>
    <row r="13408" spans="1:34" ht="14.25" customHeight="1" x14ac:dyDescent="0.25">
      <c r="A13408" s="3"/>
      <c r="B13408" s="3"/>
      <c r="C13408" s="3"/>
      <c r="D13408" s="3"/>
      <c r="E13408" s="3"/>
      <c r="F13408" s="3"/>
      <c r="G13408" s="3"/>
      <c r="H13408" s="11"/>
      <c r="I13408" s="12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  <c r="AA13408" s="3"/>
      <c r="AB13408" s="3"/>
      <c r="AC13408" s="3"/>
      <c r="AD13408" s="3"/>
      <c r="AE13408" s="3"/>
      <c r="AF13408" s="3"/>
      <c r="AG13408" s="3"/>
      <c r="AH13408" s="3"/>
    </row>
    <row r="13409" spans="1:34" ht="14.25" customHeight="1" x14ac:dyDescent="0.25">
      <c r="A13409" s="3"/>
      <c r="B13409" s="3"/>
      <c r="C13409" s="3"/>
      <c r="D13409" s="3"/>
      <c r="E13409" s="3"/>
      <c r="F13409" s="3"/>
      <c r="G13409" s="3"/>
      <c r="H13409" s="11"/>
      <c r="I13409" s="12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  <c r="AA13409" s="3"/>
      <c r="AB13409" s="3"/>
      <c r="AC13409" s="3"/>
      <c r="AD13409" s="3"/>
      <c r="AE13409" s="3"/>
      <c r="AF13409" s="3"/>
      <c r="AG13409" s="3"/>
      <c r="AH13409" s="3"/>
    </row>
    <row r="13410" spans="1:34" ht="14.25" customHeight="1" x14ac:dyDescent="0.25">
      <c r="A13410" s="3"/>
      <c r="B13410" s="3"/>
      <c r="C13410" s="3"/>
      <c r="D13410" s="3"/>
      <c r="E13410" s="3"/>
      <c r="F13410" s="3"/>
      <c r="G13410" s="3"/>
      <c r="H13410" s="11"/>
      <c r="I13410" s="12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  <c r="AA13410" s="3"/>
      <c r="AB13410" s="3"/>
      <c r="AC13410" s="3"/>
      <c r="AD13410" s="3"/>
      <c r="AE13410" s="3"/>
      <c r="AF13410" s="3"/>
      <c r="AG13410" s="3"/>
      <c r="AH13410" s="3"/>
    </row>
    <row r="13411" spans="1:34" ht="14.25" customHeight="1" x14ac:dyDescent="0.25">
      <c r="A13411" s="3"/>
      <c r="B13411" s="3"/>
      <c r="C13411" s="3"/>
      <c r="D13411" s="3"/>
      <c r="E13411" s="3"/>
      <c r="F13411" s="3"/>
      <c r="G13411" s="3"/>
      <c r="H13411" s="11"/>
      <c r="I13411" s="12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  <c r="AA13411" s="3"/>
      <c r="AB13411" s="3"/>
      <c r="AC13411" s="3"/>
      <c r="AD13411" s="3"/>
      <c r="AE13411" s="3"/>
      <c r="AF13411" s="3"/>
      <c r="AG13411" s="3"/>
      <c r="AH13411" s="3"/>
    </row>
    <row r="13412" spans="1:34" ht="14.25" customHeight="1" x14ac:dyDescent="0.25">
      <c r="A13412" s="3"/>
      <c r="B13412" s="3"/>
      <c r="C13412" s="3"/>
      <c r="D13412" s="3"/>
      <c r="E13412" s="3"/>
      <c r="F13412" s="3"/>
      <c r="G13412" s="3"/>
      <c r="H13412" s="11"/>
      <c r="I13412" s="12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  <c r="AA13412" s="3"/>
      <c r="AB13412" s="3"/>
      <c r="AC13412" s="3"/>
      <c r="AD13412" s="3"/>
      <c r="AE13412" s="3"/>
      <c r="AF13412" s="3"/>
      <c r="AG13412" s="3"/>
      <c r="AH13412" s="3"/>
    </row>
    <row r="13413" spans="1:34" ht="14.25" customHeight="1" x14ac:dyDescent="0.25">
      <c r="A13413" s="3"/>
      <c r="B13413" s="3"/>
      <c r="C13413" s="3"/>
      <c r="D13413" s="3"/>
      <c r="E13413" s="3"/>
      <c r="F13413" s="3"/>
      <c r="G13413" s="3"/>
      <c r="H13413" s="11"/>
      <c r="I13413" s="12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  <c r="AA13413" s="3"/>
      <c r="AB13413" s="3"/>
      <c r="AC13413" s="3"/>
      <c r="AD13413" s="3"/>
      <c r="AE13413" s="3"/>
      <c r="AF13413" s="3"/>
      <c r="AG13413" s="3"/>
      <c r="AH13413" s="3"/>
    </row>
    <row r="13414" spans="1:34" ht="14.25" customHeight="1" x14ac:dyDescent="0.25">
      <c r="A13414" s="3"/>
      <c r="B13414" s="3"/>
      <c r="C13414" s="3"/>
      <c r="D13414" s="3"/>
      <c r="E13414" s="3"/>
      <c r="F13414" s="3"/>
      <c r="G13414" s="3"/>
      <c r="H13414" s="11"/>
      <c r="I13414" s="12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  <c r="AA13414" s="3"/>
      <c r="AB13414" s="3"/>
      <c r="AC13414" s="3"/>
      <c r="AD13414" s="3"/>
      <c r="AE13414" s="3"/>
      <c r="AF13414" s="3"/>
      <c r="AG13414" s="3"/>
      <c r="AH13414" s="3"/>
    </row>
    <row r="13415" spans="1:34" ht="14.25" customHeight="1" x14ac:dyDescent="0.25">
      <c r="A13415" s="3"/>
      <c r="B13415" s="3"/>
      <c r="C13415" s="3"/>
      <c r="D13415" s="3"/>
      <c r="E13415" s="3"/>
      <c r="F13415" s="3"/>
      <c r="G13415" s="3"/>
      <c r="H13415" s="11"/>
      <c r="I13415" s="12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  <c r="AA13415" s="3"/>
      <c r="AB13415" s="3"/>
      <c r="AC13415" s="3"/>
      <c r="AD13415" s="3"/>
      <c r="AE13415" s="3"/>
      <c r="AF13415" s="3"/>
      <c r="AG13415" s="3"/>
      <c r="AH13415" s="3"/>
    </row>
    <row r="13416" spans="1:34" ht="14.25" customHeight="1" x14ac:dyDescent="0.25">
      <c r="A13416" s="3"/>
      <c r="B13416" s="3"/>
      <c r="C13416" s="3"/>
      <c r="D13416" s="3"/>
      <c r="E13416" s="3"/>
      <c r="F13416" s="3"/>
      <c r="G13416" s="3"/>
      <c r="H13416" s="11"/>
      <c r="I13416" s="12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  <c r="AA13416" s="3"/>
      <c r="AB13416" s="3"/>
      <c r="AC13416" s="3"/>
      <c r="AD13416" s="3"/>
      <c r="AE13416" s="3"/>
      <c r="AF13416" s="3"/>
      <c r="AG13416" s="3"/>
      <c r="AH13416" s="3"/>
    </row>
    <row r="13417" spans="1:34" ht="14.25" customHeight="1" x14ac:dyDescent="0.25">
      <c r="A13417" s="3"/>
      <c r="B13417" s="3"/>
      <c r="C13417" s="3"/>
      <c r="D13417" s="3"/>
      <c r="E13417" s="3"/>
      <c r="F13417" s="3"/>
      <c r="G13417" s="3"/>
      <c r="H13417" s="11"/>
      <c r="I13417" s="12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  <c r="AA13417" s="3"/>
      <c r="AB13417" s="3"/>
      <c r="AC13417" s="3"/>
      <c r="AD13417" s="3"/>
      <c r="AE13417" s="3"/>
      <c r="AF13417" s="3"/>
      <c r="AG13417" s="3"/>
      <c r="AH13417" s="3"/>
    </row>
    <row r="13418" spans="1:34" ht="14.25" customHeight="1" x14ac:dyDescent="0.25">
      <c r="A13418" s="3"/>
      <c r="B13418" s="3"/>
      <c r="C13418" s="3"/>
      <c r="D13418" s="3"/>
      <c r="E13418" s="3"/>
      <c r="F13418" s="3"/>
      <c r="G13418" s="3"/>
      <c r="H13418" s="11"/>
      <c r="I13418" s="12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  <c r="AA13418" s="3"/>
      <c r="AB13418" s="3"/>
      <c r="AC13418" s="3"/>
      <c r="AD13418" s="3"/>
      <c r="AE13418" s="3"/>
      <c r="AF13418" s="3"/>
      <c r="AG13418" s="3"/>
      <c r="AH13418" s="3"/>
    </row>
    <row r="13419" spans="1:34" ht="14.25" customHeight="1" x14ac:dyDescent="0.25">
      <c r="A13419" s="3"/>
      <c r="B13419" s="3"/>
      <c r="C13419" s="3"/>
      <c r="D13419" s="3"/>
      <c r="E13419" s="3"/>
      <c r="F13419" s="3"/>
      <c r="G13419" s="3"/>
      <c r="H13419" s="11"/>
      <c r="I13419" s="12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  <c r="AA13419" s="3"/>
      <c r="AB13419" s="3"/>
      <c r="AC13419" s="3"/>
      <c r="AD13419" s="3"/>
      <c r="AE13419" s="3"/>
      <c r="AF13419" s="3"/>
      <c r="AG13419" s="3"/>
      <c r="AH13419" s="3"/>
    </row>
    <row r="13420" spans="1:34" ht="14.25" customHeight="1" x14ac:dyDescent="0.25">
      <c r="A13420" s="3"/>
      <c r="B13420" s="3"/>
      <c r="C13420" s="3"/>
      <c r="D13420" s="3"/>
      <c r="E13420" s="3"/>
      <c r="F13420" s="3"/>
      <c r="G13420" s="3"/>
      <c r="H13420" s="11"/>
      <c r="I13420" s="12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  <c r="AA13420" s="3"/>
      <c r="AB13420" s="3"/>
      <c r="AC13420" s="3"/>
      <c r="AD13420" s="3"/>
      <c r="AE13420" s="3"/>
      <c r="AF13420" s="3"/>
      <c r="AG13420" s="3"/>
      <c r="AH13420" s="3"/>
    </row>
    <row r="13421" spans="1:34" ht="14.25" customHeight="1" x14ac:dyDescent="0.25">
      <c r="A13421" s="3"/>
      <c r="B13421" s="3"/>
      <c r="C13421" s="3"/>
      <c r="D13421" s="3"/>
      <c r="E13421" s="3"/>
      <c r="F13421" s="3"/>
      <c r="G13421" s="3"/>
      <c r="H13421" s="11"/>
      <c r="I13421" s="12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  <c r="AA13421" s="3"/>
      <c r="AB13421" s="3"/>
      <c r="AC13421" s="3"/>
      <c r="AD13421" s="3"/>
      <c r="AE13421" s="3"/>
      <c r="AF13421" s="3"/>
      <c r="AG13421" s="3"/>
      <c r="AH13421" s="3"/>
    </row>
    <row r="13422" spans="1:34" ht="14.25" customHeight="1" x14ac:dyDescent="0.25">
      <c r="A13422" s="3"/>
      <c r="B13422" s="3"/>
      <c r="C13422" s="3"/>
      <c r="D13422" s="3"/>
      <c r="E13422" s="3"/>
      <c r="F13422" s="3"/>
      <c r="G13422" s="3"/>
      <c r="H13422" s="11"/>
      <c r="I13422" s="12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  <c r="AA13422" s="3"/>
      <c r="AB13422" s="3"/>
      <c r="AC13422" s="3"/>
      <c r="AD13422" s="3"/>
      <c r="AE13422" s="3"/>
      <c r="AF13422" s="3"/>
      <c r="AG13422" s="3"/>
      <c r="AH13422" s="3"/>
    </row>
    <row r="13423" spans="1:34" ht="14.25" customHeight="1" x14ac:dyDescent="0.25">
      <c r="A13423" s="3"/>
      <c r="B13423" s="3"/>
      <c r="C13423" s="3"/>
      <c r="D13423" s="3"/>
      <c r="E13423" s="3"/>
      <c r="F13423" s="3"/>
      <c r="G13423" s="3"/>
      <c r="H13423" s="11"/>
      <c r="I13423" s="12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  <c r="AA13423" s="3"/>
      <c r="AB13423" s="3"/>
      <c r="AC13423" s="3"/>
      <c r="AD13423" s="3"/>
      <c r="AE13423" s="3"/>
      <c r="AF13423" s="3"/>
      <c r="AG13423" s="3"/>
      <c r="AH13423" s="3"/>
    </row>
    <row r="13424" spans="1:34" ht="14.25" customHeight="1" x14ac:dyDescent="0.25">
      <c r="A13424" s="3"/>
      <c r="B13424" s="3"/>
      <c r="C13424" s="3"/>
      <c r="D13424" s="3"/>
      <c r="E13424" s="3"/>
      <c r="F13424" s="3"/>
      <c r="G13424" s="3"/>
      <c r="H13424" s="11"/>
      <c r="I13424" s="12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  <c r="AA13424" s="3"/>
      <c r="AB13424" s="3"/>
      <c r="AC13424" s="3"/>
      <c r="AD13424" s="3"/>
      <c r="AE13424" s="3"/>
      <c r="AF13424" s="3"/>
      <c r="AG13424" s="3"/>
      <c r="AH13424" s="3"/>
    </row>
    <row r="13425" spans="1:34" ht="14.25" customHeight="1" x14ac:dyDescent="0.25">
      <c r="A13425" s="3"/>
      <c r="B13425" s="3"/>
      <c r="C13425" s="3"/>
      <c r="D13425" s="3"/>
      <c r="E13425" s="3"/>
      <c r="F13425" s="3"/>
      <c r="G13425" s="3"/>
      <c r="H13425" s="11"/>
      <c r="I13425" s="12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  <c r="AA13425" s="3"/>
      <c r="AB13425" s="3"/>
      <c r="AC13425" s="3"/>
      <c r="AD13425" s="3"/>
      <c r="AE13425" s="3"/>
      <c r="AF13425" s="3"/>
      <c r="AG13425" s="3"/>
      <c r="AH13425" s="3"/>
    </row>
    <row r="13426" spans="1:34" ht="14.25" customHeight="1" x14ac:dyDescent="0.25">
      <c r="A13426" s="3"/>
      <c r="B13426" s="3"/>
      <c r="C13426" s="3"/>
      <c r="D13426" s="3"/>
      <c r="E13426" s="3"/>
      <c r="F13426" s="3"/>
      <c r="G13426" s="3"/>
      <c r="H13426" s="11"/>
      <c r="I13426" s="12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  <c r="AA13426" s="3"/>
      <c r="AB13426" s="3"/>
      <c r="AC13426" s="3"/>
      <c r="AD13426" s="3"/>
      <c r="AE13426" s="3"/>
      <c r="AF13426" s="3"/>
      <c r="AG13426" s="3"/>
      <c r="AH13426" s="3"/>
    </row>
    <row r="13427" spans="1:34" ht="14.25" customHeight="1" x14ac:dyDescent="0.25">
      <c r="A13427" s="3"/>
      <c r="B13427" s="3"/>
      <c r="C13427" s="3"/>
      <c r="D13427" s="3"/>
      <c r="E13427" s="3"/>
      <c r="F13427" s="3"/>
      <c r="G13427" s="3"/>
      <c r="H13427" s="11"/>
      <c r="I13427" s="12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  <c r="AA13427" s="3"/>
      <c r="AB13427" s="3"/>
      <c r="AC13427" s="3"/>
      <c r="AD13427" s="3"/>
      <c r="AE13427" s="3"/>
      <c r="AF13427" s="3"/>
      <c r="AG13427" s="3"/>
      <c r="AH13427" s="3"/>
    </row>
    <row r="13428" spans="1:34" ht="14.25" customHeight="1" x14ac:dyDescent="0.25">
      <c r="A13428" s="3"/>
      <c r="B13428" s="3"/>
      <c r="C13428" s="3"/>
      <c r="D13428" s="3"/>
      <c r="E13428" s="3"/>
      <c r="F13428" s="3"/>
      <c r="G13428" s="3"/>
      <c r="H13428" s="11"/>
      <c r="I13428" s="12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  <c r="AA13428" s="3"/>
      <c r="AB13428" s="3"/>
      <c r="AC13428" s="3"/>
      <c r="AD13428" s="3"/>
      <c r="AE13428" s="3"/>
      <c r="AF13428" s="3"/>
      <c r="AG13428" s="3"/>
      <c r="AH13428" s="3"/>
    </row>
    <row r="13429" spans="1:34" ht="14.25" customHeight="1" x14ac:dyDescent="0.25">
      <c r="A13429" s="3"/>
      <c r="B13429" s="3"/>
      <c r="C13429" s="3"/>
      <c r="D13429" s="3"/>
      <c r="E13429" s="3"/>
      <c r="F13429" s="3"/>
      <c r="G13429" s="3"/>
      <c r="H13429" s="11"/>
      <c r="I13429" s="12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  <c r="AA13429" s="3"/>
      <c r="AB13429" s="3"/>
      <c r="AC13429" s="3"/>
      <c r="AD13429" s="3"/>
      <c r="AE13429" s="3"/>
      <c r="AF13429" s="3"/>
      <c r="AG13429" s="3"/>
      <c r="AH13429" s="3"/>
    </row>
    <row r="13430" spans="1:34" ht="14.25" customHeight="1" x14ac:dyDescent="0.25">
      <c r="A13430" s="3"/>
      <c r="B13430" s="3"/>
      <c r="C13430" s="3"/>
      <c r="D13430" s="3"/>
      <c r="E13430" s="3"/>
      <c r="F13430" s="3"/>
      <c r="G13430" s="3"/>
      <c r="H13430" s="11"/>
      <c r="I13430" s="12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  <c r="AA13430" s="3"/>
      <c r="AB13430" s="3"/>
      <c r="AC13430" s="3"/>
      <c r="AD13430" s="3"/>
      <c r="AE13430" s="3"/>
      <c r="AF13430" s="3"/>
      <c r="AG13430" s="3"/>
      <c r="AH13430" s="3"/>
    </row>
    <row r="13431" spans="1:34" ht="14.25" customHeight="1" x14ac:dyDescent="0.25">
      <c r="A13431" s="3"/>
      <c r="B13431" s="3"/>
      <c r="C13431" s="3"/>
      <c r="D13431" s="3"/>
      <c r="E13431" s="3"/>
      <c r="F13431" s="3"/>
      <c r="G13431" s="3"/>
      <c r="H13431" s="11"/>
      <c r="I13431" s="12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  <c r="AA13431" s="3"/>
      <c r="AB13431" s="3"/>
      <c r="AC13431" s="3"/>
      <c r="AD13431" s="3"/>
      <c r="AE13431" s="3"/>
      <c r="AF13431" s="3"/>
      <c r="AG13431" s="3"/>
      <c r="AH13431" s="3"/>
    </row>
    <row r="13432" spans="1:34" ht="14.25" customHeight="1" x14ac:dyDescent="0.25">
      <c r="A13432" s="3"/>
      <c r="B13432" s="3"/>
      <c r="C13432" s="3"/>
      <c r="D13432" s="3"/>
      <c r="E13432" s="3"/>
      <c r="F13432" s="3"/>
      <c r="G13432" s="3"/>
      <c r="H13432" s="11"/>
      <c r="I13432" s="12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  <c r="AA13432" s="3"/>
      <c r="AB13432" s="3"/>
      <c r="AC13432" s="3"/>
      <c r="AD13432" s="3"/>
      <c r="AE13432" s="3"/>
      <c r="AF13432" s="3"/>
      <c r="AG13432" s="3"/>
      <c r="AH13432" s="3"/>
    </row>
    <row r="13433" spans="1:34" ht="14.25" customHeight="1" x14ac:dyDescent="0.25">
      <c r="A13433" s="3"/>
      <c r="B13433" s="3"/>
      <c r="C13433" s="3"/>
      <c r="D13433" s="3"/>
      <c r="E13433" s="3"/>
      <c r="F13433" s="3"/>
      <c r="G13433" s="3"/>
      <c r="H13433" s="11"/>
      <c r="I13433" s="12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  <c r="AA13433" s="3"/>
      <c r="AB13433" s="3"/>
      <c r="AC13433" s="3"/>
      <c r="AD13433" s="3"/>
      <c r="AE13433" s="3"/>
      <c r="AF13433" s="3"/>
      <c r="AG13433" s="3"/>
      <c r="AH13433" s="3"/>
    </row>
    <row r="13434" spans="1:34" ht="14.25" customHeight="1" x14ac:dyDescent="0.25">
      <c r="A13434" s="3"/>
      <c r="B13434" s="3"/>
      <c r="C13434" s="3"/>
      <c r="D13434" s="3"/>
      <c r="E13434" s="3"/>
      <c r="F13434" s="3"/>
      <c r="G13434" s="3"/>
      <c r="H13434" s="11"/>
      <c r="I13434" s="12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  <c r="AA13434" s="3"/>
      <c r="AB13434" s="3"/>
      <c r="AC13434" s="3"/>
      <c r="AD13434" s="3"/>
      <c r="AE13434" s="3"/>
      <c r="AF13434" s="3"/>
      <c r="AG13434" s="3"/>
      <c r="AH13434" s="3"/>
    </row>
    <row r="13435" spans="1:34" ht="14.25" customHeight="1" x14ac:dyDescent="0.25">
      <c r="A13435" s="3"/>
      <c r="B13435" s="3"/>
      <c r="C13435" s="3"/>
      <c r="D13435" s="3"/>
      <c r="E13435" s="3"/>
      <c r="F13435" s="3"/>
      <c r="G13435" s="3"/>
      <c r="H13435" s="11"/>
      <c r="I13435" s="12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  <c r="AA13435" s="3"/>
      <c r="AB13435" s="3"/>
      <c r="AC13435" s="3"/>
      <c r="AD13435" s="3"/>
      <c r="AE13435" s="3"/>
      <c r="AF13435" s="3"/>
      <c r="AG13435" s="3"/>
      <c r="AH13435" s="3"/>
    </row>
    <row r="13436" spans="1:34" ht="14.25" customHeight="1" x14ac:dyDescent="0.25">
      <c r="A13436" s="3"/>
      <c r="B13436" s="3"/>
      <c r="C13436" s="3"/>
      <c r="D13436" s="3"/>
      <c r="E13436" s="3"/>
      <c r="F13436" s="3"/>
      <c r="G13436" s="3"/>
      <c r="H13436" s="11"/>
      <c r="I13436" s="12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  <c r="AA13436" s="3"/>
      <c r="AB13436" s="3"/>
      <c r="AC13436" s="3"/>
      <c r="AD13436" s="3"/>
      <c r="AE13436" s="3"/>
      <c r="AF13436" s="3"/>
      <c r="AG13436" s="3"/>
      <c r="AH13436" s="3"/>
    </row>
    <row r="13437" spans="1:34" ht="14.25" customHeight="1" x14ac:dyDescent="0.25">
      <c r="A13437" s="3"/>
      <c r="B13437" s="3"/>
      <c r="C13437" s="3"/>
      <c r="D13437" s="3"/>
      <c r="E13437" s="3"/>
      <c r="F13437" s="3"/>
      <c r="G13437" s="3"/>
      <c r="H13437" s="11"/>
      <c r="I13437" s="12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  <c r="AA13437" s="3"/>
      <c r="AB13437" s="3"/>
      <c r="AC13437" s="3"/>
      <c r="AD13437" s="3"/>
      <c r="AE13437" s="3"/>
      <c r="AF13437" s="3"/>
      <c r="AG13437" s="3"/>
      <c r="AH13437" s="3"/>
    </row>
    <row r="13438" spans="1:34" ht="14.25" customHeight="1" x14ac:dyDescent="0.25">
      <c r="A13438" s="3"/>
      <c r="B13438" s="3"/>
      <c r="C13438" s="3"/>
      <c r="D13438" s="3"/>
      <c r="E13438" s="3"/>
      <c r="F13438" s="3"/>
      <c r="G13438" s="3"/>
      <c r="H13438" s="11"/>
      <c r="I13438" s="12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  <c r="AA13438" s="3"/>
      <c r="AB13438" s="3"/>
      <c r="AC13438" s="3"/>
      <c r="AD13438" s="3"/>
      <c r="AE13438" s="3"/>
      <c r="AF13438" s="3"/>
      <c r="AG13438" s="3"/>
      <c r="AH13438" s="3"/>
    </row>
    <row r="13439" spans="1:34" ht="14.25" customHeight="1" x14ac:dyDescent="0.25">
      <c r="A13439" s="3"/>
      <c r="B13439" s="3"/>
      <c r="C13439" s="3"/>
      <c r="D13439" s="3"/>
      <c r="E13439" s="3"/>
      <c r="F13439" s="3"/>
      <c r="G13439" s="3"/>
      <c r="H13439" s="11"/>
      <c r="I13439" s="12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  <c r="AA13439" s="3"/>
      <c r="AB13439" s="3"/>
      <c r="AC13439" s="3"/>
      <c r="AD13439" s="3"/>
      <c r="AE13439" s="3"/>
      <c r="AF13439" s="3"/>
      <c r="AG13439" s="3"/>
      <c r="AH13439" s="3"/>
    </row>
    <row r="13440" spans="1:34" ht="14.25" customHeight="1" x14ac:dyDescent="0.25">
      <c r="A13440" s="3"/>
      <c r="B13440" s="3"/>
      <c r="C13440" s="3"/>
      <c r="D13440" s="3"/>
      <c r="E13440" s="3"/>
      <c r="F13440" s="3"/>
      <c r="G13440" s="3"/>
      <c r="H13440" s="11"/>
      <c r="I13440" s="12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  <c r="AA13440" s="3"/>
      <c r="AB13440" s="3"/>
      <c r="AC13440" s="3"/>
      <c r="AD13440" s="3"/>
      <c r="AE13440" s="3"/>
      <c r="AF13440" s="3"/>
      <c r="AG13440" s="3"/>
      <c r="AH13440" s="3"/>
    </row>
    <row r="13441" spans="1:34" ht="14.25" customHeight="1" x14ac:dyDescent="0.25">
      <c r="A13441" s="3"/>
      <c r="B13441" s="3"/>
      <c r="C13441" s="3"/>
      <c r="D13441" s="3"/>
      <c r="E13441" s="3"/>
      <c r="F13441" s="3"/>
      <c r="G13441" s="3"/>
      <c r="H13441" s="11"/>
      <c r="I13441" s="12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  <c r="AA13441" s="3"/>
      <c r="AB13441" s="3"/>
      <c r="AC13441" s="3"/>
      <c r="AD13441" s="3"/>
      <c r="AE13441" s="3"/>
      <c r="AF13441" s="3"/>
      <c r="AG13441" s="3"/>
      <c r="AH13441" s="3"/>
    </row>
    <row r="13442" spans="1:34" ht="14.25" customHeight="1" x14ac:dyDescent="0.25">
      <c r="A13442" s="3"/>
      <c r="B13442" s="3"/>
      <c r="C13442" s="3"/>
      <c r="D13442" s="3"/>
      <c r="E13442" s="3"/>
      <c r="F13442" s="3"/>
      <c r="G13442" s="3"/>
      <c r="H13442" s="11"/>
      <c r="I13442" s="12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  <c r="AA13442" s="3"/>
      <c r="AB13442" s="3"/>
      <c r="AC13442" s="3"/>
      <c r="AD13442" s="3"/>
      <c r="AE13442" s="3"/>
      <c r="AF13442" s="3"/>
      <c r="AG13442" s="3"/>
      <c r="AH13442" s="3"/>
    </row>
    <row r="13443" spans="1:34" ht="14.25" customHeight="1" x14ac:dyDescent="0.25">
      <c r="A13443" s="3"/>
      <c r="B13443" s="3"/>
      <c r="C13443" s="3"/>
      <c r="D13443" s="3"/>
      <c r="E13443" s="3"/>
      <c r="F13443" s="3"/>
      <c r="G13443" s="3"/>
      <c r="H13443" s="11"/>
      <c r="I13443" s="12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  <c r="AA13443" s="3"/>
      <c r="AB13443" s="3"/>
      <c r="AC13443" s="3"/>
      <c r="AD13443" s="3"/>
      <c r="AE13443" s="3"/>
      <c r="AF13443" s="3"/>
      <c r="AG13443" s="3"/>
      <c r="AH13443" s="3"/>
    </row>
    <row r="13444" spans="1:34" ht="14.25" customHeight="1" x14ac:dyDescent="0.25">
      <c r="A13444" s="3"/>
      <c r="B13444" s="3"/>
      <c r="C13444" s="3"/>
      <c r="D13444" s="3"/>
      <c r="E13444" s="3"/>
      <c r="F13444" s="3"/>
      <c r="G13444" s="3"/>
      <c r="H13444" s="11"/>
      <c r="I13444" s="12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  <c r="AA13444" s="3"/>
      <c r="AB13444" s="3"/>
      <c r="AC13444" s="3"/>
      <c r="AD13444" s="3"/>
      <c r="AE13444" s="3"/>
      <c r="AF13444" s="3"/>
      <c r="AG13444" s="3"/>
      <c r="AH13444" s="3"/>
    </row>
    <row r="13445" spans="1:34" ht="14.25" customHeight="1" x14ac:dyDescent="0.25">
      <c r="A13445" s="3"/>
      <c r="B13445" s="3"/>
      <c r="C13445" s="3"/>
      <c r="D13445" s="3"/>
      <c r="E13445" s="3"/>
      <c r="F13445" s="3"/>
      <c r="G13445" s="3"/>
      <c r="H13445" s="11"/>
      <c r="I13445" s="12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  <c r="AA13445" s="3"/>
      <c r="AB13445" s="3"/>
      <c r="AC13445" s="3"/>
      <c r="AD13445" s="3"/>
      <c r="AE13445" s="3"/>
      <c r="AF13445" s="3"/>
      <c r="AG13445" s="3"/>
      <c r="AH13445" s="3"/>
    </row>
    <row r="13446" spans="1:34" ht="14.25" customHeight="1" x14ac:dyDescent="0.25">
      <c r="A13446" s="3"/>
      <c r="B13446" s="3"/>
      <c r="C13446" s="3"/>
      <c r="D13446" s="3"/>
      <c r="E13446" s="3"/>
      <c r="F13446" s="3"/>
      <c r="G13446" s="3"/>
      <c r="H13446" s="11"/>
      <c r="I13446" s="12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  <c r="AA13446" s="3"/>
      <c r="AB13446" s="3"/>
      <c r="AC13446" s="3"/>
      <c r="AD13446" s="3"/>
      <c r="AE13446" s="3"/>
      <c r="AF13446" s="3"/>
      <c r="AG13446" s="3"/>
      <c r="AH13446" s="3"/>
    </row>
    <row r="13447" spans="1:34" ht="14.25" customHeight="1" x14ac:dyDescent="0.25">
      <c r="A13447" s="3"/>
      <c r="B13447" s="3"/>
      <c r="C13447" s="3"/>
      <c r="D13447" s="3"/>
      <c r="E13447" s="3"/>
      <c r="F13447" s="3"/>
      <c r="G13447" s="3"/>
      <c r="H13447" s="11"/>
      <c r="I13447" s="12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  <c r="AA13447" s="3"/>
      <c r="AB13447" s="3"/>
      <c r="AC13447" s="3"/>
      <c r="AD13447" s="3"/>
      <c r="AE13447" s="3"/>
      <c r="AF13447" s="3"/>
      <c r="AG13447" s="3"/>
      <c r="AH13447" s="3"/>
    </row>
    <row r="13448" spans="1:34" ht="14.25" customHeight="1" x14ac:dyDescent="0.25">
      <c r="A13448" s="3"/>
      <c r="B13448" s="3"/>
      <c r="C13448" s="3"/>
      <c r="D13448" s="3"/>
      <c r="E13448" s="3"/>
      <c r="F13448" s="3"/>
      <c r="G13448" s="3"/>
      <c r="H13448" s="11"/>
      <c r="I13448" s="12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  <c r="AA13448" s="3"/>
      <c r="AB13448" s="3"/>
      <c r="AC13448" s="3"/>
      <c r="AD13448" s="3"/>
      <c r="AE13448" s="3"/>
      <c r="AF13448" s="3"/>
      <c r="AG13448" s="3"/>
      <c r="AH13448" s="3"/>
    </row>
    <row r="13449" spans="1:34" ht="14.25" customHeight="1" x14ac:dyDescent="0.25">
      <c r="A13449" s="3"/>
      <c r="B13449" s="3"/>
      <c r="C13449" s="3"/>
      <c r="D13449" s="3"/>
      <c r="E13449" s="3"/>
      <c r="F13449" s="3"/>
      <c r="G13449" s="3"/>
      <c r="H13449" s="11"/>
      <c r="I13449" s="12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  <c r="AA13449" s="3"/>
      <c r="AB13449" s="3"/>
      <c r="AC13449" s="3"/>
      <c r="AD13449" s="3"/>
      <c r="AE13449" s="3"/>
      <c r="AF13449" s="3"/>
      <c r="AG13449" s="3"/>
      <c r="AH13449" s="3"/>
    </row>
    <row r="13450" spans="1:34" ht="14.25" customHeight="1" x14ac:dyDescent="0.25">
      <c r="A13450" s="3"/>
      <c r="B13450" s="3"/>
      <c r="C13450" s="3"/>
      <c r="D13450" s="3"/>
      <c r="E13450" s="3"/>
      <c r="F13450" s="3"/>
      <c r="G13450" s="3"/>
      <c r="H13450" s="11"/>
      <c r="I13450" s="12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  <c r="AA13450" s="3"/>
      <c r="AB13450" s="3"/>
      <c r="AC13450" s="3"/>
      <c r="AD13450" s="3"/>
      <c r="AE13450" s="3"/>
      <c r="AF13450" s="3"/>
      <c r="AG13450" s="3"/>
      <c r="AH13450" s="3"/>
    </row>
    <row r="13451" spans="1:34" ht="14.25" customHeight="1" x14ac:dyDescent="0.25">
      <c r="A13451" s="3"/>
      <c r="B13451" s="3"/>
      <c r="C13451" s="3"/>
      <c r="D13451" s="3"/>
      <c r="E13451" s="3"/>
      <c r="F13451" s="3"/>
      <c r="G13451" s="3"/>
      <c r="H13451" s="11"/>
      <c r="I13451" s="12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  <c r="AA13451" s="3"/>
      <c r="AB13451" s="3"/>
      <c r="AC13451" s="3"/>
      <c r="AD13451" s="3"/>
      <c r="AE13451" s="3"/>
      <c r="AF13451" s="3"/>
      <c r="AG13451" s="3"/>
      <c r="AH13451" s="3"/>
    </row>
    <row r="13452" spans="1:34" ht="14.25" customHeight="1" x14ac:dyDescent="0.25">
      <c r="A13452" s="3"/>
      <c r="B13452" s="3"/>
      <c r="C13452" s="3"/>
      <c r="D13452" s="3"/>
      <c r="E13452" s="3"/>
      <c r="F13452" s="3"/>
      <c r="G13452" s="3"/>
      <c r="H13452" s="11"/>
      <c r="I13452" s="12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  <c r="AA13452" s="3"/>
      <c r="AB13452" s="3"/>
      <c r="AC13452" s="3"/>
      <c r="AD13452" s="3"/>
      <c r="AE13452" s="3"/>
      <c r="AF13452" s="3"/>
      <c r="AG13452" s="3"/>
      <c r="AH13452" s="3"/>
    </row>
    <row r="13453" spans="1:34" ht="14.25" customHeight="1" x14ac:dyDescent="0.25">
      <c r="A13453" s="3"/>
      <c r="B13453" s="3"/>
      <c r="C13453" s="3"/>
      <c r="D13453" s="3"/>
      <c r="E13453" s="3"/>
      <c r="F13453" s="3"/>
      <c r="G13453" s="3"/>
      <c r="H13453" s="11"/>
      <c r="I13453" s="12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  <c r="AA13453" s="3"/>
      <c r="AB13453" s="3"/>
      <c r="AC13453" s="3"/>
      <c r="AD13453" s="3"/>
      <c r="AE13453" s="3"/>
      <c r="AF13453" s="3"/>
      <c r="AG13453" s="3"/>
      <c r="AH13453" s="3"/>
    </row>
    <row r="13454" spans="1:34" ht="14.25" customHeight="1" x14ac:dyDescent="0.25">
      <c r="A13454" s="3"/>
      <c r="B13454" s="3"/>
      <c r="C13454" s="3"/>
      <c r="D13454" s="3"/>
      <c r="E13454" s="3"/>
      <c r="F13454" s="3"/>
      <c r="G13454" s="3"/>
      <c r="H13454" s="11"/>
      <c r="I13454" s="12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  <c r="AA13454" s="3"/>
      <c r="AB13454" s="3"/>
      <c r="AC13454" s="3"/>
      <c r="AD13454" s="3"/>
      <c r="AE13454" s="3"/>
      <c r="AF13454" s="3"/>
      <c r="AG13454" s="3"/>
      <c r="AH13454" s="3"/>
    </row>
    <row r="13455" spans="1:34" ht="14.25" customHeight="1" x14ac:dyDescent="0.25">
      <c r="A13455" s="3"/>
      <c r="B13455" s="3"/>
      <c r="C13455" s="3"/>
      <c r="D13455" s="3"/>
      <c r="E13455" s="3"/>
      <c r="F13455" s="3"/>
      <c r="G13455" s="3"/>
      <c r="H13455" s="11"/>
      <c r="I13455" s="12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  <c r="AA13455" s="3"/>
      <c r="AB13455" s="3"/>
      <c r="AC13455" s="3"/>
      <c r="AD13455" s="3"/>
      <c r="AE13455" s="3"/>
      <c r="AF13455" s="3"/>
      <c r="AG13455" s="3"/>
      <c r="AH13455" s="3"/>
    </row>
    <row r="13456" spans="1:34" ht="14.25" customHeight="1" x14ac:dyDescent="0.25">
      <c r="A13456" s="3"/>
      <c r="B13456" s="3"/>
      <c r="C13456" s="3"/>
      <c r="D13456" s="3"/>
      <c r="E13456" s="3"/>
      <c r="F13456" s="3"/>
      <c r="G13456" s="3"/>
      <c r="H13456" s="11"/>
      <c r="I13456" s="12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  <c r="AA13456" s="3"/>
      <c r="AB13456" s="3"/>
      <c r="AC13456" s="3"/>
      <c r="AD13456" s="3"/>
      <c r="AE13456" s="3"/>
      <c r="AF13456" s="3"/>
      <c r="AG13456" s="3"/>
      <c r="AH13456" s="3"/>
    </row>
    <row r="13457" spans="1:34" ht="14.25" customHeight="1" x14ac:dyDescent="0.25">
      <c r="A13457" s="3"/>
      <c r="B13457" s="3"/>
      <c r="C13457" s="3"/>
      <c r="D13457" s="3"/>
      <c r="E13457" s="3"/>
      <c r="F13457" s="3"/>
      <c r="G13457" s="3"/>
      <c r="H13457" s="11"/>
      <c r="I13457" s="12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  <c r="AA13457" s="3"/>
      <c r="AB13457" s="3"/>
      <c r="AC13457" s="3"/>
      <c r="AD13457" s="3"/>
      <c r="AE13457" s="3"/>
      <c r="AF13457" s="3"/>
      <c r="AG13457" s="3"/>
      <c r="AH13457" s="3"/>
    </row>
    <row r="13458" spans="1:34" ht="14.25" customHeight="1" x14ac:dyDescent="0.25">
      <c r="A13458" s="3"/>
      <c r="B13458" s="3"/>
      <c r="C13458" s="3"/>
      <c r="D13458" s="3"/>
      <c r="E13458" s="3"/>
      <c r="F13458" s="3"/>
      <c r="G13458" s="3"/>
      <c r="H13458" s="11"/>
      <c r="I13458" s="12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  <c r="AA13458" s="3"/>
      <c r="AB13458" s="3"/>
      <c r="AC13458" s="3"/>
      <c r="AD13458" s="3"/>
      <c r="AE13458" s="3"/>
      <c r="AF13458" s="3"/>
      <c r="AG13458" s="3"/>
      <c r="AH13458" s="3"/>
    </row>
    <row r="13459" spans="1:34" ht="14.25" customHeight="1" x14ac:dyDescent="0.25">
      <c r="A13459" s="3"/>
      <c r="B13459" s="3"/>
      <c r="C13459" s="3"/>
      <c r="D13459" s="3"/>
      <c r="E13459" s="3"/>
      <c r="F13459" s="3"/>
      <c r="G13459" s="3"/>
      <c r="H13459" s="11"/>
      <c r="I13459" s="12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  <c r="AA13459" s="3"/>
      <c r="AB13459" s="3"/>
      <c r="AC13459" s="3"/>
      <c r="AD13459" s="3"/>
      <c r="AE13459" s="3"/>
      <c r="AF13459" s="3"/>
      <c r="AG13459" s="3"/>
      <c r="AH13459" s="3"/>
    </row>
    <row r="13460" spans="1:34" ht="14.25" customHeight="1" x14ac:dyDescent="0.25">
      <c r="A13460" s="3"/>
      <c r="B13460" s="3"/>
      <c r="C13460" s="3"/>
      <c r="D13460" s="3"/>
      <c r="E13460" s="3"/>
      <c r="F13460" s="3"/>
      <c r="G13460" s="3"/>
      <c r="H13460" s="11"/>
      <c r="I13460" s="12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  <c r="AA13460" s="3"/>
      <c r="AB13460" s="3"/>
      <c r="AC13460" s="3"/>
      <c r="AD13460" s="3"/>
      <c r="AE13460" s="3"/>
      <c r="AF13460" s="3"/>
      <c r="AG13460" s="3"/>
      <c r="AH13460" s="3"/>
    </row>
    <row r="13461" spans="1:34" ht="14.25" customHeight="1" x14ac:dyDescent="0.25">
      <c r="A13461" s="3"/>
      <c r="B13461" s="3"/>
      <c r="C13461" s="3"/>
      <c r="D13461" s="3"/>
      <c r="E13461" s="3"/>
      <c r="F13461" s="3"/>
      <c r="G13461" s="3"/>
      <c r="H13461" s="11"/>
      <c r="I13461" s="12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  <c r="AA13461" s="3"/>
      <c r="AB13461" s="3"/>
      <c r="AC13461" s="3"/>
      <c r="AD13461" s="3"/>
      <c r="AE13461" s="3"/>
      <c r="AF13461" s="3"/>
      <c r="AG13461" s="3"/>
      <c r="AH13461" s="3"/>
    </row>
    <row r="13462" spans="1:34" ht="14.25" customHeight="1" x14ac:dyDescent="0.25">
      <c r="A13462" s="3"/>
      <c r="B13462" s="3"/>
      <c r="C13462" s="3"/>
      <c r="D13462" s="3"/>
      <c r="E13462" s="3"/>
      <c r="F13462" s="3"/>
      <c r="G13462" s="3"/>
      <c r="H13462" s="11"/>
      <c r="I13462" s="12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  <c r="AA13462" s="3"/>
      <c r="AB13462" s="3"/>
      <c r="AC13462" s="3"/>
      <c r="AD13462" s="3"/>
      <c r="AE13462" s="3"/>
      <c r="AF13462" s="3"/>
      <c r="AG13462" s="3"/>
      <c r="AH13462" s="3"/>
    </row>
    <row r="13463" spans="1:34" ht="14.25" customHeight="1" x14ac:dyDescent="0.25">
      <c r="A13463" s="3"/>
      <c r="B13463" s="3"/>
      <c r="C13463" s="3"/>
      <c r="D13463" s="3"/>
      <c r="E13463" s="3"/>
      <c r="F13463" s="3"/>
      <c r="G13463" s="3"/>
      <c r="H13463" s="11"/>
      <c r="I13463" s="12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  <c r="AA13463" s="3"/>
      <c r="AB13463" s="3"/>
      <c r="AC13463" s="3"/>
      <c r="AD13463" s="3"/>
      <c r="AE13463" s="3"/>
      <c r="AF13463" s="3"/>
      <c r="AG13463" s="3"/>
      <c r="AH13463" s="3"/>
    </row>
    <row r="13464" spans="1:34" ht="14.25" customHeight="1" x14ac:dyDescent="0.25">
      <c r="A13464" s="3"/>
      <c r="B13464" s="3"/>
      <c r="C13464" s="3"/>
      <c r="D13464" s="3"/>
      <c r="E13464" s="3"/>
      <c r="F13464" s="3"/>
      <c r="G13464" s="3"/>
      <c r="H13464" s="11"/>
      <c r="I13464" s="12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  <c r="AA13464" s="3"/>
      <c r="AB13464" s="3"/>
      <c r="AC13464" s="3"/>
      <c r="AD13464" s="3"/>
      <c r="AE13464" s="3"/>
      <c r="AF13464" s="3"/>
      <c r="AG13464" s="3"/>
      <c r="AH13464" s="3"/>
    </row>
    <row r="13465" spans="1:34" ht="14.25" customHeight="1" x14ac:dyDescent="0.25">
      <c r="A13465" s="3"/>
      <c r="B13465" s="3"/>
      <c r="C13465" s="3"/>
      <c r="D13465" s="3"/>
      <c r="E13465" s="3"/>
      <c r="F13465" s="3"/>
      <c r="G13465" s="3"/>
      <c r="H13465" s="11"/>
      <c r="I13465" s="12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  <c r="AA13465" s="3"/>
      <c r="AB13465" s="3"/>
      <c r="AC13465" s="3"/>
      <c r="AD13465" s="3"/>
      <c r="AE13465" s="3"/>
      <c r="AF13465" s="3"/>
      <c r="AG13465" s="3"/>
      <c r="AH13465" s="3"/>
    </row>
    <row r="13466" spans="1:34" ht="14.25" customHeight="1" x14ac:dyDescent="0.25">
      <c r="A13466" s="3"/>
      <c r="B13466" s="3"/>
      <c r="C13466" s="3"/>
      <c r="D13466" s="3"/>
      <c r="E13466" s="3"/>
      <c r="F13466" s="3"/>
      <c r="G13466" s="3"/>
      <c r="H13466" s="11"/>
      <c r="I13466" s="12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  <c r="AA13466" s="3"/>
      <c r="AB13466" s="3"/>
      <c r="AC13466" s="3"/>
      <c r="AD13466" s="3"/>
      <c r="AE13466" s="3"/>
      <c r="AF13466" s="3"/>
      <c r="AG13466" s="3"/>
      <c r="AH13466" s="3"/>
    </row>
    <row r="13467" spans="1:34" ht="14.25" customHeight="1" x14ac:dyDescent="0.25">
      <c r="A13467" s="3"/>
      <c r="B13467" s="3"/>
      <c r="C13467" s="3"/>
      <c r="D13467" s="3"/>
      <c r="E13467" s="3"/>
      <c r="F13467" s="3"/>
      <c r="G13467" s="3"/>
      <c r="H13467" s="11"/>
      <c r="I13467" s="12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  <c r="AA13467" s="3"/>
      <c r="AB13467" s="3"/>
      <c r="AC13467" s="3"/>
      <c r="AD13467" s="3"/>
      <c r="AE13467" s="3"/>
      <c r="AF13467" s="3"/>
      <c r="AG13467" s="3"/>
      <c r="AH13467" s="3"/>
    </row>
    <row r="13468" spans="1:34" ht="14.25" customHeight="1" x14ac:dyDescent="0.25">
      <c r="A13468" s="3"/>
      <c r="B13468" s="3"/>
      <c r="C13468" s="3"/>
      <c r="D13468" s="3"/>
      <c r="E13468" s="3"/>
      <c r="F13468" s="3"/>
      <c r="G13468" s="3"/>
      <c r="H13468" s="11"/>
      <c r="I13468" s="12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  <c r="AA13468" s="3"/>
      <c r="AB13468" s="3"/>
      <c r="AC13468" s="3"/>
      <c r="AD13468" s="3"/>
      <c r="AE13468" s="3"/>
      <c r="AF13468" s="3"/>
      <c r="AG13468" s="3"/>
      <c r="AH13468" s="3"/>
    </row>
    <row r="13469" spans="1:34" ht="14.25" customHeight="1" x14ac:dyDescent="0.25">
      <c r="A13469" s="3"/>
      <c r="B13469" s="3"/>
      <c r="C13469" s="3"/>
      <c r="D13469" s="3"/>
      <c r="E13469" s="3"/>
      <c r="F13469" s="3"/>
      <c r="G13469" s="3"/>
      <c r="H13469" s="11"/>
      <c r="I13469" s="12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  <c r="AA13469" s="3"/>
      <c r="AB13469" s="3"/>
      <c r="AC13469" s="3"/>
      <c r="AD13469" s="3"/>
      <c r="AE13469" s="3"/>
      <c r="AF13469" s="3"/>
      <c r="AG13469" s="3"/>
      <c r="AH13469" s="3"/>
    </row>
    <row r="13470" spans="1:34" ht="14.25" customHeight="1" x14ac:dyDescent="0.25">
      <c r="A13470" s="3"/>
      <c r="B13470" s="3"/>
      <c r="C13470" s="3"/>
      <c r="D13470" s="3"/>
      <c r="E13470" s="3"/>
      <c r="F13470" s="3"/>
      <c r="G13470" s="3"/>
      <c r="H13470" s="11"/>
      <c r="I13470" s="12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  <c r="AA13470" s="3"/>
      <c r="AB13470" s="3"/>
      <c r="AC13470" s="3"/>
      <c r="AD13470" s="3"/>
      <c r="AE13470" s="3"/>
      <c r="AF13470" s="3"/>
      <c r="AG13470" s="3"/>
      <c r="AH13470" s="3"/>
    </row>
    <row r="13471" spans="1:34" ht="14.25" customHeight="1" x14ac:dyDescent="0.25">
      <c r="A13471" s="3"/>
      <c r="B13471" s="3"/>
      <c r="C13471" s="3"/>
      <c r="D13471" s="3"/>
      <c r="E13471" s="3"/>
      <c r="F13471" s="3"/>
      <c r="G13471" s="3"/>
      <c r="H13471" s="11"/>
      <c r="I13471" s="12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  <c r="AA13471" s="3"/>
      <c r="AB13471" s="3"/>
      <c r="AC13471" s="3"/>
      <c r="AD13471" s="3"/>
      <c r="AE13471" s="3"/>
      <c r="AF13471" s="3"/>
      <c r="AG13471" s="3"/>
      <c r="AH13471" s="3"/>
    </row>
    <row r="13472" spans="1:34" ht="14.25" customHeight="1" x14ac:dyDescent="0.25">
      <c r="A13472" s="3"/>
      <c r="B13472" s="3"/>
      <c r="C13472" s="3"/>
      <c r="D13472" s="3"/>
      <c r="E13472" s="3"/>
      <c r="F13472" s="3"/>
      <c r="G13472" s="3"/>
      <c r="H13472" s="11"/>
      <c r="I13472" s="12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  <c r="AA13472" s="3"/>
      <c r="AB13472" s="3"/>
      <c r="AC13472" s="3"/>
      <c r="AD13472" s="3"/>
      <c r="AE13472" s="3"/>
      <c r="AF13472" s="3"/>
      <c r="AG13472" s="3"/>
      <c r="AH13472" s="3"/>
    </row>
    <row r="13473" spans="1:34" ht="14.25" customHeight="1" x14ac:dyDescent="0.25">
      <c r="A13473" s="3"/>
      <c r="B13473" s="3"/>
      <c r="C13473" s="3"/>
      <c r="D13473" s="3"/>
      <c r="E13473" s="3"/>
      <c r="F13473" s="3"/>
      <c r="G13473" s="3"/>
      <c r="H13473" s="11"/>
      <c r="I13473" s="12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  <c r="AA13473" s="3"/>
      <c r="AB13473" s="3"/>
      <c r="AC13473" s="3"/>
      <c r="AD13473" s="3"/>
      <c r="AE13473" s="3"/>
      <c r="AF13473" s="3"/>
      <c r="AG13473" s="3"/>
      <c r="AH13473" s="3"/>
    </row>
    <row r="13474" spans="1:34" ht="14.25" customHeight="1" x14ac:dyDescent="0.25">
      <c r="A13474" s="3"/>
      <c r="B13474" s="3"/>
      <c r="C13474" s="3"/>
      <c r="D13474" s="3"/>
      <c r="E13474" s="3"/>
      <c r="F13474" s="3"/>
      <c r="G13474" s="3"/>
      <c r="H13474" s="11"/>
      <c r="I13474" s="12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  <c r="AA13474" s="3"/>
      <c r="AB13474" s="3"/>
      <c r="AC13474" s="3"/>
      <c r="AD13474" s="3"/>
      <c r="AE13474" s="3"/>
      <c r="AF13474" s="3"/>
      <c r="AG13474" s="3"/>
      <c r="AH13474" s="3"/>
    </row>
    <row r="13475" spans="1:34" ht="14.25" customHeight="1" x14ac:dyDescent="0.25">
      <c r="A13475" s="3"/>
      <c r="B13475" s="3"/>
      <c r="C13475" s="3"/>
      <c r="D13475" s="3"/>
      <c r="E13475" s="3"/>
      <c r="F13475" s="3"/>
      <c r="G13475" s="3"/>
      <c r="H13475" s="11"/>
      <c r="I13475" s="12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  <c r="AA13475" s="3"/>
      <c r="AB13475" s="3"/>
      <c r="AC13475" s="3"/>
      <c r="AD13475" s="3"/>
      <c r="AE13475" s="3"/>
      <c r="AF13475" s="3"/>
      <c r="AG13475" s="3"/>
      <c r="AH13475" s="3"/>
    </row>
    <row r="13476" spans="1:34" ht="14.25" customHeight="1" x14ac:dyDescent="0.25">
      <c r="A13476" s="3"/>
      <c r="B13476" s="3"/>
      <c r="C13476" s="3"/>
      <c r="D13476" s="3"/>
      <c r="E13476" s="3"/>
      <c r="F13476" s="3"/>
      <c r="G13476" s="3"/>
      <c r="H13476" s="11"/>
      <c r="I13476" s="12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  <c r="AA13476" s="3"/>
      <c r="AB13476" s="3"/>
      <c r="AC13476" s="3"/>
      <c r="AD13476" s="3"/>
      <c r="AE13476" s="3"/>
      <c r="AF13476" s="3"/>
      <c r="AG13476" s="3"/>
      <c r="AH13476" s="3"/>
    </row>
    <row r="13477" spans="1:34" ht="14.25" customHeight="1" x14ac:dyDescent="0.25">
      <c r="A13477" s="3"/>
      <c r="B13477" s="3"/>
      <c r="C13477" s="3"/>
      <c r="D13477" s="3"/>
      <c r="E13477" s="3"/>
      <c r="F13477" s="3"/>
      <c r="G13477" s="3"/>
      <c r="H13477" s="11"/>
      <c r="I13477" s="12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  <c r="AA13477" s="3"/>
      <c r="AB13477" s="3"/>
      <c r="AC13477" s="3"/>
      <c r="AD13477" s="3"/>
      <c r="AE13477" s="3"/>
      <c r="AF13477" s="3"/>
      <c r="AG13477" s="3"/>
      <c r="AH13477" s="3"/>
    </row>
    <row r="13478" spans="1:34" ht="14.25" customHeight="1" x14ac:dyDescent="0.25">
      <c r="A13478" s="3"/>
      <c r="B13478" s="3"/>
      <c r="C13478" s="3"/>
      <c r="D13478" s="3"/>
      <c r="E13478" s="3"/>
      <c r="F13478" s="3"/>
      <c r="G13478" s="3"/>
      <c r="H13478" s="11"/>
      <c r="I13478" s="12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  <c r="AA13478" s="3"/>
      <c r="AB13478" s="3"/>
      <c r="AC13478" s="3"/>
      <c r="AD13478" s="3"/>
      <c r="AE13478" s="3"/>
      <c r="AF13478" s="3"/>
      <c r="AG13478" s="3"/>
      <c r="AH13478" s="3"/>
    </row>
    <row r="13479" spans="1:34" ht="14.25" customHeight="1" x14ac:dyDescent="0.25">
      <c r="A13479" s="3"/>
      <c r="B13479" s="3"/>
      <c r="C13479" s="3"/>
      <c r="D13479" s="3"/>
      <c r="E13479" s="3"/>
      <c r="F13479" s="3"/>
      <c r="G13479" s="3"/>
      <c r="H13479" s="11"/>
      <c r="I13479" s="12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  <c r="AA13479" s="3"/>
      <c r="AB13479" s="3"/>
      <c r="AC13479" s="3"/>
      <c r="AD13479" s="3"/>
      <c r="AE13479" s="3"/>
      <c r="AF13479" s="3"/>
      <c r="AG13479" s="3"/>
      <c r="AH13479" s="3"/>
    </row>
    <row r="13480" spans="1:34" ht="14.25" customHeight="1" x14ac:dyDescent="0.25">
      <c r="A13480" s="3"/>
      <c r="B13480" s="3"/>
      <c r="C13480" s="3"/>
      <c r="D13480" s="3"/>
      <c r="E13480" s="3"/>
      <c r="F13480" s="3"/>
      <c r="G13480" s="3"/>
      <c r="H13480" s="11"/>
      <c r="I13480" s="12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  <c r="AA13480" s="3"/>
      <c r="AB13480" s="3"/>
      <c r="AC13480" s="3"/>
      <c r="AD13480" s="3"/>
      <c r="AE13480" s="3"/>
      <c r="AF13480" s="3"/>
      <c r="AG13480" s="3"/>
      <c r="AH13480" s="3"/>
    </row>
    <row r="13481" spans="1:34" ht="14.25" customHeight="1" x14ac:dyDescent="0.25">
      <c r="A13481" s="3"/>
      <c r="B13481" s="3"/>
      <c r="C13481" s="3"/>
      <c r="D13481" s="3"/>
      <c r="E13481" s="3"/>
      <c r="F13481" s="3"/>
      <c r="G13481" s="3"/>
      <c r="H13481" s="11"/>
      <c r="I13481" s="12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  <c r="AA13481" s="3"/>
      <c r="AB13481" s="3"/>
      <c r="AC13481" s="3"/>
      <c r="AD13481" s="3"/>
      <c r="AE13481" s="3"/>
      <c r="AF13481" s="3"/>
      <c r="AG13481" s="3"/>
      <c r="AH13481" s="3"/>
    </row>
    <row r="13482" spans="1:34" ht="14.25" customHeight="1" x14ac:dyDescent="0.25">
      <c r="A13482" s="3"/>
      <c r="B13482" s="3"/>
      <c r="C13482" s="3"/>
      <c r="D13482" s="3"/>
      <c r="E13482" s="3"/>
      <c r="F13482" s="3"/>
      <c r="G13482" s="3"/>
      <c r="H13482" s="11"/>
      <c r="I13482" s="12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  <c r="AA13482" s="3"/>
      <c r="AB13482" s="3"/>
      <c r="AC13482" s="3"/>
      <c r="AD13482" s="3"/>
      <c r="AE13482" s="3"/>
      <c r="AF13482" s="3"/>
      <c r="AG13482" s="3"/>
      <c r="AH13482" s="3"/>
    </row>
    <row r="13483" spans="1:34" ht="14.25" customHeight="1" x14ac:dyDescent="0.25">
      <c r="A13483" s="3"/>
      <c r="B13483" s="3"/>
      <c r="C13483" s="3"/>
      <c r="D13483" s="3"/>
      <c r="E13483" s="3"/>
      <c r="F13483" s="3"/>
      <c r="G13483" s="3"/>
      <c r="H13483" s="11"/>
      <c r="I13483" s="12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  <c r="AA13483" s="3"/>
      <c r="AB13483" s="3"/>
      <c r="AC13483" s="3"/>
      <c r="AD13483" s="3"/>
      <c r="AE13483" s="3"/>
      <c r="AF13483" s="3"/>
      <c r="AG13483" s="3"/>
      <c r="AH13483" s="3"/>
    </row>
    <row r="13484" spans="1:34" ht="14.25" customHeight="1" x14ac:dyDescent="0.25">
      <c r="A13484" s="3"/>
      <c r="B13484" s="3"/>
      <c r="C13484" s="3"/>
      <c r="D13484" s="3"/>
      <c r="E13484" s="3"/>
      <c r="F13484" s="3"/>
      <c r="G13484" s="3"/>
      <c r="H13484" s="11"/>
      <c r="I13484" s="12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  <c r="AA13484" s="3"/>
      <c r="AB13484" s="3"/>
      <c r="AC13484" s="3"/>
      <c r="AD13484" s="3"/>
      <c r="AE13484" s="3"/>
      <c r="AF13484" s="3"/>
      <c r="AG13484" s="3"/>
      <c r="AH13484" s="3"/>
    </row>
    <row r="13485" spans="1:34" ht="14.25" customHeight="1" x14ac:dyDescent="0.25">
      <c r="A13485" s="3"/>
      <c r="B13485" s="3"/>
      <c r="C13485" s="3"/>
      <c r="D13485" s="3"/>
      <c r="E13485" s="3"/>
      <c r="F13485" s="3"/>
      <c r="G13485" s="3"/>
      <c r="H13485" s="11"/>
      <c r="I13485" s="12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  <c r="AA13485" s="3"/>
      <c r="AB13485" s="3"/>
      <c r="AC13485" s="3"/>
      <c r="AD13485" s="3"/>
      <c r="AE13485" s="3"/>
      <c r="AF13485" s="3"/>
      <c r="AG13485" s="3"/>
      <c r="AH13485" s="3"/>
    </row>
    <row r="13486" spans="1:34" ht="14.25" customHeight="1" x14ac:dyDescent="0.25">
      <c r="A13486" s="3"/>
      <c r="B13486" s="3"/>
      <c r="C13486" s="3"/>
      <c r="D13486" s="3"/>
      <c r="E13486" s="3"/>
      <c r="F13486" s="3"/>
      <c r="G13486" s="3"/>
      <c r="H13486" s="11"/>
      <c r="I13486" s="12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  <c r="AA13486" s="3"/>
      <c r="AB13486" s="3"/>
      <c r="AC13486" s="3"/>
      <c r="AD13486" s="3"/>
      <c r="AE13486" s="3"/>
      <c r="AF13486" s="3"/>
      <c r="AG13486" s="3"/>
      <c r="AH13486" s="3"/>
    </row>
    <row r="13487" spans="1:34" ht="14.25" customHeight="1" x14ac:dyDescent="0.25">
      <c r="A13487" s="3"/>
      <c r="B13487" s="3"/>
      <c r="C13487" s="3"/>
      <c r="D13487" s="3"/>
      <c r="E13487" s="3"/>
      <c r="F13487" s="3"/>
      <c r="G13487" s="3"/>
      <c r="H13487" s="11"/>
      <c r="I13487" s="12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  <c r="AA13487" s="3"/>
      <c r="AB13487" s="3"/>
      <c r="AC13487" s="3"/>
      <c r="AD13487" s="3"/>
      <c r="AE13487" s="3"/>
      <c r="AF13487" s="3"/>
      <c r="AG13487" s="3"/>
      <c r="AH13487" s="3"/>
    </row>
    <row r="13488" spans="1:34" ht="14.25" customHeight="1" x14ac:dyDescent="0.25">
      <c r="A13488" s="3"/>
      <c r="B13488" s="3"/>
      <c r="C13488" s="3"/>
      <c r="D13488" s="3"/>
      <c r="E13488" s="3"/>
      <c r="F13488" s="3"/>
      <c r="G13488" s="3"/>
      <c r="H13488" s="11"/>
      <c r="I13488" s="12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  <c r="AA13488" s="3"/>
      <c r="AB13488" s="3"/>
      <c r="AC13488" s="3"/>
      <c r="AD13488" s="3"/>
      <c r="AE13488" s="3"/>
      <c r="AF13488" s="3"/>
      <c r="AG13488" s="3"/>
      <c r="AH13488" s="3"/>
    </row>
    <row r="13489" spans="1:34" ht="14.25" customHeight="1" x14ac:dyDescent="0.25">
      <c r="A13489" s="3"/>
      <c r="B13489" s="3"/>
      <c r="C13489" s="3"/>
      <c r="D13489" s="3"/>
      <c r="E13489" s="3"/>
      <c r="F13489" s="3"/>
      <c r="G13489" s="3"/>
      <c r="H13489" s="11"/>
      <c r="I13489" s="12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  <c r="AA13489" s="3"/>
      <c r="AB13489" s="3"/>
      <c r="AC13489" s="3"/>
      <c r="AD13489" s="3"/>
      <c r="AE13489" s="3"/>
      <c r="AF13489" s="3"/>
      <c r="AG13489" s="3"/>
      <c r="AH13489" s="3"/>
    </row>
    <row r="13490" spans="1:34" ht="14.25" customHeight="1" x14ac:dyDescent="0.25">
      <c r="A13490" s="3"/>
      <c r="B13490" s="3"/>
      <c r="C13490" s="3"/>
      <c r="D13490" s="3"/>
      <c r="E13490" s="3"/>
      <c r="F13490" s="3"/>
      <c r="G13490" s="3"/>
      <c r="H13490" s="11"/>
      <c r="I13490" s="12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  <c r="AA13490" s="3"/>
      <c r="AB13490" s="3"/>
      <c r="AC13490" s="3"/>
      <c r="AD13490" s="3"/>
      <c r="AE13490" s="3"/>
      <c r="AF13490" s="3"/>
      <c r="AG13490" s="3"/>
      <c r="AH13490" s="3"/>
    </row>
    <row r="13491" spans="1:34" ht="14.25" customHeight="1" x14ac:dyDescent="0.25">
      <c r="A13491" s="3"/>
      <c r="B13491" s="3"/>
      <c r="C13491" s="3"/>
      <c r="D13491" s="3"/>
      <c r="E13491" s="3"/>
      <c r="F13491" s="3"/>
      <c r="G13491" s="3"/>
      <c r="H13491" s="11"/>
      <c r="I13491" s="12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  <c r="AA13491" s="3"/>
      <c r="AB13491" s="3"/>
      <c r="AC13491" s="3"/>
      <c r="AD13491" s="3"/>
      <c r="AE13491" s="3"/>
      <c r="AF13491" s="3"/>
      <c r="AG13491" s="3"/>
      <c r="AH13491" s="3"/>
    </row>
    <row r="13492" spans="1:34" ht="14.25" customHeight="1" x14ac:dyDescent="0.25">
      <c r="A13492" s="3"/>
      <c r="B13492" s="3"/>
      <c r="C13492" s="3"/>
      <c r="D13492" s="3"/>
      <c r="E13492" s="3"/>
      <c r="F13492" s="3"/>
      <c r="G13492" s="3"/>
      <c r="H13492" s="11"/>
      <c r="I13492" s="12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  <c r="AA13492" s="3"/>
      <c r="AB13492" s="3"/>
      <c r="AC13492" s="3"/>
      <c r="AD13492" s="3"/>
      <c r="AE13492" s="3"/>
      <c r="AF13492" s="3"/>
      <c r="AG13492" s="3"/>
      <c r="AH13492" s="3"/>
    </row>
    <row r="13493" spans="1:34" ht="14.25" customHeight="1" x14ac:dyDescent="0.25">
      <c r="A13493" s="3"/>
      <c r="B13493" s="3"/>
      <c r="C13493" s="3"/>
      <c r="D13493" s="3"/>
      <c r="E13493" s="3"/>
      <c r="F13493" s="3"/>
      <c r="G13493" s="3"/>
      <c r="H13493" s="11"/>
      <c r="I13493" s="12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  <c r="AA13493" s="3"/>
      <c r="AB13493" s="3"/>
      <c r="AC13493" s="3"/>
      <c r="AD13493" s="3"/>
      <c r="AE13493" s="3"/>
      <c r="AF13493" s="3"/>
      <c r="AG13493" s="3"/>
      <c r="AH13493" s="3"/>
    </row>
    <row r="13494" spans="1:34" ht="14.25" customHeight="1" x14ac:dyDescent="0.25">
      <c r="A13494" s="3"/>
      <c r="B13494" s="3"/>
      <c r="C13494" s="3"/>
      <c r="D13494" s="3"/>
      <c r="E13494" s="3"/>
      <c r="F13494" s="3"/>
      <c r="G13494" s="3"/>
      <c r="H13494" s="11"/>
      <c r="I13494" s="12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  <c r="AA13494" s="3"/>
      <c r="AB13494" s="3"/>
      <c r="AC13494" s="3"/>
      <c r="AD13494" s="3"/>
      <c r="AE13494" s="3"/>
      <c r="AF13494" s="3"/>
      <c r="AG13494" s="3"/>
      <c r="AH13494" s="3"/>
    </row>
    <row r="13495" spans="1:34" ht="14.25" customHeight="1" x14ac:dyDescent="0.25">
      <c r="A13495" s="3"/>
      <c r="B13495" s="3"/>
      <c r="C13495" s="3"/>
      <c r="D13495" s="3"/>
      <c r="E13495" s="3"/>
      <c r="F13495" s="3"/>
      <c r="G13495" s="3"/>
      <c r="H13495" s="11"/>
      <c r="I13495" s="12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  <c r="AA13495" s="3"/>
      <c r="AB13495" s="3"/>
      <c r="AC13495" s="3"/>
      <c r="AD13495" s="3"/>
      <c r="AE13495" s="3"/>
      <c r="AF13495" s="3"/>
      <c r="AG13495" s="3"/>
      <c r="AH13495" s="3"/>
    </row>
    <row r="13496" spans="1:34" ht="14.25" customHeight="1" x14ac:dyDescent="0.25">
      <c r="A13496" s="3"/>
      <c r="B13496" s="3"/>
      <c r="C13496" s="3"/>
      <c r="D13496" s="3"/>
      <c r="E13496" s="3"/>
      <c r="F13496" s="3"/>
      <c r="G13496" s="3"/>
      <c r="H13496" s="11"/>
      <c r="I13496" s="12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  <c r="AA13496" s="3"/>
      <c r="AB13496" s="3"/>
      <c r="AC13496" s="3"/>
      <c r="AD13496" s="3"/>
      <c r="AE13496" s="3"/>
      <c r="AF13496" s="3"/>
      <c r="AG13496" s="3"/>
      <c r="AH13496" s="3"/>
    </row>
    <row r="13497" spans="1:34" ht="14.25" customHeight="1" x14ac:dyDescent="0.25">
      <c r="A13497" s="3"/>
      <c r="B13497" s="3"/>
      <c r="C13497" s="3"/>
      <c r="D13497" s="3"/>
      <c r="E13497" s="3"/>
      <c r="F13497" s="3"/>
      <c r="G13497" s="3"/>
      <c r="H13497" s="11"/>
      <c r="I13497" s="12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  <c r="AA13497" s="3"/>
      <c r="AB13497" s="3"/>
      <c r="AC13497" s="3"/>
      <c r="AD13497" s="3"/>
      <c r="AE13497" s="3"/>
      <c r="AF13497" s="3"/>
      <c r="AG13497" s="3"/>
      <c r="AH13497" s="3"/>
    </row>
    <row r="13498" spans="1:34" ht="14.25" customHeight="1" x14ac:dyDescent="0.25">
      <c r="A13498" s="3"/>
      <c r="B13498" s="3"/>
      <c r="C13498" s="3"/>
      <c r="D13498" s="3"/>
      <c r="E13498" s="3"/>
      <c r="F13498" s="3"/>
      <c r="G13498" s="3"/>
      <c r="H13498" s="11"/>
      <c r="I13498" s="12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  <c r="AA13498" s="3"/>
      <c r="AB13498" s="3"/>
      <c r="AC13498" s="3"/>
      <c r="AD13498" s="3"/>
      <c r="AE13498" s="3"/>
      <c r="AF13498" s="3"/>
      <c r="AG13498" s="3"/>
      <c r="AH13498" s="3"/>
    </row>
    <row r="13499" spans="1:34" ht="14.25" customHeight="1" x14ac:dyDescent="0.25">
      <c r="A13499" s="3"/>
      <c r="B13499" s="3"/>
      <c r="C13499" s="3"/>
      <c r="D13499" s="3"/>
      <c r="E13499" s="3"/>
      <c r="F13499" s="3"/>
      <c r="G13499" s="3"/>
      <c r="H13499" s="11"/>
      <c r="I13499" s="12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  <c r="AA13499" s="3"/>
      <c r="AB13499" s="3"/>
      <c r="AC13499" s="3"/>
      <c r="AD13499" s="3"/>
      <c r="AE13499" s="3"/>
      <c r="AF13499" s="3"/>
      <c r="AG13499" s="3"/>
      <c r="AH13499" s="3"/>
    </row>
    <row r="13500" spans="1:34" ht="14.25" customHeight="1" x14ac:dyDescent="0.25">
      <c r="A13500" s="3"/>
      <c r="B13500" s="3"/>
      <c r="C13500" s="3"/>
      <c r="D13500" s="3"/>
      <c r="E13500" s="3"/>
      <c r="F13500" s="3"/>
      <c r="G13500" s="3"/>
      <c r="H13500" s="11"/>
      <c r="I13500" s="12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  <c r="AA13500" s="3"/>
      <c r="AB13500" s="3"/>
      <c r="AC13500" s="3"/>
      <c r="AD13500" s="3"/>
      <c r="AE13500" s="3"/>
      <c r="AF13500" s="3"/>
      <c r="AG13500" s="3"/>
      <c r="AH13500" s="3"/>
    </row>
    <row r="13501" spans="1:34" ht="14.25" customHeight="1" x14ac:dyDescent="0.25">
      <c r="A13501" s="3"/>
      <c r="B13501" s="3"/>
      <c r="C13501" s="3"/>
      <c r="D13501" s="3"/>
      <c r="E13501" s="3"/>
      <c r="F13501" s="3"/>
      <c r="G13501" s="3"/>
      <c r="H13501" s="11"/>
      <c r="I13501" s="12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  <c r="AA13501" s="3"/>
      <c r="AB13501" s="3"/>
      <c r="AC13501" s="3"/>
      <c r="AD13501" s="3"/>
      <c r="AE13501" s="3"/>
      <c r="AF13501" s="3"/>
      <c r="AG13501" s="3"/>
      <c r="AH13501" s="3"/>
    </row>
    <row r="13502" spans="1:34" ht="14.25" customHeight="1" x14ac:dyDescent="0.25">
      <c r="A13502" s="3"/>
      <c r="B13502" s="3"/>
      <c r="C13502" s="3"/>
      <c r="D13502" s="3"/>
      <c r="E13502" s="3"/>
      <c r="F13502" s="3"/>
      <c r="G13502" s="3"/>
      <c r="H13502" s="11"/>
      <c r="I13502" s="12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  <c r="AA13502" s="3"/>
      <c r="AB13502" s="3"/>
      <c r="AC13502" s="3"/>
      <c r="AD13502" s="3"/>
      <c r="AE13502" s="3"/>
      <c r="AF13502" s="3"/>
      <c r="AG13502" s="3"/>
      <c r="AH13502" s="3"/>
    </row>
    <row r="13503" spans="1:34" ht="14.25" customHeight="1" x14ac:dyDescent="0.25">
      <c r="A13503" s="3"/>
      <c r="B13503" s="3"/>
      <c r="C13503" s="3"/>
      <c r="D13503" s="3"/>
      <c r="E13503" s="3"/>
      <c r="F13503" s="3"/>
      <c r="G13503" s="3"/>
      <c r="H13503" s="11"/>
      <c r="I13503" s="12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  <c r="AA13503" s="3"/>
      <c r="AB13503" s="3"/>
      <c r="AC13503" s="3"/>
      <c r="AD13503" s="3"/>
      <c r="AE13503" s="3"/>
      <c r="AF13503" s="3"/>
      <c r="AG13503" s="3"/>
      <c r="AH13503" s="3"/>
    </row>
    <row r="13504" spans="1:34" ht="14.25" customHeight="1" x14ac:dyDescent="0.25">
      <c r="A13504" s="3"/>
      <c r="B13504" s="3"/>
      <c r="C13504" s="3"/>
      <c r="D13504" s="3"/>
      <c r="E13504" s="3"/>
      <c r="F13504" s="3"/>
      <c r="G13504" s="3"/>
      <c r="H13504" s="11"/>
      <c r="I13504" s="12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  <c r="AA13504" s="3"/>
      <c r="AB13504" s="3"/>
      <c r="AC13504" s="3"/>
      <c r="AD13504" s="3"/>
      <c r="AE13504" s="3"/>
      <c r="AF13504" s="3"/>
      <c r="AG13504" s="3"/>
      <c r="AH13504" s="3"/>
    </row>
    <row r="13505" spans="1:34" ht="14.25" customHeight="1" x14ac:dyDescent="0.25">
      <c r="A13505" s="3"/>
      <c r="B13505" s="3"/>
      <c r="C13505" s="3"/>
      <c r="D13505" s="3"/>
      <c r="E13505" s="3"/>
      <c r="F13505" s="3"/>
      <c r="G13505" s="3"/>
      <c r="H13505" s="11"/>
      <c r="I13505" s="12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  <c r="AA13505" s="3"/>
      <c r="AB13505" s="3"/>
      <c r="AC13505" s="3"/>
      <c r="AD13505" s="3"/>
      <c r="AE13505" s="3"/>
      <c r="AF13505" s="3"/>
      <c r="AG13505" s="3"/>
      <c r="AH13505" s="3"/>
    </row>
    <row r="13506" spans="1:34" ht="14.25" customHeight="1" x14ac:dyDescent="0.25">
      <c r="A13506" s="3"/>
      <c r="B13506" s="3"/>
      <c r="C13506" s="3"/>
      <c r="D13506" s="3"/>
      <c r="E13506" s="3"/>
      <c r="F13506" s="3"/>
      <c r="G13506" s="3"/>
      <c r="H13506" s="11"/>
      <c r="I13506" s="12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  <c r="AA13506" s="3"/>
      <c r="AB13506" s="3"/>
      <c r="AC13506" s="3"/>
      <c r="AD13506" s="3"/>
      <c r="AE13506" s="3"/>
      <c r="AF13506" s="3"/>
      <c r="AG13506" s="3"/>
      <c r="AH13506" s="3"/>
    </row>
    <row r="13507" spans="1:34" ht="14.25" customHeight="1" x14ac:dyDescent="0.25">
      <c r="A13507" s="3"/>
      <c r="B13507" s="3"/>
      <c r="C13507" s="3"/>
      <c r="D13507" s="3"/>
      <c r="E13507" s="3"/>
      <c r="F13507" s="3"/>
      <c r="G13507" s="3"/>
      <c r="H13507" s="11"/>
      <c r="I13507" s="12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  <c r="AA13507" s="3"/>
      <c r="AB13507" s="3"/>
      <c r="AC13507" s="3"/>
      <c r="AD13507" s="3"/>
      <c r="AE13507" s="3"/>
      <c r="AF13507" s="3"/>
      <c r="AG13507" s="3"/>
      <c r="AH13507" s="3"/>
    </row>
    <row r="13508" spans="1:34" ht="14.25" customHeight="1" x14ac:dyDescent="0.25">
      <c r="A13508" s="3"/>
      <c r="B13508" s="3"/>
      <c r="C13508" s="3"/>
      <c r="D13508" s="3"/>
      <c r="E13508" s="3"/>
      <c r="F13508" s="3"/>
      <c r="G13508" s="3"/>
      <c r="H13508" s="11"/>
      <c r="I13508" s="12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  <c r="AA13508" s="3"/>
      <c r="AB13508" s="3"/>
      <c r="AC13508" s="3"/>
      <c r="AD13508" s="3"/>
      <c r="AE13508" s="3"/>
      <c r="AF13508" s="3"/>
      <c r="AG13508" s="3"/>
      <c r="AH13508" s="3"/>
    </row>
    <row r="13509" spans="1:34" ht="14.25" customHeight="1" x14ac:dyDescent="0.25">
      <c r="A13509" s="3"/>
      <c r="B13509" s="3"/>
      <c r="C13509" s="3"/>
      <c r="D13509" s="3"/>
      <c r="E13509" s="3"/>
      <c r="F13509" s="3"/>
      <c r="G13509" s="3"/>
      <c r="H13509" s="11"/>
      <c r="I13509" s="12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  <c r="AA13509" s="3"/>
      <c r="AB13509" s="3"/>
      <c r="AC13509" s="3"/>
      <c r="AD13509" s="3"/>
      <c r="AE13509" s="3"/>
      <c r="AF13509" s="3"/>
      <c r="AG13509" s="3"/>
      <c r="AH13509" s="3"/>
    </row>
    <row r="13510" spans="1:34" ht="14.25" customHeight="1" x14ac:dyDescent="0.25">
      <c r="A13510" s="3"/>
      <c r="B13510" s="3"/>
      <c r="C13510" s="3"/>
      <c r="D13510" s="3"/>
      <c r="E13510" s="3"/>
      <c r="F13510" s="3"/>
      <c r="G13510" s="3"/>
      <c r="H13510" s="11"/>
      <c r="I13510" s="12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  <c r="AA13510" s="3"/>
      <c r="AB13510" s="3"/>
      <c r="AC13510" s="3"/>
      <c r="AD13510" s="3"/>
      <c r="AE13510" s="3"/>
      <c r="AF13510" s="3"/>
      <c r="AG13510" s="3"/>
      <c r="AH13510" s="3"/>
    </row>
    <row r="13511" spans="1:34" ht="14.25" customHeight="1" x14ac:dyDescent="0.25">
      <c r="A13511" s="3"/>
      <c r="B13511" s="3"/>
      <c r="C13511" s="3"/>
      <c r="D13511" s="3"/>
      <c r="E13511" s="3"/>
      <c r="F13511" s="3"/>
      <c r="G13511" s="3"/>
      <c r="H13511" s="11"/>
      <c r="I13511" s="12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  <c r="AA13511" s="3"/>
      <c r="AB13511" s="3"/>
      <c r="AC13511" s="3"/>
      <c r="AD13511" s="3"/>
      <c r="AE13511" s="3"/>
      <c r="AF13511" s="3"/>
      <c r="AG13511" s="3"/>
      <c r="AH13511" s="3"/>
    </row>
    <row r="13512" spans="1:34" ht="14.25" customHeight="1" x14ac:dyDescent="0.25">
      <c r="A13512" s="3"/>
      <c r="B13512" s="3"/>
      <c r="C13512" s="3"/>
      <c r="D13512" s="3"/>
      <c r="E13512" s="3"/>
      <c r="F13512" s="3"/>
      <c r="G13512" s="3"/>
      <c r="H13512" s="11"/>
      <c r="I13512" s="12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  <c r="AA13512" s="3"/>
      <c r="AB13512" s="3"/>
      <c r="AC13512" s="3"/>
      <c r="AD13512" s="3"/>
      <c r="AE13512" s="3"/>
      <c r="AF13512" s="3"/>
      <c r="AG13512" s="3"/>
      <c r="AH13512" s="3"/>
    </row>
    <row r="13513" spans="1:34" ht="14.25" customHeight="1" x14ac:dyDescent="0.25">
      <c r="A13513" s="3"/>
      <c r="B13513" s="3"/>
      <c r="C13513" s="3"/>
      <c r="D13513" s="3"/>
      <c r="E13513" s="3"/>
      <c r="F13513" s="3"/>
      <c r="G13513" s="3"/>
      <c r="H13513" s="11"/>
      <c r="I13513" s="12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  <c r="AA13513" s="3"/>
      <c r="AB13513" s="3"/>
      <c r="AC13513" s="3"/>
      <c r="AD13513" s="3"/>
      <c r="AE13513" s="3"/>
      <c r="AF13513" s="3"/>
      <c r="AG13513" s="3"/>
      <c r="AH13513" s="3"/>
    </row>
    <row r="13514" spans="1:34" ht="14.25" customHeight="1" x14ac:dyDescent="0.25">
      <c r="A13514" s="3"/>
      <c r="B13514" s="3"/>
      <c r="C13514" s="3"/>
      <c r="D13514" s="3"/>
      <c r="E13514" s="3"/>
      <c r="F13514" s="3"/>
      <c r="G13514" s="3"/>
      <c r="H13514" s="11"/>
      <c r="I13514" s="12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  <c r="AA13514" s="3"/>
      <c r="AB13514" s="3"/>
      <c r="AC13514" s="3"/>
      <c r="AD13514" s="3"/>
      <c r="AE13514" s="3"/>
      <c r="AF13514" s="3"/>
      <c r="AG13514" s="3"/>
      <c r="AH13514" s="3"/>
    </row>
    <row r="13515" spans="1:34" ht="14.25" customHeight="1" x14ac:dyDescent="0.25">
      <c r="A13515" s="3"/>
      <c r="B13515" s="3"/>
      <c r="C13515" s="3"/>
      <c r="D13515" s="3"/>
      <c r="E13515" s="3"/>
      <c r="F13515" s="3"/>
      <c r="G13515" s="3"/>
      <c r="H13515" s="11"/>
      <c r="I13515" s="12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  <c r="AA13515" s="3"/>
      <c r="AB13515" s="3"/>
      <c r="AC13515" s="3"/>
      <c r="AD13515" s="3"/>
      <c r="AE13515" s="3"/>
      <c r="AF13515" s="3"/>
      <c r="AG13515" s="3"/>
      <c r="AH13515" s="3"/>
    </row>
    <row r="13516" spans="1:34" ht="14.25" customHeight="1" x14ac:dyDescent="0.25">
      <c r="A13516" s="3"/>
      <c r="B13516" s="3"/>
      <c r="C13516" s="3"/>
      <c r="D13516" s="3"/>
      <c r="E13516" s="3"/>
      <c r="F13516" s="3"/>
      <c r="G13516" s="3"/>
      <c r="H13516" s="11"/>
      <c r="I13516" s="12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  <c r="AA13516" s="3"/>
      <c r="AB13516" s="3"/>
      <c r="AC13516" s="3"/>
      <c r="AD13516" s="3"/>
      <c r="AE13516" s="3"/>
      <c r="AF13516" s="3"/>
      <c r="AG13516" s="3"/>
      <c r="AH13516" s="3"/>
    </row>
    <row r="13517" spans="1:34" ht="14.25" customHeight="1" x14ac:dyDescent="0.25">
      <c r="A13517" s="3"/>
      <c r="B13517" s="3"/>
      <c r="C13517" s="3"/>
      <c r="D13517" s="3"/>
      <c r="E13517" s="3"/>
      <c r="F13517" s="3"/>
      <c r="G13517" s="3"/>
      <c r="H13517" s="11"/>
      <c r="I13517" s="12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  <c r="AA13517" s="3"/>
      <c r="AB13517" s="3"/>
      <c r="AC13517" s="3"/>
      <c r="AD13517" s="3"/>
      <c r="AE13517" s="3"/>
      <c r="AF13517" s="3"/>
      <c r="AG13517" s="3"/>
      <c r="AH13517" s="3"/>
    </row>
    <row r="13518" spans="1:34" ht="14.25" customHeight="1" x14ac:dyDescent="0.25">
      <c r="A13518" s="3"/>
      <c r="B13518" s="3"/>
      <c r="C13518" s="3"/>
      <c r="D13518" s="3"/>
      <c r="E13518" s="3"/>
      <c r="F13518" s="3"/>
      <c r="G13518" s="3"/>
      <c r="H13518" s="11"/>
      <c r="I13518" s="12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  <c r="AA13518" s="3"/>
      <c r="AB13518" s="3"/>
      <c r="AC13518" s="3"/>
      <c r="AD13518" s="3"/>
      <c r="AE13518" s="3"/>
      <c r="AF13518" s="3"/>
      <c r="AG13518" s="3"/>
      <c r="AH13518" s="3"/>
    </row>
    <row r="13519" spans="1:34" ht="14.25" customHeight="1" x14ac:dyDescent="0.25">
      <c r="A13519" s="3"/>
      <c r="B13519" s="3"/>
      <c r="C13519" s="3"/>
      <c r="D13519" s="3"/>
      <c r="E13519" s="3"/>
      <c r="F13519" s="3"/>
      <c r="G13519" s="3"/>
      <c r="H13519" s="11"/>
      <c r="I13519" s="12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  <c r="AA13519" s="3"/>
      <c r="AB13519" s="3"/>
      <c r="AC13519" s="3"/>
      <c r="AD13519" s="3"/>
      <c r="AE13519" s="3"/>
      <c r="AF13519" s="3"/>
      <c r="AG13519" s="3"/>
      <c r="AH13519" s="3"/>
    </row>
    <row r="13520" spans="1:34" ht="14.25" customHeight="1" x14ac:dyDescent="0.25">
      <c r="A13520" s="3"/>
      <c r="B13520" s="3"/>
      <c r="C13520" s="3"/>
      <c r="D13520" s="3"/>
      <c r="E13520" s="3"/>
      <c r="F13520" s="3"/>
      <c r="G13520" s="3"/>
      <c r="H13520" s="11"/>
      <c r="I13520" s="12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  <c r="AA13520" s="3"/>
      <c r="AB13520" s="3"/>
      <c r="AC13520" s="3"/>
      <c r="AD13520" s="3"/>
      <c r="AE13520" s="3"/>
      <c r="AF13520" s="3"/>
      <c r="AG13520" s="3"/>
      <c r="AH13520" s="3"/>
    </row>
    <row r="13521" spans="1:34" ht="14.25" customHeight="1" x14ac:dyDescent="0.25">
      <c r="A13521" s="3"/>
      <c r="B13521" s="3"/>
      <c r="C13521" s="3"/>
      <c r="D13521" s="3"/>
      <c r="E13521" s="3"/>
      <c r="F13521" s="3"/>
      <c r="G13521" s="3"/>
      <c r="H13521" s="11"/>
      <c r="I13521" s="12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  <c r="AA13521" s="3"/>
      <c r="AB13521" s="3"/>
      <c r="AC13521" s="3"/>
      <c r="AD13521" s="3"/>
      <c r="AE13521" s="3"/>
      <c r="AF13521" s="3"/>
      <c r="AG13521" s="3"/>
      <c r="AH13521" s="3"/>
    </row>
    <row r="13522" spans="1:34" ht="14.25" customHeight="1" x14ac:dyDescent="0.25">
      <c r="A13522" s="3"/>
      <c r="B13522" s="3"/>
      <c r="C13522" s="3"/>
      <c r="D13522" s="3"/>
      <c r="E13522" s="3"/>
      <c r="F13522" s="3"/>
      <c r="G13522" s="3"/>
      <c r="H13522" s="11"/>
      <c r="I13522" s="12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  <c r="AA13522" s="3"/>
      <c r="AB13522" s="3"/>
      <c r="AC13522" s="3"/>
      <c r="AD13522" s="3"/>
      <c r="AE13522" s="3"/>
      <c r="AF13522" s="3"/>
      <c r="AG13522" s="3"/>
      <c r="AH13522" s="3"/>
    </row>
    <row r="13523" spans="1:34" ht="14.25" customHeight="1" x14ac:dyDescent="0.25">
      <c r="A13523" s="3"/>
      <c r="B13523" s="3"/>
      <c r="C13523" s="3"/>
      <c r="D13523" s="3"/>
      <c r="E13523" s="3"/>
      <c r="F13523" s="3"/>
      <c r="G13523" s="3"/>
      <c r="H13523" s="11"/>
      <c r="I13523" s="12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  <c r="AA13523" s="3"/>
      <c r="AB13523" s="3"/>
      <c r="AC13523" s="3"/>
      <c r="AD13523" s="3"/>
      <c r="AE13523" s="3"/>
      <c r="AF13523" s="3"/>
      <c r="AG13523" s="3"/>
      <c r="AH13523" s="3"/>
    </row>
    <row r="13524" spans="1:34" ht="14.25" customHeight="1" x14ac:dyDescent="0.25">
      <c r="A13524" s="3"/>
      <c r="B13524" s="3"/>
      <c r="C13524" s="3"/>
      <c r="D13524" s="3"/>
      <c r="E13524" s="3"/>
      <c r="F13524" s="3"/>
      <c r="G13524" s="3"/>
      <c r="H13524" s="11"/>
      <c r="I13524" s="12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  <c r="AA13524" s="3"/>
      <c r="AB13524" s="3"/>
      <c r="AC13524" s="3"/>
      <c r="AD13524" s="3"/>
      <c r="AE13524" s="3"/>
      <c r="AF13524" s="3"/>
      <c r="AG13524" s="3"/>
      <c r="AH13524" s="3"/>
    </row>
    <row r="13525" spans="1:34" ht="14.25" customHeight="1" x14ac:dyDescent="0.25">
      <c r="A13525" s="3"/>
      <c r="B13525" s="3"/>
      <c r="C13525" s="3"/>
      <c r="D13525" s="3"/>
      <c r="E13525" s="3"/>
      <c r="F13525" s="3"/>
      <c r="G13525" s="3"/>
      <c r="H13525" s="11"/>
      <c r="I13525" s="12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  <c r="AA13525" s="3"/>
      <c r="AB13525" s="3"/>
      <c r="AC13525" s="3"/>
      <c r="AD13525" s="3"/>
      <c r="AE13525" s="3"/>
      <c r="AF13525" s="3"/>
      <c r="AG13525" s="3"/>
      <c r="AH13525" s="3"/>
    </row>
    <row r="13526" spans="1:34" ht="14.25" customHeight="1" x14ac:dyDescent="0.25">
      <c r="A13526" s="3"/>
      <c r="B13526" s="3"/>
      <c r="C13526" s="3"/>
      <c r="D13526" s="3"/>
      <c r="E13526" s="3"/>
      <c r="F13526" s="3"/>
      <c r="G13526" s="3"/>
      <c r="H13526" s="11"/>
      <c r="I13526" s="12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  <c r="AA13526" s="3"/>
      <c r="AB13526" s="3"/>
      <c r="AC13526" s="3"/>
      <c r="AD13526" s="3"/>
      <c r="AE13526" s="3"/>
      <c r="AF13526" s="3"/>
      <c r="AG13526" s="3"/>
      <c r="AH13526" s="3"/>
    </row>
    <row r="13527" spans="1:34" ht="14.25" customHeight="1" x14ac:dyDescent="0.25">
      <c r="A13527" s="3"/>
      <c r="B13527" s="3"/>
      <c r="C13527" s="3"/>
      <c r="D13527" s="3"/>
      <c r="E13527" s="3"/>
      <c r="F13527" s="3"/>
      <c r="G13527" s="3"/>
      <c r="H13527" s="11"/>
      <c r="I13527" s="12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  <c r="AA13527" s="3"/>
      <c r="AB13527" s="3"/>
      <c r="AC13527" s="3"/>
      <c r="AD13527" s="3"/>
      <c r="AE13527" s="3"/>
      <c r="AF13527" s="3"/>
      <c r="AG13527" s="3"/>
      <c r="AH13527" s="3"/>
    </row>
    <row r="13528" spans="1:34" ht="14.25" customHeight="1" x14ac:dyDescent="0.25">
      <c r="A13528" s="3"/>
      <c r="B13528" s="3"/>
      <c r="C13528" s="3"/>
      <c r="D13528" s="3"/>
      <c r="E13528" s="3"/>
      <c r="F13528" s="3"/>
      <c r="G13528" s="3"/>
      <c r="H13528" s="11"/>
      <c r="I13528" s="12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  <c r="AA13528" s="3"/>
      <c r="AB13528" s="3"/>
      <c r="AC13528" s="3"/>
      <c r="AD13528" s="3"/>
      <c r="AE13528" s="3"/>
      <c r="AF13528" s="3"/>
      <c r="AG13528" s="3"/>
      <c r="AH13528" s="3"/>
    </row>
    <row r="13529" spans="1:34" ht="14.25" customHeight="1" x14ac:dyDescent="0.25">
      <c r="A13529" s="3"/>
      <c r="B13529" s="3"/>
      <c r="C13529" s="3"/>
      <c r="D13529" s="3"/>
      <c r="E13529" s="3"/>
      <c r="F13529" s="3"/>
      <c r="G13529" s="3"/>
      <c r="H13529" s="11"/>
      <c r="I13529" s="12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  <c r="AA13529" s="3"/>
      <c r="AB13529" s="3"/>
      <c r="AC13529" s="3"/>
      <c r="AD13529" s="3"/>
      <c r="AE13529" s="3"/>
      <c r="AF13529" s="3"/>
      <c r="AG13529" s="3"/>
      <c r="AH13529" s="3"/>
    </row>
    <row r="13530" spans="1:34" ht="14.25" customHeight="1" x14ac:dyDescent="0.25">
      <c r="A13530" s="3"/>
      <c r="B13530" s="3"/>
      <c r="C13530" s="3"/>
      <c r="D13530" s="3"/>
      <c r="E13530" s="3"/>
      <c r="F13530" s="3"/>
      <c r="G13530" s="3"/>
      <c r="H13530" s="11"/>
      <c r="I13530" s="12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  <c r="AA13530" s="3"/>
      <c r="AB13530" s="3"/>
      <c r="AC13530" s="3"/>
      <c r="AD13530" s="3"/>
      <c r="AE13530" s="3"/>
      <c r="AF13530" s="3"/>
      <c r="AG13530" s="3"/>
      <c r="AH13530" s="3"/>
    </row>
    <row r="13531" spans="1:34" ht="14.25" customHeight="1" x14ac:dyDescent="0.25">
      <c r="A13531" s="3"/>
      <c r="B13531" s="3"/>
      <c r="C13531" s="3"/>
      <c r="D13531" s="3"/>
      <c r="E13531" s="3"/>
      <c r="F13531" s="3"/>
      <c r="G13531" s="3"/>
      <c r="H13531" s="11"/>
      <c r="I13531" s="12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  <c r="AA13531" s="3"/>
      <c r="AB13531" s="3"/>
      <c r="AC13531" s="3"/>
      <c r="AD13531" s="3"/>
      <c r="AE13531" s="3"/>
      <c r="AF13531" s="3"/>
      <c r="AG13531" s="3"/>
      <c r="AH13531" s="3"/>
    </row>
    <row r="13532" spans="1:34" ht="14.25" customHeight="1" x14ac:dyDescent="0.25">
      <c r="A13532" s="3"/>
      <c r="B13532" s="3"/>
      <c r="C13532" s="3"/>
      <c r="D13532" s="3"/>
      <c r="E13532" s="3"/>
      <c r="F13532" s="3"/>
      <c r="G13532" s="3"/>
      <c r="H13532" s="11"/>
      <c r="I13532" s="12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  <c r="AA13532" s="3"/>
      <c r="AB13532" s="3"/>
      <c r="AC13532" s="3"/>
      <c r="AD13532" s="3"/>
      <c r="AE13532" s="3"/>
      <c r="AF13532" s="3"/>
      <c r="AG13532" s="3"/>
      <c r="AH13532" s="3"/>
    </row>
    <row r="13533" spans="1:34" ht="14.25" customHeight="1" x14ac:dyDescent="0.25">
      <c r="A13533" s="3"/>
      <c r="B13533" s="3"/>
      <c r="C13533" s="3"/>
      <c r="D13533" s="3"/>
      <c r="E13533" s="3"/>
      <c r="F13533" s="3"/>
      <c r="G13533" s="3"/>
      <c r="H13533" s="11"/>
      <c r="I13533" s="12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  <c r="AA13533" s="3"/>
      <c r="AB13533" s="3"/>
      <c r="AC13533" s="3"/>
      <c r="AD13533" s="3"/>
      <c r="AE13533" s="3"/>
      <c r="AF13533" s="3"/>
      <c r="AG13533" s="3"/>
      <c r="AH13533" s="3"/>
    </row>
    <row r="13534" spans="1:34" ht="14.25" customHeight="1" x14ac:dyDescent="0.25">
      <c r="A13534" s="3"/>
      <c r="B13534" s="3"/>
      <c r="C13534" s="3"/>
      <c r="D13534" s="3"/>
      <c r="E13534" s="3"/>
      <c r="F13534" s="3"/>
      <c r="G13534" s="3"/>
      <c r="H13534" s="11"/>
      <c r="I13534" s="12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  <c r="AA13534" s="3"/>
      <c r="AB13534" s="3"/>
      <c r="AC13534" s="3"/>
      <c r="AD13534" s="3"/>
      <c r="AE13534" s="3"/>
      <c r="AF13534" s="3"/>
      <c r="AG13534" s="3"/>
      <c r="AH13534" s="3"/>
    </row>
    <row r="13535" spans="1:34" ht="14.25" customHeight="1" x14ac:dyDescent="0.25">
      <c r="A13535" s="3"/>
      <c r="B13535" s="3"/>
      <c r="C13535" s="3"/>
      <c r="D13535" s="3"/>
      <c r="E13535" s="3"/>
      <c r="F13535" s="3"/>
      <c r="G13535" s="3"/>
      <c r="H13535" s="11"/>
      <c r="I13535" s="12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  <c r="AA13535" s="3"/>
      <c r="AB13535" s="3"/>
      <c r="AC13535" s="3"/>
      <c r="AD13535" s="3"/>
      <c r="AE13535" s="3"/>
      <c r="AF13535" s="3"/>
      <c r="AG13535" s="3"/>
      <c r="AH13535" s="3"/>
    </row>
    <row r="13536" spans="1:34" ht="14.25" customHeight="1" x14ac:dyDescent="0.25">
      <c r="A13536" s="3"/>
      <c r="B13536" s="3"/>
      <c r="C13536" s="3"/>
      <c r="D13536" s="3"/>
      <c r="E13536" s="3"/>
      <c r="F13536" s="3"/>
      <c r="G13536" s="3"/>
      <c r="H13536" s="11"/>
      <c r="I13536" s="12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  <c r="AA13536" s="3"/>
      <c r="AB13536" s="3"/>
      <c r="AC13536" s="3"/>
      <c r="AD13536" s="3"/>
      <c r="AE13536" s="3"/>
      <c r="AF13536" s="3"/>
      <c r="AG13536" s="3"/>
      <c r="AH13536" s="3"/>
    </row>
    <row r="13537" spans="1:34" ht="14.25" customHeight="1" x14ac:dyDescent="0.25">
      <c r="A13537" s="3"/>
      <c r="B13537" s="3"/>
      <c r="C13537" s="3"/>
      <c r="D13537" s="3"/>
      <c r="E13537" s="3"/>
      <c r="F13537" s="3"/>
      <c r="G13537" s="3"/>
      <c r="H13537" s="11"/>
      <c r="I13537" s="12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  <c r="AA13537" s="3"/>
      <c r="AB13537" s="3"/>
      <c r="AC13537" s="3"/>
      <c r="AD13537" s="3"/>
      <c r="AE13537" s="3"/>
      <c r="AF13537" s="3"/>
      <c r="AG13537" s="3"/>
      <c r="AH13537" s="3"/>
    </row>
    <row r="13538" spans="1:34" ht="14.25" customHeight="1" x14ac:dyDescent="0.25">
      <c r="A13538" s="3"/>
      <c r="B13538" s="3"/>
      <c r="C13538" s="3"/>
      <c r="D13538" s="3"/>
      <c r="E13538" s="3"/>
      <c r="F13538" s="3"/>
      <c r="G13538" s="3"/>
      <c r="H13538" s="11"/>
      <c r="I13538" s="12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  <c r="AA13538" s="3"/>
      <c r="AB13538" s="3"/>
      <c r="AC13538" s="3"/>
      <c r="AD13538" s="3"/>
      <c r="AE13538" s="3"/>
      <c r="AF13538" s="3"/>
      <c r="AG13538" s="3"/>
      <c r="AH13538" s="3"/>
    </row>
    <row r="13539" spans="1:34" ht="14.25" customHeight="1" x14ac:dyDescent="0.25">
      <c r="A13539" s="3"/>
      <c r="B13539" s="3"/>
      <c r="C13539" s="3"/>
      <c r="D13539" s="3"/>
      <c r="E13539" s="3"/>
      <c r="F13539" s="3"/>
      <c r="G13539" s="3"/>
      <c r="H13539" s="11"/>
      <c r="I13539" s="12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  <c r="AA13539" s="3"/>
      <c r="AB13539" s="3"/>
      <c r="AC13539" s="3"/>
      <c r="AD13539" s="3"/>
      <c r="AE13539" s="3"/>
      <c r="AF13539" s="3"/>
      <c r="AG13539" s="3"/>
      <c r="AH13539" s="3"/>
    </row>
    <row r="13540" spans="1:34" ht="14.25" customHeight="1" x14ac:dyDescent="0.25">
      <c r="A13540" s="3"/>
      <c r="B13540" s="3"/>
      <c r="C13540" s="3"/>
      <c r="D13540" s="3"/>
      <c r="E13540" s="3"/>
      <c r="F13540" s="3"/>
      <c r="G13540" s="3"/>
      <c r="H13540" s="11"/>
      <c r="I13540" s="12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  <c r="AA13540" s="3"/>
      <c r="AB13540" s="3"/>
      <c r="AC13540" s="3"/>
      <c r="AD13540" s="3"/>
      <c r="AE13540" s="3"/>
      <c r="AF13540" s="3"/>
      <c r="AG13540" s="3"/>
      <c r="AH13540" s="3"/>
    </row>
    <row r="13541" spans="1:34" ht="14.25" customHeight="1" x14ac:dyDescent="0.25">
      <c r="A13541" s="3"/>
      <c r="B13541" s="3"/>
      <c r="C13541" s="3"/>
      <c r="D13541" s="3"/>
      <c r="E13541" s="3"/>
      <c r="F13541" s="3"/>
      <c r="G13541" s="3"/>
      <c r="H13541" s="11"/>
      <c r="I13541" s="12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  <c r="AA13541" s="3"/>
      <c r="AB13541" s="3"/>
      <c r="AC13541" s="3"/>
      <c r="AD13541" s="3"/>
      <c r="AE13541" s="3"/>
      <c r="AF13541" s="3"/>
      <c r="AG13541" s="3"/>
      <c r="AH13541" s="3"/>
    </row>
    <row r="13542" spans="1:34" ht="14.25" customHeight="1" x14ac:dyDescent="0.25">
      <c r="A13542" s="3"/>
      <c r="B13542" s="3"/>
      <c r="C13542" s="3"/>
      <c r="D13542" s="3"/>
      <c r="E13542" s="3"/>
      <c r="F13542" s="3"/>
      <c r="G13542" s="3"/>
      <c r="H13542" s="11"/>
      <c r="I13542" s="12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  <c r="AA13542" s="3"/>
      <c r="AB13542" s="3"/>
      <c r="AC13542" s="3"/>
      <c r="AD13542" s="3"/>
      <c r="AE13542" s="3"/>
      <c r="AF13542" s="3"/>
      <c r="AG13542" s="3"/>
      <c r="AH13542" s="3"/>
    </row>
    <row r="13543" spans="1:34" ht="14.25" customHeight="1" x14ac:dyDescent="0.25">
      <c r="A13543" s="3"/>
      <c r="B13543" s="3"/>
      <c r="C13543" s="3"/>
      <c r="D13543" s="3"/>
      <c r="E13543" s="3"/>
      <c r="F13543" s="3"/>
      <c r="G13543" s="3"/>
      <c r="H13543" s="11"/>
      <c r="I13543" s="12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  <c r="AA13543" s="3"/>
      <c r="AB13543" s="3"/>
      <c r="AC13543" s="3"/>
      <c r="AD13543" s="3"/>
      <c r="AE13543" s="3"/>
      <c r="AF13543" s="3"/>
      <c r="AG13543" s="3"/>
      <c r="AH13543" s="3"/>
    </row>
    <row r="13544" spans="1:34" ht="14.25" customHeight="1" x14ac:dyDescent="0.25">
      <c r="A13544" s="3"/>
      <c r="B13544" s="3"/>
      <c r="C13544" s="3"/>
      <c r="D13544" s="3"/>
      <c r="E13544" s="3"/>
      <c r="F13544" s="3"/>
      <c r="G13544" s="3"/>
      <c r="H13544" s="11"/>
      <c r="I13544" s="12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  <c r="AA13544" s="3"/>
      <c r="AB13544" s="3"/>
      <c r="AC13544" s="3"/>
      <c r="AD13544" s="3"/>
      <c r="AE13544" s="3"/>
      <c r="AF13544" s="3"/>
      <c r="AG13544" s="3"/>
      <c r="AH13544" s="3"/>
    </row>
    <row r="13545" spans="1:34" ht="14.25" customHeight="1" x14ac:dyDescent="0.25">
      <c r="A13545" s="3"/>
      <c r="B13545" s="3"/>
      <c r="C13545" s="3"/>
      <c r="D13545" s="3"/>
      <c r="E13545" s="3"/>
      <c r="F13545" s="3"/>
      <c r="G13545" s="3"/>
      <c r="H13545" s="11"/>
      <c r="I13545" s="12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  <c r="AA13545" s="3"/>
      <c r="AB13545" s="3"/>
      <c r="AC13545" s="3"/>
      <c r="AD13545" s="3"/>
      <c r="AE13545" s="3"/>
      <c r="AF13545" s="3"/>
      <c r="AG13545" s="3"/>
      <c r="AH13545" s="3"/>
    </row>
    <row r="13546" spans="1:34" ht="14.25" customHeight="1" x14ac:dyDescent="0.25">
      <c r="A13546" s="3"/>
      <c r="B13546" s="3"/>
      <c r="C13546" s="3"/>
      <c r="D13546" s="3"/>
      <c r="E13546" s="3"/>
      <c r="F13546" s="3"/>
      <c r="G13546" s="3"/>
      <c r="H13546" s="11"/>
      <c r="I13546" s="12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  <c r="AA13546" s="3"/>
      <c r="AB13546" s="3"/>
      <c r="AC13546" s="3"/>
      <c r="AD13546" s="3"/>
      <c r="AE13546" s="3"/>
      <c r="AF13546" s="3"/>
      <c r="AG13546" s="3"/>
      <c r="AH13546" s="3"/>
    </row>
    <row r="13547" spans="1:34" ht="14.25" customHeight="1" x14ac:dyDescent="0.25">
      <c r="A13547" s="3"/>
      <c r="B13547" s="3"/>
      <c r="C13547" s="3"/>
      <c r="D13547" s="3"/>
      <c r="E13547" s="3"/>
      <c r="F13547" s="3"/>
      <c r="G13547" s="3"/>
      <c r="H13547" s="11"/>
      <c r="I13547" s="12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  <c r="AA13547" s="3"/>
      <c r="AB13547" s="3"/>
      <c r="AC13547" s="3"/>
      <c r="AD13547" s="3"/>
      <c r="AE13547" s="3"/>
      <c r="AF13547" s="3"/>
      <c r="AG13547" s="3"/>
      <c r="AH13547" s="3"/>
    </row>
    <row r="13548" spans="1:34" ht="14.25" customHeight="1" x14ac:dyDescent="0.25">
      <c r="A13548" s="3"/>
      <c r="B13548" s="3"/>
      <c r="C13548" s="3"/>
      <c r="D13548" s="3"/>
      <c r="E13548" s="3"/>
      <c r="F13548" s="3"/>
      <c r="G13548" s="3"/>
      <c r="H13548" s="11"/>
      <c r="I13548" s="12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  <c r="AA13548" s="3"/>
      <c r="AB13548" s="3"/>
      <c r="AC13548" s="3"/>
      <c r="AD13548" s="3"/>
      <c r="AE13548" s="3"/>
      <c r="AF13548" s="3"/>
      <c r="AG13548" s="3"/>
      <c r="AH13548" s="3"/>
    </row>
    <row r="13549" spans="1:34" ht="14.25" customHeight="1" x14ac:dyDescent="0.25">
      <c r="A13549" s="3"/>
      <c r="B13549" s="3"/>
      <c r="C13549" s="3"/>
      <c r="D13549" s="3"/>
      <c r="E13549" s="3"/>
      <c r="F13549" s="3"/>
      <c r="G13549" s="3"/>
      <c r="H13549" s="11"/>
      <c r="I13549" s="12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  <c r="AA13549" s="3"/>
      <c r="AB13549" s="3"/>
      <c r="AC13549" s="3"/>
      <c r="AD13549" s="3"/>
      <c r="AE13549" s="3"/>
      <c r="AF13549" s="3"/>
      <c r="AG13549" s="3"/>
      <c r="AH13549" s="3"/>
    </row>
    <row r="13550" spans="1:34" ht="14.25" customHeight="1" x14ac:dyDescent="0.25">
      <c r="A13550" s="3"/>
      <c r="B13550" s="3"/>
      <c r="C13550" s="3"/>
      <c r="D13550" s="3"/>
      <c r="E13550" s="3"/>
      <c r="F13550" s="3"/>
      <c r="G13550" s="3"/>
      <c r="H13550" s="11"/>
      <c r="I13550" s="12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  <c r="AA13550" s="3"/>
      <c r="AB13550" s="3"/>
      <c r="AC13550" s="3"/>
      <c r="AD13550" s="3"/>
      <c r="AE13550" s="3"/>
      <c r="AF13550" s="3"/>
      <c r="AG13550" s="3"/>
      <c r="AH13550" s="3"/>
    </row>
    <row r="13551" spans="1:34" ht="14.25" customHeight="1" x14ac:dyDescent="0.25">
      <c r="A13551" s="3"/>
      <c r="B13551" s="3"/>
      <c r="C13551" s="3"/>
      <c r="D13551" s="3"/>
      <c r="E13551" s="3"/>
      <c r="F13551" s="3"/>
      <c r="G13551" s="3"/>
      <c r="H13551" s="11"/>
      <c r="I13551" s="12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  <c r="AA13551" s="3"/>
      <c r="AB13551" s="3"/>
      <c r="AC13551" s="3"/>
      <c r="AD13551" s="3"/>
      <c r="AE13551" s="3"/>
      <c r="AF13551" s="3"/>
      <c r="AG13551" s="3"/>
      <c r="AH13551" s="3"/>
    </row>
    <row r="13552" spans="1:34" ht="14.25" customHeight="1" x14ac:dyDescent="0.25">
      <c r="A13552" s="3"/>
      <c r="B13552" s="3"/>
      <c r="C13552" s="3"/>
      <c r="D13552" s="3"/>
      <c r="E13552" s="3"/>
      <c r="F13552" s="3"/>
      <c r="G13552" s="3"/>
      <c r="H13552" s="11"/>
      <c r="I13552" s="12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  <c r="AA13552" s="3"/>
      <c r="AB13552" s="3"/>
      <c r="AC13552" s="3"/>
      <c r="AD13552" s="3"/>
      <c r="AE13552" s="3"/>
      <c r="AF13552" s="3"/>
      <c r="AG13552" s="3"/>
      <c r="AH13552" s="3"/>
    </row>
    <row r="13553" spans="1:34" ht="14.25" customHeight="1" x14ac:dyDescent="0.25">
      <c r="A13553" s="3"/>
      <c r="B13553" s="3"/>
      <c r="C13553" s="3"/>
      <c r="D13553" s="3"/>
      <c r="E13553" s="3"/>
      <c r="F13553" s="3"/>
      <c r="G13553" s="3"/>
      <c r="H13553" s="11"/>
      <c r="I13553" s="12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  <c r="AA13553" s="3"/>
      <c r="AB13553" s="3"/>
      <c r="AC13553" s="3"/>
      <c r="AD13553" s="3"/>
      <c r="AE13553" s="3"/>
      <c r="AF13553" s="3"/>
      <c r="AG13553" s="3"/>
      <c r="AH13553" s="3"/>
    </row>
    <row r="13554" spans="1:34" ht="14.25" customHeight="1" x14ac:dyDescent="0.25">
      <c r="A13554" s="3"/>
      <c r="B13554" s="3"/>
      <c r="C13554" s="3"/>
      <c r="D13554" s="3"/>
      <c r="E13554" s="3"/>
      <c r="F13554" s="3"/>
      <c r="G13554" s="3"/>
      <c r="H13554" s="11"/>
      <c r="I13554" s="12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  <c r="AA13554" s="3"/>
      <c r="AB13554" s="3"/>
      <c r="AC13554" s="3"/>
      <c r="AD13554" s="3"/>
      <c r="AE13554" s="3"/>
      <c r="AF13554" s="3"/>
      <c r="AG13554" s="3"/>
      <c r="AH13554" s="3"/>
    </row>
    <row r="13555" spans="1:34" ht="14.25" customHeight="1" x14ac:dyDescent="0.25">
      <c r="A13555" s="3"/>
      <c r="B13555" s="3"/>
      <c r="C13555" s="3"/>
      <c r="D13555" s="3"/>
      <c r="E13555" s="3"/>
      <c r="F13555" s="3"/>
      <c r="G13555" s="3"/>
      <c r="H13555" s="11"/>
      <c r="I13555" s="12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  <c r="AA13555" s="3"/>
      <c r="AB13555" s="3"/>
      <c r="AC13555" s="3"/>
      <c r="AD13555" s="3"/>
      <c r="AE13555" s="3"/>
      <c r="AF13555" s="3"/>
      <c r="AG13555" s="3"/>
      <c r="AH13555" s="3"/>
    </row>
    <row r="13556" spans="1:34" ht="14.25" customHeight="1" x14ac:dyDescent="0.25">
      <c r="A13556" s="3"/>
      <c r="B13556" s="3"/>
      <c r="C13556" s="3"/>
      <c r="D13556" s="3"/>
      <c r="E13556" s="3"/>
      <c r="F13556" s="3"/>
      <c r="G13556" s="3"/>
      <c r="H13556" s="11"/>
      <c r="I13556" s="12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  <c r="AA13556" s="3"/>
      <c r="AB13556" s="3"/>
      <c r="AC13556" s="3"/>
      <c r="AD13556" s="3"/>
      <c r="AE13556" s="3"/>
      <c r="AF13556" s="3"/>
      <c r="AG13556" s="3"/>
      <c r="AH13556" s="3"/>
    </row>
    <row r="13557" spans="1:34" ht="14.25" customHeight="1" x14ac:dyDescent="0.25">
      <c r="A13557" s="3"/>
      <c r="B13557" s="3"/>
      <c r="C13557" s="3"/>
      <c r="D13557" s="3"/>
      <c r="E13557" s="3"/>
      <c r="F13557" s="3"/>
      <c r="G13557" s="3"/>
      <c r="H13557" s="11"/>
      <c r="I13557" s="12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  <c r="AA13557" s="3"/>
      <c r="AB13557" s="3"/>
      <c r="AC13557" s="3"/>
      <c r="AD13557" s="3"/>
      <c r="AE13557" s="3"/>
      <c r="AF13557" s="3"/>
      <c r="AG13557" s="3"/>
      <c r="AH13557" s="3"/>
    </row>
    <row r="13558" spans="1:34" ht="14.25" customHeight="1" x14ac:dyDescent="0.25">
      <c r="A13558" s="3"/>
      <c r="B13558" s="3"/>
      <c r="C13558" s="3"/>
      <c r="D13558" s="3"/>
      <c r="E13558" s="3"/>
      <c r="F13558" s="3"/>
      <c r="G13558" s="3"/>
      <c r="H13558" s="11"/>
      <c r="I13558" s="12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  <c r="AA13558" s="3"/>
      <c r="AB13558" s="3"/>
      <c r="AC13558" s="3"/>
      <c r="AD13558" s="3"/>
      <c r="AE13558" s="3"/>
      <c r="AF13558" s="3"/>
      <c r="AG13558" s="3"/>
      <c r="AH13558" s="3"/>
    </row>
    <row r="13559" spans="1:34" ht="14.25" customHeight="1" x14ac:dyDescent="0.25">
      <c r="A13559" s="3"/>
      <c r="B13559" s="3"/>
      <c r="C13559" s="3"/>
      <c r="D13559" s="3"/>
      <c r="E13559" s="3"/>
      <c r="F13559" s="3"/>
      <c r="G13559" s="3"/>
      <c r="H13559" s="11"/>
      <c r="I13559" s="12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  <c r="AA13559" s="3"/>
      <c r="AB13559" s="3"/>
      <c r="AC13559" s="3"/>
      <c r="AD13559" s="3"/>
      <c r="AE13559" s="3"/>
      <c r="AF13559" s="3"/>
      <c r="AG13559" s="3"/>
      <c r="AH13559" s="3"/>
    </row>
    <row r="13560" spans="1:34" ht="14.25" customHeight="1" x14ac:dyDescent="0.25">
      <c r="A13560" s="3"/>
      <c r="B13560" s="3"/>
      <c r="C13560" s="3"/>
      <c r="D13560" s="3"/>
      <c r="E13560" s="3"/>
      <c r="F13560" s="3"/>
      <c r="G13560" s="3"/>
      <c r="H13560" s="11"/>
      <c r="I13560" s="12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  <c r="AA13560" s="3"/>
      <c r="AB13560" s="3"/>
      <c r="AC13560" s="3"/>
      <c r="AD13560" s="3"/>
      <c r="AE13560" s="3"/>
      <c r="AF13560" s="3"/>
      <c r="AG13560" s="3"/>
      <c r="AH13560" s="3"/>
    </row>
    <row r="13561" spans="1:34" ht="14.25" customHeight="1" x14ac:dyDescent="0.25">
      <c r="A13561" s="3"/>
      <c r="B13561" s="3"/>
      <c r="C13561" s="3"/>
      <c r="D13561" s="3"/>
      <c r="E13561" s="3"/>
      <c r="F13561" s="3"/>
      <c r="G13561" s="3"/>
      <c r="H13561" s="11"/>
      <c r="I13561" s="12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  <c r="AA13561" s="3"/>
      <c r="AB13561" s="3"/>
      <c r="AC13561" s="3"/>
      <c r="AD13561" s="3"/>
      <c r="AE13561" s="3"/>
      <c r="AF13561" s="3"/>
      <c r="AG13561" s="3"/>
      <c r="AH13561" s="3"/>
    </row>
    <row r="13562" spans="1:34" ht="14.25" customHeight="1" x14ac:dyDescent="0.25">
      <c r="A13562" s="3"/>
      <c r="B13562" s="3"/>
      <c r="C13562" s="3"/>
      <c r="D13562" s="3"/>
      <c r="E13562" s="3"/>
      <c r="F13562" s="3"/>
      <c r="G13562" s="3"/>
      <c r="H13562" s="11"/>
      <c r="I13562" s="12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  <c r="AA13562" s="3"/>
      <c r="AB13562" s="3"/>
      <c r="AC13562" s="3"/>
      <c r="AD13562" s="3"/>
      <c r="AE13562" s="3"/>
      <c r="AF13562" s="3"/>
      <c r="AG13562" s="3"/>
      <c r="AH13562" s="3"/>
    </row>
    <row r="13563" spans="1:34" ht="14.25" customHeight="1" x14ac:dyDescent="0.25">
      <c r="A13563" s="3"/>
      <c r="B13563" s="3"/>
      <c r="C13563" s="3"/>
      <c r="D13563" s="3"/>
      <c r="E13563" s="3"/>
      <c r="F13563" s="3"/>
      <c r="G13563" s="3"/>
      <c r="H13563" s="11"/>
      <c r="I13563" s="12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  <c r="AA13563" s="3"/>
      <c r="AB13563" s="3"/>
      <c r="AC13563" s="3"/>
      <c r="AD13563" s="3"/>
      <c r="AE13563" s="3"/>
      <c r="AF13563" s="3"/>
      <c r="AG13563" s="3"/>
      <c r="AH13563" s="3"/>
    </row>
    <row r="13564" spans="1:34" ht="14.25" customHeight="1" x14ac:dyDescent="0.25">
      <c r="A13564" s="3"/>
      <c r="B13564" s="3"/>
      <c r="C13564" s="3"/>
      <c r="D13564" s="3"/>
      <c r="E13564" s="3"/>
      <c r="F13564" s="3"/>
      <c r="G13564" s="3"/>
      <c r="H13564" s="11"/>
      <c r="I13564" s="12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  <c r="AA13564" s="3"/>
      <c r="AB13564" s="3"/>
      <c r="AC13564" s="3"/>
      <c r="AD13564" s="3"/>
      <c r="AE13564" s="3"/>
      <c r="AF13564" s="3"/>
      <c r="AG13564" s="3"/>
      <c r="AH13564" s="3"/>
    </row>
    <row r="13565" spans="1:34" ht="14.25" customHeight="1" x14ac:dyDescent="0.25">
      <c r="A13565" s="3"/>
      <c r="B13565" s="3"/>
      <c r="C13565" s="3"/>
      <c r="D13565" s="3"/>
      <c r="E13565" s="3"/>
      <c r="F13565" s="3"/>
      <c r="G13565" s="3"/>
      <c r="H13565" s="11"/>
      <c r="I13565" s="12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  <c r="AA13565" s="3"/>
      <c r="AB13565" s="3"/>
      <c r="AC13565" s="3"/>
      <c r="AD13565" s="3"/>
      <c r="AE13565" s="3"/>
      <c r="AF13565" s="3"/>
      <c r="AG13565" s="3"/>
      <c r="AH13565" s="3"/>
    </row>
    <row r="13566" spans="1:34" ht="14.25" customHeight="1" x14ac:dyDescent="0.25">
      <c r="A13566" s="3"/>
      <c r="B13566" s="3"/>
      <c r="C13566" s="3"/>
      <c r="D13566" s="3"/>
      <c r="E13566" s="3"/>
      <c r="F13566" s="3"/>
      <c r="G13566" s="3"/>
      <c r="H13566" s="11"/>
      <c r="I13566" s="12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  <c r="AA13566" s="3"/>
      <c r="AB13566" s="3"/>
      <c r="AC13566" s="3"/>
      <c r="AD13566" s="3"/>
      <c r="AE13566" s="3"/>
      <c r="AF13566" s="3"/>
      <c r="AG13566" s="3"/>
      <c r="AH13566" s="3"/>
    </row>
    <row r="13567" spans="1:34" ht="14.25" customHeight="1" x14ac:dyDescent="0.25">
      <c r="A13567" s="3"/>
      <c r="B13567" s="3"/>
      <c r="C13567" s="3"/>
      <c r="D13567" s="3"/>
      <c r="E13567" s="3"/>
      <c r="F13567" s="3"/>
      <c r="G13567" s="3"/>
      <c r="H13567" s="11"/>
      <c r="I13567" s="12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  <c r="AA13567" s="3"/>
      <c r="AB13567" s="3"/>
      <c r="AC13567" s="3"/>
      <c r="AD13567" s="3"/>
      <c r="AE13567" s="3"/>
      <c r="AF13567" s="3"/>
      <c r="AG13567" s="3"/>
      <c r="AH13567" s="3"/>
    </row>
    <row r="13568" spans="1:34" ht="14.25" customHeight="1" x14ac:dyDescent="0.25">
      <c r="A13568" s="3"/>
      <c r="B13568" s="3"/>
      <c r="C13568" s="3"/>
      <c r="D13568" s="3"/>
      <c r="E13568" s="3"/>
      <c r="F13568" s="3"/>
      <c r="G13568" s="3"/>
      <c r="H13568" s="11"/>
      <c r="I13568" s="12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  <c r="AA13568" s="3"/>
      <c r="AB13568" s="3"/>
      <c r="AC13568" s="3"/>
      <c r="AD13568" s="3"/>
      <c r="AE13568" s="3"/>
      <c r="AF13568" s="3"/>
      <c r="AG13568" s="3"/>
      <c r="AH13568" s="3"/>
    </row>
    <row r="13569" spans="1:34" ht="14.25" customHeight="1" x14ac:dyDescent="0.25">
      <c r="A13569" s="3"/>
      <c r="B13569" s="3"/>
      <c r="C13569" s="3"/>
      <c r="D13569" s="3"/>
      <c r="E13569" s="3"/>
      <c r="F13569" s="3"/>
      <c r="G13569" s="3"/>
      <c r="H13569" s="11"/>
      <c r="I13569" s="12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  <c r="AA13569" s="3"/>
      <c r="AB13569" s="3"/>
      <c r="AC13569" s="3"/>
      <c r="AD13569" s="3"/>
      <c r="AE13569" s="3"/>
      <c r="AF13569" s="3"/>
      <c r="AG13569" s="3"/>
      <c r="AH13569" s="3"/>
    </row>
    <row r="13570" spans="1:34" ht="14.25" customHeight="1" x14ac:dyDescent="0.25">
      <c r="A13570" s="3"/>
      <c r="B13570" s="3"/>
      <c r="C13570" s="3"/>
      <c r="D13570" s="3"/>
      <c r="E13570" s="3"/>
      <c r="F13570" s="3"/>
      <c r="G13570" s="3"/>
      <c r="H13570" s="11"/>
      <c r="I13570" s="12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  <c r="AA13570" s="3"/>
      <c r="AB13570" s="3"/>
      <c r="AC13570" s="3"/>
      <c r="AD13570" s="3"/>
      <c r="AE13570" s="3"/>
      <c r="AF13570" s="3"/>
      <c r="AG13570" s="3"/>
      <c r="AH13570" s="3"/>
    </row>
    <row r="13571" spans="1:34" ht="14.25" customHeight="1" x14ac:dyDescent="0.25">
      <c r="A13571" s="3"/>
      <c r="B13571" s="3"/>
      <c r="C13571" s="3"/>
      <c r="D13571" s="3"/>
      <c r="E13571" s="3"/>
      <c r="F13571" s="3"/>
      <c r="G13571" s="3"/>
      <c r="H13571" s="11"/>
      <c r="I13571" s="12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  <c r="AA13571" s="3"/>
      <c r="AB13571" s="3"/>
      <c r="AC13571" s="3"/>
      <c r="AD13571" s="3"/>
      <c r="AE13571" s="3"/>
      <c r="AF13571" s="3"/>
      <c r="AG13571" s="3"/>
      <c r="AH13571" s="3"/>
    </row>
    <row r="13572" spans="1:34" ht="14.25" customHeight="1" x14ac:dyDescent="0.25">
      <c r="A13572" s="3"/>
      <c r="B13572" s="3"/>
      <c r="C13572" s="3"/>
      <c r="D13572" s="3"/>
      <c r="E13572" s="3"/>
      <c r="F13572" s="3"/>
      <c r="G13572" s="3"/>
      <c r="H13572" s="11"/>
      <c r="I13572" s="12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  <c r="AA13572" s="3"/>
      <c r="AB13572" s="3"/>
      <c r="AC13572" s="3"/>
      <c r="AD13572" s="3"/>
      <c r="AE13572" s="3"/>
      <c r="AF13572" s="3"/>
      <c r="AG13572" s="3"/>
      <c r="AH13572" s="3"/>
    </row>
    <row r="13573" spans="1:34" ht="14.25" customHeight="1" x14ac:dyDescent="0.25">
      <c r="A13573" s="3"/>
      <c r="B13573" s="3"/>
      <c r="C13573" s="3"/>
      <c r="D13573" s="3"/>
      <c r="E13573" s="3"/>
      <c r="F13573" s="3"/>
      <c r="G13573" s="3"/>
      <c r="H13573" s="11"/>
      <c r="I13573" s="12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  <c r="AA13573" s="3"/>
      <c r="AB13573" s="3"/>
      <c r="AC13573" s="3"/>
      <c r="AD13573" s="3"/>
      <c r="AE13573" s="3"/>
      <c r="AF13573" s="3"/>
      <c r="AG13573" s="3"/>
      <c r="AH13573" s="3"/>
    </row>
    <row r="13574" spans="1:34" ht="14.25" customHeight="1" x14ac:dyDescent="0.25">
      <c r="A13574" s="3"/>
      <c r="B13574" s="3"/>
      <c r="C13574" s="3"/>
      <c r="D13574" s="3"/>
      <c r="E13574" s="3"/>
      <c r="F13574" s="3"/>
      <c r="G13574" s="3"/>
      <c r="H13574" s="11"/>
      <c r="I13574" s="12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  <c r="AA13574" s="3"/>
      <c r="AB13574" s="3"/>
      <c r="AC13574" s="3"/>
      <c r="AD13574" s="3"/>
      <c r="AE13574" s="3"/>
      <c r="AF13574" s="3"/>
      <c r="AG13574" s="3"/>
      <c r="AH13574" s="3"/>
    </row>
    <row r="13575" spans="1:34" ht="14.25" customHeight="1" x14ac:dyDescent="0.25">
      <c r="A13575" s="3"/>
      <c r="B13575" s="3"/>
      <c r="C13575" s="3"/>
      <c r="D13575" s="3"/>
      <c r="E13575" s="3"/>
      <c r="F13575" s="3"/>
      <c r="G13575" s="3"/>
      <c r="H13575" s="11"/>
      <c r="I13575" s="12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  <c r="AA13575" s="3"/>
      <c r="AB13575" s="3"/>
      <c r="AC13575" s="3"/>
      <c r="AD13575" s="3"/>
      <c r="AE13575" s="3"/>
      <c r="AF13575" s="3"/>
      <c r="AG13575" s="3"/>
      <c r="AH13575" s="3"/>
    </row>
    <row r="13576" spans="1:34" ht="14.25" customHeight="1" x14ac:dyDescent="0.25">
      <c r="A13576" s="3"/>
      <c r="B13576" s="3"/>
      <c r="C13576" s="3"/>
      <c r="D13576" s="3"/>
      <c r="E13576" s="3"/>
      <c r="F13576" s="3"/>
      <c r="G13576" s="3"/>
      <c r="H13576" s="11"/>
      <c r="I13576" s="12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  <c r="AA13576" s="3"/>
      <c r="AB13576" s="3"/>
      <c r="AC13576" s="3"/>
      <c r="AD13576" s="3"/>
      <c r="AE13576" s="3"/>
      <c r="AF13576" s="3"/>
      <c r="AG13576" s="3"/>
      <c r="AH13576" s="3"/>
    </row>
    <row r="13577" spans="1:34" ht="14.25" customHeight="1" x14ac:dyDescent="0.25">
      <c r="A13577" s="3"/>
      <c r="B13577" s="3"/>
      <c r="C13577" s="3"/>
      <c r="D13577" s="3"/>
      <c r="E13577" s="3"/>
      <c r="F13577" s="3"/>
      <c r="G13577" s="3"/>
      <c r="H13577" s="11"/>
      <c r="I13577" s="12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  <c r="AA13577" s="3"/>
      <c r="AB13577" s="3"/>
      <c r="AC13577" s="3"/>
      <c r="AD13577" s="3"/>
      <c r="AE13577" s="3"/>
      <c r="AF13577" s="3"/>
      <c r="AG13577" s="3"/>
      <c r="AH13577" s="3"/>
    </row>
    <row r="13578" spans="1:34" ht="14.25" customHeight="1" x14ac:dyDescent="0.25">
      <c r="A13578" s="3"/>
      <c r="B13578" s="3"/>
      <c r="C13578" s="3"/>
      <c r="D13578" s="3"/>
      <c r="E13578" s="3"/>
      <c r="F13578" s="3"/>
      <c r="G13578" s="3"/>
      <c r="H13578" s="11"/>
      <c r="I13578" s="12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  <c r="AA13578" s="3"/>
      <c r="AB13578" s="3"/>
      <c r="AC13578" s="3"/>
      <c r="AD13578" s="3"/>
      <c r="AE13578" s="3"/>
      <c r="AF13578" s="3"/>
      <c r="AG13578" s="3"/>
      <c r="AH13578" s="3"/>
    </row>
    <row r="13579" spans="1:34" ht="14.25" customHeight="1" x14ac:dyDescent="0.25">
      <c r="A13579" s="3"/>
      <c r="B13579" s="3"/>
      <c r="C13579" s="3"/>
      <c r="D13579" s="3"/>
      <c r="E13579" s="3"/>
      <c r="F13579" s="3"/>
      <c r="G13579" s="3"/>
      <c r="H13579" s="11"/>
      <c r="I13579" s="12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  <c r="AA13579" s="3"/>
      <c r="AB13579" s="3"/>
      <c r="AC13579" s="3"/>
      <c r="AD13579" s="3"/>
      <c r="AE13579" s="3"/>
      <c r="AF13579" s="3"/>
      <c r="AG13579" s="3"/>
      <c r="AH13579" s="3"/>
    </row>
    <row r="13580" spans="1:34" ht="14.25" customHeight="1" x14ac:dyDescent="0.25">
      <c r="A13580" s="3"/>
      <c r="B13580" s="3"/>
      <c r="C13580" s="3"/>
      <c r="D13580" s="3"/>
      <c r="E13580" s="3"/>
      <c r="F13580" s="3"/>
      <c r="G13580" s="3"/>
      <c r="H13580" s="11"/>
      <c r="I13580" s="12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  <c r="AA13580" s="3"/>
      <c r="AB13580" s="3"/>
      <c r="AC13580" s="3"/>
      <c r="AD13580" s="3"/>
      <c r="AE13580" s="3"/>
      <c r="AF13580" s="3"/>
      <c r="AG13580" s="3"/>
      <c r="AH13580" s="3"/>
    </row>
    <row r="13581" spans="1:34" ht="14.25" customHeight="1" x14ac:dyDescent="0.25">
      <c r="A13581" s="3"/>
      <c r="B13581" s="3"/>
      <c r="C13581" s="3"/>
      <c r="D13581" s="3"/>
      <c r="E13581" s="3"/>
      <c r="F13581" s="3"/>
      <c r="G13581" s="3"/>
      <c r="H13581" s="11"/>
      <c r="I13581" s="12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  <c r="AA13581" s="3"/>
      <c r="AB13581" s="3"/>
      <c r="AC13581" s="3"/>
      <c r="AD13581" s="3"/>
      <c r="AE13581" s="3"/>
      <c r="AF13581" s="3"/>
      <c r="AG13581" s="3"/>
      <c r="AH13581" s="3"/>
    </row>
    <row r="13582" spans="1:34" ht="14.25" customHeight="1" x14ac:dyDescent="0.25">
      <c r="A13582" s="3"/>
      <c r="B13582" s="3"/>
      <c r="C13582" s="3"/>
      <c r="D13582" s="3"/>
      <c r="E13582" s="3"/>
      <c r="F13582" s="3"/>
      <c r="G13582" s="3"/>
      <c r="H13582" s="11"/>
      <c r="I13582" s="12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  <c r="AA13582" s="3"/>
      <c r="AB13582" s="3"/>
      <c r="AC13582" s="3"/>
      <c r="AD13582" s="3"/>
      <c r="AE13582" s="3"/>
      <c r="AF13582" s="3"/>
      <c r="AG13582" s="3"/>
      <c r="AH13582" s="3"/>
    </row>
    <row r="13583" spans="1:34" ht="14.25" customHeight="1" x14ac:dyDescent="0.25">
      <c r="A13583" s="3"/>
      <c r="B13583" s="3"/>
      <c r="C13583" s="3"/>
      <c r="D13583" s="3"/>
      <c r="E13583" s="3"/>
      <c r="F13583" s="3"/>
      <c r="G13583" s="3"/>
      <c r="H13583" s="11"/>
      <c r="I13583" s="12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  <c r="AA13583" s="3"/>
      <c r="AB13583" s="3"/>
      <c r="AC13583" s="3"/>
      <c r="AD13583" s="3"/>
      <c r="AE13583" s="3"/>
      <c r="AF13583" s="3"/>
      <c r="AG13583" s="3"/>
      <c r="AH13583" s="3"/>
    </row>
    <row r="13584" spans="1:34" ht="14.25" customHeight="1" x14ac:dyDescent="0.25">
      <c r="A13584" s="3"/>
      <c r="B13584" s="3"/>
      <c r="C13584" s="3"/>
      <c r="D13584" s="3"/>
      <c r="E13584" s="3"/>
      <c r="F13584" s="3"/>
      <c r="G13584" s="3"/>
      <c r="H13584" s="11"/>
      <c r="I13584" s="12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  <c r="AA13584" s="3"/>
      <c r="AB13584" s="3"/>
      <c r="AC13584" s="3"/>
      <c r="AD13584" s="3"/>
      <c r="AE13584" s="3"/>
      <c r="AF13584" s="3"/>
      <c r="AG13584" s="3"/>
      <c r="AH13584" s="3"/>
    </row>
    <row r="13585" spans="1:34" ht="14.25" customHeight="1" x14ac:dyDescent="0.25">
      <c r="A13585" s="3"/>
      <c r="B13585" s="3"/>
      <c r="C13585" s="3"/>
      <c r="D13585" s="3"/>
      <c r="E13585" s="3"/>
      <c r="F13585" s="3"/>
      <c r="G13585" s="3"/>
      <c r="H13585" s="11"/>
      <c r="I13585" s="12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  <c r="AA13585" s="3"/>
      <c r="AB13585" s="3"/>
      <c r="AC13585" s="3"/>
      <c r="AD13585" s="3"/>
      <c r="AE13585" s="3"/>
      <c r="AF13585" s="3"/>
      <c r="AG13585" s="3"/>
      <c r="AH13585" s="3"/>
    </row>
    <row r="13586" spans="1:34" ht="14.25" customHeight="1" x14ac:dyDescent="0.25">
      <c r="A13586" s="3"/>
      <c r="B13586" s="3"/>
      <c r="C13586" s="3"/>
      <c r="D13586" s="3"/>
      <c r="E13586" s="3"/>
      <c r="F13586" s="3"/>
      <c r="G13586" s="3"/>
      <c r="H13586" s="11"/>
      <c r="I13586" s="12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  <c r="AA13586" s="3"/>
      <c r="AB13586" s="3"/>
      <c r="AC13586" s="3"/>
      <c r="AD13586" s="3"/>
      <c r="AE13586" s="3"/>
      <c r="AF13586" s="3"/>
      <c r="AG13586" s="3"/>
      <c r="AH13586" s="3"/>
    </row>
    <row r="13587" spans="1:34" ht="14.25" customHeight="1" x14ac:dyDescent="0.25">
      <c r="A13587" s="3"/>
      <c r="B13587" s="3"/>
      <c r="C13587" s="3"/>
      <c r="D13587" s="3"/>
      <c r="E13587" s="3"/>
      <c r="F13587" s="3"/>
      <c r="G13587" s="3"/>
      <c r="H13587" s="11"/>
      <c r="I13587" s="12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  <c r="AA13587" s="3"/>
      <c r="AB13587" s="3"/>
      <c r="AC13587" s="3"/>
      <c r="AD13587" s="3"/>
      <c r="AE13587" s="3"/>
      <c r="AF13587" s="3"/>
      <c r="AG13587" s="3"/>
      <c r="AH13587" s="3"/>
    </row>
    <row r="13588" spans="1:34" ht="14.25" customHeight="1" x14ac:dyDescent="0.25">
      <c r="A13588" s="3"/>
      <c r="B13588" s="3"/>
      <c r="C13588" s="3"/>
      <c r="D13588" s="3"/>
      <c r="E13588" s="3"/>
      <c r="F13588" s="3"/>
      <c r="G13588" s="3"/>
      <c r="H13588" s="11"/>
      <c r="I13588" s="12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  <c r="AA13588" s="3"/>
      <c r="AB13588" s="3"/>
      <c r="AC13588" s="3"/>
      <c r="AD13588" s="3"/>
      <c r="AE13588" s="3"/>
      <c r="AF13588" s="3"/>
      <c r="AG13588" s="3"/>
      <c r="AH13588" s="3"/>
    </row>
    <row r="13589" spans="1:34" ht="14.25" customHeight="1" x14ac:dyDescent="0.25">
      <c r="A13589" s="3"/>
      <c r="B13589" s="3"/>
      <c r="C13589" s="3"/>
      <c r="D13589" s="3"/>
      <c r="E13589" s="3"/>
      <c r="F13589" s="3"/>
      <c r="G13589" s="3"/>
      <c r="H13589" s="11"/>
      <c r="I13589" s="12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  <c r="AA13589" s="3"/>
      <c r="AB13589" s="3"/>
      <c r="AC13589" s="3"/>
      <c r="AD13589" s="3"/>
      <c r="AE13589" s="3"/>
      <c r="AF13589" s="3"/>
      <c r="AG13589" s="3"/>
      <c r="AH13589" s="3"/>
    </row>
    <row r="13590" spans="1:34" ht="14.25" customHeight="1" x14ac:dyDescent="0.25">
      <c r="A13590" s="3"/>
      <c r="B13590" s="3"/>
      <c r="C13590" s="3"/>
      <c r="D13590" s="3"/>
      <c r="E13590" s="3"/>
      <c r="F13590" s="3"/>
      <c r="G13590" s="3"/>
      <c r="H13590" s="11"/>
      <c r="I13590" s="12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  <c r="AA13590" s="3"/>
      <c r="AB13590" s="3"/>
      <c r="AC13590" s="3"/>
      <c r="AD13590" s="3"/>
      <c r="AE13590" s="3"/>
      <c r="AF13590" s="3"/>
      <c r="AG13590" s="3"/>
      <c r="AH13590" s="3"/>
    </row>
    <row r="13591" spans="1:34" ht="14.25" customHeight="1" x14ac:dyDescent="0.25">
      <c r="A13591" s="3"/>
      <c r="B13591" s="3"/>
      <c r="C13591" s="3"/>
      <c r="D13591" s="3"/>
      <c r="E13591" s="3"/>
      <c r="F13591" s="3"/>
      <c r="G13591" s="3"/>
      <c r="H13591" s="11"/>
      <c r="I13591" s="12"/>
      <c r="J13591" s="15"/>
      <c r="K13591" s="15"/>
      <c r="L13591" s="15"/>
      <c r="M13591" s="15"/>
      <c r="N13591" s="15"/>
      <c r="O13591" s="3"/>
      <c r="P13591" s="15"/>
      <c r="Q13591" s="15"/>
      <c r="R13591" s="15"/>
      <c r="S13591" s="15"/>
      <c r="T13591" s="15"/>
      <c r="U13591" s="3"/>
      <c r="V13591" s="3"/>
      <c r="W13591" s="3"/>
      <c r="X13591" s="3"/>
      <c r="Y13591" s="15"/>
      <c r="Z13591" s="15"/>
      <c r="AA13591" s="3"/>
      <c r="AB13591" s="15"/>
      <c r="AC13591" s="3"/>
      <c r="AD13591" s="3"/>
      <c r="AE13591" s="3"/>
      <c r="AF13591" s="3"/>
      <c r="AG13591" s="3"/>
      <c r="AH13591" s="3"/>
    </row>
    <row r="13592" spans="1:34" ht="14.25" customHeight="1" x14ac:dyDescent="0.25">
      <c r="A13592" s="3"/>
      <c r="B13592" s="3"/>
      <c r="C13592" s="3"/>
      <c r="D13592" s="3"/>
      <c r="E13592" s="3"/>
      <c r="F13592" s="3"/>
      <c r="G13592" s="3"/>
      <c r="H13592" s="11"/>
      <c r="I13592" s="12"/>
      <c r="J13592" s="15"/>
      <c r="K13592" s="15"/>
      <c r="L13592" s="15"/>
      <c r="M13592" s="15"/>
      <c r="N13592" s="15"/>
      <c r="O13592" s="3"/>
      <c r="P13592" s="15"/>
      <c r="Q13592" s="15"/>
      <c r="R13592" s="15"/>
      <c r="S13592" s="15"/>
      <c r="T13592" s="15"/>
      <c r="U13592" s="3"/>
      <c r="V13592" s="3"/>
      <c r="W13592" s="3"/>
      <c r="X13592" s="3"/>
      <c r="Y13592" s="15"/>
      <c r="Z13592" s="15"/>
      <c r="AA13592" s="3"/>
      <c r="AB13592" s="15"/>
      <c r="AC13592" s="3"/>
      <c r="AD13592" s="3"/>
      <c r="AE13592" s="3"/>
      <c r="AF13592" s="3"/>
      <c r="AG13592" s="3"/>
      <c r="AH13592" s="3"/>
    </row>
    <row r="13593" spans="1:34" ht="14.25" customHeight="1" x14ac:dyDescent="0.25">
      <c r="A13593" s="3"/>
      <c r="B13593" s="3"/>
      <c r="C13593" s="3"/>
      <c r="D13593" s="3"/>
      <c r="E13593" s="3"/>
      <c r="F13593" s="3"/>
      <c r="G13593" s="3"/>
      <c r="H13593" s="11"/>
      <c r="I13593" s="12"/>
      <c r="J13593" s="15"/>
      <c r="K13593" s="15"/>
      <c r="L13593" s="15"/>
      <c r="M13593" s="15"/>
      <c r="N13593" s="15"/>
      <c r="O13593" s="3"/>
      <c r="P13593" s="15"/>
      <c r="Q13593" s="15"/>
      <c r="R13593" s="15"/>
      <c r="S13593" s="15"/>
      <c r="T13593" s="15"/>
      <c r="U13593" s="3"/>
      <c r="V13593" s="3"/>
      <c r="W13593" s="3"/>
      <c r="X13593" s="3"/>
      <c r="Y13593" s="15"/>
      <c r="Z13593" s="15"/>
      <c r="AA13593" s="3"/>
      <c r="AB13593" s="15"/>
      <c r="AC13593" s="3"/>
      <c r="AD13593" s="3"/>
      <c r="AE13593" s="3"/>
      <c r="AF13593" s="3"/>
      <c r="AG13593" s="3"/>
      <c r="AH13593" s="3"/>
    </row>
    <row r="13594" spans="1:34" ht="14.25" customHeight="1" x14ac:dyDescent="0.25">
      <c r="A13594" s="15"/>
      <c r="B13594" s="15"/>
      <c r="C13594" s="15"/>
      <c r="D13594" s="15"/>
      <c r="E13594" s="15"/>
      <c r="F13594" s="15"/>
      <c r="G13594" s="3"/>
      <c r="H13594" s="11"/>
      <c r="I13594" s="12"/>
      <c r="J13594" s="15"/>
      <c r="K13594" s="15"/>
      <c r="L13594" s="15"/>
      <c r="M13594" s="15"/>
      <c r="N13594" s="15"/>
      <c r="O13594" s="3"/>
      <c r="P13594" s="15"/>
      <c r="Q13594" s="15"/>
      <c r="R13594" s="15"/>
      <c r="S13594" s="15"/>
      <c r="T13594" s="15"/>
      <c r="U13594" s="3"/>
      <c r="V13594" s="3"/>
      <c r="W13594" s="3"/>
      <c r="X13594" s="3"/>
      <c r="Y13594" s="15"/>
      <c r="Z13594" s="15"/>
      <c r="AA13594" s="15"/>
      <c r="AB13594" s="15"/>
      <c r="AC13594" s="3"/>
      <c r="AD13594" s="3"/>
      <c r="AE13594" s="3"/>
      <c r="AF13594" s="3"/>
      <c r="AG13594" s="3"/>
      <c r="AH13594" s="3"/>
    </row>
    <row r="13595" spans="1:34" ht="14.25" customHeight="1" x14ac:dyDescent="0.25">
      <c r="A13595" s="15"/>
      <c r="B13595" s="15"/>
      <c r="C13595" s="15"/>
      <c r="D13595" s="15"/>
      <c r="E13595" s="15"/>
      <c r="F13595" s="15"/>
      <c r="G13595" s="3"/>
      <c r="H13595" s="11"/>
      <c r="I13595" s="12"/>
      <c r="J13595" s="15"/>
      <c r="K13595" s="15"/>
      <c r="L13595" s="15"/>
      <c r="M13595" s="15"/>
      <c r="N13595" s="15"/>
      <c r="O13595" s="3"/>
      <c r="P13595" s="15"/>
      <c r="Q13595" s="15"/>
      <c r="R13595" s="15"/>
      <c r="S13595" s="15"/>
      <c r="T13595" s="15"/>
      <c r="U13595" s="3"/>
      <c r="V13595" s="3"/>
      <c r="W13595" s="3"/>
      <c r="X13595" s="3"/>
      <c r="Y13595" s="15"/>
      <c r="Z13595" s="15"/>
      <c r="AA13595" s="15"/>
      <c r="AB13595" s="15"/>
      <c r="AC13595" s="3"/>
      <c r="AD13595" s="3"/>
      <c r="AE13595" s="3"/>
      <c r="AF13595" s="3"/>
      <c r="AG13595" s="3"/>
      <c r="AH13595" s="3"/>
    </row>
    <row r="13596" spans="1:34" ht="14.25" customHeight="1" x14ac:dyDescent="0.25">
      <c r="A13596" s="15"/>
      <c r="B13596" s="15"/>
      <c r="C13596" s="15"/>
      <c r="D13596" s="15"/>
      <c r="E13596" s="15"/>
      <c r="F13596" s="15"/>
      <c r="G13596" s="3"/>
      <c r="H13596" s="11"/>
      <c r="I13596" s="12"/>
      <c r="J13596" s="15"/>
      <c r="K13596" s="15"/>
      <c r="L13596" s="15"/>
      <c r="M13596" s="15"/>
      <c r="N13596" s="15"/>
      <c r="O13596" s="3"/>
      <c r="P13596" s="15"/>
      <c r="Q13596" s="15"/>
      <c r="R13596" s="15"/>
      <c r="S13596" s="15"/>
      <c r="T13596" s="15"/>
      <c r="U13596" s="3"/>
      <c r="V13596" s="3"/>
      <c r="W13596" s="3"/>
      <c r="X13596" s="3"/>
      <c r="Y13596" s="15"/>
      <c r="Z13596" s="15"/>
      <c r="AA13596" s="15"/>
      <c r="AB13596" s="15"/>
      <c r="AC13596" s="3"/>
      <c r="AD13596" s="3"/>
      <c r="AE13596" s="3"/>
      <c r="AF13596" s="3"/>
      <c r="AG13596" s="3"/>
      <c r="AH13596" s="3"/>
    </row>
    <row r="13597" spans="1:34" ht="14.25" customHeight="1" x14ac:dyDescent="0.25">
      <c r="A13597" s="15"/>
      <c r="B13597" s="15"/>
      <c r="C13597" s="15"/>
      <c r="D13597" s="15"/>
      <c r="E13597" s="15"/>
      <c r="F13597" s="15"/>
      <c r="G13597" s="3"/>
      <c r="H13597" s="11"/>
      <c r="I13597" s="12"/>
      <c r="J13597" s="15"/>
      <c r="K13597" s="15"/>
      <c r="L13597" s="15"/>
      <c r="M13597" s="15"/>
      <c r="N13597" s="15"/>
      <c r="O13597" s="3"/>
      <c r="P13597" s="15"/>
      <c r="Q13597" s="15"/>
      <c r="R13597" s="15"/>
      <c r="S13597" s="15"/>
      <c r="T13597" s="15"/>
      <c r="U13597" s="3"/>
      <c r="V13597" s="3"/>
      <c r="W13597" s="3"/>
      <c r="X13597" s="3"/>
      <c r="Y13597" s="15"/>
      <c r="Z13597" s="15"/>
      <c r="AA13597" s="15"/>
      <c r="AB13597" s="15"/>
      <c r="AC13597" s="3"/>
      <c r="AD13597" s="3"/>
      <c r="AE13597" s="3"/>
      <c r="AF13597" s="3"/>
      <c r="AG13597" s="3"/>
      <c r="AH13597" s="3"/>
    </row>
    <row r="13598" spans="1:34" ht="14.25" customHeight="1" x14ac:dyDescent="0.25">
      <c r="A13598" s="15"/>
      <c r="B13598" s="15"/>
      <c r="C13598" s="15"/>
      <c r="D13598" s="15"/>
      <c r="E13598" s="15"/>
      <c r="F13598" s="15"/>
      <c r="G13598" s="3"/>
      <c r="H13598" s="11"/>
      <c r="I13598" s="12"/>
      <c r="J13598" s="15"/>
      <c r="K13598" s="15"/>
      <c r="L13598" s="15"/>
      <c r="M13598" s="15"/>
      <c r="N13598" s="15"/>
      <c r="O13598" s="3"/>
      <c r="P13598" s="15"/>
      <c r="Q13598" s="15"/>
      <c r="R13598" s="15"/>
      <c r="S13598" s="15"/>
      <c r="T13598" s="15"/>
      <c r="U13598" s="3"/>
      <c r="V13598" s="3"/>
      <c r="W13598" s="3"/>
      <c r="X13598" s="3"/>
      <c r="Y13598" s="15"/>
      <c r="Z13598" s="15"/>
      <c r="AA13598" s="15"/>
      <c r="AB13598" s="15"/>
      <c r="AC13598" s="3"/>
      <c r="AD13598" s="3"/>
      <c r="AE13598" s="3"/>
      <c r="AF13598" s="3"/>
      <c r="AG13598" s="3"/>
      <c r="AH13598" s="3"/>
    </row>
    <row r="13599" spans="1:34" ht="14.25" customHeight="1" x14ac:dyDescent="0.25">
      <c r="A13599" s="15"/>
      <c r="B13599" s="15"/>
      <c r="C13599" s="15"/>
      <c r="D13599" s="15"/>
      <c r="E13599" s="15"/>
      <c r="F13599" s="15"/>
      <c r="G13599" s="3"/>
      <c r="H13599" s="11"/>
      <c r="I13599" s="12"/>
      <c r="J13599" s="15"/>
      <c r="K13599" s="15"/>
      <c r="L13599" s="15"/>
      <c r="M13599" s="15"/>
      <c r="N13599" s="15"/>
      <c r="O13599" s="3"/>
      <c r="P13599" s="15"/>
      <c r="Q13599" s="15"/>
      <c r="R13599" s="15"/>
      <c r="S13599" s="15"/>
      <c r="T13599" s="15"/>
      <c r="U13599" s="3"/>
      <c r="V13599" s="3"/>
      <c r="W13599" s="3"/>
      <c r="X13599" s="3"/>
      <c r="Y13599" s="15"/>
      <c r="Z13599" s="15"/>
      <c r="AA13599" s="15"/>
      <c r="AB13599" s="15"/>
      <c r="AC13599" s="3"/>
      <c r="AD13599" s="3"/>
      <c r="AE13599" s="3"/>
      <c r="AF13599" s="3"/>
      <c r="AG13599" s="3"/>
      <c r="AH13599" s="3"/>
    </row>
    <row r="13600" spans="1:34" ht="14.25" customHeight="1" x14ac:dyDescent="0.25">
      <c r="A13600" s="15"/>
      <c r="B13600" s="15"/>
      <c r="C13600" s="15"/>
      <c r="D13600" s="15"/>
      <c r="E13600" s="15"/>
      <c r="F13600" s="15"/>
      <c r="G13600" s="3"/>
      <c r="H13600" s="11"/>
      <c r="I13600" s="12"/>
      <c r="J13600" s="3"/>
      <c r="K13600" s="15"/>
      <c r="L13600" s="3"/>
      <c r="M13600" s="3"/>
      <c r="N13600" s="15"/>
      <c r="O13600" s="3"/>
      <c r="P13600" s="15"/>
      <c r="Q13600" s="15"/>
      <c r="R13600" s="15"/>
      <c r="S13600" s="15"/>
      <c r="T13600" s="15"/>
      <c r="U13600" s="3"/>
      <c r="V13600" s="3"/>
      <c r="W13600" s="3"/>
      <c r="X13600" s="3"/>
      <c r="Y13600" s="3"/>
      <c r="Z13600" s="3"/>
      <c r="AA13600" s="15"/>
      <c r="AB13600" s="15"/>
      <c r="AC13600" s="3"/>
      <c r="AD13600" s="3"/>
      <c r="AE13600" s="3"/>
      <c r="AF13600" s="3"/>
      <c r="AG13600" s="3"/>
      <c r="AH13600" s="3"/>
    </row>
    <row r="13601" spans="1:34" ht="14.25" customHeight="1" x14ac:dyDescent="0.25">
      <c r="A13601" s="15"/>
      <c r="B13601" s="15"/>
      <c r="C13601" s="15"/>
      <c r="D13601" s="15"/>
      <c r="E13601" s="15"/>
      <c r="F13601" s="15"/>
      <c r="G13601" s="3"/>
      <c r="H13601" s="11"/>
      <c r="I13601" s="12"/>
      <c r="J13601" s="3"/>
      <c r="K13601" s="15"/>
      <c r="L13601" s="3"/>
      <c r="M13601" s="3"/>
      <c r="N13601" s="15"/>
      <c r="O13601" s="3"/>
      <c r="P13601" s="15"/>
      <c r="Q13601" s="15"/>
      <c r="R13601" s="15"/>
      <c r="S13601" s="15"/>
      <c r="T13601" s="15"/>
      <c r="U13601" s="3"/>
      <c r="V13601" s="3"/>
      <c r="W13601" s="3"/>
      <c r="X13601" s="3"/>
      <c r="Y13601" s="3"/>
      <c r="Z13601" s="3"/>
      <c r="AA13601" s="15"/>
      <c r="AB13601" s="15"/>
      <c r="AC13601" s="3"/>
      <c r="AD13601" s="3"/>
      <c r="AE13601" s="3"/>
      <c r="AF13601" s="3"/>
      <c r="AG13601" s="3"/>
      <c r="AH13601" s="3"/>
    </row>
    <row r="13602" spans="1:34" ht="14.25" customHeight="1" x14ac:dyDescent="0.25">
      <c r="A13602" s="15"/>
      <c r="B13602" s="15"/>
      <c r="C13602" s="15"/>
      <c r="D13602" s="15"/>
      <c r="E13602" s="15"/>
      <c r="F13602" s="15"/>
      <c r="G13602" s="3"/>
      <c r="H13602" s="11"/>
      <c r="I13602" s="12"/>
      <c r="J13602" s="3"/>
      <c r="K13602" s="15"/>
      <c r="L13602" s="3"/>
      <c r="M13602" s="3"/>
      <c r="N13602" s="15"/>
      <c r="O13602" s="3"/>
      <c r="P13602" s="15"/>
      <c r="Q13602" s="15"/>
      <c r="R13602" s="15"/>
      <c r="S13602" s="15"/>
      <c r="T13602" s="15"/>
      <c r="U13602" s="3"/>
      <c r="V13602" s="3"/>
      <c r="W13602" s="3"/>
      <c r="X13602" s="3"/>
      <c r="Y13602" s="3"/>
      <c r="Z13602" s="3"/>
      <c r="AA13602" s="15"/>
      <c r="AB13602" s="15"/>
      <c r="AC13602" s="3"/>
      <c r="AD13602" s="3"/>
      <c r="AE13602" s="3"/>
      <c r="AF13602" s="3"/>
      <c r="AG13602" s="3"/>
      <c r="AH13602" s="3"/>
    </row>
    <row r="13603" spans="1:34" ht="14.25" customHeight="1" x14ac:dyDescent="0.25">
      <c r="A13603" s="15"/>
      <c r="B13603" s="15"/>
      <c r="C13603" s="15"/>
      <c r="D13603" s="15"/>
      <c r="E13603" s="15"/>
      <c r="F13603" s="15"/>
      <c r="G13603" s="3"/>
      <c r="H13603" s="11"/>
      <c r="I13603" s="12"/>
      <c r="J13603" s="3"/>
      <c r="K13603" s="15"/>
      <c r="L13603" s="3"/>
      <c r="M13603" s="3"/>
      <c r="N13603" s="15"/>
      <c r="O13603" s="3"/>
      <c r="P13603" s="15"/>
      <c r="Q13603" s="15"/>
      <c r="R13603" s="15"/>
      <c r="S13603" s="15"/>
      <c r="T13603" s="15"/>
      <c r="U13603" s="3"/>
      <c r="V13603" s="3"/>
      <c r="W13603" s="3"/>
      <c r="X13603" s="3"/>
      <c r="Y13603" s="3"/>
      <c r="Z13603" s="3"/>
      <c r="AA13603" s="15"/>
      <c r="AB13603" s="15"/>
      <c r="AC13603" s="3"/>
      <c r="AD13603" s="3"/>
      <c r="AE13603" s="3"/>
      <c r="AF13603" s="3"/>
      <c r="AG13603" s="3"/>
      <c r="AH13603" s="3"/>
    </row>
    <row r="13604" spans="1:34" ht="14.25" customHeight="1" x14ac:dyDescent="0.25">
      <c r="A13604" s="15"/>
      <c r="B13604" s="15"/>
      <c r="C13604" s="15"/>
      <c r="D13604" s="15"/>
      <c r="E13604" s="15"/>
      <c r="F13604" s="15"/>
      <c r="G13604" s="3"/>
      <c r="H13604" s="11"/>
      <c r="I13604" s="12"/>
      <c r="J13604" s="3"/>
      <c r="K13604" s="15"/>
      <c r="L13604" s="3"/>
      <c r="M13604" s="3"/>
      <c r="N13604" s="15"/>
      <c r="O13604" s="3"/>
      <c r="P13604" s="15"/>
      <c r="Q13604" s="15"/>
      <c r="R13604" s="15"/>
      <c r="S13604" s="15"/>
      <c r="T13604" s="15"/>
      <c r="U13604" s="3"/>
      <c r="V13604" s="3"/>
      <c r="W13604" s="3"/>
      <c r="X13604" s="3"/>
      <c r="Y13604" s="3"/>
      <c r="Z13604" s="3"/>
      <c r="AA13604" s="15"/>
      <c r="AB13604" s="15"/>
      <c r="AC13604" s="3"/>
      <c r="AD13604" s="3"/>
      <c r="AE13604" s="3"/>
      <c r="AF13604" s="3"/>
      <c r="AG13604" s="3"/>
      <c r="AH13604" s="3"/>
    </row>
    <row r="13605" spans="1:34" ht="14.25" customHeight="1" x14ac:dyDescent="0.25">
      <c r="A13605" s="3"/>
      <c r="B13605" s="3"/>
      <c r="C13605" s="3"/>
      <c r="D13605" s="3"/>
      <c r="E13605" s="3"/>
      <c r="F13605" s="3"/>
      <c r="G13605" s="3"/>
      <c r="H13605" s="11"/>
      <c r="I13605" s="12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  <c r="AA13605" s="3"/>
      <c r="AB13605" s="3"/>
      <c r="AC13605" s="3"/>
      <c r="AD13605" s="3"/>
      <c r="AE13605" s="3"/>
      <c r="AF13605" s="3"/>
      <c r="AG13605" s="3"/>
      <c r="AH13605" s="3"/>
    </row>
    <row r="13606" spans="1:34" ht="14.25" customHeight="1" x14ac:dyDescent="0.25">
      <c r="A13606" s="3"/>
      <c r="B13606" s="3"/>
      <c r="C13606" s="3"/>
      <c r="D13606" s="3"/>
      <c r="E13606" s="3"/>
      <c r="F13606" s="3"/>
      <c r="G13606" s="3"/>
      <c r="H13606" s="11"/>
      <c r="I13606" s="12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  <c r="AA13606" s="3"/>
      <c r="AB13606" s="3"/>
      <c r="AC13606" s="3"/>
      <c r="AD13606" s="3"/>
      <c r="AE13606" s="3"/>
      <c r="AF13606" s="3"/>
      <c r="AG13606" s="3"/>
      <c r="AH13606" s="3"/>
    </row>
    <row r="13607" spans="1:34" ht="14.25" customHeight="1" x14ac:dyDescent="0.25">
      <c r="A13607" s="3"/>
      <c r="B13607" s="3"/>
      <c r="C13607" s="3"/>
      <c r="D13607" s="3"/>
      <c r="E13607" s="3"/>
      <c r="F13607" s="3"/>
      <c r="G13607" s="3"/>
      <c r="H13607" s="11"/>
      <c r="I13607" s="12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  <c r="AA13607" s="3"/>
      <c r="AB13607" s="3"/>
      <c r="AC13607" s="3"/>
      <c r="AD13607" s="3"/>
      <c r="AE13607" s="3"/>
      <c r="AF13607" s="3"/>
      <c r="AG13607" s="3"/>
      <c r="AH13607" s="3"/>
    </row>
    <row r="13608" spans="1:34" ht="14.25" customHeight="1" x14ac:dyDescent="0.25">
      <c r="A13608" s="3"/>
      <c r="B13608" s="3"/>
      <c r="C13608" s="3"/>
      <c r="D13608" s="3"/>
      <c r="E13608" s="3"/>
      <c r="F13608" s="3"/>
      <c r="G13608" s="3"/>
      <c r="H13608" s="11"/>
      <c r="I13608" s="12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  <c r="AA13608" s="3"/>
      <c r="AB13608" s="3"/>
      <c r="AC13608" s="3"/>
      <c r="AD13608" s="3"/>
      <c r="AE13608" s="3"/>
      <c r="AF13608" s="3"/>
      <c r="AG13608" s="3"/>
      <c r="AH13608" s="3"/>
    </row>
    <row r="13609" spans="1:34" ht="14.25" customHeight="1" x14ac:dyDescent="0.25">
      <c r="A13609" s="3"/>
      <c r="B13609" s="3"/>
      <c r="C13609" s="3"/>
      <c r="D13609" s="3"/>
      <c r="E13609" s="3"/>
      <c r="F13609" s="3"/>
      <c r="G13609" s="3"/>
      <c r="H13609" s="11"/>
      <c r="I13609" s="12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  <c r="AA13609" s="3"/>
      <c r="AB13609" s="3"/>
      <c r="AC13609" s="3"/>
      <c r="AD13609" s="3"/>
      <c r="AE13609" s="3"/>
      <c r="AF13609" s="3"/>
      <c r="AG13609" s="3"/>
      <c r="AH13609" s="3"/>
    </row>
    <row r="13610" spans="1:34" ht="14.25" customHeight="1" x14ac:dyDescent="0.25">
      <c r="A13610" s="3"/>
      <c r="B13610" s="3"/>
      <c r="C13610" s="3"/>
      <c r="D13610" s="3"/>
      <c r="E13610" s="3"/>
      <c r="F13610" s="3"/>
      <c r="G13610" s="3"/>
      <c r="H13610" s="11"/>
      <c r="I13610" s="12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  <c r="AA13610" s="3"/>
      <c r="AB13610" s="3"/>
      <c r="AC13610" s="3"/>
      <c r="AD13610" s="3"/>
      <c r="AE13610" s="3"/>
      <c r="AF13610" s="3"/>
      <c r="AG13610" s="3"/>
      <c r="AH13610" s="3"/>
    </row>
    <row r="13611" spans="1:34" ht="14.25" customHeight="1" x14ac:dyDescent="0.25">
      <c r="A13611" s="3"/>
      <c r="B13611" s="3"/>
      <c r="C13611" s="3"/>
      <c r="D13611" s="3"/>
      <c r="E13611" s="3"/>
      <c r="F13611" s="3"/>
      <c r="G13611" s="3"/>
      <c r="H13611" s="11"/>
      <c r="I13611" s="12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  <c r="AA13611" s="3"/>
      <c r="AB13611" s="3"/>
      <c r="AC13611" s="3"/>
      <c r="AD13611" s="3"/>
      <c r="AE13611" s="3"/>
      <c r="AF13611" s="3"/>
      <c r="AG13611" s="3"/>
      <c r="AH13611" s="3"/>
    </row>
    <row r="13612" spans="1:34" ht="14.25" customHeight="1" x14ac:dyDescent="0.25">
      <c r="A13612" s="3"/>
      <c r="B13612" s="3"/>
      <c r="C13612" s="3"/>
      <c r="D13612" s="3"/>
      <c r="E13612" s="3"/>
      <c r="F13612" s="3"/>
      <c r="G13612" s="3"/>
      <c r="H13612" s="11"/>
      <c r="I13612" s="12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  <c r="AA13612" s="3"/>
      <c r="AB13612" s="3"/>
      <c r="AC13612" s="3"/>
      <c r="AD13612" s="3"/>
      <c r="AE13612" s="3"/>
      <c r="AF13612" s="3"/>
      <c r="AG13612" s="3"/>
      <c r="AH13612" s="3"/>
    </row>
    <row r="13613" spans="1:34" ht="14.25" customHeight="1" x14ac:dyDescent="0.25">
      <c r="A13613" s="3"/>
      <c r="B13613" s="3"/>
      <c r="C13613" s="3"/>
      <c r="D13613" s="3"/>
      <c r="E13613" s="3"/>
      <c r="F13613" s="3"/>
      <c r="G13613" s="3"/>
      <c r="H13613" s="11"/>
      <c r="I13613" s="12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  <c r="AA13613" s="3"/>
      <c r="AB13613" s="3"/>
      <c r="AC13613" s="3"/>
      <c r="AD13613" s="3"/>
      <c r="AE13613" s="3"/>
      <c r="AF13613" s="3"/>
      <c r="AG13613" s="3"/>
      <c r="AH13613" s="3"/>
    </row>
    <row r="13614" spans="1:34" ht="14.25" customHeight="1" x14ac:dyDescent="0.25">
      <c r="A13614" s="3"/>
      <c r="B13614" s="3"/>
      <c r="C13614" s="3"/>
      <c r="D13614" s="3"/>
      <c r="E13614" s="3"/>
      <c r="F13614" s="3"/>
      <c r="G13614" s="3"/>
      <c r="H13614" s="11"/>
      <c r="I13614" s="12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  <c r="AA13614" s="3"/>
      <c r="AB13614" s="3"/>
      <c r="AC13614" s="3"/>
      <c r="AD13614" s="3"/>
      <c r="AE13614" s="3"/>
      <c r="AF13614" s="3"/>
      <c r="AG13614" s="3"/>
      <c r="AH13614" s="3"/>
    </row>
    <row r="13615" spans="1:34" ht="14.25" customHeight="1" x14ac:dyDescent="0.25">
      <c r="A13615" s="3"/>
      <c r="B13615" s="3"/>
      <c r="C13615" s="3"/>
      <c r="D13615" s="3"/>
      <c r="E13615" s="3"/>
      <c r="F13615" s="3"/>
      <c r="G13615" s="3"/>
      <c r="H13615" s="11"/>
      <c r="I13615" s="12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  <c r="AA13615" s="3"/>
      <c r="AB13615" s="3"/>
      <c r="AC13615" s="3"/>
      <c r="AD13615" s="3"/>
      <c r="AE13615" s="3"/>
      <c r="AF13615" s="3"/>
      <c r="AG13615" s="3"/>
      <c r="AH13615" s="3"/>
    </row>
    <row r="13616" spans="1:34" ht="14.25" customHeight="1" x14ac:dyDescent="0.25">
      <c r="A13616" s="3"/>
      <c r="B13616" s="3"/>
      <c r="C13616" s="3"/>
      <c r="D13616" s="3"/>
      <c r="E13616" s="3"/>
      <c r="F13616" s="3"/>
      <c r="G13616" s="3"/>
      <c r="H13616" s="11"/>
      <c r="I13616" s="12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  <c r="AA13616" s="3"/>
      <c r="AB13616" s="3"/>
      <c r="AC13616" s="3"/>
      <c r="AD13616" s="3"/>
      <c r="AE13616" s="3"/>
      <c r="AF13616" s="3"/>
      <c r="AG13616" s="3"/>
      <c r="AH13616" s="3"/>
    </row>
    <row r="13617" spans="1:34" ht="14.25" customHeight="1" x14ac:dyDescent="0.25">
      <c r="A13617" s="3"/>
      <c r="B13617" s="3"/>
      <c r="C13617" s="3"/>
      <c r="D13617" s="3"/>
      <c r="E13617" s="3"/>
      <c r="F13617" s="3"/>
      <c r="G13617" s="3"/>
      <c r="H13617" s="11"/>
      <c r="I13617" s="12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  <c r="AA13617" s="3"/>
      <c r="AB13617" s="3"/>
      <c r="AC13617" s="3"/>
      <c r="AD13617" s="3"/>
      <c r="AE13617" s="3"/>
      <c r="AF13617" s="3"/>
      <c r="AG13617" s="3"/>
      <c r="AH13617" s="3"/>
    </row>
    <row r="13618" spans="1:34" ht="14.25" customHeight="1" x14ac:dyDescent="0.25">
      <c r="A13618" s="3"/>
      <c r="B13618" s="3"/>
      <c r="C13618" s="3"/>
      <c r="D13618" s="3"/>
      <c r="E13618" s="3"/>
      <c r="F13618" s="3"/>
      <c r="G13618" s="3"/>
      <c r="H13618" s="11"/>
      <c r="I13618" s="12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  <c r="AA13618" s="3"/>
      <c r="AB13618" s="3"/>
      <c r="AC13618" s="3"/>
      <c r="AD13618" s="3"/>
      <c r="AE13618" s="3"/>
      <c r="AF13618" s="3"/>
      <c r="AG13618" s="3"/>
      <c r="AH13618" s="3"/>
    </row>
    <row r="13619" spans="1:34" ht="14.25" customHeight="1" x14ac:dyDescent="0.25">
      <c r="A13619" s="3"/>
      <c r="B13619" s="3"/>
      <c r="C13619" s="3"/>
      <c r="D13619" s="3"/>
      <c r="E13619" s="3"/>
      <c r="F13619" s="3"/>
      <c r="G13619" s="3"/>
      <c r="H13619" s="11"/>
      <c r="I13619" s="12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  <c r="AA13619" s="3"/>
      <c r="AB13619" s="3"/>
      <c r="AC13619" s="3"/>
      <c r="AD13619" s="3"/>
      <c r="AE13619" s="3"/>
      <c r="AF13619" s="3"/>
      <c r="AG13619" s="3"/>
      <c r="AH13619" s="3"/>
    </row>
    <row r="13620" spans="1:34" ht="14.25" customHeight="1" x14ac:dyDescent="0.25">
      <c r="A13620" s="3"/>
      <c r="B13620" s="3"/>
      <c r="C13620" s="3"/>
      <c r="D13620" s="3"/>
      <c r="E13620" s="3"/>
      <c r="F13620" s="3"/>
      <c r="G13620" s="3"/>
      <c r="H13620" s="11"/>
      <c r="I13620" s="12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  <c r="AA13620" s="3"/>
      <c r="AB13620" s="3"/>
      <c r="AC13620" s="3"/>
      <c r="AD13620" s="3"/>
      <c r="AE13620" s="3"/>
      <c r="AF13620" s="3"/>
      <c r="AG13620" s="3"/>
      <c r="AH13620" s="3"/>
    </row>
    <row r="13621" spans="1:34" ht="14.25" customHeight="1" x14ac:dyDescent="0.25">
      <c r="A13621" s="3"/>
      <c r="B13621" s="3"/>
      <c r="C13621" s="3"/>
      <c r="D13621" s="3"/>
      <c r="E13621" s="3"/>
      <c r="F13621" s="3"/>
      <c r="G13621" s="3"/>
      <c r="H13621" s="11"/>
      <c r="I13621" s="12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  <c r="AA13621" s="3"/>
      <c r="AB13621" s="3"/>
      <c r="AC13621" s="3"/>
      <c r="AD13621" s="3"/>
      <c r="AE13621" s="3"/>
      <c r="AF13621" s="3"/>
      <c r="AG13621" s="3"/>
      <c r="AH13621" s="3"/>
    </row>
    <row r="13622" spans="1:34" ht="14.25" customHeight="1" x14ac:dyDescent="0.25">
      <c r="A13622" s="3"/>
      <c r="B13622" s="3"/>
      <c r="C13622" s="3"/>
      <c r="D13622" s="3"/>
      <c r="E13622" s="3"/>
      <c r="F13622" s="3"/>
      <c r="G13622" s="3"/>
      <c r="H13622" s="11"/>
      <c r="I13622" s="12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  <c r="AA13622" s="3"/>
      <c r="AB13622" s="3"/>
      <c r="AC13622" s="3"/>
      <c r="AD13622" s="3"/>
      <c r="AE13622" s="3"/>
      <c r="AF13622" s="3"/>
      <c r="AG13622" s="3"/>
      <c r="AH13622" s="3"/>
    </row>
    <row r="13623" spans="1:34" ht="14.25" customHeight="1" x14ac:dyDescent="0.25">
      <c r="A13623" s="3"/>
      <c r="B13623" s="3"/>
      <c r="C13623" s="3"/>
      <c r="D13623" s="3"/>
      <c r="E13623" s="3"/>
      <c r="F13623" s="3"/>
      <c r="G13623" s="3"/>
      <c r="H13623" s="11"/>
      <c r="I13623" s="12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  <c r="AA13623" s="3"/>
      <c r="AB13623" s="3"/>
      <c r="AC13623" s="3"/>
      <c r="AD13623" s="3"/>
      <c r="AE13623" s="3"/>
      <c r="AF13623" s="3"/>
      <c r="AG13623" s="3"/>
      <c r="AH13623" s="3"/>
    </row>
    <row r="13624" spans="1:34" ht="14.25" customHeight="1" x14ac:dyDescent="0.25">
      <c r="A13624" s="3"/>
      <c r="B13624" s="3"/>
      <c r="C13624" s="3"/>
      <c r="D13624" s="3"/>
      <c r="E13624" s="3"/>
      <c r="F13624" s="3"/>
      <c r="G13624" s="3"/>
      <c r="H13624" s="11"/>
      <c r="I13624" s="12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  <c r="AA13624" s="3"/>
      <c r="AB13624" s="3"/>
      <c r="AC13624" s="3"/>
      <c r="AD13624" s="3"/>
      <c r="AE13624" s="3"/>
      <c r="AF13624" s="3"/>
      <c r="AG13624" s="3"/>
      <c r="AH13624" s="3"/>
    </row>
    <row r="13625" spans="1:34" ht="14.25" customHeight="1" x14ac:dyDescent="0.25">
      <c r="A13625" s="3"/>
      <c r="B13625" s="3"/>
      <c r="C13625" s="3"/>
      <c r="D13625" s="3"/>
      <c r="E13625" s="3"/>
      <c r="F13625" s="3"/>
      <c r="G13625" s="3"/>
      <c r="H13625" s="11"/>
      <c r="I13625" s="12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  <c r="AA13625" s="3"/>
      <c r="AB13625" s="3"/>
      <c r="AC13625" s="3"/>
      <c r="AD13625" s="3"/>
      <c r="AE13625" s="3"/>
      <c r="AF13625" s="3"/>
      <c r="AG13625" s="3"/>
      <c r="AH13625" s="3"/>
    </row>
    <row r="13626" spans="1:34" ht="14.25" customHeight="1" x14ac:dyDescent="0.25">
      <c r="A13626" s="3"/>
      <c r="B13626" s="3"/>
      <c r="C13626" s="3"/>
      <c r="D13626" s="3"/>
      <c r="E13626" s="3"/>
      <c r="F13626" s="3"/>
      <c r="G13626" s="3"/>
      <c r="H13626" s="11"/>
      <c r="I13626" s="12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  <c r="AA13626" s="3"/>
      <c r="AB13626" s="3"/>
      <c r="AC13626" s="3"/>
      <c r="AD13626" s="3"/>
      <c r="AE13626" s="3"/>
      <c r="AF13626" s="3"/>
      <c r="AG13626" s="3"/>
      <c r="AH13626" s="3"/>
    </row>
    <row r="13627" spans="1:34" ht="14.25" customHeight="1" x14ac:dyDescent="0.25">
      <c r="A13627" s="3"/>
      <c r="B13627" s="3"/>
      <c r="C13627" s="3"/>
      <c r="D13627" s="3"/>
      <c r="E13627" s="3"/>
      <c r="F13627" s="3"/>
      <c r="G13627" s="3"/>
      <c r="H13627" s="11"/>
      <c r="I13627" s="12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  <c r="AA13627" s="3"/>
      <c r="AB13627" s="3"/>
      <c r="AC13627" s="3"/>
      <c r="AD13627" s="3"/>
      <c r="AE13627" s="3"/>
      <c r="AF13627" s="3"/>
      <c r="AG13627" s="3"/>
      <c r="AH13627" s="3"/>
    </row>
    <row r="13628" spans="1:34" ht="14.25" customHeight="1" x14ac:dyDescent="0.25">
      <c r="A13628" s="3"/>
      <c r="B13628" s="3"/>
      <c r="C13628" s="3"/>
      <c r="D13628" s="3"/>
      <c r="E13628" s="3"/>
      <c r="F13628" s="3"/>
      <c r="G13628" s="3"/>
      <c r="H13628" s="11"/>
      <c r="I13628" s="12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  <c r="AA13628" s="3"/>
      <c r="AB13628" s="3"/>
      <c r="AC13628" s="3"/>
      <c r="AD13628" s="3"/>
      <c r="AE13628" s="3"/>
      <c r="AF13628" s="3"/>
      <c r="AG13628" s="3"/>
      <c r="AH13628" s="3"/>
    </row>
    <row r="13629" spans="1:34" ht="14.25" customHeight="1" x14ac:dyDescent="0.25">
      <c r="A13629" s="3"/>
      <c r="B13629" s="3"/>
      <c r="C13629" s="3"/>
      <c r="D13629" s="3"/>
      <c r="E13629" s="3"/>
      <c r="F13629" s="3"/>
      <c r="G13629" s="3"/>
      <c r="H13629" s="11"/>
      <c r="I13629" s="12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  <c r="AA13629" s="3"/>
      <c r="AB13629" s="3"/>
      <c r="AC13629" s="3"/>
      <c r="AD13629" s="3"/>
      <c r="AE13629" s="3"/>
      <c r="AF13629" s="3"/>
      <c r="AG13629" s="3"/>
      <c r="AH13629" s="3"/>
    </row>
    <row r="13630" spans="1:34" ht="14.25" customHeight="1" x14ac:dyDescent="0.25">
      <c r="A13630" s="3"/>
      <c r="B13630" s="3"/>
      <c r="C13630" s="3"/>
      <c r="D13630" s="3"/>
      <c r="E13630" s="3"/>
      <c r="F13630" s="3"/>
      <c r="G13630" s="3"/>
      <c r="H13630" s="11"/>
      <c r="I13630" s="12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  <c r="AA13630" s="3"/>
      <c r="AB13630" s="3"/>
      <c r="AC13630" s="3"/>
      <c r="AD13630" s="3"/>
      <c r="AE13630" s="3"/>
      <c r="AF13630" s="3"/>
      <c r="AG13630" s="3"/>
      <c r="AH13630" s="3"/>
    </row>
    <row r="13631" spans="1:34" ht="14.25" customHeight="1" x14ac:dyDescent="0.25">
      <c r="A13631" s="3"/>
      <c r="B13631" s="3"/>
      <c r="C13631" s="3"/>
      <c r="D13631" s="3"/>
      <c r="E13631" s="3"/>
      <c r="F13631" s="3"/>
      <c r="G13631" s="3"/>
      <c r="H13631" s="11"/>
      <c r="I13631" s="12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  <c r="AA13631" s="3"/>
      <c r="AB13631" s="3"/>
      <c r="AC13631" s="3"/>
      <c r="AD13631" s="3"/>
      <c r="AE13631" s="3"/>
      <c r="AF13631" s="3"/>
      <c r="AG13631" s="3"/>
      <c r="AH13631" s="3"/>
    </row>
    <row r="13632" spans="1:34" ht="14.25" customHeight="1" x14ac:dyDescent="0.25">
      <c r="A13632" s="3"/>
      <c r="B13632" s="3"/>
      <c r="C13632" s="3"/>
      <c r="D13632" s="3"/>
      <c r="E13632" s="3"/>
      <c r="F13632" s="3"/>
      <c r="G13632" s="3"/>
      <c r="H13632" s="11"/>
      <c r="I13632" s="12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  <c r="AA13632" s="3"/>
      <c r="AB13632" s="3"/>
      <c r="AC13632" s="3"/>
      <c r="AD13632" s="3"/>
      <c r="AE13632" s="3"/>
      <c r="AF13632" s="3"/>
      <c r="AG13632" s="3"/>
      <c r="AH13632" s="3"/>
    </row>
    <row r="13633" spans="1:34" ht="14.25" customHeight="1" x14ac:dyDescent="0.25">
      <c r="A13633" s="3"/>
      <c r="B13633" s="3"/>
      <c r="C13633" s="3"/>
      <c r="D13633" s="3"/>
      <c r="E13633" s="3"/>
      <c r="F13633" s="3"/>
      <c r="G13633" s="3"/>
      <c r="H13633" s="11"/>
      <c r="I13633" s="12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  <c r="AA13633" s="3"/>
      <c r="AB13633" s="3"/>
      <c r="AC13633" s="3"/>
      <c r="AD13633" s="3"/>
      <c r="AE13633" s="3"/>
      <c r="AF13633" s="3"/>
      <c r="AG13633" s="3"/>
      <c r="AH13633" s="3"/>
    </row>
    <row r="13634" spans="1:34" ht="14.25" customHeight="1" x14ac:dyDescent="0.25">
      <c r="A13634" s="3"/>
      <c r="B13634" s="3"/>
      <c r="C13634" s="3"/>
      <c r="D13634" s="3"/>
      <c r="E13634" s="3"/>
      <c r="F13634" s="3"/>
      <c r="G13634" s="3"/>
      <c r="H13634" s="11"/>
      <c r="I13634" s="12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  <c r="AA13634" s="3"/>
      <c r="AB13634" s="3"/>
      <c r="AC13634" s="3"/>
      <c r="AD13634" s="3"/>
      <c r="AE13634" s="3"/>
      <c r="AF13634" s="3"/>
      <c r="AG13634" s="3"/>
      <c r="AH13634" s="3"/>
    </row>
    <row r="13635" spans="1:34" ht="14.25" customHeight="1" x14ac:dyDescent="0.25">
      <c r="A13635" s="3"/>
      <c r="B13635" s="3"/>
      <c r="C13635" s="3"/>
      <c r="D13635" s="3"/>
      <c r="E13635" s="3"/>
      <c r="F13635" s="3"/>
      <c r="G13635" s="3"/>
      <c r="H13635" s="11"/>
      <c r="I13635" s="12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  <c r="AA13635" s="3"/>
      <c r="AB13635" s="3"/>
      <c r="AC13635" s="3"/>
      <c r="AD13635" s="3"/>
      <c r="AE13635" s="3"/>
      <c r="AF13635" s="3"/>
      <c r="AG13635" s="3"/>
      <c r="AH13635" s="3"/>
    </row>
    <row r="13636" spans="1:34" ht="14.25" customHeight="1" x14ac:dyDescent="0.25">
      <c r="A13636" s="3"/>
      <c r="B13636" s="3"/>
      <c r="C13636" s="3"/>
      <c r="D13636" s="3"/>
      <c r="E13636" s="3"/>
      <c r="F13636" s="3"/>
      <c r="G13636" s="3"/>
      <c r="H13636" s="11"/>
      <c r="I13636" s="12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  <c r="AA13636" s="3"/>
      <c r="AB13636" s="3"/>
      <c r="AC13636" s="3"/>
      <c r="AD13636" s="3"/>
      <c r="AE13636" s="3"/>
      <c r="AF13636" s="3"/>
      <c r="AG13636" s="3"/>
      <c r="AH13636" s="3"/>
    </row>
    <row r="13637" spans="1:34" ht="14.25" customHeight="1" x14ac:dyDescent="0.25">
      <c r="A13637" s="3"/>
      <c r="B13637" s="3"/>
      <c r="C13637" s="3"/>
      <c r="D13637" s="3"/>
      <c r="E13637" s="3"/>
      <c r="F13637" s="3"/>
      <c r="G13637" s="3"/>
      <c r="H13637" s="11"/>
      <c r="I13637" s="12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  <c r="AA13637" s="3"/>
      <c r="AB13637" s="3"/>
      <c r="AC13637" s="3"/>
      <c r="AD13637" s="3"/>
      <c r="AE13637" s="3"/>
      <c r="AF13637" s="3"/>
      <c r="AG13637" s="3"/>
      <c r="AH13637" s="3"/>
    </row>
    <row r="13638" spans="1:34" ht="14.25" customHeight="1" x14ac:dyDescent="0.25">
      <c r="A13638" s="3"/>
      <c r="B13638" s="3"/>
      <c r="C13638" s="3"/>
      <c r="D13638" s="3"/>
      <c r="E13638" s="3"/>
      <c r="F13638" s="3"/>
      <c r="G13638" s="3"/>
      <c r="H13638" s="11"/>
      <c r="I13638" s="12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  <c r="AA13638" s="3"/>
      <c r="AB13638" s="3"/>
      <c r="AC13638" s="3"/>
      <c r="AD13638" s="3"/>
      <c r="AE13638" s="3"/>
      <c r="AF13638" s="3"/>
      <c r="AG13638" s="3"/>
      <c r="AH13638" s="3"/>
    </row>
    <row r="13639" spans="1:34" ht="14.25" customHeight="1" x14ac:dyDescent="0.25">
      <c r="A13639" s="3"/>
      <c r="B13639" s="3"/>
      <c r="C13639" s="3"/>
      <c r="D13639" s="3"/>
      <c r="E13639" s="3"/>
      <c r="F13639" s="3"/>
      <c r="G13639" s="3"/>
      <c r="H13639" s="11"/>
      <c r="I13639" s="12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  <c r="AA13639" s="3"/>
      <c r="AB13639" s="3"/>
      <c r="AC13639" s="3"/>
      <c r="AD13639" s="3"/>
      <c r="AE13639" s="3"/>
      <c r="AF13639" s="3"/>
      <c r="AG13639" s="3"/>
      <c r="AH13639" s="3"/>
    </row>
    <row r="13640" spans="1:34" ht="14.25" customHeight="1" x14ac:dyDescent="0.25">
      <c r="A13640" s="3"/>
      <c r="B13640" s="3"/>
      <c r="C13640" s="3"/>
      <c r="D13640" s="3"/>
      <c r="E13640" s="3"/>
      <c r="F13640" s="3"/>
      <c r="G13640" s="3"/>
      <c r="H13640" s="11"/>
      <c r="I13640" s="12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  <c r="AA13640" s="3"/>
      <c r="AB13640" s="3"/>
      <c r="AC13640" s="3"/>
      <c r="AD13640" s="3"/>
      <c r="AE13640" s="3"/>
      <c r="AF13640" s="3"/>
      <c r="AG13640" s="3"/>
      <c r="AH13640" s="3"/>
    </row>
    <row r="13641" spans="1:34" ht="14.25" customHeight="1" x14ac:dyDescent="0.25">
      <c r="A13641" s="3"/>
      <c r="B13641" s="3"/>
      <c r="C13641" s="3"/>
      <c r="D13641" s="3"/>
      <c r="E13641" s="3"/>
      <c r="F13641" s="3"/>
      <c r="G13641" s="3"/>
      <c r="H13641" s="11"/>
      <c r="I13641" s="12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  <c r="AA13641" s="3"/>
      <c r="AB13641" s="3"/>
      <c r="AC13641" s="3"/>
      <c r="AD13641" s="3"/>
      <c r="AE13641" s="3"/>
      <c r="AF13641" s="3"/>
      <c r="AG13641" s="3"/>
      <c r="AH13641" s="3"/>
    </row>
    <row r="13642" spans="1:34" ht="14.25" customHeight="1" x14ac:dyDescent="0.25">
      <c r="A13642" s="3"/>
      <c r="B13642" s="3"/>
      <c r="C13642" s="3"/>
      <c r="D13642" s="3"/>
      <c r="E13642" s="3"/>
      <c r="F13642" s="3"/>
      <c r="G13642" s="3"/>
      <c r="H13642" s="11"/>
      <c r="I13642" s="12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  <c r="AA13642" s="3"/>
      <c r="AB13642" s="3"/>
      <c r="AC13642" s="3"/>
      <c r="AD13642" s="3"/>
      <c r="AE13642" s="3"/>
      <c r="AF13642" s="3"/>
      <c r="AG13642" s="3"/>
      <c r="AH13642" s="3"/>
    </row>
    <row r="13643" spans="1:34" ht="14.25" customHeight="1" x14ac:dyDescent="0.25">
      <c r="A13643" s="3"/>
      <c r="B13643" s="3"/>
      <c r="C13643" s="3"/>
      <c r="D13643" s="3"/>
      <c r="E13643" s="3"/>
      <c r="F13643" s="3"/>
      <c r="G13643" s="3"/>
      <c r="H13643" s="11"/>
      <c r="I13643" s="12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  <c r="AA13643" s="3"/>
      <c r="AB13643" s="3"/>
      <c r="AC13643" s="3"/>
      <c r="AD13643" s="3"/>
      <c r="AE13643" s="3"/>
      <c r="AF13643" s="3"/>
      <c r="AG13643" s="3"/>
      <c r="AH13643" s="3"/>
    </row>
    <row r="13644" spans="1:34" ht="14.25" customHeight="1" x14ac:dyDescent="0.25">
      <c r="A13644" s="3"/>
      <c r="B13644" s="3"/>
      <c r="C13644" s="3"/>
      <c r="D13644" s="3"/>
      <c r="E13644" s="3"/>
      <c r="F13644" s="3"/>
      <c r="G13644" s="3"/>
      <c r="H13644" s="11"/>
      <c r="I13644" s="12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  <c r="AA13644" s="3"/>
      <c r="AB13644" s="3"/>
      <c r="AC13644" s="3"/>
      <c r="AD13644" s="3"/>
      <c r="AE13644" s="3"/>
      <c r="AF13644" s="3"/>
      <c r="AG13644" s="3"/>
      <c r="AH13644" s="3"/>
    </row>
    <row r="13645" spans="1:34" ht="14.25" customHeight="1" x14ac:dyDescent="0.25">
      <c r="A13645" s="3"/>
      <c r="B13645" s="3"/>
      <c r="C13645" s="3"/>
      <c r="D13645" s="3"/>
      <c r="E13645" s="3"/>
      <c r="F13645" s="3"/>
      <c r="G13645" s="3"/>
      <c r="H13645" s="11"/>
      <c r="I13645" s="12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  <c r="AA13645" s="3"/>
      <c r="AB13645" s="3"/>
      <c r="AC13645" s="3"/>
      <c r="AD13645" s="3"/>
      <c r="AE13645" s="3"/>
      <c r="AF13645" s="3"/>
      <c r="AG13645" s="3"/>
      <c r="AH13645" s="3"/>
    </row>
    <row r="13646" spans="1:34" ht="14.25" customHeight="1" x14ac:dyDescent="0.25">
      <c r="A13646" s="3"/>
      <c r="B13646" s="3"/>
      <c r="C13646" s="3"/>
      <c r="D13646" s="3"/>
      <c r="E13646" s="3"/>
      <c r="F13646" s="3"/>
      <c r="G13646" s="3"/>
      <c r="H13646" s="11"/>
      <c r="I13646" s="12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  <c r="AA13646" s="3"/>
      <c r="AB13646" s="3"/>
      <c r="AC13646" s="3"/>
      <c r="AD13646" s="3"/>
      <c r="AE13646" s="3"/>
      <c r="AF13646" s="3"/>
      <c r="AG13646" s="3"/>
      <c r="AH13646" s="3"/>
    </row>
    <row r="13647" spans="1:34" ht="14.25" customHeight="1" x14ac:dyDescent="0.25">
      <c r="A13647" s="3"/>
      <c r="B13647" s="3"/>
      <c r="C13647" s="3"/>
      <c r="D13647" s="3"/>
      <c r="E13647" s="3"/>
      <c r="F13647" s="3"/>
      <c r="G13647" s="3"/>
      <c r="H13647" s="11"/>
      <c r="I13647" s="12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  <c r="AA13647" s="3"/>
      <c r="AB13647" s="3"/>
      <c r="AC13647" s="3"/>
      <c r="AD13647" s="3"/>
      <c r="AE13647" s="3"/>
      <c r="AF13647" s="3"/>
      <c r="AG13647" s="3"/>
      <c r="AH13647" s="3"/>
    </row>
    <row r="13648" spans="1:34" ht="14.25" customHeight="1" x14ac:dyDescent="0.25">
      <c r="A13648" s="3"/>
      <c r="B13648" s="3"/>
      <c r="C13648" s="3"/>
      <c r="D13648" s="3"/>
      <c r="E13648" s="3"/>
      <c r="F13648" s="3"/>
      <c r="G13648" s="3"/>
      <c r="H13648" s="11"/>
      <c r="I13648" s="12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  <c r="AA13648" s="3"/>
      <c r="AB13648" s="3"/>
      <c r="AC13648" s="3"/>
      <c r="AD13648" s="3"/>
      <c r="AE13648" s="3"/>
      <c r="AF13648" s="3"/>
      <c r="AG13648" s="3"/>
      <c r="AH13648" s="3"/>
    </row>
    <row r="13649" spans="1:34" ht="14.25" customHeight="1" x14ac:dyDescent="0.25">
      <c r="A13649" s="3"/>
      <c r="B13649" s="3"/>
      <c r="C13649" s="3"/>
      <c r="D13649" s="3"/>
      <c r="E13649" s="3"/>
      <c r="F13649" s="3"/>
      <c r="G13649" s="3"/>
      <c r="H13649" s="11"/>
      <c r="I13649" s="12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  <c r="AA13649" s="3"/>
      <c r="AB13649" s="3"/>
      <c r="AC13649" s="3"/>
      <c r="AD13649" s="3"/>
      <c r="AE13649" s="3"/>
      <c r="AF13649" s="3"/>
      <c r="AG13649" s="3"/>
      <c r="AH13649" s="3"/>
    </row>
    <row r="13650" spans="1:34" ht="14.25" customHeight="1" x14ac:dyDescent="0.25">
      <c r="A13650" s="3"/>
      <c r="B13650" s="3"/>
      <c r="C13650" s="3"/>
      <c r="D13650" s="3"/>
      <c r="E13650" s="3"/>
      <c r="F13650" s="3"/>
      <c r="G13650" s="3"/>
      <c r="H13650" s="11"/>
      <c r="I13650" s="12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  <c r="AA13650" s="3"/>
      <c r="AB13650" s="3"/>
      <c r="AC13650" s="3"/>
      <c r="AD13650" s="3"/>
      <c r="AE13650" s="3"/>
      <c r="AF13650" s="3"/>
      <c r="AG13650" s="3"/>
      <c r="AH13650" s="3"/>
    </row>
    <row r="13651" spans="1:34" ht="14.25" customHeight="1" x14ac:dyDescent="0.25">
      <c r="A13651" s="3"/>
      <c r="B13651" s="3"/>
      <c r="C13651" s="3"/>
      <c r="D13651" s="3"/>
      <c r="E13651" s="3"/>
      <c r="F13651" s="3"/>
      <c r="G13651" s="3"/>
      <c r="H13651" s="11"/>
      <c r="I13651" s="12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  <c r="AA13651" s="3"/>
      <c r="AB13651" s="3"/>
      <c r="AC13651" s="3"/>
      <c r="AD13651" s="3"/>
      <c r="AE13651" s="3"/>
      <c r="AF13651" s="3"/>
      <c r="AG13651" s="3"/>
      <c r="AH13651" s="3"/>
    </row>
    <row r="13652" spans="1:34" ht="14.25" customHeight="1" x14ac:dyDescent="0.25">
      <c r="A13652" s="3"/>
      <c r="B13652" s="3"/>
      <c r="C13652" s="3"/>
      <c r="D13652" s="3"/>
      <c r="E13652" s="3"/>
      <c r="F13652" s="3"/>
      <c r="G13652" s="3"/>
      <c r="H13652" s="11"/>
      <c r="I13652" s="12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  <c r="AA13652" s="3"/>
      <c r="AB13652" s="3"/>
      <c r="AC13652" s="3"/>
      <c r="AD13652" s="3"/>
      <c r="AE13652" s="3"/>
      <c r="AF13652" s="3"/>
      <c r="AG13652" s="3"/>
      <c r="AH13652" s="3"/>
    </row>
    <row r="13653" spans="1:34" ht="14.25" customHeight="1" x14ac:dyDescent="0.25">
      <c r="A13653" s="3"/>
      <c r="B13653" s="3"/>
      <c r="C13653" s="3"/>
      <c r="D13653" s="3"/>
      <c r="E13653" s="3"/>
      <c r="F13653" s="3"/>
      <c r="G13653" s="3"/>
      <c r="H13653" s="11"/>
      <c r="I13653" s="12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  <c r="AA13653" s="3"/>
      <c r="AB13653" s="3"/>
      <c r="AC13653" s="3"/>
      <c r="AD13653" s="3"/>
      <c r="AE13653" s="3"/>
      <c r="AF13653" s="3"/>
      <c r="AG13653" s="3"/>
      <c r="AH13653" s="3"/>
    </row>
    <row r="13654" spans="1:34" ht="14.25" customHeight="1" x14ac:dyDescent="0.25">
      <c r="A13654" s="3"/>
      <c r="B13654" s="3"/>
      <c r="C13654" s="3"/>
      <c r="D13654" s="3"/>
      <c r="E13654" s="3"/>
      <c r="F13654" s="3"/>
      <c r="G13654" s="3"/>
      <c r="H13654" s="11"/>
      <c r="I13654" s="12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  <c r="AA13654" s="3"/>
      <c r="AB13654" s="3"/>
      <c r="AC13654" s="3"/>
      <c r="AD13654" s="3"/>
      <c r="AE13654" s="3"/>
      <c r="AF13654" s="3"/>
      <c r="AG13654" s="3"/>
      <c r="AH13654" s="3"/>
    </row>
    <row r="13655" spans="1:34" ht="14.25" customHeight="1" x14ac:dyDescent="0.25">
      <c r="A13655" s="3"/>
      <c r="B13655" s="3"/>
      <c r="C13655" s="3"/>
      <c r="D13655" s="3"/>
      <c r="E13655" s="3"/>
      <c r="F13655" s="3"/>
      <c r="G13655" s="3"/>
      <c r="H13655" s="11"/>
      <c r="I13655" s="12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  <c r="AA13655" s="3"/>
      <c r="AB13655" s="3"/>
      <c r="AC13655" s="3"/>
      <c r="AD13655" s="3"/>
      <c r="AE13655" s="3"/>
      <c r="AF13655" s="3"/>
      <c r="AG13655" s="3"/>
      <c r="AH13655" s="3"/>
    </row>
    <row r="13656" spans="1:34" ht="14.25" customHeight="1" x14ac:dyDescent="0.25">
      <c r="A13656" s="3"/>
      <c r="B13656" s="3"/>
      <c r="C13656" s="3"/>
      <c r="D13656" s="3"/>
      <c r="E13656" s="3"/>
      <c r="F13656" s="3"/>
      <c r="G13656" s="3"/>
      <c r="H13656" s="11"/>
      <c r="I13656" s="12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  <c r="AA13656" s="3"/>
      <c r="AB13656" s="3"/>
      <c r="AC13656" s="3"/>
      <c r="AD13656" s="3"/>
      <c r="AE13656" s="3"/>
      <c r="AF13656" s="3"/>
      <c r="AG13656" s="3"/>
      <c r="AH13656" s="3"/>
    </row>
    <row r="13657" spans="1:34" ht="14.25" customHeight="1" x14ac:dyDescent="0.25">
      <c r="A13657" s="3"/>
      <c r="B13657" s="3"/>
      <c r="C13657" s="3"/>
      <c r="D13657" s="3"/>
      <c r="E13657" s="3"/>
      <c r="F13657" s="3"/>
      <c r="G13657" s="3"/>
      <c r="H13657" s="11"/>
      <c r="I13657" s="12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  <c r="AA13657" s="3"/>
      <c r="AB13657" s="3"/>
      <c r="AC13657" s="3"/>
      <c r="AD13657" s="3"/>
      <c r="AE13657" s="3"/>
      <c r="AF13657" s="3"/>
      <c r="AG13657" s="3"/>
      <c r="AH13657" s="3"/>
    </row>
    <row r="13658" spans="1:34" ht="14.25" customHeight="1" x14ac:dyDescent="0.25">
      <c r="A13658" s="3"/>
      <c r="B13658" s="3"/>
      <c r="C13658" s="3"/>
      <c r="D13658" s="3"/>
      <c r="E13658" s="3"/>
      <c r="F13658" s="3"/>
      <c r="G13658" s="3"/>
      <c r="H13658" s="11"/>
      <c r="I13658" s="12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  <c r="AA13658" s="3"/>
      <c r="AB13658" s="3"/>
      <c r="AC13658" s="3"/>
      <c r="AD13658" s="3"/>
      <c r="AE13658" s="3"/>
      <c r="AF13658" s="3"/>
      <c r="AG13658" s="3"/>
      <c r="AH13658" s="3"/>
    </row>
    <row r="13659" spans="1:34" ht="14.25" customHeight="1" x14ac:dyDescent="0.25">
      <c r="A13659" s="3"/>
      <c r="B13659" s="3"/>
      <c r="C13659" s="3"/>
      <c r="D13659" s="3"/>
      <c r="E13659" s="3"/>
      <c r="F13659" s="3"/>
      <c r="G13659" s="3"/>
      <c r="H13659" s="11"/>
      <c r="I13659" s="12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  <c r="AA13659" s="3"/>
      <c r="AB13659" s="3"/>
      <c r="AC13659" s="3"/>
      <c r="AD13659" s="3"/>
      <c r="AE13659" s="3"/>
      <c r="AF13659" s="3"/>
      <c r="AG13659" s="3"/>
      <c r="AH13659" s="3"/>
    </row>
    <row r="13660" spans="1:34" ht="14.25" customHeight="1" x14ac:dyDescent="0.25">
      <c r="A13660" s="3"/>
      <c r="B13660" s="3"/>
      <c r="C13660" s="3"/>
      <c r="D13660" s="3"/>
      <c r="E13660" s="3"/>
      <c r="F13660" s="3"/>
      <c r="G13660" s="3"/>
      <c r="H13660" s="11"/>
      <c r="I13660" s="12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  <c r="AA13660" s="3"/>
      <c r="AB13660" s="3"/>
      <c r="AC13660" s="3"/>
      <c r="AD13660" s="3"/>
      <c r="AE13660" s="3"/>
      <c r="AF13660" s="3"/>
      <c r="AG13660" s="3"/>
      <c r="AH13660" s="3"/>
    </row>
    <row r="13661" spans="1:34" ht="14.25" customHeight="1" x14ac:dyDescent="0.25">
      <c r="A13661" s="3"/>
      <c r="B13661" s="3"/>
      <c r="C13661" s="3"/>
      <c r="D13661" s="3"/>
      <c r="E13661" s="3"/>
      <c r="F13661" s="3"/>
      <c r="G13661" s="3"/>
      <c r="H13661" s="11"/>
      <c r="I13661" s="12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  <c r="AA13661" s="3"/>
      <c r="AB13661" s="3"/>
      <c r="AC13661" s="3"/>
      <c r="AD13661" s="3"/>
      <c r="AE13661" s="3"/>
      <c r="AF13661" s="3"/>
      <c r="AG13661" s="3"/>
      <c r="AH13661" s="3"/>
    </row>
    <row r="13662" spans="1:34" ht="14.25" customHeight="1" x14ac:dyDescent="0.25">
      <c r="A13662" s="3"/>
      <c r="B13662" s="3"/>
      <c r="C13662" s="3"/>
      <c r="D13662" s="3"/>
      <c r="E13662" s="3"/>
      <c r="F13662" s="3"/>
      <c r="G13662" s="3"/>
      <c r="H13662" s="11"/>
      <c r="I13662" s="12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  <c r="AA13662" s="3"/>
      <c r="AB13662" s="3"/>
      <c r="AC13662" s="3"/>
      <c r="AD13662" s="3"/>
      <c r="AE13662" s="3"/>
      <c r="AF13662" s="3"/>
      <c r="AG13662" s="3"/>
      <c r="AH13662" s="3"/>
    </row>
    <row r="13663" spans="1:34" ht="14.25" customHeight="1" x14ac:dyDescent="0.25">
      <c r="A13663" s="3"/>
      <c r="B13663" s="3"/>
      <c r="C13663" s="3"/>
      <c r="D13663" s="3"/>
      <c r="E13663" s="3"/>
      <c r="F13663" s="3"/>
      <c r="G13663" s="3"/>
      <c r="H13663" s="11"/>
      <c r="I13663" s="12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  <c r="AA13663" s="3"/>
      <c r="AB13663" s="3"/>
      <c r="AC13663" s="3"/>
      <c r="AD13663" s="3"/>
      <c r="AE13663" s="3"/>
      <c r="AF13663" s="3"/>
      <c r="AG13663" s="3"/>
      <c r="AH13663" s="3"/>
    </row>
    <row r="13664" spans="1:34" ht="14.25" customHeight="1" x14ac:dyDescent="0.25">
      <c r="A13664" s="3"/>
      <c r="B13664" s="3"/>
      <c r="C13664" s="3"/>
      <c r="D13664" s="3"/>
      <c r="E13664" s="3"/>
      <c r="F13664" s="3"/>
      <c r="G13664" s="3"/>
      <c r="H13664" s="11"/>
      <c r="I13664" s="12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  <c r="AA13664" s="3"/>
      <c r="AB13664" s="3"/>
      <c r="AC13664" s="3"/>
      <c r="AD13664" s="3"/>
      <c r="AE13664" s="3"/>
      <c r="AF13664" s="3"/>
      <c r="AG13664" s="3"/>
      <c r="AH13664" s="3"/>
    </row>
    <row r="13665" spans="1:34" ht="14.25" customHeight="1" x14ac:dyDescent="0.25">
      <c r="A13665" s="3"/>
      <c r="B13665" s="3"/>
      <c r="C13665" s="3"/>
      <c r="D13665" s="3"/>
      <c r="E13665" s="3"/>
      <c r="F13665" s="3"/>
      <c r="G13665" s="3"/>
      <c r="H13665" s="11"/>
      <c r="I13665" s="12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  <c r="AA13665" s="3"/>
      <c r="AB13665" s="3"/>
      <c r="AC13665" s="3"/>
      <c r="AD13665" s="3"/>
      <c r="AE13665" s="3"/>
      <c r="AF13665" s="3"/>
      <c r="AG13665" s="3"/>
      <c r="AH13665" s="3"/>
    </row>
    <row r="13666" spans="1:34" ht="14.25" customHeight="1" x14ac:dyDescent="0.25">
      <c r="A13666" s="3"/>
      <c r="B13666" s="3"/>
      <c r="C13666" s="3"/>
      <c r="D13666" s="3"/>
      <c r="E13666" s="3"/>
      <c r="F13666" s="3"/>
      <c r="G13666" s="3"/>
      <c r="H13666" s="11"/>
      <c r="I13666" s="12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  <c r="AA13666" s="3"/>
      <c r="AB13666" s="3"/>
      <c r="AC13666" s="3"/>
      <c r="AD13666" s="3"/>
      <c r="AE13666" s="3"/>
      <c r="AF13666" s="3"/>
      <c r="AG13666" s="3"/>
      <c r="AH13666" s="3"/>
    </row>
    <row r="13667" spans="1:34" ht="14.25" customHeight="1" x14ac:dyDescent="0.25">
      <c r="A13667" s="3"/>
      <c r="B13667" s="3"/>
      <c r="C13667" s="3"/>
      <c r="D13667" s="3"/>
      <c r="E13667" s="3"/>
      <c r="F13667" s="3"/>
      <c r="G13667" s="3"/>
      <c r="H13667" s="11"/>
      <c r="I13667" s="12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  <c r="AA13667" s="3"/>
      <c r="AB13667" s="3"/>
      <c r="AC13667" s="3"/>
      <c r="AD13667" s="3"/>
      <c r="AE13667" s="3"/>
      <c r="AF13667" s="3"/>
      <c r="AG13667" s="3"/>
      <c r="AH13667" s="3"/>
    </row>
    <row r="13668" spans="1:34" ht="14.25" customHeight="1" x14ac:dyDescent="0.25">
      <c r="A13668" s="3"/>
      <c r="B13668" s="3"/>
      <c r="C13668" s="3"/>
      <c r="D13668" s="3"/>
      <c r="E13668" s="3"/>
      <c r="F13668" s="3"/>
      <c r="G13668" s="3"/>
      <c r="H13668" s="11"/>
      <c r="I13668" s="12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  <c r="AA13668" s="3"/>
      <c r="AB13668" s="3"/>
      <c r="AC13668" s="3"/>
      <c r="AD13668" s="3"/>
      <c r="AE13668" s="3"/>
      <c r="AF13668" s="3"/>
      <c r="AG13668" s="3"/>
      <c r="AH13668" s="3"/>
    </row>
    <row r="13669" spans="1:34" ht="14.25" customHeight="1" x14ac:dyDescent="0.25">
      <c r="A13669" s="3"/>
      <c r="B13669" s="3"/>
      <c r="C13669" s="3"/>
      <c r="D13669" s="3"/>
      <c r="E13669" s="3"/>
      <c r="F13669" s="3"/>
      <c r="G13669" s="3"/>
      <c r="H13669" s="11"/>
      <c r="I13669" s="12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  <c r="AA13669" s="3"/>
      <c r="AB13669" s="3"/>
      <c r="AC13669" s="3"/>
      <c r="AD13669" s="3"/>
      <c r="AE13669" s="3"/>
      <c r="AF13669" s="3"/>
      <c r="AG13669" s="3"/>
      <c r="AH13669" s="3"/>
    </row>
    <row r="13670" spans="1:34" ht="14.25" customHeight="1" x14ac:dyDescent="0.25">
      <c r="A13670" s="3"/>
      <c r="B13670" s="3"/>
      <c r="C13670" s="3"/>
      <c r="D13670" s="3"/>
      <c r="E13670" s="3"/>
      <c r="F13670" s="3"/>
      <c r="G13670" s="3"/>
      <c r="H13670" s="11"/>
      <c r="I13670" s="12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  <c r="AA13670" s="3"/>
      <c r="AB13670" s="3"/>
      <c r="AC13670" s="3"/>
      <c r="AD13670" s="3"/>
      <c r="AE13670" s="3"/>
      <c r="AF13670" s="3"/>
      <c r="AG13670" s="3"/>
      <c r="AH13670" s="3"/>
    </row>
    <row r="13671" spans="1:34" ht="14.25" customHeight="1" x14ac:dyDescent="0.25">
      <c r="A13671" s="3"/>
      <c r="B13671" s="3"/>
      <c r="C13671" s="3"/>
      <c r="D13671" s="3"/>
      <c r="E13671" s="3"/>
      <c r="F13671" s="3"/>
      <c r="G13671" s="3"/>
      <c r="H13671" s="11"/>
      <c r="I13671" s="12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  <c r="AA13671" s="3"/>
      <c r="AB13671" s="3"/>
      <c r="AC13671" s="3"/>
      <c r="AD13671" s="3"/>
      <c r="AE13671" s="3"/>
      <c r="AF13671" s="3"/>
      <c r="AG13671" s="3"/>
      <c r="AH13671" s="3"/>
    </row>
    <row r="13672" spans="1:34" ht="14.25" customHeight="1" x14ac:dyDescent="0.25">
      <c r="A13672" s="3"/>
      <c r="B13672" s="3"/>
      <c r="C13672" s="3"/>
      <c r="D13672" s="3"/>
      <c r="E13672" s="3"/>
      <c r="F13672" s="3"/>
      <c r="G13672" s="3"/>
      <c r="H13672" s="11"/>
      <c r="I13672" s="12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  <c r="AA13672" s="3"/>
      <c r="AB13672" s="3"/>
      <c r="AC13672" s="3"/>
      <c r="AD13672" s="3"/>
      <c r="AE13672" s="3"/>
      <c r="AF13672" s="3"/>
      <c r="AG13672" s="3"/>
      <c r="AH13672" s="3"/>
    </row>
    <row r="13673" spans="1:34" ht="14.25" customHeight="1" x14ac:dyDescent="0.25">
      <c r="A13673" s="3"/>
      <c r="B13673" s="3"/>
      <c r="C13673" s="3"/>
      <c r="D13673" s="3"/>
      <c r="E13673" s="3"/>
      <c r="F13673" s="3"/>
      <c r="G13673" s="3"/>
      <c r="H13673" s="11"/>
      <c r="I13673" s="12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  <c r="AA13673" s="3"/>
      <c r="AB13673" s="3"/>
      <c r="AC13673" s="3"/>
      <c r="AD13673" s="3"/>
      <c r="AE13673" s="3"/>
      <c r="AF13673" s="3"/>
      <c r="AG13673" s="3"/>
      <c r="AH13673" s="3"/>
    </row>
    <row r="13674" spans="1:34" ht="14.25" customHeight="1" x14ac:dyDescent="0.25">
      <c r="A13674" s="3"/>
      <c r="B13674" s="3"/>
      <c r="C13674" s="3"/>
      <c r="D13674" s="3"/>
      <c r="E13674" s="3"/>
      <c r="F13674" s="3"/>
      <c r="G13674" s="3"/>
      <c r="H13674" s="11"/>
      <c r="I13674" s="12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  <c r="AA13674" s="3"/>
      <c r="AB13674" s="3"/>
      <c r="AC13674" s="3"/>
      <c r="AD13674" s="3"/>
      <c r="AE13674" s="3"/>
      <c r="AF13674" s="3"/>
      <c r="AG13674" s="3"/>
      <c r="AH13674" s="3"/>
    </row>
    <row r="13675" spans="1:34" ht="14.25" customHeight="1" x14ac:dyDescent="0.25">
      <c r="A13675" s="3"/>
      <c r="B13675" s="3"/>
      <c r="C13675" s="3"/>
      <c r="D13675" s="3"/>
      <c r="E13675" s="3"/>
      <c r="F13675" s="3"/>
      <c r="G13675" s="3"/>
      <c r="H13675" s="11"/>
      <c r="I13675" s="12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  <c r="AA13675" s="3"/>
      <c r="AB13675" s="3"/>
      <c r="AC13675" s="3"/>
      <c r="AD13675" s="3"/>
      <c r="AE13675" s="3"/>
      <c r="AF13675" s="3"/>
      <c r="AG13675" s="3"/>
      <c r="AH13675" s="3"/>
    </row>
    <row r="13676" spans="1:34" ht="14.25" customHeight="1" x14ac:dyDescent="0.25">
      <c r="A13676" s="3"/>
      <c r="B13676" s="3"/>
      <c r="C13676" s="3"/>
      <c r="D13676" s="3"/>
      <c r="E13676" s="3"/>
      <c r="F13676" s="3"/>
      <c r="G13676" s="3"/>
      <c r="H13676" s="11"/>
      <c r="I13676" s="12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  <c r="AA13676" s="3"/>
      <c r="AB13676" s="3"/>
      <c r="AC13676" s="3"/>
      <c r="AD13676" s="3"/>
      <c r="AE13676" s="3"/>
      <c r="AF13676" s="3"/>
      <c r="AG13676" s="3"/>
      <c r="AH13676" s="3"/>
    </row>
    <row r="13677" spans="1:34" ht="14.25" customHeight="1" x14ac:dyDescent="0.25">
      <c r="A13677" s="3"/>
      <c r="B13677" s="3"/>
      <c r="C13677" s="3"/>
      <c r="D13677" s="3"/>
      <c r="E13677" s="3"/>
      <c r="F13677" s="3"/>
      <c r="G13677" s="3"/>
      <c r="H13677" s="11"/>
      <c r="I13677" s="12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  <c r="AA13677" s="3"/>
      <c r="AB13677" s="3"/>
      <c r="AC13677" s="3"/>
      <c r="AD13677" s="3"/>
      <c r="AE13677" s="3"/>
      <c r="AF13677" s="3"/>
      <c r="AG13677" s="3"/>
      <c r="AH13677" s="3"/>
    </row>
    <row r="13678" spans="1:34" ht="14.25" customHeight="1" x14ac:dyDescent="0.25">
      <c r="A13678" s="3"/>
      <c r="B13678" s="3"/>
      <c r="C13678" s="3"/>
      <c r="D13678" s="3"/>
      <c r="E13678" s="3"/>
      <c r="F13678" s="3"/>
      <c r="G13678" s="3"/>
      <c r="H13678" s="11"/>
      <c r="I13678" s="12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  <c r="AA13678" s="3"/>
      <c r="AB13678" s="3"/>
      <c r="AC13678" s="3"/>
      <c r="AD13678" s="3"/>
      <c r="AE13678" s="3"/>
      <c r="AF13678" s="3"/>
      <c r="AG13678" s="3"/>
      <c r="AH13678" s="3"/>
    </row>
    <row r="13679" spans="1:34" ht="14.25" customHeight="1" x14ac:dyDescent="0.25">
      <c r="A13679" s="3"/>
      <c r="B13679" s="3"/>
      <c r="C13679" s="3"/>
      <c r="D13679" s="3"/>
      <c r="E13679" s="3"/>
      <c r="F13679" s="3"/>
      <c r="G13679" s="3"/>
      <c r="H13679" s="11"/>
      <c r="I13679" s="12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  <c r="AA13679" s="3"/>
      <c r="AB13679" s="3"/>
      <c r="AC13679" s="3"/>
      <c r="AD13679" s="3"/>
      <c r="AE13679" s="3"/>
      <c r="AF13679" s="3"/>
      <c r="AG13679" s="3"/>
      <c r="AH13679" s="3"/>
    </row>
    <row r="13680" spans="1:34" ht="14.25" customHeight="1" x14ac:dyDescent="0.25">
      <c r="A13680" s="3"/>
      <c r="B13680" s="3"/>
      <c r="C13680" s="3"/>
      <c r="D13680" s="3"/>
      <c r="E13680" s="3"/>
      <c r="F13680" s="3"/>
      <c r="G13680" s="3"/>
      <c r="H13680" s="11"/>
      <c r="I13680" s="12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  <c r="AA13680" s="3"/>
      <c r="AB13680" s="3"/>
      <c r="AC13680" s="3"/>
      <c r="AD13680" s="3"/>
      <c r="AE13680" s="3"/>
      <c r="AF13680" s="3"/>
      <c r="AG13680" s="3"/>
      <c r="AH13680" s="3"/>
    </row>
    <row r="13681" spans="1:34" ht="14.25" customHeight="1" x14ac:dyDescent="0.25">
      <c r="A13681" s="3"/>
      <c r="B13681" s="3"/>
      <c r="C13681" s="3"/>
      <c r="D13681" s="3"/>
      <c r="E13681" s="3"/>
      <c r="F13681" s="3"/>
      <c r="G13681" s="3"/>
      <c r="H13681" s="11"/>
      <c r="I13681" s="12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  <c r="AA13681" s="3"/>
      <c r="AB13681" s="3"/>
      <c r="AC13681" s="3"/>
      <c r="AD13681" s="3"/>
      <c r="AE13681" s="3"/>
      <c r="AF13681" s="3"/>
      <c r="AG13681" s="3"/>
      <c r="AH13681" s="3"/>
    </row>
    <row r="13682" spans="1:34" ht="14.25" customHeight="1" x14ac:dyDescent="0.25">
      <c r="A13682" s="3"/>
      <c r="B13682" s="3"/>
      <c r="C13682" s="3"/>
      <c r="D13682" s="3"/>
      <c r="E13682" s="3"/>
      <c r="F13682" s="3"/>
      <c r="G13682" s="3"/>
      <c r="H13682" s="11"/>
      <c r="I13682" s="12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  <c r="AA13682" s="3"/>
      <c r="AB13682" s="3"/>
      <c r="AC13682" s="3"/>
      <c r="AD13682" s="3"/>
      <c r="AE13682" s="3"/>
      <c r="AF13682" s="3"/>
      <c r="AG13682" s="3"/>
      <c r="AH13682" s="3"/>
    </row>
    <row r="13683" spans="1:34" ht="14.25" customHeight="1" x14ac:dyDescent="0.25">
      <c r="A13683" s="3"/>
      <c r="B13683" s="3"/>
      <c r="C13683" s="3"/>
      <c r="D13683" s="3"/>
      <c r="E13683" s="3"/>
      <c r="F13683" s="3"/>
      <c r="G13683" s="3"/>
      <c r="H13683" s="11"/>
      <c r="I13683" s="12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  <c r="AA13683" s="3"/>
      <c r="AB13683" s="3"/>
      <c r="AC13683" s="3"/>
      <c r="AD13683" s="3"/>
      <c r="AE13683" s="3"/>
      <c r="AF13683" s="3"/>
      <c r="AG13683" s="3"/>
      <c r="AH13683" s="3"/>
    </row>
    <row r="13684" spans="1:34" ht="14.25" customHeight="1" x14ac:dyDescent="0.25">
      <c r="A13684" s="3"/>
      <c r="B13684" s="3"/>
      <c r="C13684" s="3"/>
      <c r="D13684" s="3"/>
      <c r="E13684" s="3"/>
      <c r="F13684" s="3"/>
      <c r="G13684" s="3"/>
      <c r="H13684" s="11"/>
      <c r="I13684" s="12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  <c r="AA13684" s="3"/>
      <c r="AB13684" s="3"/>
      <c r="AC13684" s="3"/>
      <c r="AD13684" s="3"/>
      <c r="AE13684" s="3"/>
      <c r="AF13684" s="3"/>
      <c r="AG13684" s="3"/>
      <c r="AH13684" s="3"/>
    </row>
    <row r="13685" spans="1:34" ht="14.25" customHeight="1" x14ac:dyDescent="0.25">
      <c r="A13685" s="3"/>
      <c r="B13685" s="3"/>
      <c r="C13685" s="3"/>
      <c r="D13685" s="3"/>
      <c r="E13685" s="3"/>
      <c r="F13685" s="3"/>
      <c r="G13685" s="3"/>
      <c r="H13685" s="11"/>
      <c r="I13685" s="12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  <c r="AA13685" s="3"/>
      <c r="AB13685" s="3"/>
      <c r="AC13685" s="3"/>
      <c r="AD13685" s="3"/>
      <c r="AE13685" s="3"/>
      <c r="AF13685" s="3"/>
      <c r="AG13685" s="3"/>
      <c r="AH13685" s="3"/>
    </row>
    <row r="13686" spans="1:34" ht="14.25" customHeight="1" x14ac:dyDescent="0.25">
      <c r="A13686" s="3"/>
      <c r="B13686" s="3"/>
      <c r="C13686" s="3"/>
      <c r="D13686" s="3"/>
      <c r="E13686" s="3"/>
      <c r="F13686" s="3"/>
      <c r="G13686" s="3"/>
      <c r="H13686" s="11"/>
      <c r="I13686" s="12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  <c r="AA13686" s="3"/>
      <c r="AB13686" s="3"/>
      <c r="AC13686" s="3"/>
      <c r="AD13686" s="3"/>
      <c r="AE13686" s="3"/>
      <c r="AF13686" s="3"/>
      <c r="AG13686" s="3"/>
      <c r="AH13686" s="3"/>
    </row>
    <row r="13687" spans="1:34" ht="14.25" customHeight="1" x14ac:dyDescent="0.25">
      <c r="A13687" s="3"/>
      <c r="B13687" s="3"/>
      <c r="C13687" s="3"/>
      <c r="D13687" s="3"/>
      <c r="E13687" s="3"/>
      <c r="F13687" s="3"/>
      <c r="G13687" s="3"/>
      <c r="H13687" s="11"/>
      <c r="I13687" s="12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  <c r="AA13687" s="3"/>
      <c r="AB13687" s="3"/>
      <c r="AC13687" s="3"/>
      <c r="AD13687" s="3"/>
      <c r="AE13687" s="3"/>
      <c r="AF13687" s="3"/>
      <c r="AG13687" s="3"/>
      <c r="AH13687" s="3"/>
    </row>
    <row r="13688" spans="1:34" ht="14.25" customHeight="1" x14ac:dyDescent="0.25">
      <c r="A13688" s="3"/>
      <c r="B13688" s="3"/>
      <c r="C13688" s="3"/>
      <c r="D13688" s="3"/>
      <c r="E13688" s="3"/>
      <c r="F13688" s="3"/>
      <c r="G13688" s="3"/>
      <c r="H13688" s="11"/>
      <c r="I13688" s="12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  <c r="AA13688" s="3"/>
      <c r="AB13688" s="3"/>
      <c r="AC13688" s="3"/>
      <c r="AD13688" s="3"/>
      <c r="AE13688" s="3"/>
      <c r="AF13688" s="3"/>
      <c r="AG13688" s="3"/>
      <c r="AH13688" s="3"/>
    </row>
    <row r="13689" spans="1:34" ht="14.25" customHeight="1" x14ac:dyDescent="0.25">
      <c r="A13689" s="3"/>
      <c r="B13689" s="3"/>
      <c r="C13689" s="3"/>
      <c r="D13689" s="3"/>
      <c r="E13689" s="3"/>
      <c r="F13689" s="3"/>
      <c r="G13689" s="3"/>
      <c r="H13689" s="11"/>
      <c r="I13689" s="12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  <c r="AA13689" s="3"/>
      <c r="AB13689" s="3"/>
      <c r="AC13689" s="3"/>
      <c r="AD13689" s="3"/>
      <c r="AE13689" s="3"/>
      <c r="AF13689" s="3"/>
      <c r="AG13689" s="3"/>
      <c r="AH13689" s="3"/>
    </row>
    <row r="13690" spans="1:34" ht="14.25" customHeight="1" x14ac:dyDescent="0.25">
      <c r="A13690" s="3"/>
      <c r="B13690" s="3"/>
      <c r="C13690" s="3"/>
      <c r="D13690" s="3"/>
      <c r="E13690" s="3"/>
      <c r="F13690" s="3"/>
      <c r="G13690" s="3"/>
      <c r="H13690" s="11"/>
      <c r="I13690" s="12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  <c r="AA13690" s="3"/>
      <c r="AB13690" s="3"/>
      <c r="AC13690" s="3"/>
      <c r="AD13690" s="3"/>
      <c r="AE13690" s="3"/>
      <c r="AF13690" s="3"/>
      <c r="AG13690" s="3"/>
      <c r="AH13690" s="3"/>
    </row>
    <row r="13691" spans="1:34" ht="14.25" customHeight="1" x14ac:dyDescent="0.25">
      <c r="A13691" s="3"/>
      <c r="B13691" s="3"/>
      <c r="C13691" s="3"/>
      <c r="D13691" s="3"/>
      <c r="E13691" s="3"/>
      <c r="F13691" s="3"/>
      <c r="G13691" s="3"/>
      <c r="H13691" s="11"/>
      <c r="I13691" s="12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  <c r="AA13691" s="3"/>
      <c r="AB13691" s="3"/>
      <c r="AC13691" s="3"/>
      <c r="AD13691" s="3"/>
      <c r="AE13691" s="3"/>
      <c r="AF13691" s="3"/>
      <c r="AG13691" s="3"/>
      <c r="AH13691" s="3"/>
    </row>
    <row r="13692" spans="1:34" ht="14.25" customHeight="1" x14ac:dyDescent="0.25">
      <c r="A13692" s="3"/>
      <c r="B13692" s="3"/>
      <c r="C13692" s="3"/>
      <c r="D13692" s="3"/>
      <c r="E13692" s="3"/>
      <c r="F13692" s="3"/>
      <c r="G13692" s="3"/>
      <c r="H13692" s="11"/>
      <c r="I13692" s="12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  <c r="AA13692" s="3"/>
      <c r="AB13692" s="3"/>
      <c r="AC13692" s="3"/>
      <c r="AD13692" s="3"/>
      <c r="AE13692" s="3"/>
      <c r="AF13692" s="3"/>
      <c r="AG13692" s="3"/>
      <c r="AH13692" s="3"/>
    </row>
    <row r="13693" spans="1:34" ht="14.25" customHeight="1" x14ac:dyDescent="0.25">
      <c r="A13693" s="3"/>
      <c r="B13693" s="3"/>
      <c r="C13693" s="3"/>
      <c r="D13693" s="3"/>
      <c r="E13693" s="3"/>
      <c r="F13693" s="3"/>
      <c r="G13693" s="3"/>
      <c r="H13693" s="11"/>
      <c r="I13693" s="12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  <c r="AA13693" s="3"/>
      <c r="AB13693" s="3"/>
      <c r="AC13693" s="3"/>
      <c r="AD13693" s="3"/>
      <c r="AE13693" s="3"/>
      <c r="AF13693" s="3"/>
      <c r="AG13693" s="3"/>
      <c r="AH13693" s="3"/>
    </row>
    <row r="13694" spans="1:34" ht="14.25" customHeight="1" x14ac:dyDescent="0.25">
      <c r="A13694" s="3"/>
      <c r="B13694" s="3"/>
      <c r="C13694" s="3"/>
      <c r="D13694" s="3"/>
      <c r="E13694" s="3"/>
      <c r="F13694" s="3"/>
      <c r="G13694" s="3"/>
      <c r="H13694" s="11"/>
      <c r="I13694" s="12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  <c r="AA13694" s="3"/>
      <c r="AB13694" s="3"/>
      <c r="AC13694" s="3"/>
      <c r="AD13694" s="3"/>
      <c r="AE13694" s="3"/>
      <c r="AF13694" s="3"/>
      <c r="AG13694" s="3"/>
      <c r="AH13694" s="3"/>
    </row>
    <row r="13695" spans="1:34" ht="14.25" customHeight="1" x14ac:dyDescent="0.25">
      <c r="A13695" s="3"/>
      <c r="B13695" s="3"/>
      <c r="C13695" s="3"/>
      <c r="D13695" s="3"/>
      <c r="E13695" s="3"/>
      <c r="F13695" s="3"/>
      <c r="G13695" s="3"/>
      <c r="H13695" s="11"/>
      <c r="I13695" s="12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  <c r="AA13695" s="3"/>
      <c r="AB13695" s="3"/>
      <c r="AC13695" s="3"/>
      <c r="AD13695" s="3"/>
      <c r="AE13695" s="3"/>
      <c r="AF13695" s="3"/>
      <c r="AG13695" s="3"/>
      <c r="AH13695" s="3"/>
    </row>
    <row r="13696" spans="1:34" ht="14.25" customHeight="1" x14ac:dyDescent="0.25">
      <c r="A13696" s="3"/>
      <c r="B13696" s="3"/>
      <c r="C13696" s="3"/>
      <c r="D13696" s="3"/>
      <c r="E13696" s="3"/>
      <c r="F13696" s="3"/>
      <c r="G13696" s="3"/>
      <c r="H13696" s="11"/>
      <c r="I13696" s="12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  <c r="AA13696" s="3"/>
      <c r="AB13696" s="3"/>
      <c r="AC13696" s="3"/>
      <c r="AD13696" s="3"/>
      <c r="AE13696" s="3"/>
      <c r="AF13696" s="3"/>
      <c r="AG13696" s="3"/>
      <c r="AH13696" s="3"/>
    </row>
    <row r="13697" spans="1:34" ht="14.25" customHeight="1" x14ac:dyDescent="0.25">
      <c r="A13697" s="3"/>
      <c r="B13697" s="3"/>
      <c r="C13697" s="3"/>
      <c r="D13697" s="3"/>
      <c r="E13697" s="3"/>
      <c r="F13697" s="3"/>
      <c r="G13697" s="3"/>
      <c r="H13697" s="11"/>
      <c r="I13697" s="12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  <c r="AA13697" s="3"/>
      <c r="AB13697" s="3"/>
      <c r="AC13697" s="3"/>
      <c r="AD13697" s="3"/>
      <c r="AE13697" s="3"/>
      <c r="AF13697" s="3"/>
      <c r="AG13697" s="3"/>
      <c r="AH13697" s="3"/>
    </row>
    <row r="13698" spans="1:34" ht="14.25" customHeight="1" x14ac:dyDescent="0.25">
      <c r="A13698" s="3"/>
      <c r="B13698" s="3"/>
      <c r="C13698" s="3"/>
      <c r="D13698" s="3"/>
      <c r="E13698" s="3"/>
      <c r="F13698" s="3"/>
      <c r="G13698" s="3"/>
      <c r="H13698" s="11"/>
      <c r="I13698" s="12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  <c r="AA13698" s="3"/>
      <c r="AB13698" s="3"/>
      <c r="AC13698" s="3"/>
      <c r="AD13698" s="3"/>
      <c r="AE13698" s="3"/>
      <c r="AF13698" s="3"/>
      <c r="AG13698" s="3"/>
      <c r="AH13698" s="3"/>
    </row>
    <row r="13699" spans="1:34" ht="14.25" customHeight="1" x14ac:dyDescent="0.25">
      <c r="A13699" s="3"/>
      <c r="B13699" s="3"/>
      <c r="C13699" s="3"/>
      <c r="D13699" s="3"/>
      <c r="E13699" s="3"/>
      <c r="F13699" s="3"/>
      <c r="G13699" s="3"/>
      <c r="H13699" s="11"/>
      <c r="I13699" s="12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  <c r="AA13699" s="3"/>
      <c r="AB13699" s="3"/>
      <c r="AC13699" s="3"/>
      <c r="AD13699" s="3"/>
      <c r="AE13699" s="3"/>
      <c r="AF13699" s="3"/>
      <c r="AG13699" s="3"/>
      <c r="AH13699" s="3"/>
    </row>
    <row r="13700" spans="1:34" ht="14.25" customHeight="1" x14ac:dyDescent="0.25">
      <c r="A13700" s="3"/>
      <c r="B13700" s="3"/>
      <c r="C13700" s="3"/>
      <c r="D13700" s="3"/>
      <c r="E13700" s="3"/>
      <c r="F13700" s="3"/>
      <c r="G13700" s="3"/>
      <c r="H13700" s="11"/>
      <c r="I13700" s="12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  <c r="AA13700" s="3"/>
      <c r="AB13700" s="3"/>
      <c r="AC13700" s="3"/>
      <c r="AD13700" s="3"/>
      <c r="AE13700" s="3"/>
      <c r="AF13700" s="3"/>
      <c r="AG13700" s="3"/>
      <c r="AH13700" s="3"/>
    </row>
    <row r="13701" spans="1:34" ht="14.25" customHeight="1" x14ac:dyDescent="0.25">
      <c r="A13701" s="3"/>
      <c r="B13701" s="3"/>
      <c r="C13701" s="3"/>
      <c r="D13701" s="3"/>
      <c r="E13701" s="3"/>
      <c r="F13701" s="3"/>
      <c r="G13701" s="3"/>
      <c r="H13701" s="11"/>
      <c r="I13701" s="12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  <c r="AA13701" s="3"/>
      <c r="AB13701" s="3"/>
      <c r="AC13701" s="3"/>
      <c r="AD13701" s="3"/>
      <c r="AE13701" s="3"/>
      <c r="AF13701" s="3"/>
      <c r="AG13701" s="3"/>
      <c r="AH13701" s="3"/>
    </row>
    <row r="13702" spans="1:34" ht="14.25" customHeight="1" x14ac:dyDescent="0.25">
      <c r="A13702" s="3"/>
      <c r="B13702" s="3"/>
      <c r="C13702" s="3"/>
      <c r="D13702" s="3"/>
      <c r="E13702" s="3"/>
      <c r="F13702" s="3"/>
      <c r="G13702" s="3"/>
      <c r="H13702" s="11"/>
      <c r="I13702" s="12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  <c r="AA13702" s="3"/>
      <c r="AB13702" s="3"/>
      <c r="AC13702" s="3"/>
      <c r="AD13702" s="3"/>
      <c r="AE13702" s="3"/>
      <c r="AF13702" s="3"/>
      <c r="AG13702" s="3"/>
      <c r="AH13702" s="3"/>
    </row>
    <row r="13703" spans="1:34" ht="14.25" customHeight="1" x14ac:dyDescent="0.25">
      <c r="A13703" s="3"/>
      <c r="B13703" s="3"/>
      <c r="C13703" s="3"/>
      <c r="D13703" s="3"/>
      <c r="E13703" s="3"/>
      <c r="F13703" s="3"/>
      <c r="G13703" s="3"/>
      <c r="H13703" s="11"/>
      <c r="I13703" s="12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  <c r="AA13703" s="3"/>
      <c r="AB13703" s="3"/>
      <c r="AC13703" s="3"/>
      <c r="AD13703" s="3"/>
      <c r="AE13703" s="3"/>
      <c r="AF13703" s="3"/>
      <c r="AG13703" s="3"/>
      <c r="AH13703" s="3"/>
    </row>
    <row r="13704" spans="1:34" ht="14.25" customHeight="1" x14ac:dyDescent="0.25">
      <c r="A13704" s="3"/>
      <c r="B13704" s="3"/>
      <c r="C13704" s="3"/>
      <c r="D13704" s="3"/>
      <c r="E13704" s="3"/>
      <c r="F13704" s="3"/>
      <c r="G13704" s="3"/>
      <c r="H13704" s="11"/>
      <c r="I13704" s="12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  <c r="AA13704" s="3"/>
      <c r="AB13704" s="3"/>
      <c r="AC13704" s="3"/>
      <c r="AD13704" s="3"/>
      <c r="AE13704" s="3"/>
      <c r="AF13704" s="3"/>
      <c r="AG13704" s="3"/>
      <c r="AH13704" s="3"/>
    </row>
    <row r="13705" spans="1:34" ht="14.25" customHeight="1" x14ac:dyDescent="0.25">
      <c r="A13705" s="3"/>
      <c r="B13705" s="3"/>
      <c r="C13705" s="3"/>
      <c r="D13705" s="3"/>
      <c r="E13705" s="3"/>
      <c r="F13705" s="3"/>
      <c r="G13705" s="3"/>
      <c r="H13705" s="11"/>
      <c r="I13705" s="12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  <c r="AA13705" s="3"/>
      <c r="AB13705" s="3"/>
      <c r="AC13705" s="3"/>
      <c r="AD13705" s="3"/>
      <c r="AE13705" s="3"/>
      <c r="AF13705" s="3"/>
      <c r="AG13705" s="3"/>
      <c r="AH13705" s="3"/>
    </row>
    <row r="13706" spans="1:34" ht="14.25" customHeight="1" x14ac:dyDescent="0.25">
      <c r="A13706" s="3"/>
      <c r="B13706" s="3"/>
      <c r="C13706" s="3"/>
      <c r="D13706" s="3"/>
      <c r="E13706" s="3"/>
      <c r="F13706" s="3"/>
      <c r="G13706" s="3"/>
      <c r="H13706" s="11"/>
      <c r="I13706" s="12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  <c r="AA13706" s="3"/>
      <c r="AB13706" s="3"/>
      <c r="AC13706" s="3"/>
      <c r="AD13706" s="3"/>
      <c r="AE13706" s="3"/>
      <c r="AF13706" s="3"/>
      <c r="AG13706" s="3"/>
      <c r="AH13706" s="3"/>
    </row>
    <row r="13707" spans="1:34" ht="14.25" customHeight="1" x14ac:dyDescent="0.25">
      <c r="A13707" s="3"/>
      <c r="B13707" s="3"/>
      <c r="C13707" s="3"/>
      <c r="D13707" s="3"/>
      <c r="E13707" s="3"/>
      <c r="F13707" s="3"/>
      <c r="G13707" s="3"/>
      <c r="H13707" s="11"/>
      <c r="I13707" s="12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  <c r="AA13707" s="3"/>
      <c r="AB13707" s="3"/>
      <c r="AC13707" s="3"/>
      <c r="AD13707" s="3"/>
      <c r="AE13707" s="3"/>
      <c r="AF13707" s="3"/>
      <c r="AG13707" s="3"/>
      <c r="AH13707" s="3"/>
    </row>
    <row r="13708" spans="1:34" ht="14.25" customHeight="1" x14ac:dyDescent="0.25">
      <c r="A13708" s="3"/>
      <c r="B13708" s="3"/>
      <c r="C13708" s="3"/>
      <c r="D13708" s="3"/>
      <c r="E13708" s="3"/>
      <c r="F13708" s="3"/>
      <c r="G13708" s="3"/>
      <c r="H13708" s="11"/>
      <c r="I13708" s="12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  <c r="AA13708" s="3"/>
      <c r="AB13708" s="3"/>
      <c r="AC13708" s="3"/>
      <c r="AD13708" s="3"/>
      <c r="AE13708" s="3"/>
      <c r="AF13708" s="3"/>
      <c r="AG13708" s="3"/>
      <c r="AH13708" s="3"/>
    </row>
    <row r="13709" spans="1:34" ht="14.25" customHeight="1" x14ac:dyDescent="0.25">
      <c r="A13709" s="3"/>
      <c r="B13709" s="3"/>
      <c r="C13709" s="3"/>
      <c r="D13709" s="3"/>
      <c r="E13709" s="3"/>
      <c r="F13709" s="3"/>
      <c r="G13709" s="3"/>
      <c r="H13709" s="11"/>
      <c r="I13709" s="12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  <c r="AA13709" s="3"/>
      <c r="AB13709" s="3"/>
      <c r="AC13709" s="3"/>
      <c r="AD13709" s="3"/>
      <c r="AE13709" s="3"/>
      <c r="AF13709" s="3"/>
      <c r="AG13709" s="3"/>
      <c r="AH13709" s="3"/>
    </row>
    <row r="13710" spans="1:34" ht="14.25" customHeight="1" x14ac:dyDescent="0.25">
      <c r="A13710" s="3"/>
      <c r="B13710" s="3"/>
      <c r="C13710" s="3"/>
      <c r="D13710" s="3"/>
      <c r="E13710" s="3"/>
      <c r="F13710" s="3"/>
      <c r="G13710" s="3"/>
      <c r="H13710" s="11"/>
      <c r="I13710" s="12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  <c r="AA13710" s="3"/>
      <c r="AB13710" s="3"/>
      <c r="AC13710" s="3"/>
      <c r="AD13710" s="3"/>
      <c r="AE13710" s="3"/>
      <c r="AF13710" s="3"/>
      <c r="AG13710" s="3"/>
      <c r="AH13710" s="3"/>
    </row>
    <row r="13711" spans="1:34" ht="14.25" customHeight="1" x14ac:dyDescent="0.25">
      <c r="A13711" s="3"/>
      <c r="B13711" s="3"/>
      <c r="C13711" s="3"/>
      <c r="D13711" s="3"/>
      <c r="E13711" s="3"/>
      <c r="F13711" s="3"/>
      <c r="G13711" s="3"/>
      <c r="H13711" s="11"/>
      <c r="I13711" s="12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  <c r="AA13711" s="3"/>
      <c r="AB13711" s="3"/>
      <c r="AC13711" s="3"/>
      <c r="AD13711" s="3"/>
      <c r="AE13711" s="3"/>
      <c r="AF13711" s="3"/>
      <c r="AG13711" s="3"/>
      <c r="AH13711" s="3"/>
    </row>
    <row r="13712" spans="1:34" ht="14.25" customHeight="1" x14ac:dyDescent="0.25">
      <c r="A13712" s="3"/>
      <c r="B13712" s="3"/>
      <c r="C13712" s="3"/>
      <c r="D13712" s="3"/>
      <c r="E13712" s="3"/>
      <c r="F13712" s="3"/>
      <c r="G13712" s="3"/>
      <c r="H13712" s="11"/>
      <c r="I13712" s="12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  <c r="AA13712" s="3"/>
      <c r="AB13712" s="3"/>
      <c r="AC13712" s="3"/>
      <c r="AD13712" s="3"/>
      <c r="AE13712" s="3"/>
      <c r="AF13712" s="3"/>
      <c r="AG13712" s="3"/>
      <c r="AH13712" s="3"/>
    </row>
    <row r="13713" spans="1:34" ht="14.25" customHeight="1" x14ac:dyDescent="0.25">
      <c r="A13713" s="3"/>
      <c r="B13713" s="3"/>
      <c r="C13713" s="3"/>
      <c r="D13713" s="3"/>
      <c r="E13713" s="3"/>
      <c r="F13713" s="3"/>
      <c r="G13713" s="3"/>
      <c r="H13713" s="11"/>
      <c r="I13713" s="12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  <c r="AA13713" s="3"/>
      <c r="AB13713" s="3"/>
      <c r="AC13713" s="3"/>
      <c r="AD13713" s="3"/>
      <c r="AE13713" s="3"/>
      <c r="AF13713" s="3"/>
      <c r="AG13713" s="3"/>
      <c r="AH13713" s="3"/>
    </row>
    <row r="13714" spans="1:34" ht="14.25" customHeight="1" x14ac:dyDescent="0.25">
      <c r="A13714" s="3"/>
      <c r="B13714" s="3"/>
      <c r="C13714" s="3"/>
      <c r="D13714" s="3"/>
      <c r="E13714" s="3"/>
      <c r="F13714" s="3"/>
      <c r="G13714" s="3"/>
      <c r="H13714" s="11"/>
      <c r="I13714" s="12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  <c r="AA13714" s="3"/>
      <c r="AB13714" s="3"/>
      <c r="AC13714" s="3"/>
      <c r="AD13714" s="3"/>
      <c r="AE13714" s="3"/>
      <c r="AF13714" s="3"/>
      <c r="AG13714" s="3"/>
      <c r="AH13714" s="3"/>
    </row>
    <row r="13715" spans="1:34" ht="14.25" customHeight="1" x14ac:dyDescent="0.25">
      <c r="A13715" s="3"/>
      <c r="B13715" s="3"/>
      <c r="C13715" s="3"/>
      <c r="D13715" s="3"/>
      <c r="E13715" s="3"/>
      <c r="F13715" s="3"/>
      <c r="G13715" s="3"/>
      <c r="H13715" s="11"/>
      <c r="I13715" s="12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  <c r="AA13715" s="3"/>
      <c r="AB13715" s="3"/>
      <c r="AC13715" s="3"/>
      <c r="AD13715" s="3"/>
      <c r="AE13715" s="3"/>
      <c r="AF13715" s="3"/>
      <c r="AG13715" s="3"/>
      <c r="AH13715" s="3"/>
    </row>
    <row r="13716" spans="1:34" ht="14.25" customHeight="1" x14ac:dyDescent="0.25">
      <c r="A13716" s="3"/>
      <c r="B13716" s="3"/>
      <c r="C13716" s="3"/>
      <c r="D13716" s="3"/>
      <c r="E13716" s="3"/>
      <c r="F13716" s="3"/>
      <c r="G13716" s="3"/>
      <c r="H13716" s="11"/>
      <c r="I13716" s="12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  <c r="AA13716" s="3"/>
      <c r="AB13716" s="3"/>
      <c r="AC13716" s="3"/>
      <c r="AD13716" s="3"/>
      <c r="AE13716" s="3"/>
      <c r="AF13716" s="3"/>
      <c r="AG13716" s="3"/>
      <c r="AH13716" s="3"/>
    </row>
    <row r="13717" spans="1:34" ht="14.25" customHeight="1" x14ac:dyDescent="0.25">
      <c r="A13717" s="3"/>
      <c r="B13717" s="3"/>
      <c r="C13717" s="3"/>
      <c r="D13717" s="3"/>
      <c r="E13717" s="3"/>
      <c r="F13717" s="3"/>
      <c r="G13717" s="3"/>
      <c r="H13717" s="11"/>
      <c r="I13717" s="12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  <c r="AA13717" s="3"/>
      <c r="AB13717" s="3"/>
      <c r="AC13717" s="3"/>
      <c r="AD13717" s="3"/>
      <c r="AE13717" s="3"/>
      <c r="AF13717" s="3"/>
      <c r="AG13717" s="3"/>
      <c r="AH13717" s="3"/>
    </row>
    <row r="13718" spans="1:34" ht="14.25" customHeight="1" x14ac:dyDescent="0.25">
      <c r="A13718" s="3"/>
      <c r="B13718" s="3"/>
      <c r="C13718" s="3"/>
      <c r="D13718" s="3"/>
      <c r="E13718" s="3"/>
      <c r="F13718" s="3"/>
      <c r="G13718" s="3"/>
      <c r="H13718" s="11"/>
      <c r="I13718" s="12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  <c r="AA13718" s="3"/>
      <c r="AB13718" s="3"/>
      <c r="AC13718" s="3"/>
      <c r="AD13718" s="3"/>
      <c r="AE13718" s="3"/>
      <c r="AF13718" s="3"/>
      <c r="AG13718" s="3"/>
      <c r="AH13718" s="3"/>
    </row>
    <row r="13719" spans="1:34" ht="14.25" customHeight="1" x14ac:dyDescent="0.25">
      <c r="A13719" s="3"/>
      <c r="B13719" s="3"/>
      <c r="C13719" s="3"/>
      <c r="D13719" s="3"/>
      <c r="E13719" s="3"/>
      <c r="F13719" s="3"/>
      <c r="G13719" s="3"/>
      <c r="H13719" s="11"/>
      <c r="I13719" s="12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  <c r="AA13719" s="3"/>
      <c r="AB13719" s="3"/>
      <c r="AC13719" s="3"/>
      <c r="AD13719" s="3"/>
      <c r="AE13719" s="3"/>
      <c r="AF13719" s="3"/>
      <c r="AG13719" s="3"/>
      <c r="AH13719" s="3"/>
    </row>
    <row r="13720" spans="1:34" ht="14.25" customHeight="1" x14ac:dyDescent="0.25">
      <c r="A13720" s="3"/>
      <c r="B13720" s="3"/>
      <c r="C13720" s="3"/>
      <c r="D13720" s="3"/>
      <c r="E13720" s="3"/>
      <c r="F13720" s="3"/>
      <c r="G13720" s="3"/>
      <c r="H13720" s="11"/>
      <c r="I13720" s="12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  <c r="AA13720" s="3"/>
      <c r="AB13720" s="3"/>
      <c r="AC13720" s="3"/>
      <c r="AD13720" s="3"/>
      <c r="AE13720" s="3"/>
      <c r="AF13720" s="3"/>
      <c r="AG13720" s="3"/>
      <c r="AH13720" s="3"/>
    </row>
    <row r="13721" spans="1:34" ht="14.25" customHeight="1" x14ac:dyDescent="0.25">
      <c r="A13721" s="3"/>
      <c r="B13721" s="3"/>
      <c r="C13721" s="3"/>
      <c r="D13721" s="3"/>
      <c r="E13721" s="3"/>
      <c r="F13721" s="3"/>
      <c r="G13721" s="3"/>
      <c r="H13721" s="11"/>
      <c r="I13721" s="12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  <c r="AA13721" s="3"/>
      <c r="AB13721" s="3"/>
      <c r="AC13721" s="3"/>
      <c r="AD13721" s="3"/>
      <c r="AE13721" s="3"/>
      <c r="AF13721" s="3"/>
      <c r="AG13721" s="3"/>
      <c r="AH13721" s="3"/>
    </row>
    <row r="13722" spans="1:34" ht="14.25" customHeight="1" x14ac:dyDescent="0.25">
      <c r="A13722" s="3"/>
      <c r="B13722" s="3"/>
      <c r="C13722" s="3"/>
      <c r="D13722" s="3"/>
      <c r="E13722" s="3"/>
      <c r="F13722" s="3"/>
      <c r="G13722" s="3"/>
      <c r="H13722" s="11"/>
      <c r="I13722" s="12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  <c r="AA13722" s="3"/>
      <c r="AB13722" s="3"/>
      <c r="AC13722" s="3"/>
      <c r="AD13722" s="3"/>
      <c r="AE13722" s="3"/>
      <c r="AF13722" s="3"/>
      <c r="AG13722" s="3"/>
      <c r="AH13722" s="3"/>
    </row>
    <row r="13723" spans="1:34" ht="14.25" customHeight="1" x14ac:dyDescent="0.25">
      <c r="A13723" s="3"/>
      <c r="B13723" s="3"/>
      <c r="C13723" s="3"/>
      <c r="D13723" s="3"/>
      <c r="E13723" s="3"/>
      <c r="F13723" s="3"/>
      <c r="G13723" s="3"/>
      <c r="H13723" s="11"/>
      <c r="I13723" s="12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  <c r="AA13723" s="3"/>
      <c r="AB13723" s="3"/>
      <c r="AC13723" s="3"/>
      <c r="AD13723" s="3"/>
      <c r="AE13723" s="3"/>
      <c r="AF13723" s="3"/>
      <c r="AG13723" s="3"/>
      <c r="AH13723" s="3"/>
    </row>
    <row r="13724" spans="1:34" ht="14.25" customHeight="1" x14ac:dyDescent="0.25">
      <c r="A13724" s="3"/>
      <c r="B13724" s="3"/>
      <c r="C13724" s="3"/>
      <c r="D13724" s="3"/>
      <c r="E13724" s="3"/>
      <c r="F13724" s="3"/>
      <c r="G13724" s="3"/>
      <c r="H13724" s="11"/>
      <c r="I13724" s="12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  <c r="AA13724" s="3"/>
      <c r="AB13724" s="3"/>
      <c r="AC13724" s="3"/>
      <c r="AD13724" s="3"/>
      <c r="AE13724" s="3"/>
      <c r="AF13724" s="3"/>
      <c r="AG13724" s="3"/>
      <c r="AH13724" s="3"/>
    </row>
    <row r="13725" spans="1:34" ht="14.25" customHeight="1" x14ac:dyDescent="0.25">
      <c r="A13725" s="3"/>
      <c r="B13725" s="3"/>
      <c r="C13725" s="3"/>
      <c r="D13725" s="3"/>
      <c r="E13725" s="3"/>
      <c r="F13725" s="3"/>
      <c r="G13725" s="3"/>
      <c r="H13725" s="11"/>
      <c r="I13725" s="12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  <c r="AA13725" s="3"/>
      <c r="AB13725" s="3"/>
      <c r="AC13725" s="3"/>
      <c r="AD13725" s="3"/>
      <c r="AE13725" s="3"/>
      <c r="AF13725" s="3"/>
      <c r="AG13725" s="3"/>
      <c r="AH13725" s="3"/>
    </row>
    <row r="13726" spans="1:34" ht="14.25" customHeight="1" x14ac:dyDescent="0.25">
      <c r="A13726" s="3"/>
      <c r="B13726" s="3"/>
      <c r="C13726" s="3"/>
      <c r="D13726" s="3"/>
      <c r="E13726" s="3"/>
      <c r="F13726" s="3"/>
      <c r="G13726" s="3"/>
      <c r="H13726" s="11"/>
      <c r="I13726" s="12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  <c r="AA13726" s="3"/>
      <c r="AB13726" s="3"/>
      <c r="AC13726" s="3"/>
      <c r="AD13726" s="3"/>
      <c r="AE13726" s="3"/>
      <c r="AF13726" s="3"/>
      <c r="AG13726" s="3"/>
      <c r="AH13726" s="3"/>
    </row>
    <row r="13727" spans="1:34" ht="14.25" customHeight="1" x14ac:dyDescent="0.25">
      <c r="A13727" s="3"/>
      <c r="B13727" s="3"/>
      <c r="C13727" s="3"/>
      <c r="D13727" s="3"/>
      <c r="E13727" s="3"/>
      <c r="F13727" s="3"/>
      <c r="G13727" s="3"/>
      <c r="H13727" s="11"/>
      <c r="I13727" s="12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  <c r="AA13727" s="3"/>
      <c r="AB13727" s="3"/>
      <c r="AC13727" s="3"/>
      <c r="AD13727" s="3"/>
      <c r="AE13727" s="3"/>
      <c r="AF13727" s="3"/>
      <c r="AG13727" s="3"/>
      <c r="AH13727" s="3"/>
    </row>
    <row r="13728" spans="1:34" ht="14.25" customHeight="1" x14ac:dyDescent="0.25">
      <c r="A13728" s="3"/>
      <c r="B13728" s="3"/>
      <c r="C13728" s="3"/>
      <c r="D13728" s="3"/>
      <c r="E13728" s="3"/>
      <c r="F13728" s="3"/>
      <c r="G13728" s="3"/>
      <c r="H13728" s="11"/>
      <c r="I13728" s="12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  <c r="AA13728" s="3"/>
      <c r="AB13728" s="3"/>
      <c r="AC13728" s="3"/>
      <c r="AD13728" s="3"/>
      <c r="AE13728" s="3"/>
      <c r="AF13728" s="3"/>
      <c r="AG13728" s="3"/>
      <c r="AH13728" s="3"/>
    </row>
    <row r="13729" spans="1:34" ht="14.25" customHeight="1" x14ac:dyDescent="0.25">
      <c r="A13729" s="3"/>
      <c r="B13729" s="3"/>
      <c r="C13729" s="3"/>
      <c r="D13729" s="3"/>
      <c r="E13729" s="3"/>
      <c r="F13729" s="3"/>
      <c r="G13729" s="3"/>
      <c r="H13729" s="11"/>
      <c r="I13729" s="12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  <c r="AA13729" s="3"/>
      <c r="AB13729" s="3"/>
      <c r="AC13729" s="3"/>
      <c r="AD13729" s="3"/>
      <c r="AE13729" s="3"/>
      <c r="AF13729" s="3"/>
      <c r="AG13729" s="3"/>
      <c r="AH13729" s="3"/>
    </row>
    <row r="13730" spans="1:34" ht="14.25" customHeight="1" x14ac:dyDescent="0.25">
      <c r="A13730" s="3"/>
      <c r="B13730" s="3"/>
      <c r="C13730" s="3"/>
      <c r="D13730" s="3"/>
      <c r="E13730" s="3"/>
      <c r="F13730" s="3"/>
      <c r="G13730" s="3"/>
      <c r="H13730" s="11"/>
      <c r="I13730" s="12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  <c r="AA13730" s="3"/>
      <c r="AB13730" s="3"/>
      <c r="AC13730" s="3"/>
      <c r="AD13730" s="3"/>
      <c r="AE13730" s="3"/>
      <c r="AF13730" s="3"/>
      <c r="AG13730" s="3"/>
      <c r="AH13730" s="3"/>
    </row>
    <row r="13731" spans="1:34" ht="14.25" customHeight="1" x14ac:dyDescent="0.25">
      <c r="A13731" s="3"/>
      <c r="B13731" s="3"/>
      <c r="C13731" s="3"/>
      <c r="D13731" s="3"/>
      <c r="E13731" s="3"/>
      <c r="F13731" s="3"/>
      <c r="G13731" s="3"/>
      <c r="H13731" s="11"/>
      <c r="I13731" s="12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  <c r="AA13731" s="3"/>
      <c r="AB13731" s="3"/>
      <c r="AC13731" s="3"/>
      <c r="AD13731" s="3"/>
      <c r="AE13731" s="3"/>
      <c r="AF13731" s="3"/>
      <c r="AG13731" s="3"/>
      <c r="AH13731" s="3"/>
    </row>
    <row r="13732" spans="1:34" ht="14.25" customHeight="1" x14ac:dyDescent="0.25">
      <c r="A13732" s="3"/>
      <c r="B13732" s="3"/>
      <c r="C13732" s="3"/>
      <c r="D13732" s="3"/>
      <c r="E13732" s="3"/>
      <c r="F13732" s="3"/>
      <c r="G13732" s="3"/>
      <c r="H13732" s="11"/>
      <c r="I13732" s="12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  <c r="AA13732" s="3"/>
      <c r="AB13732" s="3"/>
      <c r="AC13732" s="3"/>
      <c r="AD13732" s="3"/>
      <c r="AE13732" s="3"/>
      <c r="AF13732" s="3"/>
      <c r="AG13732" s="3"/>
      <c r="AH13732" s="3"/>
    </row>
    <row r="13733" spans="1:34" ht="14.25" customHeight="1" x14ac:dyDescent="0.25">
      <c r="A13733" s="3"/>
      <c r="B13733" s="3"/>
      <c r="C13733" s="3"/>
      <c r="D13733" s="3"/>
      <c r="E13733" s="3"/>
      <c r="F13733" s="3"/>
      <c r="G13733" s="3"/>
      <c r="H13733" s="11"/>
      <c r="I13733" s="12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  <c r="AA13733" s="3"/>
      <c r="AB13733" s="3"/>
      <c r="AC13733" s="3"/>
      <c r="AD13733" s="3"/>
      <c r="AE13733" s="3"/>
      <c r="AF13733" s="3"/>
      <c r="AG13733" s="3"/>
      <c r="AH13733" s="3"/>
    </row>
    <row r="13734" spans="1:34" ht="14.25" customHeight="1" x14ac:dyDescent="0.25">
      <c r="A13734" s="3"/>
      <c r="B13734" s="3"/>
      <c r="C13734" s="3"/>
      <c r="D13734" s="3"/>
      <c r="E13734" s="3"/>
      <c r="F13734" s="3"/>
      <c r="G13734" s="3"/>
      <c r="H13734" s="11"/>
      <c r="I13734" s="12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  <c r="AA13734" s="3"/>
      <c r="AB13734" s="3"/>
      <c r="AC13734" s="3"/>
      <c r="AD13734" s="3"/>
      <c r="AE13734" s="3"/>
      <c r="AF13734" s="3"/>
      <c r="AG13734" s="3"/>
      <c r="AH13734" s="3"/>
    </row>
    <row r="13735" spans="1:34" ht="14.25" customHeight="1" x14ac:dyDescent="0.25">
      <c r="A13735" s="3"/>
      <c r="B13735" s="3"/>
      <c r="C13735" s="3"/>
      <c r="D13735" s="3"/>
      <c r="E13735" s="3"/>
      <c r="F13735" s="3"/>
      <c r="G13735" s="3"/>
      <c r="H13735" s="11"/>
      <c r="I13735" s="12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  <c r="AA13735" s="3"/>
      <c r="AB13735" s="3"/>
      <c r="AC13735" s="3"/>
      <c r="AD13735" s="3"/>
      <c r="AE13735" s="3"/>
      <c r="AF13735" s="3"/>
      <c r="AG13735" s="3"/>
      <c r="AH13735" s="3"/>
    </row>
    <row r="13736" spans="1:34" ht="14.25" customHeight="1" x14ac:dyDescent="0.25">
      <c r="A13736" s="3"/>
      <c r="B13736" s="3"/>
      <c r="C13736" s="3"/>
      <c r="D13736" s="3"/>
      <c r="E13736" s="3"/>
      <c r="F13736" s="3"/>
      <c r="G13736" s="3"/>
      <c r="H13736" s="11"/>
      <c r="I13736" s="12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  <c r="AA13736" s="3"/>
      <c r="AB13736" s="3"/>
      <c r="AC13736" s="3"/>
      <c r="AD13736" s="3"/>
      <c r="AE13736" s="3"/>
      <c r="AF13736" s="3"/>
      <c r="AG13736" s="3"/>
      <c r="AH13736" s="3"/>
    </row>
    <row r="13737" spans="1:34" ht="14.25" customHeight="1" x14ac:dyDescent="0.25">
      <c r="A13737" s="3"/>
      <c r="B13737" s="3"/>
      <c r="C13737" s="3"/>
      <c r="D13737" s="3"/>
      <c r="E13737" s="3"/>
      <c r="F13737" s="3"/>
      <c r="G13737" s="3"/>
      <c r="H13737" s="11"/>
      <c r="I13737" s="12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  <c r="AA13737" s="3"/>
      <c r="AB13737" s="3"/>
      <c r="AC13737" s="3"/>
      <c r="AD13737" s="3"/>
      <c r="AE13737" s="3"/>
      <c r="AF13737" s="3"/>
      <c r="AG13737" s="3"/>
      <c r="AH13737" s="3"/>
    </row>
    <row r="13738" spans="1:34" ht="14.25" customHeight="1" x14ac:dyDescent="0.25">
      <c r="A13738" s="3"/>
      <c r="B13738" s="3"/>
      <c r="C13738" s="3"/>
      <c r="D13738" s="3"/>
      <c r="E13738" s="3"/>
      <c r="F13738" s="3"/>
      <c r="G13738" s="3"/>
      <c r="H13738" s="11"/>
      <c r="I13738" s="12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  <c r="AA13738" s="3"/>
      <c r="AB13738" s="3"/>
      <c r="AC13738" s="3"/>
      <c r="AD13738" s="3"/>
      <c r="AE13738" s="3"/>
      <c r="AF13738" s="3"/>
      <c r="AG13738" s="3"/>
      <c r="AH13738" s="3"/>
    </row>
    <row r="13739" spans="1:34" ht="14.25" customHeight="1" x14ac:dyDescent="0.25">
      <c r="A13739" s="3"/>
      <c r="B13739" s="3"/>
      <c r="C13739" s="3"/>
      <c r="D13739" s="3"/>
      <c r="E13739" s="3"/>
      <c r="F13739" s="3"/>
      <c r="G13739" s="3"/>
      <c r="H13739" s="11"/>
      <c r="I13739" s="12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  <c r="AA13739" s="3"/>
      <c r="AB13739" s="3"/>
      <c r="AC13739" s="3"/>
      <c r="AD13739" s="3"/>
      <c r="AE13739" s="3"/>
      <c r="AF13739" s="3"/>
      <c r="AG13739" s="3"/>
      <c r="AH13739" s="3"/>
    </row>
    <row r="13740" spans="1:34" ht="14.25" customHeight="1" x14ac:dyDescent="0.25">
      <c r="A13740" s="3"/>
      <c r="B13740" s="3"/>
      <c r="C13740" s="3"/>
      <c r="D13740" s="3"/>
      <c r="E13740" s="3"/>
      <c r="F13740" s="3"/>
      <c r="G13740" s="3"/>
      <c r="H13740" s="11"/>
      <c r="I13740" s="12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  <c r="AA13740" s="3"/>
      <c r="AB13740" s="3"/>
      <c r="AC13740" s="3"/>
      <c r="AD13740" s="3"/>
      <c r="AE13740" s="3"/>
      <c r="AF13740" s="3"/>
      <c r="AG13740" s="3"/>
      <c r="AH13740" s="3"/>
    </row>
    <row r="13741" spans="1:34" ht="14.25" customHeight="1" x14ac:dyDescent="0.25">
      <c r="A13741" s="3"/>
      <c r="B13741" s="3"/>
      <c r="C13741" s="3"/>
      <c r="D13741" s="3"/>
      <c r="E13741" s="3"/>
      <c r="F13741" s="3"/>
      <c r="G13741" s="3"/>
      <c r="H13741" s="11"/>
      <c r="I13741" s="12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  <c r="AA13741" s="3"/>
      <c r="AB13741" s="3"/>
      <c r="AC13741" s="3"/>
      <c r="AD13741" s="3"/>
      <c r="AE13741" s="3"/>
      <c r="AF13741" s="3"/>
      <c r="AG13741" s="3"/>
      <c r="AH13741" s="3"/>
    </row>
    <row r="13742" spans="1:34" ht="14.25" customHeight="1" x14ac:dyDescent="0.25">
      <c r="A13742" s="3"/>
      <c r="B13742" s="3"/>
      <c r="C13742" s="3"/>
      <c r="D13742" s="3"/>
      <c r="E13742" s="3"/>
      <c r="F13742" s="3"/>
      <c r="G13742" s="3"/>
      <c r="H13742" s="11"/>
      <c r="I13742" s="12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  <c r="AA13742" s="3"/>
      <c r="AB13742" s="3"/>
      <c r="AC13742" s="3"/>
      <c r="AD13742" s="3"/>
      <c r="AE13742" s="3"/>
      <c r="AF13742" s="3"/>
      <c r="AG13742" s="3"/>
      <c r="AH13742" s="3"/>
    </row>
    <row r="13743" spans="1:34" ht="14.25" customHeight="1" x14ac:dyDescent="0.25">
      <c r="A13743" s="3"/>
      <c r="B13743" s="3"/>
      <c r="C13743" s="3"/>
      <c r="D13743" s="3"/>
      <c r="E13743" s="3"/>
      <c r="F13743" s="3"/>
      <c r="G13743" s="3"/>
      <c r="H13743" s="11"/>
      <c r="I13743" s="12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  <c r="AA13743" s="3"/>
      <c r="AB13743" s="3"/>
      <c r="AC13743" s="3"/>
      <c r="AD13743" s="3"/>
      <c r="AE13743" s="3"/>
      <c r="AF13743" s="3"/>
      <c r="AG13743" s="3"/>
      <c r="AH13743" s="3"/>
    </row>
    <row r="13744" spans="1:34" ht="14.25" customHeight="1" x14ac:dyDescent="0.25">
      <c r="A13744" s="3"/>
      <c r="B13744" s="3"/>
      <c r="C13744" s="3"/>
      <c r="D13744" s="3"/>
      <c r="E13744" s="3"/>
      <c r="F13744" s="3"/>
      <c r="G13744" s="3"/>
      <c r="H13744" s="11"/>
      <c r="I13744" s="12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  <c r="AA13744" s="3"/>
      <c r="AB13744" s="3"/>
      <c r="AC13744" s="3"/>
      <c r="AD13744" s="3"/>
      <c r="AE13744" s="3"/>
      <c r="AF13744" s="3"/>
      <c r="AG13744" s="3"/>
      <c r="AH13744" s="3"/>
    </row>
    <row r="13745" spans="1:34" ht="14.25" customHeight="1" x14ac:dyDescent="0.25">
      <c r="A13745" s="3"/>
      <c r="B13745" s="3"/>
      <c r="C13745" s="3"/>
      <c r="D13745" s="3"/>
      <c r="E13745" s="3"/>
      <c r="F13745" s="3"/>
      <c r="G13745" s="3"/>
      <c r="H13745" s="11"/>
      <c r="I13745" s="12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  <c r="AA13745" s="3"/>
      <c r="AB13745" s="3"/>
      <c r="AC13745" s="3"/>
      <c r="AD13745" s="3"/>
      <c r="AE13745" s="3"/>
      <c r="AF13745" s="3"/>
      <c r="AG13745" s="3"/>
      <c r="AH13745" s="3"/>
    </row>
    <row r="13746" spans="1:34" ht="14.25" customHeight="1" x14ac:dyDescent="0.25">
      <c r="A13746" s="3"/>
      <c r="B13746" s="3"/>
      <c r="C13746" s="3"/>
      <c r="D13746" s="3"/>
      <c r="E13746" s="3"/>
      <c r="F13746" s="3"/>
      <c r="G13746" s="3"/>
      <c r="H13746" s="11"/>
      <c r="I13746" s="12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  <c r="AA13746" s="3"/>
      <c r="AB13746" s="3"/>
      <c r="AC13746" s="3"/>
      <c r="AD13746" s="3"/>
      <c r="AE13746" s="3"/>
      <c r="AF13746" s="3"/>
      <c r="AG13746" s="3"/>
      <c r="AH13746" s="3"/>
    </row>
    <row r="13747" spans="1:34" ht="14.25" customHeight="1" x14ac:dyDescent="0.25">
      <c r="A13747" s="3"/>
      <c r="B13747" s="3"/>
      <c r="C13747" s="3"/>
      <c r="D13747" s="3"/>
      <c r="E13747" s="3"/>
      <c r="F13747" s="3"/>
      <c r="G13747" s="3"/>
      <c r="H13747" s="11"/>
      <c r="I13747" s="12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  <c r="AA13747" s="3"/>
      <c r="AB13747" s="3"/>
      <c r="AC13747" s="3"/>
      <c r="AD13747" s="3"/>
      <c r="AE13747" s="3"/>
      <c r="AF13747" s="3"/>
      <c r="AG13747" s="3"/>
      <c r="AH13747" s="3"/>
    </row>
    <row r="13748" spans="1:34" ht="14.25" customHeight="1" x14ac:dyDescent="0.25">
      <c r="A13748" s="3"/>
      <c r="B13748" s="3"/>
      <c r="C13748" s="3"/>
      <c r="D13748" s="3"/>
      <c r="E13748" s="3"/>
      <c r="F13748" s="3"/>
      <c r="G13748" s="3"/>
      <c r="H13748" s="11"/>
      <c r="I13748" s="12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  <c r="AA13748" s="3"/>
      <c r="AB13748" s="3"/>
      <c r="AC13748" s="3"/>
      <c r="AD13748" s="3"/>
      <c r="AE13748" s="3"/>
      <c r="AF13748" s="3"/>
      <c r="AG13748" s="3"/>
      <c r="AH13748" s="3"/>
    </row>
    <row r="13749" spans="1:34" ht="14.25" customHeight="1" x14ac:dyDescent="0.25">
      <c r="A13749" s="3"/>
      <c r="B13749" s="3"/>
      <c r="C13749" s="3"/>
      <c r="D13749" s="3"/>
      <c r="E13749" s="3"/>
      <c r="F13749" s="3"/>
      <c r="G13749" s="3"/>
      <c r="H13749" s="11"/>
      <c r="I13749" s="12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  <c r="AA13749" s="3"/>
      <c r="AB13749" s="3"/>
      <c r="AC13749" s="3"/>
      <c r="AD13749" s="3"/>
      <c r="AE13749" s="3"/>
      <c r="AF13749" s="3"/>
      <c r="AG13749" s="3"/>
      <c r="AH13749" s="3"/>
    </row>
    <row r="13750" spans="1:34" ht="14.25" customHeight="1" x14ac:dyDescent="0.25">
      <c r="A13750" s="3"/>
      <c r="B13750" s="3"/>
      <c r="C13750" s="3"/>
      <c r="D13750" s="3"/>
      <c r="E13750" s="3"/>
      <c r="F13750" s="3"/>
      <c r="G13750" s="3"/>
      <c r="H13750" s="11"/>
      <c r="I13750" s="12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  <c r="AA13750" s="3"/>
      <c r="AB13750" s="3"/>
      <c r="AC13750" s="3"/>
      <c r="AD13750" s="3"/>
      <c r="AE13750" s="3"/>
      <c r="AF13750" s="3"/>
      <c r="AG13750" s="3"/>
      <c r="AH13750" s="3"/>
    </row>
    <row r="13751" spans="1:34" ht="14.25" customHeight="1" x14ac:dyDescent="0.25">
      <c r="A13751" s="3"/>
      <c r="B13751" s="3"/>
      <c r="C13751" s="3"/>
      <c r="D13751" s="3"/>
      <c r="E13751" s="3"/>
      <c r="F13751" s="3"/>
      <c r="G13751" s="3"/>
      <c r="H13751" s="11"/>
      <c r="I13751" s="12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  <c r="AA13751" s="3"/>
      <c r="AB13751" s="3"/>
      <c r="AC13751" s="3"/>
      <c r="AD13751" s="3"/>
      <c r="AE13751" s="3"/>
      <c r="AF13751" s="3"/>
      <c r="AG13751" s="3"/>
      <c r="AH13751" s="3"/>
    </row>
    <row r="13752" spans="1:34" ht="14.25" customHeight="1" x14ac:dyDescent="0.25">
      <c r="A13752" s="3"/>
      <c r="B13752" s="3"/>
      <c r="C13752" s="3"/>
      <c r="D13752" s="3"/>
      <c r="E13752" s="3"/>
      <c r="F13752" s="3"/>
      <c r="G13752" s="3"/>
      <c r="H13752" s="11"/>
      <c r="I13752" s="12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  <c r="AA13752" s="3"/>
      <c r="AB13752" s="3"/>
      <c r="AC13752" s="3"/>
      <c r="AD13752" s="3"/>
      <c r="AE13752" s="3"/>
      <c r="AF13752" s="3"/>
      <c r="AG13752" s="3"/>
      <c r="AH13752" s="3"/>
    </row>
    <row r="13753" spans="1:34" ht="14.25" customHeight="1" x14ac:dyDescent="0.25">
      <c r="A13753" s="3"/>
      <c r="B13753" s="3"/>
      <c r="C13753" s="3"/>
      <c r="D13753" s="3"/>
      <c r="E13753" s="3"/>
      <c r="F13753" s="3"/>
      <c r="G13753" s="3"/>
      <c r="H13753" s="11"/>
      <c r="I13753" s="12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  <c r="AA13753" s="3"/>
      <c r="AB13753" s="3"/>
      <c r="AC13753" s="3"/>
      <c r="AD13753" s="3"/>
      <c r="AE13753" s="3"/>
      <c r="AF13753" s="3"/>
      <c r="AG13753" s="3"/>
      <c r="AH13753" s="3"/>
    </row>
    <row r="13754" spans="1:34" ht="14.25" customHeight="1" x14ac:dyDescent="0.25">
      <c r="A13754" s="3"/>
      <c r="B13754" s="3"/>
      <c r="C13754" s="3"/>
      <c r="D13754" s="3"/>
      <c r="E13754" s="3"/>
      <c r="F13754" s="3"/>
      <c r="G13754" s="3"/>
      <c r="H13754" s="11"/>
      <c r="I13754" s="12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  <c r="AA13754" s="3"/>
      <c r="AB13754" s="3"/>
      <c r="AC13754" s="3"/>
      <c r="AD13754" s="3"/>
      <c r="AE13754" s="3"/>
      <c r="AF13754" s="3"/>
      <c r="AG13754" s="3"/>
      <c r="AH13754" s="3"/>
    </row>
    <row r="13755" spans="1:34" ht="14.25" customHeight="1" x14ac:dyDescent="0.25">
      <c r="A13755" s="3"/>
      <c r="B13755" s="3"/>
      <c r="C13755" s="3"/>
      <c r="D13755" s="3"/>
      <c r="E13755" s="3"/>
      <c r="F13755" s="3"/>
      <c r="G13755" s="3"/>
      <c r="H13755" s="11"/>
      <c r="I13755" s="12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  <c r="AA13755" s="3"/>
      <c r="AB13755" s="3"/>
      <c r="AC13755" s="3"/>
      <c r="AD13755" s="3"/>
      <c r="AE13755" s="3"/>
      <c r="AF13755" s="3"/>
      <c r="AG13755" s="3"/>
      <c r="AH13755" s="3"/>
    </row>
    <row r="13756" spans="1:34" ht="14.25" customHeight="1" x14ac:dyDescent="0.25">
      <c r="A13756" s="3"/>
      <c r="B13756" s="3"/>
      <c r="C13756" s="3"/>
      <c r="D13756" s="3"/>
      <c r="E13756" s="3"/>
      <c r="F13756" s="3"/>
      <c r="G13756" s="3"/>
      <c r="H13756" s="11"/>
      <c r="I13756" s="12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  <c r="AA13756" s="3"/>
      <c r="AB13756" s="3"/>
      <c r="AC13756" s="3"/>
      <c r="AD13756" s="3"/>
      <c r="AE13756" s="3"/>
      <c r="AF13756" s="3"/>
      <c r="AG13756" s="3"/>
      <c r="AH13756" s="3"/>
    </row>
    <row r="13757" spans="1:34" ht="14.25" customHeight="1" x14ac:dyDescent="0.25">
      <c r="A13757" s="3"/>
      <c r="B13757" s="3"/>
      <c r="C13757" s="3"/>
      <c r="D13757" s="3"/>
      <c r="E13757" s="3"/>
      <c r="F13757" s="3"/>
      <c r="G13757" s="3"/>
      <c r="H13757" s="11"/>
      <c r="I13757" s="12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  <c r="AA13757" s="3"/>
      <c r="AB13757" s="3"/>
      <c r="AC13757" s="3"/>
      <c r="AD13757" s="3"/>
      <c r="AE13757" s="3"/>
      <c r="AF13757" s="3"/>
      <c r="AG13757" s="3"/>
      <c r="AH13757" s="3"/>
    </row>
    <row r="13758" spans="1:34" ht="14.25" customHeight="1" x14ac:dyDescent="0.25">
      <c r="A13758" s="3"/>
      <c r="B13758" s="3"/>
      <c r="C13758" s="3"/>
      <c r="D13758" s="3"/>
      <c r="E13758" s="3"/>
      <c r="F13758" s="3"/>
      <c r="G13758" s="3"/>
      <c r="H13758" s="11"/>
      <c r="I13758" s="12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  <c r="AA13758" s="3"/>
      <c r="AB13758" s="3"/>
      <c r="AC13758" s="3"/>
      <c r="AD13758" s="3"/>
      <c r="AE13758" s="3"/>
      <c r="AF13758" s="3"/>
      <c r="AG13758" s="3"/>
      <c r="AH13758" s="3"/>
    </row>
    <row r="13759" spans="1:34" ht="14.25" customHeight="1" x14ac:dyDescent="0.25">
      <c r="A13759" s="3"/>
      <c r="B13759" s="3"/>
      <c r="C13759" s="3"/>
      <c r="D13759" s="3"/>
      <c r="E13759" s="3"/>
      <c r="F13759" s="3"/>
      <c r="G13759" s="3"/>
      <c r="H13759" s="11"/>
      <c r="I13759" s="12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  <c r="AA13759" s="3"/>
      <c r="AB13759" s="3"/>
      <c r="AC13759" s="3"/>
      <c r="AD13759" s="3"/>
      <c r="AE13759" s="3"/>
      <c r="AF13759" s="3"/>
      <c r="AG13759" s="3"/>
      <c r="AH13759" s="3"/>
    </row>
    <row r="13760" spans="1:34" ht="14.25" customHeight="1" x14ac:dyDescent="0.25">
      <c r="A13760" s="3"/>
      <c r="B13760" s="3"/>
      <c r="C13760" s="3"/>
      <c r="D13760" s="3"/>
      <c r="E13760" s="3"/>
      <c r="F13760" s="3"/>
      <c r="G13760" s="3"/>
      <c r="H13760" s="11"/>
      <c r="I13760" s="12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  <c r="AA13760" s="3"/>
      <c r="AB13760" s="3"/>
      <c r="AC13760" s="3"/>
      <c r="AD13760" s="3"/>
      <c r="AE13760" s="3"/>
      <c r="AF13760" s="3"/>
      <c r="AG13760" s="3"/>
      <c r="AH13760" s="3"/>
    </row>
    <row r="13761" spans="1:34" ht="14.25" customHeight="1" x14ac:dyDescent="0.25">
      <c r="A13761" s="3"/>
      <c r="B13761" s="3"/>
      <c r="C13761" s="3"/>
      <c r="D13761" s="3"/>
      <c r="E13761" s="3"/>
      <c r="F13761" s="3"/>
      <c r="G13761" s="3"/>
      <c r="H13761" s="11"/>
      <c r="I13761" s="12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  <c r="AA13761" s="3"/>
      <c r="AB13761" s="3"/>
      <c r="AC13761" s="3"/>
      <c r="AD13761" s="3"/>
      <c r="AE13761" s="3"/>
      <c r="AF13761" s="3"/>
      <c r="AG13761" s="3"/>
      <c r="AH13761" s="3"/>
    </row>
    <row r="13762" spans="1:34" ht="14.25" customHeight="1" x14ac:dyDescent="0.25">
      <c r="A13762" s="3"/>
      <c r="B13762" s="3"/>
      <c r="C13762" s="3"/>
      <c r="D13762" s="3"/>
      <c r="E13762" s="3"/>
      <c r="F13762" s="3"/>
      <c r="G13762" s="3"/>
      <c r="H13762" s="11"/>
      <c r="I13762" s="12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  <c r="AA13762" s="3"/>
      <c r="AB13762" s="3"/>
      <c r="AC13762" s="3"/>
      <c r="AD13762" s="3"/>
      <c r="AE13762" s="3"/>
      <c r="AF13762" s="3"/>
      <c r="AG13762" s="3"/>
      <c r="AH13762" s="3"/>
    </row>
    <row r="13763" spans="1:34" ht="14.25" customHeight="1" x14ac:dyDescent="0.25">
      <c r="A13763" s="3"/>
      <c r="B13763" s="3"/>
      <c r="C13763" s="3"/>
      <c r="D13763" s="3"/>
      <c r="E13763" s="3"/>
      <c r="F13763" s="3"/>
      <c r="G13763" s="3"/>
      <c r="H13763" s="11"/>
      <c r="I13763" s="12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  <c r="AA13763" s="3"/>
      <c r="AB13763" s="3"/>
      <c r="AC13763" s="3"/>
      <c r="AD13763" s="3"/>
      <c r="AE13763" s="3"/>
      <c r="AF13763" s="3"/>
      <c r="AG13763" s="3"/>
      <c r="AH13763" s="3"/>
    </row>
    <row r="13764" spans="1:34" ht="14.25" customHeight="1" x14ac:dyDescent="0.25">
      <c r="A13764" s="3"/>
      <c r="B13764" s="3"/>
      <c r="C13764" s="3"/>
      <c r="D13764" s="3"/>
      <c r="E13764" s="3"/>
      <c r="F13764" s="3"/>
      <c r="G13764" s="3"/>
      <c r="H13764" s="11"/>
      <c r="I13764" s="12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  <c r="AA13764" s="3"/>
      <c r="AB13764" s="3"/>
      <c r="AC13764" s="3"/>
      <c r="AD13764" s="3"/>
      <c r="AE13764" s="3"/>
      <c r="AF13764" s="3"/>
      <c r="AG13764" s="3"/>
      <c r="AH13764" s="3"/>
    </row>
    <row r="13765" spans="1:34" ht="14.25" customHeight="1" x14ac:dyDescent="0.25">
      <c r="A13765" s="3"/>
      <c r="B13765" s="3"/>
      <c r="C13765" s="3"/>
      <c r="D13765" s="3"/>
      <c r="E13765" s="3"/>
      <c r="F13765" s="3"/>
      <c r="G13765" s="3"/>
      <c r="H13765" s="11"/>
      <c r="I13765" s="12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  <c r="AA13765" s="3"/>
      <c r="AB13765" s="3"/>
      <c r="AC13765" s="3"/>
      <c r="AD13765" s="3"/>
      <c r="AE13765" s="3"/>
      <c r="AF13765" s="3"/>
      <c r="AG13765" s="3"/>
      <c r="AH13765" s="3"/>
    </row>
    <row r="13766" spans="1:34" ht="14.25" customHeight="1" x14ac:dyDescent="0.25">
      <c r="A13766" s="3"/>
      <c r="B13766" s="3"/>
      <c r="C13766" s="3"/>
      <c r="D13766" s="3"/>
      <c r="E13766" s="3"/>
      <c r="F13766" s="3"/>
      <c r="G13766" s="3"/>
      <c r="H13766" s="11"/>
      <c r="I13766" s="12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  <c r="AA13766" s="3"/>
      <c r="AB13766" s="3"/>
      <c r="AC13766" s="3"/>
      <c r="AD13766" s="3"/>
      <c r="AE13766" s="3"/>
      <c r="AF13766" s="3"/>
      <c r="AG13766" s="3"/>
      <c r="AH13766" s="3"/>
    </row>
    <row r="13767" spans="1:34" ht="14.25" customHeight="1" x14ac:dyDescent="0.25">
      <c r="A13767" s="3"/>
      <c r="B13767" s="3"/>
      <c r="C13767" s="3"/>
      <c r="D13767" s="3"/>
      <c r="E13767" s="3"/>
      <c r="F13767" s="3"/>
      <c r="G13767" s="3"/>
      <c r="H13767" s="11"/>
      <c r="I13767" s="12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  <c r="AA13767" s="3"/>
      <c r="AB13767" s="3"/>
      <c r="AC13767" s="3"/>
      <c r="AD13767" s="3"/>
      <c r="AE13767" s="3"/>
      <c r="AF13767" s="3"/>
      <c r="AG13767" s="3"/>
      <c r="AH13767" s="3"/>
    </row>
    <row r="13768" spans="1:34" ht="14.25" customHeight="1" x14ac:dyDescent="0.25">
      <c r="A13768" s="3"/>
      <c r="B13768" s="3"/>
      <c r="C13768" s="3"/>
      <c r="D13768" s="3"/>
      <c r="E13768" s="3"/>
      <c r="F13768" s="3"/>
      <c r="G13768" s="3"/>
      <c r="H13768" s="11"/>
      <c r="I13768" s="12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  <c r="AA13768" s="3"/>
      <c r="AB13768" s="3"/>
      <c r="AC13768" s="3"/>
      <c r="AD13768" s="3"/>
      <c r="AE13768" s="3"/>
      <c r="AF13768" s="3"/>
      <c r="AG13768" s="3"/>
      <c r="AH13768" s="3"/>
    </row>
    <row r="13769" spans="1:34" ht="14.25" customHeight="1" x14ac:dyDescent="0.25">
      <c r="A13769" s="3"/>
      <c r="B13769" s="3"/>
      <c r="C13769" s="3"/>
      <c r="D13769" s="3"/>
      <c r="E13769" s="3"/>
      <c r="F13769" s="3"/>
      <c r="G13769" s="3"/>
      <c r="H13769" s="11"/>
      <c r="I13769" s="12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  <c r="AA13769" s="3"/>
      <c r="AB13769" s="3"/>
      <c r="AC13769" s="3"/>
      <c r="AD13769" s="3"/>
      <c r="AE13769" s="3"/>
      <c r="AF13769" s="3"/>
      <c r="AG13769" s="3"/>
      <c r="AH13769" s="3"/>
    </row>
    <row r="13770" spans="1:34" ht="14.25" customHeight="1" x14ac:dyDescent="0.25">
      <c r="A13770" s="3"/>
      <c r="B13770" s="3"/>
      <c r="C13770" s="3"/>
      <c r="D13770" s="3"/>
      <c r="E13770" s="3"/>
      <c r="F13770" s="3"/>
      <c r="G13770" s="3"/>
      <c r="H13770" s="11"/>
      <c r="I13770" s="12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  <c r="AA13770" s="3"/>
      <c r="AB13770" s="3"/>
      <c r="AC13770" s="3"/>
      <c r="AD13770" s="3"/>
      <c r="AE13770" s="3"/>
      <c r="AF13770" s="3"/>
      <c r="AG13770" s="3"/>
      <c r="AH13770" s="3"/>
    </row>
    <row r="13771" spans="1:34" ht="14.25" customHeight="1" x14ac:dyDescent="0.25">
      <c r="A13771" s="3"/>
      <c r="B13771" s="3"/>
      <c r="C13771" s="3"/>
      <c r="D13771" s="3"/>
      <c r="E13771" s="3"/>
      <c r="F13771" s="3"/>
      <c r="G13771" s="3"/>
      <c r="H13771" s="11"/>
      <c r="I13771" s="12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  <c r="AA13771" s="3"/>
      <c r="AB13771" s="3"/>
      <c r="AC13771" s="3"/>
      <c r="AD13771" s="3"/>
      <c r="AE13771" s="3"/>
      <c r="AF13771" s="3"/>
      <c r="AG13771" s="3"/>
      <c r="AH13771" s="3"/>
    </row>
    <row r="13772" spans="1:34" ht="14.25" customHeight="1" x14ac:dyDescent="0.25">
      <c r="A13772" s="3"/>
      <c r="B13772" s="3"/>
      <c r="C13772" s="3"/>
      <c r="D13772" s="3"/>
      <c r="E13772" s="3"/>
      <c r="F13772" s="3"/>
      <c r="G13772" s="3"/>
      <c r="H13772" s="11"/>
      <c r="I13772" s="12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  <c r="AA13772" s="3"/>
      <c r="AB13772" s="3"/>
      <c r="AC13772" s="3"/>
      <c r="AD13772" s="3"/>
      <c r="AE13772" s="3"/>
      <c r="AF13772" s="3"/>
      <c r="AG13772" s="3"/>
      <c r="AH13772" s="3"/>
    </row>
    <row r="13773" spans="1:34" ht="14.25" customHeight="1" x14ac:dyDescent="0.25">
      <c r="A13773" s="3"/>
      <c r="B13773" s="3"/>
      <c r="C13773" s="3"/>
      <c r="D13773" s="3"/>
      <c r="E13773" s="3"/>
      <c r="F13773" s="3"/>
      <c r="G13773" s="3"/>
      <c r="H13773" s="11"/>
      <c r="I13773" s="12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  <c r="AA13773" s="3"/>
      <c r="AB13773" s="3"/>
      <c r="AC13773" s="3"/>
      <c r="AD13773" s="3"/>
      <c r="AE13773" s="3"/>
      <c r="AF13773" s="3"/>
      <c r="AG13773" s="3"/>
      <c r="AH13773" s="3"/>
    </row>
    <row r="13774" spans="1:34" ht="14.25" customHeight="1" x14ac:dyDescent="0.25">
      <c r="A13774" s="3"/>
      <c r="B13774" s="3"/>
      <c r="C13774" s="3"/>
      <c r="D13774" s="3"/>
      <c r="E13774" s="3"/>
      <c r="F13774" s="3"/>
      <c r="G13774" s="3"/>
      <c r="H13774" s="11"/>
      <c r="I13774" s="12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  <c r="AA13774" s="3"/>
      <c r="AB13774" s="3"/>
      <c r="AC13774" s="3"/>
      <c r="AD13774" s="3"/>
      <c r="AE13774" s="3"/>
      <c r="AF13774" s="3"/>
      <c r="AG13774" s="3"/>
      <c r="AH13774" s="3"/>
    </row>
    <row r="13775" spans="1:34" ht="14.25" customHeight="1" x14ac:dyDescent="0.25">
      <c r="A13775" s="3"/>
      <c r="B13775" s="3"/>
      <c r="C13775" s="3"/>
      <c r="D13775" s="3"/>
      <c r="E13775" s="3"/>
      <c r="F13775" s="3"/>
      <c r="G13775" s="3"/>
      <c r="H13775" s="11"/>
      <c r="I13775" s="12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  <c r="AA13775" s="3"/>
      <c r="AB13775" s="3"/>
      <c r="AC13775" s="3"/>
      <c r="AD13775" s="3"/>
      <c r="AE13775" s="3"/>
      <c r="AF13775" s="3"/>
      <c r="AG13775" s="3"/>
      <c r="AH13775" s="3"/>
    </row>
    <row r="13776" spans="1:34" ht="14.25" customHeight="1" x14ac:dyDescent="0.25">
      <c r="A13776" s="3"/>
      <c r="B13776" s="3"/>
      <c r="C13776" s="3"/>
      <c r="D13776" s="3"/>
      <c r="E13776" s="3"/>
      <c r="F13776" s="3"/>
      <c r="G13776" s="3"/>
      <c r="H13776" s="11"/>
      <c r="I13776" s="12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  <c r="AA13776" s="3"/>
      <c r="AB13776" s="3"/>
      <c r="AC13776" s="3"/>
      <c r="AD13776" s="3"/>
      <c r="AE13776" s="3"/>
      <c r="AF13776" s="3"/>
      <c r="AG13776" s="3"/>
      <c r="AH13776" s="3"/>
    </row>
    <row r="13777" spans="1:34" ht="14.25" customHeight="1" x14ac:dyDescent="0.25">
      <c r="A13777" s="3"/>
      <c r="B13777" s="3"/>
      <c r="C13777" s="3"/>
      <c r="D13777" s="3"/>
      <c r="E13777" s="3"/>
      <c r="F13777" s="3"/>
      <c r="G13777" s="3"/>
      <c r="H13777" s="11"/>
      <c r="I13777" s="12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  <c r="AA13777" s="3"/>
      <c r="AB13777" s="3"/>
      <c r="AC13777" s="3"/>
      <c r="AD13777" s="3"/>
      <c r="AE13777" s="3"/>
      <c r="AF13777" s="3"/>
      <c r="AG13777" s="3"/>
      <c r="AH13777" s="3"/>
    </row>
    <row r="13778" spans="1:34" ht="14.25" customHeight="1" x14ac:dyDescent="0.25">
      <c r="A13778" s="3"/>
      <c r="B13778" s="3"/>
      <c r="C13778" s="3"/>
      <c r="D13778" s="3"/>
      <c r="E13778" s="3"/>
      <c r="F13778" s="3"/>
      <c r="G13778" s="3"/>
      <c r="H13778" s="11"/>
      <c r="I13778" s="12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  <c r="AA13778" s="3"/>
      <c r="AB13778" s="3"/>
      <c r="AC13778" s="3"/>
      <c r="AD13778" s="3"/>
      <c r="AE13778" s="3"/>
      <c r="AF13778" s="3"/>
      <c r="AG13778" s="3"/>
      <c r="AH13778" s="3"/>
    </row>
    <row r="13779" spans="1:34" ht="14.25" customHeight="1" x14ac:dyDescent="0.25">
      <c r="A13779" s="3"/>
      <c r="B13779" s="3"/>
      <c r="C13779" s="3"/>
      <c r="D13779" s="3"/>
      <c r="E13779" s="3"/>
      <c r="F13779" s="3"/>
      <c r="G13779" s="3"/>
      <c r="H13779" s="11"/>
      <c r="I13779" s="12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  <c r="AA13779" s="3"/>
      <c r="AB13779" s="3"/>
      <c r="AC13779" s="3"/>
      <c r="AD13779" s="3"/>
      <c r="AE13779" s="3"/>
      <c r="AF13779" s="3"/>
      <c r="AG13779" s="3"/>
      <c r="AH13779" s="3"/>
    </row>
    <row r="13780" spans="1:34" ht="14.25" customHeight="1" x14ac:dyDescent="0.25">
      <c r="A13780" s="3"/>
      <c r="B13780" s="3"/>
      <c r="C13780" s="3"/>
      <c r="D13780" s="3"/>
      <c r="E13780" s="3"/>
      <c r="F13780" s="3"/>
      <c r="G13780" s="3"/>
      <c r="H13780" s="11"/>
      <c r="I13780" s="12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  <c r="AA13780" s="3"/>
      <c r="AB13780" s="3"/>
      <c r="AC13780" s="3"/>
      <c r="AD13780" s="3"/>
      <c r="AE13780" s="3"/>
      <c r="AF13780" s="3"/>
      <c r="AG13780" s="3"/>
      <c r="AH13780" s="3"/>
    </row>
    <row r="13781" spans="1:34" ht="14.25" customHeight="1" x14ac:dyDescent="0.25">
      <c r="A13781" s="3"/>
      <c r="B13781" s="3"/>
      <c r="C13781" s="3"/>
      <c r="D13781" s="3"/>
      <c r="E13781" s="3"/>
      <c r="F13781" s="3"/>
      <c r="G13781" s="3"/>
      <c r="H13781" s="11"/>
      <c r="I13781" s="12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  <c r="AA13781" s="3"/>
      <c r="AB13781" s="3"/>
      <c r="AC13781" s="3"/>
      <c r="AD13781" s="3"/>
      <c r="AE13781" s="3"/>
      <c r="AF13781" s="3"/>
      <c r="AG13781" s="3"/>
      <c r="AH13781" s="3"/>
    </row>
    <row r="13782" spans="1:34" ht="14.25" customHeight="1" x14ac:dyDescent="0.25">
      <c r="A13782" s="3"/>
      <c r="B13782" s="3"/>
      <c r="C13782" s="3"/>
      <c r="D13782" s="3"/>
      <c r="E13782" s="3"/>
      <c r="F13782" s="3"/>
      <c r="G13782" s="3"/>
      <c r="H13782" s="11"/>
      <c r="I13782" s="12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  <c r="AA13782" s="3"/>
      <c r="AB13782" s="3"/>
      <c r="AC13782" s="3"/>
      <c r="AD13782" s="3"/>
      <c r="AE13782" s="3"/>
      <c r="AF13782" s="3"/>
      <c r="AG13782" s="3"/>
      <c r="AH13782" s="3"/>
    </row>
    <row r="13783" spans="1:34" ht="14.25" customHeight="1" x14ac:dyDescent="0.25">
      <c r="A13783" s="3"/>
      <c r="B13783" s="3"/>
      <c r="C13783" s="3"/>
      <c r="D13783" s="3"/>
      <c r="E13783" s="3"/>
      <c r="F13783" s="3"/>
      <c r="G13783" s="3"/>
      <c r="H13783" s="11"/>
      <c r="I13783" s="12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  <c r="AA13783" s="3"/>
      <c r="AB13783" s="3"/>
      <c r="AC13783" s="3"/>
      <c r="AD13783" s="3"/>
      <c r="AE13783" s="3"/>
      <c r="AF13783" s="3"/>
      <c r="AG13783" s="3"/>
      <c r="AH13783" s="3"/>
    </row>
    <row r="13784" spans="1:34" ht="14.25" customHeight="1" x14ac:dyDescent="0.25">
      <c r="A13784" s="3"/>
      <c r="B13784" s="3"/>
      <c r="C13784" s="3"/>
      <c r="D13784" s="3"/>
      <c r="E13784" s="3"/>
      <c r="F13784" s="3"/>
      <c r="G13784" s="3"/>
      <c r="H13784" s="11"/>
      <c r="I13784" s="12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  <c r="AA13784" s="3"/>
      <c r="AB13784" s="3"/>
      <c r="AC13784" s="3"/>
      <c r="AD13784" s="3"/>
      <c r="AE13784" s="3"/>
      <c r="AF13784" s="3"/>
      <c r="AG13784" s="3"/>
      <c r="AH13784" s="3"/>
    </row>
    <row r="13785" spans="1:34" ht="14.25" customHeight="1" x14ac:dyDescent="0.25">
      <c r="A13785" s="3"/>
      <c r="B13785" s="3"/>
      <c r="C13785" s="3"/>
      <c r="D13785" s="3"/>
      <c r="E13785" s="3"/>
      <c r="F13785" s="3"/>
      <c r="G13785" s="3"/>
      <c r="H13785" s="11"/>
      <c r="I13785" s="12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  <c r="AA13785" s="3"/>
      <c r="AB13785" s="3"/>
      <c r="AC13785" s="3"/>
      <c r="AD13785" s="3"/>
      <c r="AE13785" s="3"/>
      <c r="AF13785" s="3"/>
      <c r="AG13785" s="3"/>
      <c r="AH13785" s="3"/>
    </row>
    <row r="13786" spans="1:34" ht="14.25" customHeight="1" x14ac:dyDescent="0.25">
      <c r="A13786" s="3"/>
      <c r="B13786" s="3"/>
      <c r="C13786" s="3"/>
      <c r="D13786" s="3"/>
      <c r="E13786" s="3"/>
      <c r="F13786" s="3"/>
      <c r="G13786" s="3"/>
      <c r="H13786" s="11"/>
      <c r="I13786" s="12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  <c r="AA13786" s="3"/>
      <c r="AB13786" s="3"/>
      <c r="AC13786" s="3"/>
      <c r="AD13786" s="3"/>
      <c r="AE13786" s="3"/>
      <c r="AF13786" s="3"/>
      <c r="AG13786" s="3"/>
      <c r="AH13786" s="3"/>
    </row>
    <row r="13787" spans="1:34" ht="14.25" customHeight="1" x14ac:dyDescent="0.25">
      <c r="A13787" s="3"/>
      <c r="B13787" s="3"/>
      <c r="C13787" s="3"/>
      <c r="D13787" s="3"/>
      <c r="E13787" s="3"/>
      <c r="F13787" s="3"/>
      <c r="G13787" s="3"/>
      <c r="H13787" s="11"/>
      <c r="I13787" s="12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  <c r="AA13787" s="3"/>
      <c r="AB13787" s="3"/>
      <c r="AC13787" s="3"/>
      <c r="AD13787" s="3"/>
      <c r="AE13787" s="3"/>
      <c r="AF13787" s="3"/>
      <c r="AG13787" s="3"/>
      <c r="AH13787" s="3"/>
    </row>
    <row r="13788" spans="1:34" ht="14.25" customHeight="1" x14ac:dyDescent="0.25">
      <c r="A13788" s="3"/>
      <c r="B13788" s="3"/>
      <c r="C13788" s="3"/>
      <c r="D13788" s="3"/>
      <c r="E13788" s="3"/>
      <c r="F13788" s="3"/>
      <c r="G13788" s="3"/>
      <c r="H13788" s="11"/>
      <c r="I13788" s="12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  <c r="AA13788" s="3"/>
      <c r="AB13788" s="3"/>
      <c r="AC13788" s="3"/>
      <c r="AD13788" s="3"/>
      <c r="AE13788" s="3"/>
      <c r="AF13788" s="3"/>
      <c r="AG13788" s="3"/>
      <c r="AH13788" s="3"/>
    </row>
    <row r="13789" spans="1:34" ht="14.25" customHeight="1" x14ac:dyDescent="0.25">
      <c r="A13789" s="3"/>
      <c r="B13789" s="3"/>
      <c r="C13789" s="3"/>
      <c r="D13789" s="3"/>
      <c r="E13789" s="3"/>
      <c r="F13789" s="3"/>
      <c r="G13789" s="3"/>
      <c r="H13789" s="11"/>
      <c r="I13789" s="12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  <c r="AA13789" s="3"/>
      <c r="AB13789" s="3"/>
      <c r="AC13789" s="3"/>
      <c r="AD13789" s="3"/>
      <c r="AE13789" s="3"/>
      <c r="AF13789" s="3"/>
      <c r="AG13789" s="3"/>
      <c r="AH13789" s="3"/>
    </row>
    <row r="13790" spans="1:34" ht="14.25" customHeight="1" x14ac:dyDescent="0.25">
      <c r="A13790" s="3"/>
      <c r="B13790" s="3"/>
      <c r="C13790" s="3"/>
      <c r="D13790" s="3"/>
      <c r="E13790" s="3"/>
      <c r="F13790" s="3"/>
      <c r="G13790" s="3"/>
      <c r="H13790" s="11"/>
      <c r="I13790" s="12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  <c r="AA13790" s="3"/>
      <c r="AB13790" s="3"/>
      <c r="AC13790" s="3"/>
      <c r="AD13790" s="3"/>
      <c r="AE13790" s="3"/>
      <c r="AF13790" s="3"/>
      <c r="AG13790" s="3"/>
      <c r="AH13790" s="3"/>
    </row>
    <row r="13791" spans="1:34" ht="14.25" customHeight="1" x14ac:dyDescent="0.25">
      <c r="A13791" s="3"/>
      <c r="B13791" s="3"/>
      <c r="C13791" s="3"/>
      <c r="D13791" s="3"/>
      <c r="E13791" s="3"/>
      <c r="F13791" s="3"/>
      <c r="G13791" s="3"/>
      <c r="H13791" s="11"/>
      <c r="I13791" s="12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  <c r="AA13791" s="3"/>
      <c r="AB13791" s="3"/>
      <c r="AC13791" s="3"/>
      <c r="AD13791" s="3"/>
      <c r="AE13791" s="3"/>
      <c r="AF13791" s="3"/>
      <c r="AG13791" s="3"/>
      <c r="AH13791" s="3"/>
    </row>
    <row r="13792" spans="1:34" ht="14.25" customHeight="1" x14ac:dyDescent="0.25">
      <c r="A13792" s="3"/>
      <c r="B13792" s="3"/>
      <c r="C13792" s="3"/>
      <c r="D13792" s="3"/>
      <c r="E13792" s="3"/>
      <c r="F13792" s="3"/>
      <c r="G13792" s="3"/>
      <c r="H13792" s="11"/>
      <c r="I13792" s="12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  <c r="AA13792" s="3"/>
      <c r="AB13792" s="3"/>
      <c r="AC13792" s="3"/>
      <c r="AD13792" s="3"/>
      <c r="AE13792" s="3"/>
      <c r="AF13792" s="3"/>
      <c r="AG13792" s="3"/>
      <c r="AH13792" s="3"/>
    </row>
    <row r="13793" spans="1:34" ht="14.25" customHeight="1" x14ac:dyDescent="0.25">
      <c r="A13793" s="3"/>
      <c r="B13793" s="3"/>
      <c r="C13793" s="3"/>
      <c r="D13793" s="3"/>
      <c r="E13793" s="3"/>
      <c r="F13793" s="3"/>
      <c r="G13793" s="3"/>
      <c r="H13793" s="11"/>
      <c r="I13793" s="12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  <c r="AA13793" s="3"/>
      <c r="AB13793" s="3"/>
      <c r="AC13793" s="3"/>
      <c r="AD13793" s="3"/>
      <c r="AE13793" s="3"/>
      <c r="AF13793" s="3"/>
      <c r="AG13793" s="3"/>
      <c r="AH13793" s="3"/>
    </row>
    <row r="13794" spans="1:34" ht="14.25" customHeight="1" x14ac:dyDescent="0.25">
      <c r="A13794" s="3"/>
      <c r="B13794" s="3"/>
      <c r="C13794" s="3"/>
      <c r="D13794" s="3"/>
      <c r="E13794" s="3"/>
      <c r="F13794" s="3"/>
      <c r="G13794" s="3"/>
      <c r="H13794" s="11"/>
      <c r="I13794" s="12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  <c r="AA13794" s="3"/>
      <c r="AB13794" s="3"/>
      <c r="AC13794" s="3"/>
      <c r="AD13794" s="3"/>
      <c r="AE13794" s="3"/>
      <c r="AF13794" s="3"/>
      <c r="AG13794" s="3"/>
      <c r="AH13794" s="3"/>
    </row>
    <row r="13795" spans="1:34" ht="14.25" customHeight="1" x14ac:dyDescent="0.25">
      <c r="A13795" s="3"/>
      <c r="B13795" s="3"/>
      <c r="C13795" s="3"/>
      <c r="D13795" s="3"/>
      <c r="E13795" s="3"/>
      <c r="F13795" s="3"/>
      <c r="G13795" s="3"/>
      <c r="H13795" s="11"/>
      <c r="I13795" s="12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  <c r="AA13795" s="3"/>
      <c r="AB13795" s="3"/>
      <c r="AC13795" s="3"/>
      <c r="AD13795" s="3"/>
      <c r="AE13795" s="3"/>
      <c r="AF13795" s="3"/>
      <c r="AG13795" s="3"/>
      <c r="AH13795" s="3"/>
    </row>
    <row r="13796" spans="1:34" ht="14.25" customHeight="1" x14ac:dyDescent="0.25">
      <c r="A13796" s="3"/>
      <c r="B13796" s="3"/>
      <c r="C13796" s="3"/>
      <c r="D13796" s="3"/>
      <c r="E13796" s="3"/>
      <c r="F13796" s="3"/>
      <c r="G13796" s="3"/>
      <c r="H13796" s="11"/>
      <c r="I13796" s="12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  <c r="AA13796" s="3"/>
      <c r="AB13796" s="3"/>
      <c r="AC13796" s="3"/>
      <c r="AD13796" s="3"/>
      <c r="AE13796" s="3"/>
      <c r="AF13796" s="3"/>
      <c r="AG13796" s="3"/>
      <c r="AH13796" s="3"/>
    </row>
    <row r="13797" spans="1:34" ht="14.25" customHeight="1" x14ac:dyDescent="0.25">
      <c r="A13797" s="3"/>
      <c r="B13797" s="3"/>
      <c r="C13797" s="3"/>
      <c r="D13797" s="3"/>
      <c r="E13797" s="3"/>
      <c r="F13797" s="3"/>
      <c r="G13797" s="3"/>
      <c r="H13797" s="11"/>
      <c r="I13797" s="12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  <c r="AA13797" s="3"/>
      <c r="AB13797" s="3"/>
      <c r="AC13797" s="3"/>
      <c r="AD13797" s="3"/>
      <c r="AE13797" s="3"/>
      <c r="AF13797" s="3"/>
      <c r="AG13797" s="3"/>
      <c r="AH13797" s="3"/>
    </row>
    <row r="13798" spans="1:34" ht="14.25" customHeight="1" x14ac:dyDescent="0.25">
      <c r="A13798" s="3"/>
      <c r="B13798" s="3"/>
      <c r="C13798" s="3"/>
      <c r="D13798" s="3"/>
      <c r="E13798" s="3"/>
      <c r="F13798" s="3"/>
      <c r="G13798" s="3"/>
      <c r="H13798" s="11"/>
      <c r="I13798" s="12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  <c r="AA13798" s="3"/>
      <c r="AB13798" s="3"/>
      <c r="AC13798" s="3"/>
      <c r="AD13798" s="3"/>
      <c r="AE13798" s="3"/>
      <c r="AF13798" s="3"/>
      <c r="AG13798" s="3"/>
      <c r="AH13798" s="3"/>
    </row>
    <row r="13799" spans="1:34" ht="14.25" customHeight="1" x14ac:dyDescent="0.25">
      <c r="A13799" s="3"/>
      <c r="B13799" s="3"/>
      <c r="C13799" s="3"/>
      <c r="D13799" s="3"/>
      <c r="E13799" s="3"/>
      <c r="F13799" s="3"/>
      <c r="G13799" s="3"/>
      <c r="H13799" s="11"/>
      <c r="I13799" s="12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  <c r="AA13799" s="3"/>
      <c r="AB13799" s="3"/>
      <c r="AC13799" s="3"/>
      <c r="AD13799" s="3"/>
      <c r="AE13799" s="3"/>
      <c r="AF13799" s="3"/>
      <c r="AG13799" s="3"/>
      <c r="AH13799" s="3"/>
    </row>
    <row r="13800" spans="1:34" ht="14.25" customHeight="1" x14ac:dyDescent="0.25">
      <c r="A13800" s="3"/>
      <c r="B13800" s="3"/>
      <c r="C13800" s="3"/>
      <c r="D13800" s="3"/>
      <c r="E13800" s="3"/>
      <c r="F13800" s="3"/>
      <c r="G13800" s="3"/>
      <c r="H13800" s="11"/>
      <c r="I13800" s="12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  <c r="AA13800" s="3"/>
      <c r="AB13800" s="3"/>
      <c r="AC13800" s="3"/>
      <c r="AD13800" s="3"/>
      <c r="AE13800" s="3"/>
      <c r="AF13800" s="3"/>
      <c r="AG13800" s="3"/>
      <c r="AH13800" s="3"/>
    </row>
    <row r="13801" spans="1:34" ht="14.25" customHeight="1" x14ac:dyDescent="0.25">
      <c r="A13801" s="3"/>
      <c r="B13801" s="3"/>
      <c r="C13801" s="3"/>
      <c r="D13801" s="3"/>
      <c r="E13801" s="3"/>
      <c r="F13801" s="3"/>
      <c r="G13801" s="3"/>
      <c r="H13801" s="11"/>
      <c r="I13801" s="12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  <c r="AA13801" s="3"/>
      <c r="AB13801" s="3"/>
      <c r="AC13801" s="3"/>
      <c r="AD13801" s="3"/>
      <c r="AE13801" s="3"/>
      <c r="AF13801" s="3"/>
      <c r="AG13801" s="3"/>
      <c r="AH13801" s="3"/>
    </row>
    <row r="13802" spans="1:34" ht="14.25" customHeight="1" x14ac:dyDescent="0.25">
      <c r="A13802" s="3"/>
      <c r="B13802" s="3"/>
      <c r="C13802" s="3"/>
      <c r="D13802" s="3"/>
      <c r="E13802" s="3"/>
      <c r="F13802" s="3"/>
      <c r="G13802" s="3"/>
      <c r="H13802" s="11"/>
      <c r="I13802" s="12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  <c r="AA13802" s="3"/>
      <c r="AB13802" s="3"/>
      <c r="AC13802" s="3"/>
      <c r="AD13802" s="3"/>
      <c r="AE13802" s="3"/>
      <c r="AF13802" s="3"/>
      <c r="AG13802" s="3"/>
      <c r="AH13802" s="3"/>
    </row>
    <row r="13803" spans="1:34" ht="14.25" customHeight="1" x14ac:dyDescent="0.25">
      <c r="A13803" s="3"/>
      <c r="B13803" s="3"/>
      <c r="C13803" s="3"/>
      <c r="D13803" s="3"/>
      <c r="E13803" s="3"/>
      <c r="F13803" s="3"/>
      <c r="G13803" s="3"/>
      <c r="H13803" s="11"/>
      <c r="I13803" s="12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  <c r="AA13803" s="3"/>
      <c r="AB13803" s="3"/>
      <c r="AC13803" s="3"/>
      <c r="AD13803" s="3"/>
      <c r="AE13803" s="3"/>
      <c r="AF13803" s="3"/>
      <c r="AG13803" s="3"/>
      <c r="AH13803" s="3"/>
    </row>
    <row r="13804" spans="1:34" ht="14.25" customHeight="1" x14ac:dyDescent="0.25">
      <c r="A13804" s="3"/>
      <c r="B13804" s="3"/>
      <c r="C13804" s="3"/>
      <c r="D13804" s="3"/>
      <c r="E13804" s="3"/>
      <c r="F13804" s="3"/>
      <c r="G13804" s="3"/>
      <c r="H13804" s="11"/>
      <c r="I13804" s="12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  <c r="AA13804" s="3"/>
      <c r="AB13804" s="3"/>
      <c r="AC13804" s="3"/>
      <c r="AD13804" s="3"/>
      <c r="AE13804" s="3"/>
      <c r="AF13804" s="3"/>
      <c r="AG13804" s="3"/>
      <c r="AH13804" s="3"/>
    </row>
    <row r="13805" spans="1:34" ht="14.25" customHeight="1" x14ac:dyDescent="0.25">
      <c r="A13805" s="3"/>
      <c r="B13805" s="3"/>
      <c r="C13805" s="3"/>
      <c r="D13805" s="3"/>
      <c r="E13805" s="3"/>
      <c r="F13805" s="3"/>
      <c r="G13805" s="3"/>
      <c r="H13805" s="11"/>
      <c r="I13805" s="12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  <c r="AA13805" s="3"/>
      <c r="AB13805" s="3"/>
      <c r="AC13805" s="3"/>
      <c r="AD13805" s="3"/>
      <c r="AE13805" s="3"/>
      <c r="AF13805" s="3"/>
      <c r="AG13805" s="3"/>
      <c r="AH13805" s="3"/>
    </row>
    <row r="13806" spans="1:34" ht="14.25" customHeight="1" x14ac:dyDescent="0.25">
      <c r="A13806" s="3"/>
      <c r="B13806" s="3"/>
      <c r="C13806" s="3"/>
      <c r="D13806" s="3"/>
      <c r="E13806" s="3"/>
      <c r="F13806" s="3"/>
      <c r="G13806" s="3"/>
      <c r="H13806" s="11"/>
      <c r="I13806" s="12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  <c r="AA13806" s="3"/>
      <c r="AB13806" s="3"/>
      <c r="AC13806" s="3"/>
      <c r="AD13806" s="3"/>
      <c r="AE13806" s="3"/>
      <c r="AF13806" s="3"/>
      <c r="AG13806" s="3"/>
      <c r="AH13806" s="3"/>
    </row>
    <row r="13807" spans="1:34" ht="14.25" customHeight="1" x14ac:dyDescent="0.25">
      <c r="A13807" s="3"/>
      <c r="B13807" s="3"/>
      <c r="C13807" s="3"/>
      <c r="D13807" s="3"/>
      <c r="E13807" s="3"/>
      <c r="F13807" s="3"/>
      <c r="G13807" s="3"/>
      <c r="H13807" s="11"/>
      <c r="I13807" s="12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  <c r="AA13807" s="3"/>
      <c r="AB13807" s="3"/>
      <c r="AC13807" s="3"/>
      <c r="AD13807" s="3"/>
      <c r="AE13807" s="3"/>
      <c r="AF13807" s="3"/>
      <c r="AG13807" s="3"/>
      <c r="AH13807" s="3"/>
    </row>
    <row r="13808" spans="1:34" ht="14.25" customHeight="1" x14ac:dyDescent="0.25">
      <c r="A13808" s="3"/>
      <c r="B13808" s="3"/>
      <c r="C13808" s="3"/>
      <c r="D13808" s="3"/>
      <c r="E13808" s="3"/>
      <c r="F13808" s="3"/>
      <c r="G13808" s="3"/>
      <c r="H13808" s="11"/>
      <c r="I13808" s="12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  <c r="AA13808" s="3"/>
      <c r="AB13808" s="3"/>
      <c r="AC13808" s="3"/>
      <c r="AD13808" s="3"/>
      <c r="AE13808" s="3"/>
      <c r="AF13808" s="3"/>
      <c r="AG13808" s="3"/>
      <c r="AH13808" s="3"/>
    </row>
    <row r="13809" spans="1:34" ht="14.25" customHeight="1" x14ac:dyDescent="0.25">
      <c r="A13809" s="3"/>
      <c r="B13809" s="3"/>
      <c r="C13809" s="3"/>
      <c r="D13809" s="3"/>
      <c r="E13809" s="3"/>
      <c r="F13809" s="3"/>
      <c r="G13809" s="3"/>
      <c r="H13809" s="11"/>
      <c r="I13809" s="12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  <c r="AA13809" s="3"/>
      <c r="AB13809" s="3"/>
      <c r="AC13809" s="3"/>
      <c r="AD13809" s="3"/>
      <c r="AE13809" s="3"/>
      <c r="AF13809" s="3"/>
      <c r="AG13809" s="3"/>
      <c r="AH13809" s="3"/>
    </row>
    <row r="13810" spans="1:34" ht="14.25" customHeight="1" x14ac:dyDescent="0.25">
      <c r="A13810" s="3"/>
      <c r="B13810" s="3"/>
      <c r="C13810" s="3"/>
      <c r="D13810" s="3"/>
      <c r="E13810" s="3"/>
      <c r="F13810" s="3"/>
      <c r="G13810" s="3"/>
      <c r="H13810" s="11"/>
      <c r="I13810" s="12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  <c r="AA13810" s="3"/>
      <c r="AB13810" s="3"/>
      <c r="AC13810" s="3"/>
      <c r="AD13810" s="3"/>
      <c r="AE13810" s="3"/>
      <c r="AF13810" s="3"/>
      <c r="AG13810" s="3"/>
      <c r="AH13810" s="3"/>
    </row>
    <row r="13811" spans="1:34" ht="14.25" customHeight="1" x14ac:dyDescent="0.25">
      <c r="A13811" s="3"/>
      <c r="B13811" s="3"/>
      <c r="C13811" s="3"/>
      <c r="D13811" s="3"/>
      <c r="E13811" s="3"/>
      <c r="F13811" s="3"/>
      <c r="G13811" s="3"/>
      <c r="H13811" s="11"/>
      <c r="I13811" s="12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  <c r="AA13811" s="3"/>
      <c r="AB13811" s="3"/>
      <c r="AC13811" s="3"/>
      <c r="AD13811" s="3"/>
      <c r="AE13811" s="3"/>
      <c r="AF13811" s="3"/>
      <c r="AG13811" s="3"/>
      <c r="AH13811" s="3"/>
    </row>
    <row r="13812" spans="1:34" ht="14.25" customHeight="1" x14ac:dyDescent="0.25">
      <c r="A13812" s="3"/>
      <c r="B13812" s="3"/>
      <c r="C13812" s="3"/>
      <c r="D13812" s="3"/>
      <c r="E13812" s="3"/>
      <c r="F13812" s="3"/>
      <c r="G13812" s="3"/>
      <c r="H13812" s="11"/>
      <c r="I13812" s="12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  <c r="AA13812" s="3"/>
      <c r="AB13812" s="3"/>
      <c r="AC13812" s="3"/>
      <c r="AD13812" s="3"/>
      <c r="AE13812" s="3"/>
      <c r="AF13812" s="3"/>
      <c r="AG13812" s="3"/>
      <c r="AH13812" s="3"/>
    </row>
    <row r="13813" spans="1:34" ht="14.25" customHeight="1" x14ac:dyDescent="0.25">
      <c r="A13813" s="3"/>
      <c r="B13813" s="3"/>
      <c r="C13813" s="3"/>
      <c r="D13813" s="3"/>
      <c r="E13813" s="3"/>
      <c r="F13813" s="3"/>
      <c r="G13813" s="3"/>
      <c r="H13813" s="11"/>
      <c r="I13813" s="12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  <c r="AA13813" s="3"/>
      <c r="AB13813" s="3"/>
      <c r="AC13813" s="3"/>
      <c r="AD13813" s="3"/>
      <c r="AE13813" s="3"/>
      <c r="AF13813" s="3"/>
      <c r="AG13813" s="3"/>
      <c r="AH13813" s="3"/>
    </row>
    <row r="13814" spans="1:34" ht="14.25" customHeight="1" x14ac:dyDescent="0.25">
      <c r="A13814" s="3"/>
      <c r="B13814" s="3"/>
      <c r="C13814" s="3"/>
      <c r="D13814" s="3"/>
      <c r="E13814" s="3"/>
      <c r="F13814" s="3"/>
      <c r="G13814" s="3"/>
      <c r="H13814" s="11"/>
      <c r="I13814" s="12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  <c r="AA13814" s="3"/>
      <c r="AB13814" s="3"/>
      <c r="AC13814" s="3"/>
      <c r="AD13814" s="3"/>
      <c r="AE13814" s="3"/>
      <c r="AF13814" s="3"/>
      <c r="AG13814" s="3"/>
      <c r="AH13814" s="3"/>
    </row>
    <row r="13815" spans="1:34" ht="14.25" customHeight="1" x14ac:dyDescent="0.25">
      <c r="A13815" s="3"/>
      <c r="B13815" s="3"/>
      <c r="C13815" s="3"/>
      <c r="D13815" s="3"/>
      <c r="E13815" s="3"/>
      <c r="F13815" s="3"/>
      <c r="G13815" s="3"/>
      <c r="H13815" s="11"/>
      <c r="I13815" s="12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  <c r="AA13815" s="3"/>
      <c r="AB13815" s="3"/>
      <c r="AC13815" s="3"/>
      <c r="AD13815" s="3"/>
      <c r="AE13815" s="3"/>
      <c r="AF13815" s="3"/>
      <c r="AG13815" s="3"/>
      <c r="AH13815" s="3"/>
    </row>
    <row r="13816" spans="1:34" ht="14.25" customHeight="1" x14ac:dyDescent="0.25">
      <c r="A13816" s="3"/>
      <c r="B13816" s="3"/>
      <c r="C13816" s="3"/>
      <c r="D13816" s="3"/>
      <c r="E13816" s="3"/>
      <c r="F13816" s="3"/>
      <c r="G13816" s="3"/>
      <c r="H13816" s="11"/>
      <c r="I13816" s="12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  <c r="AA13816" s="3"/>
      <c r="AB13816" s="3"/>
      <c r="AC13816" s="3"/>
      <c r="AD13816" s="3"/>
      <c r="AE13816" s="3"/>
      <c r="AF13816" s="3"/>
      <c r="AG13816" s="3"/>
      <c r="AH13816" s="3"/>
    </row>
    <row r="13817" spans="1:34" ht="14.25" customHeight="1" x14ac:dyDescent="0.25">
      <c r="A13817" s="3"/>
      <c r="B13817" s="3"/>
      <c r="C13817" s="3"/>
      <c r="D13817" s="3"/>
      <c r="E13817" s="3"/>
      <c r="F13817" s="3"/>
      <c r="G13817" s="3"/>
      <c r="H13817" s="11"/>
      <c r="I13817" s="12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  <c r="AA13817" s="3"/>
      <c r="AB13817" s="3"/>
      <c r="AC13817" s="3"/>
      <c r="AD13817" s="3"/>
      <c r="AE13817" s="3"/>
      <c r="AF13817" s="3"/>
      <c r="AG13817" s="3"/>
      <c r="AH13817" s="3"/>
    </row>
    <row r="13818" spans="1:34" ht="14.25" customHeight="1" x14ac:dyDescent="0.25">
      <c r="A13818" s="3"/>
      <c r="B13818" s="3"/>
      <c r="C13818" s="3"/>
      <c r="D13818" s="3"/>
      <c r="E13818" s="3"/>
      <c r="F13818" s="3"/>
      <c r="G13818" s="3"/>
      <c r="H13818" s="11"/>
      <c r="I13818" s="12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  <c r="AA13818" s="3"/>
      <c r="AB13818" s="3"/>
      <c r="AC13818" s="3"/>
      <c r="AD13818" s="3"/>
      <c r="AE13818" s="3"/>
      <c r="AF13818" s="3"/>
      <c r="AG13818" s="3"/>
      <c r="AH13818" s="3"/>
    </row>
    <row r="13819" spans="1:34" ht="14.25" customHeight="1" x14ac:dyDescent="0.25">
      <c r="A13819" s="3"/>
      <c r="B13819" s="3"/>
      <c r="C13819" s="3"/>
      <c r="D13819" s="3"/>
      <c r="E13819" s="3"/>
      <c r="F13819" s="3"/>
      <c r="G13819" s="3"/>
      <c r="H13819" s="11"/>
      <c r="I13819" s="12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  <c r="AA13819" s="3"/>
      <c r="AB13819" s="3"/>
      <c r="AC13819" s="3"/>
      <c r="AD13819" s="3"/>
      <c r="AE13819" s="3"/>
      <c r="AF13819" s="3"/>
      <c r="AG13819" s="3"/>
      <c r="AH13819" s="3"/>
    </row>
    <row r="13820" spans="1:34" ht="14.25" customHeight="1" x14ac:dyDescent="0.25">
      <c r="A13820" s="3"/>
      <c r="B13820" s="3"/>
      <c r="C13820" s="3"/>
      <c r="D13820" s="3"/>
      <c r="E13820" s="3"/>
      <c r="F13820" s="3"/>
      <c r="G13820" s="3"/>
      <c r="H13820" s="11"/>
      <c r="I13820" s="12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  <c r="AA13820" s="3"/>
      <c r="AB13820" s="3"/>
      <c r="AC13820" s="3"/>
      <c r="AD13820" s="3"/>
      <c r="AE13820" s="3"/>
      <c r="AF13820" s="3"/>
      <c r="AG13820" s="3"/>
      <c r="AH13820" s="3"/>
    </row>
    <row r="13821" spans="1:34" ht="14.25" customHeight="1" x14ac:dyDescent="0.25">
      <c r="A13821" s="3"/>
      <c r="B13821" s="3"/>
      <c r="C13821" s="3"/>
      <c r="D13821" s="3"/>
      <c r="E13821" s="3"/>
      <c r="F13821" s="3"/>
      <c r="G13821" s="3"/>
      <c r="H13821" s="11"/>
      <c r="I13821" s="12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  <c r="AA13821" s="3"/>
      <c r="AB13821" s="3"/>
      <c r="AC13821" s="3"/>
      <c r="AD13821" s="3"/>
      <c r="AE13821" s="3"/>
      <c r="AF13821" s="3"/>
      <c r="AG13821" s="3"/>
      <c r="AH13821" s="3"/>
    </row>
    <row r="13822" spans="1:34" ht="14.25" customHeight="1" x14ac:dyDescent="0.25">
      <c r="A13822" s="3"/>
      <c r="B13822" s="3"/>
      <c r="C13822" s="3"/>
      <c r="D13822" s="3"/>
      <c r="E13822" s="3"/>
      <c r="F13822" s="3"/>
      <c r="G13822" s="3"/>
      <c r="H13822" s="11"/>
      <c r="I13822" s="12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  <c r="AA13822" s="3"/>
      <c r="AB13822" s="3"/>
      <c r="AC13822" s="3"/>
      <c r="AD13822" s="3"/>
      <c r="AE13822" s="3"/>
      <c r="AF13822" s="3"/>
      <c r="AG13822" s="3"/>
      <c r="AH13822" s="3"/>
    </row>
    <row r="13823" spans="1:34" ht="14.25" customHeight="1" x14ac:dyDescent="0.25">
      <c r="A13823" s="3"/>
      <c r="B13823" s="3"/>
      <c r="C13823" s="3"/>
      <c r="D13823" s="3"/>
      <c r="E13823" s="3"/>
      <c r="F13823" s="3"/>
      <c r="G13823" s="3"/>
      <c r="H13823" s="11"/>
      <c r="I13823" s="12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  <c r="AA13823" s="3"/>
      <c r="AB13823" s="3"/>
      <c r="AC13823" s="3"/>
      <c r="AD13823" s="3"/>
      <c r="AE13823" s="3"/>
      <c r="AF13823" s="3"/>
      <c r="AG13823" s="3"/>
      <c r="AH13823" s="3"/>
    </row>
    <row r="13824" spans="1:34" ht="14.25" customHeight="1" x14ac:dyDescent="0.25">
      <c r="A13824" s="3"/>
      <c r="B13824" s="3"/>
      <c r="C13824" s="3"/>
      <c r="D13824" s="3"/>
      <c r="E13824" s="3"/>
      <c r="F13824" s="3"/>
      <c r="G13824" s="3"/>
      <c r="H13824" s="11"/>
      <c r="I13824" s="12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  <c r="AA13824" s="3"/>
      <c r="AB13824" s="3"/>
      <c r="AC13824" s="3"/>
      <c r="AD13824" s="3"/>
      <c r="AE13824" s="3"/>
      <c r="AF13824" s="3"/>
      <c r="AG13824" s="3"/>
      <c r="AH13824" s="3"/>
    </row>
    <row r="13825" spans="1:34" ht="14.25" customHeight="1" x14ac:dyDescent="0.25">
      <c r="A13825" s="3"/>
      <c r="B13825" s="3"/>
      <c r="C13825" s="3"/>
      <c r="D13825" s="3"/>
      <c r="E13825" s="3"/>
      <c r="F13825" s="3"/>
      <c r="G13825" s="3"/>
      <c r="H13825" s="11"/>
      <c r="I13825" s="12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  <c r="AA13825" s="3"/>
      <c r="AB13825" s="3"/>
      <c r="AC13825" s="3"/>
      <c r="AD13825" s="3"/>
      <c r="AE13825" s="3"/>
      <c r="AF13825" s="3"/>
      <c r="AG13825" s="3"/>
      <c r="AH13825" s="3"/>
    </row>
    <row r="13826" spans="1:34" ht="14.25" customHeight="1" x14ac:dyDescent="0.25">
      <c r="A13826" s="3"/>
      <c r="B13826" s="3"/>
      <c r="C13826" s="3"/>
      <c r="D13826" s="3"/>
      <c r="E13826" s="3"/>
      <c r="F13826" s="3"/>
      <c r="G13826" s="3"/>
      <c r="H13826" s="11"/>
      <c r="I13826" s="12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  <c r="AA13826" s="3"/>
      <c r="AB13826" s="3"/>
      <c r="AC13826" s="3"/>
      <c r="AD13826" s="3"/>
      <c r="AE13826" s="3"/>
      <c r="AF13826" s="3"/>
      <c r="AG13826" s="3"/>
      <c r="AH13826" s="3"/>
    </row>
    <row r="13827" spans="1:34" ht="14.25" customHeight="1" x14ac:dyDescent="0.25">
      <c r="A13827" s="3"/>
      <c r="B13827" s="3"/>
      <c r="C13827" s="3"/>
      <c r="D13827" s="3"/>
      <c r="E13827" s="3"/>
      <c r="F13827" s="3"/>
      <c r="G13827" s="3"/>
      <c r="H13827" s="11"/>
      <c r="I13827" s="12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  <c r="AA13827" s="3"/>
      <c r="AB13827" s="3"/>
      <c r="AC13827" s="3"/>
      <c r="AD13827" s="3"/>
      <c r="AE13827" s="3"/>
      <c r="AF13827" s="3"/>
      <c r="AG13827" s="3"/>
      <c r="AH13827" s="3"/>
    </row>
    <row r="13828" spans="1:34" ht="14.25" customHeight="1" x14ac:dyDescent="0.25">
      <c r="A13828" s="3"/>
      <c r="B13828" s="3"/>
      <c r="C13828" s="3"/>
      <c r="D13828" s="3"/>
      <c r="E13828" s="3"/>
      <c r="F13828" s="3"/>
      <c r="G13828" s="3"/>
      <c r="H13828" s="11"/>
      <c r="I13828" s="12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  <c r="AA13828" s="3"/>
      <c r="AB13828" s="3"/>
      <c r="AC13828" s="3"/>
      <c r="AD13828" s="3"/>
      <c r="AE13828" s="3"/>
      <c r="AF13828" s="3"/>
      <c r="AG13828" s="3"/>
      <c r="AH13828" s="3"/>
    </row>
    <row r="13829" spans="1:34" ht="14.25" customHeight="1" x14ac:dyDescent="0.25">
      <c r="A13829" s="3"/>
      <c r="B13829" s="3"/>
      <c r="C13829" s="3"/>
      <c r="D13829" s="3"/>
      <c r="E13829" s="3"/>
      <c r="F13829" s="3"/>
      <c r="G13829" s="3"/>
      <c r="H13829" s="11"/>
      <c r="I13829" s="12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  <c r="AA13829" s="3"/>
      <c r="AB13829" s="3"/>
      <c r="AC13829" s="3"/>
      <c r="AD13829" s="3"/>
      <c r="AE13829" s="3"/>
      <c r="AF13829" s="3"/>
      <c r="AG13829" s="3"/>
      <c r="AH13829" s="3"/>
    </row>
    <row r="13830" spans="1:34" ht="14.25" customHeight="1" x14ac:dyDescent="0.25">
      <c r="A13830" s="3"/>
      <c r="B13830" s="3"/>
      <c r="C13830" s="3"/>
      <c r="D13830" s="3"/>
      <c r="E13830" s="3"/>
      <c r="F13830" s="3"/>
      <c r="G13830" s="3"/>
      <c r="H13830" s="11"/>
      <c r="I13830" s="12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  <c r="AA13830" s="3"/>
      <c r="AB13830" s="3"/>
      <c r="AC13830" s="3"/>
      <c r="AD13830" s="3"/>
      <c r="AE13830" s="3"/>
      <c r="AF13830" s="3"/>
      <c r="AG13830" s="3"/>
      <c r="AH13830" s="3"/>
    </row>
    <row r="13831" spans="1:34" ht="14.25" customHeight="1" x14ac:dyDescent="0.25">
      <c r="A13831" s="3"/>
      <c r="B13831" s="3"/>
      <c r="C13831" s="3"/>
      <c r="D13831" s="3"/>
      <c r="E13831" s="3"/>
      <c r="F13831" s="3"/>
      <c r="G13831" s="3"/>
      <c r="H13831" s="11"/>
      <c r="I13831" s="12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  <c r="AA13831" s="3"/>
      <c r="AB13831" s="3"/>
      <c r="AC13831" s="3"/>
      <c r="AD13831" s="3"/>
      <c r="AE13831" s="3"/>
      <c r="AF13831" s="3"/>
      <c r="AG13831" s="3"/>
      <c r="AH13831" s="3"/>
    </row>
    <row r="13832" spans="1:34" ht="14.25" customHeight="1" x14ac:dyDescent="0.25">
      <c r="A13832" s="3"/>
      <c r="B13832" s="3"/>
      <c r="C13832" s="3"/>
      <c r="D13832" s="3"/>
      <c r="E13832" s="3"/>
      <c r="F13832" s="3"/>
      <c r="G13832" s="3"/>
      <c r="H13832" s="11"/>
      <c r="I13832" s="12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  <c r="AA13832" s="3"/>
      <c r="AB13832" s="3"/>
      <c r="AC13832" s="3"/>
      <c r="AD13832" s="3"/>
      <c r="AE13832" s="3"/>
      <c r="AF13832" s="3"/>
      <c r="AG13832" s="3"/>
      <c r="AH13832" s="3"/>
    </row>
    <row r="13833" spans="1:34" ht="14.25" customHeight="1" x14ac:dyDescent="0.25">
      <c r="A13833" s="3"/>
      <c r="B13833" s="3"/>
      <c r="C13833" s="3"/>
      <c r="D13833" s="3"/>
      <c r="E13833" s="3"/>
      <c r="F13833" s="3"/>
      <c r="G13833" s="3"/>
      <c r="H13833" s="11"/>
      <c r="I13833" s="12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  <c r="AA13833" s="3"/>
      <c r="AB13833" s="3"/>
      <c r="AC13833" s="3"/>
      <c r="AD13833" s="3"/>
      <c r="AE13833" s="3"/>
      <c r="AF13833" s="3"/>
      <c r="AG13833" s="3"/>
      <c r="AH13833" s="3"/>
    </row>
    <row r="13834" spans="1:34" ht="14.25" customHeight="1" x14ac:dyDescent="0.25">
      <c r="A13834" s="3"/>
      <c r="B13834" s="3"/>
      <c r="C13834" s="3"/>
      <c r="D13834" s="3"/>
      <c r="E13834" s="3"/>
      <c r="F13834" s="3"/>
      <c r="G13834" s="3"/>
      <c r="H13834" s="11"/>
      <c r="I13834" s="12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  <c r="AA13834" s="3"/>
      <c r="AB13834" s="3"/>
      <c r="AC13834" s="3"/>
      <c r="AD13834" s="3"/>
      <c r="AE13834" s="3"/>
      <c r="AF13834" s="3"/>
      <c r="AG13834" s="3"/>
      <c r="AH13834" s="3"/>
    </row>
    <row r="13835" spans="1:34" ht="14.25" customHeight="1" x14ac:dyDescent="0.25">
      <c r="A13835" s="3"/>
      <c r="B13835" s="3"/>
      <c r="C13835" s="3"/>
      <c r="D13835" s="3"/>
      <c r="E13835" s="3"/>
      <c r="F13835" s="3"/>
      <c r="G13835" s="3"/>
      <c r="H13835" s="11"/>
      <c r="I13835" s="12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  <c r="AA13835" s="3"/>
      <c r="AB13835" s="3"/>
      <c r="AC13835" s="3"/>
      <c r="AD13835" s="3"/>
      <c r="AE13835" s="3"/>
      <c r="AF13835" s="3"/>
      <c r="AG13835" s="3"/>
      <c r="AH13835" s="3"/>
    </row>
    <row r="13836" spans="1:34" ht="14.25" customHeight="1" x14ac:dyDescent="0.25">
      <c r="A13836" s="3"/>
      <c r="B13836" s="3"/>
      <c r="C13836" s="3"/>
      <c r="D13836" s="3"/>
      <c r="E13836" s="3"/>
      <c r="F13836" s="3"/>
      <c r="G13836" s="3"/>
      <c r="H13836" s="11"/>
      <c r="I13836" s="12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  <c r="AA13836" s="3"/>
      <c r="AB13836" s="3"/>
      <c r="AC13836" s="3"/>
      <c r="AD13836" s="3"/>
      <c r="AE13836" s="3"/>
      <c r="AF13836" s="3"/>
      <c r="AG13836" s="3"/>
      <c r="AH13836" s="3"/>
    </row>
    <row r="13837" spans="1:34" ht="14.25" customHeight="1" x14ac:dyDescent="0.25">
      <c r="A13837" s="3"/>
      <c r="B13837" s="3"/>
      <c r="C13837" s="3"/>
      <c r="D13837" s="3"/>
      <c r="E13837" s="3"/>
      <c r="F13837" s="3"/>
      <c r="G13837" s="3"/>
      <c r="H13837" s="11"/>
      <c r="I13837" s="12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  <c r="AA13837" s="3"/>
      <c r="AB13837" s="3"/>
      <c r="AC13837" s="3"/>
      <c r="AD13837" s="3"/>
      <c r="AE13837" s="3"/>
      <c r="AF13837" s="3"/>
      <c r="AG13837" s="3"/>
      <c r="AH13837" s="3"/>
    </row>
    <row r="13838" spans="1:34" ht="14.25" customHeight="1" x14ac:dyDescent="0.25">
      <c r="A13838" s="3"/>
      <c r="B13838" s="3"/>
      <c r="C13838" s="3"/>
      <c r="D13838" s="3"/>
      <c r="E13838" s="3"/>
      <c r="F13838" s="3"/>
      <c r="G13838" s="3"/>
      <c r="H13838" s="11"/>
      <c r="I13838" s="12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  <c r="AA13838" s="3"/>
      <c r="AB13838" s="3"/>
      <c r="AC13838" s="3"/>
      <c r="AD13838" s="3"/>
      <c r="AE13838" s="3"/>
      <c r="AF13838" s="3"/>
      <c r="AG13838" s="3"/>
      <c r="AH13838" s="3"/>
    </row>
    <row r="13839" spans="1:34" ht="14.25" customHeight="1" x14ac:dyDescent="0.25">
      <c r="A13839" s="3"/>
      <c r="B13839" s="3"/>
      <c r="C13839" s="3"/>
      <c r="D13839" s="3"/>
      <c r="E13839" s="3"/>
      <c r="F13839" s="3"/>
      <c r="G13839" s="3"/>
      <c r="H13839" s="11"/>
      <c r="I13839" s="12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  <c r="AA13839" s="3"/>
      <c r="AB13839" s="3"/>
      <c r="AC13839" s="3"/>
      <c r="AD13839" s="3"/>
      <c r="AE13839" s="3"/>
      <c r="AF13839" s="3"/>
      <c r="AG13839" s="3"/>
      <c r="AH13839" s="3"/>
    </row>
    <row r="13840" spans="1:34" ht="14.25" customHeight="1" x14ac:dyDescent="0.25">
      <c r="A13840" s="3"/>
      <c r="B13840" s="3"/>
      <c r="C13840" s="3"/>
      <c r="D13840" s="3"/>
      <c r="E13840" s="3"/>
      <c r="F13840" s="3"/>
      <c r="G13840" s="3"/>
      <c r="H13840" s="11"/>
      <c r="I13840" s="12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  <c r="AA13840" s="3"/>
      <c r="AB13840" s="3"/>
      <c r="AC13840" s="3"/>
      <c r="AD13840" s="3"/>
      <c r="AE13840" s="3"/>
      <c r="AF13840" s="3"/>
      <c r="AG13840" s="3"/>
      <c r="AH13840" s="3"/>
    </row>
    <row r="13841" spans="1:34" ht="14.25" customHeight="1" x14ac:dyDescent="0.25">
      <c r="A13841" s="3"/>
      <c r="B13841" s="3"/>
      <c r="C13841" s="3"/>
      <c r="D13841" s="3"/>
      <c r="E13841" s="3"/>
      <c r="F13841" s="3"/>
      <c r="G13841" s="3"/>
      <c r="H13841" s="11"/>
      <c r="I13841" s="12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  <c r="AA13841" s="3"/>
      <c r="AB13841" s="3"/>
      <c r="AC13841" s="3"/>
      <c r="AD13841" s="3"/>
      <c r="AE13841" s="3"/>
      <c r="AF13841" s="3"/>
      <c r="AG13841" s="3"/>
      <c r="AH13841" s="3"/>
    </row>
    <row r="13842" spans="1:34" ht="14.25" customHeight="1" x14ac:dyDescent="0.25">
      <c r="A13842" s="3"/>
      <c r="B13842" s="3"/>
      <c r="C13842" s="3"/>
      <c r="D13842" s="3"/>
      <c r="E13842" s="3"/>
      <c r="F13842" s="3"/>
      <c r="G13842" s="3"/>
      <c r="H13842" s="11"/>
      <c r="I13842" s="12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  <c r="AA13842" s="3"/>
      <c r="AB13842" s="3"/>
      <c r="AC13842" s="3"/>
      <c r="AD13842" s="3"/>
      <c r="AE13842" s="3"/>
      <c r="AF13842" s="3"/>
      <c r="AG13842" s="3"/>
      <c r="AH13842" s="3"/>
    </row>
    <row r="13843" spans="1:34" ht="14.25" customHeight="1" x14ac:dyDescent="0.25">
      <c r="A13843" s="3"/>
      <c r="B13843" s="3"/>
      <c r="C13843" s="3"/>
      <c r="D13843" s="3"/>
      <c r="E13843" s="3"/>
      <c r="F13843" s="3"/>
      <c r="G13843" s="3"/>
      <c r="H13843" s="11"/>
      <c r="I13843" s="12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  <c r="AA13843" s="3"/>
      <c r="AB13843" s="3"/>
      <c r="AC13843" s="3"/>
      <c r="AD13843" s="3"/>
      <c r="AE13843" s="3"/>
      <c r="AF13843" s="3"/>
      <c r="AG13843" s="3"/>
      <c r="AH13843" s="3"/>
    </row>
    <row r="13844" spans="1:34" ht="14.25" customHeight="1" x14ac:dyDescent="0.25">
      <c r="A13844" s="3"/>
      <c r="B13844" s="3"/>
      <c r="C13844" s="3"/>
      <c r="D13844" s="3"/>
      <c r="E13844" s="3"/>
      <c r="F13844" s="3"/>
      <c r="G13844" s="3"/>
      <c r="H13844" s="11"/>
      <c r="I13844" s="12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  <c r="AA13844" s="3"/>
      <c r="AB13844" s="3"/>
      <c r="AC13844" s="3"/>
      <c r="AD13844" s="3"/>
      <c r="AE13844" s="3"/>
      <c r="AF13844" s="3"/>
      <c r="AG13844" s="3"/>
      <c r="AH13844" s="3"/>
    </row>
    <row r="13845" spans="1:34" ht="14.25" customHeight="1" x14ac:dyDescent="0.25">
      <c r="A13845" s="3"/>
      <c r="B13845" s="3"/>
      <c r="C13845" s="3"/>
      <c r="D13845" s="3"/>
      <c r="E13845" s="3"/>
      <c r="F13845" s="3"/>
      <c r="G13845" s="3"/>
      <c r="H13845" s="11"/>
      <c r="I13845" s="12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  <c r="AA13845" s="3"/>
      <c r="AB13845" s="3"/>
      <c r="AC13845" s="3"/>
      <c r="AD13845" s="3"/>
      <c r="AE13845" s="3"/>
      <c r="AF13845" s="3"/>
      <c r="AG13845" s="3"/>
      <c r="AH13845" s="3"/>
    </row>
    <row r="13846" spans="1:34" ht="14.25" customHeight="1" x14ac:dyDescent="0.25">
      <c r="A13846" s="3"/>
      <c r="B13846" s="3"/>
      <c r="C13846" s="3"/>
      <c r="D13846" s="3"/>
      <c r="E13846" s="3"/>
      <c r="F13846" s="3"/>
      <c r="G13846" s="3"/>
      <c r="H13846" s="11"/>
      <c r="I13846" s="12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  <c r="AA13846" s="3"/>
      <c r="AB13846" s="3"/>
      <c r="AC13846" s="3"/>
      <c r="AD13846" s="3"/>
      <c r="AE13846" s="3"/>
      <c r="AF13846" s="3"/>
      <c r="AG13846" s="3"/>
      <c r="AH13846" s="3"/>
    </row>
    <row r="13847" spans="1:34" ht="14.25" customHeight="1" x14ac:dyDescent="0.25">
      <c r="A13847" s="3"/>
      <c r="B13847" s="3"/>
      <c r="C13847" s="3"/>
      <c r="D13847" s="3"/>
      <c r="E13847" s="3"/>
      <c r="F13847" s="3"/>
      <c r="G13847" s="3"/>
      <c r="H13847" s="11"/>
      <c r="I13847" s="12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  <c r="AA13847" s="3"/>
      <c r="AB13847" s="3"/>
      <c r="AC13847" s="3"/>
      <c r="AD13847" s="3"/>
      <c r="AE13847" s="3"/>
      <c r="AF13847" s="3"/>
      <c r="AG13847" s="3"/>
      <c r="AH13847" s="3"/>
    </row>
    <row r="13848" spans="1:34" ht="14.25" customHeight="1" x14ac:dyDescent="0.25">
      <c r="A13848" s="3"/>
      <c r="B13848" s="3"/>
      <c r="C13848" s="3"/>
      <c r="D13848" s="3"/>
      <c r="E13848" s="3"/>
      <c r="F13848" s="3"/>
      <c r="G13848" s="3"/>
      <c r="H13848" s="11"/>
      <c r="I13848" s="12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  <c r="AA13848" s="3"/>
      <c r="AB13848" s="3"/>
      <c r="AC13848" s="3"/>
      <c r="AD13848" s="3"/>
      <c r="AE13848" s="3"/>
      <c r="AF13848" s="3"/>
      <c r="AG13848" s="3"/>
      <c r="AH13848" s="3"/>
    </row>
    <row r="13849" spans="1:34" ht="14.25" customHeight="1" x14ac:dyDescent="0.25">
      <c r="A13849" s="3"/>
      <c r="B13849" s="3"/>
      <c r="C13849" s="3"/>
      <c r="D13849" s="3"/>
      <c r="E13849" s="3"/>
      <c r="F13849" s="3"/>
      <c r="G13849" s="3"/>
      <c r="H13849" s="11"/>
      <c r="I13849" s="12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  <c r="AA13849" s="3"/>
      <c r="AB13849" s="3"/>
      <c r="AC13849" s="3"/>
      <c r="AD13849" s="3"/>
      <c r="AE13849" s="3"/>
      <c r="AF13849" s="3"/>
      <c r="AG13849" s="3"/>
      <c r="AH13849" s="3"/>
    </row>
    <row r="13850" spans="1:34" ht="14.25" customHeight="1" x14ac:dyDescent="0.25">
      <c r="A13850" s="3"/>
      <c r="B13850" s="3"/>
      <c r="C13850" s="3"/>
      <c r="D13850" s="3"/>
      <c r="E13850" s="3"/>
      <c r="F13850" s="3"/>
      <c r="G13850" s="3"/>
      <c r="H13850" s="11"/>
      <c r="I13850" s="12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  <c r="AA13850" s="3"/>
      <c r="AB13850" s="3"/>
      <c r="AC13850" s="3"/>
      <c r="AD13850" s="3"/>
      <c r="AE13850" s="3"/>
      <c r="AF13850" s="3"/>
      <c r="AG13850" s="3"/>
      <c r="AH13850" s="3"/>
    </row>
    <row r="13851" spans="1:34" ht="14.25" customHeight="1" x14ac:dyDescent="0.25">
      <c r="A13851" s="3"/>
      <c r="B13851" s="3"/>
      <c r="C13851" s="3"/>
      <c r="D13851" s="3"/>
      <c r="E13851" s="3"/>
      <c r="F13851" s="3"/>
      <c r="G13851" s="3"/>
      <c r="H13851" s="11"/>
      <c r="I13851" s="12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  <c r="AA13851" s="3"/>
      <c r="AB13851" s="3"/>
      <c r="AC13851" s="3"/>
      <c r="AD13851" s="3"/>
      <c r="AE13851" s="3"/>
      <c r="AF13851" s="3"/>
      <c r="AG13851" s="3"/>
      <c r="AH13851" s="3"/>
    </row>
    <row r="13852" spans="1:34" ht="14.25" customHeight="1" x14ac:dyDescent="0.25">
      <c r="A13852" s="3"/>
      <c r="B13852" s="3"/>
      <c r="C13852" s="3"/>
      <c r="D13852" s="3"/>
      <c r="E13852" s="3"/>
      <c r="F13852" s="3"/>
      <c r="G13852" s="3"/>
      <c r="H13852" s="11"/>
      <c r="I13852" s="12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  <c r="AA13852" s="3"/>
      <c r="AB13852" s="3"/>
      <c r="AC13852" s="3"/>
      <c r="AD13852" s="3"/>
      <c r="AE13852" s="3"/>
      <c r="AF13852" s="3"/>
      <c r="AG13852" s="3"/>
      <c r="AH13852" s="3"/>
    </row>
    <row r="13853" spans="1:34" ht="14.25" customHeight="1" x14ac:dyDescent="0.25">
      <c r="A13853" s="3"/>
      <c r="B13853" s="3"/>
      <c r="C13853" s="3"/>
      <c r="D13853" s="3"/>
      <c r="E13853" s="3"/>
      <c r="F13853" s="3"/>
      <c r="G13853" s="3"/>
      <c r="H13853" s="11"/>
      <c r="I13853" s="12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  <c r="AA13853" s="3"/>
      <c r="AB13853" s="3"/>
      <c r="AC13853" s="3"/>
      <c r="AD13853" s="3"/>
      <c r="AE13853" s="3"/>
      <c r="AF13853" s="3"/>
      <c r="AG13853" s="3"/>
      <c r="AH13853" s="3"/>
    </row>
    <row r="13854" spans="1:34" ht="14.25" customHeight="1" x14ac:dyDescent="0.25">
      <c r="A13854" s="3"/>
      <c r="B13854" s="3"/>
      <c r="C13854" s="3"/>
      <c r="D13854" s="3"/>
      <c r="E13854" s="3"/>
      <c r="F13854" s="3"/>
      <c r="G13854" s="3"/>
      <c r="H13854" s="11"/>
      <c r="I13854" s="12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  <c r="AA13854" s="3"/>
      <c r="AB13854" s="3"/>
      <c r="AC13854" s="3"/>
      <c r="AD13854" s="3"/>
      <c r="AE13854" s="3"/>
      <c r="AF13854" s="3"/>
      <c r="AG13854" s="3"/>
      <c r="AH13854" s="3"/>
    </row>
    <row r="13855" spans="1:34" ht="14.25" customHeight="1" x14ac:dyDescent="0.25">
      <c r="A13855" s="3"/>
      <c r="B13855" s="3"/>
      <c r="C13855" s="3"/>
      <c r="D13855" s="3"/>
      <c r="E13855" s="3"/>
      <c r="F13855" s="3"/>
      <c r="G13855" s="3"/>
      <c r="H13855" s="11"/>
      <c r="I13855" s="12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  <c r="AA13855" s="3"/>
      <c r="AB13855" s="3"/>
      <c r="AC13855" s="3"/>
      <c r="AD13855" s="3"/>
      <c r="AE13855" s="3"/>
      <c r="AF13855" s="3"/>
      <c r="AG13855" s="3"/>
      <c r="AH13855" s="3"/>
    </row>
    <row r="13856" spans="1:34" ht="14.25" customHeight="1" x14ac:dyDescent="0.25">
      <c r="A13856" s="3"/>
      <c r="B13856" s="3"/>
      <c r="C13856" s="3"/>
      <c r="D13856" s="3"/>
      <c r="E13856" s="3"/>
      <c r="F13856" s="3"/>
      <c r="G13856" s="3"/>
      <c r="H13856" s="11"/>
      <c r="I13856" s="12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  <c r="AA13856" s="3"/>
      <c r="AB13856" s="3"/>
      <c r="AC13856" s="3"/>
      <c r="AD13856" s="3"/>
      <c r="AE13856" s="3"/>
      <c r="AF13856" s="3"/>
      <c r="AG13856" s="3"/>
      <c r="AH13856" s="3"/>
    </row>
    <row r="13857" spans="1:34" ht="14.25" customHeight="1" x14ac:dyDescent="0.25">
      <c r="A13857" s="3"/>
      <c r="B13857" s="3"/>
      <c r="C13857" s="3"/>
      <c r="D13857" s="3"/>
      <c r="E13857" s="3"/>
      <c r="F13857" s="3"/>
      <c r="G13857" s="3"/>
      <c r="H13857" s="11"/>
      <c r="I13857" s="12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  <c r="AA13857" s="3"/>
      <c r="AB13857" s="3"/>
      <c r="AC13857" s="3"/>
      <c r="AD13857" s="3"/>
      <c r="AE13857" s="3"/>
      <c r="AF13857" s="3"/>
      <c r="AG13857" s="3"/>
      <c r="AH13857" s="3"/>
    </row>
    <row r="13858" spans="1:34" ht="14.25" customHeight="1" x14ac:dyDescent="0.25">
      <c r="A13858" s="3"/>
      <c r="B13858" s="3"/>
      <c r="C13858" s="3"/>
      <c r="D13858" s="3"/>
      <c r="E13858" s="3"/>
      <c r="F13858" s="3"/>
      <c r="G13858" s="3"/>
      <c r="H13858" s="11"/>
      <c r="I13858" s="12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  <c r="AA13858" s="3"/>
      <c r="AB13858" s="3"/>
      <c r="AC13858" s="3"/>
      <c r="AD13858" s="3"/>
      <c r="AE13858" s="3"/>
      <c r="AF13858" s="3"/>
      <c r="AG13858" s="3"/>
      <c r="AH13858" s="3"/>
    </row>
    <row r="13859" spans="1:34" ht="14.25" customHeight="1" x14ac:dyDescent="0.25">
      <c r="A13859" s="3"/>
      <c r="B13859" s="3"/>
      <c r="C13859" s="3"/>
      <c r="D13859" s="3"/>
      <c r="E13859" s="3"/>
      <c r="F13859" s="3"/>
      <c r="G13859" s="3"/>
      <c r="H13859" s="11"/>
      <c r="I13859" s="12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  <c r="AA13859" s="3"/>
      <c r="AB13859" s="3"/>
      <c r="AC13859" s="3"/>
      <c r="AD13859" s="3"/>
      <c r="AE13859" s="3"/>
      <c r="AF13859" s="3"/>
      <c r="AG13859" s="3"/>
      <c r="AH13859" s="3"/>
    </row>
    <row r="13860" spans="1:34" ht="14.25" customHeight="1" x14ac:dyDescent="0.25">
      <c r="A13860" s="3"/>
      <c r="B13860" s="3"/>
      <c r="C13860" s="3"/>
      <c r="D13860" s="3"/>
      <c r="E13860" s="3"/>
      <c r="F13860" s="3"/>
      <c r="G13860" s="3"/>
      <c r="H13860" s="11"/>
      <c r="I13860" s="12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  <c r="AA13860" s="3"/>
      <c r="AB13860" s="3"/>
      <c r="AC13860" s="3"/>
      <c r="AD13860" s="3"/>
      <c r="AE13860" s="3"/>
      <c r="AF13860" s="3"/>
      <c r="AG13860" s="3"/>
      <c r="AH13860" s="3"/>
    </row>
    <row r="13861" spans="1:34" ht="14.25" customHeight="1" x14ac:dyDescent="0.25">
      <c r="A13861" s="3"/>
      <c r="B13861" s="3"/>
      <c r="C13861" s="3"/>
      <c r="D13861" s="3"/>
      <c r="E13861" s="3"/>
      <c r="F13861" s="3"/>
      <c r="G13861" s="3"/>
      <c r="H13861" s="11"/>
      <c r="I13861" s="12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  <c r="AA13861" s="3"/>
      <c r="AB13861" s="3"/>
      <c r="AC13861" s="3"/>
      <c r="AD13861" s="3"/>
      <c r="AE13861" s="3"/>
      <c r="AF13861" s="3"/>
      <c r="AG13861" s="3"/>
      <c r="AH13861" s="3"/>
    </row>
    <row r="13862" spans="1:34" ht="14.25" customHeight="1" x14ac:dyDescent="0.25">
      <c r="A13862" s="3"/>
      <c r="B13862" s="3"/>
      <c r="C13862" s="3"/>
      <c r="D13862" s="3"/>
      <c r="E13862" s="3"/>
      <c r="F13862" s="3"/>
      <c r="G13862" s="3"/>
      <c r="H13862" s="11"/>
      <c r="I13862" s="12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  <c r="AA13862" s="3"/>
      <c r="AB13862" s="3"/>
      <c r="AC13862" s="3"/>
      <c r="AD13862" s="3"/>
      <c r="AE13862" s="3"/>
      <c r="AF13862" s="3"/>
      <c r="AG13862" s="3"/>
      <c r="AH13862" s="3"/>
    </row>
    <row r="13863" spans="1:34" ht="14.25" customHeight="1" x14ac:dyDescent="0.25">
      <c r="A13863" s="3"/>
      <c r="B13863" s="3"/>
      <c r="C13863" s="3"/>
      <c r="D13863" s="3"/>
      <c r="E13863" s="3"/>
      <c r="F13863" s="3"/>
      <c r="G13863" s="3"/>
      <c r="H13863" s="11"/>
      <c r="I13863" s="12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  <c r="AA13863" s="3"/>
      <c r="AB13863" s="3"/>
      <c r="AC13863" s="3"/>
      <c r="AD13863" s="3"/>
      <c r="AE13863" s="3"/>
      <c r="AF13863" s="3"/>
      <c r="AG13863" s="3"/>
      <c r="AH13863" s="3"/>
    </row>
    <row r="13864" spans="1:34" ht="14.25" customHeight="1" x14ac:dyDescent="0.25">
      <c r="A13864" s="3"/>
      <c r="B13864" s="3"/>
      <c r="C13864" s="3"/>
      <c r="D13864" s="3"/>
      <c r="E13864" s="3"/>
      <c r="F13864" s="3"/>
      <c r="G13864" s="3"/>
      <c r="H13864" s="11"/>
      <c r="I13864" s="12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  <c r="AA13864" s="3"/>
      <c r="AB13864" s="3"/>
      <c r="AC13864" s="3"/>
      <c r="AD13864" s="3"/>
      <c r="AE13864" s="3"/>
      <c r="AF13864" s="3"/>
      <c r="AG13864" s="3"/>
      <c r="AH13864" s="3"/>
    </row>
    <row r="13865" spans="1:34" ht="14.25" customHeight="1" x14ac:dyDescent="0.25">
      <c r="A13865" s="3"/>
      <c r="B13865" s="3"/>
      <c r="C13865" s="3"/>
      <c r="D13865" s="3"/>
      <c r="E13865" s="3"/>
      <c r="F13865" s="3"/>
      <c r="G13865" s="3"/>
      <c r="H13865" s="11"/>
      <c r="I13865" s="12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  <c r="AA13865" s="3"/>
      <c r="AB13865" s="3"/>
      <c r="AC13865" s="3"/>
      <c r="AD13865" s="3"/>
      <c r="AE13865" s="3"/>
      <c r="AF13865" s="3"/>
      <c r="AG13865" s="3"/>
      <c r="AH13865" s="3"/>
    </row>
    <row r="13866" spans="1:34" ht="14.25" customHeight="1" x14ac:dyDescent="0.25">
      <c r="A13866" s="3"/>
      <c r="B13866" s="3"/>
      <c r="C13866" s="3"/>
      <c r="D13866" s="3"/>
      <c r="E13866" s="3"/>
      <c r="F13866" s="3"/>
      <c r="G13866" s="3"/>
      <c r="H13866" s="11"/>
      <c r="I13866" s="12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  <c r="AA13866" s="3"/>
      <c r="AB13866" s="3"/>
      <c r="AC13866" s="3"/>
      <c r="AD13866" s="3"/>
      <c r="AE13866" s="3"/>
      <c r="AF13866" s="3"/>
      <c r="AG13866" s="3"/>
      <c r="AH13866" s="3"/>
    </row>
    <row r="13867" spans="1:34" ht="14.25" customHeight="1" x14ac:dyDescent="0.25">
      <c r="A13867" s="3"/>
      <c r="B13867" s="3"/>
      <c r="C13867" s="3"/>
      <c r="D13867" s="3"/>
      <c r="E13867" s="3"/>
      <c r="F13867" s="3"/>
      <c r="G13867" s="3"/>
      <c r="H13867" s="11"/>
      <c r="I13867" s="12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  <c r="AA13867" s="3"/>
      <c r="AB13867" s="3"/>
      <c r="AC13867" s="3"/>
      <c r="AD13867" s="3"/>
      <c r="AE13867" s="3"/>
      <c r="AF13867" s="3"/>
      <c r="AG13867" s="3"/>
      <c r="AH13867" s="3"/>
    </row>
    <row r="13868" spans="1:34" ht="14.25" customHeight="1" x14ac:dyDescent="0.25">
      <c r="A13868" s="3"/>
      <c r="B13868" s="3"/>
      <c r="C13868" s="3"/>
      <c r="D13868" s="3"/>
      <c r="E13868" s="3"/>
      <c r="F13868" s="3"/>
      <c r="G13868" s="3"/>
      <c r="H13868" s="11"/>
      <c r="I13868" s="12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  <c r="AA13868" s="3"/>
      <c r="AB13868" s="3"/>
      <c r="AC13868" s="3"/>
      <c r="AD13868" s="3"/>
      <c r="AE13868" s="3"/>
      <c r="AF13868" s="3"/>
      <c r="AG13868" s="3"/>
      <c r="AH13868" s="3"/>
    </row>
    <row r="13869" spans="1:34" ht="14.25" customHeight="1" x14ac:dyDescent="0.25">
      <c r="A13869" s="3"/>
      <c r="B13869" s="3"/>
      <c r="C13869" s="3"/>
      <c r="D13869" s="3"/>
      <c r="E13869" s="3"/>
      <c r="F13869" s="3"/>
      <c r="G13869" s="3"/>
      <c r="H13869" s="11"/>
      <c r="I13869" s="12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  <c r="AA13869" s="3"/>
      <c r="AB13869" s="3"/>
      <c r="AC13869" s="3"/>
      <c r="AD13869" s="3"/>
      <c r="AE13869" s="3"/>
      <c r="AF13869" s="3"/>
      <c r="AG13869" s="3"/>
      <c r="AH13869" s="3"/>
    </row>
    <row r="13870" spans="1:34" ht="14.25" customHeight="1" x14ac:dyDescent="0.25">
      <c r="A13870" s="3"/>
      <c r="B13870" s="3"/>
      <c r="C13870" s="3"/>
      <c r="D13870" s="3"/>
      <c r="E13870" s="3"/>
      <c r="F13870" s="3"/>
      <c r="G13870" s="3"/>
      <c r="H13870" s="11"/>
      <c r="I13870" s="12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  <c r="AA13870" s="3"/>
      <c r="AB13870" s="3"/>
      <c r="AC13870" s="3"/>
      <c r="AD13870" s="3"/>
      <c r="AE13870" s="3"/>
      <c r="AF13870" s="3"/>
      <c r="AG13870" s="3"/>
      <c r="AH13870" s="3"/>
    </row>
    <row r="13871" spans="1:34" ht="14.25" customHeight="1" x14ac:dyDescent="0.25">
      <c r="A13871" s="3"/>
      <c r="B13871" s="3"/>
      <c r="C13871" s="3"/>
      <c r="D13871" s="3"/>
      <c r="E13871" s="3"/>
      <c r="F13871" s="3"/>
      <c r="G13871" s="3"/>
      <c r="H13871" s="11"/>
      <c r="I13871" s="12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  <c r="AA13871" s="3"/>
      <c r="AB13871" s="3"/>
      <c r="AC13871" s="3"/>
      <c r="AD13871" s="3"/>
      <c r="AE13871" s="3"/>
      <c r="AF13871" s="3"/>
      <c r="AG13871" s="3"/>
      <c r="AH13871" s="3"/>
    </row>
    <row r="13872" spans="1:34" ht="14.25" customHeight="1" x14ac:dyDescent="0.25">
      <c r="A13872" s="3"/>
      <c r="B13872" s="3"/>
      <c r="C13872" s="3"/>
      <c r="D13872" s="3"/>
      <c r="E13872" s="3"/>
      <c r="F13872" s="3"/>
      <c r="G13872" s="3"/>
      <c r="H13872" s="11"/>
      <c r="I13872" s="12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  <c r="AA13872" s="3"/>
      <c r="AB13872" s="3"/>
      <c r="AC13872" s="3"/>
      <c r="AD13872" s="3"/>
      <c r="AE13872" s="3"/>
      <c r="AF13872" s="3"/>
      <c r="AG13872" s="3"/>
      <c r="AH13872" s="3"/>
    </row>
    <row r="13873" spans="1:34" ht="14.25" customHeight="1" x14ac:dyDescent="0.25">
      <c r="A13873" s="3"/>
      <c r="B13873" s="3"/>
      <c r="C13873" s="3"/>
      <c r="D13873" s="3"/>
      <c r="E13873" s="3"/>
      <c r="F13873" s="3"/>
      <c r="G13873" s="3"/>
      <c r="H13873" s="11"/>
      <c r="I13873" s="12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  <c r="AA13873" s="3"/>
      <c r="AB13873" s="3"/>
      <c r="AC13873" s="3"/>
      <c r="AD13873" s="3"/>
      <c r="AE13873" s="3"/>
      <c r="AF13873" s="3"/>
      <c r="AG13873" s="3"/>
      <c r="AH13873" s="3"/>
    </row>
    <row r="13874" spans="1:34" ht="14.25" customHeight="1" x14ac:dyDescent="0.25">
      <c r="A13874" s="3"/>
      <c r="B13874" s="3"/>
      <c r="C13874" s="3"/>
      <c r="D13874" s="3"/>
      <c r="E13874" s="3"/>
      <c r="F13874" s="3"/>
      <c r="G13874" s="3"/>
      <c r="H13874" s="11"/>
      <c r="I13874" s="12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  <c r="AA13874" s="3"/>
      <c r="AB13874" s="3"/>
      <c r="AC13874" s="3"/>
      <c r="AD13874" s="3"/>
      <c r="AE13874" s="3"/>
      <c r="AF13874" s="3"/>
      <c r="AG13874" s="3"/>
      <c r="AH13874" s="3"/>
    </row>
    <row r="13875" spans="1:34" ht="14.25" customHeight="1" x14ac:dyDescent="0.25">
      <c r="A13875" s="3"/>
      <c r="B13875" s="3"/>
      <c r="C13875" s="3"/>
      <c r="D13875" s="3"/>
      <c r="E13875" s="3"/>
      <c r="F13875" s="3"/>
      <c r="G13875" s="3"/>
      <c r="H13875" s="11"/>
      <c r="I13875" s="12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  <c r="AA13875" s="3"/>
      <c r="AB13875" s="3"/>
      <c r="AC13875" s="3"/>
      <c r="AD13875" s="3"/>
      <c r="AE13875" s="3"/>
      <c r="AF13875" s="3"/>
      <c r="AG13875" s="3"/>
      <c r="AH13875" s="3"/>
    </row>
    <row r="13876" spans="1:34" ht="14.25" customHeight="1" x14ac:dyDescent="0.25">
      <c r="A13876" s="3"/>
      <c r="B13876" s="3"/>
      <c r="C13876" s="3"/>
      <c r="D13876" s="3"/>
      <c r="E13876" s="3"/>
      <c r="F13876" s="3"/>
      <c r="G13876" s="3"/>
      <c r="H13876" s="11"/>
      <c r="I13876" s="12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  <c r="AA13876" s="3"/>
      <c r="AB13876" s="3"/>
      <c r="AC13876" s="3"/>
      <c r="AD13876" s="3"/>
      <c r="AE13876" s="3"/>
      <c r="AF13876" s="3"/>
      <c r="AG13876" s="3"/>
      <c r="AH13876" s="3"/>
    </row>
    <row r="13877" spans="1:34" ht="14.25" customHeight="1" x14ac:dyDescent="0.25">
      <c r="A13877" s="3"/>
      <c r="B13877" s="3"/>
      <c r="C13877" s="3"/>
      <c r="D13877" s="3"/>
      <c r="E13877" s="3"/>
      <c r="F13877" s="3"/>
      <c r="G13877" s="3"/>
      <c r="H13877" s="11"/>
      <c r="I13877" s="12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  <c r="AA13877" s="3"/>
      <c r="AB13877" s="3"/>
      <c r="AC13877" s="3"/>
      <c r="AD13877" s="3"/>
      <c r="AE13877" s="3"/>
      <c r="AF13877" s="3"/>
      <c r="AG13877" s="3"/>
      <c r="AH13877" s="3"/>
    </row>
    <row r="13878" spans="1:34" ht="14.25" customHeight="1" x14ac:dyDescent="0.25">
      <c r="A13878" s="3"/>
      <c r="B13878" s="3"/>
      <c r="C13878" s="3"/>
      <c r="D13878" s="3"/>
      <c r="E13878" s="3"/>
      <c r="F13878" s="3"/>
      <c r="G13878" s="3"/>
      <c r="H13878" s="11"/>
      <c r="I13878" s="12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  <c r="AA13878" s="3"/>
      <c r="AB13878" s="3"/>
      <c r="AC13878" s="3"/>
      <c r="AD13878" s="3"/>
      <c r="AE13878" s="3"/>
      <c r="AF13878" s="3"/>
      <c r="AG13878" s="3"/>
      <c r="AH13878" s="3"/>
    </row>
    <row r="13879" spans="1:34" ht="14.25" customHeight="1" x14ac:dyDescent="0.25">
      <c r="A13879" s="3"/>
      <c r="B13879" s="3"/>
      <c r="C13879" s="3"/>
      <c r="D13879" s="3"/>
      <c r="E13879" s="3"/>
      <c r="F13879" s="3"/>
      <c r="G13879" s="3"/>
      <c r="H13879" s="11"/>
      <c r="I13879" s="12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  <c r="AA13879" s="3"/>
      <c r="AB13879" s="3"/>
      <c r="AC13879" s="3"/>
      <c r="AD13879" s="3"/>
      <c r="AE13879" s="3"/>
      <c r="AF13879" s="3"/>
      <c r="AG13879" s="3"/>
      <c r="AH13879" s="3"/>
    </row>
    <row r="13880" spans="1:34" ht="14.25" customHeight="1" x14ac:dyDescent="0.25">
      <c r="A13880" s="3"/>
      <c r="B13880" s="3"/>
      <c r="C13880" s="3"/>
      <c r="D13880" s="3"/>
      <c r="E13880" s="3"/>
      <c r="F13880" s="3"/>
      <c r="G13880" s="3"/>
      <c r="H13880" s="11"/>
      <c r="I13880" s="12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  <c r="AA13880" s="3"/>
      <c r="AB13880" s="3"/>
      <c r="AC13880" s="3"/>
      <c r="AD13880" s="3"/>
      <c r="AE13880" s="3"/>
      <c r="AF13880" s="3"/>
      <c r="AG13880" s="3"/>
      <c r="AH13880" s="3"/>
    </row>
    <row r="13881" spans="1:34" ht="14.25" customHeight="1" x14ac:dyDescent="0.25">
      <c r="A13881" s="3"/>
      <c r="B13881" s="3"/>
      <c r="C13881" s="3"/>
      <c r="D13881" s="3"/>
      <c r="E13881" s="3"/>
      <c r="F13881" s="3"/>
      <c r="G13881" s="3"/>
      <c r="H13881" s="11"/>
      <c r="I13881" s="12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  <c r="AA13881" s="3"/>
      <c r="AB13881" s="3"/>
      <c r="AC13881" s="3"/>
      <c r="AD13881" s="3"/>
      <c r="AE13881" s="3"/>
      <c r="AF13881" s="3"/>
      <c r="AG13881" s="3"/>
      <c r="AH13881" s="3"/>
    </row>
    <row r="13882" spans="1:34" ht="14.25" customHeight="1" x14ac:dyDescent="0.25">
      <c r="A13882" s="3"/>
      <c r="B13882" s="3"/>
      <c r="C13882" s="3"/>
      <c r="D13882" s="3"/>
      <c r="E13882" s="3"/>
      <c r="F13882" s="3"/>
      <c r="G13882" s="3"/>
      <c r="H13882" s="11"/>
      <c r="I13882" s="12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  <c r="AA13882" s="3"/>
      <c r="AB13882" s="3"/>
      <c r="AC13882" s="3"/>
      <c r="AD13882" s="3"/>
      <c r="AE13882" s="3"/>
      <c r="AF13882" s="3"/>
      <c r="AG13882" s="3"/>
      <c r="AH13882" s="3"/>
    </row>
    <row r="13883" spans="1:34" ht="14.25" customHeight="1" x14ac:dyDescent="0.25">
      <c r="A13883" s="3"/>
      <c r="B13883" s="3"/>
      <c r="C13883" s="3"/>
      <c r="D13883" s="3"/>
      <c r="E13883" s="3"/>
      <c r="F13883" s="3"/>
      <c r="G13883" s="3"/>
      <c r="H13883" s="11"/>
      <c r="I13883" s="12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  <c r="AA13883" s="3"/>
      <c r="AB13883" s="3"/>
      <c r="AC13883" s="3"/>
      <c r="AD13883" s="3"/>
      <c r="AE13883" s="3"/>
      <c r="AF13883" s="3"/>
      <c r="AG13883" s="3"/>
      <c r="AH13883" s="3"/>
    </row>
    <row r="13884" spans="1:34" ht="14.25" customHeight="1" x14ac:dyDescent="0.25">
      <c r="A13884" s="3"/>
      <c r="B13884" s="3"/>
      <c r="C13884" s="3"/>
      <c r="D13884" s="3"/>
      <c r="E13884" s="3"/>
      <c r="F13884" s="3"/>
      <c r="G13884" s="3"/>
      <c r="H13884" s="11"/>
      <c r="I13884" s="12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  <c r="AA13884" s="3"/>
      <c r="AB13884" s="3"/>
      <c r="AC13884" s="3"/>
      <c r="AD13884" s="3"/>
      <c r="AE13884" s="3"/>
      <c r="AF13884" s="3"/>
      <c r="AG13884" s="3"/>
      <c r="AH13884" s="3"/>
    </row>
    <row r="13885" spans="1:34" ht="14.25" customHeight="1" x14ac:dyDescent="0.25">
      <c r="A13885" s="3"/>
      <c r="B13885" s="3"/>
      <c r="C13885" s="3"/>
      <c r="D13885" s="3"/>
      <c r="E13885" s="3"/>
      <c r="F13885" s="3"/>
      <c r="G13885" s="3"/>
      <c r="H13885" s="11"/>
      <c r="I13885" s="12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  <c r="AA13885" s="3"/>
      <c r="AB13885" s="3"/>
      <c r="AC13885" s="3"/>
      <c r="AD13885" s="3"/>
      <c r="AE13885" s="3"/>
      <c r="AF13885" s="3"/>
      <c r="AG13885" s="3"/>
      <c r="AH13885" s="3"/>
    </row>
    <row r="13886" spans="1:34" ht="14.25" customHeight="1" x14ac:dyDescent="0.25">
      <c r="A13886" s="3"/>
      <c r="B13886" s="3"/>
      <c r="C13886" s="3"/>
      <c r="D13886" s="3"/>
      <c r="E13886" s="3"/>
      <c r="F13886" s="3"/>
      <c r="G13886" s="3"/>
      <c r="H13886" s="11"/>
      <c r="I13886" s="12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  <c r="AA13886" s="3"/>
      <c r="AB13886" s="3"/>
      <c r="AC13886" s="3"/>
      <c r="AD13886" s="3"/>
      <c r="AE13886" s="3"/>
      <c r="AF13886" s="3"/>
      <c r="AG13886" s="3"/>
      <c r="AH13886" s="3"/>
    </row>
    <row r="13887" spans="1:34" ht="14.25" customHeight="1" x14ac:dyDescent="0.25">
      <c r="A13887" s="3"/>
      <c r="B13887" s="3"/>
      <c r="C13887" s="3"/>
      <c r="D13887" s="3"/>
      <c r="E13887" s="3"/>
      <c r="F13887" s="3"/>
      <c r="G13887" s="3"/>
      <c r="H13887" s="11"/>
      <c r="I13887" s="12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  <c r="AA13887" s="3"/>
      <c r="AB13887" s="3"/>
      <c r="AC13887" s="3"/>
      <c r="AD13887" s="3"/>
      <c r="AE13887" s="3"/>
      <c r="AF13887" s="3"/>
      <c r="AG13887" s="3"/>
      <c r="AH13887" s="3"/>
    </row>
    <row r="13888" spans="1:34" ht="14.25" customHeight="1" x14ac:dyDescent="0.25">
      <c r="A13888" s="3"/>
      <c r="B13888" s="3"/>
      <c r="C13888" s="3"/>
      <c r="D13888" s="3"/>
      <c r="E13888" s="3"/>
      <c r="F13888" s="3"/>
      <c r="G13888" s="3"/>
      <c r="H13888" s="11"/>
      <c r="I13888" s="12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  <c r="AA13888" s="3"/>
      <c r="AB13888" s="3"/>
      <c r="AC13888" s="3"/>
      <c r="AD13888" s="3"/>
      <c r="AE13888" s="3"/>
      <c r="AF13888" s="3"/>
      <c r="AG13888" s="3"/>
      <c r="AH13888" s="3"/>
    </row>
    <row r="13889" spans="1:34" ht="14.25" customHeight="1" x14ac:dyDescent="0.25">
      <c r="A13889" s="3"/>
      <c r="B13889" s="3"/>
      <c r="C13889" s="3"/>
      <c r="D13889" s="3"/>
      <c r="E13889" s="3"/>
      <c r="F13889" s="3"/>
      <c r="G13889" s="3"/>
      <c r="H13889" s="11"/>
      <c r="I13889" s="12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  <c r="AA13889" s="3"/>
      <c r="AB13889" s="3"/>
      <c r="AC13889" s="3"/>
      <c r="AD13889" s="3"/>
      <c r="AE13889" s="3"/>
      <c r="AF13889" s="3"/>
      <c r="AG13889" s="3"/>
      <c r="AH13889" s="3"/>
    </row>
    <row r="13890" spans="1:34" ht="14.25" customHeight="1" x14ac:dyDescent="0.25">
      <c r="A13890" s="3"/>
      <c r="B13890" s="3"/>
      <c r="C13890" s="3"/>
      <c r="D13890" s="3"/>
      <c r="E13890" s="3"/>
      <c r="F13890" s="3"/>
      <c r="G13890" s="3"/>
      <c r="H13890" s="11"/>
      <c r="I13890" s="12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  <c r="AA13890" s="3"/>
      <c r="AB13890" s="3"/>
      <c r="AC13890" s="3"/>
      <c r="AD13890" s="3"/>
      <c r="AE13890" s="3"/>
      <c r="AF13890" s="3"/>
      <c r="AG13890" s="3"/>
      <c r="AH13890" s="3"/>
    </row>
    <row r="13891" spans="1:34" ht="14.25" customHeight="1" x14ac:dyDescent="0.25">
      <c r="A13891" s="3"/>
      <c r="B13891" s="3"/>
      <c r="C13891" s="3"/>
      <c r="D13891" s="3"/>
      <c r="E13891" s="3"/>
      <c r="F13891" s="3"/>
      <c r="G13891" s="3"/>
      <c r="H13891" s="11"/>
      <c r="I13891" s="12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  <c r="AA13891" s="3"/>
      <c r="AB13891" s="3"/>
      <c r="AC13891" s="3"/>
      <c r="AD13891" s="3"/>
      <c r="AE13891" s="3"/>
      <c r="AF13891" s="3"/>
      <c r="AG13891" s="3"/>
      <c r="AH13891" s="3"/>
    </row>
    <row r="13892" spans="1:34" ht="14.25" customHeight="1" x14ac:dyDescent="0.25">
      <c r="A13892" s="3"/>
      <c r="B13892" s="3"/>
      <c r="C13892" s="3"/>
      <c r="D13892" s="3"/>
      <c r="E13892" s="3"/>
      <c r="F13892" s="3"/>
      <c r="G13892" s="3"/>
      <c r="H13892" s="11"/>
      <c r="I13892" s="12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  <c r="AA13892" s="3"/>
      <c r="AB13892" s="3"/>
      <c r="AC13892" s="3"/>
      <c r="AD13892" s="3"/>
      <c r="AE13892" s="3"/>
      <c r="AF13892" s="3"/>
      <c r="AG13892" s="3"/>
      <c r="AH13892" s="3"/>
    </row>
    <row r="13893" spans="1:34" ht="14.25" customHeight="1" x14ac:dyDescent="0.25">
      <c r="A13893" s="3"/>
      <c r="B13893" s="3"/>
      <c r="C13893" s="3"/>
      <c r="D13893" s="3"/>
      <c r="E13893" s="3"/>
      <c r="F13893" s="3"/>
      <c r="G13893" s="3"/>
      <c r="H13893" s="11"/>
      <c r="I13893" s="12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  <c r="AA13893" s="3"/>
      <c r="AB13893" s="3"/>
      <c r="AC13893" s="3"/>
      <c r="AD13893" s="3"/>
      <c r="AE13893" s="3"/>
      <c r="AF13893" s="3"/>
      <c r="AG13893" s="3"/>
      <c r="AH13893" s="3"/>
    </row>
    <row r="13894" spans="1:34" ht="14.25" customHeight="1" x14ac:dyDescent="0.25">
      <c r="A13894" s="3"/>
      <c r="B13894" s="3"/>
      <c r="C13894" s="3"/>
      <c r="D13894" s="3"/>
      <c r="E13894" s="3"/>
      <c r="F13894" s="3"/>
      <c r="G13894" s="3"/>
      <c r="H13894" s="11"/>
      <c r="I13894" s="12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  <c r="AA13894" s="3"/>
      <c r="AB13894" s="3"/>
      <c r="AC13894" s="3"/>
      <c r="AD13894" s="3"/>
      <c r="AE13894" s="3"/>
      <c r="AF13894" s="3"/>
      <c r="AG13894" s="3"/>
      <c r="AH13894" s="3"/>
    </row>
    <row r="13895" spans="1:34" ht="14.25" customHeight="1" x14ac:dyDescent="0.25">
      <c r="A13895" s="3"/>
      <c r="B13895" s="3"/>
      <c r="C13895" s="3"/>
      <c r="D13895" s="3"/>
      <c r="E13895" s="3"/>
      <c r="F13895" s="3"/>
      <c r="G13895" s="3"/>
      <c r="H13895" s="11"/>
      <c r="I13895" s="12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  <c r="AA13895" s="3"/>
      <c r="AB13895" s="3"/>
      <c r="AC13895" s="3"/>
      <c r="AD13895" s="3"/>
      <c r="AE13895" s="3"/>
      <c r="AF13895" s="3"/>
      <c r="AG13895" s="3"/>
      <c r="AH13895" s="3"/>
    </row>
    <row r="13896" spans="1:34" ht="14.25" customHeight="1" x14ac:dyDescent="0.25">
      <c r="A13896" s="3"/>
      <c r="B13896" s="3"/>
      <c r="C13896" s="3"/>
      <c r="D13896" s="3"/>
      <c r="E13896" s="3"/>
      <c r="F13896" s="3"/>
      <c r="G13896" s="3"/>
      <c r="H13896" s="11"/>
      <c r="I13896" s="12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  <c r="AA13896" s="3"/>
      <c r="AB13896" s="3"/>
      <c r="AC13896" s="3"/>
      <c r="AD13896" s="3"/>
      <c r="AE13896" s="3"/>
      <c r="AF13896" s="3"/>
      <c r="AG13896" s="3"/>
      <c r="AH13896" s="3"/>
    </row>
    <row r="13897" spans="1:34" ht="14.25" customHeight="1" x14ac:dyDescent="0.25">
      <c r="A13897" s="3"/>
      <c r="B13897" s="3"/>
      <c r="C13897" s="3"/>
      <c r="D13897" s="3"/>
      <c r="E13897" s="3"/>
      <c r="F13897" s="3"/>
      <c r="G13897" s="3"/>
      <c r="H13897" s="11"/>
      <c r="I13897" s="12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  <c r="AA13897" s="3"/>
      <c r="AB13897" s="3"/>
      <c r="AC13897" s="3"/>
      <c r="AD13897" s="3"/>
      <c r="AE13897" s="3"/>
      <c r="AF13897" s="3"/>
      <c r="AG13897" s="3"/>
      <c r="AH13897" s="3"/>
    </row>
    <row r="13898" spans="1:34" ht="14.25" customHeight="1" x14ac:dyDescent="0.25">
      <c r="A13898" s="3"/>
      <c r="B13898" s="3"/>
      <c r="C13898" s="3"/>
      <c r="D13898" s="3"/>
      <c r="E13898" s="3"/>
      <c r="F13898" s="3"/>
      <c r="G13898" s="3"/>
      <c r="H13898" s="11"/>
      <c r="I13898" s="12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  <c r="AA13898" s="3"/>
      <c r="AB13898" s="3"/>
      <c r="AC13898" s="3"/>
      <c r="AD13898" s="3"/>
      <c r="AE13898" s="3"/>
      <c r="AF13898" s="3"/>
      <c r="AG13898" s="3"/>
      <c r="AH13898" s="3"/>
    </row>
    <row r="13899" spans="1:34" ht="14.25" customHeight="1" x14ac:dyDescent="0.25">
      <c r="A13899" s="3"/>
      <c r="B13899" s="3"/>
      <c r="C13899" s="3"/>
      <c r="D13899" s="3"/>
      <c r="E13899" s="3"/>
      <c r="F13899" s="3"/>
      <c r="G13899" s="3"/>
      <c r="H13899" s="11"/>
      <c r="I13899" s="12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  <c r="AA13899" s="3"/>
      <c r="AB13899" s="3"/>
      <c r="AC13899" s="3"/>
      <c r="AD13899" s="3"/>
      <c r="AE13899" s="3"/>
      <c r="AF13899" s="3"/>
      <c r="AG13899" s="3"/>
      <c r="AH13899" s="3"/>
    </row>
    <row r="13900" spans="1:34" ht="14.25" customHeight="1" x14ac:dyDescent="0.25">
      <c r="A13900" s="3"/>
      <c r="B13900" s="3"/>
      <c r="C13900" s="3"/>
      <c r="D13900" s="3"/>
      <c r="E13900" s="3"/>
      <c r="F13900" s="3"/>
      <c r="G13900" s="3"/>
      <c r="H13900" s="11"/>
      <c r="I13900" s="12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  <c r="AA13900" s="3"/>
      <c r="AB13900" s="3"/>
      <c r="AC13900" s="3"/>
      <c r="AD13900" s="3"/>
      <c r="AE13900" s="3"/>
      <c r="AF13900" s="3"/>
      <c r="AG13900" s="3"/>
      <c r="AH13900" s="3"/>
    </row>
    <row r="13901" spans="1:34" ht="14.25" customHeight="1" x14ac:dyDescent="0.25">
      <c r="A13901" s="3"/>
      <c r="B13901" s="3"/>
      <c r="C13901" s="3"/>
      <c r="D13901" s="3"/>
      <c r="E13901" s="3"/>
      <c r="F13901" s="3"/>
      <c r="G13901" s="3"/>
      <c r="H13901" s="11"/>
      <c r="I13901" s="12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  <c r="AA13901" s="3"/>
      <c r="AB13901" s="3"/>
      <c r="AC13901" s="3"/>
      <c r="AD13901" s="3"/>
      <c r="AE13901" s="3"/>
      <c r="AF13901" s="3"/>
      <c r="AG13901" s="3"/>
      <c r="AH13901" s="3"/>
    </row>
    <row r="13902" spans="1:34" ht="14.25" customHeight="1" x14ac:dyDescent="0.25">
      <c r="A13902" s="3"/>
      <c r="B13902" s="3"/>
      <c r="C13902" s="3"/>
      <c r="D13902" s="3"/>
      <c r="E13902" s="3"/>
      <c r="F13902" s="3"/>
      <c r="G13902" s="3"/>
      <c r="H13902" s="11"/>
      <c r="I13902" s="12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  <c r="AA13902" s="3"/>
      <c r="AB13902" s="3"/>
      <c r="AC13902" s="3"/>
      <c r="AD13902" s="3"/>
      <c r="AE13902" s="3"/>
      <c r="AF13902" s="3"/>
      <c r="AG13902" s="3"/>
      <c r="AH13902" s="3"/>
    </row>
    <row r="13903" spans="1:34" ht="14.25" customHeight="1" x14ac:dyDescent="0.25">
      <c r="A13903" s="3"/>
      <c r="B13903" s="3"/>
      <c r="C13903" s="3"/>
      <c r="D13903" s="3"/>
      <c r="E13903" s="3"/>
      <c r="F13903" s="3"/>
      <c r="G13903" s="3"/>
      <c r="H13903" s="11"/>
      <c r="I13903" s="12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  <c r="AA13903" s="3"/>
      <c r="AB13903" s="3"/>
      <c r="AC13903" s="3"/>
      <c r="AD13903" s="3"/>
      <c r="AE13903" s="3"/>
      <c r="AF13903" s="3"/>
      <c r="AG13903" s="3"/>
      <c r="AH13903" s="3"/>
    </row>
    <row r="13904" spans="1:34" ht="14.25" customHeight="1" x14ac:dyDescent="0.25">
      <c r="A13904" s="3"/>
      <c r="B13904" s="3"/>
      <c r="C13904" s="3"/>
      <c r="D13904" s="3"/>
      <c r="E13904" s="3"/>
      <c r="F13904" s="3"/>
      <c r="G13904" s="3"/>
      <c r="H13904" s="11"/>
      <c r="I13904" s="12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  <c r="AA13904" s="3"/>
      <c r="AB13904" s="3"/>
      <c r="AC13904" s="3"/>
      <c r="AD13904" s="3"/>
      <c r="AE13904" s="3"/>
      <c r="AF13904" s="3"/>
      <c r="AG13904" s="3"/>
      <c r="AH13904" s="3"/>
    </row>
    <row r="13905" spans="1:34" ht="14.25" customHeight="1" x14ac:dyDescent="0.25">
      <c r="A13905" s="3"/>
      <c r="B13905" s="3"/>
      <c r="C13905" s="3"/>
      <c r="D13905" s="3"/>
      <c r="E13905" s="3"/>
      <c r="F13905" s="3"/>
      <c r="G13905" s="3"/>
      <c r="H13905" s="11"/>
      <c r="I13905" s="12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  <c r="AA13905" s="3"/>
      <c r="AB13905" s="3"/>
      <c r="AC13905" s="3"/>
      <c r="AD13905" s="3"/>
      <c r="AE13905" s="3"/>
      <c r="AF13905" s="3"/>
      <c r="AG13905" s="3"/>
      <c r="AH13905" s="3"/>
    </row>
    <row r="13906" spans="1:34" ht="14.25" customHeight="1" x14ac:dyDescent="0.25">
      <c r="A13906" s="3"/>
      <c r="B13906" s="3"/>
      <c r="C13906" s="3"/>
      <c r="D13906" s="3"/>
      <c r="E13906" s="3"/>
      <c r="F13906" s="3"/>
      <c r="G13906" s="3"/>
      <c r="H13906" s="11"/>
      <c r="I13906" s="12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  <c r="AA13906" s="3"/>
      <c r="AB13906" s="3"/>
      <c r="AC13906" s="3"/>
      <c r="AD13906" s="3"/>
      <c r="AE13906" s="3"/>
      <c r="AF13906" s="3"/>
      <c r="AG13906" s="3"/>
      <c r="AH13906" s="3"/>
    </row>
    <row r="13907" spans="1:34" ht="14.25" customHeight="1" x14ac:dyDescent="0.25">
      <c r="A13907" s="3"/>
      <c r="B13907" s="3"/>
      <c r="C13907" s="3"/>
      <c r="D13907" s="3"/>
      <c r="E13907" s="3"/>
      <c r="F13907" s="3"/>
      <c r="G13907" s="3"/>
      <c r="H13907" s="11"/>
      <c r="I13907" s="12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  <c r="AA13907" s="3"/>
      <c r="AB13907" s="3"/>
      <c r="AC13907" s="3"/>
      <c r="AD13907" s="3"/>
      <c r="AE13907" s="3"/>
      <c r="AF13907" s="3"/>
      <c r="AG13907" s="3"/>
      <c r="AH13907" s="3"/>
    </row>
    <row r="13908" spans="1:34" ht="14.25" customHeight="1" x14ac:dyDescent="0.25">
      <c r="A13908" s="3"/>
      <c r="B13908" s="3"/>
      <c r="C13908" s="3"/>
      <c r="D13908" s="3"/>
      <c r="E13908" s="3"/>
      <c r="F13908" s="3"/>
      <c r="G13908" s="3"/>
      <c r="H13908" s="11"/>
      <c r="I13908" s="12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  <c r="AA13908" s="3"/>
      <c r="AB13908" s="3"/>
      <c r="AC13908" s="3"/>
      <c r="AD13908" s="3"/>
      <c r="AE13908" s="3"/>
      <c r="AF13908" s="3"/>
      <c r="AG13908" s="3"/>
      <c r="AH13908" s="3"/>
    </row>
    <row r="13909" spans="1:34" ht="14.25" customHeight="1" x14ac:dyDescent="0.25">
      <c r="A13909" s="3"/>
      <c r="B13909" s="3"/>
      <c r="C13909" s="3"/>
      <c r="D13909" s="3"/>
      <c r="E13909" s="3"/>
      <c r="F13909" s="3"/>
      <c r="G13909" s="3"/>
      <c r="H13909" s="11"/>
      <c r="I13909" s="12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  <c r="AA13909" s="3"/>
      <c r="AB13909" s="3"/>
      <c r="AC13909" s="3"/>
      <c r="AD13909" s="3"/>
      <c r="AE13909" s="3"/>
      <c r="AF13909" s="3"/>
      <c r="AG13909" s="3"/>
      <c r="AH13909" s="3"/>
    </row>
    <row r="13910" spans="1:34" ht="14.25" customHeight="1" x14ac:dyDescent="0.25">
      <c r="A13910" s="3"/>
      <c r="B13910" s="3"/>
      <c r="C13910" s="3"/>
      <c r="D13910" s="3"/>
      <c r="E13910" s="3"/>
      <c r="F13910" s="3"/>
      <c r="G13910" s="3"/>
      <c r="H13910" s="11"/>
      <c r="I13910" s="12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  <c r="AA13910" s="3"/>
      <c r="AB13910" s="3"/>
      <c r="AC13910" s="3"/>
      <c r="AD13910" s="3"/>
      <c r="AE13910" s="3"/>
      <c r="AF13910" s="3"/>
      <c r="AG13910" s="3"/>
      <c r="AH13910" s="3"/>
    </row>
    <row r="13911" spans="1:34" ht="14.25" customHeight="1" x14ac:dyDescent="0.25">
      <c r="A13911" s="3"/>
      <c r="B13911" s="3"/>
      <c r="C13911" s="3"/>
      <c r="D13911" s="3"/>
      <c r="E13911" s="3"/>
      <c r="F13911" s="3"/>
      <c r="G13911" s="3"/>
      <c r="H13911" s="11"/>
      <c r="I13911" s="12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  <c r="AA13911" s="3"/>
      <c r="AB13911" s="3"/>
      <c r="AC13911" s="3"/>
      <c r="AD13911" s="3"/>
      <c r="AE13911" s="3"/>
      <c r="AF13911" s="3"/>
      <c r="AG13911" s="3"/>
      <c r="AH13911" s="3"/>
    </row>
    <row r="13912" spans="1:34" ht="14.25" customHeight="1" x14ac:dyDescent="0.25">
      <c r="A13912" s="3"/>
      <c r="B13912" s="3"/>
      <c r="C13912" s="3"/>
      <c r="D13912" s="3"/>
      <c r="E13912" s="3"/>
      <c r="F13912" s="3"/>
      <c r="G13912" s="3"/>
      <c r="H13912" s="11"/>
      <c r="I13912" s="12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  <c r="AA13912" s="3"/>
      <c r="AB13912" s="3"/>
      <c r="AC13912" s="3"/>
      <c r="AD13912" s="3"/>
      <c r="AE13912" s="3"/>
      <c r="AF13912" s="3"/>
      <c r="AG13912" s="3"/>
      <c r="AH13912" s="3"/>
    </row>
    <row r="13913" spans="1:34" ht="14.25" customHeight="1" x14ac:dyDescent="0.25">
      <c r="A13913" s="3"/>
      <c r="B13913" s="3"/>
      <c r="C13913" s="3"/>
      <c r="D13913" s="3"/>
      <c r="E13913" s="3"/>
      <c r="F13913" s="3"/>
      <c r="G13913" s="3"/>
      <c r="H13913" s="11"/>
      <c r="I13913" s="12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  <c r="AA13913" s="3"/>
      <c r="AB13913" s="3"/>
      <c r="AC13913" s="3"/>
      <c r="AD13913" s="3"/>
      <c r="AE13913" s="3"/>
      <c r="AF13913" s="3"/>
      <c r="AG13913" s="3"/>
      <c r="AH13913" s="3"/>
    </row>
    <row r="13914" spans="1:34" ht="14.25" customHeight="1" x14ac:dyDescent="0.25">
      <c r="A13914" s="3"/>
      <c r="B13914" s="3"/>
      <c r="C13914" s="3"/>
      <c r="D13914" s="3"/>
      <c r="E13914" s="3"/>
      <c r="F13914" s="3"/>
      <c r="G13914" s="3"/>
      <c r="H13914" s="11"/>
      <c r="I13914" s="12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  <c r="AA13914" s="3"/>
      <c r="AB13914" s="3"/>
      <c r="AC13914" s="3"/>
      <c r="AD13914" s="3"/>
      <c r="AE13914" s="3"/>
      <c r="AF13914" s="3"/>
      <c r="AG13914" s="3"/>
      <c r="AH13914" s="3"/>
    </row>
    <row r="13915" spans="1:34" ht="14.25" customHeight="1" x14ac:dyDescent="0.25">
      <c r="A13915" s="3"/>
      <c r="B13915" s="3"/>
      <c r="C13915" s="3"/>
      <c r="D13915" s="3"/>
      <c r="E13915" s="3"/>
      <c r="F13915" s="3"/>
      <c r="G13915" s="3"/>
      <c r="H13915" s="11"/>
      <c r="I13915" s="12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  <c r="AA13915" s="3"/>
      <c r="AB13915" s="3"/>
      <c r="AC13915" s="3"/>
      <c r="AD13915" s="3"/>
      <c r="AE13915" s="3"/>
      <c r="AF13915" s="3"/>
      <c r="AG13915" s="3"/>
      <c r="AH13915" s="3"/>
    </row>
    <row r="13916" spans="1:34" ht="14.25" customHeight="1" x14ac:dyDescent="0.25">
      <c r="A13916" s="3"/>
      <c r="B13916" s="3"/>
      <c r="C13916" s="3"/>
      <c r="D13916" s="3"/>
      <c r="E13916" s="3"/>
      <c r="F13916" s="3"/>
      <c r="G13916" s="3"/>
      <c r="H13916" s="11"/>
      <c r="I13916" s="12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  <c r="AA13916" s="3"/>
      <c r="AB13916" s="3"/>
      <c r="AC13916" s="3"/>
      <c r="AD13916" s="3"/>
      <c r="AE13916" s="3"/>
      <c r="AF13916" s="3"/>
      <c r="AG13916" s="3"/>
      <c r="AH13916" s="3"/>
    </row>
    <row r="13917" spans="1:34" ht="14.25" customHeight="1" x14ac:dyDescent="0.25">
      <c r="A13917" s="3"/>
      <c r="B13917" s="3"/>
      <c r="C13917" s="3"/>
      <c r="D13917" s="3"/>
      <c r="E13917" s="3"/>
      <c r="F13917" s="3"/>
      <c r="G13917" s="3"/>
      <c r="H13917" s="11"/>
      <c r="I13917" s="12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  <c r="AA13917" s="3"/>
      <c r="AB13917" s="3"/>
      <c r="AC13917" s="3"/>
      <c r="AD13917" s="3"/>
      <c r="AE13917" s="3"/>
      <c r="AF13917" s="3"/>
      <c r="AG13917" s="3"/>
      <c r="AH13917" s="3"/>
    </row>
    <row r="13918" spans="1:34" ht="14.25" customHeight="1" x14ac:dyDescent="0.25">
      <c r="A13918" s="3"/>
      <c r="B13918" s="3"/>
      <c r="C13918" s="3"/>
      <c r="D13918" s="3"/>
      <c r="E13918" s="3"/>
      <c r="F13918" s="3"/>
      <c r="G13918" s="3"/>
      <c r="H13918" s="11"/>
      <c r="I13918" s="12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  <c r="AA13918" s="3"/>
      <c r="AB13918" s="3"/>
      <c r="AC13918" s="3"/>
      <c r="AD13918" s="3"/>
      <c r="AE13918" s="3"/>
      <c r="AF13918" s="3"/>
      <c r="AG13918" s="3"/>
      <c r="AH13918" s="3"/>
    </row>
    <row r="13919" spans="1:34" ht="14.25" customHeight="1" x14ac:dyDescent="0.25">
      <c r="A13919" s="3"/>
      <c r="B13919" s="3"/>
      <c r="C13919" s="3"/>
      <c r="D13919" s="3"/>
      <c r="E13919" s="3"/>
      <c r="F13919" s="3"/>
      <c r="G13919" s="3"/>
      <c r="H13919" s="11"/>
      <c r="I13919" s="12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  <c r="AA13919" s="3"/>
      <c r="AB13919" s="3"/>
      <c r="AC13919" s="3"/>
      <c r="AD13919" s="3"/>
      <c r="AE13919" s="3"/>
      <c r="AF13919" s="3"/>
      <c r="AG13919" s="3"/>
      <c r="AH13919" s="3"/>
    </row>
    <row r="13920" spans="1:34" ht="14.25" customHeight="1" x14ac:dyDescent="0.25">
      <c r="A13920" s="3"/>
      <c r="B13920" s="3"/>
      <c r="C13920" s="3"/>
      <c r="D13920" s="3"/>
      <c r="E13920" s="3"/>
      <c r="F13920" s="3"/>
      <c r="G13920" s="3"/>
      <c r="H13920" s="11"/>
      <c r="I13920" s="12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  <c r="AA13920" s="3"/>
      <c r="AB13920" s="3"/>
      <c r="AC13920" s="3"/>
      <c r="AD13920" s="3"/>
      <c r="AE13920" s="3"/>
      <c r="AF13920" s="3"/>
      <c r="AG13920" s="3"/>
      <c r="AH13920" s="3"/>
    </row>
    <row r="13921" spans="1:34" ht="14.25" customHeight="1" x14ac:dyDescent="0.25">
      <c r="A13921" s="3"/>
      <c r="B13921" s="3"/>
      <c r="C13921" s="3"/>
      <c r="D13921" s="3"/>
      <c r="E13921" s="3"/>
      <c r="F13921" s="3"/>
      <c r="G13921" s="3"/>
      <c r="H13921" s="11"/>
      <c r="I13921" s="12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  <c r="AA13921" s="3"/>
      <c r="AB13921" s="3"/>
      <c r="AC13921" s="3"/>
      <c r="AD13921" s="3"/>
      <c r="AE13921" s="3"/>
      <c r="AF13921" s="3"/>
      <c r="AG13921" s="3"/>
      <c r="AH13921" s="3"/>
    </row>
    <row r="13922" spans="1:34" ht="14.25" customHeight="1" x14ac:dyDescent="0.25">
      <c r="A13922" s="3"/>
      <c r="B13922" s="3"/>
      <c r="C13922" s="3"/>
      <c r="D13922" s="3"/>
      <c r="E13922" s="3"/>
      <c r="F13922" s="3"/>
      <c r="G13922" s="3"/>
      <c r="H13922" s="11"/>
      <c r="I13922" s="12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  <c r="AA13922" s="3"/>
      <c r="AB13922" s="3"/>
      <c r="AC13922" s="3"/>
      <c r="AD13922" s="3"/>
      <c r="AE13922" s="3"/>
      <c r="AF13922" s="3"/>
      <c r="AG13922" s="3"/>
      <c r="AH13922" s="3"/>
    </row>
    <row r="13923" spans="1:34" ht="14.25" customHeight="1" x14ac:dyDescent="0.25">
      <c r="A13923" s="3"/>
      <c r="B13923" s="3"/>
      <c r="C13923" s="3"/>
      <c r="D13923" s="3"/>
      <c r="E13923" s="3"/>
      <c r="F13923" s="3"/>
      <c r="G13923" s="3"/>
      <c r="H13923" s="11"/>
      <c r="I13923" s="12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  <c r="AA13923" s="3"/>
      <c r="AB13923" s="3"/>
      <c r="AC13923" s="3"/>
      <c r="AD13923" s="3"/>
      <c r="AE13923" s="3"/>
      <c r="AF13923" s="3"/>
      <c r="AG13923" s="3"/>
      <c r="AH13923" s="3"/>
    </row>
    <row r="13924" spans="1:34" ht="14.25" customHeight="1" x14ac:dyDescent="0.25">
      <c r="A13924" s="3"/>
      <c r="B13924" s="3"/>
      <c r="C13924" s="3"/>
      <c r="D13924" s="3"/>
      <c r="E13924" s="3"/>
      <c r="F13924" s="3"/>
      <c r="G13924" s="3"/>
      <c r="H13924" s="11"/>
      <c r="I13924" s="12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  <c r="AA13924" s="3"/>
      <c r="AB13924" s="3"/>
      <c r="AC13924" s="3"/>
      <c r="AD13924" s="3"/>
      <c r="AE13924" s="3"/>
      <c r="AF13924" s="3"/>
      <c r="AG13924" s="3"/>
      <c r="AH13924" s="3"/>
    </row>
    <row r="13925" spans="1:34" ht="14.25" customHeight="1" x14ac:dyDescent="0.25">
      <c r="A13925" s="3"/>
      <c r="B13925" s="3"/>
      <c r="C13925" s="3"/>
      <c r="D13925" s="3"/>
      <c r="E13925" s="3"/>
      <c r="F13925" s="3"/>
      <c r="G13925" s="3"/>
      <c r="H13925" s="11"/>
      <c r="I13925" s="12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  <c r="AA13925" s="3"/>
      <c r="AB13925" s="3"/>
      <c r="AC13925" s="3"/>
      <c r="AD13925" s="3"/>
      <c r="AE13925" s="3"/>
      <c r="AF13925" s="3"/>
      <c r="AG13925" s="3"/>
      <c r="AH13925" s="3"/>
    </row>
    <row r="13926" spans="1:34" ht="14.25" customHeight="1" x14ac:dyDescent="0.25">
      <c r="A13926" s="3"/>
      <c r="B13926" s="3"/>
      <c r="C13926" s="3"/>
      <c r="D13926" s="3"/>
      <c r="E13926" s="3"/>
      <c r="F13926" s="3"/>
      <c r="G13926" s="3"/>
      <c r="H13926" s="11"/>
      <c r="I13926" s="12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  <c r="AA13926" s="3"/>
      <c r="AB13926" s="3"/>
      <c r="AC13926" s="3"/>
      <c r="AD13926" s="3"/>
      <c r="AE13926" s="3"/>
      <c r="AF13926" s="3"/>
      <c r="AG13926" s="3"/>
      <c r="AH13926" s="3"/>
    </row>
    <row r="13927" spans="1:34" ht="14.25" customHeight="1" x14ac:dyDescent="0.25">
      <c r="A13927" s="3"/>
      <c r="B13927" s="3"/>
      <c r="C13927" s="3"/>
      <c r="D13927" s="3"/>
      <c r="E13927" s="3"/>
      <c r="F13927" s="3"/>
      <c r="G13927" s="3"/>
      <c r="H13927" s="11"/>
      <c r="I13927" s="12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  <c r="AA13927" s="3"/>
      <c r="AB13927" s="3"/>
      <c r="AC13927" s="3"/>
      <c r="AD13927" s="3"/>
      <c r="AE13927" s="3"/>
      <c r="AF13927" s="3"/>
      <c r="AG13927" s="3"/>
      <c r="AH13927" s="3"/>
    </row>
    <row r="13928" spans="1:34" ht="14.25" customHeight="1" x14ac:dyDescent="0.25">
      <c r="A13928" s="3"/>
      <c r="B13928" s="3"/>
      <c r="C13928" s="3"/>
      <c r="D13928" s="3"/>
      <c r="E13928" s="3"/>
      <c r="F13928" s="3"/>
      <c r="G13928" s="3"/>
      <c r="H13928" s="11"/>
      <c r="I13928" s="12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  <c r="AA13928" s="3"/>
      <c r="AB13928" s="3"/>
      <c r="AC13928" s="3"/>
      <c r="AD13928" s="3"/>
      <c r="AE13928" s="3"/>
      <c r="AF13928" s="3"/>
      <c r="AG13928" s="3"/>
      <c r="AH13928" s="3"/>
    </row>
    <row r="13929" spans="1:34" ht="14.25" customHeight="1" x14ac:dyDescent="0.25">
      <c r="A13929" s="3"/>
      <c r="B13929" s="3"/>
      <c r="C13929" s="3"/>
      <c r="D13929" s="3"/>
      <c r="E13929" s="3"/>
      <c r="F13929" s="3"/>
      <c r="G13929" s="3"/>
      <c r="H13929" s="11"/>
      <c r="I13929" s="12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  <c r="AA13929" s="3"/>
      <c r="AB13929" s="3"/>
      <c r="AC13929" s="3"/>
      <c r="AD13929" s="3"/>
      <c r="AE13929" s="3"/>
      <c r="AF13929" s="3"/>
      <c r="AG13929" s="3"/>
      <c r="AH13929" s="3"/>
    </row>
    <row r="13930" spans="1:34" ht="14.25" customHeight="1" x14ac:dyDescent="0.25">
      <c r="A13930" s="3"/>
      <c r="B13930" s="3"/>
      <c r="C13930" s="3"/>
      <c r="D13930" s="3"/>
      <c r="E13930" s="3"/>
      <c r="F13930" s="3"/>
      <c r="G13930" s="3"/>
      <c r="H13930" s="11"/>
      <c r="I13930" s="12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  <c r="AA13930" s="3"/>
      <c r="AB13930" s="3"/>
      <c r="AC13930" s="3"/>
      <c r="AD13930" s="3"/>
      <c r="AE13930" s="3"/>
      <c r="AF13930" s="3"/>
      <c r="AG13930" s="3"/>
      <c r="AH13930" s="3"/>
    </row>
    <row r="13931" spans="1:34" ht="14.25" customHeight="1" x14ac:dyDescent="0.25">
      <c r="A13931" s="3"/>
      <c r="B13931" s="3"/>
      <c r="C13931" s="3"/>
      <c r="D13931" s="3"/>
      <c r="E13931" s="3"/>
      <c r="F13931" s="3"/>
      <c r="G13931" s="14"/>
      <c r="H13931" s="11"/>
      <c r="I13931" s="12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  <c r="AA13931" s="3"/>
      <c r="AB13931" s="3"/>
      <c r="AC13931" s="3"/>
      <c r="AD13931" s="3"/>
      <c r="AE13931" s="3"/>
      <c r="AF13931" s="3"/>
      <c r="AG13931" s="3"/>
      <c r="AH13931" s="3"/>
    </row>
    <row r="13932" spans="1:34" ht="14.25" customHeight="1" x14ac:dyDescent="0.25">
      <c r="A13932" s="3"/>
      <c r="B13932" s="3"/>
      <c r="C13932" s="3"/>
      <c r="D13932" s="3"/>
      <c r="E13932" s="3"/>
      <c r="F13932" s="3"/>
      <c r="G13932" s="3"/>
      <c r="H13932" s="11"/>
      <c r="I13932" s="12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  <c r="AA13932" s="3"/>
      <c r="AB13932" s="3"/>
      <c r="AC13932" s="3"/>
      <c r="AD13932" s="3"/>
      <c r="AE13932" s="3"/>
      <c r="AF13932" s="3"/>
      <c r="AG13932" s="3"/>
      <c r="AH13932" s="3"/>
    </row>
    <row r="13933" spans="1:34" ht="14.25" customHeight="1" x14ac:dyDescent="0.25">
      <c r="A13933" s="3"/>
      <c r="B13933" s="3"/>
      <c r="C13933" s="3"/>
      <c r="D13933" s="3"/>
      <c r="E13933" s="3"/>
      <c r="F13933" s="3"/>
      <c r="G13933" s="3"/>
      <c r="H13933" s="11"/>
      <c r="I13933" s="12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  <c r="AA13933" s="3"/>
      <c r="AB13933" s="3"/>
      <c r="AC13933" s="3"/>
      <c r="AD13933" s="3"/>
      <c r="AE13933" s="3"/>
      <c r="AF13933" s="3"/>
      <c r="AG13933" s="3"/>
      <c r="AH13933" s="3"/>
    </row>
    <row r="13934" spans="1:34" ht="14.25" customHeight="1" x14ac:dyDescent="0.25">
      <c r="A13934" s="3"/>
      <c r="B13934" s="3"/>
      <c r="C13934" s="3"/>
      <c r="D13934" s="3"/>
      <c r="E13934" s="3"/>
      <c r="F13934" s="3"/>
      <c r="G13934" s="3"/>
      <c r="H13934" s="11"/>
      <c r="I13934" s="12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  <c r="AA13934" s="3"/>
      <c r="AB13934" s="3"/>
      <c r="AC13934" s="3"/>
      <c r="AD13934" s="3"/>
      <c r="AE13934" s="3"/>
      <c r="AF13934" s="3"/>
      <c r="AG13934" s="3"/>
      <c r="AH13934" s="3"/>
    </row>
    <row r="13935" spans="1:34" ht="14.25" customHeight="1" x14ac:dyDescent="0.25">
      <c r="A13935" s="3"/>
      <c r="B13935" s="3"/>
      <c r="C13935" s="3"/>
      <c r="D13935" s="3"/>
      <c r="E13935" s="3"/>
      <c r="F13935" s="3"/>
      <c r="G13935" s="3"/>
      <c r="H13935" s="11"/>
      <c r="I13935" s="12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  <c r="AA13935" s="3"/>
      <c r="AB13935" s="3"/>
      <c r="AC13935" s="3"/>
      <c r="AD13935" s="3"/>
      <c r="AE13935" s="3"/>
      <c r="AF13935" s="3"/>
      <c r="AG13935" s="3"/>
      <c r="AH13935" s="3"/>
    </row>
    <row r="13936" spans="1:34" ht="14.25" customHeight="1" x14ac:dyDescent="0.25">
      <c r="A13936" s="3"/>
      <c r="B13936" s="3"/>
      <c r="C13936" s="3"/>
      <c r="D13936" s="3"/>
      <c r="E13936" s="3"/>
      <c r="F13936" s="3"/>
      <c r="G13936" s="3"/>
      <c r="H13936" s="11"/>
      <c r="I13936" s="12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  <c r="AA13936" s="3"/>
      <c r="AB13936" s="3"/>
      <c r="AC13936" s="3"/>
      <c r="AD13936" s="3"/>
      <c r="AE13936" s="3"/>
      <c r="AF13936" s="3"/>
      <c r="AG13936" s="3"/>
      <c r="AH13936" s="3"/>
    </row>
    <row r="13937" spans="1:34" ht="14.25" customHeight="1" x14ac:dyDescent="0.25">
      <c r="A13937" s="3"/>
      <c r="B13937" s="3"/>
      <c r="C13937" s="3"/>
      <c r="D13937" s="3"/>
      <c r="E13937" s="3"/>
      <c r="F13937" s="3"/>
      <c r="G13937" s="3"/>
      <c r="H13937" s="11"/>
      <c r="I13937" s="12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  <c r="AA13937" s="3"/>
      <c r="AB13937" s="3"/>
      <c r="AC13937" s="3"/>
      <c r="AD13937" s="3"/>
      <c r="AE13937" s="3"/>
      <c r="AF13937" s="3"/>
      <c r="AG13937" s="3"/>
      <c r="AH13937" s="3"/>
    </row>
    <row r="13938" spans="1:34" ht="14.25" customHeight="1" x14ac:dyDescent="0.25">
      <c r="A13938" s="3"/>
      <c r="B13938" s="3"/>
      <c r="C13938" s="3"/>
      <c r="D13938" s="3"/>
      <c r="E13938" s="3"/>
      <c r="F13938" s="3"/>
      <c r="G13938" s="3"/>
      <c r="H13938" s="11"/>
      <c r="I13938" s="12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  <c r="AA13938" s="3"/>
      <c r="AB13938" s="3"/>
      <c r="AC13938" s="3"/>
      <c r="AD13938" s="3"/>
      <c r="AE13938" s="3"/>
      <c r="AF13938" s="3"/>
      <c r="AG13938" s="3"/>
      <c r="AH13938" s="3"/>
    </row>
    <row r="13939" spans="1:34" ht="14.25" customHeight="1" x14ac:dyDescent="0.25">
      <c r="A13939" s="3"/>
      <c r="B13939" s="3"/>
      <c r="C13939" s="3"/>
      <c r="D13939" s="3"/>
      <c r="E13939" s="3"/>
      <c r="F13939" s="3"/>
      <c r="G13939" s="3"/>
      <c r="H13939" s="11"/>
      <c r="I13939" s="12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  <c r="AA13939" s="3"/>
      <c r="AB13939" s="3"/>
      <c r="AC13939" s="3"/>
      <c r="AD13939" s="3"/>
      <c r="AE13939" s="3"/>
      <c r="AF13939" s="3"/>
      <c r="AG13939" s="3"/>
      <c r="AH13939" s="3"/>
    </row>
    <row r="13940" spans="1:34" ht="14.25" customHeight="1" x14ac:dyDescent="0.25">
      <c r="A13940" s="3"/>
      <c r="B13940" s="3"/>
      <c r="C13940" s="3"/>
      <c r="D13940" s="3"/>
      <c r="E13940" s="3"/>
      <c r="F13940" s="3"/>
      <c r="G13940" s="3"/>
      <c r="H13940" s="11"/>
      <c r="I13940" s="12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  <c r="AA13940" s="3"/>
      <c r="AB13940" s="3"/>
      <c r="AC13940" s="3"/>
      <c r="AD13940" s="3"/>
      <c r="AE13940" s="3"/>
      <c r="AF13940" s="3"/>
      <c r="AG13940" s="3"/>
      <c r="AH13940" s="3"/>
    </row>
    <row r="13941" spans="1:34" ht="14.25" customHeight="1" x14ac:dyDescent="0.25">
      <c r="A13941" s="3"/>
      <c r="B13941" s="3"/>
      <c r="C13941" s="3"/>
      <c r="D13941" s="3"/>
      <c r="E13941" s="3"/>
      <c r="F13941" s="3"/>
      <c r="G13941" s="3"/>
      <c r="H13941" s="11"/>
      <c r="I13941" s="12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  <c r="AA13941" s="3"/>
      <c r="AB13941" s="3"/>
      <c r="AC13941" s="3"/>
      <c r="AD13941" s="3"/>
      <c r="AE13941" s="3"/>
      <c r="AF13941" s="3"/>
      <c r="AG13941" s="3"/>
      <c r="AH13941" s="3"/>
    </row>
    <row r="13942" spans="1:34" ht="14.25" customHeight="1" x14ac:dyDescent="0.25">
      <c r="A13942" s="3"/>
      <c r="B13942" s="3"/>
      <c r="C13942" s="3"/>
      <c r="D13942" s="3"/>
      <c r="E13942" s="3"/>
      <c r="F13942" s="3"/>
      <c r="G13942" s="3"/>
      <c r="H13942" s="11"/>
      <c r="I13942" s="12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  <c r="AA13942" s="3"/>
      <c r="AB13942" s="3"/>
      <c r="AC13942" s="3"/>
      <c r="AD13942" s="3"/>
      <c r="AE13942" s="3"/>
      <c r="AF13942" s="3"/>
      <c r="AG13942" s="3"/>
      <c r="AH13942" s="3"/>
    </row>
    <row r="13943" spans="1:34" ht="14.25" customHeight="1" x14ac:dyDescent="0.25">
      <c r="A13943" s="3"/>
      <c r="B13943" s="3"/>
      <c r="C13943" s="3"/>
      <c r="D13943" s="3"/>
      <c r="E13943" s="3"/>
      <c r="F13943" s="3"/>
      <c r="G13943" s="3"/>
      <c r="H13943" s="11"/>
      <c r="I13943" s="12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  <c r="AA13943" s="3"/>
      <c r="AB13943" s="3"/>
      <c r="AC13943" s="3"/>
      <c r="AD13943" s="3"/>
      <c r="AE13943" s="3"/>
      <c r="AF13943" s="3"/>
      <c r="AG13943" s="3"/>
      <c r="AH13943" s="3"/>
    </row>
    <row r="13944" spans="1:34" ht="14.25" customHeight="1" x14ac:dyDescent="0.25">
      <c r="A13944" s="3"/>
      <c r="B13944" s="3"/>
      <c r="C13944" s="3"/>
      <c r="D13944" s="3"/>
      <c r="E13944" s="3"/>
      <c r="F13944" s="3"/>
      <c r="G13944" s="3"/>
      <c r="H13944" s="11"/>
      <c r="I13944" s="12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  <c r="AA13944" s="3"/>
      <c r="AB13944" s="3"/>
      <c r="AC13944" s="3"/>
      <c r="AD13944" s="3"/>
      <c r="AE13944" s="3"/>
      <c r="AF13944" s="3"/>
      <c r="AG13944" s="3"/>
      <c r="AH13944" s="3"/>
    </row>
    <row r="13945" spans="1:34" ht="14.25" customHeight="1" x14ac:dyDescent="0.25">
      <c r="A13945" s="3"/>
      <c r="B13945" s="3"/>
      <c r="C13945" s="3"/>
      <c r="D13945" s="3"/>
      <c r="E13945" s="3"/>
      <c r="F13945" s="3"/>
      <c r="G13945" s="3"/>
      <c r="H13945" s="11"/>
      <c r="I13945" s="12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  <c r="AA13945" s="3"/>
      <c r="AB13945" s="3"/>
      <c r="AC13945" s="3"/>
      <c r="AD13945" s="3"/>
      <c r="AE13945" s="3"/>
      <c r="AF13945" s="3"/>
      <c r="AG13945" s="3"/>
      <c r="AH13945" s="3"/>
    </row>
    <row r="13946" spans="1:34" ht="14.25" customHeight="1" x14ac:dyDescent="0.25">
      <c r="A13946" s="3"/>
      <c r="B13946" s="3"/>
      <c r="C13946" s="3"/>
      <c r="D13946" s="3"/>
      <c r="E13946" s="3"/>
      <c r="F13946" s="3"/>
      <c r="G13946" s="3"/>
      <c r="H13946" s="11"/>
      <c r="I13946" s="12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  <c r="AA13946" s="3"/>
      <c r="AB13946" s="3"/>
      <c r="AC13946" s="3"/>
      <c r="AD13946" s="3"/>
      <c r="AE13946" s="3"/>
      <c r="AF13946" s="3"/>
      <c r="AG13946" s="3"/>
      <c r="AH13946" s="3"/>
    </row>
    <row r="13947" spans="1:34" ht="14.25" customHeight="1" x14ac:dyDescent="0.25">
      <c r="A13947" s="3"/>
      <c r="B13947" s="3"/>
      <c r="C13947" s="3"/>
      <c r="D13947" s="3"/>
      <c r="E13947" s="3"/>
      <c r="F13947" s="3"/>
      <c r="G13947" s="3"/>
      <c r="H13947" s="11"/>
      <c r="I13947" s="12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  <c r="AA13947" s="3"/>
      <c r="AB13947" s="3"/>
      <c r="AC13947" s="3"/>
      <c r="AD13947" s="3"/>
      <c r="AE13947" s="3"/>
      <c r="AF13947" s="3"/>
      <c r="AG13947" s="3"/>
      <c r="AH13947" s="3"/>
    </row>
    <row r="13948" spans="1:34" ht="14.25" customHeight="1" x14ac:dyDescent="0.25">
      <c r="A13948" s="3"/>
      <c r="B13948" s="3"/>
      <c r="C13948" s="3"/>
      <c r="D13948" s="3"/>
      <c r="E13948" s="3"/>
      <c r="F13948" s="3"/>
      <c r="G13948" s="3"/>
      <c r="H13948" s="11"/>
      <c r="I13948" s="12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  <c r="AA13948" s="3"/>
      <c r="AB13948" s="3"/>
      <c r="AC13948" s="3"/>
      <c r="AD13948" s="3"/>
      <c r="AE13948" s="3"/>
      <c r="AF13948" s="3"/>
      <c r="AG13948" s="3"/>
      <c r="AH13948" s="3"/>
    </row>
    <row r="13949" spans="1:34" ht="14.25" customHeight="1" x14ac:dyDescent="0.25">
      <c r="A13949" s="3"/>
      <c r="B13949" s="3"/>
      <c r="C13949" s="3"/>
      <c r="D13949" s="3"/>
      <c r="E13949" s="3"/>
      <c r="F13949" s="3"/>
      <c r="G13949" s="3"/>
      <c r="H13949" s="11"/>
      <c r="I13949" s="12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  <c r="AA13949" s="3"/>
      <c r="AB13949" s="3"/>
      <c r="AC13949" s="3"/>
      <c r="AD13949" s="3"/>
      <c r="AE13949" s="3"/>
      <c r="AF13949" s="3"/>
      <c r="AG13949" s="3"/>
      <c r="AH13949" s="3"/>
    </row>
    <row r="13950" spans="1:34" ht="14.25" customHeight="1" x14ac:dyDescent="0.25">
      <c r="A13950" s="3"/>
      <c r="B13950" s="3"/>
      <c r="C13950" s="3"/>
      <c r="D13950" s="3"/>
      <c r="E13950" s="3"/>
      <c r="F13950" s="3"/>
      <c r="G13950" s="3"/>
      <c r="H13950" s="11"/>
      <c r="I13950" s="12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  <c r="AA13950" s="3"/>
      <c r="AB13950" s="3"/>
      <c r="AC13950" s="3"/>
      <c r="AD13950" s="3"/>
      <c r="AE13950" s="3"/>
      <c r="AF13950" s="3"/>
      <c r="AG13950" s="3"/>
      <c r="AH13950" s="3"/>
    </row>
    <row r="13951" spans="1:34" ht="14.25" customHeight="1" x14ac:dyDescent="0.25">
      <c r="A13951" s="3"/>
      <c r="B13951" s="3"/>
      <c r="C13951" s="3"/>
      <c r="D13951" s="3"/>
      <c r="E13951" s="3"/>
      <c r="F13951" s="3"/>
      <c r="G13951" s="3"/>
      <c r="H13951" s="11"/>
      <c r="I13951" s="12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  <c r="AA13951" s="3"/>
      <c r="AB13951" s="3"/>
      <c r="AC13951" s="3"/>
      <c r="AD13951" s="3"/>
      <c r="AE13951" s="3"/>
      <c r="AF13951" s="3"/>
      <c r="AG13951" s="3"/>
      <c r="AH13951" s="3"/>
    </row>
    <row r="13952" spans="1:34" ht="14.25" customHeight="1" x14ac:dyDescent="0.25">
      <c r="A13952" s="3"/>
      <c r="B13952" s="3"/>
      <c r="C13952" s="3"/>
      <c r="D13952" s="3"/>
      <c r="E13952" s="3"/>
      <c r="F13952" s="3"/>
      <c r="G13952" s="3"/>
      <c r="H13952" s="11"/>
      <c r="I13952" s="12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  <c r="AA13952" s="3"/>
      <c r="AB13952" s="3"/>
      <c r="AC13952" s="3"/>
      <c r="AD13952" s="3"/>
      <c r="AE13952" s="3"/>
      <c r="AF13952" s="3"/>
      <c r="AG13952" s="3"/>
      <c r="AH13952" s="3"/>
    </row>
    <row r="13953" spans="1:34" ht="14.25" customHeight="1" x14ac:dyDescent="0.25">
      <c r="A13953" s="3"/>
      <c r="B13953" s="3"/>
      <c r="C13953" s="3"/>
      <c r="D13953" s="3"/>
      <c r="E13953" s="3"/>
      <c r="F13953" s="3"/>
      <c r="G13953" s="3"/>
      <c r="H13953" s="11"/>
      <c r="I13953" s="12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  <c r="AA13953" s="3"/>
      <c r="AB13953" s="3"/>
      <c r="AC13953" s="3"/>
      <c r="AD13953" s="3"/>
      <c r="AE13953" s="3"/>
      <c r="AF13953" s="3"/>
      <c r="AG13953" s="3"/>
      <c r="AH13953" s="3"/>
    </row>
    <row r="13954" spans="1:34" ht="14.25" customHeight="1" x14ac:dyDescent="0.25">
      <c r="A13954" s="3"/>
      <c r="B13954" s="3"/>
      <c r="C13954" s="3"/>
      <c r="D13954" s="3"/>
      <c r="E13954" s="3"/>
      <c r="F13954" s="3"/>
      <c r="G13954" s="3"/>
      <c r="H13954" s="11"/>
      <c r="I13954" s="12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  <c r="AA13954" s="3"/>
      <c r="AB13954" s="3"/>
      <c r="AC13954" s="3"/>
      <c r="AD13954" s="3"/>
      <c r="AE13954" s="3"/>
      <c r="AF13954" s="3"/>
      <c r="AG13954" s="3"/>
      <c r="AH13954" s="3"/>
    </row>
    <row r="13955" spans="1:34" ht="14.25" customHeight="1" x14ac:dyDescent="0.25">
      <c r="A13955" s="3"/>
      <c r="B13955" s="3"/>
      <c r="C13955" s="3"/>
      <c r="D13955" s="3"/>
      <c r="E13955" s="3"/>
      <c r="F13955" s="3"/>
      <c r="G13955" s="3"/>
      <c r="H13955" s="11"/>
      <c r="I13955" s="12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  <c r="AA13955" s="3"/>
      <c r="AB13955" s="3"/>
      <c r="AC13955" s="3"/>
      <c r="AD13955" s="3"/>
      <c r="AE13955" s="3"/>
      <c r="AF13955" s="3"/>
      <c r="AG13955" s="3"/>
      <c r="AH13955" s="3"/>
    </row>
    <row r="13956" spans="1:34" ht="14.25" customHeight="1" x14ac:dyDescent="0.25">
      <c r="A13956" s="3"/>
      <c r="B13956" s="3"/>
      <c r="C13956" s="3"/>
      <c r="D13956" s="3"/>
      <c r="E13956" s="3"/>
      <c r="F13956" s="3"/>
      <c r="G13956" s="3"/>
      <c r="H13956" s="11"/>
      <c r="I13956" s="12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  <c r="AA13956" s="3"/>
      <c r="AB13956" s="3"/>
      <c r="AC13956" s="3"/>
      <c r="AD13956" s="3"/>
      <c r="AE13956" s="3"/>
      <c r="AF13956" s="3"/>
      <c r="AG13956" s="3"/>
      <c r="AH13956" s="3"/>
    </row>
    <row r="13957" spans="1:34" ht="14.25" customHeight="1" x14ac:dyDescent="0.25">
      <c r="A13957" s="3"/>
      <c r="B13957" s="3"/>
      <c r="C13957" s="3"/>
      <c r="D13957" s="3"/>
      <c r="E13957" s="3"/>
      <c r="F13957" s="3"/>
      <c r="G13957" s="3"/>
      <c r="H13957" s="11"/>
      <c r="I13957" s="12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  <c r="AA13957" s="3"/>
      <c r="AB13957" s="3"/>
      <c r="AC13957" s="3"/>
      <c r="AD13957" s="3"/>
      <c r="AE13957" s="3"/>
      <c r="AF13957" s="3"/>
      <c r="AG13957" s="3"/>
      <c r="AH13957" s="3"/>
    </row>
    <row r="13958" spans="1:34" ht="14.25" customHeight="1" x14ac:dyDescent="0.25">
      <c r="A13958" s="3"/>
      <c r="B13958" s="3"/>
      <c r="C13958" s="3"/>
      <c r="D13958" s="3"/>
      <c r="E13958" s="3"/>
      <c r="F13958" s="3"/>
      <c r="G13958" s="3"/>
      <c r="H13958" s="11"/>
      <c r="I13958" s="12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  <c r="AA13958" s="3"/>
      <c r="AB13958" s="3"/>
      <c r="AC13958" s="3"/>
      <c r="AD13958" s="3"/>
      <c r="AE13958" s="3"/>
      <c r="AF13958" s="3"/>
      <c r="AG13958" s="3"/>
      <c r="AH13958" s="3"/>
    </row>
    <row r="13959" spans="1:34" ht="14.25" customHeight="1" x14ac:dyDescent="0.25">
      <c r="A13959" s="3"/>
      <c r="B13959" s="3"/>
      <c r="C13959" s="3"/>
      <c r="D13959" s="3"/>
      <c r="E13959" s="3"/>
      <c r="F13959" s="3"/>
      <c r="G13959" s="3"/>
      <c r="H13959" s="11"/>
      <c r="I13959" s="12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  <c r="AA13959" s="3"/>
      <c r="AB13959" s="3"/>
      <c r="AC13959" s="3"/>
      <c r="AD13959" s="3"/>
      <c r="AE13959" s="3"/>
      <c r="AF13959" s="3"/>
      <c r="AG13959" s="3"/>
      <c r="AH13959" s="3"/>
    </row>
    <row r="13960" spans="1:34" ht="14.25" customHeight="1" x14ac:dyDescent="0.25">
      <c r="A13960" s="3"/>
      <c r="B13960" s="3"/>
      <c r="C13960" s="3"/>
      <c r="D13960" s="3"/>
      <c r="E13960" s="3"/>
      <c r="F13960" s="3"/>
      <c r="G13960" s="3"/>
      <c r="H13960" s="11"/>
      <c r="I13960" s="12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  <c r="AA13960" s="3"/>
      <c r="AB13960" s="3"/>
      <c r="AC13960" s="3"/>
      <c r="AD13960" s="3"/>
      <c r="AE13960" s="3"/>
      <c r="AF13960" s="3"/>
      <c r="AG13960" s="3"/>
      <c r="AH13960" s="3"/>
    </row>
    <row r="13961" spans="1:34" ht="14.25" customHeight="1" x14ac:dyDescent="0.25">
      <c r="A13961" s="3"/>
      <c r="B13961" s="3"/>
      <c r="C13961" s="3"/>
      <c r="D13961" s="3"/>
      <c r="E13961" s="3"/>
      <c r="F13961" s="3"/>
      <c r="G13961" s="3"/>
      <c r="H13961" s="11"/>
      <c r="I13961" s="12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  <c r="AA13961" s="3"/>
      <c r="AB13961" s="3"/>
      <c r="AC13961" s="3"/>
      <c r="AD13961" s="3"/>
      <c r="AE13961" s="3"/>
      <c r="AF13961" s="3"/>
      <c r="AG13961" s="3"/>
      <c r="AH13961" s="3"/>
    </row>
    <row r="13962" spans="1:34" ht="14.25" customHeight="1" x14ac:dyDescent="0.25">
      <c r="A13962" s="3"/>
      <c r="B13962" s="3"/>
      <c r="C13962" s="3"/>
      <c r="D13962" s="3"/>
      <c r="E13962" s="3"/>
      <c r="F13962" s="3"/>
      <c r="G13962" s="3"/>
      <c r="H13962" s="11"/>
      <c r="I13962" s="12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  <c r="AA13962" s="3"/>
      <c r="AB13962" s="3"/>
      <c r="AC13962" s="3"/>
      <c r="AD13962" s="3"/>
      <c r="AE13962" s="3"/>
      <c r="AF13962" s="3"/>
      <c r="AG13962" s="3"/>
      <c r="AH13962" s="3"/>
    </row>
    <row r="13963" spans="1:34" ht="14.25" customHeight="1" x14ac:dyDescent="0.25">
      <c r="A13963" s="3"/>
      <c r="B13963" s="3"/>
      <c r="C13963" s="3"/>
      <c r="D13963" s="3"/>
      <c r="E13963" s="3"/>
      <c r="F13963" s="3"/>
      <c r="G13963" s="3"/>
      <c r="H13963" s="11"/>
      <c r="I13963" s="12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  <c r="AA13963" s="3"/>
      <c r="AB13963" s="3"/>
      <c r="AC13963" s="3"/>
      <c r="AD13963" s="3"/>
      <c r="AE13963" s="3"/>
      <c r="AF13963" s="3"/>
      <c r="AG13963" s="3"/>
      <c r="AH13963" s="3"/>
    </row>
    <row r="13964" spans="1:34" ht="14.25" customHeight="1" x14ac:dyDescent="0.25">
      <c r="A13964" s="3"/>
      <c r="B13964" s="3"/>
      <c r="C13964" s="3"/>
      <c r="D13964" s="3"/>
      <c r="E13964" s="3"/>
      <c r="F13964" s="3"/>
      <c r="G13964" s="3"/>
      <c r="H13964" s="11"/>
      <c r="I13964" s="12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  <c r="AA13964" s="3"/>
      <c r="AB13964" s="3"/>
      <c r="AC13964" s="3"/>
      <c r="AD13964" s="3"/>
      <c r="AE13964" s="3"/>
      <c r="AF13964" s="3"/>
      <c r="AG13964" s="3"/>
      <c r="AH13964" s="3"/>
    </row>
    <row r="13965" spans="1:34" ht="14.25" customHeight="1" x14ac:dyDescent="0.25">
      <c r="A13965" s="3"/>
      <c r="B13965" s="3"/>
      <c r="C13965" s="3"/>
      <c r="D13965" s="3"/>
      <c r="E13965" s="3"/>
      <c r="F13965" s="3"/>
      <c r="G13965" s="3"/>
      <c r="H13965" s="11"/>
      <c r="I13965" s="12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  <c r="AA13965" s="3"/>
      <c r="AB13965" s="3"/>
      <c r="AC13965" s="3"/>
      <c r="AD13965" s="3"/>
      <c r="AE13965" s="3"/>
      <c r="AF13965" s="3"/>
      <c r="AG13965" s="3"/>
      <c r="AH13965" s="3"/>
    </row>
    <row r="13966" spans="1:34" ht="14.25" customHeight="1" x14ac:dyDescent="0.25">
      <c r="A13966" s="3"/>
      <c r="B13966" s="3"/>
      <c r="C13966" s="3"/>
      <c r="D13966" s="3"/>
      <c r="E13966" s="3"/>
      <c r="F13966" s="3"/>
      <c r="G13966" s="3"/>
      <c r="H13966" s="11"/>
      <c r="I13966" s="12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  <c r="AA13966" s="3"/>
      <c r="AB13966" s="3"/>
      <c r="AC13966" s="3"/>
      <c r="AD13966" s="3"/>
      <c r="AE13966" s="3"/>
      <c r="AF13966" s="3"/>
      <c r="AG13966" s="3"/>
      <c r="AH13966" s="3"/>
    </row>
    <row r="13967" spans="1:34" ht="14.25" customHeight="1" x14ac:dyDescent="0.25">
      <c r="A13967" s="3"/>
      <c r="B13967" s="3"/>
      <c r="C13967" s="3"/>
      <c r="D13967" s="3"/>
      <c r="E13967" s="3"/>
      <c r="F13967" s="3"/>
      <c r="G13967" s="3"/>
      <c r="H13967" s="11"/>
      <c r="I13967" s="12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  <c r="AA13967" s="3"/>
      <c r="AB13967" s="3"/>
      <c r="AC13967" s="3"/>
      <c r="AD13967" s="3"/>
      <c r="AE13967" s="3"/>
      <c r="AF13967" s="3"/>
      <c r="AG13967" s="3"/>
      <c r="AH13967" s="3"/>
    </row>
    <row r="13968" spans="1:34" ht="14.25" customHeight="1" x14ac:dyDescent="0.25">
      <c r="A13968" s="3"/>
      <c r="B13968" s="3"/>
      <c r="C13968" s="3"/>
      <c r="D13968" s="3"/>
      <c r="E13968" s="3"/>
      <c r="F13968" s="3"/>
      <c r="G13968" s="3"/>
      <c r="H13968" s="11"/>
      <c r="I13968" s="12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  <c r="AA13968" s="3"/>
      <c r="AB13968" s="3"/>
      <c r="AC13968" s="3"/>
      <c r="AD13968" s="3"/>
      <c r="AE13968" s="3"/>
      <c r="AF13968" s="3"/>
      <c r="AG13968" s="3"/>
      <c r="AH13968" s="3"/>
    </row>
    <row r="13969" spans="1:34" ht="14.25" customHeight="1" x14ac:dyDescent="0.25">
      <c r="A13969" s="3"/>
      <c r="B13969" s="3"/>
      <c r="C13969" s="3"/>
      <c r="D13969" s="3"/>
      <c r="E13969" s="3"/>
      <c r="F13969" s="3"/>
      <c r="G13969" s="3"/>
      <c r="H13969" s="11"/>
      <c r="I13969" s="12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  <c r="AA13969" s="3"/>
      <c r="AB13969" s="3"/>
      <c r="AC13969" s="3"/>
      <c r="AD13969" s="3"/>
      <c r="AE13969" s="3"/>
      <c r="AF13969" s="3"/>
      <c r="AG13969" s="3"/>
      <c r="AH13969" s="3"/>
    </row>
    <row r="13970" spans="1:34" ht="14.25" customHeight="1" x14ac:dyDescent="0.25">
      <c r="A13970" s="3"/>
      <c r="B13970" s="3"/>
      <c r="C13970" s="3"/>
      <c r="D13970" s="3"/>
      <c r="E13970" s="3"/>
      <c r="F13970" s="3"/>
      <c r="G13970" s="3"/>
      <c r="H13970" s="11"/>
      <c r="I13970" s="12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  <c r="AA13970" s="3"/>
      <c r="AB13970" s="3"/>
      <c r="AC13970" s="3"/>
      <c r="AD13970" s="3"/>
      <c r="AE13970" s="3"/>
      <c r="AF13970" s="3"/>
      <c r="AG13970" s="3"/>
      <c r="AH13970" s="3"/>
    </row>
    <row r="13971" spans="1:34" ht="14.25" customHeight="1" x14ac:dyDescent="0.25">
      <c r="A13971" s="3"/>
      <c r="B13971" s="3"/>
      <c r="C13971" s="3"/>
      <c r="D13971" s="3"/>
      <c r="E13971" s="3"/>
      <c r="F13971" s="3"/>
      <c r="G13971" s="3"/>
      <c r="H13971" s="11"/>
      <c r="I13971" s="12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  <c r="AA13971" s="3"/>
      <c r="AB13971" s="3"/>
      <c r="AC13971" s="3"/>
      <c r="AD13971" s="3"/>
      <c r="AE13971" s="3"/>
      <c r="AF13971" s="3"/>
      <c r="AG13971" s="3"/>
      <c r="AH13971" s="3"/>
    </row>
    <row r="13972" spans="1:34" ht="14.25" customHeight="1" x14ac:dyDescent="0.25">
      <c r="A13972" s="3"/>
      <c r="B13972" s="3"/>
      <c r="C13972" s="3"/>
      <c r="D13972" s="3"/>
      <c r="E13972" s="3"/>
      <c r="F13972" s="3"/>
      <c r="G13972" s="3"/>
      <c r="H13972" s="11"/>
      <c r="I13972" s="12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  <c r="AA13972" s="3"/>
      <c r="AB13972" s="3"/>
      <c r="AC13972" s="3"/>
      <c r="AD13972" s="3"/>
      <c r="AE13972" s="3"/>
      <c r="AF13972" s="3"/>
      <c r="AG13972" s="3"/>
      <c r="AH13972" s="3"/>
    </row>
    <row r="13973" spans="1:34" ht="14.25" customHeight="1" x14ac:dyDescent="0.25">
      <c r="A13973" s="3"/>
      <c r="B13973" s="3"/>
      <c r="C13973" s="3"/>
      <c r="D13973" s="3"/>
      <c r="E13973" s="3"/>
      <c r="F13973" s="3"/>
      <c r="G13973" s="3"/>
      <c r="H13973" s="11"/>
      <c r="I13973" s="12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  <c r="AA13973" s="3"/>
      <c r="AB13973" s="3"/>
      <c r="AC13973" s="3"/>
      <c r="AD13973" s="3"/>
      <c r="AE13973" s="3"/>
      <c r="AF13973" s="3"/>
      <c r="AG13973" s="3"/>
      <c r="AH13973" s="3"/>
    </row>
    <row r="13974" spans="1:34" ht="14.25" customHeight="1" x14ac:dyDescent="0.25">
      <c r="A13974" s="3"/>
      <c r="B13974" s="3"/>
      <c r="C13974" s="3"/>
      <c r="D13974" s="3"/>
      <c r="E13974" s="3"/>
      <c r="F13974" s="3"/>
      <c r="G13974" s="3"/>
      <c r="H13974" s="11"/>
      <c r="I13974" s="12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  <c r="AA13974" s="3"/>
      <c r="AB13974" s="3"/>
      <c r="AC13974" s="3"/>
      <c r="AD13974" s="3"/>
      <c r="AE13974" s="3"/>
      <c r="AF13974" s="3"/>
      <c r="AG13974" s="3"/>
      <c r="AH13974" s="3"/>
    </row>
    <row r="13975" spans="1:34" ht="14.25" customHeight="1" x14ac:dyDescent="0.25">
      <c r="A13975" s="3"/>
      <c r="B13975" s="3"/>
      <c r="C13975" s="3"/>
      <c r="D13975" s="3"/>
      <c r="E13975" s="3"/>
      <c r="F13975" s="3"/>
      <c r="G13975" s="3"/>
      <c r="H13975" s="11"/>
      <c r="I13975" s="12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  <c r="AA13975" s="3"/>
      <c r="AB13975" s="3"/>
      <c r="AC13975" s="3"/>
      <c r="AD13975" s="3"/>
      <c r="AE13975" s="3"/>
      <c r="AF13975" s="3"/>
      <c r="AG13975" s="3"/>
      <c r="AH13975" s="3"/>
    </row>
    <row r="13976" spans="1:34" ht="14.25" customHeight="1" x14ac:dyDescent="0.25">
      <c r="A13976" s="3"/>
      <c r="B13976" s="3"/>
      <c r="C13976" s="3"/>
      <c r="D13976" s="3"/>
      <c r="E13976" s="3"/>
      <c r="F13976" s="3"/>
      <c r="G13976" s="3"/>
      <c r="H13976" s="11"/>
      <c r="I13976" s="12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  <c r="AA13976" s="3"/>
      <c r="AB13976" s="3"/>
      <c r="AC13976" s="3"/>
      <c r="AD13976" s="3"/>
      <c r="AE13976" s="3"/>
      <c r="AF13976" s="3"/>
      <c r="AG13976" s="3"/>
      <c r="AH13976" s="3"/>
    </row>
    <row r="13977" spans="1:34" ht="14.25" customHeight="1" x14ac:dyDescent="0.25">
      <c r="A13977" s="3"/>
      <c r="B13977" s="3"/>
      <c r="C13977" s="3"/>
      <c r="D13977" s="3"/>
      <c r="E13977" s="3"/>
      <c r="F13977" s="3"/>
      <c r="G13977" s="3"/>
      <c r="H13977" s="11"/>
      <c r="I13977" s="12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  <c r="AA13977" s="3"/>
      <c r="AB13977" s="3"/>
      <c r="AC13977" s="3"/>
      <c r="AD13977" s="3"/>
      <c r="AE13977" s="3"/>
      <c r="AF13977" s="3"/>
      <c r="AG13977" s="3"/>
      <c r="AH13977" s="3"/>
    </row>
    <row r="13978" spans="1:34" ht="14.25" customHeight="1" x14ac:dyDescent="0.25">
      <c r="A13978" s="3"/>
      <c r="B13978" s="3"/>
      <c r="C13978" s="3"/>
      <c r="D13978" s="3"/>
      <c r="E13978" s="3"/>
      <c r="F13978" s="3"/>
      <c r="G13978" s="3"/>
      <c r="H13978" s="11"/>
      <c r="I13978" s="12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  <c r="AA13978" s="3"/>
      <c r="AB13978" s="3"/>
      <c r="AC13978" s="3"/>
      <c r="AD13978" s="3"/>
      <c r="AE13978" s="3"/>
      <c r="AF13978" s="3"/>
      <c r="AG13978" s="3"/>
      <c r="AH13978" s="3"/>
    </row>
    <row r="13979" spans="1:34" ht="14.25" customHeight="1" x14ac:dyDescent="0.25">
      <c r="A13979" s="3"/>
      <c r="B13979" s="3"/>
      <c r="C13979" s="3"/>
      <c r="D13979" s="3"/>
      <c r="E13979" s="3"/>
      <c r="F13979" s="3"/>
      <c r="G13979" s="3"/>
      <c r="H13979" s="11"/>
      <c r="I13979" s="12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  <c r="AA13979" s="3"/>
      <c r="AB13979" s="3"/>
      <c r="AC13979" s="3"/>
      <c r="AD13979" s="3"/>
      <c r="AE13979" s="3"/>
      <c r="AF13979" s="3"/>
      <c r="AG13979" s="3"/>
      <c r="AH13979" s="3"/>
    </row>
    <row r="13980" spans="1:34" ht="14.25" customHeight="1" x14ac:dyDescent="0.25">
      <c r="A13980" s="3"/>
      <c r="B13980" s="3"/>
      <c r="C13980" s="3"/>
      <c r="D13980" s="3"/>
      <c r="E13980" s="3"/>
      <c r="F13980" s="3"/>
      <c r="G13980" s="3"/>
      <c r="H13980" s="11"/>
      <c r="I13980" s="12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  <c r="AA13980" s="3"/>
      <c r="AB13980" s="3"/>
      <c r="AC13980" s="3"/>
      <c r="AD13980" s="3"/>
      <c r="AE13980" s="3"/>
      <c r="AF13980" s="3"/>
      <c r="AG13980" s="3"/>
      <c r="AH13980" s="3"/>
    </row>
    <row r="13981" spans="1:34" ht="14.25" customHeight="1" x14ac:dyDescent="0.25">
      <c r="A13981" s="3"/>
      <c r="B13981" s="3"/>
      <c r="C13981" s="3"/>
      <c r="D13981" s="3"/>
      <c r="E13981" s="3"/>
      <c r="F13981" s="3"/>
      <c r="G13981" s="3"/>
      <c r="H13981" s="11"/>
      <c r="I13981" s="12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  <c r="AA13981" s="3"/>
      <c r="AB13981" s="3"/>
      <c r="AC13981" s="3"/>
      <c r="AD13981" s="3"/>
      <c r="AE13981" s="3"/>
      <c r="AF13981" s="3"/>
      <c r="AG13981" s="3"/>
      <c r="AH13981" s="3"/>
    </row>
    <row r="13982" spans="1:34" ht="14.25" customHeight="1" x14ac:dyDescent="0.25">
      <c r="A13982" s="3"/>
      <c r="B13982" s="3"/>
      <c r="C13982" s="3"/>
      <c r="D13982" s="3"/>
      <c r="E13982" s="3"/>
      <c r="F13982" s="3"/>
      <c r="G13982" s="3"/>
      <c r="H13982" s="11"/>
      <c r="I13982" s="12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  <c r="AA13982" s="3"/>
      <c r="AB13982" s="3"/>
      <c r="AC13982" s="3"/>
      <c r="AD13982" s="3"/>
      <c r="AE13982" s="3"/>
      <c r="AF13982" s="3"/>
      <c r="AG13982" s="3"/>
      <c r="AH13982" s="3"/>
    </row>
    <row r="13983" spans="1:34" ht="14.25" customHeight="1" x14ac:dyDescent="0.25">
      <c r="A13983" s="3"/>
      <c r="B13983" s="3"/>
      <c r="C13983" s="3"/>
      <c r="D13983" s="3"/>
      <c r="E13983" s="3"/>
      <c r="F13983" s="3"/>
      <c r="G13983" s="3"/>
      <c r="H13983" s="11"/>
      <c r="I13983" s="12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  <c r="AA13983" s="3"/>
      <c r="AB13983" s="3"/>
      <c r="AC13983" s="3"/>
      <c r="AD13983" s="3"/>
      <c r="AE13983" s="3"/>
      <c r="AF13983" s="3"/>
      <c r="AG13983" s="3"/>
      <c r="AH13983" s="3"/>
    </row>
    <row r="13984" spans="1:34" ht="14.25" customHeight="1" x14ac:dyDescent="0.25">
      <c r="A13984" s="3"/>
      <c r="B13984" s="3"/>
      <c r="C13984" s="3"/>
      <c r="D13984" s="3"/>
      <c r="E13984" s="3"/>
      <c r="F13984" s="3"/>
      <c r="G13984" s="3"/>
      <c r="H13984" s="11"/>
      <c r="I13984" s="12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  <c r="AA13984" s="3"/>
      <c r="AB13984" s="3"/>
      <c r="AC13984" s="3"/>
      <c r="AD13984" s="3"/>
      <c r="AE13984" s="3"/>
      <c r="AF13984" s="3"/>
      <c r="AG13984" s="3"/>
      <c r="AH13984" s="3"/>
    </row>
    <row r="13985" spans="1:34" ht="14.25" customHeight="1" x14ac:dyDescent="0.25">
      <c r="A13985" s="3"/>
      <c r="B13985" s="3"/>
      <c r="C13985" s="3"/>
      <c r="D13985" s="3"/>
      <c r="E13985" s="3"/>
      <c r="F13985" s="3"/>
      <c r="G13985" s="3"/>
      <c r="H13985" s="11"/>
      <c r="I13985" s="12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  <c r="AA13985" s="3"/>
      <c r="AB13985" s="3"/>
      <c r="AC13985" s="3"/>
      <c r="AD13985" s="3"/>
      <c r="AE13985" s="3"/>
      <c r="AF13985" s="3"/>
      <c r="AG13985" s="3"/>
      <c r="AH13985" s="3"/>
    </row>
    <row r="13986" spans="1:34" ht="14.25" customHeight="1" x14ac:dyDescent="0.25">
      <c r="A13986" s="3"/>
      <c r="B13986" s="3"/>
      <c r="C13986" s="3"/>
      <c r="D13986" s="3"/>
      <c r="E13986" s="3"/>
      <c r="F13986" s="3"/>
      <c r="G13986" s="3"/>
      <c r="H13986" s="11"/>
      <c r="I13986" s="12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  <c r="AA13986" s="3"/>
      <c r="AB13986" s="3"/>
      <c r="AC13986" s="3"/>
      <c r="AD13986" s="3"/>
      <c r="AE13986" s="3"/>
      <c r="AF13986" s="3"/>
      <c r="AG13986" s="3"/>
      <c r="AH13986" s="3"/>
    </row>
    <row r="13987" spans="1:34" ht="14.25" customHeight="1" x14ac:dyDescent="0.25">
      <c r="A13987" s="3"/>
      <c r="B13987" s="3"/>
      <c r="C13987" s="3"/>
      <c r="D13987" s="3"/>
      <c r="E13987" s="3"/>
      <c r="F13987" s="3"/>
      <c r="G13987" s="3"/>
      <c r="H13987" s="11"/>
      <c r="I13987" s="12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  <c r="AA13987" s="3"/>
      <c r="AB13987" s="3"/>
      <c r="AC13987" s="3"/>
      <c r="AD13987" s="3"/>
      <c r="AE13987" s="3"/>
      <c r="AF13987" s="3"/>
      <c r="AG13987" s="3"/>
      <c r="AH13987" s="3"/>
    </row>
    <row r="13988" spans="1:34" ht="14.25" customHeight="1" x14ac:dyDescent="0.25">
      <c r="A13988" s="3"/>
      <c r="B13988" s="3"/>
      <c r="C13988" s="3"/>
      <c r="D13988" s="3"/>
      <c r="E13988" s="3"/>
      <c r="F13988" s="3"/>
      <c r="G13988" s="3"/>
      <c r="H13988" s="11"/>
      <c r="I13988" s="12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  <c r="AA13988" s="3"/>
      <c r="AB13988" s="3"/>
      <c r="AC13988" s="3"/>
      <c r="AD13988" s="3"/>
      <c r="AE13988" s="3"/>
      <c r="AF13988" s="3"/>
      <c r="AG13988" s="3"/>
      <c r="AH13988" s="3"/>
    </row>
    <row r="13989" spans="1:34" ht="14.25" customHeight="1" x14ac:dyDescent="0.25">
      <c r="A13989" s="3"/>
      <c r="B13989" s="3"/>
      <c r="C13989" s="3"/>
      <c r="D13989" s="3"/>
      <c r="E13989" s="3"/>
      <c r="F13989" s="3"/>
      <c r="G13989" s="3"/>
      <c r="H13989" s="11"/>
      <c r="I13989" s="12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  <c r="AA13989" s="3"/>
      <c r="AB13989" s="3"/>
      <c r="AC13989" s="3"/>
      <c r="AD13989" s="3"/>
      <c r="AE13989" s="3"/>
      <c r="AF13989" s="3"/>
      <c r="AG13989" s="3"/>
      <c r="AH13989" s="3"/>
    </row>
    <row r="13990" spans="1:34" ht="14.25" customHeight="1" x14ac:dyDescent="0.25">
      <c r="A13990" s="3"/>
      <c r="B13990" s="3"/>
      <c r="C13990" s="3"/>
      <c r="D13990" s="3"/>
      <c r="E13990" s="3"/>
      <c r="F13990" s="3"/>
      <c r="G13990" s="3"/>
      <c r="H13990" s="11"/>
      <c r="I13990" s="12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  <c r="AA13990" s="3"/>
      <c r="AB13990" s="3"/>
      <c r="AC13990" s="3"/>
      <c r="AD13990" s="3"/>
      <c r="AE13990" s="3"/>
      <c r="AF13990" s="3"/>
      <c r="AG13990" s="3"/>
      <c r="AH13990" s="3"/>
    </row>
    <row r="13991" spans="1:34" ht="14.25" customHeight="1" x14ac:dyDescent="0.25">
      <c r="A13991" s="3"/>
      <c r="B13991" s="3"/>
      <c r="C13991" s="3"/>
      <c r="D13991" s="3"/>
      <c r="E13991" s="3"/>
      <c r="F13991" s="3"/>
      <c r="G13991" s="3"/>
      <c r="H13991" s="11"/>
      <c r="I13991" s="12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  <c r="AA13991" s="3"/>
      <c r="AB13991" s="3"/>
      <c r="AC13991" s="3"/>
      <c r="AD13991" s="3"/>
      <c r="AE13991" s="3"/>
      <c r="AF13991" s="3"/>
      <c r="AG13991" s="3"/>
      <c r="AH13991" s="3"/>
    </row>
    <row r="13992" spans="1:34" ht="14.25" customHeight="1" x14ac:dyDescent="0.25">
      <c r="A13992" s="3"/>
      <c r="B13992" s="3"/>
      <c r="C13992" s="3"/>
      <c r="D13992" s="3"/>
      <c r="E13992" s="3"/>
      <c r="F13992" s="3"/>
      <c r="G13992" s="3"/>
      <c r="H13992" s="11"/>
      <c r="I13992" s="12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  <c r="AA13992" s="3"/>
      <c r="AB13992" s="3"/>
      <c r="AC13992" s="3"/>
      <c r="AD13992" s="3"/>
      <c r="AE13992" s="3"/>
      <c r="AF13992" s="3"/>
      <c r="AG13992" s="3"/>
      <c r="AH13992" s="3"/>
    </row>
    <row r="13993" spans="1:34" ht="14.25" customHeight="1" x14ac:dyDescent="0.25">
      <c r="A13993" s="3"/>
      <c r="B13993" s="3"/>
      <c r="C13993" s="3"/>
      <c r="D13993" s="3"/>
      <c r="E13993" s="3"/>
      <c r="F13993" s="3"/>
      <c r="G13993" s="3"/>
      <c r="H13993" s="11"/>
      <c r="I13993" s="12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  <c r="AA13993" s="3"/>
      <c r="AB13993" s="3"/>
      <c r="AC13993" s="3"/>
      <c r="AD13993" s="3"/>
      <c r="AE13993" s="3"/>
      <c r="AF13993" s="3"/>
      <c r="AG13993" s="3"/>
      <c r="AH13993" s="3"/>
    </row>
    <row r="13994" spans="1:34" ht="14.25" customHeight="1" x14ac:dyDescent="0.25">
      <c r="A13994" s="3"/>
      <c r="B13994" s="3"/>
      <c r="C13994" s="3"/>
      <c r="D13994" s="3"/>
      <c r="E13994" s="3"/>
      <c r="F13994" s="3"/>
      <c r="G13994" s="3"/>
      <c r="H13994" s="11"/>
      <c r="I13994" s="12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  <c r="AA13994" s="3"/>
      <c r="AB13994" s="3"/>
      <c r="AC13994" s="3"/>
      <c r="AD13994" s="3"/>
      <c r="AE13994" s="3"/>
      <c r="AF13994" s="3"/>
      <c r="AG13994" s="3"/>
      <c r="AH13994" s="3"/>
    </row>
    <row r="13995" spans="1:34" ht="14.25" customHeight="1" x14ac:dyDescent="0.25">
      <c r="A13995" s="3"/>
      <c r="B13995" s="3"/>
      <c r="C13995" s="3"/>
      <c r="D13995" s="3"/>
      <c r="E13995" s="3"/>
      <c r="F13995" s="3"/>
      <c r="G13995" s="3"/>
      <c r="H13995" s="11"/>
      <c r="I13995" s="12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  <c r="AA13995" s="3"/>
      <c r="AB13995" s="3"/>
      <c r="AC13995" s="3"/>
      <c r="AD13995" s="3"/>
      <c r="AE13995" s="3"/>
      <c r="AF13995" s="3"/>
      <c r="AG13995" s="3"/>
      <c r="AH13995" s="3"/>
    </row>
    <row r="13996" spans="1:34" ht="14.25" customHeight="1" x14ac:dyDescent="0.25">
      <c r="A13996" s="3"/>
      <c r="B13996" s="3"/>
      <c r="C13996" s="3"/>
      <c r="D13996" s="3"/>
      <c r="E13996" s="3"/>
      <c r="F13996" s="3"/>
      <c r="G13996" s="3"/>
      <c r="H13996" s="11"/>
      <c r="I13996" s="12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  <c r="AA13996" s="3"/>
      <c r="AB13996" s="3"/>
      <c r="AC13996" s="3"/>
      <c r="AD13996" s="3"/>
      <c r="AE13996" s="3"/>
      <c r="AF13996" s="3"/>
      <c r="AG13996" s="3"/>
      <c r="AH13996" s="3"/>
    </row>
    <row r="13997" spans="1:34" ht="14.25" customHeight="1" x14ac:dyDescent="0.25">
      <c r="A13997" s="3"/>
      <c r="B13997" s="3"/>
      <c r="C13997" s="3"/>
      <c r="D13997" s="3"/>
      <c r="E13997" s="3"/>
      <c r="F13997" s="3"/>
      <c r="G13997" s="3"/>
      <c r="H13997" s="11"/>
      <c r="I13997" s="12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  <c r="AA13997" s="3"/>
      <c r="AB13997" s="3"/>
      <c r="AC13997" s="3"/>
      <c r="AD13997" s="3"/>
      <c r="AE13997" s="3"/>
      <c r="AF13997" s="3"/>
      <c r="AG13997" s="3"/>
      <c r="AH13997" s="3"/>
    </row>
    <row r="13998" spans="1:34" ht="14.25" customHeight="1" x14ac:dyDescent="0.25">
      <c r="A13998" s="3"/>
      <c r="B13998" s="3"/>
      <c r="C13998" s="3"/>
      <c r="D13998" s="3"/>
      <c r="E13998" s="3"/>
      <c r="F13998" s="3"/>
      <c r="G13998" s="3"/>
      <c r="H13998" s="11"/>
      <c r="I13998" s="12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  <c r="AA13998" s="3"/>
      <c r="AB13998" s="3"/>
      <c r="AC13998" s="3"/>
      <c r="AD13998" s="3"/>
      <c r="AE13998" s="3"/>
      <c r="AF13998" s="3"/>
      <c r="AG13998" s="3"/>
      <c r="AH13998" s="3"/>
    </row>
    <row r="13999" spans="1:34" ht="14.25" customHeight="1" x14ac:dyDescent="0.25">
      <c r="A13999" s="3"/>
      <c r="B13999" s="3"/>
      <c r="C13999" s="3"/>
      <c r="D13999" s="3"/>
      <c r="E13999" s="3"/>
      <c r="F13999" s="3"/>
      <c r="G13999" s="3"/>
      <c r="H13999" s="11"/>
      <c r="I13999" s="12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  <c r="AA13999" s="3"/>
      <c r="AB13999" s="3"/>
      <c r="AC13999" s="3"/>
      <c r="AD13999" s="3"/>
      <c r="AE13999" s="3"/>
      <c r="AF13999" s="3"/>
      <c r="AG13999" s="3"/>
      <c r="AH13999" s="3"/>
    </row>
    <row r="14000" spans="1:34" ht="14.25" customHeight="1" x14ac:dyDescent="0.25">
      <c r="A14000" s="3"/>
      <c r="B14000" s="3"/>
      <c r="C14000" s="3"/>
      <c r="D14000" s="3"/>
      <c r="E14000" s="3"/>
      <c r="F14000" s="3"/>
      <c r="G14000" s="3"/>
      <c r="H14000" s="11"/>
      <c r="I14000" s="12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  <c r="AA14000" s="3"/>
      <c r="AB14000" s="3"/>
      <c r="AC14000" s="3"/>
      <c r="AD14000" s="3"/>
      <c r="AE14000" s="3"/>
      <c r="AF14000" s="3"/>
      <c r="AG14000" s="3"/>
      <c r="AH14000" s="3"/>
    </row>
    <row r="14001" spans="1:34" ht="14.25" customHeight="1" x14ac:dyDescent="0.25">
      <c r="A14001" s="3"/>
      <c r="B14001" s="3"/>
      <c r="C14001" s="3"/>
      <c r="D14001" s="3"/>
      <c r="E14001" s="3"/>
      <c r="F14001" s="3"/>
      <c r="G14001" s="3"/>
      <c r="H14001" s="11"/>
      <c r="I14001" s="12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  <c r="AA14001" s="3"/>
      <c r="AB14001" s="3"/>
      <c r="AC14001" s="3"/>
      <c r="AD14001" s="3"/>
      <c r="AE14001" s="3"/>
      <c r="AF14001" s="3"/>
      <c r="AG14001" s="3"/>
      <c r="AH14001" s="3"/>
    </row>
    <row r="14002" spans="1:34" ht="14.25" customHeight="1" x14ac:dyDescent="0.25">
      <c r="A14002" s="3"/>
      <c r="B14002" s="3"/>
      <c r="C14002" s="3"/>
      <c r="D14002" s="3"/>
      <c r="E14002" s="3"/>
      <c r="F14002" s="3"/>
      <c r="G14002" s="3"/>
      <c r="H14002" s="11"/>
      <c r="I14002" s="12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  <c r="AA14002" s="3"/>
      <c r="AB14002" s="3"/>
      <c r="AC14002" s="3"/>
      <c r="AD14002" s="3"/>
      <c r="AE14002" s="3"/>
      <c r="AF14002" s="3"/>
      <c r="AG14002" s="3"/>
      <c r="AH14002" s="3"/>
    </row>
    <row r="14003" spans="1:34" ht="14.25" customHeight="1" x14ac:dyDescent="0.25">
      <c r="A14003" s="3"/>
      <c r="B14003" s="3"/>
      <c r="C14003" s="3"/>
      <c r="D14003" s="3"/>
      <c r="E14003" s="3"/>
      <c r="F14003" s="3"/>
      <c r="G14003" s="3"/>
      <c r="H14003" s="11"/>
      <c r="I14003" s="12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  <c r="AA14003" s="3"/>
      <c r="AB14003" s="3"/>
      <c r="AC14003" s="3"/>
      <c r="AD14003" s="3"/>
      <c r="AE14003" s="3"/>
      <c r="AF14003" s="3"/>
      <c r="AG14003" s="3"/>
      <c r="AH14003" s="3"/>
    </row>
    <row r="14004" spans="1:34" ht="14.25" customHeight="1" x14ac:dyDescent="0.25">
      <c r="A14004" s="3"/>
      <c r="B14004" s="3"/>
      <c r="C14004" s="3"/>
      <c r="D14004" s="3"/>
      <c r="E14004" s="3"/>
      <c r="F14004" s="3"/>
      <c r="G14004" s="3"/>
      <c r="H14004" s="11"/>
      <c r="I14004" s="12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  <c r="AA14004" s="3"/>
      <c r="AB14004" s="3"/>
      <c r="AC14004" s="3"/>
      <c r="AD14004" s="3"/>
      <c r="AE14004" s="3"/>
      <c r="AF14004" s="3"/>
      <c r="AG14004" s="3"/>
      <c r="AH14004" s="3"/>
    </row>
    <row r="14005" spans="1:34" ht="14.25" customHeight="1" x14ac:dyDescent="0.25">
      <c r="A14005" s="3"/>
      <c r="B14005" s="3"/>
      <c r="C14005" s="3"/>
      <c r="D14005" s="3"/>
      <c r="E14005" s="3"/>
      <c r="F14005" s="3"/>
      <c r="G14005" s="3"/>
      <c r="H14005" s="11"/>
      <c r="I14005" s="12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  <c r="AA14005" s="3"/>
      <c r="AB14005" s="3"/>
      <c r="AC14005" s="3"/>
      <c r="AD14005" s="3"/>
      <c r="AE14005" s="3"/>
      <c r="AF14005" s="3"/>
      <c r="AG14005" s="3"/>
      <c r="AH14005" s="3"/>
    </row>
    <row r="14006" spans="1:34" ht="14.25" customHeight="1" x14ac:dyDescent="0.25">
      <c r="A14006" s="3"/>
      <c r="B14006" s="3"/>
      <c r="C14006" s="3"/>
      <c r="D14006" s="3"/>
      <c r="E14006" s="3"/>
      <c r="F14006" s="3"/>
      <c r="G14006" s="3"/>
      <c r="H14006" s="11"/>
      <c r="I14006" s="12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  <c r="AA14006" s="3"/>
      <c r="AB14006" s="3"/>
      <c r="AC14006" s="3"/>
      <c r="AD14006" s="3"/>
      <c r="AE14006" s="3"/>
      <c r="AF14006" s="3"/>
      <c r="AG14006" s="3"/>
      <c r="AH14006" s="3"/>
    </row>
    <row r="14007" spans="1:34" ht="14.25" customHeight="1" x14ac:dyDescent="0.25">
      <c r="A14007" s="3"/>
      <c r="B14007" s="3"/>
      <c r="C14007" s="3"/>
      <c r="D14007" s="3"/>
      <c r="E14007" s="3"/>
      <c r="F14007" s="3"/>
      <c r="G14007" s="3"/>
      <c r="H14007" s="11"/>
      <c r="I14007" s="12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  <c r="AA14007" s="3"/>
      <c r="AB14007" s="3"/>
      <c r="AC14007" s="3"/>
      <c r="AD14007" s="3"/>
      <c r="AE14007" s="3"/>
      <c r="AF14007" s="3"/>
      <c r="AG14007" s="3"/>
      <c r="AH14007" s="3"/>
    </row>
    <row r="14008" spans="1:34" ht="14.25" customHeight="1" x14ac:dyDescent="0.25">
      <c r="A14008" s="3"/>
      <c r="B14008" s="3"/>
      <c r="C14008" s="3"/>
      <c r="D14008" s="3"/>
      <c r="E14008" s="3"/>
      <c r="F14008" s="3"/>
      <c r="G14008" s="3"/>
      <c r="H14008" s="11"/>
      <c r="I14008" s="12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  <c r="AA14008" s="3"/>
      <c r="AB14008" s="3"/>
      <c r="AC14008" s="3"/>
      <c r="AD14008" s="3"/>
      <c r="AE14008" s="3"/>
      <c r="AF14008" s="3"/>
      <c r="AG14008" s="3"/>
      <c r="AH14008" s="3"/>
    </row>
    <row r="14009" spans="1:34" ht="14.25" customHeight="1" x14ac:dyDescent="0.25">
      <c r="A14009" s="3"/>
      <c r="B14009" s="3"/>
      <c r="C14009" s="3"/>
      <c r="D14009" s="3"/>
      <c r="E14009" s="3"/>
      <c r="F14009" s="3"/>
      <c r="G14009" s="3"/>
      <c r="H14009" s="11"/>
      <c r="I14009" s="12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  <c r="AA14009" s="3"/>
      <c r="AB14009" s="3"/>
      <c r="AC14009" s="3"/>
      <c r="AD14009" s="3"/>
      <c r="AE14009" s="3"/>
      <c r="AF14009" s="3"/>
      <c r="AG14009" s="3"/>
      <c r="AH14009" s="3"/>
    </row>
    <row r="14010" spans="1:34" ht="14.25" customHeight="1" x14ac:dyDescent="0.25">
      <c r="A14010" s="3"/>
      <c r="B14010" s="3"/>
      <c r="C14010" s="3"/>
      <c r="D14010" s="3"/>
      <c r="E14010" s="3"/>
      <c r="F14010" s="3"/>
      <c r="G14010" s="3"/>
      <c r="H14010" s="11"/>
      <c r="I14010" s="12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  <c r="AA14010" s="3"/>
      <c r="AB14010" s="3"/>
      <c r="AC14010" s="3"/>
      <c r="AD14010" s="3"/>
      <c r="AE14010" s="3"/>
      <c r="AF14010" s="3"/>
      <c r="AG14010" s="3"/>
      <c r="AH14010" s="3"/>
    </row>
    <row r="14011" spans="1:34" ht="14.25" customHeight="1" x14ac:dyDescent="0.25">
      <c r="A14011" s="3"/>
      <c r="B14011" s="3"/>
      <c r="C14011" s="3"/>
      <c r="D14011" s="3"/>
      <c r="E14011" s="3"/>
      <c r="F14011" s="3"/>
      <c r="G14011" s="3"/>
      <c r="H14011" s="11"/>
      <c r="I14011" s="12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  <c r="AA14011" s="3"/>
      <c r="AB14011" s="3"/>
      <c r="AC14011" s="3"/>
      <c r="AD14011" s="3"/>
      <c r="AE14011" s="3"/>
      <c r="AF14011" s="3"/>
      <c r="AG14011" s="3"/>
      <c r="AH14011" s="3"/>
    </row>
    <row r="14012" spans="1:34" ht="14.25" customHeight="1" x14ac:dyDescent="0.25">
      <c r="A14012" s="3"/>
      <c r="B14012" s="3"/>
      <c r="C14012" s="3"/>
      <c r="D14012" s="3"/>
      <c r="E14012" s="3"/>
      <c r="F14012" s="3"/>
      <c r="G14012" s="3"/>
      <c r="H14012" s="11"/>
      <c r="I14012" s="12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  <c r="AA14012" s="3"/>
      <c r="AB14012" s="3"/>
      <c r="AC14012" s="3"/>
      <c r="AD14012" s="3"/>
      <c r="AE14012" s="3"/>
      <c r="AF14012" s="3"/>
      <c r="AG14012" s="3"/>
      <c r="AH14012" s="3"/>
    </row>
    <row r="14013" spans="1:34" ht="14.25" customHeight="1" x14ac:dyDescent="0.25">
      <c r="A14013" s="3"/>
      <c r="B14013" s="3"/>
      <c r="C14013" s="3"/>
      <c r="D14013" s="3"/>
      <c r="E14013" s="3"/>
      <c r="F14013" s="3"/>
      <c r="G14013" s="3"/>
      <c r="H14013" s="11"/>
      <c r="I14013" s="12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  <c r="AA14013" s="3"/>
      <c r="AB14013" s="3"/>
      <c r="AC14013" s="3"/>
      <c r="AD14013" s="3"/>
      <c r="AE14013" s="3"/>
      <c r="AF14013" s="3"/>
      <c r="AG14013" s="3"/>
      <c r="AH14013" s="3"/>
    </row>
    <row r="14014" spans="1:34" ht="14.25" customHeight="1" x14ac:dyDescent="0.25">
      <c r="A14014" s="3"/>
      <c r="B14014" s="3"/>
      <c r="C14014" s="3"/>
      <c r="D14014" s="3"/>
      <c r="E14014" s="3"/>
      <c r="F14014" s="3"/>
      <c r="G14014" s="3"/>
      <c r="H14014" s="11"/>
      <c r="I14014" s="12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  <c r="AA14014" s="3"/>
      <c r="AB14014" s="3"/>
      <c r="AC14014" s="3"/>
      <c r="AD14014" s="3"/>
      <c r="AE14014" s="3"/>
      <c r="AF14014" s="3"/>
      <c r="AG14014" s="3"/>
      <c r="AH14014" s="3"/>
    </row>
    <row r="14015" spans="1:34" ht="14.25" customHeight="1" x14ac:dyDescent="0.25">
      <c r="A14015" s="3"/>
      <c r="B14015" s="3"/>
      <c r="C14015" s="3"/>
      <c r="D14015" s="3"/>
      <c r="E14015" s="3"/>
      <c r="F14015" s="3"/>
      <c r="G14015" s="3"/>
      <c r="H14015" s="11"/>
      <c r="I14015" s="12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  <c r="AA14015" s="3"/>
      <c r="AB14015" s="3"/>
      <c r="AC14015" s="3"/>
      <c r="AD14015" s="3"/>
      <c r="AE14015" s="3"/>
      <c r="AF14015" s="3"/>
      <c r="AG14015" s="3"/>
      <c r="AH14015" s="3"/>
    </row>
    <row r="14016" spans="1:34" ht="14.25" customHeight="1" x14ac:dyDescent="0.25">
      <c r="A14016" s="3"/>
      <c r="B14016" s="3"/>
      <c r="C14016" s="3"/>
      <c r="D14016" s="3"/>
      <c r="E14016" s="3"/>
      <c r="F14016" s="3"/>
      <c r="G14016" s="3"/>
      <c r="H14016" s="11"/>
      <c r="I14016" s="12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  <c r="AA14016" s="3"/>
      <c r="AB14016" s="3"/>
      <c r="AC14016" s="3"/>
      <c r="AD14016" s="3"/>
      <c r="AE14016" s="3"/>
      <c r="AF14016" s="3"/>
      <c r="AG14016" s="3"/>
      <c r="AH14016" s="3"/>
    </row>
    <row r="14017" spans="1:34" ht="14.25" customHeight="1" x14ac:dyDescent="0.25">
      <c r="A14017" s="3"/>
      <c r="B14017" s="3"/>
      <c r="C14017" s="3"/>
      <c r="D14017" s="3"/>
      <c r="E14017" s="3"/>
      <c r="F14017" s="3"/>
      <c r="G14017" s="3"/>
      <c r="H14017" s="11"/>
      <c r="I14017" s="12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  <c r="AA14017" s="3"/>
      <c r="AB14017" s="3"/>
      <c r="AC14017" s="3"/>
      <c r="AD14017" s="3"/>
      <c r="AE14017" s="3"/>
      <c r="AF14017" s="3"/>
      <c r="AG14017" s="3"/>
      <c r="AH14017" s="3"/>
    </row>
    <row r="14018" spans="1:34" ht="14.25" customHeight="1" x14ac:dyDescent="0.25">
      <c r="A14018" s="3"/>
      <c r="B14018" s="3"/>
      <c r="C14018" s="3"/>
      <c r="D14018" s="3"/>
      <c r="E14018" s="3"/>
      <c r="F14018" s="3"/>
      <c r="G14018" s="3"/>
      <c r="H14018" s="11"/>
      <c r="I14018" s="12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  <c r="AA14018" s="3"/>
      <c r="AB14018" s="3"/>
      <c r="AC14018" s="3"/>
      <c r="AD14018" s="3"/>
      <c r="AE14018" s="3"/>
      <c r="AF14018" s="3"/>
      <c r="AG14018" s="3"/>
      <c r="AH14018" s="3"/>
    </row>
    <row r="14019" spans="1:34" ht="14.25" customHeight="1" x14ac:dyDescent="0.25">
      <c r="A14019" s="3"/>
      <c r="B14019" s="3"/>
      <c r="C14019" s="3"/>
      <c r="D14019" s="3"/>
      <c r="E14019" s="3"/>
      <c r="F14019" s="3"/>
      <c r="G14019" s="3"/>
      <c r="H14019" s="11"/>
      <c r="I14019" s="12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  <c r="AA14019" s="3"/>
      <c r="AB14019" s="3"/>
      <c r="AC14019" s="3"/>
      <c r="AD14019" s="3"/>
      <c r="AE14019" s="3"/>
      <c r="AF14019" s="3"/>
      <c r="AG14019" s="3"/>
      <c r="AH14019" s="3"/>
    </row>
    <row r="14020" spans="1:34" ht="14.25" customHeight="1" x14ac:dyDescent="0.25">
      <c r="A14020" s="3"/>
      <c r="B14020" s="3"/>
      <c r="C14020" s="3"/>
      <c r="D14020" s="3"/>
      <c r="E14020" s="3"/>
      <c r="F14020" s="3"/>
      <c r="G14020" s="3"/>
      <c r="H14020" s="11"/>
      <c r="I14020" s="12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  <c r="AA14020" s="3"/>
      <c r="AB14020" s="3"/>
      <c r="AC14020" s="3"/>
      <c r="AD14020" s="3"/>
      <c r="AE14020" s="3"/>
      <c r="AF14020" s="3"/>
      <c r="AG14020" s="3"/>
      <c r="AH14020" s="3"/>
    </row>
    <row r="14021" spans="1:34" ht="14.25" customHeight="1" x14ac:dyDescent="0.25">
      <c r="A14021" s="3"/>
      <c r="B14021" s="3"/>
      <c r="C14021" s="3"/>
      <c r="D14021" s="3"/>
      <c r="E14021" s="3"/>
      <c r="F14021" s="3"/>
      <c r="G14021" s="3"/>
      <c r="H14021" s="11"/>
      <c r="I14021" s="12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  <c r="AA14021" s="3"/>
      <c r="AB14021" s="3"/>
      <c r="AC14021" s="3"/>
      <c r="AD14021" s="3"/>
      <c r="AE14021" s="3"/>
      <c r="AF14021" s="3"/>
      <c r="AG14021" s="3"/>
      <c r="AH14021" s="3"/>
    </row>
    <row r="14022" spans="1:34" ht="14.25" customHeight="1" x14ac:dyDescent="0.25">
      <c r="A14022" s="3"/>
      <c r="B14022" s="3"/>
      <c r="C14022" s="3"/>
      <c r="D14022" s="3"/>
      <c r="E14022" s="3"/>
      <c r="F14022" s="3"/>
      <c r="G14022" s="3"/>
      <c r="H14022" s="11"/>
      <c r="I14022" s="12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  <c r="AA14022" s="3"/>
      <c r="AB14022" s="3"/>
      <c r="AC14022" s="3"/>
      <c r="AD14022" s="3"/>
      <c r="AE14022" s="3"/>
      <c r="AF14022" s="3"/>
      <c r="AG14022" s="3"/>
      <c r="AH14022" s="3"/>
    </row>
    <row r="14023" spans="1:34" ht="14.25" customHeight="1" x14ac:dyDescent="0.25">
      <c r="A14023" s="3"/>
      <c r="B14023" s="3"/>
      <c r="C14023" s="3"/>
      <c r="D14023" s="3"/>
      <c r="E14023" s="3"/>
      <c r="F14023" s="3"/>
      <c r="G14023" s="3"/>
      <c r="H14023" s="11"/>
      <c r="I14023" s="12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  <c r="AA14023" s="3"/>
      <c r="AB14023" s="3"/>
      <c r="AC14023" s="3"/>
      <c r="AD14023" s="3"/>
      <c r="AE14023" s="3"/>
      <c r="AF14023" s="3"/>
      <c r="AG14023" s="3"/>
      <c r="AH14023" s="3"/>
    </row>
    <row r="14024" spans="1:34" ht="14.25" customHeight="1" x14ac:dyDescent="0.25">
      <c r="A14024" s="3"/>
      <c r="B14024" s="3"/>
      <c r="C14024" s="3"/>
      <c r="D14024" s="3"/>
      <c r="E14024" s="3"/>
      <c r="F14024" s="3"/>
      <c r="G14024" s="3"/>
      <c r="H14024" s="11"/>
      <c r="I14024" s="12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  <c r="AA14024" s="3"/>
      <c r="AB14024" s="3"/>
      <c r="AC14024" s="3"/>
      <c r="AD14024" s="3"/>
      <c r="AE14024" s="3"/>
      <c r="AF14024" s="3"/>
      <c r="AG14024" s="3"/>
      <c r="AH14024" s="3"/>
    </row>
    <row r="14025" spans="1:34" ht="14.25" customHeight="1" x14ac:dyDescent="0.25">
      <c r="A14025" s="3"/>
      <c r="B14025" s="3"/>
      <c r="C14025" s="3"/>
      <c r="D14025" s="3"/>
      <c r="E14025" s="3"/>
      <c r="F14025" s="3"/>
      <c r="G14025" s="3"/>
      <c r="H14025" s="11"/>
      <c r="I14025" s="12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  <c r="AA14025" s="3"/>
      <c r="AB14025" s="3"/>
      <c r="AC14025" s="3"/>
      <c r="AD14025" s="3"/>
      <c r="AE14025" s="3"/>
      <c r="AF14025" s="3"/>
      <c r="AG14025" s="3"/>
      <c r="AH14025" s="3"/>
    </row>
    <row r="14026" spans="1:34" ht="14.25" customHeight="1" x14ac:dyDescent="0.25">
      <c r="A14026" s="3"/>
      <c r="B14026" s="3"/>
      <c r="C14026" s="3"/>
      <c r="D14026" s="3"/>
      <c r="E14026" s="3"/>
      <c r="F14026" s="3"/>
      <c r="G14026" s="3"/>
      <c r="H14026" s="11"/>
      <c r="I14026" s="12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  <c r="AA14026" s="3"/>
      <c r="AB14026" s="3"/>
      <c r="AC14026" s="3"/>
      <c r="AD14026" s="3"/>
      <c r="AE14026" s="3"/>
      <c r="AF14026" s="3"/>
      <c r="AG14026" s="3"/>
      <c r="AH14026" s="3"/>
    </row>
    <row r="14027" spans="1:34" ht="14.25" customHeight="1" x14ac:dyDescent="0.25">
      <c r="A14027" s="3"/>
      <c r="B14027" s="3"/>
      <c r="C14027" s="3"/>
      <c r="D14027" s="3"/>
      <c r="E14027" s="3"/>
      <c r="F14027" s="3"/>
      <c r="G14027" s="3"/>
      <c r="H14027" s="11"/>
      <c r="I14027" s="12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  <c r="AA14027" s="3"/>
      <c r="AB14027" s="3"/>
      <c r="AC14027" s="3"/>
      <c r="AD14027" s="3"/>
      <c r="AE14027" s="3"/>
      <c r="AF14027" s="3"/>
      <c r="AG14027" s="3"/>
      <c r="AH14027" s="3"/>
    </row>
    <row r="14028" spans="1:34" ht="14.25" customHeight="1" x14ac:dyDescent="0.25">
      <c r="A14028" s="3"/>
      <c r="B14028" s="3"/>
      <c r="C14028" s="3"/>
      <c r="D14028" s="3"/>
      <c r="E14028" s="3"/>
      <c r="F14028" s="3"/>
      <c r="G14028" s="3"/>
      <c r="H14028" s="11"/>
      <c r="I14028" s="12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  <c r="AA14028" s="3"/>
      <c r="AB14028" s="3"/>
      <c r="AC14028" s="3"/>
      <c r="AD14028" s="3"/>
      <c r="AE14028" s="3"/>
      <c r="AF14028" s="3"/>
      <c r="AG14028" s="3"/>
      <c r="AH14028" s="3"/>
    </row>
    <row r="14029" spans="1:34" ht="14.25" customHeight="1" x14ac:dyDescent="0.25">
      <c r="A14029" s="3"/>
      <c r="B14029" s="3"/>
      <c r="C14029" s="3"/>
      <c r="D14029" s="3"/>
      <c r="E14029" s="3"/>
      <c r="F14029" s="3"/>
      <c r="G14029" s="3"/>
      <c r="H14029" s="11"/>
      <c r="I14029" s="12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  <c r="AA14029" s="3"/>
      <c r="AB14029" s="3"/>
      <c r="AC14029" s="3"/>
      <c r="AD14029" s="3"/>
      <c r="AE14029" s="3"/>
      <c r="AF14029" s="3"/>
      <c r="AG14029" s="3"/>
      <c r="AH14029" s="3"/>
    </row>
    <row r="14030" spans="1:34" ht="14.25" customHeight="1" x14ac:dyDescent="0.25">
      <c r="A14030" s="3"/>
      <c r="B14030" s="3"/>
      <c r="C14030" s="3"/>
      <c r="D14030" s="3"/>
      <c r="E14030" s="3"/>
      <c r="F14030" s="3"/>
      <c r="G14030" s="3"/>
      <c r="H14030" s="11"/>
      <c r="I14030" s="12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  <c r="AA14030" s="3"/>
      <c r="AB14030" s="3"/>
      <c r="AC14030" s="3"/>
      <c r="AD14030" s="3"/>
      <c r="AE14030" s="3"/>
      <c r="AF14030" s="3"/>
      <c r="AG14030" s="3"/>
      <c r="AH14030" s="3"/>
    </row>
    <row r="14031" spans="1:34" ht="14.25" customHeight="1" x14ac:dyDescent="0.25">
      <c r="A14031" s="3"/>
      <c r="B14031" s="3"/>
      <c r="C14031" s="3"/>
      <c r="D14031" s="3"/>
      <c r="E14031" s="3"/>
      <c r="F14031" s="3"/>
      <c r="G14031" s="3"/>
      <c r="H14031" s="11"/>
      <c r="I14031" s="12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  <c r="AA14031" s="3"/>
      <c r="AB14031" s="3"/>
      <c r="AC14031" s="3"/>
      <c r="AD14031" s="3"/>
      <c r="AE14031" s="3"/>
      <c r="AF14031" s="3"/>
      <c r="AG14031" s="3"/>
      <c r="AH14031" s="3"/>
    </row>
    <row r="14032" spans="1:34" ht="14.25" customHeight="1" x14ac:dyDescent="0.25">
      <c r="A14032" s="3"/>
      <c r="B14032" s="3"/>
      <c r="C14032" s="3"/>
      <c r="D14032" s="3"/>
      <c r="E14032" s="3"/>
      <c r="F14032" s="3"/>
      <c r="G14032" s="3"/>
      <c r="H14032" s="11"/>
      <c r="I14032" s="12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  <c r="AA14032" s="3"/>
      <c r="AB14032" s="3"/>
      <c r="AC14032" s="3"/>
      <c r="AD14032" s="3"/>
      <c r="AE14032" s="3"/>
      <c r="AF14032" s="3"/>
      <c r="AG14032" s="3"/>
      <c r="AH14032" s="3"/>
    </row>
    <row r="14033" spans="1:34" ht="14.25" customHeight="1" x14ac:dyDescent="0.25">
      <c r="A14033" s="3"/>
      <c r="B14033" s="3"/>
      <c r="C14033" s="3"/>
      <c r="D14033" s="3"/>
      <c r="E14033" s="3"/>
      <c r="F14033" s="3"/>
      <c r="G14033" s="3"/>
      <c r="H14033" s="11"/>
      <c r="I14033" s="12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  <c r="AA14033" s="3"/>
      <c r="AB14033" s="3"/>
      <c r="AC14033" s="3"/>
      <c r="AD14033" s="3"/>
      <c r="AE14033" s="3"/>
      <c r="AF14033" s="3"/>
      <c r="AG14033" s="3"/>
      <c r="AH14033" s="3"/>
    </row>
    <row r="14034" spans="1:34" ht="14.25" customHeight="1" x14ac:dyDescent="0.25">
      <c r="A14034" s="3"/>
      <c r="B14034" s="3"/>
      <c r="C14034" s="3"/>
      <c r="D14034" s="3"/>
      <c r="E14034" s="3"/>
      <c r="F14034" s="3"/>
      <c r="G14034" s="3"/>
      <c r="H14034" s="11"/>
      <c r="I14034" s="12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  <c r="AA14034" s="3"/>
      <c r="AB14034" s="3"/>
      <c r="AC14034" s="3"/>
      <c r="AD14034" s="3"/>
      <c r="AE14034" s="3"/>
      <c r="AF14034" s="3"/>
      <c r="AG14034" s="3"/>
      <c r="AH14034" s="3"/>
    </row>
    <row r="14035" spans="1:34" ht="14.25" customHeight="1" x14ac:dyDescent="0.25">
      <c r="A14035" s="3"/>
      <c r="B14035" s="3"/>
      <c r="C14035" s="3"/>
      <c r="D14035" s="3"/>
      <c r="E14035" s="3"/>
      <c r="F14035" s="3"/>
      <c r="G14035" s="3"/>
      <c r="H14035" s="11"/>
      <c r="I14035" s="12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  <c r="AA14035" s="3"/>
      <c r="AB14035" s="3"/>
      <c r="AC14035" s="3"/>
      <c r="AD14035" s="3"/>
      <c r="AE14035" s="3"/>
      <c r="AF14035" s="3"/>
      <c r="AG14035" s="3"/>
      <c r="AH14035" s="3"/>
    </row>
    <row r="14036" spans="1:34" ht="14.25" customHeight="1" x14ac:dyDescent="0.25">
      <c r="A14036" s="3"/>
      <c r="B14036" s="3"/>
      <c r="C14036" s="3"/>
      <c r="D14036" s="3"/>
      <c r="E14036" s="3"/>
      <c r="F14036" s="3"/>
      <c r="G14036" s="3"/>
      <c r="H14036" s="11"/>
      <c r="I14036" s="12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  <c r="AA14036" s="3"/>
      <c r="AB14036" s="3"/>
      <c r="AC14036" s="3"/>
      <c r="AD14036" s="3"/>
      <c r="AE14036" s="3"/>
      <c r="AF14036" s="3"/>
      <c r="AG14036" s="3"/>
      <c r="AH14036" s="3"/>
    </row>
    <row r="14037" spans="1:34" ht="14.25" customHeight="1" x14ac:dyDescent="0.25">
      <c r="A14037" s="3"/>
      <c r="B14037" s="3"/>
      <c r="C14037" s="3"/>
      <c r="D14037" s="3"/>
      <c r="E14037" s="3"/>
      <c r="F14037" s="3"/>
      <c r="G14037" s="3"/>
      <c r="H14037" s="11"/>
      <c r="I14037" s="12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  <c r="AA14037" s="3"/>
      <c r="AB14037" s="3"/>
      <c r="AC14037" s="3"/>
      <c r="AD14037" s="3"/>
      <c r="AE14037" s="3"/>
      <c r="AF14037" s="3"/>
      <c r="AG14037" s="3"/>
      <c r="AH14037" s="3"/>
    </row>
    <row r="14038" spans="1:34" ht="14.25" customHeight="1" x14ac:dyDescent="0.25">
      <c r="A14038" s="3"/>
      <c r="B14038" s="3"/>
      <c r="C14038" s="3"/>
      <c r="D14038" s="3"/>
      <c r="E14038" s="3"/>
      <c r="F14038" s="3"/>
      <c r="G14038" s="3"/>
      <c r="H14038" s="11"/>
      <c r="I14038" s="12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  <c r="AA14038" s="3"/>
      <c r="AB14038" s="3"/>
      <c r="AC14038" s="3"/>
      <c r="AD14038" s="3"/>
      <c r="AE14038" s="3"/>
      <c r="AF14038" s="3"/>
      <c r="AG14038" s="3"/>
      <c r="AH14038" s="3"/>
    </row>
    <row r="14039" spans="1:34" ht="14.25" customHeight="1" x14ac:dyDescent="0.25">
      <c r="A14039" s="3"/>
      <c r="B14039" s="3"/>
      <c r="C14039" s="3"/>
      <c r="D14039" s="3"/>
      <c r="E14039" s="3"/>
      <c r="F14039" s="3"/>
      <c r="G14039" s="3"/>
      <c r="H14039" s="11"/>
      <c r="I14039" s="12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  <c r="AA14039" s="3"/>
      <c r="AB14039" s="3"/>
      <c r="AC14039" s="3"/>
      <c r="AD14039" s="3"/>
      <c r="AE14039" s="3"/>
      <c r="AF14039" s="3"/>
      <c r="AG14039" s="3"/>
      <c r="AH14039" s="3"/>
    </row>
    <row r="14040" spans="1:34" ht="14.25" customHeight="1" x14ac:dyDescent="0.25">
      <c r="A14040" s="3"/>
      <c r="B14040" s="3"/>
      <c r="C14040" s="3"/>
      <c r="D14040" s="3"/>
      <c r="E14040" s="3"/>
      <c r="F14040" s="3"/>
      <c r="G14040" s="3"/>
      <c r="H14040" s="11"/>
      <c r="I14040" s="12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  <c r="AA14040" s="3"/>
      <c r="AB14040" s="3"/>
      <c r="AC14040" s="3"/>
      <c r="AD14040" s="3"/>
      <c r="AE14040" s="3"/>
      <c r="AF14040" s="3"/>
      <c r="AG14040" s="3"/>
      <c r="AH14040" s="3"/>
    </row>
    <row r="14041" spans="1:34" ht="14.25" customHeight="1" x14ac:dyDescent="0.25">
      <c r="A14041" s="3"/>
      <c r="B14041" s="3"/>
      <c r="C14041" s="3"/>
      <c r="D14041" s="3"/>
      <c r="E14041" s="3"/>
      <c r="F14041" s="3"/>
      <c r="G14041" s="3"/>
      <c r="H14041" s="11"/>
      <c r="I14041" s="12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  <c r="AA14041" s="3"/>
      <c r="AB14041" s="3"/>
      <c r="AC14041" s="3"/>
      <c r="AD14041" s="3"/>
      <c r="AE14041" s="3"/>
      <c r="AF14041" s="3"/>
      <c r="AG14041" s="3"/>
      <c r="AH14041" s="3"/>
    </row>
    <row r="14042" spans="1:34" ht="14.25" customHeight="1" x14ac:dyDescent="0.25">
      <c r="A14042" s="3"/>
      <c r="B14042" s="3"/>
      <c r="C14042" s="3"/>
      <c r="D14042" s="3"/>
      <c r="E14042" s="3"/>
      <c r="F14042" s="3"/>
      <c r="G14042" s="3"/>
      <c r="H14042" s="11"/>
      <c r="I14042" s="12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  <c r="AA14042" s="3"/>
      <c r="AB14042" s="3"/>
      <c r="AC14042" s="3"/>
      <c r="AD14042" s="3"/>
      <c r="AE14042" s="3"/>
      <c r="AF14042" s="3"/>
      <c r="AG14042" s="3"/>
      <c r="AH14042" s="3"/>
    </row>
    <row r="14043" spans="1:34" ht="14.25" customHeight="1" x14ac:dyDescent="0.25">
      <c r="A14043" s="3"/>
      <c r="B14043" s="3"/>
      <c r="C14043" s="3"/>
      <c r="D14043" s="3"/>
      <c r="E14043" s="3"/>
      <c r="F14043" s="3"/>
      <c r="G14043" s="3"/>
      <c r="H14043" s="11"/>
      <c r="I14043" s="12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  <c r="AA14043" s="3"/>
      <c r="AB14043" s="3"/>
      <c r="AC14043" s="3"/>
      <c r="AD14043" s="3"/>
      <c r="AE14043" s="3"/>
      <c r="AF14043" s="3"/>
      <c r="AG14043" s="3"/>
      <c r="AH14043" s="3"/>
    </row>
    <row r="14044" spans="1:34" ht="14.25" customHeight="1" x14ac:dyDescent="0.25">
      <c r="A14044" s="3"/>
      <c r="B14044" s="3"/>
      <c r="C14044" s="3"/>
      <c r="D14044" s="3"/>
      <c r="E14044" s="3"/>
      <c r="F14044" s="3"/>
      <c r="G14044" s="3"/>
      <c r="H14044" s="11"/>
      <c r="I14044" s="12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  <c r="AA14044" s="3"/>
      <c r="AB14044" s="3"/>
      <c r="AC14044" s="3"/>
      <c r="AD14044" s="3"/>
      <c r="AE14044" s="3"/>
      <c r="AF14044" s="3"/>
      <c r="AG14044" s="3"/>
      <c r="AH14044" s="3"/>
    </row>
    <row r="14045" spans="1:34" ht="14.25" customHeight="1" x14ac:dyDescent="0.25">
      <c r="A14045" s="3"/>
      <c r="B14045" s="3"/>
      <c r="C14045" s="3"/>
      <c r="D14045" s="3"/>
      <c r="E14045" s="3"/>
      <c r="F14045" s="3"/>
      <c r="G14045" s="3"/>
      <c r="H14045" s="11"/>
      <c r="I14045" s="12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  <c r="AA14045" s="3"/>
      <c r="AB14045" s="3"/>
      <c r="AC14045" s="3"/>
      <c r="AD14045" s="3"/>
      <c r="AE14045" s="3"/>
      <c r="AF14045" s="3"/>
      <c r="AG14045" s="3"/>
      <c r="AH14045" s="3"/>
    </row>
    <row r="14046" spans="1:34" ht="14.25" customHeight="1" x14ac:dyDescent="0.25">
      <c r="A14046" s="3"/>
      <c r="B14046" s="3"/>
      <c r="C14046" s="3"/>
      <c r="D14046" s="3"/>
      <c r="E14046" s="3"/>
      <c r="F14046" s="3"/>
      <c r="G14046" s="3"/>
      <c r="H14046" s="11"/>
      <c r="I14046" s="12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  <c r="AA14046" s="3"/>
      <c r="AB14046" s="3"/>
      <c r="AC14046" s="3"/>
      <c r="AD14046" s="3"/>
      <c r="AE14046" s="3"/>
      <c r="AF14046" s="3"/>
      <c r="AG14046" s="3"/>
      <c r="AH14046" s="3"/>
    </row>
    <row r="14047" spans="1:34" ht="14.25" customHeight="1" x14ac:dyDescent="0.25">
      <c r="A14047" s="3"/>
      <c r="B14047" s="3"/>
      <c r="C14047" s="3"/>
      <c r="D14047" s="3"/>
      <c r="E14047" s="3"/>
      <c r="F14047" s="3"/>
      <c r="G14047" s="3"/>
      <c r="H14047" s="11"/>
      <c r="I14047" s="12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  <c r="AA14047" s="3"/>
      <c r="AB14047" s="3"/>
      <c r="AC14047" s="3"/>
      <c r="AD14047" s="3"/>
      <c r="AE14047" s="3"/>
      <c r="AF14047" s="3"/>
      <c r="AG14047" s="3"/>
      <c r="AH14047" s="3"/>
    </row>
    <row r="14048" spans="1:34" ht="14.25" customHeight="1" x14ac:dyDescent="0.25">
      <c r="A14048" s="3"/>
      <c r="B14048" s="3"/>
      <c r="C14048" s="3"/>
      <c r="D14048" s="3"/>
      <c r="E14048" s="3"/>
      <c r="F14048" s="3"/>
      <c r="G14048" s="3"/>
      <c r="H14048" s="11"/>
      <c r="I14048" s="12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  <c r="AA14048" s="3"/>
      <c r="AB14048" s="3"/>
      <c r="AC14048" s="3"/>
      <c r="AD14048" s="3"/>
      <c r="AE14048" s="3"/>
      <c r="AF14048" s="3"/>
      <c r="AG14048" s="3"/>
      <c r="AH14048" s="3"/>
    </row>
    <row r="14049" spans="1:34" ht="14.25" customHeight="1" x14ac:dyDescent="0.25">
      <c r="A14049" s="3"/>
      <c r="B14049" s="3"/>
      <c r="C14049" s="3"/>
      <c r="D14049" s="3"/>
      <c r="E14049" s="3"/>
      <c r="F14049" s="3"/>
      <c r="G14049" s="3"/>
      <c r="H14049" s="11"/>
      <c r="I14049" s="12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  <c r="AA14049" s="3"/>
      <c r="AB14049" s="3"/>
      <c r="AC14049" s="3"/>
      <c r="AD14049" s="3"/>
      <c r="AE14049" s="3"/>
      <c r="AF14049" s="3"/>
      <c r="AG14049" s="3"/>
      <c r="AH14049" s="3"/>
    </row>
    <row r="14050" spans="1:34" ht="14.25" customHeight="1" x14ac:dyDescent="0.25">
      <c r="A14050" s="3"/>
      <c r="B14050" s="3"/>
      <c r="C14050" s="3"/>
      <c r="D14050" s="3"/>
      <c r="E14050" s="3"/>
      <c r="F14050" s="3"/>
      <c r="G14050" s="3"/>
      <c r="H14050" s="11"/>
      <c r="I14050" s="12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  <c r="AA14050" s="3"/>
      <c r="AB14050" s="3"/>
      <c r="AC14050" s="3"/>
      <c r="AD14050" s="3"/>
      <c r="AE14050" s="3"/>
      <c r="AF14050" s="3"/>
      <c r="AG14050" s="3"/>
      <c r="AH14050" s="3"/>
    </row>
    <row r="14051" spans="1:34" ht="14.25" customHeight="1" x14ac:dyDescent="0.25">
      <c r="A14051" s="3"/>
      <c r="B14051" s="3"/>
      <c r="C14051" s="3"/>
      <c r="D14051" s="3"/>
      <c r="E14051" s="3"/>
      <c r="F14051" s="3"/>
      <c r="G14051" s="3"/>
      <c r="H14051" s="11"/>
      <c r="I14051" s="12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  <c r="AA14051" s="3"/>
      <c r="AB14051" s="3"/>
      <c r="AC14051" s="3"/>
      <c r="AD14051" s="3"/>
      <c r="AE14051" s="3"/>
      <c r="AF14051" s="3"/>
      <c r="AG14051" s="3"/>
      <c r="AH14051" s="3"/>
    </row>
    <row r="14052" spans="1:34" ht="14.25" customHeight="1" x14ac:dyDescent="0.25">
      <c r="A14052" s="3"/>
      <c r="B14052" s="3"/>
      <c r="C14052" s="3"/>
      <c r="D14052" s="3"/>
      <c r="E14052" s="3"/>
      <c r="F14052" s="3"/>
      <c r="G14052" s="3"/>
      <c r="H14052" s="11"/>
      <c r="I14052" s="12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  <c r="AA14052" s="3"/>
      <c r="AB14052" s="3"/>
      <c r="AC14052" s="3"/>
      <c r="AD14052" s="3"/>
      <c r="AE14052" s="3"/>
      <c r="AF14052" s="3"/>
      <c r="AG14052" s="3"/>
      <c r="AH14052" s="3"/>
    </row>
    <row r="14053" spans="1:34" ht="14.25" customHeight="1" x14ac:dyDescent="0.25">
      <c r="A14053" s="3"/>
      <c r="B14053" s="3"/>
      <c r="C14053" s="3"/>
      <c r="D14053" s="3"/>
      <c r="E14053" s="3"/>
      <c r="F14053" s="3"/>
      <c r="G14053" s="3"/>
      <c r="H14053" s="11"/>
      <c r="I14053" s="12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  <c r="AA14053" s="3"/>
      <c r="AB14053" s="3"/>
      <c r="AC14053" s="3"/>
      <c r="AD14053" s="3"/>
      <c r="AE14053" s="3"/>
      <c r="AF14053" s="3"/>
      <c r="AG14053" s="3"/>
      <c r="AH14053" s="3"/>
    </row>
    <row r="14054" spans="1:34" ht="14.25" customHeight="1" x14ac:dyDescent="0.25">
      <c r="A14054" s="3"/>
      <c r="B14054" s="3"/>
      <c r="C14054" s="3"/>
      <c r="D14054" s="3"/>
      <c r="E14054" s="3"/>
      <c r="F14054" s="3"/>
      <c r="G14054" s="3"/>
      <c r="H14054" s="11"/>
      <c r="I14054" s="12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  <c r="AA14054" s="3"/>
      <c r="AB14054" s="3"/>
      <c r="AC14054" s="3"/>
      <c r="AD14054" s="3"/>
      <c r="AE14054" s="3"/>
      <c r="AF14054" s="3"/>
      <c r="AG14054" s="3"/>
      <c r="AH14054" s="3"/>
    </row>
    <row r="14055" spans="1:34" ht="14.25" customHeight="1" x14ac:dyDescent="0.25">
      <c r="A14055" s="3"/>
      <c r="B14055" s="3"/>
      <c r="C14055" s="3"/>
      <c r="D14055" s="3"/>
      <c r="E14055" s="3"/>
      <c r="F14055" s="3"/>
      <c r="G14055" s="3"/>
      <c r="H14055" s="11"/>
      <c r="I14055" s="12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  <c r="AA14055" s="3"/>
      <c r="AB14055" s="3"/>
      <c r="AC14055" s="3"/>
      <c r="AD14055" s="3"/>
      <c r="AE14055" s="3"/>
      <c r="AF14055" s="3"/>
      <c r="AG14055" s="3"/>
      <c r="AH14055" s="3"/>
    </row>
    <row r="14056" spans="1:34" ht="14.25" customHeight="1" x14ac:dyDescent="0.25">
      <c r="A14056" s="3"/>
      <c r="B14056" s="3"/>
      <c r="C14056" s="3"/>
      <c r="D14056" s="3"/>
      <c r="E14056" s="3"/>
      <c r="F14056" s="3"/>
      <c r="G14056" s="3"/>
      <c r="H14056" s="11"/>
      <c r="I14056" s="12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  <c r="AA14056" s="3"/>
      <c r="AB14056" s="3"/>
      <c r="AC14056" s="3"/>
      <c r="AD14056" s="3"/>
      <c r="AE14056" s="3"/>
      <c r="AF14056" s="3"/>
      <c r="AG14056" s="3"/>
      <c r="AH14056" s="3"/>
    </row>
    <row r="14057" spans="1:34" ht="14.25" customHeight="1" x14ac:dyDescent="0.25">
      <c r="A14057" s="3"/>
      <c r="B14057" s="3"/>
      <c r="C14057" s="3"/>
      <c r="D14057" s="3"/>
      <c r="E14057" s="3"/>
      <c r="F14057" s="3"/>
      <c r="G14057" s="3"/>
      <c r="H14057" s="11"/>
      <c r="I14057" s="12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  <c r="AA14057" s="3"/>
      <c r="AB14057" s="3"/>
      <c r="AC14057" s="3"/>
      <c r="AD14057" s="3"/>
      <c r="AE14057" s="3"/>
      <c r="AF14057" s="3"/>
      <c r="AG14057" s="3"/>
      <c r="AH14057" s="3"/>
    </row>
    <row r="14058" spans="1:34" ht="14.25" customHeight="1" x14ac:dyDescent="0.25">
      <c r="A14058" s="3"/>
      <c r="B14058" s="3"/>
      <c r="C14058" s="3"/>
      <c r="D14058" s="3"/>
      <c r="E14058" s="3"/>
      <c r="F14058" s="3"/>
      <c r="G14058" s="3"/>
      <c r="H14058" s="11"/>
      <c r="I14058" s="12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  <c r="AA14058" s="3"/>
      <c r="AB14058" s="3"/>
      <c r="AC14058" s="3"/>
      <c r="AD14058" s="3"/>
      <c r="AE14058" s="3"/>
      <c r="AF14058" s="3"/>
      <c r="AG14058" s="3"/>
      <c r="AH14058" s="3"/>
    </row>
    <row r="14059" spans="1:34" ht="14.25" customHeight="1" x14ac:dyDescent="0.25">
      <c r="A14059" s="3"/>
      <c r="B14059" s="3"/>
      <c r="C14059" s="3"/>
      <c r="D14059" s="3"/>
      <c r="E14059" s="3"/>
      <c r="F14059" s="3"/>
      <c r="G14059" s="3"/>
      <c r="H14059" s="11"/>
      <c r="I14059" s="12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  <c r="AA14059" s="3"/>
      <c r="AB14059" s="3"/>
      <c r="AC14059" s="3"/>
      <c r="AD14059" s="3"/>
      <c r="AE14059" s="3"/>
      <c r="AF14059" s="3"/>
      <c r="AG14059" s="3"/>
      <c r="AH14059" s="3"/>
    </row>
    <row r="14060" spans="1:34" ht="14.25" customHeight="1" x14ac:dyDescent="0.25">
      <c r="A14060" s="3"/>
      <c r="B14060" s="3"/>
      <c r="C14060" s="3"/>
      <c r="D14060" s="3"/>
      <c r="E14060" s="3"/>
      <c r="F14060" s="3"/>
      <c r="G14060" s="3"/>
      <c r="H14060" s="11"/>
      <c r="I14060" s="12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  <c r="AA14060" s="3"/>
      <c r="AB14060" s="3"/>
      <c r="AC14060" s="3"/>
      <c r="AD14060" s="3"/>
      <c r="AE14060" s="3"/>
      <c r="AF14060" s="3"/>
      <c r="AG14060" s="3"/>
      <c r="AH14060" s="3"/>
    </row>
    <row r="14061" spans="1:34" ht="14.25" customHeight="1" x14ac:dyDescent="0.25">
      <c r="A14061" s="3"/>
      <c r="B14061" s="3"/>
      <c r="C14061" s="3"/>
      <c r="D14061" s="3"/>
      <c r="E14061" s="3"/>
      <c r="F14061" s="3"/>
      <c r="G14061" s="3"/>
      <c r="H14061" s="11"/>
      <c r="I14061" s="12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  <c r="AA14061" s="3"/>
      <c r="AB14061" s="3"/>
      <c r="AC14061" s="3"/>
      <c r="AD14061" s="3"/>
      <c r="AE14061" s="3"/>
      <c r="AF14061" s="3"/>
      <c r="AG14061" s="3"/>
      <c r="AH14061" s="3"/>
    </row>
    <row r="14062" spans="1:34" ht="14.25" customHeight="1" x14ac:dyDescent="0.25">
      <c r="A14062" s="3"/>
      <c r="B14062" s="3"/>
      <c r="C14062" s="3"/>
      <c r="D14062" s="3"/>
      <c r="E14062" s="3"/>
      <c r="F14062" s="3"/>
      <c r="G14062" s="3"/>
      <c r="H14062" s="11"/>
      <c r="I14062" s="12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  <c r="AA14062" s="3"/>
      <c r="AB14062" s="3"/>
      <c r="AC14062" s="3"/>
      <c r="AD14062" s="3"/>
      <c r="AE14062" s="3"/>
      <c r="AF14062" s="3"/>
      <c r="AG14062" s="3"/>
      <c r="AH14062" s="3"/>
    </row>
    <row r="14063" spans="1:34" ht="14.25" customHeight="1" x14ac:dyDescent="0.25">
      <c r="A14063" s="3"/>
      <c r="B14063" s="3"/>
      <c r="C14063" s="3"/>
      <c r="D14063" s="3"/>
      <c r="E14063" s="3"/>
      <c r="F14063" s="3"/>
      <c r="G14063" s="3"/>
      <c r="H14063" s="11"/>
      <c r="I14063" s="12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  <c r="AA14063" s="3"/>
      <c r="AB14063" s="3"/>
      <c r="AC14063" s="3"/>
      <c r="AD14063" s="3"/>
      <c r="AE14063" s="3"/>
      <c r="AF14063" s="3"/>
      <c r="AG14063" s="3"/>
      <c r="AH14063" s="3"/>
    </row>
    <row r="14064" spans="1:34" ht="14.25" customHeight="1" x14ac:dyDescent="0.25">
      <c r="A14064" s="3"/>
      <c r="B14064" s="3"/>
      <c r="C14064" s="3"/>
      <c r="D14064" s="3"/>
      <c r="E14064" s="3"/>
      <c r="F14064" s="3"/>
      <c r="G14064" s="3"/>
      <c r="H14064" s="11"/>
      <c r="I14064" s="12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  <c r="AA14064" s="3"/>
      <c r="AB14064" s="3"/>
      <c r="AC14064" s="3"/>
      <c r="AD14064" s="3"/>
      <c r="AE14064" s="3"/>
      <c r="AF14064" s="3"/>
      <c r="AG14064" s="3"/>
      <c r="AH14064" s="3"/>
    </row>
    <row r="14065" spans="1:34" ht="14.25" customHeight="1" x14ac:dyDescent="0.25">
      <c r="A14065" s="3"/>
      <c r="B14065" s="3"/>
      <c r="C14065" s="3"/>
      <c r="D14065" s="3"/>
      <c r="E14065" s="3"/>
      <c r="F14065" s="3"/>
      <c r="G14065" s="3"/>
      <c r="H14065" s="11"/>
      <c r="I14065" s="12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  <c r="AA14065" s="3"/>
      <c r="AB14065" s="3"/>
      <c r="AC14065" s="3"/>
      <c r="AD14065" s="3"/>
      <c r="AE14065" s="3"/>
      <c r="AF14065" s="3"/>
      <c r="AG14065" s="3"/>
      <c r="AH14065" s="3"/>
    </row>
    <row r="14066" spans="1:34" ht="14.25" customHeight="1" x14ac:dyDescent="0.25">
      <c r="A14066" s="3"/>
      <c r="B14066" s="3"/>
      <c r="C14066" s="3"/>
      <c r="D14066" s="3"/>
      <c r="E14066" s="3"/>
      <c r="F14066" s="3"/>
      <c r="G14066" s="3"/>
      <c r="H14066" s="11"/>
      <c r="I14066" s="12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  <c r="AA14066" s="3"/>
      <c r="AB14066" s="3"/>
      <c r="AC14066" s="3"/>
      <c r="AD14066" s="3"/>
      <c r="AE14066" s="3"/>
      <c r="AF14066" s="3"/>
      <c r="AG14066" s="3"/>
      <c r="AH14066" s="3"/>
    </row>
    <row r="14067" spans="1:34" ht="14.25" customHeight="1" x14ac:dyDescent="0.25">
      <c r="A14067" s="3"/>
      <c r="B14067" s="3"/>
      <c r="C14067" s="3"/>
      <c r="D14067" s="3"/>
      <c r="E14067" s="3"/>
      <c r="F14067" s="3"/>
      <c r="G14067" s="3"/>
      <c r="H14067" s="11"/>
      <c r="I14067" s="12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  <c r="AA14067" s="3"/>
      <c r="AB14067" s="3"/>
      <c r="AC14067" s="3"/>
      <c r="AD14067" s="3"/>
      <c r="AE14067" s="3"/>
      <c r="AF14067" s="3"/>
      <c r="AG14067" s="3"/>
      <c r="AH14067" s="3"/>
    </row>
    <row r="14068" spans="1:34" ht="14.25" customHeight="1" x14ac:dyDescent="0.25">
      <c r="A14068" s="3"/>
      <c r="B14068" s="3"/>
      <c r="C14068" s="3"/>
      <c r="D14068" s="3"/>
      <c r="E14068" s="3"/>
      <c r="F14068" s="3"/>
      <c r="G14068" s="3"/>
      <c r="H14068" s="11"/>
      <c r="I14068" s="12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  <c r="AA14068" s="3"/>
      <c r="AB14068" s="3"/>
      <c r="AC14068" s="3"/>
      <c r="AD14068" s="3"/>
      <c r="AE14068" s="3"/>
      <c r="AF14068" s="3"/>
      <c r="AG14068" s="3"/>
      <c r="AH14068" s="3"/>
    </row>
    <row r="14069" spans="1:34" ht="14.25" customHeight="1" x14ac:dyDescent="0.25">
      <c r="A14069" s="3"/>
      <c r="B14069" s="3"/>
      <c r="C14069" s="3"/>
      <c r="D14069" s="3"/>
      <c r="E14069" s="3"/>
      <c r="F14069" s="3"/>
      <c r="G14069" s="3"/>
      <c r="H14069" s="11"/>
      <c r="I14069" s="12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  <c r="AA14069" s="3"/>
      <c r="AB14069" s="3"/>
      <c r="AC14069" s="3"/>
      <c r="AD14069" s="3"/>
      <c r="AE14069" s="3"/>
      <c r="AF14069" s="3"/>
      <c r="AG14069" s="3"/>
      <c r="AH14069" s="3"/>
    </row>
    <row r="14070" spans="1:34" ht="14.25" customHeight="1" x14ac:dyDescent="0.25">
      <c r="A14070" s="3"/>
      <c r="B14070" s="3"/>
      <c r="C14070" s="3"/>
      <c r="D14070" s="3"/>
      <c r="E14070" s="3"/>
      <c r="F14070" s="3"/>
      <c r="G14070" s="3"/>
      <c r="H14070" s="11"/>
      <c r="I14070" s="12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  <c r="AA14070" s="3"/>
      <c r="AB14070" s="3"/>
      <c r="AC14070" s="3"/>
      <c r="AD14070" s="3"/>
      <c r="AE14070" s="3"/>
      <c r="AF14070" s="3"/>
      <c r="AG14070" s="3"/>
      <c r="AH14070" s="3"/>
    </row>
    <row r="14071" spans="1:34" ht="14.25" customHeight="1" x14ac:dyDescent="0.25">
      <c r="A14071" s="3"/>
      <c r="B14071" s="3"/>
      <c r="C14071" s="3"/>
      <c r="D14071" s="3"/>
      <c r="E14071" s="3"/>
      <c r="F14071" s="3"/>
      <c r="G14071" s="3"/>
      <c r="H14071" s="11"/>
      <c r="I14071" s="12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  <c r="AA14071" s="3"/>
      <c r="AB14071" s="3"/>
      <c r="AC14071" s="3"/>
      <c r="AD14071" s="3"/>
      <c r="AE14071" s="3"/>
      <c r="AF14071" s="3"/>
      <c r="AG14071" s="3"/>
      <c r="AH14071" s="3"/>
    </row>
    <row r="14072" spans="1:34" ht="14.25" customHeight="1" x14ac:dyDescent="0.25">
      <c r="A14072" s="3"/>
      <c r="B14072" s="3"/>
      <c r="C14072" s="3"/>
      <c r="D14072" s="3"/>
      <c r="E14072" s="3"/>
      <c r="F14072" s="3"/>
      <c r="G14072" s="3"/>
      <c r="H14072" s="11"/>
      <c r="I14072" s="12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  <c r="AA14072" s="3"/>
      <c r="AB14072" s="3"/>
      <c r="AC14072" s="3"/>
      <c r="AD14072" s="3"/>
      <c r="AE14072" s="3"/>
      <c r="AF14072" s="3"/>
      <c r="AG14072" s="3"/>
      <c r="AH14072" s="3"/>
    </row>
    <row r="14073" spans="1:34" ht="14.25" customHeight="1" x14ac:dyDescent="0.25">
      <c r="A14073" s="3"/>
      <c r="B14073" s="3"/>
      <c r="C14073" s="3"/>
      <c r="D14073" s="3"/>
      <c r="E14073" s="3"/>
      <c r="F14073" s="3"/>
      <c r="G14073" s="3"/>
      <c r="H14073" s="11"/>
      <c r="I14073" s="12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  <c r="AA14073" s="3"/>
      <c r="AB14073" s="3"/>
      <c r="AC14073" s="3"/>
      <c r="AD14073" s="3"/>
      <c r="AE14073" s="3"/>
      <c r="AF14073" s="3"/>
      <c r="AG14073" s="3"/>
      <c r="AH14073" s="3"/>
    </row>
    <row r="14074" spans="1:34" ht="14.25" customHeight="1" x14ac:dyDescent="0.25">
      <c r="A14074" s="3"/>
      <c r="B14074" s="3"/>
      <c r="C14074" s="3"/>
      <c r="D14074" s="3"/>
      <c r="E14074" s="3"/>
      <c r="F14074" s="3"/>
      <c r="G14074" s="3"/>
      <c r="H14074" s="11"/>
      <c r="I14074" s="12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  <c r="AA14074" s="3"/>
      <c r="AB14074" s="3"/>
      <c r="AC14074" s="3"/>
      <c r="AD14074" s="3"/>
      <c r="AE14074" s="3"/>
      <c r="AF14074" s="3"/>
      <c r="AG14074" s="3"/>
      <c r="AH14074" s="3"/>
    </row>
    <row r="14075" spans="1:34" ht="14.25" customHeight="1" x14ac:dyDescent="0.25">
      <c r="A14075" s="3"/>
      <c r="B14075" s="3"/>
      <c r="C14075" s="3"/>
      <c r="D14075" s="3"/>
      <c r="E14075" s="3"/>
      <c r="F14075" s="3"/>
      <c r="G14075" s="3"/>
      <c r="H14075" s="11"/>
      <c r="I14075" s="12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  <c r="AA14075" s="3"/>
      <c r="AB14075" s="3"/>
      <c r="AC14075" s="3"/>
      <c r="AD14075" s="3"/>
      <c r="AE14075" s="3"/>
      <c r="AF14075" s="3"/>
      <c r="AG14075" s="3"/>
      <c r="AH14075" s="3"/>
    </row>
    <row r="14076" spans="1:34" ht="14.25" customHeight="1" x14ac:dyDescent="0.25">
      <c r="A14076" s="3"/>
      <c r="B14076" s="3"/>
      <c r="C14076" s="3"/>
      <c r="D14076" s="3"/>
      <c r="E14076" s="3"/>
      <c r="F14076" s="3"/>
      <c r="G14076" s="3"/>
      <c r="H14076" s="11"/>
      <c r="I14076" s="12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  <c r="AA14076" s="3"/>
      <c r="AB14076" s="3"/>
      <c r="AC14076" s="3"/>
      <c r="AD14076" s="3"/>
      <c r="AE14076" s="3"/>
      <c r="AF14076" s="3"/>
      <c r="AG14076" s="3"/>
      <c r="AH14076" s="3"/>
    </row>
    <row r="14077" spans="1:34" ht="14.25" customHeight="1" x14ac:dyDescent="0.25">
      <c r="A14077" s="3"/>
      <c r="B14077" s="3"/>
      <c r="C14077" s="3"/>
      <c r="D14077" s="3"/>
      <c r="E14077" s="3"/>
      <c r="F14077" s="3"/>
      <c r="G14077" s="3"/>
      <c r="H14077" s="11"/>
      <c r="I14077" s="12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  <c r="AA14077" s="3"/>
      <c r="AB14077" s="3"/>
      <c r="AC14077" s="3"/>
      <c r="AD14077" s="3"/>
      <c r="AE14077" s="3"/>
      <c r="AF14077" s="3"/>
      <c r="AG14077" s="3"/>
      <c r="AH14077" s="3"/>
    </row>
    <row r="14078" spans="1:34" ht="14.25" customHeight="1" x14ac:dyDescent="0.25">
      <c r="A14078" s="3"/>
      <c r="B14078" s="3"/>
      <c r="C14078" s="3"/>
      <c r="D14078" s="3"/>
      <c r="E14078" s="3"/>
      <c r="F14078" s="3"/>
      <c r="G14078" s="3"/>
      <c r="H14078" s="11"/>
      <c r="I14078" s="12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  <c r="AA14078" s="3"/>
      <c r="AB14078" s="3"/>
      <c r="AC14078" s="3"/>
      <c r="AD14078" s="3"/>
      <c r="AE14078" s="3"/>
      <c r="AF14078" s="3"/>
      <c r="AG14078" s="3"/>
      <c r="AH14078" s="3"/>
    </row>
    <row r="14079" spans="1:34" ht="14.25" customHeight="1" x14ac:dyDescent="0.25">
      <c r="A14079" s="3"/>
      <c r="B14079" s="3"/>
      <c r="C14079" s="3"/>
      <c r="D14079" s="3"/>
      <c r="E14079" s="3"/>
      <c r="F14079" s="3"/>
      <c r="G14079" s="3"/>
      <c r="H14079" s="11"/>
      <c r="I14079" s="12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  <c r="AA14079" s="3"/>
      <c r="AB14079" s="3"/>
      <c r="AC14079" s="3"/>
      <c r="AD14079" s="3"/>
      <c r="AE14079" s="3"/>
      <c r="AF14079" s="3"/>
      <c r="AG14079" s="3"/>
      <c r="AH14079" s="3"/>
    </row>
    <row r="14080" spans="1:34" ht="14.25" customHeight="1" x14ac:dyDescent="0.25">
      <c r="A14080" s="3"/>
      <c r="B14080" s="3"/>
      <c r="C14080" s="3"/>
      <c r="D14080" s="3"/>
      <c r="E14080" s="3"/>
      <c r="F14080" s="3"/>
      <c r="G14080" s="3"/>
      <c r="H14080" s="11"/>
      <c r="I14080" s="12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  <c r="AA14080" s="3"/>
      <c r="AB14080" s="3"/>
      <c r="AC14080" s="3"/>
      <c r="AD14080" s="3"/>
      <c r="AE14080" s="3"/>
      <c r="AF14080" s="3"/>
      <c r="AG14080" s="3"/>
      <c r="AH14080" s="3"/>
    </row>
    <row r="14081" spans="1:34" ht="14.25" customHeight="1" x14ac:dyDescent="0.25">
      <c r="A14081" s="3"/>
      <c r="B14081" s="3"/>
      <c r="C14081" s="3"/>
      <c r="D14081" s="3"/>
      <c r="E14081" s="3"/>
      <c r="F14081" s="3"/>
      <c r="G14081" s="3"/>
      <c r="H14081" s="11"/>
      <c r="I14081" s="12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  <c r="AA14081" s="3"/>
      <c r="AB14081" s="3"/>
      <c r="AC14081" s="3"/>
      <c r="AD14081" s="3"/>
      <c r="AE14081" s="3"/>
      <c r="AF14081" s="3"/>
      <c r="AG14081" s="3"/>
      <c r="AH14081" s="3"/>
    </row>
    <row r="14082" spans="1:34" ht="14.25" customHeight="1" x14ac:dyDescent="0.25">
      <c r="A14082" s="3"/>
      <c r="B14082" s="3"/>
      <c r="C14082" s="3"/>
      <c r="D14082" s="3"/>
      <c r="E14082" s="3"/>
      <c r="F14082" s="3"/>
      <c r="G14082" s="3"/>
      <c r="H14082" s="11"/>
      <c r="I14082" s="12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  <c r="AA14082" s="3"/>
      <c r="AB14082" s="3"/>
      <c r="AC14082" s="3"/>
      <c r="AD14082" s="3"/>
      <c r="AE14082" s="3"/>
      <c r="AF14082" s="3"/>
      <c r="AG14082" s="3"/>
      <c r="AH14082" s="3"/>
    </row>
    <row r="14083" spans="1:34" ht="14.25" customHeight="1" x14ac:dyDescent="0.25">
      <c r="A14083" s="3"/>
      <c r="B14083" s="3"/>
      <c r="C14083" s="3"/>
      <c r="D14083" s="3"/>
      <c r="E14083" s="3"/>
      <c r="F14083" s="3"/>
      <c r="G14083" s="3"/>
      <c r="H14083" s="11"/>
      <c r="I14083" s="12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  <c r="AA14083" s="3"/>
      <c r="AB14083" s="3"/>
      <c r="AC14083" s="3"/>
      <c r="AD14083" s="3"/>
      <c r="AE14083" s="3"/>
      <c r="AF14083" s="3"/>
      <c r="AG14083" s="3"/>
      <c r="AH14083" s="3"/>
    </row>
    <row r="14084" spans="1:34" ht="14.25" customHeight="1" x14ac:dyDescent="0.25">
      <c r="A14084" s="3"/>
      <c r="B14084" s="3"/>
      <c r="C14084" s="3"/>
      <c r="D14084" s="3"/>
      <c r="E14084" s="3"/>
      <c r="F14084" s="3"/>
      <c r="G14084" s="3"/>
      <c r="H14084" s="11"/>
      <c r="I14084" s="12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  <c r="AA14084" s="3"/>
      <c r="AB14084" s="3"/>
      <c r="AC14084" s="3"/>
      <c r="AD14084" s="3"/>
      <c r="AE14084" s="3"/>
      <c r="AF14084" s="3"/>
      <c r="AG14084" s="3"/>
      <c r="AH14084" s="3"/>
    </row>
    <row r="14085" spans="1:34" ht="14.25" customHeight="1" x14ac:dyDescent="0.25">
      <c r="A14085" s="3"/>
      <c r="B14085" s="3"/>
      <c r="C14085" s="3"/>
      <c r="D14085" s="3"/>
      <c r="E14085" s="3"/>
      <c r="F14085" s="3"/>
      <c r="G14085" s="3"/>
      <c r="H14085" s="11"/>
      <c r="I14085" s="12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  <c r="AA14085" s="3"/>
      <c r="AB14085" s="3"/>
      <c r="AC14085" s="3"/>
      <c r="AD14085" s="3"/>
      <c r="AE14085" s="3"/>
      <c r="AF14085" s="3"/>
      <c r="AG14085" s="3"/>
      <c r="AH14085" s="3"/>
    </row>
    <row r="14086" spans="1:34" ht="14.25" customHeight="1" x14ac:dyDescent="0.25">
      <c r="A14086" s="3"/>
      <c r="B14086" s="3"/>
      <c r="C14086" s="3"/>
      <c r="D14086" s="3"/>
      <c r="E14086" s="3"/>
      <c r="F14086" s="3"/>
      <c r="G14086" s="3"/>
      <c r="H14086" s="11"/>
      <c r="I14086" s="12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  <c r="AA14086" s="3"/>
      <c r="AB14086" s="3"/>
      <c r="AC14086" s="3"/>
      <c r="AD14086" s="3"/>
      <c r="AE14086" s="3"/>
      <c r="AF14086" s="3"/>
      <c r="AG14086" s="3"/>
      <c r="AH14086" s="3"/>
    </row>
    <row r="14087" spans="1:34" ht="14.25" customHeight="1" x14ac:dyDescent="0.25">
      <c r="A14087" s="3"/>
      <c r="B14087" s="3"/>
      <c r="C14087" s="3"/>
      <c r="D14087" s="3"/>
      <c r="E14087" s="3"/>
      <c r="F14087" s="3"/>
      <c r="G14087" s="3"/>
      <c r="H14087" s="11"/>
      <c r="I14087" s="12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  <c r="AA14087" s="3"/>
      <c r="AB14087" s="3"/>
      <c r="AC14087" s="3"/>
      <c r="AD14087" s="3"/>
      <c r="AE14087" s="3"/>
      <c r="AF14087" s="3"/>
      <c r="AG14087" s="3"/>
      <c r="AH14087" s="3"/>
    </row>
    <row r="14088" spans="1:34" ht="14.25" customHeight="1" x14ac:dyDescent="0.25">
      <c r="A14088" s="3"/>
      <c r="B14088" s="3"/>
      <c r="C14088" s="3"/>
      <c r="D14088" s="3"/>
      <c r="E14088" s="3"/>
      <c r="F14088" s="3"/>
      <c r="G14088" s="3"/>
      <c r="H14088" s="11"/>
      <c r="I14088" s="12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  <c r="AA14088" s="3"/>
      <c r="AB14088" s="3"/>
      <c r="AC14088" s="3"/>
      <c r="AD14088" s="3"/>
      <c r="AE14088" s="3"/>
      <c r="AF14088" s="3"/>
      <c r="AG14088" s="3"/>
      <c r="AH14088" s="3"/>
    </row>
    <row r="14089" spans="1:34" ht="14.25" customHeight="1" x14ac:dyDescent="0.25">
      <c r="A14089" s="3"/>
      <c r="B14089" s="3"/>
      <c r="C14089" s="3"/>
      <c r="D14089" s="3"/>
      <c r="E14089" s="3"/>
      <c r="F14089" s="3"/>
      <c r="G14089" s="3"/>
      <c r="H14089" s="11"/>
      <c r="I14089" s="12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  <c r="AA14089" s="3"/>
      <c r="AB14089" s="3"/>
      <c r="AC14089" s="3"/>
      <c r="AD14089" s="3"/>
      <c r="AE14089" s="3"/>
      <c r="AF14089" s="3"/>
      <c r="AG14089" s="3"/>
      <c r="AH14089" s="3"/>
    </row>
    <row r="14090" spans="1:34" ht="14.25" customHeight="1" x14ac:dyDescent="0.25">
      <c r="A14090" s="3"/>
      <c r="B14090" s="3"/>
      <c r="C14090" s="3"/>
      <c r="D14090" s="3"/>
      <c r="E14090" s="3"/>
      <c r="F14090" s="3"/>
      <c r="G14090" s="3"/>
      <c r="H14090" s="11"/>
      <c r="I14090" s="12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  <c r="AA14090" s="3"/>
      <c r="AB14090" s="3"/>
      <c r="AC14090" s="3"/>
      <c r="AD14090" s="3"/>
      <c r="AE14090" s="3"/>
      <c r="AF14090" s="3"/>
      <c r="AG14090" s="3"/>
      <c r="AH14090" s="3"/>
    </row>
    <row r="14091" spans="1:34" ht="14.25" customHeight="1" x14ac:dyDescent="0.25">
      <c r="A14091" s="3"/>
      <c r="B14091" s="3"/>
      <c r="C14091" s="3"/>
      <c r="D14091" s="3"/>
      <c r="E14091" s="3"/>
      <c r="F14091" s="3"/>
      <c r="G14091" s="3"/>
      <c r="H14091" s="11"/>
      <c r="I14091" s="12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  <c r="AA14091" s="3"/>
      <c r="AB14091" s="3"/>
      <c r="AC14091" s="3"/>
      <c r="AD14091" s="3"/>
      <c r="AE14091" s="3"/>
      <c r="AF14091" s="3"/>
      <c r="AG14091" s="3"/>
      <c r="AH14091" s="3"/>
    </row>
    <row r="14092" spans="1:34" ht="14.25" customHeight="1" x14ac:dyDescent="0.25">
      <c r="A14092" s="3"/>
      <c r="B14092" s="3"/>
      <c r="C14092" s="3"/>
      <c r="D14092" s="3"/>
      <c r="E14092" s="3"/>
      <c r="F14092" s="3"/>
      <c r="G14092" s="3"/>
      <c r="H14092" s="11"/>
      <c r="I14092" s="12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  <c r="AA14092" s="3"/>
      <c r="AB14092" s="3"/>
      <c r="AC14092" s="3"/>
      <c r="AD14092" s="3"/>
      <c r="AE14092" s="3"/>
      <c r="AF14092" s="3"/>
      <c r="AG14092" s="3"/>
      <c r="AH14092" s="3"/>
    </row>
    <row r="14093" spans="1:34" ht="14.25" customHeight="1" x14ac:dyDescent="0.25">
      <c r="A14093" s="3"/>
      <c r="B14093" s="3"/>
      <c r="C14093" s="3"/>
      <c r="D14093" s="3"/>
      <c r="E14093" s="3"/>
      <c r="F14093" s="3"/>
      <c r="G14093" s="3"/>
      <c r="H14093" s="11"/>
      <c r="I14093" s="12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  <c r="AA14093" s="3"/>
      <c r="AB14093" s="3"/>
      <c r="AC14093" s="3"/>
      <c r="AD14093" s="3"/>
      <c r="AE14093" s="3"/>
      <c r="AF14093" s="3"/>
      <c r="AG14093" s="3"/>
      <c r="AH14093" s="3"/>
    </row>
    <row r="14094" spans="1:34" ht="14.25" customHeight="1" x14ac:dyDescent="0.25">
      <c r="A14094" s="3"/>
      <c r="B14094" s="3"/>
      <c r="C14094" s="3"/>
      <c r="D14094" s="3"/>
      <c r="E14094" s="3"/>
      <c r="F14094" s="3"/>
      <c r="G14094" s="3"/>
      <c r="H14094" s="11"/>
      <c r="I14094" s="12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  <c r="AA14094" s="3"/>
      <c r="AB14094" s="3"/>
      <c r="AC14094" s="3"/>
      <c r="AD14094" s="3"/>
      <c r="AE14094" s="3"/>
      <c r="AF14094" s="3"/>
      <c r="AG14094" s="3"/>
      <c r="AH14094" s="3"/>
    </row>
    <row r="14095" spans="1:34" ht="14.25" customHeight="1" x14ac:dyDescent="0.25">
      <c r="A14095" s="3"/>
      <c r="B14095" s="3"/>
      <c r="C14095" s="3"/>
      <c r="D14095" s="3"/>
      <c r="E14095" s="3"/>
      <c r="F14095" s="3"/>
      <c r="G14095" s="3"/>
      <c r="H14095" s="11"/>
      <c r="I14095" s="12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  <c r="AA14095" s="3"/>
      <c r="AB14095" s="3"/>
      <c r="AC14095" s="3"/>
      <c r="AD14095" s="3"/>
      <c r="AE14095" s="3"/>
      <c r="AF14095" s="3"/>
      <c r="AG14095" s="3"/>
      <c r="AH14095" s="3"/>
    </row>
    <row r="14096" spans="1:34" ht="14.25" customHeight="1" x14ac:dyDescent="0.25">
      <c r="A14096" s="3"/>
      <c r="B14096" s="3"/>
      <c r="C14096" s="3"/>
      <c r="D14096" s="3"/>
      <c r="E14096" s="3"/>
      <c r="F14096" s="3"/>
      <c r="G14096" s="3"/>
      <c r="H14096" s="11"/>
      <c r="I14096" s="12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  <c r="AA14096" s="3"/>
      <c r="AB14096" s="3"/>
      <c r="AC14096" s="3"/>
      <c r="AD14096" s="3"/>
      <c r="AE14096" s="3"/>
      <c r="AF14096" s="3"/>
      <c r="AG14096" s="3"/>
      <c r="AH14096" s="3"/>
    </row>
    <row r="14097" spans="1:34" ht="14.25" customHeight="1" x14ac:dyDescent="0.25">
      <c r="A14097" s="3"/>
      <c r="B14097" s="3"/>
      <c r="C14097" s="3"/>
      <c r="D14097" s="3"/>
      <c r="E14097" s="3"/>
      <c r="F14097" s="3"/>
      <c r="G14097" s="3"/>
      <c r="H14097" s="11"/>
      <c r="I14097" s="12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  <c r="AA14097" s="3"/>
      <c r="AB14097" s="3"/>
      <c r="AC14097" s="3"/>
      <c r="AD14097" s="3"/>
      <c r="AE14097" s="3"/>
      <c r="AF14097" s="3"/>
      <c r="AG14097" s="3"/>
      <c r="AH14097" s="3"/>
    </row>
    <row r="14098" spans="1:34" ht="14.25" customHeight="1" x14ac:dyDescent="0.25">
      <c r="A14098" s="3"/>
      <c r="B14098" s="3"/>
      <c r="C14098" s="3"/>
      <c r="D14098" s="3"/>
      <c r="E14098" s="3"/>
      <c r="F14098" s="3"/>
      <c r="G14098" s="3"/>
      <c r="H14098" s="11"/>
      <c r="I14098" s="12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  <c r="AA14098" s="3"/>
      <c r="AB14098" s="3"/>
      <c r="AC14098" s="3"/>
      <c r="AD14098" s="3"/>
      <c r="AE14098" s="3"/>
      <c r="AF14098" s="3"/>
      <c r="AG14098" s="3"/>
      <c r="AH14098" s="3"/>
    </row>
    <row r="14099" spans="1:34" ht="14.25" customHeight="1" x14ac:dyDescent="0.25">
      <c r="A14099" s="3"/>
      <c r="B14099" s="3"/>
      <c r="C14099" s="3"/>
      <c r="D14099" s="3"/>
      <c r="E14099" s="3"/>
      <c r="F14099" s="3"/>
      <c r="G14099" s="3"/>
      <c r="H14099" s="11"/>
      <c r="I14099" s="12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  <c r="AA14099" s="3"/>
      <c r="AB14099" s="3"/>
      <c r="AC14099" s="3"/>
      <c r="AD14099" s="3"/>
      <c r="AE14099" s="3"/>
      <c r="AF14099" s="3"/>
      <c r="AG14099" s="3"/>
      <c r="AH14099" s="3"/>
    </row>
    <row r="14100" spans="1:34" ht="14.25" customHeight="1" x14ac:dyDescent="0.25">
      <c r="A14100" s="3"/>
      <c r="B14100" s="3"/>
      <c r="C14100" s="3"/>
      <c r="D14100" s="3"/>
      <c r="E14100" s="3"/>
      <c r="F14100" s="3"/>
      <c r="G14100" s="3"/>
      <c r="H14100" s="11"/>
      <c r="I14100" s="12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  <c r="AA14100" s="3"/>
      <c r="AB14100" s="3"/>
      <c r="AC14100" s="3"/>
      <c r="AD14100" s="3"/>
      <c r="AE14100" s="3"/>
      <c r="AF14100" s="3"/>
      <c r="AG14100" s="3"/>
      <c r="AH14100" s="3"/>
    </row>
    <row r="14101" spans="1:34" ht="14.25" customHeight="1" x14ac:dyDescent="0.25">
      <c r="A14101" s="3"/>
      <c r="B14101" s="3"/>
      <c r="C14101" s="3"/>
      <c r="D14101" s="3"/>
      <c r="E14101" s="3"/>
      <c r="F14101" s="3"/>
      <c r="G14101" s="3"/>
      <c r="H14101" s="11"/>
      <c r="I14101" s="12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  <c r="AA14101" s="3"/>
      <c r="AB14101" s="3"/>
      <c r="AC14101" s="3"/>
      <c r="AD14101" s="3"/>
      <c r="AE14101" s="3"/>
      <c r="AF14101" s="3"/>
      <c r="AG14101" s="3"/>
      <c r="AH14101" s="3"/>
    </row>
    <row r="14102" spans="1:34" ht="14.25" customHeight="1" x14ac:dyDescent="0.25">
      <c r="A14102" s="3"/>
      <c r="B14102" s="3"/>
      <c r="C14102" s="3"/>
      <c r="D14102" s="3"/>
      <c r="E14102" s="3"/>
      <c r="F14102" s="3"/>
      <c r="G14102" s="3"/>
      <c r="H14102" s="11"/>
      <c r="I14102" s="12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  <c r="AA14102" s="3"/>
      <c r="AB14102" s="3"/>
      <c r="AC14102" s="3"/>
      <c r="AD14102" s="3"/>
      <c r="AE14102" s="3"/>
      <c r="AF14102" s="3"/>
      <c r="AG14102" s="3"/>
      <c r="AH14102" s="3"/>
    </row>
    <row r="14103" spans="1:34" ht="14.25" customHeight="1" x14ac:dyDescent="0.25">
      <c r="A14103" s="3"/>
      <c r="B14103" s="3"/>
      <c r="C14103" s="3"/>
      <c r="D14103" s="3"/>
      <c r="E14103" s="3"/>
      <c r="F14103" s="3"/>
      <c r="G14103" s="3"/>
      <c r="H14103" s="11"/>
      <c r="I14103" s="12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  <c r="AA14103" s="3"/>
      <c r="AB14103" s="3"/>
      <c r="AC14103" s="3"/>
      <c r="AD14103" s="3"/>
      <c r="AE14103" s="3"/>
      <c r="AF14103" s="3"/>
      <c r="AG14103" s="3"/>
      <c r="AH14103" s="3"/>
    </row>
    <row r="14104" spans="1:34" ht="14.25" customHeight="1" x14ac:dyDescent="0.25">
      <c r="A14104" s="3"/>
      <c r="B14104" s="3"/>
      <c r="C14104" s="3"/>
      <c r="D14104" s="3"/>
      <c r="E14104" s="3"/>
      <c r="F14104" s="3"/>
      <c r="G14104" s="3"/>
      <c r="H14104" s="11"/>
      <c r="I14104" s="12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  <c r="AA14104" s="3"/>
      <c r="AB14104" s="3"/>
      <c r="AC14104" s="3"/>
      <c r="AD14104" s="3"/>
      <c r="AE14104" s="3"/>
      <c r="AF14104" s="3"/>
      <c r="AG14104" s="3"/>
      <c r="AH14104" s="3"/>
    </row>
    <row r="14105" spans="1:34" ht="14.25" customHeight="1" x14ac:dyDescent="0.25">
      <c r="A14105" s="3"/>
      <c r="B14105" s="3"/>
      <c r="C14105" s="3"/>
      <c r="D14105" s="3"/>
      <c r="E14105" s="3"/>
      <c r="F14105" s="3"/>
      <c r="G14105" s="3"/>
      <c r="H14105" s="11"/>
      <c r="I14105" s="12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  <c r="AA14105" s="3"/>
      <c r="AB14105" s="3"/>
      <c r="AC14105" s="3"/>
      <c r="AD14105" s="3"/>
      <c r="AE14105" s="3"/>
      <c r="AF14105" s="3"/>
      <c r="AG14105" s="3"/>
      <c r="AH14105" s="3"/>
    </row>
    <row r="14106" spans="1:34" ht="14.25" customHeight="1" x14ac:dyDescent="0.25">
      <c r="A14106" s="3"/>
      <c r="B14106" s="3"/>
      <c r="C14106" s="3"/>
      <c r="D14106" s="3"/>
      <c r="E14106" s="3"/>
      <c r="F14106" s="3"/>
      <c r="G14106" s="3"/>
      <c r="H14106" s="11"/>
      <c r="I14106" s="12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  <c r="AA14106" s="3"/>
      <c r="AB14106" s="3"/>
      <c r="AC14106" s="3"/>
      <c r="AD14106" s="3"/>
      <c r="AE14106" s="3"/>
      <c r="AF14106" s="3"/>
      <c r="AG14106" s="3"/>
      <c r="AH14106" s="3"/>
    </row>
    <row r="14107" spans="1:34" ht="14.25" customHeight="1" x14ac:dyDescent="0.25">
      <c r="A14107" s="3"/>
      <c r="B14107" s="3"/>
      <c r="C14107" s="3"/>
      <c r="D14107" s="3"/>
      <c r="E14107" s="3"/>
      <c r="F14107" s="3"/>
      <c r="G14107" s="3"/>
      <c r="H14107" s="11"/>
      <c r="I14107" s="12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  <c r="AA14107" s="3"/>
      <c r="AB14107" s="3"/>
      <c r="AC14107" s="3"/>
      <c r="AD14107" s="3"/>
      <c r="AE14107" s="3"/>
      <c r="AF14107" s="3"/>
      <c r="AG14107" s="3"/>
      <c r="AH14107" s="3"/>
    </row>
    <row r="14108" spans="1:34" ht="14.25" customHeight="1" x14ac:dyDescent="0.25">
      <c r="A14108" s="3"/>
      <c r="B14108" s="3"/>
      <c r="C14108" s="3"/>
      <c r="D14108" s="3"/>
      <c r="E14108" s="3"/>
      <c r="F14108" s="3"/>
      <c r="G14108" s="3"/>
      <c r="H14108" s="11"/>
      <c r="I14108" s="12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  <c r="AA14108" s="3"/>
      <c r="AB14108" s="3"/>
      <c r="AC14108" s="3"/>
      <c r="AD14108" s="3"/>
      <c r="AE14108" s="3"/>
      <c r="AF14108" s="3"/>
      <c r="AG14108" s="3"/>
      <c r="AH14108" s="3"/>
    </row>
    <row r="14109" spans="1:34" ht="14.25" customHeight="1" x14ac:dyDescent="0.25">
      <c r="A14109" s="3"/>
      <c r="B14109" s="3"/>
      <c r="C14109" s="3"/>
      <c r="D14109" s="3"/>
      <c r="E14109" s="3"/>
      <c r="F14109" s="3"/>
      <c r="G14109" s="3"/>
      <c r="H14109" s="11"/>
      <c r="I14109" s="12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  <c r="AA14109" s="3"/>
      <c r="AB14109" s="3"/>
      <c r="AC14109" s="3"/>
      <c r="AD14109" s="3"/>
      <c r="AE14109" s="3"/>
      <c r="AF14109" s="3"/>
      <c r="AG14109" s="3"/>
      <c r="AH14109" s="3"/>
    </row>
    <row r="14110" spans="1:34" ht="14.25" customHeight="1" x14ac:dyDescent="0.25">
      <c r="A14110" s="3"/>
      <c r="B14110" s="3"/>
      <c r="C14110" s="3"/>
      <c r="D14110" s="3"/>
      <c r="E14110" s="3"/>
      <c r="F14110" s="3"/>
      <c r="G14110" s="3"/>
      <c r="H14110" s="11"/>
      <c r="I14110" s="12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  <c r="AA14110" s="3"/>
      <c r="AB14110" s="3"/>
      <c r="AC14110" s="3"/>
      <c r="AD14110" s="3"/>
      <c r="AE14110" s="3"/>
      <c r="AF14110" s="3"/>
      <c r="AG14110" s="3"/>
      <c r="AH14110" s="3"/>
    </row>
    <row r="14111" spans="1:34" ht="14.25" customHeight="1" x14ac:dyDescent="0.25">
      <c r="A14111" s="3"/>
      <c r="B14111" s="3"/>
      <c r="C14111" s="3"/>
      <c r="D14111" s="3"/>
      <c r="E14111" s="3"/>
      <c r="F14111" s="3"/>
      <c r="G14111" s="3"/>
      <c r="H14111" s="11"/>
      <c r="I14111" s="12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  <c r="AA14111" s="3"/>
      <c r="AB14111" s="3"/>
      <c r="AC14111" s="3"/>
      <c r="AD14111" s="3"/>
      <c r="AE14111" s="3"/>
      <c r="AF14111" s="3"/>
      <c r="AG14111" s="3"/>
      <c r="AH14111" s="3"/>
    </row>
    <row r="14112" spans="1:34" ht="14.25" customHeight="1" x14ac:dyDescent="0.25">
      <c r="A14112" s="3"/>
      <c r="B14112" s="3"/>
      <c r="C14112" s="3"/>
      <c r="D14112" s="3"/>
      <c r="E14112" s="3"/>
      <c r="F14112" s="3"/>
      <c r="G14112" s="3"/>
      <c r="H14112" s="11"/>
      <c r="I14112" s="12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  <c r="AA14112" s="3"/>
      <c r="AB14112" s="3"/>
      <c r="AC14112" s="3"/>
      <c r="AD14112" s="3"/>
      <c r="AE14112" s="3"/>
      <c r="AF14112" s="3"/>
      <c r="AG14112" s="3"/>
      <c r="AH14112" s="3"/>
    </row>
    <row r="14113" spans="1:34" ht="14.25" customHeight="1" x14ac:dyDescent="0.25">
      <c r="A14113" s="3"/>
      <c r="B14113" s="3"/>
      <c r="C14113" s="3"/>
      <c r="D14113" s="3"/>
      <c r="E14113" s="3"/>
      <c r="F14113" s="3"/>
      <c r="G14113" s="3"/>
      <c r="H14113" s="11"/>
      <c r="I14113" s="12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  <c r="AA14113" s="3"/>
      <c r="AB14113" s="3"/>
      <c r="AC14113" s="3"/>
      <c r="AD14113" s="3"/>
      <c r="AE14113" s="3"/>
      <c r="AF14113" s="3"/>
      <c r="AG14113" s="3"/>
      <c r="AH14113" s="3"/>
    </row>
    <row r="14114" spans="1:34" ht="14.25" customHeight="1" x14ac:dyDescent="0.25">
      <c r="A14114" s="3"/>
      <c r="B14114" s="3"/>
      <c r="C14114" s="3"/>
      <c r="D14114" s="3"/>
      <c r="E14114" s="3"/>
      <c r="F14114" s="3"/>
      <c r="G14114" s="3"/>
      <c r="H14114" s="11"/>
      <c r="I14114" s="12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  <c r="AA14114" s="3"/>
      <c r="AB14114" s="3"/>
      <c r="AC14114" s="3"/>
      <c r="AD14114" s="3"/>
      <c r="AE14114" s="3"/>
      <c r="AF14114" s="3"/>
      <c r="AG14114" s="3"/>
      <c r="AH14114" s="3"/>
    </row>
    <row r="14115" spans="1:34" ht="14.25" customHeight="1" x14ac:dyDescent="0.25">
      <c r="A14115" s="3"/>
      <c r="B14115" s="3"/>
      <c r="C14115" s="3"/>
      <c r="D14115" s="3"/>
      <c r="E14115" s="3"/>
      <c r="F14115" s="3"/>
      <c r="G14115" s="3"/>
      <c r="H14115" s="11"/>
      <c r="I14115" s="12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  <c r="AA14115" s="3"/>
      <c r="AB14115" s="3"/>
      <c r="AC14115" s="3"/>
      <c r="AD14115" s="3"/>
      <c r="AE14115" s="3"/>
      <c r="AF14115" s="3"/>
      <c r="AG14115" s="3"/>
      <c r="AH14115" s="3"/>
    </row>
    <row r="14116" spans="1:34" ht="14.25" customHeight="1" x14ac:dyDescent="0.25">
      <c r="A14116" s="3"/>
      <c r="B14116" s="3"/>
      <c r="C14116" s="3"/>
      <c r="D14116" s="3"/>
      <c r="E14116" s="3"/>
      <c r="F14116" s="3"/>
      <c r="G14116" s="3"/>
      <c r="H14116" s="11"/>
      <c r="I14116" s="12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  <c r="AA14116" s="3"/>
      <c r="AB14116" s="3"/>
      <c r="AC14116" s="3"/>
      <c r="AD14116" s="3"/>
      <c r="AE14116" s="3"/>
      <c r="AF14116" s="3"/>
      <c r="AG14116" s="3"/>
      <c r="AH14116" s="3"/>
    </row>
    <row r="14117" spans="1:34" ht="14.25" customHeight="1" x14ac:dyDescent="0.25">
      <c r="A14117" s="3"/>
      <c r="B14117" s="3"/>
      <c r="C14117" s="3"/>
      <c r="D14117" s="3"/>
      <c r="E14117" s="3"/>
      <c r="F14117" s="3"/>
      <c r="G14117" s="3"/>
      <c r="H14117" s="11"/>
      <c r="I14117" s="12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  <c r="AA14117" s="3"/>
      <c r="AB14117" s="3"/>
      <c r="AC14117" s="3"/>
      <c r="AD14117" s="3"/>
      <c r="AE14117" s="3"/>
      <c r="AF14117" s="3"/>
      <c r="AG14117" s="3"/>
      <c r="AH14117" s="3"/>
    </row>
    <row r="14118" spans="1:34" ht="14.25" customHeight="1" x14ac:dyDescent="0.25">
      <c r="A14118" s="3"/>
      <c r="B14118" s="3"/>
      <c r="C14118" s="3"/>
      <c r="D14118" s="3"/>
      <c r="E14118" s="3"/>
      <c r="F14118" s="3"/>
      <c r="G14118" s="3"/>
      <c r="H14118" s="11"/>
      <c r="I14118" s="12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  <c r="AA14118" s="3"/>
      <c r="AB14118" s="3"/>
      <c r="AC14118" s="3"/>
      <c r="AD14118" s="3"/>
      <c r="AE14118" s="3"/>
      <c r="AF14118" s="3"/>
      <c r="AG14118" s="3"/>
      <c r="AH14118" s="3"/>
    </row>
    <row r="14119" spans="1:34" ht="14.25" customHeight="1" x14ac:dyDescent="0.25">
      <c r="A14119" s="3"/>
      <c r="B14119" s="3"/>
      <c r="C14119" s="3"/>
      <c r="D14119" s="3"/>
      <c r="E14119" s="3"/>
      <c r="F14119" s="3"/>
      <c r="G14119" s="3"/>
      <c r="H14119" s="11"/>
      <c r="I14119" s="12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  <c r="AA14119" s="3"/>
      <c r="AB14119" s="3"/>
      <c r="AC14119" s="3"/>
      <c r="AD14119" s="3"/>
      <c r="AE14119" s="3"/>
      <c r="AF14119" s="3"/>
      <c r="AG14119" s="3"/>
      <c r="AH14119" s="3"/>
    </row>
    <row r="14120" spans="1:34" ht="14.25" customHeight="1" x14ac:dyDescent="0.25">
      <c r="A14120" s="3"/>
      <c r="B14120" s="3"/>
      <c r="C14120" s="3"/>
      <c r="D14120" s="3"/>
      <c r="E14120" s="3"/>
      <c r="F14120" s="3"/>
      <c r="G14120" s="3"/>
      <c r="H14120" s="11"/>
      <c r="I14120" s="12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  <c r="AA14120" s="3"/>
      <c r="AB14120" s="3"/>
      <c r="AC14120" s="3"/>
      <c r="AD14120" s="3"/>
      <c r="AE14120" s="3"/>
      <c r="AF14120" s="3"/>
      <c r="AG14120" s="3"/>
      <c r="AH14120" s="3"/>
    </row>
    <row r="14121" spans="1:34" ht="14.25" customHeight="1" x14ac:dyDescent="0.25">
      <c r="A14121" s="3"/>
      <c r="B14121" s="3"/>
      <c r="C14121" s="3"/>
      <c r="D14121" s="3"/>
      <c r="E14121" s="3"/>
      <c r="F14121" s="3"/>
      <c r="G14121" s="3"/>
      <c r="H14121" s="11"/>
      <c r="I14121" s="12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  <c r="AA14121" s="3"/>
      <c r="AB14121" s="3"/>
      <c r="AC14121" s="3"/>
      <c r="AD14121" s="3"/>
      <c r="AE14121" s="3"/>
      <c r="AF14121" s="3"/>
      <c r="AG14121" s="3"/>
      <c r="AH14121" s="3"/>
    </row>
    <row r="14122" spans="1:34" ht="14.25" customHeight="1" x14ac:dyDescent="0.25">
      <c r="A14122" s="3"/>
      <c r="B14122" s="3"/>
      <c r="C14122" s="3"/>
      <c r="D14122" s="3"/>
      <c r="E14122" s="3"/>
      <c r="F14122" s="3"/>
      <c r="G14122" s="3"/>
      <c r="H14122" s="11"/>
      <c r="I14122" s="12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  <c r="AA14122" s="3"/>
      <c r="AB14122" s="3"/>
      <c r="AC14122" s="3"/>
      <c r="AD14122" s="3"/>
      <c r="AE14122" s="3"/>
      <c r="AF14122" s="3"/>
      <c r="AG14122" s="3"/>
      <c r="AH14122" s="3"/>
    </row>
    <row r="14123" spans="1:34" ht="14.25" customHeight="1" x14ac:dyDescent="0.25">
      <c r="A14123" s="3"/>
      <c r="B14123" s="3"/>
      <c r="C14123" s="3"/>
      <c r="D14123" s="3"/>
      <c r="E14123" s="3"/>
      <c r="F14123" s="3"/>
      <c r="G14123" s="3"/>
      <c r="H14123" s="11"/>
      <c r="I14123" s="12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  <c r="AA14123" s="3"/>
      <c r="AB14123" s="3"/>
      <c r="AC14123" s="3"/>
      <c r="AD14123" s="3"/>
      <c r="AE14123" s="3"/>
      <c r="AF14123" s="3"/>
      <c r="AG14123" s="3"/>
      <c r="AH14123" s="3"/>
    </row>
    <row r="14124" spans="1:34" ht="14.25" customHeight="1" x14ac:dyDescent="0.25">
      <c r="A14124" s="3"/>
      <c r="B14124" s="3"/>
      <c r="C14124" s="3"/>
      <c r="D14124" s="3"/>
      <c r="E14124" s="3"/>
      <c r="F14124" s="3"/>
      <c r="G14124" s="3"/>
      <c r="H14124" s="11"/>
      <c r="I14124" s="12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  <c r="AA14124" s="3"/>
      <c r="AB14124" s="3"/>
      <c r="AC14124" s="3"/>
      <c r="AD14124" s="3"/>
      <c r="AE14124" s="3"/>
      <c r="AF14124" s="3"/>
      <c r="AG14124" s="3"/>
      <c r="AH14124" s="3"/>
    </row>
    <row r="14125" spans="1:34" ht="14.25" customHeight="1" x14ac:dyDescent="0.25">
      <c r="A14125" s="3"/>
      <c r="B14125" s="3"/>
      <c r="C14125" s="3"/>
      <c r="D14125" s="3"/>
      <c r="E14125" s="3"/>
      <c r="F14125" s="3"/>
      <c r="G14125" s="3"/>
      <c r="H14125" s="11"/>
      <c r="I14125" s="12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  <c r="AA14125" s="3"/>
      <c r="AB14125" s="3"/>
      <c r="AC14125" s="3"/>
      <c r="AD14125" s="3"/>
      <c r="AE14125" s="3"/>
      <c r="AF14125" s="3"/>
      <c r="AG14125" s="3"/>
      <c r="AH14125" s="3"/>
    </row>
    <row r="14126" spans="1:34" ht="14.25" customHeight="1" x14ac:dyDescent="0.25">
      <c r="A14126" s="3"/>
      <c r="B14126" s="3"/>
      <c r="C14126" s="3"/>
      <c r="D14126" s="3"/>
      <c r="E14126" s="3"/>
      <c r="F14126" s="3"/>
      <c r="G14126" s="3"/>
      <c r="H14126" s="11"/>
      <c r="I14126" s="12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  <c r="AA14126" s="3"/>
      <c r="AB14126" s="3"/>
      <c r="AC14126" s="3"/>
      <c r="AD14126" s="3"/>
      <c r="AE14126" s="3"/>
      <c r="AF14126" s="3"/>
      <c r="AG14126" s="3"/>
      <c r="AH14126" s="3"/>
    </row>
    <row r="14127" spans="1:34" ht="14.25" customHeight="1" x14ac:dyDescent="0.25">
      <c r="A14127" s="3"/>
      <c r="B14127" s="3"/>
      <c r="C14127" s="3"/>
      <c r="D14127" s="3"/>
      <c r="E14127" s="3"/>
      <c r="F14127" s="3"/>
      <c r="G14127" s="3"/>
      <c r="H14127" s="11"/>
      <c r="I14127" s="12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  <c r="AA14127" s="3"/>
      <c r="AB14127" s="3"/>
      <c r="AC14127" s="3"/>
      <c r="AD14127" s="3"/>
      <c r="AE14127" s="3"/>
      <c r="AF14127" s="3"/>
      <c r="AG14127" s="3"/>
      <c r="AH14127" s="3"/>
    </row>
    <row r="14128" spans="1:34" ht="14.25" customHeight="1" x14ac:dyDescent="0.25">
      <c r="A14128" s="3"/>
      <c r="B14128" s="3"/>
      <c r="C14128" s="3"/>
      <c r="D14128" s="3"/>
      <c r="E14128" s="3"/>
      <c r="F14128" s="3"/>
      <c r="G14128" s="3"/>
      <c r="H14128" s="11"/>
      <c r="I14128" s="12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  <c r="AA14128" s="3"/>
      <c r="AB14128" s="3"/>
      <c r="AC14128" s="3"/>
      <c r="AD14128" s="3"/>
      <c r="AE14128" s="3"/>
      <c r="AF14128" s="3"/>
      <c r="AG14128" s="3"/>
      <c r="AH14128" s="3"/>
    </row>
    <row r="14129" spans="1:34" ht="14.25" customHeight="1" x14ac:dyDescent="0.25">
      <c r="A14129" s="3"/>
      <c r="B14129" s="3"/>
      <c r="C14129" s="3"/>
      <c r="D14129" s="3"/>
      <c r="E14129" s="3"/>
      <c r="F14129" s="3"/>
      <c r="G14129" s="3"/>
      <c r="H14129" s="11"/>
      <c r="I14129" s="12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  <c r="AA14129" s="3"/>
      <c r="AB14129" s="3"/>
      <c r="AC14129" s="3"/>
      <c r="AD14129" s="3"/>
      <c r="AE14129" s="3"/>
      <c r="AF14129" s="3"/>
      <c r="AG14129" s="3"/>
      <c r="AH14129" s="3"/>
    </row>
    <row r="14130" spans="1:34" ht="14.25" customHeight="1" x14ac:dyDescent="0.25">
      <c r="A14130" s="3"/>
      <c r="B14130" s="3"/>
      <c r="C14130" s="3"/>
      <c r="D14130" s="3"/>
      <c r="E14130" s="3"/>
      <c r="F14130" s="3"/>
      <c r="G14130" s="3"/>
      <c r="H14130" s="11"/>
      <c r="I14130" s="12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  <c r="AA14130" s="3"/>
      <c r="AB14130" s="3"/>
      <c r="AC14130" s="3"/>
      <c r="AD14130" s="3"/>
      <c r="AE14130" s="3"/>
      <c r="AF14130" s="3"/>
      <c r="AG14130" s="3"/>
      <c r="AH14130" s="3"/>
    </row>
    <row r="14131" spans="1:34" ht="14.25" customHeight="1" x14ac:dyDescent="0.25">
      <c r="A14131" s="3"/>
      <c r="B14131" s="3"/>
      <c r="C14131" s="3"/>
      <c r="D14131" s="3"/>
      <c r="E14131" s="3"/>
      <c r="F14131" s="3"/>
      <c r="G14131" s="3"/>
      <c r="H14131" s="11"/>
      <c r="I14131" s="12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  <c r="AA14131" s="3"/>
      <c r="AB14131" s="3"/>
      <c r="AC14131" s="3"/>
      <c r="AD14131" s="3"/>
      <c r="AE14131" s="3"/>
      <c r="AF14131" s="3"/>
      <c r="AG14131" s="3"/>
      <c r="AH14131" s="3"/>
    </row>
    <row r="14132" spans="1:34" ht="14.25" customHeight="1" x14ac:dyDescent="0.25">
      <c r="A14132" s="3"/>
      <c r="B14132" s="3"/>
      <c r="C14132" s="3"/>
      <c r="D14132" s="3"/>
      <c r="E14132" s="3"/>
      <c r="F14132" s="3"/>
      <c r="G14132" s="3"/>
      <c r="H14132" s="11"/>
      <c r="I14132" s="12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  <c r="AA14132" s="3"/>
      <c r="AB14132" s="3"/>
      <c r="AC14132" s="3"/>
      <c r="AD14132" s="3"/>
      <c r="AE14132" s="3"/>
      <c r="AF14132" s="3"/>
      <c r="AG14132" s="3"/>
      <c r="AH14132" s="3"/>
    </row>
    <row r="14133" spans="1:34" ht="14.25" customHeight="1" x14ac:dyDescent="0.25">
      <c r="A14133" s="3"/>
      <c r="B14133" s="3"/>
      <c r="C14133" s="3"/>
      <c r="D14133" s="3"/>
      <c r="E14133" s="3"/>
      <c r="F14133" s="3"/>
      <c r="G14133" s="3"/>
      <c r="H14133" s="11"/>
      <c r="I14133" s="12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  <c r="AA14133" s="3"/>
      <c r="AB14133" s="3"/>
      <c r="AC14133" s="3"/>
      <c r="AD14133" s="3"/>
      <c r="AE14133" s="3"/>
      <c r="AF14133" s="3"/>
      <c r="AG14133" s="3"/>
      <c r="AH14133" s="3"/>
    </row>
    <row r="14134" spans="1:34" ht="14.25" customHeight="1" x14ac:dyDescent="0.25">
      <c r="A14134" s="3"/>
      <c r="B14134" s="3"/>
      <c r="C14134" s="3"/>
      <c r="D14134" s="3"/>
      <c r="E14134" s="3"/>
      <c r="F14134" s="3"/>
      <c r="G14134" s="3"/>
      <c r="H14134" s="11"/>
      <c r="I14134" s="12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  <c r="AA14134" s="3"/>
      <c r="AB14134" s="3"/>
      <c r="AC14134" s="3"/>
      <c r="AD14134" s="3"/>
      <c r="AE14134" s="3"/>
      <c r="AF14134" s="3"/>
      <c r="AG14134" s="3"/>
      <c r="AH14134" s="3"/>
    </row>
    <row r="14135" spans="1:34" ht="14.25" customHeight="1" x14ac:dyDescent="0.25">
      <c r="A14135" s="3"/>
      <c r="B14135" s="3"/>
      <c r="C14135" s="3"/>
      <c r="D14135" s="3"/>
      <c r="E14135" s="3"/>
      <c r="F14135" s="3"/>
      <c r="G14135" s="3"/>
      <c r="H14135" s="11"/>
      <c r="I14135" s="12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  <c r="AA14135" s="3"/>
      <c r="AB14135" s="3"/>
      <c r="AC14135" s="3"/>
      <c r="AD14135" s="3"/>
      <c r="AE14135" s="3"/>
      <c r="AF14135" s="3"/>
      <c r="AG14135" s="3"/>
      <c r="AH14135" s="3"/>
    </row>
    <row r="14136" spans="1:34" ht="14.25" customHeight="1" x14ac:dyDescent="0.25">
      <c r="A14136" s="3"/>
      <c r="B14136" s="3"/>
      <c r="C14136" s="3"/>
      <c r="D14136" s="3"/>
      <c r="E14136" s="3"/>
      <c r="F14136" s="3"/>
      <c r="G14136" s="3"/>
      <c r="H14136" s="11"/>
      <c r="I14136" s="12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  <c r="AA14136" s="3"/>
      <c r="AB14136" s="3"/>
      <c r="AC14136" s="3"/>
      <c r="AD14136" s="3"/>
      <c r="AE14136" s="3"/>
      <c r="AF14136" s="3"/>
      <c r="AG14136" s="3"/>
      <c r="AH14136" s="3"/>
    </row>
    <row r="14137" spans="1:34" ht="14.25" customHeight="1" x14ac:dyDescent="0.25">
      <c r="A14137" s="3"/>
      <c r="B14137" s="3"/>
      <c r="C14137" s="3"/>
      <c r="D14137" s="3"/>
      <c r="E14137" s="3"/>
      <c r="F14137" s="3"/>
      <c r="G14137" s="3"/>
      <c r="H14137" s="11"/>
      <c r="I14137" s="12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  <c r="AA14137" s="3"/>
      <c r="AB14137" s="3"/>
      <c r="AC14137" s="3"/>
      <c r="AD14137" s="3"/>
      <c r="AE14137" s="3"/>
      <c r="AF14137" s="3"/>
      <c r="AG14137" s="3"/>
      <c r="AH14137" s="3"/>
    </row>
    <row r="14138" spans="1:34" ht="14.25" customHeight="1" x14ac:dyDescent="0.25">
      <c r="A14138" s="3"/>
      <c r="B14138" s="3"/>
      <c r="C14138" s="3"/>
      <c r="D14138" s="3"/>
      <c r="E14138" s="3"/>
      <c r="F14138" s="3"/>
      <c r="G14138" s="3"/>
      <c r="H14138" s="11"/>
      <c r="I14138" s="12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  <c r="AA14138" s="3"/>
      <c r="AB14138" s="3"/>
      <c r="AC14138" s="3"/>
      <c r="AD14138" s="3"/>
      <c r="AE14138" s="3"/>
      <c r="AF14138" s="3"/>
      <c r="AG14138" s="3"/>
      <c r="AH14138" s="3"/>
    </row>
    <row r="14139" spans="1:34" ht="14.25" customHeight="1" x14ac:dyDescent="0.25">
      <c r="A14139" s="3"/>
      <c r="B14139" s="3"/>
      <c r="C14139" s="3"/>
      <c r="D14139" s="3"/>
      <c r="E14139" s="3"/>
      <c r="F14139" s="3"/>
      <c r="G14139" s="3"/>
      <c r="H14139" s="11"/>
      <c r="I14139" s="12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  <c r="AA14139" s="3"/>
      <c r="AB14139" s="3"/>
      <c r="AC14139" s="3"/>
      <c r="AD14139" s="3"/>
      <c r="AE14139" s="3"/>
      <c r="AF14139" s="3"/>
      <c r="AG14139" s="3"/>
      <c r="AH14139" s="3"/>
    </row>
    <row r="14140" spans="1:34" ht="14.25" customHeight="1" x14ac:dyDescent="0.25">
      <c r="A14140" s="3"/>
      <c r="B14140" s="3"/>
      <c r="C14140" s="3"/>
      <c r="D14140" s="3"/>
      <c r="E14140" s="3"/>
      <c r="F14140" s="3"/>
      <c r="G14140" s="3"/>
      <c r="H14140" s="11"/>
      <c r="I14140" s="12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  <c r="AA14140" s="3"/>
      <c r="AB14140" s="3"/>
      <c r="AC14140" s="3"/>
      <c r="AD14140" s="3"/>
      <c r="AE14140" s="3"/>
      <c r="AF14140" s="3"/>
      <c r="AG14140" s="3"/>
      <c r="AH14140" s="3"/>
    </row>
    <row r="14141" spans="1:34" ht="14.25" customHeight="1" x14ac:dyDescent="0.25">
      <c r="A14141" s="3"/>
      <c r="B14141" s="3"/>
      <c r="C14141" s="3"/>
      <c r="D14141" s="3"/>
      <c r="E14141" s="3"/>
      <c r="F14141" s="3"/>
      <c r="G14141" s="3"/>
      <c r="H14141" s="11"/>
      <c r="I14141" s="12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  <c r="AA14141" s="3"/>
      <c r="AB14141" s="3"/>
      <c r="AC14141" s="3"/>
      <c r="AD14141" s="3"/>
      <c r="AE14141" s="3"/>
      <c r="AF14141" s="3"/>
      <c r="AG14141" s="3"/>
      <c r="AH14141" s="3"/>
    </row>
    <row r="14142" spans="1:34" ht="14.25" customHeight="1" x14ac:dyDescent="0.25">
      <c r="A14142" s="3"/>
      <c r="B14142" s="3"/>
      <c r="C14142" s="3"/>
      <c r="D14142" s="3"/>
      <c r="E14142" s="3"/>
      <c r="F14142" s="3"/>
      <c r="G14142" s="3"/>
      <c r="H14142" s="11"/>
      <c r="I14142" s="12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  <c r="AA14142" s="3"/>
      <c r="AB14142" s="3"/>
      <c r="AC14142" s="3"/>
      <c r="AD14142" s="3"/>
      <c r="AE14142" s="3"/>
      <c r="AF14142" s="3"/>
      <c r="AG14142" s="3"/>
      <c r="AH14142" s="3"/>
    </row>
    <row r="14143" spans="1:34" ht="14.25" customHeight="1" x14ac:dyDescent="0.25">
      <c r="A14143" s="3"/>
      <c r="B14143" s="3"/>
      <c r="C14143" s="3"/>
      <c r="D14143" s="3"/>
      <c r="E14143" s="3"/>
      <c r="F14143" s="3"/>
      <c r="G14143" s="3"/>
      <c r="H14143" s="11"/>
      <c r="I14143" s="12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  <c r="AA14143" s="3"/>
      <c r="AB14143" s="3"/>
      <c r="AC14143" s="3"/>
      <c r="AD14143" s="3"/>
      <c r="AE14143" s="3"/>
      <c r="AF14143" s="3"/>
      <c r="AG14143" s="3"/>
      <c r="AH14143" s="3"/>
    </row>
    <row r="14144" spans="1:34" ht="14.25" customHeight="1" x14ac:dyDescent="0.25">
      <c r="A14144" s="3"/>
      <c r="B14144" s="3"/>
      <c r="C14144" s="3"/>
      <c r="D14144" s="3"/>
      <c r="E14144" s="3"/>
      <c r="F14144" s="3"/>
      <c r="G14144" s="3"/>
      <c r="H14144" s="11"/>
      <c r="I14144" s="12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  <c r="AA14144" s="3"/>
      <c r="AB14144" s="3"/>
      <c r="AC14144" s="3"/>
      <c r="AD14144" s="3"/>
      <c r="AE14144" s="3"/>
      <c r="AF14144" s="3"/>
      <c r="AG14144" s="3"/>
      <c r="AH14144" s="3"/>
    </row>
    <row r="14145" spans="1:34" ht="14.25" customHeight="1" x14ac:dyDescent="0.25">
      <c r="A14145" s="3"/>
      <c r="B14145" s="3"/>
      <c r="C14145" s="3"/>
      <c r="D14145" s="3"/>
      <c r="E14145" s="3"/>
      <c r="F14145" s="3"/>
      <c r="G14145" s="3"/>
      <c r="H14145" s="11"/>
      <c r="I14145" s="12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  <c r="AA14145" s="3"/>
      <c r="AB14145" s="3"/>
      <c r="AC14145" s="3"/>
      <c r="AD14145" s="3"/>
      <c r="AE14145" s="3"/>
      <c r="AF14145" s="3"/>
      <c r="AG14145" s="3"/>
      <c r="AH14145" s="3"/>
    </row>
    <row r="14146" spans="1:34" ht="14.25" customHeight="1" x14ac:dyDescent="0.25">
      <c r="A14146" s="3"/>
      <c r="B14146" s="3"/>
      <c r="C14146" s="3"/>
      <c r="D14146" s="3"/>
      <c r="E14146" s="3"/>
      <c r="F14146" s="3"/>
      <c r="G14146" s="3"/>
      <c r="H14146" s="11"/>
      <c r="I14146" s="12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  <c r="AA14146" s="3"/>
      <c r="AB14146" s="3"/>
      <c r="AC14146" s="3"/>
      <c r="AD14146" s="3"/>
      <c r="AE14146" s="3"/>
      <c r="AF14146" s="3"/>
      <c r="AG14146" s="3"/>
      <c r="AH14146" s="3"/>
    </row>
    <row r="14147" spans="1:34" ht="14.25" customHeight="1" x14ac:dyDescent="0.25">
      <c r="A14147" s="3"/>
      <c r="B14147" s="3"/>
      <c r="C14147" s="3"/>
      <c r="D14147" s="3"/>
      <c r="E14147" s="3"/>
      <c r="F14147" s="3"/>
      <c r="G14147" s="3"/>
      <c r="H14147" s="11"/>
      <c r="I14147" s="12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  <c r="AA14147" s="3"/>
      <c r="AB14147" s="3"/>
      <c r="AC14147" s="3"/>
      <c r="AD14147" s="3"/>
      <c r="AE14147" s="3"/>
      <c r="AF14147" s="3"/>
      <c r="AG14147" s="3"/>
      <c r="AH14147" s="3"/>
    </row>
    <row r="14148" spans="1:34" ht="14.25" customHeight="1" x14ac:dyDescent="0.25">
      <c r="A14148" s="3"/>
      <c r="B14148" s="3"/>
      <c r="C14148" s="3"/>
      <c r="D14148" s="3"/>
      <c r="E14148" s="3"/>
      <c r="F14148" s="3"/>
      <c r="G14148" s="3"/>
      <c r="H14148" s="11"/>
      <c r="I14148" s="12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  <c r="AA14148" s="3"/>
      <c r="AB14148" s="3"/>
      <c r="AC14148" s="3"/>
      <c r="AD14148" s="3"/>
      <c r="AE14148" s="3"/>
      <c r="AF14148" s="3"/>
      <c r="AG14148" s="3"/>
      <c r="AH14148" s="3"/>
    </row>
    <row r="14149" spans="1:34" ht="14.25" customHeight="1" x14ac:dyDescent="0.25">
      <c r="A14149" s="3"/>
      <c r="B14149" s="3"/>
      <c r="C14149" s="3"/>
      <c r="D14149" s="3"/>
      <c r="E14149" s="3"/>
      <c r="F14149" s="3"/>
      <c r="G14149" s="3"/>
      <c r="H14149" s="11"/>
      <c r="I14149" s="12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  <c r="AA14149" s="3"/>
      <c r="AB14149" s="3"/>
      <c r="AC14149" s="3"/>
      <c r="AD14149" s="3"/>
      <c r="AE14149" s="3"/>
      <c r="AF14149" s="3"/>
      <c r="AG14149" s="3"/>
      <c r="AH14149" s="3"/>
    </row>
    <row r="14150" spans="1:34" ht="14.25" customHeight="1" x14ac:dyDescent="0.25">
      <c r="A14150" s="3"/>
      <c r="B14150" s="3"/>
      <c r="C14150" s="3"/>
      <c r="D14150" s="3"/>
      <c r="E14150" s="3"/>
      <c r="F14150" s="3"/>
      <c r="G14150" s="3"/>
      <c r="H14150" s="11"/>
      <c r="I14150" s="12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  <c r="AA14150" s="3"/>
      <c r="AB14150" s="3"/>
      <c r="AC14150" s="3"/>
      <c r="AD14150" s="3"/>
      <c r="AE14150" s="3"/>
      <c r="AF14150" s="3"/>
      <c r="AG14150" s="3"/>
      <c r="AH14150" s="3"/>
    </row>
    <row r="14151" spans="1:34" ht="14.25" customHeight="1" x14ac:dyDescent="0.25">
      <c r="A14151" s="3"/>
      <c r="B14151" s="3"/>
      <c r="C14151" s="3"/>
      <c r="D14151" s="3"/>
      <c r="E14151" s="3"/>
      <c r="F14151" s="3"/>
      <c r="G14151" s="3"/>
      <c r="H14151" s="11"/>
      <c r="I14151" s="12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  <c r="AA14151" s="3"/>
      <c r="AB14151" s="3"/>
      <c r="AC14151" s="3"/>
      <c r="AD14151" s="3"/>
      <c r="AE14151" s="3"/>
      <c r="AF14151" s="3"/>
      <c r="AG14151" s="3"/>
      <c r="AH14151" s="3"/>
    </row>
    <row r="14152" spans="1:34" ht="14.25" customHeight="1" x14ac:dyDescent="0.25">
      <c r="A14152" s="3"/>
      <c r="B14152" s="3"/>
      <c r="C14152" s="3"/>
      <c r="D14152" s="3"/>
      <c r="E14152" s="3"/>
      <c r="F14152" s="3"/>
      <c r="G14152" s="3"/>
      <c r="H14152" s="11"/>
      <c r="I14152" s="12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  <c r="AA14152" s="3"/>
      <c r="AB14152" s="3"/>
      <c r="AC14152" s="3"/>
      <c r="AD14152" s="3"/>
      <c r="AE14152" s="3"/>
      <c r="AF14152" s="3"/>
      <c r="AG14152" s="3"/>
      <c r="AH14152" s="3"/>
    </row>
    <row r="14153" spans="1:34" ht="14.25" customHeight="1" x14ac:dyDescent="0.25">
      <c r="A14153" s="3"/>
      <c r="B14153" s="3"/>
      <c r="C14153" s="3"/>
      <c r="D14153" s="3"/>
      <c r="E14153" s="3"/>
      <c r="F14153" s="3"/>
      <c r="G14153" s="3"/>
      <c r="H14153" s="11"/>
      <c r="I14153" s="12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  <c r="AA14153" s="3"/>
      <c r="AB14153" s="3"/>
      <c r="AC14153" s="3"/>
      <c r="AD14153" s="3"/>
      <c r="AE14153" s="3"/>
      <c r="AF14153" s="3"/>
      <c r="AG14153" s="3"/>
      <c r="AH14153" s="3"/>
    </row>
    <row r="14154" spans="1:34" ht="14.25" customHeight="1" x14ac:dyDescent="0.25">
      <c r="A14154" s="3"/>
      <c r="B14154" s="3"/>
      <c r="C14154" s="3"/>
      <c r="D14154" s="3"/>
      <c r="E14154" s="3"/>
      <c r="F14154" s="3"/>
      <c r="G14154" s="3"/>
      <c r="H14154" s="11"/>
      <c r="I14154" s="12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  <c r="AA14154" s="3"/>
      <c r="AB14154" s="3"/>
      <c r="AC14154" s="3"/>
      <c r="AD14154" s="3"/>
      <c r="AE14154" s="3"/>
      <c r="AF14154" s="3"/>
      <c r="AG14154" s="3"/>
      <c r="AH14154" s="3"/>
    </row>
    <row r="14155" spans="1:34" ht="14.25" customHeight="1" x14ac:dyDescent="0.25">
      <c r="A14155" s="3"/>
      <c r="B14155" s="3"/>
      <c r="C14155" s="3"/>
      <c r="D14155" s="3"/>
      <c r="E14155" s="3"/>
      <c r="F14155" s="3"/>
      <c r="G14155" s="3"/>
      <c r="H14155" s="11"/>
      <c r="I14155" s="12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  <c r="AA14155" s="3"/>
      <c r="AB14155" s="3"/>
      <c r="AC14155" s="3"/>
      <c r="AD14155" s="3"/>
      <c r="AE14155" s="3"/>
      <c r="AF14155" s="3"/>
      <c r="AG14155" s="3"/>
      <c r="AH14155" s="3"/>
    </row>
    <row r="14156" spans="1:34" ht="14.25" customHeight="1" x14ac:dyDescent="0.25">
      <c r="A14156" s="3"/>
      <c r="B14156" s="3"/>
      <c r="C14156" s="3"/>
      <c r="D14156" s="3"/>
      <c r="E14156" s="3"/>
      <c r="F14156" s="3"/>
      <c r="G14156" s="3"/>
      <c r="H14156" s="11"/>
      <c r="I14156" s="12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  <c r="AA14156" s="3"/>
      <c r="AB14156" s="3"/>
      <c r="AC14156" s="3"/>
      <c r="AD14156" s="3"/>
      <c r="AE14156" s="3"/>
      <c r="AF14156" s="3"/>
      <c r="AG14156" s="3"/>
      <c r="AH14156" s="3"/>
    </row>
    <row r="14157" spans="1:34" ht="14.25" customHeight="1" x14ac:dyDescent="0.25">
      <c r="A14157" s="3"/>
      <c r="B14157" s="3"/>
      <c r="C14157" s="3"/>
      <c r="D14157" s="3"/>
      <c r="E14157" s="3"/>
      <c r="F14157" s="3"/>
      <c r="G14157" s="3"/>
      <c r="H14157" s="11"/>
      <c r="I14157" s="12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  <c r="AA14157" s="3"/>
      <c r="AB14157" s="3"/>
      <c r="AC14157" s="3"/>
      <c r="AD14157" s="3"/>
      <c r="AE14157" s="3"/>
      <c r="AF14157" s="3"/>
      <c r="AG14157" s="3"/>
      <c r="AH14157" s="3"/>
    </row>
    <row r="14158" spans="1:34" ht="14.25" customHeight="1" x14ac:dyDescent="0.25">
      <c r="A14158" s="3"/>
      <c r="B14158" s="3"/>
      <c r="C14158" s="3"/>
      <c r="D14158" s="3"/>
      <c r="E14158" s="3"/>
      <c r="F14158" s="3"/>
      <c r="G14158" s="3"/>
      <c r="H14158" s="11"/>
      <c r="I14158" s="12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  <c r="AA14158" s="3"/>
      <c r="AB14158" s="3"/>
      <c r="AC14158" s="3"/>
      <c r="AD14158" s="3"/>
      <c r="AE14158" s="3"/>
      <c r="AF14158" s="3"/>
      <c r="AG14158" s="3"/>
      <c r="AH14158" s="3"/>
    </row>
    <row r="14159" spans="1:34" ht="14.25" customHeight="1" x14ac:dyDescent="0.25">
      <c r="A14159" s="3"/>
      <c r="B14159" s="3"/>
      <c r="C14159" s="3"/>
      <c r="D14159" s="3"/>
      <c r="E14159" s="3"/>
      <c r="F14159" s="3"/>
      <c r="G14159" s="3"/>
      <c r="H14159" s="11"/>
      <c r="I14159" s="12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  <c r="AA14159" s="3"/>
      <c r="AB14159" s="3"/>
      <c r="AC14159" s="3"/>
      <c r="AD14159" s="3"/>
      <c r="AE14159" s="3"/>
      <c r="AF14159" s="3"/>
      <c r="AG14159" s="3"/>
      <c r="AH14159" s="3"/>
    </row>
    <row r="14160" spans="1:34" ht="14.25" customHeight="1" x14ac:dyDescent="0.25">
      <c r="A14160" s="3"/>
      <c r="B14160" s="3"/>
      <c r="C14160" s="3"/>
      <c r="D14160" s="3"/>
      <c r="E14160" s="3"/>
      <c r="F14160" s="3"/>
      <c r="G14160" s="3"/>
      <c r="H14160" s="11"/>
      <c r="I14160" s="12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  <c r="AA14160" s="3"/>
      <c r="AB14160" s="3"/>
      <c r="AC14160" s="3"/>
      <c r="AD14160" s="3"/>
      <c r="AE14160" s="3"/>
      <c r="AF14160" s="3"/>
      <c r="AG14160" s="3"/>
      <c r="AH14160" s="3"/>
    </row>
    <row r="14161" spans="1:34" ht="14.25" customHeight="1" x14ac:dyDescent="0.25">
      <c r="A14161" s="3"/>
      <c r="B14161" s="3"/>
      <c r="C14161" s="3"/>
      <c r="D14161" s="3"/>
      <c r="E14161" s="3"/>
      <c r="F14161" s="3"/>
      <c r="G14161" s="3"/>
      <c r="H14161" s="11"/>
      <c r="I14161" s="12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  <c r="AA14161" s="3"/>
      <c r="AB14161" s="3"/>
      <c r="AC14161" s="3"/>
      <c r="AD14161" s="3"/>
      <c r="AE14161" s="3"/>
      <c r="AF14161" s="3"/>
      <c r="AG14161" s="3"/>
      <c r="AH14161" s="3"/>
    </row>
    <row r="14162" spans="1:34" ht="14.25" customHeight="1" x14ac:dyDescent="0.25">
      <c r="A14162" s="3"/>
      <c r="B14162" s="3"/>
      <c r="C14162" s="3"/>
      <c r="D14162" s="3"/>
      <c r="E14162" s="3"/>
      <c r="F14162" s="3"/>
      <c r="G14162" s="3"/>
      <c r="H14162" s="11"/>
      <c r="I14162" s="12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  <c r="AA14162" s="3"/>
      <c r="AB14162" s="3"/>
      <c r="AC14162" s="3"/>
      <c r="AD14162" s="3"/>
      <c r="AE14162" s="3"/>
      <c r="AF14162" s="3"/>
      <c r="AG14162" s="3"/>
      <c r="AH14162" s="3"/>
    </row>
    <row r="14163" spans="1:34" ht="14.25" customHeight="1" x14ac:dyDescent="0.25">
      <c r="A14163" s="3"/>
      <c r="B14163" s="3"/>
      <c r="C14163" s="3"/>
      <c r="D14163" s="3"/>
      <c r="E14163" s="3"/>
      <c r="F14163" s="3"/>
      <c r="G14163" s="3"/>
      <c r="H14163" s="11"/>
      <c r="I14163" s="12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  <c r="AA14163" s="3"/>
      <c r="AB14163" s="3"/>
      <c r="AC14163" s="3"/>
      <c r="AD14163" s="3"/>
      <c r="AE14163" s="3"/>
      <c r="AF14163" s="3"/>
      <c r="AG14163" s="3"/>
      <c r="AH14163" s="3"/>
    </row>
    <row r="14164" spans="1:34" ht="14.25" customHeight="1" x14ac:dyDescent="0.25">
      <c r="A14164" s="3"/>
      <c r="B14164" s="3"/>
      <c r="C14164" s="3"/>
      <c r="D14164" s="3"/>
      <c r="E14164" s="3"/>
      <c r="F14164" s="3"/>
      <c r="G14164" s="3"/>
      <c r="H14164" s="11"/>
      <c r="I14164" s="12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  <c r="AA14164" s="3"/>
      <c r="AB14164" s="3"/>
      <c r="AC14164" s="3"/>
      <c r="AD14164" s="3"/>
      <c r="AE14164" s="3"/>
      <c r="AF14164" s="3"/>
      <c r="AG14164" s="3"/>
      <c r="AH14164" s="3"/>
    </row>
    <row r="14165" spans="1:34" ht="14.25" customHeight="1" x14ac:dyDescent="0.25">
      <c r="A14165" s="3"/>
      <c r="B14165" s="3"/>
      <c r="C14165" s="3"/>
      <c r="D14165" s="3"/>
      <c r="E14165" s="3"/>
      <c r="F14165" s="3"/>
      <c r="G14165" s="3"/>
      <c r="H14165" s="11"/>
      <c r="I14165" s="12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  <c r="AA14165" s="3"/>
      <c r="AB14165" s="3"/>
      <c r="AC14165" s="3"/>
      <c r="AD14165" s="3"/>
      <c r="AE14165" s="3"/>
      <c r="AF14165" s="3"/>
      <c r="AG14165" s="3"/>
      <c r="AH14165" s="3"/>
    </row>
    <row r="14166" spans="1:34" ht="14.25" customHeight="1" x14ac:dyDescent="0.25">
      <c r="A14166" s="3"/>
      <c r="B14166" s="3"/>
      <c r="C14166" s="3"/>
      <c r="D14166" s="3"/>
      <c r="E14166" s="3"/>
      <c r="F14166" s="3"/>
      <c r="G14166" s="3"/>
      <c r="H14166" s="11"/>
      <c r="I14166" s="12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  <c r="AA14166" s="3"/>
      <c r="AB14166" s="3"/>
      <c r="AC14166" s="3"/>
      <c r="AD14166" s="3"/>
      <c r="AE14166" s="3"/>
      <c r="AF14166" s="3"/>
      <c r="AG14166" s="3"/>
      <c r="AH14166" s="3"/>
    </row>
    <row r="14167" spans="1:34" ht="14.25" customHeight="1" x14ac:dyDescent="0.25">
      <c r="A14167" s="3"/>
      <c r="B14167" s="3"/>
      <c r="C14167" s="3"/>
      <c r="D14167" s="3"/>
      <c r="E14167" s="3"/>
      <c r="F14167" s="3"/>
      <c r="G14167" s="3"/>
      <c r="H14167" s="11"/>
      <c r="I14167" s="12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  <c r="AA14167" s="3"/>
      <c r="AB14167" s="3"/>
      <c r="AC14167" s="3"/>
      <c r="AD14167" s="3"/>
      <c r="AE14167" s="3"/>
      <c r="AF14167" s="3"/>
      <c r="AG14167" s="3"/>
      <c r="AH14167" s="3"/>
    </row>
    <row r="14168" spans="1:34" ht="14.25" customHeight="1" x14ac:dyDescent="0.25">
      <c r="A14168" s="3"/>
      <c r="B14168" s="3"/>
      <c r="C14168" s="3"/>
      <c r="D14168" s="3"/>
      <c r="E14168" s="3"/>
      <c r="F14168" s="3"/>
      <c r="G14168" s="3"/>
      <c r="H14168" s="11"/>
      <c r="I14168" s="12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  <c r="AA14168" s="3"/>
      <c r="AB14168" s="3"/>
      <c r="AC14168" s="3"/>
      <c r="AD14168" s="3"/>
      <c r="AE14168" s="3"/>
      <c r="AF14168" s="3"/>
      <c r="AG14168" s="3"/>
      <c r="AH14168" s="3"/>
    </row>
    <row r="14169" spans="1:34" ht="14.25" customHeight="1" x14ac:dyDescent="0.25">
      <c r="A14169" s="3"/>
      <c r="B14169" s="3"/>
      <c r="C14169" s="3"/>
      <c r="D14169" s="3"/>
      <c r="E14169" s="3"/>
      <c r="F14169" s="3"/>
      <c r="G14169" s="3"/>
      <c r="H14169" s="11"/>
      <c r="I14169" s="12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  <c r="AA14169" s="3"/>
      <c r="AB14169" s="3"/>
      <c r="AC14169" s="3"/>
      <c r="AD14169" s="3"/>
      <c r="AE14169" s="3"/>
      <c r="AF14169" s="3"/>
      <c r="AG14169" s="3"/>
      <c r="AH14169" s="3"/>
    </row>
    <row r="14170" spans="1:34" ht="14.25" customHeight="1" x14ac:dyDescent="0.25">
      <c r="A14170" s="3"/>
      <c r="B14170" s="3"/>
      <c r="C14170" s="3"/>
      <c r="D14170" s="3"/>
      <c r="E14170" s="3"/>
      <c r="F14170" s="3"/>
      <c r="G14170" s="3"/>
      <c r="H14170" s="11"/>
      <c r="I14170" s="12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  <c r="AA14170" s="3"/>
      <c r="AB14170" s="3"/>
      <c r="AC14170" s="3"/>
      <c r="AD14170" s="3"/>
      <c r="AE14170" s="3"/>
      <c r="AF14170" s="3"/>
      <c r="AG14170" s="3"/>
      <c r="AH14170" s="3"/>
    </row>
    <row r="14171" spans="1:34" ht="14.25" customHeight="1" x14ac:dyDescent="0.25">
      <c r="A14171" s="3"/>
      <c r="B14171" s="3"/>
      <c r="C14171" s="3"/>
      <c r="D14171" s="3"/>
      <c r="E14171" s="3"/>
      <c r="F14171" s="3"/>
      <c r="G14171" s="3"/>
      <c r="H14171" s="11"/>
      <c r="I14171" s="12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  <c r="AA14171" s="3"/>
      <c r="AB14171" s="3"/>
      <c r="AC14171" s="3"/>
      <c r="AD14171" s="3"/>
      <c r="AE14171" s="3"/>
      <c r="AF14171" s="3"/>
      <c r="AG14171" s="3"/>
      <c r="AH14171" s="3"/>
    </row>
    <row r="14172" spans="1:34" ht="14.25" customHeight="1" x14ac:dyDescent="0.25">
      <c r="A14172" s="3"/>
      <c r="B14172" s="3"/>
      <c r="C14172" s="3"/>
      <c r="D14172" s="3"/>
      <c r="E14172" s="3"/>
      <c r="F14172" s="3"/>
      <c r="G14172" s="3"/>
      <c r="H14172" s="11"/>
      <c r="I14172" s="12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  <c r="AA14172" s="3"/>
      <c r="AB14172" s="3"/>
      <c r="AC14172" s="3"/>
      <c r="AD14172" s="3"/>
      <c r="AE14172" s="3"/>
      <c r="AF14172" s="3"/>
      <c r="AG14172" s="3"/>
      <c r="AH14172" s="3"/>
    </row>
    <row r="14173" spans="1:34" ht="14.25" customHeight="1" x14ac:dyDescent="0.25">
      <c r="A14173" s="3"/>
      <c r="B14173" s="3"/>
      <c r="C14173" s="3"/>
      <c r="D14173" s="3"/>
      <c r="E14173" s="3"/>
      <c r="F14173" s="3"/>
      <c r="G14173" s="3"/>
      <c r="H14173" s="11"/>
      <c r="I14173" s="12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  <c r="AA14173" s="3"/>
      <c r="AB14173" s="3"/>
      <c r="AC14173" s="3"/>
      <c r="AD14173" s="3"/>
      <c r="AE14173" s="3"/>
      <c r="AF14173" s="3"/>
      <c r="AG14173" s="3"/>
      <c r="AH14173" s="3"/>
    </row>
    <row r="14174" spans="1:34" ht="14.25" customHeight="1" x14ac:dyDescent="0.25">
      <c r="A14174" s="3"/>
      <c r="B14174" s="3"/>
      <c r="C14174" s="3"/>
      <c r="D14174" s="3"/>
      <c r="E14174" s="3"/>
      <c r="F14174" s="3"/>
      <c r="G14174" s="3"/>
      <c r="H14174" s="11"/>
      <c r="I14174" s="12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  <c r="AA14174" s="3"/>
      <c r="AB14174" s="3"/>
      <c r="AC14174" s="3"/>
      <c r="AD14174" s="3"/>
      <c r="AE14174" s="3"/>
      <c r="AF14174" s="3"/>
      <c r="AG14174" s="3"/>
      <c r="AH14174" s="3"/>
    </row>
    <row r="14175" spans="1:34" ht="14.25" customHeight="1" x14ac:dyDescent="0.25">
      <c r="A14175" s="3"/>
      <c r="B14175" s="3"/>
      <c r="C14175" s="3"/>
      <c r="D14175" s="3"/>
      <c r="E14175" s="3"/>
      <c r="F14175" s="3"/>
      <c r="G14175" s="3"/>
      <c r="H14175" s="11"/>
      <c r="I14175" s="12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  <c r="AA14175" s="3"/>
      <c r="AB14175" s="3"/>
      <c r="AC14175" s="3"/>
      <c r="AD14175" s="3"/>
      <c r="AE14175" s="3"/>
      <c r="AF14175" s="3"/>
      <c r="AG14175" s="3"/>
      <c r="AH14175" s="3"/>
    </row>
    <row r="14176" spans="1:34" ht="14.25" customHeight="1" x14ac:dyDescent="0.25">
      <c r="A14176" s="3"/>
      <c r="B14176" s="3"/>
      <c r="C14176" s="3"/>
      <c r="D14176" s="3"/>
      <c r="E14176" s="3"/>
      <c r="F14176" s="3"/>
      <c r="G14176" s="3"/>
      <c r="H14176" s="11"/>
      <c r="I14176" s="12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  <c r="AA14176" s="3"/>
      <c r="AB14176" s="3"/>
      <c r="AC14176" s="3"/>
      <c r="AD14176" s="3"/>
      <c r="AE14176" s="3"/>
      <c r="AF14176" s="3"/>
      <c r="AG14176" s="3"/>
      <c r="AH14176" s="3"/>
    </row>
    <row r="14177" spans="1:34" ht="14.25" customHeight="1" x14ac:dyDescent="0.25">
      <c r="A14177" s="3"/>
      <c r="B14177" s="3"/>
      <c r="C14177" s="3"/>
      <c r="D14177" s="3"/>
      <c r="E14177" s="3"/>
      <c r="F14177" s="3"/>
      <c r="G14177" s="3"/>
      <c r="H14177" s="11"/>
      <c r="I14177" s="12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  <c r="AA14177" s="3"/>
      <c r="AB14177" s="3"/>
      <c r="AC14177" s="3"/>
      <c r="AD14177" s="3"/>
      <c r="AE14177" s="3"/>
      <c r="AF14177" s="3"/>
      <c r="AG14177" s="3"/>
      <c r="AH14177" s="3"/>
    </row>
    <row r="14178" spans="1:34" ht="14.25" customHeight="1" x14ac:dyDescent="0.25">
      <c r="A14178" s="3"/>
      <c r="B14178" s="3"/>
      <c r="C14178" s="3"/>
      <c r="D14178" s="3"/>
      <c r="E14178" s="3"/>
      <c r="F14178" s="3"/>
      <c r="G14178" s="3"/>
      <c r="H14178" s="11"/>
      <c r="I14178" s="12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  <c r="AA14178" s="3"/>
      <c r="AB14178" s="3"/>
      <c r="AC14178" s="3"/>
      <c r="AD14178" s="3"/>
      <c r="AE14178" s="3"/>
      <c r="AF14178" s="3"/>
      <c r="AG14178" s="3"/>
      <c r="AH14178" s="3"/>
    </row>
    <row r="14179" spans="1:34" ht="14.25" customHeight="1" x14ac:dyDescent="0.25">
      <c r="A14179" s="3"/>
      <c r="B14179" s="3"/>
      <c r="C14179" s="3"/>
      <c r="D14179" s="3"/>
      <c r="E14179" s="3"/>
      <c r="F14179" s="3"/>
      <c r="G14179" s="3"/>
      <c r="H14179" s="11"/>
      <c r="I14179" s="12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  <c r="AA14179" s="3"/>
      <c r="AB14179" s="3"/>
      <c r="AC14179" s="3"/>
      <c r="AD14179" s="3"/>
      <c r="AE14179" s="3"/>
      <c r="AF14179" s="3"/>
      <c r="AG14179" s="3"/>
      <c r="AH14179" s="3"/>
    </row>
    <row r="14180" spans="1:34" ht="14.25" customHeight="1" x14ac:dyDescent="0.25">
      <c r="A14180" s="3"/>
      <c r="B14180" s="3"/>
      <c r="C14180" s="3"/>
      <c r="D14180" s="3"/>
      <c r="E14180" s="3"/>
      <c r="F14180" s="3"/>
      <c r="G14180" s="3"/>
      <c r="H14180" s="11"/>
      <c r="I14180" s="12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  <c r="AA14180" s="3"/>
      <c r="AB14180" s="3"/>
      <c r="AC14180" s="3"/>
      <c r="AD14180" s="3"/>
      <c r="AE14180" s="3"/>
      <c r="AF14180" s="3"/>
      <c r="AG14180" s="3"/>
      <c r="AH14180" s="3"/>
    </row>
    <row r="14181" spans="1:34" ht="14.25" customHeight="1" x14ac:dyDescent="0.25">
      <c r="A14181" s="3"/>
      <c r="B14181" s="3"/>
      <c r="C14181" s="3"/>
      <c r="D14181" s="3"/>
      <c r="E14181" s="3"/>
      <c r="F14181" s="3"/>
      <c r="G14181" s="3"/>
      <c r="H14181" s="11"/>
      <c r="I14181" s="12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  <c r="AA14181" s="3"/>
      <c r="AB14181" s="3"/>
      <c r="AC14181" s="3"/>
      <c r="AD14181" s="3"/>
      <c r="AE14181" s="3"/>
      <c r="AF14181" s="3"/>
      <c r="AG14181" s="3"/>
      <c r="AH14181" s="3"/>
    </row>
    <row r="14182" spans="1:34" ht="14.25" customHeight="1" x14ac:dyDescent="0.25">
      <c r="A14182" s="3"/>
      <c r="B14182" s="3"/>
      <c r="C14182" s="3"/>
      <c r="D14182" s="3"/>
      <c r="E14182" s="3"/>
      <c r="F14182" s="3"/>
      <c r="G14182" s="3"/>
      <c r="H14182" s="11"/>
      <c r="I14182" s="12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  <c r="AA14182" s="3"/>
      <c r="AB14182" s="3"/>
      <c r="AC14182" s="3"/>
      <c r="AD14182" s="3"/>
      <c r="AE14182" s="3"/>
      <c r="AF14182" s="3"/>
      <c r="AG14182" s="3"/>
      <c r="AH14182" s="3"/>
    </row>
    <row r="14183" spans="1:34" ht="14.25" customHeight="1" x14ac:dyDescent="0.25">
      <c r="A14183" s="3"/>
      <c r="B14183" s="3"/>
      <c r="C14183" s="3"/>
      <c r="D14183" s="3"/>
      <c r="E14183" s="3"/>
      <c r="F14183" s="3"/>
      <c r="G14183" s="3"/>
      <c r="H14183" s="11"/>
      <c r="I14183" s="12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  <c r="AA14183" s="3"/>
      <c r="AB14183" s="3"/>
      <c r="AC14183" s="3"/>
      <c r="AD14183" s="3"/>
      <c r="AE14183" s="3"/>
      <c r="AF14183" s="3"/>
      <c r="AG14183" s="3"/>
      <c r="AH14183" s="3"/>
    </row>
    <row r="14184" spans="1:34" ht="14.25" customHeight="1" x14ac:dyDescent="0.25">
      <c r="A14184" s="3"/>
      <c r="B14184" s="3"/>
      <c r="C14184" s="3"/>
      <c r="D14184" s="3"/>
      <c r="E14184" s="3"/>
      <c r="F14184" s="3"/>
      <c r="G14184" s="3"/>
      <c r="H14184" s="11"/>
      <c r="I14184" s="12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  <c r="AA14184" s="3"/>
      <c r="AB14184" s="3"/>
      <c r="AC14184" s="3"/>
      <c r="AD14184" s="3"/>
      <c r="AE14184" s="3"/>
      <c r="AF14184" s="3"/>
      <c r="AG14184" s="3"/>
      <c r="AH14184" s="3"/>
    </row>
    <row r="14185" spans="1:34" ht="14.25" customHeight="1" x14ac:dyDescent="0.25">
      <c r="A14185" s="3"/>
      <c r="B14185" s="3"/>
      <c r="C14185" s="3"/>
      <c r="D14185" s="3"/>
      <c r="E14185" s="3"/>
      <c r="F14185" s="3"/>
      <c r="G14185" s="3"/>
      <c r="H14185" s="11"/>
      <c r="I14185" s="12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  <c r="AA14185" s="3"/>
      <c r="AB14185" s="3"/>
      <c r="AC14185" s="3"/>
      <c r="AD14185" s="3"/>
      <c r="AE14185" s="3"/>
      <c r="AF14185" s="3"/>
      <c r="AG14185" s="3"/>
      <c r="AH14185" s="3"/>
    </row>
    <row r="14186" spans="1:34" ht="14.25" customHeight="1" x14ac:dyDescent="0.25">
      <c r="A14186" s="3"/>
      <c r="B14186" s="3"/>
      <c r="C14186" s="3"/>
      <c r="D14186" s="3"/>
      <c r="E14186" s="3"/>
      <c r="F14186" s="3"/>
      <c r="G14186" s="3"/>
      <c r="H14186" s="11"/>
      <c r="I14186" s="12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  <c r="AA14186" s="3"/>
      <c r="AB14186" s="3"/>
      <c r="AC14186" s="3"/>
      <c r="AD14186" s="3"/>
      <c r="AE14186" s="3"/>
      <c r="AF14186" s="3"/>
      <c r="AG14186" s="3"/>
      <c r="AH14186" s="3"/>
    </row>
    <row r="14187" spans="1:34" ht="14.25" customHeight="1" x14ac:dyDescent="0.25">
      <c r="A14187" s="3"/>
      <c r="B14187" s="3"/>
      <c r="C14187" s="3"/>
      <c r="D14187" s="3"/>
      <c r="E14187" s="3"/>
      <c r="F14187" s="3"/>
      <c r="G14187" s="3"/>
      <c r="H14187" s="11"/>
      <c r="I14187" s="12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  <c r="AA14187" s="3"/>
      <c r="AB14187" s="3"/>
      <c r="AC14187" s="3"/>
      <c r="AD14187" s="3"/>
      <c r="AE14187" s="3"/>
      <c r="AF14187" s="3"/>
      <c r="AG14187" s="3"/>
      <c r="AH14187" s="3"/>
    </row>
    <row r="14188" spans="1:34" ht="14.25" customHeight="1" x14ac:dyDescent="0.25">
      <c r="A14188" s="3"/>
      <c r="B14188" s="3"/>
      <c r="C14188" s="3"/>
      <c r="D14188" s="3"/>
      <c r="E14188" s="3"/>
      <c r="F14188" s="3"/>
      <c r="G14188" s="3"/>
      <c r="H14188" s="11"/>
      <c r="I14188" s="12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  <c r="AA14188" s="3"/>
      <c r="AB14188" s="3"/>
      <c r="AC14188" s="3"/>
      <c r="AD14188" s="3"/>
      <c r="AE14188" s="3"/>
      <c r="AF14188" s="3"/>
      <c r="AG14188" s="3"/>
      <c r="AH14188" s="3"/>
    </row>
    <row r="14189" spans="1:34" ht="14.25" customHeight="1" x14ac:dyDescent="0.25">
      <c r="A14189" s="3"/>
      <c r="B14189" s="3"/>
      <c r="C14189" s="3"/>
      <c r="D14189" s="3"/>
      <c r="E14189" s="3"/>
      <c r="F14189" s="3"/>
      <c r="G14189" s="3"/>
      <c r="H14189" s="11"/>
      <c r="I14189" s="12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  <c r="AA14189" s="3"/>
      <c r="AB14189" s="3"/>
      <c r="AC14189" s="3"/>
      <c r="AD14189" s="3"/>
      <c r="AE14189" s="3"/>
      <c r="AF14189" s="3"/>
      <c r="AG14189" s="3"/>
      <c r="AH14189" s="3"/>
    </row>
    <row r="14190" spans="1:34" ht="14.25" customHeight="1" x14ac:dyDescent="0.25">
      <c r="A14190" s="3"/>
      <c r="B14190" s="3"/>
      <c r="C14190" s="3"/>
      <c r="D14190" s="3"/>
      <c r="E14190" s="3"/>
      <c r="F14190" s="3"/>
      <c r="G14190" s="3"/>
      <c r="H14190" s="11"/>
      <c r="I14190" s="12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  <c r="AA14190" s="3"/>
      <c r="AB14190" s="3"/>
      <c r="AC14190" s="3"/>
      <c r="AD14190" s="3"/>
      <c r="AE14190" s="3"/>
      <c r="AF14190" s="3"/>
      <c r="AG14190" s="3"/>
      <c r="AH14190" s="3"/>
    </row>
    <row r="14191" spans="1:34" ht="14.25" customHeight="1" x14ac:dyDescent="0.25">
      <c r="A14191" s="3"/>
      <c r="B14191" s="3"/>
      <c r="C14191" s="3"/>
      <c r="D14191" s="3"/>
      <c r="E14191" s="3"/>
      <c r="F14191" s="3"/>
      <c r="G14191" s="3"/>
      <c r="H14191" s="11"/>
      <c r="I14191" s="12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  <c r="AA14191" s="3"/>
      <c r="AB14191" s="3"/>
      <c r="AC14191" s="3"/>
      <c r="AD14191" s="3"/>
      <c r="AE14191" s="3"/>
      <c r="AF14191" s="3"/>
      <c r="AG14191" s="3"/>
      <c r="AH14191" s="3"/>
    </row>
    <row r="14192" spans="1:34" ht="14.25" customHeight="1" x14ac:dyDescent="0.25">
      <c r="A14192" s="3"/>
      <c r="B14192" s="3"/>
      <c r="C14192" s="3"/>
      <c r="D14192" s="3"/>
      <c r="E14192" s="3"/>
      <c r="F14192" s="3"/>
      <c r="G14192" s="3"/>
      <c r="H14192" s="11"/>
      <c r="I14192" s="12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  <c r="AA14192" s="3"/>
      <c r="AB14192" s="3"/>
      <c r="AC14192" s="3"/>
      <c r="AD14192" s="3"/>
      <c r="AE14192" s="3"/>
      <c r="AF14192" s="3"/>
      <c r="AG14192" s="3"/>
      <c r="AH14192" s="3"/>
    </row>
    <row r="14193" spans="1:34" ht="14.25" customHeight="1" x14ac:dyDescent="0.25">
      <c r="A14193" s="3"/>
      <c r="B14193" s="3"/>
      <c r="C14193" s="3"/>
      <c r="D14193" s="3"/>
      <c r="E14193" s="3"/>
      <c r="F14193" s="3"/>
      <c r="G14193" s="3"/>
      <c r="H14193" s="11"/>
      <c r="I14193" s="12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  <c r="AA14193" s="3"/>
      <c r="AB14193" s="3"/>
      <c r="AC14193" s="3"/>
      <c r="AD14193" s="3"/>
      <c r="AE14193" s="3"/>
      <c r="AF14193" s="3"/>
      <c r="AG14193" s="3"/>
      <c r="AH14193" s="3"/>
    </row>
    <row r="14194" spans="1:34" ht="14.25" customHeight="1" x14ac:dyDescent="0.25">
      <c r="A14194" s="3"/>
      <c r="B14194" s="3"/>
      <c r="C14194" s="3"/>
      <c r="D14194" s="3"/>
      <c r="E14194" s="3"/>
      <c r="F14194" s="3"/>
      <c r="G14194" s="3"/>
      <c r="H14194" s="11"/>
      <c r="I14194" s="12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  <c r="AA14194" s="3"/>
      <c r="AB14194" s="3"/>
      <c r="AC14194" s="3"/>
      <c r="AD14194" s="3"/>
      <c r="AE14194" s="3"/>
      <c r="AF14194" s="3"/>
      <c r="AG14194" s="3"/>
      <c r="AH14194" s="3"/>
    </row>
    <row r="14195" spans="1:34" ht="14.25" customHeight="1" x14ac:dyDescent="0.25">
      <c r="A14195" s="3"/>
      <c r="B14195" s="3"/>
      <c r="C14195" s="3"/>
      <c r="D14195" s="3"/>
      <c r="E14195" s="3"/>
      <c r="F14195" s="3"/>
      <c r="G14195" s="3"/>
      <c r="H14195" s="11"/>
      <c r="I14195" s="12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  <c r="AA14195" s="3"/>
      <c r="AB14195" s="3"/>
      <c r="AC14195" s="3"/>
      <c r="AD14195" s="3"/>
      <c r="AE14195" s="3"/>
      <c r="AF14195" s="3"/>
      <c r="AG14195" s="3"/>
      <c r="AH14195" s="3"/>
    </row>
    <row r="14196" spans="1:34" ht="14.25" customHeight="1" x14ac:dyDescent="0.25">
      <c r="A14196" s="3"/>
      <c r="B14196" s="3"/>
      <c r="C14196" s="3"/>
      <c r="D14196" s="3"/>
      <c r="E14196" s="3"/>
      <c r="F14196" s="3"/>
      <c r="G14196" s="3"/>
      <c r="H14196" s="11"/>
      <c r="I14196" s="12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  <c r="AA14196" s="3"/>
      <c r="AB14196" s="3"/>
      <c r="AC14196" s="3"/>
      <c r="AD14196" s="3"/>
      <c r="AE14196" s="3"/>
      <c r="AF14196" s="3"/>
      <c r="AG14196" s="3"/>
      <c r="AH14196" s="3"/>
    </row>
    <row r="14197" spans="1:34" ht="14.25" customHeight="1" x14ac:dyDescent="0.25">
      <c r="A14197" s="3"/>
      <c r="B14197" s="3"/>
      <c r="C14197" s="3"/>
      <c r="D14197" s="3"/>
      <c r="E14197" s="3"/>
      <c r="F14197" s="3"/>
      <c r="G14197" s="3"/>
      <c r="H14197" s="11"/>
      <c r="I14197" s="12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  <c r="AA14197" s="3"/>
      <c r="AB14197" s="3"/>
      <c r="AC14197" s="3"/>
      <c r="AD14197" s="3"/>
      <c r="AE14197" s="3"/>
      <c r="AF14197" s="3"/>
      <c r="AG14197" s="3"/>
      <c r="AH14197" s="3"/>
    </row>
    <row r="14198" spans="1:34" ht="14.25" customHeight="1" x14ac:dyDescent="0.25">
      <c r="A14198" s="3"/>
      <c r="B14198" s="3"/>
      <c r="C14198" s="3"/>
      <c r="D14198" s="3"/>
      <c r="E14198" s="3"/>
      <c r="F14198" s="3"/>
      <c r="G14198" s="3"/>
      <c r="H14198" s="11"/>
      <c r="I14198" s="12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  <c r="AA14198" s="3"/>
      <c r="AB14198" s="3"/>
      <c r="AC14198" s="3"/>
      <c r="AD14198" s="3"/>
      <c r="AE14198" s="3"/>
      <c r="AF14198" s="3"/>
      <c r="AG14198" s="3"/>
      <c r="AH14198" s="3"/>
    </row>
    <row r="14199" spans="1:34" ht="14.25" customHeight="1" x14ac:dyDescent="0.25">
      <c r="A14199" s="3"/>
      <c r="B14199" s="3"/>
      <c r="C14199" s="3"/>
      <c r="D14199" s="3"/>
      <c r="E14199" s="3"/>
      <c r="F14199" s="3"/>
      <c r="G14199" s="3"/>
      <c r="H14199" s="11"/>
      <c r="I14199" s="12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  <c r="AA14199" s="3"/>
      <c r="AB14199" s="3"/>
      <c r="AC14199" s="3"/>
      <c r="AD14199" s="3"/>
      <c r="AE14199" s="3"/>
      <c r="AF14199" s="3"/>
      <c r="AG14199" s="3"/>
      <c r="AH14199" s="3"/>
    </row>
    <row r="14200" spans="1:34" ht="14.25" customHeight="1" x14ac:dyDescent="0.25">
      <c r="A14200" s="3"/>
      <c r="B14200" s="3"/>
      <c r="C14200" s="3"/>
      <c r="D14200" s="3"/>
      <c r="E14200" s="3"/>
      <c r="F14200" s="3"/>
      <c r="G14200" s="3"/>
      <c r="H14200" s="11"/>
      <c r="I14200" s="12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  <c r="AA14200" s="3"/>
      <c r="AB14200" s="3"/>
      <c r="AC14200" s="3"/>
      <c r="AD14200" s="3"/>
      <c r="AE14200" s="3"/>
      <c r="AF14200" s="3"/>
      <c r="AG14200" s="3"/>
      <c r="AH14200" s="3"/>
    </row>
    <row r="14201" spans="1:34" ht="14.25" customHeight="1" x14ac:dyDescent="0.25">
      <c r="A14201" s="3"/>
      <c r="B14201" s="3"/>
      <c r="C14201" s="3"/>
      <c r="D14201" s="3"/>
      <c r="E14201" s="3"/>
      <c r="F14201" s="3"/>
      <c r="G14201" s="3"/>
      <c r="H14201" s="11"/>
      <c r="I14201" s="12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  <c r="AA14201" s="3"/>
      <c r="AB14201" s="3"/>
      <c r="AC14201" s="3"/>
      <c r="AD14201" s="3"/>
      <c r="AE14201" s="3"/>
      <c r="AF14201" s="3"/>
      <c r="AG14201" s="3"/>
      <c r="AH14201" s="3"/>
    </row>
    <row r="14202" spans="1:34" ht="14.25" customHeight="1" x14ac:dyDescent="0.25">
      <c r="A14202" s="3"/>
      <c r="B14202" s="3"/>
      <c r="C14202" s="3"/>
      <c r="D14202" s="3"/>
      <c r="E14202" s="3"/>
      <c r="F14202" s="3"/>
      <c r="G14202" s="3"/>
      <c r="H14202" s="11"/>
      <c r="I14202" s="12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  <c r="AA14202" s="3"/>
      <c r="AB14202" s="3"/>
      <c r="AC14202" s="3"/>
      <c r="AD14202" s="3"/>
      <c r="AE14202" s="3"/>
      <c r="AF14202" s="3"/>
      <c r="AG14202" s="3"/>
      <c r="AH14202" s="3"/>
    </row>
    <row r="14203" spans="1:34" ht="14.25" customHeight="1" x14ac:dyDescent="0.25">
      <c r="A14203" s="3"/>
      <c r="B14203" s="3"/>
      <c r="C14203" s="3"/>
      <c r="D14203" s="3"/>
      <c r="E14203" s="3"/>
      <c r="F14203" s="3"/>
      <c r="G14203" s="3"/>
      <c r="H14203" s="11"/>
      <c r="I14203" s="12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  <c r="AA14203" s="3"/>
      <c r="AB14203" s="3"/>
      <c r="AC14203" s="3"/>
      <c r="AD14203" s="3"/>
      <c r="AE14203" s="3"/>
      <c r="AF14203" s="3"/>
      <c r="AG14203" s="3"/>
      <c r="AH14203" s="3"/>
    </row>
    <row r="14204" spans="1:34" ht="14.25" customHeight="1" x14ac:dyDescent="0.25">
      <c r="A14204" s="3"/>
      <c r="B14204" s="3"/>
      <c r="C14204" s="3"/>
      <c r="D14204" s="3"/>
      <c r="E14204" s="3"/>
      <c r="F14204" s="3"/>
      <c r="G14204" s="3"/>
      <c r="H14204" s="11"/>
      <c r="I14204" s="12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  <c r="AA14204" s="3"/>
      <c r="AB14204" s="3"/>
      <c r="AC14204" s="3"/>
      <c r="AD14204" s="3"/>
      <c r="AE14204" s="3"/>
      <c r="AF14204" s="3"/>
      <c r="AG14204" s="3"/>
      <c r="AH14204" s="3"/>
    </row>
    <row r="14205" spans="1:34" ht="14.25" customHeight="1" x14ac:dyDescent="0.25">
      <c r="A14205" s="3"/>
      <c r="B14205" s="3"/>
      <c r="C14205" s="3"/>
      <c r="D14205" s="3"/>
      <c r="E14205" s="3"/>
      <c r="F14205" s="3"/>
      <c r="G14205" s="3"/>
      <c r="H14205" s="11"/>
      <c r="I14205" s="12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  <c r="AA14205" s="3"/>
      <c r="AB14205" s="3"/>
      <c r="AC14205" s="3"/>
      <c r="AD14205" s="3"/>
      <c r="AE14205" s="3"/>
      <c r="AF14205" s="3"/>
      <c r="AG14205" s="3"/>
      <c r="AH14205" s="3"/>
    </row>
    <row r="14206" spans="1:34" ht="14.25" customHeight="1" x14ac:dyDescent="0.25">
      <c r="A14206" s="3"/>
      <c r="B14206" s="3"/>
      <c r="C14206" s="3"/>
      <c r="D14206" s="3"/>
      <c r="E14206" s="3"/>
      <c r="F14206" s="3"/>
      <c r="G14206" s="3"/>
      <c r="H14206" s="11"/>
      <c r="I14206" s="12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  <c r="AA14206" s="3"/>
      <c r="AB14206" s="3"/>
      <c r="AC14206" s="3"/>
      <c r="AD14206" s="3"/>
      <c r="AE14206" s="3"/>
      <c r="AF14206" s="3"/>
      <c r="AG14206" s="3"/>
      <c r="AH14206" s="3"/>
    </row>
    <row r="14207" spans="1:34" ht="14.25" customHeight="1" x14ac:dyDescent="0.25">
      <c r="A14207" s="3"/>
      <c r="B14207" s="3"/>
      <c r="C14207" s="3"/>
      <c r="D14207" s="3"/>
      <c r="E14207" s="3"/>
      <c r="F14207" s="3"/>
      <c r="G14207" s="3"/>
      <c r="H14207" s="11"/>
      <c r="I14207" s="12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  <c r="AA14207" s="3"/>
      <c r="AB14207" s="3"/>
      <c r="AC14207" s="3"/>
      <c r="AD14207" s="3"/>
      <c r="AE14207" s="3"/>
      <c r="AF14207" s="3"/>
      <c r="AG14207" s="3"/>
      <c r="AH14207" s="3"/>
    </row>
    <row r="14208" spans="1:34" ht="14.25" customHeight="1" x14ac:dyDescent="0.25">
      <c r="A14208" s="3"/>
      <c r="B14208" s="3"/>
      <c r="C14208" s="3"/>
      <c r="D14208" s="3"/>
      <c r="E14208" s="3"/>
      <c r="F14208" s="3"/>
      <c r="G14208" s="3"/>
      <c r="H14208" s="11"/>
      <c r="I14208" s="12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  <c r="AA14208" s="3"/>
      <c r="AB14208" s="3"/>
      <c r="AC14208" s="3"/>
      <c r="AD14208" s="3"/>
      <c r="AE14208" s="3"/>
      <c r="AF14208" s="3"/>
      <c r="AG14208" s="3"/>
      <c r="AH14208" s="3"/>
    </row>
    <row r="14209" spans="1:34" ht="14.25" customHeight="1" x14ac:dyDescent="0.25">
      <c r="A14209" s="3"/>
      <c r="B14209" s="3"/>
      <c r="C14209" s="3"/>
      <c r="D14209" s="3"/>
      <c r="E14209" s="3"/>
      <c r="F14209" s="3"/>
      <c r="G14209" s="3"/>
      <c r="H14209" s="11"/>
      <c r="I14209" s="12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  <c r="AA14209" s="3"/>
      <c r="AB14209" s="3"/>
      <c r="AC14209" s="3"/>
      <c r="AD14209" s="3"/>
      <c r="AE14209" s="3"/>
      <c r="AF14209" s="3"/>
      <c r="AG14209" s="3"/>
      <c r="AH14209" s="3"/>
    </row>
    <row r="14210" spans="1:34" ht="14.25" customHeight="1" x14ac:dyDescent="0.25">
      <c r="A14210" s="3"/>
      <c r="B14210" s="3"/>
      <c r="C14210" s="3"/>
      <c r="D14210" s="3"/>
      <c r="E14210" s="3"/>
      <c r="F14210" s="3"/>
      <c r="G14210" s="3"/>
      <c r="H14210" s="11"/>
      <c r="I14210" s="12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  <c r="AA14210" s="3"/>
      <c r="AB14210" s="3"/>
      <c r="AC14210" s="3"/>
      <c r="AD14210" s="3"/>
      <c r="AE14210" s="3"/>
      <c r="AF14210" s="3"/>
      <c r="AG14210" s="3"/>
      <c r="AH14210" s="3"/>
    </row>
    <row r="14211" spans="1:34" ht="14.25" customHeight="1" x14ac:dyDescent="0.25">
      <c r="A14211" s="3"/>
      <c r="B14211" s="3"/>
      <c r="C14211" s="3"/>
      <c r="D14211" s="3"/>
      <c r="E14211" s="3"/>
      <c r="F14211" s="3"/>
      <c r="G14211" s="3"/>
      <c r="H14211" s="11"/>
      <c r="I14211" s="12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  <c r="AA14211" s="3"/>
      <c r="AB14211" s="3"/>
      <c r="AC14211" s="3"/>
      <c r="AD14211" s="3"/>
      <c r="AE14211" s="3"/>
      <c r="AF14211" s="3"/>
      <c r="AG14211" s="3"/>
      <c r="AH14211" s="3"/>
    </row>
    <row r="14212" spans="1:34" ht="14.25" customHeight="1" x14ac:dyDescent="0.25">
      <c r="A14212" s="3"/>
      <c r="B14212" s="3"/>
      <c r="C14212" s="3"/>
      <c r="D14212" s="3"/>
      <c r="E14212" s="3"/>
      <c r="F14212" s="3"/>
      <c r="G14212" s="3"/>
      <c r="H14212" s="11"/>
      <c r="I14212" s="12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  <c r="AA14212" s="3"/>
      <c r="AB14212" s="3"/>
      <c r="AC14212" s="3"/>
      <c r="AD14212" s="3"/>
      <c r="AE14212" s="3"/>
      <c r="AF14212" s="3"/>
      <c r="AG14212" s="3"/>
      <c r="AH14212" s="3"/>
    </row>
    <row r="14213" spans="1:34" ht="14.25" customHeight="1" x14ac:dyDescent="0.25">
      <c r="A14213" s="3"/>
      <c r="B14213" s="3"/>
      <c r="C14213" s="3"/>
      <c r="D14213" s="3"/>
      <c r="E14213" s="3"/>
      <c r="F14213" s="3"/>
      <c r="G14213" s="3"/>
      <c r="H14213" s="11"/>
      <c r="I14213" s="12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  <c r="AA14213" s="3"/>
      <c r="AB14213" s="3"/>
      <c r="AC14213" s="3"/>
      <c r="AD14213" s="3"/>
      <c r="AE14213" s="3"/>
      <c r="AF14213" s="3"/>
      <c r="AG14213" s="3"/>
      <c r="AH14213" s="3"/>
    </row>
    <row r="14214" spans="1:34" ht="14.25" customHeight="1" x14ac:dyDescent="0.25">
      <c r="A14214" s="3"/>
      <c r="B14214" s="3"/>
      <c r="C14214" s="3"/>
      <c r="D14214" s="3"/>
      <c r="E14214" s="3"/>
      <c r="F14214" s="3"/>
      <c r="G14214" s="3"/>
      <c r="H14214" s="11"/>
      <c r="I14214" s="12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  <c r="AA14214" s="3"/>
      <c r="AB14214" s="3"/>
      <c r="AC14214" s="3"/>
      <c r="AD14214" s="3"/>
      <c r="AE14214" s="3"/>
      <c r="AF14214" s="3"/>
      <c r="AG14214" s="3"/>
      <c r="AH14214" s="3"/>
    </row>
    <row r="14215" spans="1:34" ht="14.25" customHeight="1" x14ac:dyDescent="0.25">
      <c r="A14215" s="3"/>
      <c r="B14215" s="3"/>
      <c r="C14215" s="3"/>
      <c r="D14215" s="3"/>
      <c r="E14215" s="3"/>
      <c r="F14215" s="3"/>
      <c r="G14215" s="3"/>
      <c r="H14215" s="11"/>
      <c r="I14215" s="12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  <c r="AA14215" s="3"/>
      <c r="AB14215" s="3"/>
      <c r="AC14215" s="3"/>
      <c r="AD14215" s="3"/>
      <c r="AE14215" s="3"/>
      <c r="AF14215" s="3"/>
      <c r="AG14215" s="3"/>
      <c r="AH14215" s="3"/>
    </row>
    <row r="14216" spans="1:34" ht="14.25" customHeight="1" x14ac:dyDescent="0.25">
      <c r="A14216" s="3"/>
      <c r="B14216" s="3"/>
      <c r="C14216" s="3"/>
      <c r="D14216" s="3"/>
      <c r="E14216" s="3"/>
      <c r="F14216" s="3"/>
      <c r="G14216" s="3"/>
      <c r="H14216" s="11"/>
      <c r="I14216" s="12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  <c r="AA14216" s="3"/>
      <c r="AB14216" s="3"/>
      <c r="AC14216" s="3"/>
      <c r="AD14216" s="3"/>
      <c r="AE14216" s="3"/>
      <c r="AF14216" s="3"/>
      <c r="AG14216" s="3"/>
      <c r="AH14216" s="3"/>
    </row>
    <row r="14217" spans="1:34" ht="14.25" customHeight="1" x14ac:dyDescent="0.25">
      <c r="A14217" s="3"/>
      <c r="B14217" s="3"/>
      <c r="C14217" s="3"/>
      <c r="D14217" s="3"/>
      <c r="E14217" s="3"/>
      <c r="F14217" s="3"/>
      <c r="G14217" s="3"/>
      <c r="H14217" s="11"/>
      <c r="I14217" s="12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  <c r="AA14217" s="3"/>
      <c r="AB14217" s="3"/>
      <c r="AC14217" s="3"/>
      <c r="AD14217" s="3"/>
      <c r="AE14217" s="3"/>
      <c r="AF14217" s="3"/>
      <c r="AG14217" s="3"/>
      <c r="AH14217" s="3"/>
    </row>
    <row r="14218" spans="1:34" ht="14.25" customHeight="1" x14ac:dyDescent="0.25">
      <c r="A14218" s="3"/>
      <c r="B14218" s="3"/>
      <c r="C14218" s="3"/>
      <c r="D14218" s="3"/>
      <c r="E14218" s="3"/>
      <c r="F14218" s="3"/>
      <c r="G14218" s="3"/>
      <c r="H14218" s="11"/>
      <c r="I14218" s="12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  <c r="AA14218" s="3"/>
      <c r="AB14218" s="3"/>
      <c r="AC14218" s="3"/>
      <c r="AD14218" s="3"/>
      <c r="AE14218" s="3"/>
      <c r="AF14218" s="3"/>
      <c r="AG14218" s="3"/>
      <c r="AH14218" s="3"/>
    </row>
    <row r="14219" spans="1:34" ht="14.25" customHeight="1" x14ac:dyDescent="0.25">
      <c r="A14219" s="3"/>
      <c r="B14219" s="3"/>
      <c r="C14219" s="3"/>
      <c r="D14219" s="3"/>
      <c r="E14219" s="3"/>
      <c r="F14219" s="3"/>
      <c r="G14219" s="3"/>
      <c r="H14219" s="11"/>
      <c r="I14219" s="12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  <c r="AA14219" s="3"/>
      <c r="AB14219" s="3"/>
      <c r="AC14219" s="3"/>
      <c r="AD14219" s="3"/>
      <c r="AE14219" s="3"/>
      <c r="AF14219" s="3"/>
      <c r="AG14219" s="3"/>
      <c r="AH14219" s="3"/>
    </row>
    <row r="14220" spans="1:34" ht="14.25" customHeight="1" x14ac:dyDescent="0.25">
      <c r="A14220" s="3"/>
      <c r="B14220" s="3"/>
      <c r="C14220" s="3"/>
      <c r="D14220" s="3"/>
      <c r="E14220" s="3"/>
      <c r="F14220" s="3"/>
      <c r="G14220" s="3"/>
      <c r="H14220" s="11"/>
      <c r="I14220" s="12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  <c r="AA14220" s="3"/>
      <c r="AB14220" s="3"/>
      <c r="AC14220" s="3"/>
      <c r="AD14220" s="3"/>
      <c r="AE14220" s="3"/>
      <c r="AF14220" s="3"/>
      <c r="AG14220" s="3"/>
      <c r="AH14220" s="3"/>
    </row>
    <row r="14221" spans="1:34" ht="14.25" customHeight="1" x14ac:dyDescent="0.25">
      <c r="A14221" s="3"/>
      <c r="B14221" s="3"/>
      <c r="C14221" s="3"/>
      <c r="D14221" s="3"/>
      <c r="E14221" s="3"/>
      <c r="F14221" s="3"/>
      <c r="G14221" s="3"/>
      <c r="H14221" s="11"/>
      <c r="I14221" s="12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  <c r="AA14221" s="3"/>
      <c r="AB14221" s="3"/>
      <c r="AC14221" s="3"/>
      <c r="AD14221" s="3"/>
      <c r="AE14221" s="3"/>
      <c r="AF14221" s="3"/>
      <c r="AG14221" s="3"/>
      <c r="AH14221" s="3"/>
    </row>
    <row r="14222" spans="1:34" ht="14.25" customHeight="1" x14ac:dyDescent="0.25">
      <c r="A14222" s="3"/>
      <c r="B14222" s="3"/>
      <c r="C14222" s="3"/>
      <c r="D14222" s="3"/>
      <c r="E14222" s="3"/>
      <c r="F14222" s="3"/>
      <c r="G14222" s="3"/>
      <c r="H14222" s="11"/>
      <c r="I14222" s="12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  <c r="AA14222" s="3"/>
      <c r="AB14222" s="3"/>
      <c r="AC14222" s="3"/>
      <c r="AD14222" s="3"/>
      <c r="AE14222" s="3"/>
      <c r="AF14222" s="3"/>
      <c r="AG14222" s="3"/>
      <c r="AH14222" s="3"/>
    </row>
    <row r="14223" spans="1:34" ht="14.25" customHeight="1" x14ac:dyDescent="0.25">
      <c r="A14223" s="3"/>
      <c r="B14223" s="3"/>
      <c r="C14223" s="3"/>
      <c r="D14223" s="3"/>
      <c r="E14223" s="3"/>
      <c r="F14223" s="3"/>
      <c r="G14223" s="3"/>
      <c r="H14223" s="11"/>
      <c r="I14223" s="12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  <c r="AA14223" s="3"/>
      <c r="AB14223" s="3"/>
      <c r="AC14223" s="3"/>
      <c r="AD14223" s="3"/>
      <c r="AE14223" s="3"/>
      <c r="AF14223" s="3"/>
      <c r="AG14223" s="3"/>
      <c r="AH14223" s="3"/>
    </row>
    <row r="14224" spans="1:34" ht="14.25" customHeight="1" x14ac:dyDescent="0.25">
      <c r="A14224" s="3"/>
      <c r="B14224" s="3"/>
      <c r="C14224" s="3"/>
      <c r="D14224" s="3"/>
      <c r="E14224" s="3"/>
      <c r="F14224" s="3"/>
      <c r="G14224" s="3"/>
      <c r="H14224" s="11"/>
      <c r="I14224" s="12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  <c r="AA14224" s="3"/>
      <c r="AB14224" s="3"/>
      <c r="AC14224" s="3"/>
      <c r="AD14224" s="3"/>
      <c r="AE14224" s="3"/>
      <c r="AF14224" s="3"/>
      <c r="AG14224" s="3"/>
      <c r="AH14224" s="3"/>
    </row>
    <row r="14225" spans="1:34" ht="14.25" customHeight="1" x14ac:dyDescent="0.25">
      <c r="A14225" s="3"/>
      <c r="B14225" s="3"/>
      <c r="C14225" s="3"/>
      <c r="D14225" s="3"/>
      <c r="E14225" s="3"/>
      <c r="F14225" s="3"/>
      <c r="G14225" s="3"/>
      <c r="H14225" s="11"/>
      <c r="I14225" s="12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  <c r="AA14225" s="3"/>
      <c r="AB14225" s="3"/>
      <c r="AC14225" s="3"/>
      <c r="AD14225" s="3"/>
      <c r="AE14225" s="3"/>
      <c r="AF14225" s="3"/>
      <c r="AG14225" s="3"/>
      <c r="AH14225" s="3"/>
    </row>
    <row r="14226" spans="1:34" ht="14.25" customHeight="1" x14ac:dyDescent="0.25">
      <c r="A14226" s="3"/>
      <c r="B14226" s="3"/>
      <c r="C14226" s="3"/>
      <c r="D14226" s="3"/>
      <c r="E14226" s="3"/>
      <c r="F14226" s="3"/>
      <c r="G14226" s="3"/>
      <c r="H14226" s="11"/>
      <c r="I14226" s="12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  <c r="AA14226" s="3"/>
      <c r="AB14226" s="3"/>
      <c r="AC14226" s="3"/>
      <c r="AD14226" s="3"/>
      <c r="AE14226" s="3"/>
      <c r="AF14226" s="3"/>
      <c r="AG14226" s="3"/>
      <c r="AH14226" s="3"/>
    </row>
    <row r="14227" spans="1:34" ht="14.25" customHeight="1" x14ac:dyDescent="0.25">
      <c r="A14227" s="3"/>
      <c r="B14227" s="3"/>
      <c r="C14227" s="3"/>
      <c r="D14227" s="3"/>
      <c r="E14227" s="3"/>
      <c r="F14227" s="3"/>
      <c r="G14227" s="3"/>
      <c r="H14227" s="11"/>
      <c r="I14227" s="12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  <c r="AA14227" s="3"/>
      <c r="AB14227" s="3"/>
      <c r="AC14227" s="3"/>
      <c r="AD14227" s="3"/>
      <c r="AE14227" s="3"/>
      <c r="AF14227" s="3"/>
      <c r="AG14227" s="3"/>
      <c r="AH14227" s="3"/>
    </row>
    <row r="14228" spans="1:34" ht="14.25" customHeight="1" x14ac:dyDescent="0.25">
      <c r="A14228" s="3"/>
      <c r="B14228" s="3"/>
      <c r="C14228" s="3"/>
      <c r="D14228" s="3"/>
      <c r="E14228" s="3"/>
      <c r="F14228" s="3"/>
      <c r="G14228" s="3"/>
      <c r="H14228" s="11"/>
      <c r="I14228" s="12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  <c r="AA14228" s="3"/>
      <c r="AB14228" s="3"/>
      <c r="AC14228" s="3"/>
      <c r="AD14228" s="3"/>
      <c r="AE14228" s="3"/>
      <c r="AF14228" s="3"/>
      <c r="AG14228" s="3"/>
      <c r="AH14228" s="3"/>
    </row>
    <row r="14229" spans="1:34" ht="14.25" customHeight="1" x14ac:dyDescent="0.25">
      <c r="A14229" s="3"/>
      <c r="B14229" s="3"/>
      <c r="C14229" s="3"/>
      <c r="D14229" s="3"/>
      <c r="E14229" s="3"/>
      <c r="F14229" s="3"/>
      <c r="G14229" s="3"/>
      <c r="H14229" s="11"/>
      <c r="I14229" s="12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  <c r="AA14229" s="3"/>
      <c r="AB14229" s="3"/>
      <c r="AC14229" s="3"/>
      <c r="AD14229" s="3"/>
      <c r="AE14229" s="3"/>
      <c r="AF14229" s="3"/>
      <c r="AG14229" s="3"/>
      <c r="AH14229" s="3"/>
    </row>
    <row r="14230" spans="1:34" ht="14.25" customHeight="1" x14ac:dyDescent="0.25">
      <c r="A14230" s="3"/>
      <c r="B14230" s="3"/>
      <c r="C14230" s="3"/>
      <c r="D14230" s="3"/>
      <c r="E14230" s="3"/>
      <c r="F14230" s="3"/>
      <c r="G14230" s="3"/>
      <c r="H14230" s="11"/>
      <c r="I14230" s="12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  <c r="AA14230" s="3"/>
      <c r="AB14230" s="3"/>
      <c r="AC14230" s="3"/>
      <c r="AD14230" s="3"/>
      <c r="AE14230" s="3"/>
      <c r="AF14230" s="3"/>
      <c r="AG14230" s="3"/>
      <c r="AH14230" s="3"/>
    </row>
    <row r="14231" spans="1:34" ht="14.25" customHeight="1" x14ac:dyDescent="0.25">
      <c r="A14231" s="3"/>
      <c r="B14231" s="3"/>
      <c r="C14231" s="3"/>
      <c r="D14231" s="3"/>
      <c r="E14231" s="3"/>
      <c r="F14231" s="3"/>
      <c r="G14231" s="3"/>
      <c r="H14231" s="11"/>
      <c r="I14231" s="12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  <c r="AA14231" s="3"/>
      <c r="AB14231" s="3"/>
      <c r="AC14231" s="3"/>
      <c r="AD14231" s="3"/>
      <c r="AE14231" s="3"/>
      <c r="AF14231" s="3"/>
      <c r="AG14231" s="3"/>
      <c r="AH14231" s="3"/>
    </row>
    <row r="14232" spans="1:34" ht="14.25" customHeight="1" x14ac:dyDescent="0.25">
      <c r="A14232" s="3"/>
      <c r="B14232" s="3"/>
      <c r="C14232" s="3"/>
      <c r="D14232" s="3"/>
      <c r="E14232" s="3"/>
      <c r="F14232" s="3"/>
      <c r="G14232" s="3"/>
      <c r="H14232" s="11"/>
      <c r="I14232" s="12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  <c r="AA14232" s="3"/>
      <c r="AB14232" s="3"/>
      <c r="AC14232" s="3"/>
      <c r="AD14232" s="3"/>
      <c r="AE14232" s="3"/>
      <c r="AF14232" s="3"/>
      <c r="AG14232" s="3"/>
      <c r="AH14232" s="3"/>
    </row>
    <row r="14233" spans="1:34" ht="14.25" customHeight="1" x14ac:dyDescent="0.25">
      <c r="A14233" s="3"/>
      <c r="B14233" s="3"/>
      <c r="C14233" s="3"/>
      <c r="D14233" s="3"/>
      <c r="E14233" s="3"/>
      <c r="F14233" s="3"/>
      <c r="G14233" s="3"/>
      <c r="H14233" s="11"/>
      <c r="I14233" s="12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  <c r="AA14233" s="3"/>
      <c r="AB14233" s="3"/>
      <c r="AC14233" s="3"/>
      <c r="AD14233" s="3"/>
      <c r="AE14233" s="3"/>
      <c r="AF14233" s="3"/>
      <c r="AG14233" s="3"/>
      <c r="AH14233" s="3"/>
    </row>
    <row r="14234" spans="1:34" ht="14.25" customHeight="1" x14ac:dyDescent="0.25">
      <c r="A14234" s="3"/>
      <c r="B14234" s="3"/>
      <c r="C14234" s="3"/>
      <c r="D14234" s="3"/>
      <c r="E14234" s="3"/>
      <c r="F14234" s="3"/>
      <c r="G14234" s="3"/>
      <c r="H14234" s="11"/>
      <c r="I14234" s="12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  <c r="AA14234" s="3"/>
      <c r="AB14234" s="3"/>
      <c r="AC14234" s="3"/>
      <c r="AD14234" s="3"/>
      <c r="AE14234" s="3"/>
      <c r="AF14234" s="3"/>
      <c r="AG14234" s="3"/>
      <c r="AH14234" s="3"/>
    </row>
    <row r="14235" spans="1:34" ht="14.25" customHeight="1" x14ac:dyDescent="0.25">
      <c r="A14235" s="3"/>
      <c r="B14235" s="3"/>
      <c r="C14235" s="3"/>
      <c r="D14235" s="3"/>
      <c r="E14235" s="3"/>
      <c r="F14235" s="3"/>
      <c r="G14235" s="3"/>
      <c r="H14235" s="11"/>
      <c r="I14235" s="12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  <c r="AA14235" s="3"/>
      <c r="AB14235" s="3"/>
      <c r="AC14235" s="3"/>
      <c r="AD14235" s="3"/>
      <c r="AE14235" s="3"/>
      <c r="AF14235" s="3"/>
      <c r="AG14235" s="3"/>
      <c r="AH14235" s="3"/>
    </row>
    <row r="14236" spans="1:34" ht="14.25" customHeight="1" x14ac:dyDescent="0.25">
      <c r="A14236" s="3"/>
      <c r="B14236" s="3"/>
      <c r="C14236" s="3"/>
      <c r="D14236" s="3"/>
      <c r="E14236" s="3"/>
      <c r="F14236" s="3"/>
      <c r="G14236" s="3"/>
      <c r="H14236" s="11"/>
      <c r="I14236" s="12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  <c r="AA14236" s="3"/>
      <c r="AB14236" s="3"/>
      <c r="AC14236" s="3"/>
      <c r="AD14236" s="3"/>
      <c r="AE14236" s="3"/>
      <c r="AF14236" s="3"/>
      <c r="AG14236" s="3"/>
      <c r="AH14236" s="3"/>
    </row>
    <row r="14237" spans="1:34" ht="14.25" customHeight="1" x14ac:dyDescent="0.25">
      <c r="A14237" s="3"/>
      <c r="B14237" s="3"/>
      <c r="C14237" s="3"/>
      <c r="D14237" s="3"/>
      <c r="E14237" s="3"/>
      <c r="F14237" s="3"/>
      <c r="G14237" s="3"/>
      <c r="H14237" s="11"/>
      <c r="I14237" s="12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  <c r="AA14237" s="3"/>
      <c r="AB14237" s="3"/>
      <c r="AC14237" s="3"/>
      <c r="AD14237" s="3"/>
      <c r="AE14237" s="3"/>
      <c r="AF14237" s="3"/>
      <c r="AG14237" s="3"/>
      <c r="AH14237" s="3"/>
    </row>
    <row r="14238" spans="1:34" ht="14.25" customHeight="1" x14ac:dyDescent="0.25">
      <c r="A14238" s="3"/>
      <c r="B14238" s="3"/>
      <c r="C14238" s="3"/>
      <c r="D14238" s="3"/>
      <c r="E14238" s="3"/>
      <c r="F14238" s="3"/>
      <c r="G14238" s="3"/>
      <c r="H14238" s="11"/>
      <c r="I14238" s="12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  <c r="AA14238" s="3"/>
      <c r="AB14238" s="3"/>
      <c r="AC14238" s="3"/>
      <c r="AD14238" s="3"/>
      <c r="AE14238" s="3"/>
      <c r="AF14238" s="3"/>
      <c r="AG14238" s="3"/>
      <c r="AH14238" s="3"/>
    </row>
    <row r="14239" spans="1:34" ht="14.25" customHeight="1" x14ac:dyDescent="0.25">
      <c r="A14239" s="3"/>
      <c r="B14239" s="3"/>
      <c r="C14239" s="3"/>
      <c r="D14239" s="3"/>
      <c r="E14239" s="3"/>
      <c r="F14239" s="3"/>
      <c r="G14239" s="3"/>
      <c r="H14239" s="11"/>
      <c r="I14239" s="12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  <c r="AA14239" s="3"/>
      <c r="AB14239" s="3"/>
      <c r="AC14239" s="3"/>
      <c r="AD14239" s="3"/>
      <c r="AE14239" s="3"/>
      <c r="AF14239" s="3"/>
      <c r="AG14239" s="3"/>
      <c r="AH14239" s="3"/>
    </row>
    <row r="14240" spans="1:34" ht="14.25" customHeight="1" x14ac:dyDescent="0.25">
      <c r="A14240" s="3"/>
      <c r="B14240" s="3"/>
      <c r="C14240" s="3"/>
      <c r="D14240" s="3"/>
      <c r="E14240" s="3"/>
      <c r="F14240" s="3"/>
      <c r="G14240" s="3"/>
      <c r="H14240" s="11"/>
      <c r="I14240" s="12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  <c r="AA14240" s="3"/>
      <c r="AB14240" s="3"/>
      <c r="AC14240" s="3"/>
      <c r="AD14240" s="3"/>
      <c r="AE14240" s="3"/>
      <c r="AF14240" s="3"/>
      <c r="AG14240" s="3"/>
      <c r="AH14240" s="3"/>
    </row>
    <row r="14241" spans="1:34" ht="14.25" customHeight="1" x14ac:dyDescent="0.25">
      <c r="A14241" s="3"/>
      <c r="B14241" s="3"/>
      <c r="C14241" s="3"/>
      <c r="D14241" s="3"/>
      <c r="E14241" s="3"/>
      <c r="F14241" s="3"/>
      <c r="G14241" s="3"/>
      <c r="H14241" s="11"/>
      <c r="I14241" s="12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  <c r="AA14241" s="3"/>
      <c r="AB14241" s="3"/>
      <c r="AC14241" s="3"/>
      <c r="AD14241" s="3"/>
      <c r="AE14241" s="3"/>
      <c r="AF14241" s="3"/>
      <c r="AG14241" s="3"/>
      <c r="AH14241" s="3"/>
    </row>
    <row r="14242" spans="1:34" ht="14.25" customHeight="1" x14ac:dyDescent="0.25">
      <c r="A14242" s="3"/>
      <c r="B14242" s="3"/>
      <c r="C14242" s="3"/>
      <c r="D14242" s="3"/>
      <c r="E14242" s="3"/>
      <c r="F14242" s="3"/>
      <c r="G14242" s="3"/>
      <c r="H14242" s="11"/>
      <c r="I14242" s="12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  <c r="AA14242" s="3"/>
      <c r="AB14242" s="3"/>
      <c r="AC14242" s="3"/>
      <c r="AD14242" s="3"/>
      <c r="AE14242" s="3"/>
      <c r="AF14242" s="3"/>
      <c r="AG14242" s="3"/>
      <c r="AH14242" s="3"/>
    </row>
    <row r="14243" spans="1:34" ht="14.25" customHeight="1" x14ac:dyDescent="0.25">
      <c r="A14243" s="3"/>
      <c r="B14243" s="3"/>
      <c r="C14243" s="3"/>
      <c r="D14243" s="3"/>
      <c r="E14243" s="3"/>
      <c r="F14243" s="3"/>
      <c r="G14243" s="3"/>
      <c r="H14243" s="11"/>
      <c r="I14243" s="12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  <c r="AA14243" s="3"/>
      <c r="AB14243" s="3"/>
      <c r="AC14243" s="3"/>
      <c r="AD14243" s="3"/>
      <c r="AE14243" s="3"/>
      <c r="AF14243" s="3"/>
      <c r="AG14243" s="3"/>
      <c r="AH14243" s="3"/>
    </row>
    <row r="14244" spans="1:34" ht="14.25" customHeight="1" x14ac:dyDescent="0.25">
      <c r="A14244" s="3"/>
      <c r="B14244" s="3"/>
      <c r="C14244" s="3"/>
      <c r="D14244" s="3"/>
      <c r="E14244" s="3"/>
      <c r="F14244" s="3"/>
      <c r="G14244" s="3"/>
      <c r="H14244" s="11"/>
      <c r="I14244" s="12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  <c r="AA14244" s="3"/>
      <c r="AB14244" s="3"/>
      <c r="AC14244" s="3"/>
      <c r="AD14244" s="3"/>
      <c r="AE14244" s="3"/>
      <c r="AF14244" s="3"/>
      <c r="AG14244" s="3"/>
      <c r="AH14244" s="3"/>
    </row>
    <row r="14245" spans="1:34" ht="14.25" customHeight="1" x14ac:dyDescent="0.25">
      <c r="A14245" s="3"/>
      <c r="B14245" s="3"/>
      <c r="C14245" s="3"/>
      <c r="D14245" s="3"/>
      <c r="E14245" s="3"/>
      <c r="F14245" s="3"/>
      <c r="G14245" s="3"/>
      <c r="H14245" s="11"/>
      <c r="I14245" s="12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  <c r="AA14245" s="3"/>
      <c r="AB14245" s="3"/>
      <c r="AC14245" s="3"/>
      <c r="AD14245" s="3"/>
      <c r="AE14245" s="3"/>
      <c r="AF14245" s="3"/>
      <c r="AG14245" s="3"/>
      <c r="AH14245" s="3"/>
    </row>
    <row r="14246" spans="1:34" ht="14.25" customHeight="1" x14ac:dyDescent="0.25">
      <c r="A14246" s="3"/>
      <c r="B14246" s="3"/>
      <c r="C14246" s="3"/>
      <c r="D14246" s="3"/>
      <c r="E14246" s="3"/>
      <c r="F14246" s="3"/>
      <c r="G14246" s="3"/>
      <c r="H14246" s="11"/>
      <c r="I14246" s="12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  <c r="AA14246" s="3"/>
      <c r="AB14246" s="3"/>
      <c r="AC14246" s="3"/>
      <c r="AD14246" s="3"/>
      <c r="AE14246" s="3"/>
      <c r="AF14246" s="3"/>
      <c r="AG14246" s="3"/>
      <c r="AH14246" s="3"/>
    </row>
    <row r="14247" spans="1:34" ht="14.25" customHeight="1" x14ac:dyDescent="0.25">
      <c r="A14247" s="3"/>
      <c r="B14247" s="3"/>
      <c r="C14247" s="3"/>
      <c r="D14247" s="3"/>
      <c r="E14247" s="3"/>
      <c r="F14247" s="3"/>
      <c r="G14247" s="3"/>
      <c r="H14247" s="11"/>
      <c r="I14247" s="12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  <c r="AA14247" s="3"/>
      <c r="AB14247" s="3"/>
      <c r="AC14247" s="3"/>
      <c r="AD14247" s="3"/>
      <c r="AE14247" s="3"/>
      <c r="AF14247" s="3"/>
      <c r="AG14247" s="3"/>
      <c r="AH14247" s="3"/>
    </row>
    <row r="14248" spans="1:34" ht="14.25" customHeight="1" x14ac:dyDescent="0.25">
      <c r="A14248" s="3"/>
      <c r="B14248" s="3"/>
      <c r="C14248" s="3"/>
      <c r="D14248" s="3"/>
      <c r="E14248" s="3"/>
      <c r="F14248" s="3"/>
      <c r="G14248" s="3"/>
      <c r="H14248" s="11"/>
      <c r="I14248" s="12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  <c r="AA14248" s="3"/>
      <c r="AB14248" s="3"/>
      <c r="AC14248" s="3"/>
      <c r="AD14248" s="3"/>
      <c r="AE14248" s="3"/>
      <c r="AF14248" s="3"/>
      <c r="AG14248" s="3"/>
      <c r="AH14248" s="3"/>
    </row>
    <row r="14249" spans="1:34" ht="14.25" customHeight="1" x14ac:dyDescent="0.25">
      <c r="A14249" s="3"/>
      <c r="B14249" s="3"/>
      <c r="C14249" s="3"/>
      <c r="D14249" s="3"/>
      <c r="E14249" s="3"/>
      <c r="F14249" s="3"/>
      <c r="G14249" s="3"/>
      <c r="H14249" s="11"/>
      <c r="I14249" s="12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  <c r="AA14249" s="3"/>
      <c r="AB14249" s="3"/>
      <c r="AC14249" s="3"/>
      <c r="AD14249" s="3"/>
      <c r="AE14249" s="3"/>
      <c r="AF14249" s="3"/>
      <c r="AG14249" s="3"/>
      <c r="AH14249" s="3"/>
    </row>
    <row r="14250" spans="1:34" ht="14.25" customHeight="1" x14ac:dyDescent="0.25">
      <c r="A14250" s="3"/>
      <c r="B14250" s="3"/>
      <c r="C14250" s="3"/>
      <c r="D14250" s="3"/>
      <c r="E14250" s="3"/>
      <c r="F14250" s="3"/>
      <c r="G14250" s="3"/>
      <c r="H14250" s="11"/>
      <c r="I14250" s="12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  <c r="AA14250" s="3"/>
      <c r="AB14250" s="3"/>
      <c r="AC14250" s="3"/>
      <c r="AD14250" s="3"/>
      <c r="AE14250" s="3"/>
      <c r="AF14250" s="3"/>
      <c r="AG14250" s="3"/>
      <c r="AH14250" s="3"/>
    </row>
    <row r="14251" spans="1:34" ht="14.25" customHeight="1" x14ac:dyDescent="0.25">
      <c r="A14251" s="3"/>
      <c r="B14251" s="3"/>
      <c r="C14251" s="3"/>
      <c r="D14251" s="3"/>
      <c r="E14251" s="3"/>
      <c r="F14251" s="3"/>
      <c r="G14251" s="3"/>
      <c r="H14251" s="11"/>
      <c r="I14251" s="12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  <c r="AA14251" s="3"/>
      <c r="AB14251" s="3"/>
      <c r="AC14251" s="3"/>
      <c r="AD14251" s="3"/>
      <c r="AE14251" s="3"/>
      <c r="AF14251" s="3"/>
      <c r="AG14251" s="3"/>
      <c r="AH14251" s="3"/>
    </row>
    <row r="14252" spans="1:34" ht="14.25" customHeight="1" x14ac:dyDescent="0.25">
      <c r="A14252" s="3"/>
      <c r="B14252" s="3"/>
      <c r="C14252" s="3"/>
      <c r="D14252" s="3"/>
      <c r="E14252" s="3"/>
      <c r="F14252" s="3"/>
      <c r="G14252" s="3"/>
      <c r="H14252" s="11"/>
      <c r="I14252" s="12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  <c r="AA14252" s="3"/>
      <c r="AB14252" s="3"/>
      <c r="AC14252" s="3"/>
      <c r="AD14252" s="3"/>
      <c r="AE14252" s="3"/>
      <c r="AF14252" s="3"/>
      <c r="AG14252" s="3"/>
      <c r="AH14252" s="3"/>
    </row>
    <row r="14253" spans="1:34" ht="14.25" customHeight="1" x14ac:dyDescent="0.25">
      <c r="A14253" s="3"/>
      <c r="B14253" s="3"/>
      <c r="C14253" s="3"/>
      <c r="D14253" s="3"/>
      <c r="E14253" s="3"/>
      <c r="F14253" s="3"/>
      <c r="G14253" s="3"/>
      <c r="H14253" s="11"/>
      <c r="I14253" s="12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  <c r="AA14253" s="3"/>
      <c r="AB14253" s="3"/>
      <c r="AC14253" s="3"/>
      <c r="AD14253" s="3"/>
      <c r="AE14253" s="3"/>
      <c r="AF14253" s="3"/>
      <c r="AG14253" s="3"/>
      <c r="AH14253" s="3"/>
    </row>
    <row r="14254" spans="1:34" ht="14.25" customHeight="1" x14ac:dyDescent="0.25">
      <c r="A14254" s="3"/>
      <c r="B14254" s="3"/>
      <c r="C14254" s="3"/>
      <c r="D14254" s="3"/>
      <c r="E14254" s="3"/>
      <c r="F14254" s="3"/>
      <c r="G14254" s="3"/>
      <c r="H14254" s="11"/>
      <c r="I14254" s="12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  <c r="AA14254" s="3"/>
      <c r="AB14254" s="3"/>
      <c r="AC14254" s="3"/>
      <c r="AD14254" s="3"/>
      <c r="AE14254" s="3"/>
      <c r="AF14254" s="3"/>
      <c r="AG14254" s="3"/>
      <c r="AH14254" s="3"/>
    </row>
    <row r="14255" spans="1:34" ht="14.25" customHeight="1" x14ac:dyDescent="0.25">
      <c r="A14255" s="3"/>
      <c r="B14255" s="3"/>
      <c r="C14255" s="3"/>
      <c r="D14255" s="3"/>
      <c r="E14255" s="3"/>
      <c r="F14255" s="3"/>
      <c r="G14255" s="3"/>
      <c r="H14255" s="11"/>
      <c r="I14255" s="12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  <c r="AA14255" s="3"/>
      <c r="AB14255" s="3"/>
      <c r="AC14255" s="3"/>
      <c r="AD14255" s="3"/>
      <c r="AE14255" s="3"/>
      <c r="AF14255" s="3"/>
      <c r="AG14255" s="3"/>
      <c r="AH14255" s="3"/>
    </row>
    <row r="14256" spans="1:34" ht="14.25" customHeight="1" x14ac:dyDescent="0.25">
      <c r="A14256" s="3"/>
      <c r="B14256" s="3"/>
      <c r="C14256" s="3"/>
      <c r="D14256" s="3"/>
      <c r="E14256" s="3"/>
      <c r="F14256" s="3"/>
      <c r="G14256" s="3"/>
      <c r="H14256" s="11"/>
      <c r="I14256" s="12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  <c r="AA14256" s="3"/>
      <c r="AB14256" s="3"/>
      <c r="AC14256" s="3"/>
      <c r="AD14256" s="3"/>
      <c r="AE14256" s="3"/>
      <c r="AF14256" s="3"/>
      <c r="AG14256" s="3"/>
      <c r="AH14256" s="3"/>
    </row>
    <row r="14257" spans="1:34" ht="14.25" customHeight="1" x14ac:dyDescent="0.25">
      <c r="A14257" s="3"/>
      <c r="B14257" s="3"/>
      <c r="C14257" s="3"/>
      <c r="D14257" s="3"/>
      <c r="E14257" s="3"/>
      <c r="F14257" s="3"/>
      <c r="G14257" s="3"/>
      <c r="H14257" s="11"/>
      <c r="I14257" s="12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  <c r="AA14257" s="3"/>
      <c r="AB14257" s="3"/>
      <c r="AC14257" s="3"/>
      <c r="AD14257" s="3"/>
      <c r="AE14257" s="3"/>
      <c r="AF14257" s="3"/>
      <c r="AG14257" s="3"/>
      <c r="AH14257" s="3"/>
    </row>
    <row r="14258" spans="1:34" ht="14.25" customHeight="1" x14ac:dyDescent="0.25">
      <c r="A14258" s="3"/>
      <c r="B14258" s="3"/>
      <c r="C14258" s="3"/>
      <c r="D14258" s="3"/>
      <c r="E14258" s="3"/>
      <c r="F14258" s="3"/>
      <c r="G14258" s="3"/>
      <c r="H14258" s="11"/>
      <c r="I14258" s="12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  <c r="AA14258" s="3"/>
      <c r="AB14258" s="3"/>
      <c r="AC14258" s="3"/>
      <c r="AD14258" s="3"/>
      <c r="AE14258" s="3"/>
      <c r="AF14258" s="3"/>
      <c r="AG14258" s="3"/>
      <c r="AH14258" s="3"/>
    </row>
    <row r="14259" spans="1:34" ht="14.25" customHeight="1" x14ac:dyDescent="0.25">
      <c r="A14259" s="3"/>
      <c r="B14259" s="3"/>
      <c r="C14259" s="3"/>
      <c r="D14259" s="3"/>
      <c r="E14259" s="3"/>
      <c r="F14259" s="3"/>
      <c r="G14259" s="3"/>
      <c r="H14259" s="11"/>
      <c r="I14259" s="12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  <c r="AA14259" s="3"/>
      <c r="AB14259" s="3"/>
      <c r="AC14259" s="3"/>
      <c r="AD14259" s="3"/>
      <c r="AE14259" s="3"/>
      <c r="AF14259" s="3"/>
      <c r="AG14259" s="3"/>
      <c r="AH14259" s="3"/>
    </row>
    <row r="14260" spans="1:34" ht="14.25" customHeight="1" x14ac:dyDescent="0.25">
      <c r="A14260" s="3"/>
      <c r="B14260" s="3"/>
      <c r="C14260" s="3"/>
      <c r="D14260" s="3"/>
      <c r="E14260" s="3"/>
      <c r="F14260" s="3"/>
      <c r="G14260" s="3"/>
      <c r="H14260" s="11"/>
      <c r="I14260" s="12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  <c r="AA14260" s="3"/>
      <c r="AB14260" s="3"/>
      <c r="AC14260" s="3"/>
      <c r="AD14260" s="3"/>
      <c r="AE14260" s="3"/>
      <c r="AF14260" s="3"/>
      <c r="AG14260" s="3"/>
      <c r="AH14260" s="3"/>
    </row>
    <row r="14261" spans="1:34" ht="14.25" customHeight="1" x14ac:dyDescent="0.25">
      <c r="A14261" s="3"/>
      <c r="B14261" s="3"/>
      <c r="C14261" s="3"/>
      <c r="D14261" s="3"/>
      <c r="E14261" s="3"/>
      <c r="F14261" s="3"/>
      <c r="G14261" s="3"/>
      <c r="H14261" s="11"/>
      <c r="I14261" s="12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  <c r="AA14261" s="3"/>
      <c r="AB14261" s="3"/>
      <c r="AC14261" s="3"/>
      <c r="AD14261" s="3"/>
      <c r="AE14261" s="3"/>
      <c r="AF14261" s="3"/>
      <c r="AG14261" s="3"/>
      <c r="AH14261" s="3"/>
    </row>
    <row r="14262" spans="1:34" ht="14.25" customHeight="1" x14ac:dyDescent="0.25">
      <c r="A14262" s="3"/>
      <c r="B14262" s="3"/>
      <c r="C14262" s="3"/>
      <c r="D14262" s="3"/>
      <c r="E14262" s="3"/>
      <c r="F14262" s="3"/>
      <c r="G14262" s="3"/>
      <c r="H14262" s="11"/>
      <c r="I14262" s="12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  <c r="AA14262" s="3"/>
      <c r="AB14262" s="3"/>
      <c r="AC14262" s="3"/>
      <c r="AD14262" s="3"/>
      <c r="AE14262" s="3"/>
      <c r="AF14262" s="3"/>
      <c r="AG14262" s="3"/>
      <c r="AH14262" s="3"/>
    </row>
    <row r="14263" spans="1:34" ht="14.25" customHeight="1" x14ac:dyDescent="0.25">
      <c r="A14263" s="3"/>
      <c r="B14263" s="3"/>
      <c r="C14263" s="3"/>
      <c r="D14263" s="3"/>
      <c r="E14263" s="3"/>
      <c r="F14263" s="3"/>
      <c r="G14263" s="3"/>
      <c r="H14263" s="11"/>
      <c r="I14263" s="12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  <c r="AA14263" s="3"/>
      <c r="AB14263" s="3"/>
      <c r="AC14263" s="3"/>
      <c r="AD14263" s="3"/>
      <c r="AE14263" s="3"/>
      <c r="AF14263" s="3"/>
      <c r="AG14263" s="3"/>
      <c r="AH14263" s="3"/>
    </row>
    <row r="14264" spans="1:34" ht="14.25" customHeight="1" x14ac:dyDescent="0.25">
      <c r="A14264" s="3"/>
      <c r="B14264" s="3"/>
      <c r="C14264" s="3"/>
      <c r="D14264" s="3"/>
      <c r="E14264" s="3"/>
      <c r="F14264" s="3"/>
      <c r="G14264" s="3"/>
      <c r="H14264" s="11"/>
      <c r="I14264" s="12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  <c r="AA14264" s="3"/>
      <c r="AB14264" s="3"/>
      <c r="AC14264" s="3"/>
      <c r="AD14264" s="3"/>
      <c r="AE14264" s="3"/>
      <c r="AF14264" s="3"/>
      <c r="AG14264" s="3"/>
      <c r="AH14264" s="3"/>
    </row>
    <row r="14265" spans="1:34" ht="14.25" customHeight="1" x14ac:dyDescent="0.25">
      <c r="A14265" s="3"/>
      <c r="B14265" s="3"/>
      <c r="C14265" s="3"/>
      <c r="D14265" s="3"/>
      <c r="E14265" s="3"/>
      <c r="F14265" s="3"/>
      <c r="G14265" s="3"/>
      <c r="H14265" s="11"/>
      <c r="I14265" s="12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  <c r="AA14265" s="3"/>
      <c r="AB14265" s="3"/>
      <c r="AC14265" s="3"/>
      <c r="AD14265" s="3"/>
      <c r="AE14265" s="3"/>
      <c r="AF14265" s="3"/>
      <c r="AG14265" s="3"/>
      <c r="AH14265" s="3"/>
    </row>
    <row r="14266" spans="1:34" ht="14.25" customHeight="1" x14ac:dyDescent="0.25">
      <c r="A14266" s="3"/>
      <c r="B14266" s="3"/>
      <c r="C14266" s="3"/>
      <c r="D14266" s="3"/>
      <c r="E14266" s="3"/>
      <c r="F14266" s="3"/>
      <c r="G14266" s="3"/>
      <c r="H14266" s="11"/>
      <c r="I14266" s="12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  <c r="AA14266" s="3"/>
      <c r="AB14266" s="3"/>
      <c r="AC14266" s="3"/>
      <c r="AD14266" s="3"/>
      <c r="AE14266" s="3"/>
      <c r="AF14266" s="3"/>
      <c r="AG14266" s="3"/>
      <c r="AH14266" s="3"/>
    </row>
    <row r="14267" spans="1:34" ht="14.25" customHeight="1" x14ac:dyDescent="0.25">
      <c r="A14267" s="3"/>
      <c r="B14267" s="3"/>
      <c r="C14267" s="3"/>
      <c r="D14267" s="3"/>
      <c r="E14267" s="3"/>
      <c r="F14267" s="3"/>
      <c r="G14267" s="3"/>
      <c r="H14267" s="11"/>
      <c r="I14267" s="12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  <c r="AA14267" s="3"/>
      <c r="AB14267" s="3"/>
      <c r="AC14267" s="3"/>
      <c r="AD14267" s="3"/>
      <c r="AE14267" s="3"/>
      <c r="AF14267" s="3"/>
      <c r="AG14267" s="3"/>
      <c r="AH14267" s="3"/>
    </row>
    <row r="14268" spans="1:34" ht="14.25" customHeight="1" x14ac:dyDescent="0.25">
      <c r="A14268" s="3"/>
      <c r="B14268" s="3"/>
      <c r="C14268" s="3"/>
      <c r="D14268" s="3"/>
      <c r="E14268" s="3"/>
      <c r="F14268" s="3"/>
      <c r="G14268" s="3"/>
      <c r="H14268" s="11"/>
      <c r="I14268" s="12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  <c r="AA14268" s="3"/>
      <c r="AB14268" s="3"/>
      <c r="AC14268" s="3"/>
      <c r="AD14268" s="3"/>
      <c r="AE14268" s="3"/>
      <c r="AF14268" s="3"/>
      <c r="AG14268" s="3"/>
      <c r="AH14268" s="3"/>
    </row>
    <row r="14269" spans="1:34" ht="14.25" customHeight="1" x14ac:dyDescent="0.25">
      <c r="A14269" s="3"/>
      <c r="B14269" s="3"/>
      <c r="C14269" s="3"/>
      <c r="D14269" s="3"/>
      <c r="E14269" s="3"/>
      <c r="F14269" s="3"/>
      <c r="G14269" s="3"/>
      <c r="H14269" s="11"/>
      <c r="I14269" s="12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  <c r="AA14269" s="3"/>
      <c r="AB14269" s="3"/>
      <c r="AC14269" s="3"/>
      <c r="AD14269" s="3"/>
      <c r="AE14269" s="3"/>
      <c r="AF14269" s="3"/>
      <c r="AG14269" s="3"/>
      <c r="AH14269" s="3"/>
    </row>
    <row r="14270" spans="1:34" ht="14.25" customHeight="1" x14ac:dyDescent="0.25">
      <c r="A14270" s="3"/>
      <c r="B14270" s="3"/>
      <c r="C14270" s="3"/>
      <c r="D14270" s="3"/>
      <c r="E14270" s="3"/>
      <c r="F14270" s="3"/>
      <c r="G14270" s="3"/>
      <c r="H14270" s="11"/>
      <c r="I14270" s="12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  <c r="AA14270" s="3"/>
      <c r="AB14270" s="3"/>
      <c r="AC14270" s="3"/>
      <c r="AD14270" s="3"/>
      <c r="AE14270" s="3"/>
      <c r="AF14270" s="3"/>
      <c r="AG14270" s="3"/>
      <c r="AH14270" s="3"/>
    </row>
    <row r="14271" spans="1:34" ht="14.25" customHeight="1" x14ac:dyDescent="0.25">
      <c r="A14271" s="3"/>
      <c r="B14271" s="3"/>
      <c r="C14271" s="3"/>
      <c r="D14271" s="3"/>
      <c r="E14271" s="3"/>
      <c r="F14271" s="3"/>
      <c r="G14271" s="3"/>
      <c r="H14271" s="11"/>
      <c r="I14271" s="12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  <c r="AA14271" s="3"/>
      <c r="AB14271" s="3"/>
      <c r="AC14271" s="3"/>
      <c r="AD14271" s="3"/>
      <c r="AE14271" s="3"/>
      <c r="AF14271" s="3"/>
      <c r="AG14271" s="3"/>
      <c r="AH14271" s="3"/>
    </row>
    <row r="14272" spans="1:34" ht="14.25" customHeight="1" x14ac:dyDescent="0.25">
      <c r="A14272" s="3"/>
      <c r="B14272" s="3"/>
      <c r="C14272" s="3"/>
      <c r="D14272" s="3"/>
      <c r="E14272" s="3"/>
      <c r="F14272" s="3"/>
      <c r="G14272" s="3"/>
      <c r="H14272" s="11"/>
      <c r="I14272" s="12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  <c r="AA14272" s="3"/>
      <c r="AB14272" s="3"/>
      <c r="AC14272" s="3"/>
      <c r="AD14272" s="3"/>
      <c r="AE14272" s="3"/>
      <c r="AF14272" s="3"/>
      <c r="AG14272" s="3"/>
      <c r="AH14272" s="3"/>
    </row>
    <row r="14273" spans="1:34" ht="14.25" customHeight="1" x14ac:dyDescent="0.25">
      <c r="A14273" s="3"/>
      <c r="B14273" s="3"/>
      <c r="C14273" s="3"/>
      <c r="D14273" s="3"/>
      <c r="E14273" s="3"/>
      <c r="F14273" s="3"/>
      <c r="G14273" s="3"/>
      <c r="H14273" s="11"/>
      <c r="I14273" s="12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  <c r="AA14273" s="3"/>
      <c r="AB14273" s="3"/>
      <c r="AC14273" s="3"/>
      <c r="AD14273" s="3"/>
      <c r="AE14273" s="3"/>
      <c r="AF14273" s="3"/>
      <c r="AG14273" s="3"/>
      <c r="AH14273" s="3"/>
    </row>
    <row r="14274" spans="1:34" ht="14.25" customHeight="1" x14ac:dyDescent="0.25">
      <c r="A14274" s="3"/>
      <c r="B14274" s="3"/>
      <c r="C14274" s="3"/>
      <c r="D14274" s="3"/>
      <c r="E14274" s="3"/>
      <c r="F14274" s="3"/>
      <c r="G14274" s="3"/>
      <c r="H14274" s="11"/>
      <c r="I14274" s="12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  <c r="AA14274" s="3"/>
      <c r="AB14274" s="3"/>
      <c r="AC14274" s="3"/>
      <c r="AD14274" s="3"/>
      <c r="AE14274" s="3"/>
      <c r="AF14274" s="3"/>
      <c r="AG14274" s="3"/>
      <c r="AH14274" s="3"/>
    </row>
    <row r="14275" spans="1:34" ht="14.25" customHeight="1" x14ac:dyDescent="0.25">
      <c r="A14275" s="3"/>
      <c r="B14275" s="3"/>
      <c r="C14275" s="3"/>
      <c r="D14275" s="3"/>
      <c r="E14275" s="3"/>
      <c r="F14275" s="3"/>
      <c r="G14275" s="3"/>
      <c r="H14275" s="11"/>
      <c r="I14275" s="12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  <c r="AA14275" s="3"/>
      <c r="AB14275" s="3"/>
      <c r="AC14275" s="3"/>
      <c r="AD14275" s="3"/>
      <c r="AE14275" s="3"/>
      <c r="AF14275" s="3"/>
      <c r="AG14275" s="3"/>
      <c r="AH14275" s="3"/>
    </row>
    <row r="14276" spans="1:34" ht="14.25" customHeight="1" x14ac:dyDescent="0.25">
      <c r="A14276" s="3"/>
      <c r="B14276" s="3"/>
      <c r="C14276" s="3"/>
      <c r="D14276" s="3"/>
      <c r="E14276" s="3"/>
      <c r="F14276" s="3"/>
      <c r="G14276" s="3"/>
      <c r="H14276" s="11"/>
      <c r="I14276" s="12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  <c r="AA14276" s="3"/>
      <c r="AB14276" s="3"/>
      <c r="AC14276" s="3"/>
      <c r="AD14276" s="3"/>
      <c r="AE14276" s="3"/>
      <c r="AF14276" s="3"/>
      <c r="AG14276" s="3"/>
      <c r="AH14276" s="3"/>
    </row>
    <row r="14277" spans="1:34" ht="14.25" customHeight="1" x14ac:dyDescent="0.25">
      <c r="A14277" s="3"/>
      <c r="B14277" s="3"/>
      <c r="C14277" s="3"/>
      <c r="D14277" s="3"/>
      <c r="E14277" s="3"/>
      <c r="F14277" s="3"/>
      <c r="G14277" s="3"/>
      <c r="H14277" s="11"/>
      <c r="I14277" s="12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  <c r="AA14277" s="3"/>
      <c r="AB14277" s="3"/>
      <c r="AC14277" s="3"/>
      <c r="AD14277" s="3"/>
      <c r="AE14277" s="3"/>
      <c r="AF14277" s="3"/>
      <c r="AG14277" s="3"/>
      <c r="AH14277" s="3"/>
    </row>
    <row r="14278" spans="1:34" ht="14.25" customHeight="1" x14ac:dyDescent="0.25">
      <c r="A14278" s="3"/>
      <c r="B14278" s="3"/>
      <c r="C14278" s="3"/>
      <c r="D14278" s="3"/>
      <c r="E14278" s="3"/>
      <c r="F14278" s="3"/>
      <c r="G14278" s="3"/>
      <c r="H14278" s="11"/>
      <c r="I14278" s="12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  <c r="AA14278" s="3"/>
      <c r="AB14278" s="3"/>
      <c r="AC14278" s="3"/>
      <c r="AD14278" s="3"/>
      <c r="AE14278" s="3"/>
      <c r="AF14278" s="3"/>
      <c r="AG14278" s="3"/>
      <c r="AH14278" s="3"/>
    </row>
    <row r="14279" spans="1:34" ht="14.25" customHeight="1" x14ac:dyDescent="0.25">
      <c r="A14279" s="3"/>
      <c r="B14279" s="3"/>
      <c r="C14279" s="3"/>
      <c r="D14279" s="3"/>
      <c r="E14279" s="3"/>
      <c r="F14279" s="3"/>
      <c r="G14279" s="3"/>
      <c r="H14279" s="11"/>
      <c r="I14279" s="12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  <c r="AA14279" s="3"/>
      <c r="AB14279" s="3"/>
      <c r="AC14279" s="3"/>
      <c r="AD14279" s="3"/>
      <c r="AE14279" s="3"/>
      <c r="AF14279" s="3"/>
      <c r="AG14279" s="3"/>
      <c r="AH14279" s="3"/>
    </row>
    <row r="14280" spans="1:34" ht="14.25" customHeight="1" x14ac:dyDescent="0.25">
      <c r="A14280" s="3"/>
      <c r="B14280" s="3"/>
      <c r="C14280" s="3"/>
      <c r="D14280" s="3"/>
      <c r="E14280" s="3"/>
      <c r="F14280" s="3"/>
      <c r="G14280" s="3"/>
      <c r="H14280" s="11"/>
      <c r="I14280" s="12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  <c r="AA14280" s="3"/>
      <c r="AB14280" s="3"/>
      <c r="AC14280" s="3"/>
      <c r="AD14280" s="3"/>
      <c r="AE14280" s="3"/>
      <c r="AF14280" s="3"/>
      <c r="AG14280" s="3"/>
      <c r="AH14280" s="3"/>
    </row>
    <row r="14281" spans="1:34" ht="14.25" customHeight="1" x14ac:dyDescent="0.25">
      <c r="A14281" s="3"/>
      <c r="B14281" s="3"/>
      <c r="C14281" s="3"/>
      <c r="D14281" s="3"/>
      <c r="E14281" s="3"/>
      <c r="F14281" s="3"/>
      <c r="G14281" s="3"/>
      <c r="H14281" s="11"/>
      <c r="I14281" s="12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  <c r="AA14281" s="3"/>
      <c r="AB14281" s="3"/>
      <c r="AC14281" s="3"/>
      <c r="AD14281" s="3"/>
      <c r="AE14281" s="3"/>
      <c r="AF14281" s="3"/>
      <c r="AG14281" s="3"/>
      <c r="AH14281" s="3"/>
    </row>
    <row r="14282" spans="1:34" ht="14.25" customHeight="1" x14ac:dyDescent="0.25">
      <c r="A14282" s="3"/>
      <c r="B14282" s="3"/>
      <c r="C14282" s="3"/>
      <c r="D14282" s="3"/>
      <c r="E14282" s="3"/>
      <c r="F14282" s="3"/>
      <c r="G14282" s="3"/>
      <c r="H14282" s="11"/>
      <c r="I14282" s="12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  <c r="AA14282" s="3"/>
      <c r="AB14282" s="3"/>
      <c r="AC14282" s="3"/>
      <c r="AD14282" s="3"/>
      <c r="AE14282" s="3"/>
      <c r="AF14282" s="3"/>
      <c r="AG14282" s="3"/>
      <c r="AH14282" s="3"/>
    </row>
    <row r="14283" spans="1:34" ht="14.25" customHeight="1" x14ac:dyDescent="0.25">
      <c r="A14283" s="3"/>
      <c r="B14283" s="3"/>
      <c r="C14283" s="3"/>
      <c r="D14283" s="3"/>
      <c r="E14283" s="3"/>
      <c r="F14283" s="3"/>
      <c r="G14283" s="3"/>
      <c r="H14283" s="11"/>
      <c r="I14283" s="12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  <c r="AA14283" s="3"/>
      <c r="AB14283" s="3"/>
      <c r="AC14283" s="3"/>
      <c r="AD14283" s="3"/>
      <c r="AE14283" s="3"/>
      <c r="AF14283" s="3"/>
      <c r="AG14283" s="3"/>
      <c r="AH14283" s="3"/>
    </row>
    <row r="14284" spans="1:34" ht="14.25" customHeight="1" x14ac:dyDescent="0.25">
      <c r="A14284" s="3"/>
      <c r="B14284" s="3"/>
      <c r="C14284" s="3"/>
      <c r="D14284" s="3"/>
      <c r="E14284" s="3"/>
      <c r="F14284" s="3"/>
      <c r="G14284" s="3"/>
      <c r="H14284" s="11"/>
      <c r="I14284" s="12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  <c r="AA14284" s="3"/>
      <c r="AB14284" s="3"/>
      <c r="AC14284" s="3"/>
      <c r="AD14284" s="3"/>
      <c r="AE14284" s="3"/>
      <c r="AF14284" s="3"/>
      <c r="AG14284" s="3"/>
      <c r="AH14284" s="3"/>
    </row>
    <row r="14285" spans="1:34" ht="14.25" customHeight="1" x14ac:dyDescent="0.25">
      <c r="A14285" s="3"/>
      <c r="B14285" s="3"/>
      <c r="C14285" s="3"/>
      <c r="D14285" s="3"/>
      <c r="E14285" s="3"/>
      <c r="F14285" s="3"/>
      <c r="G14285" s="3"/>
      <c r="H14285" s="11"/>
      <c r="I14285" s="12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  <c r="AA14285" s="3"/>
      <c r="AB14285" s="3"/>
      <c r="AC14285" s="3"/>
      <c r="AD14285" s="3"/>
      <c r="AE14285" s="3"/>
      <c r="AF14285" s="3"/>
      <c r="AG14285" s="3"/>
      <c r="AH14285" s="3"/>
    </row>
    <row r="14286" spans="1:34" ht="14.25" customHeight="1" x14ac:dyDescent="0.25">
      <c r="A14286" s="3"/>
      <c r="B14286" s="3"/>
      <c r="C14286" s="3"/>
      <c r="D14286" s="3"/>
      <c r="E14286" s="3"/>
      <c r="F14286" s="3"/>
      <c r="G14286" s="3"/>
      <c r="H14286" s="11"/>
      <c r="I14286" s="12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  <c r="AA14286" s="3"/>
      <c r="AB14286" s="3"/>
      <c r="AC14286" s="3"/>
      <c r="AD14286" s="3"/>
      <c r="AE14286" s="3"/>
      <c r="AF14286" s="3"/>
      <c r="AG14286" s="3"/>
      <c r="AH14286" s="3"/>
    </row>
    <row r="14287" spans="1:34" ht="14.25" customHeight="1" x14ac:dyDescent="0.25">
      <c r="A14287" s="3"/>
      <c r="B14287" s="3"/>
      <c r="C14287" s="3"/>
      <c r="D14287" s="3"/>
      <c r="E14287" s="3"/>
      <c r="F14287" s="3"/>
      <c r="G14287" s="3"/>
      <c r="H14287" s="11"/>
      <c r="I14287" s="12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  <c r="AA14287" s="3"/>
      <c r="AB14287" s="3"/>
      <c r="AC14287" s="3"/>
      <c r="AD14287" s="3"/>
      <c r="AE14287" s="3"/>
      <c r="AF14287" s="3"/>
      <c r="AG14287" s="3"/>
      <c r="AH14287" s="3"/>
    </row>
    <row r="14288" spans="1:34" ht="14.25" customHeight="1" x14ac:dyDescent="0.25">
      <c r="A14288" s="3"/>
      <c r="B14288" s="3"/>
      <c r="C14288" s="3"/>
      <c r="D14288" s="3"/>
      <c r="E14288" s="3"/>
      <c r="F14288" s="3"/>
      <c r="G14288" s="3"/>
      <c r="H14288" s="11"/>
      <c r="I14288" s="12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  <c r="AA14288" s="3"/>
      <c r="AB14288" s="3"/>
      <c r="AC14288" s="3"/>
      <c r="AD14288" s="3"/>
      <c r="AE14288" s="3"/>
      <c r="AF14288" s="3"/>
      <c r="AG14288" s="3"/>
      <c r="AH14288" s="3"/>
    </row>
    <row r="14289" spans="1:34" ht="14.25" customHeight="1" x14ac:dyDescent="0.25">
      <c r="A14289" s="3"/>
      <c r="B14289" s="3"/>
      <c r="C14289" s="3"/>
      <c r="D14289" s="3"/>
      <c r="E14289" s="3"/>
      <c r="F14289" s="3"/>
      <c r="G14289" s="3"/>
      <c r="H14289" s="11"/>
      <c r="I14289" s="12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  <c r="AA14289" s="3"/>
      <c r="AB14289" s="3"/>
      <c r="AC14289" s="3"/>
      <c r="AD14289" s="3"/>
      <c r="AE14289" s="3"/>
      <c r="AF14289" s="3"/>
      <c r="AG14289" s="3"/>
      <c r="AH14289" s="3"/>
    </row>
    <row r="14290" spans="1:34" ht="14.25" customHeight="1" x14ac:dyDescent="0.25">
      <c r="A14290" s="3"/>
      <c r="B14290" s="3"/>
      <c r="C14290" s="3"/>
      <c r="D14290" s="3"/>
      <c r="E14290" s="3"/>
      <c r="F14290" s="3"/>
      <c r="G14290" s="3"/>
      <c r="H14290" s="11"/>
      <c r="I14290" s="12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  <c r="AA14290" s="3"/>
      <c r="AB14290" s="3"/>
      <c r="AC14290" s="3"/>
      <c r="AD14290" s="3"/>
      <c r="AE14290" s="3"/>
      <c r="AF14290" s="3"/>
      <c r="AG14290" s="3"/>
      <c r="AH14290" s="3"/>
    </row>
    <row r="14291" spans="1:34" ht="14.25" customHeight="1" x14ac:dyDescent="0.25">
      <c r="A14291" s="3"/>
      <c r="B14291" s="3"/>
      <c r="C14291" s="3"/>
      <c r="D14291" s="3"/>
      <c r="E14291" s="3"/>
      <c r="F14291" s="3"/>
      <c r="G14291" s="3"/>
      <c r="H14291" s="11"/>
      <c r="I14291" s="12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  <c r="AA14291" s="3"/>
      <c r="AB14291" s="3"/>
      <c r="AC14291" s="3"/>
      <c r="AD14291" s="3"/>
      <c r="AE14291" s="3"/>
      <c r="AF14291" s="3"/>
      <c r="AG14291" s="3"/>
      <c r="AH14291" s="3"/>
    </row>
    <row r="14292" spans="1:34" ht="14.25" customHeight="1" x14ac:dyDescent="0.25">
      <c r="A14292" s="3"/>
      <c r="B14292" s="3"/>
      <c r="C14292" s="3"/>
      <c r="D14292" s="3"/>
      <c r="E14292" s="3"/>
      <c r="F14292" s="3"/>
      <c r="G14292" s="3"/>
      <c r="H14292" s="11"/>
      <c r="I14292" s="12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  <c r="AA14292" s="3"/>
      <c r="AB14292" s="3"/>
      <c r="AC14292" s="3"/>
      <c r="AD14292" s="3"/>
      <c r="AE14292" s="3"/>
      <c r="AF14292" s="3"/>
      <c r="AG14292" s="3"/>
      <c r="AH14292" s="3"/>
    </row>
    <row r="14293" spans="1:34" ht="14.25" customHeight="1" x14ac:dyDescent="0.25">
      <c r="A14293" s="3"/>
      <c r="B14293" s="3"/>
      <c r="C14293" s="3"/>
      <c r="D14293" s="3"/>
      <c r="E14293" s="3"/>
      <c r="F14293" s="3"/>
      <c r="G14293" s="3"/>
      <c r="H14293" s="11"/>
      <c r="I14293" s="12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  <c r="AA14293" s="3"/>
      <c r="AB14293" s="3"/>
      <c r="AC14293" s="3"/>
      <c r="AD14293" s="3"/>
      <c r="AE14293" s="3"/>
      <c r="AF14293" s="3"/>
      <c r="AG14293" s="3"/>
      <c r="AH14293" s="3"/>
    </row>
    <row r="14294" spans="1:34" ht="14.25" customHeight="1" x14ac:dyDescent="0.25">
      <c r="A14294" s="3"/>
      <c r="B14294" s="3"/>
      <c r="C14294" s="3"/>
      <c r="D14294" s="3"/>
      <c r="E14294" s="3"/>
      <c r="F14294" s="3"/>
      <c r="G14294" s="3"/>
      <c r="H14294" s="11"/>
      <c r="I14294" s="12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  <c r="AA14294" s="3"/>
      <c r="AB14294" s="3"/>
      <c r="AC14294" s="3"/>
      <c r="AD14294" s="3"/>
      <c r="AE14294" s="3"/>
      <c r="AF14294" s="3"/>
      <c r="AG14294" s="3"/>
      <c r="AH14294" s="3"/>
    </row>
    <row r="14295" spans="1:34" ht="14.25" customHeight="1" x14ac:dyDescent="0.25">
      <c r="A14295" s="3"/>
      <c r="B14295" s="3"/>
      <c r="C14295" s="3"/>
      <c r="D14295" s="3"/>
      <c r="E14295" s="3"/>
      <c r="F14295" s="3"/>
      <c r="G14295" s="3"/>
      <c r="H14295" s="11"/>
      <c r="I14295" s="12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  <c r="AA14295" s="3"/>
      <c r="AB14295" s="3"/>
      <c r="AC14295" s="3"/>
      <c r="AD14295" s="3"/>
      <c r="AE14295" s="3"/>
      <c r="AF14295" s="3"/>
      <c r="AG14295" s="3"/>
      <c r="AH14295" s="3"/>
    </row>
    <row r="14296" spans="1:34" ht="14.25" customHeight="1" x14ac:dyDescent="0.25">
      <c r="A14296" s="3"/>
      <c r="B14296" s="3"/>
      <c r="C14296" s="3"/>
      <c r="D14296" s="3"/>
      <c r="E14296" s="3"/>
      <c r="F14296" s="3"/>
      <c r="G14296" s="3"/>
      <c r="H14296" s="11"/>
      <c r="I14296" s="12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  <c r="AA14296" s="3"/>
      <c r="AB14296" s="3"/>
      <c r="AC14296" s="3"/>
      <c r="AD14296" s="3"/>
      <c r="AE14296" s="3"/>
      <c r="AF14296" s="3"/>
      <c r="AG14296" s="3"/>
      <c r="AH14296" s="3"/>
    </row>
    <row r="14297" spans="1:34" ht="14.25" customHeight="1" x14ac:dyDescent="0.25">
      <c r="A14297" s="3"/>
      <c r="B14297" s="3"/>
      <c r="C14297" s="3"/>
      <c r="D14297" s="3"/>
      <c r="E14297" s="3"/>
      <c r="F14297" s="3"/>
      <c r="G14297" s="3"/>
      <c r="H14297" s="11"/>
      <c r="I14297" s="12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  <c r="AA14297" s="3"/>
      <c r="AB14297" s="3"/>
      <c r="AC14297" s="3"/>
      <c r="AD14297" s="3"/>
      <c r="AE14297" s="3"/>
      <c r="AF14297" s="3"/>
      <c r="AG14297" s="3"/>
      <c r="AH14297" s="3"/>
    </row>
    <row r="14298" spans="1:34" ht="14.25" customHeight="1" x14ac:dyDescent="0.25">
      <c r="A14298" s="3"/>
      <c r="B14298" s="3"/>
      <c r="C14298" s="3"/>
      <c r="D14298" s="3"/>
      <c r="E14298" s="3"/>
      <c r="F14298" s="3"/>
      <c r="G14298" s="3"/>
      <c r="H14298" s="11"/>
      <c r="I14298" s="12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  <c r="AA14298" s="3"/>
      <c r="AB14298" s="3"/>
      <c r="AC14298" s="3"/>
      <c r="AD14298" s="3"/>
      <c r="AE14298" s="3"/>
      <c r="AF14298" s="3"/>
      <c r="AG14298" s="3"/>
      <c r="AH14298" s="3"/>
    </row>
    <row r="14299" spans="1:34" ht="14.25" customHeight="1" x14ac:dyDescent="0.25">
      <c r="A14299" s="3"/>
      <c r="B14299" s="3"/>
      <c r="C14299" s="3"/>
      <c r="D14299" s="3"/>
      <c r="E14299" s="3"/>
      <c r="F14299" s="3"/>
      <c r="G14299" s="3"/>
      <c r="H14299" s="11"/>
      <c r="I14299" s="12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  <c r="AA14299" s="3"/>
      <c r="AB14299" s="3"/>
      <c r="AC14299" s="3"/>
      <c r="AD14299" s="3"/>
      <c r="AE14299" s="3"/>
      <c r="AF14299" s="3"/>
      <c r="AG14299" s="3"/>
      <c r="AH14299" s="3"/>
    </row>
    <row r="14300" spans="1:34" ht="14.25" customHeight="1" x14ac:dyDescent="0.25">
      <c r="A14300" s="3"/>
      <c r="B14300" s="3"/>
      <c r="C14300" s="3"/>
      <c r="D14300" s="3"/>
      <c r="E14300" s="3"/>
      <c r="F14300" s="3"/>
      <c r="G14300" s="3"/>
      <c r="H14300" s="11"/>
      <c r="I14300" s="12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  <c r="AA14300" s="3"/>
      <c r="AB14300" s="3"/>
      <c r="AC14300" s="3"/>
      <c r="AD14300" s="3"/>
      <c r="AE14300" s="3"/>
      <c r="AF14300" s="3"/>
      <c r="AG14300" s="3"/>
      <c r="AH14300" s="3"/>
    </row>
    <row r="14301" spans="1:34" ht="14.25" customHeight="1" x14ac:dyDescent="0.25">
      <c r="A14301" s="3"/>
      <c r="B14301" s="3"/>
      <c r="C14301" s="3"/>
      <c r="D14301" s="3"/>
      <c r="E14301" s="3"/>
      <c r="F14301" s="3"/>
      <c r="G14301" s="3"/>
      <c r="H14301" s="11"/>
      <c r="I14301" s="12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  <c r="AA14301" s="3"/>
      <c r="AB14301" s="3"/>
      <c r="AC14301" s="3"/>
      <c r="AD14301" s="3"/>
      <c r="AE14301" s="3"/>
      <c r="AF14301" s="3"/>
      <c r="AG14301" s="3"/>
      <c r="AH14301" s="3"/>
    </row>
    <row r="14302" spans="1:34" ht="14.25" customHeight="1" x14ac:dyDescent="0.25">
      <c r="A14302" s="3"/>
      <c r="B14302" s="3"/>
      <c r="C14302" s="3"/>
      <c r="D14302" s="3"/>
      <c r="E14302" s="3"/>
      <c r="F14302" s="3"/>
      <c r="G14302" s="3"/>
      <c r="H14302" s="11"/>
      <c r="I14302" s="12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  <c r="AA14302" s="3"/>
      <c r="AB14302" s="3"/>
      <c r="AC14302" s="3"/>
      <c r="AD14302" s="3"/>
      <c r="AE14302" s="3"/>
      <c r="AF14302" s="3"/>
      <c r="AG14302" s="3"/>
      <c r="AH14302" s="3"/>
    </row>
    <row r="14303" spans="1:34" ht="14.25" customHeight="1" x14ac:dyDescent="0.25">
      <c r="A14303" s="3"/>
      <c r="B14303" s="3"/>
      <c r="C14303" s="3"/>
      <c r="D14303" s="3"/>
      <c r="E14303" s="3"/>
      <c r="F14303" s="3"/>
      <c r="G14303" s="3"/>
      <c r="H14303" s="11"/>
      <c r="I14303" s="12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  <c r="AA14303" s="3"/>
      <c r="AB14303" s="3"/>
      <c r="AC14303" s="3"/>
      <c r="AD14303" s="3"/>
      <c r="AE14303" s="3"/>
      <c r="AF14303" s="3"/>
      <c r="AG14303" s="3"/>
      <c r="AH14303" s="3"/>
    </row>
    <row r="14304" spans="1:34" ht="14.25" customHeight="1" x14ac:dyDescent="0.25">
      <c r="A14304" s="3"/>
      <c r="B14304" s="3"/>
      <c r="C14304" s="3"/>
      <c r="D14304" s="3"/>
      <c r="E14304" s="3"/>
      <c r="F14304" s="3"/>
      <c r="G14304" s="3"/>
      <c r="H14304" s="11"/>
      <c r="I14304" s="12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  <c r="AA14304" s="3"/>
      <c r="AB14304" s="3"/>
      <c r="AC14304" s="3"/>
      <c r="AD14304" s="3"/>
      <c r="AE14304" s="3"/>
      <c r="AF14304" s="3"/>
      <c r="AG14304" s="3"/>
      <c r="AH14304" s="3"/>
    </row>
    <row r="14305" spans="1:34" ht="14.25" customHeight="1" x14ac:dyDescent="0.25">
      <c r="A14305" s="3"/>
      <c r="B14305" s="3"/>
      <c r="C14305" s="3"/>
      <c r="D14305" s="3"/>
      <c r="E14305" s="3"/>
      <c r="F14305" s="3"/>
      <c r="G14305" s="3"/>
      <c r="H14305" s="11"/>
      <c r="I14305" s="12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  <c r="AA14305" s="3"/>
      <c r="AB14305" s="3"/>
      <c r="AC14305" s="3"/>
      <c r="AD14305" s="3"/>
      <c r="AE14305" s="3"/>
      <c r="AF14305" s="3"/>
      <c r="AG14305" s="3"/>
      <c r="AH14305" s="3"/>
    </row>
    <row r="14306" spans="1:34" ht="14.25" customHeight="1" x14ac:dyDescent="0.25">
      <c r="A14306" s="3"/>
      <c r="B14306" s="3"/>
      <c r="C14306" s="3"/>
      <c r="D14306" s="3"/>
      <c r="E14306" s="3"/>
      <c r="F14306" s="3"/>
      <c r="G14306" s="3"/>
      <c r="H14306" s="11"/>
      <c r="I14306" s="12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  <c r="AA14306" s="3"/>
      <c r="AB14306" s="3"/>
      <c r="AC14306" s="3"/>
      <c r="AD14306" s="3"/>
      <c r="AE14306" s="3"/>
      <c r="AF14306" s="3"/>
      <c r="AG14306" s="3"/>
      <c r="AH14306" s="3"/>
    </row>
    <row r="14307" spans="1:34" ht="14.25" customHeight="1" x14ac:dyDescent="0.25">
      <c r="A14307" s="3"/>
      <c r="B14307" s="3"/>
      <c r="C14307" s="3"/>
      <c r="D14307" s="3"/>
      <c r="E14307" s="3"/>
      <c r="F14307" s="3"/>
      <c r="G14307" s="3"/>
      <c r="H14307" s="11"/>
      <c r="I14307" s="12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  <c r="AA14307" s="3"/>
      <c r="AB14307" s="3"/>
      <c r="AC14307" s="3"/>
      <c r="AD14307" s="3"/>
      <c r="AE14307" s="3"/>
      <c r="AF14307" s="3"/>
      <c r="AG14307" s="3"/>
      <c r="AH14307" s="3"/>
    </row>
    <row r="14308" spans="1:34" ht="14.25" customHeight="1" x14ac:dyDescent="0.25">
      <c r="A14308" s="3"/>
      <c r="B14308" s="3"/>
      <c r="C14308" s="3"/>
      <c r="D14308" s="3"/>
      <c r="E14308" s="3"/>
      <c r="F14308" s="3"/>
      <c r="G14308" s="3"/>
      <c r="H14308" s="11"/>
      <c r="I14308" s="12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  <c r="AA14308" s="3"/>
      <c r="AB14308" s="3"/>
      <c r="AC14308" s="3"/>
      <c r="AD14308" s="3"/>
      <c r="AE14308" s="3"/>
      <c r="AF14308" s="3"/>
      <c r="AG14308" s="3"/>
      <c r="AH14308" s="3"/>
    </row>
    <row r="14309" spans="1:34" ht="14.25" customHeight="1" x14ac:dyDescent="0.25">
      <c r="A14309" s="3"/>
      <c r="B14309" s="3"/>
      <c r="C14309" s="3"/>
      <c r="D14309" s="3"/>
      <c r="E14309" s="3"/>
      <c r="F14309" s="3"/>
      <c r="G14309" s="3"/>
      <c r="H14309" s="11"/>
      <c r="I14309" s="12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  <c r="AA14309" s="3"/>
      <c r="AB14309" s="3"/>
      <c r="AC14309" s="3"/>
      <c r="AD14309" s="3"/>
      <c r="AE14309" s="3"/>
      <c r="AF14309" s="3"/>
      <c r="AG14309" s="3"/>
      <c r="AH14309" s="3"/>
    </row>
    <row r="14310" spans="1:34" ht="14.25" customHeight="1" x14ac:dyDescent="0.25">
      <c r="A14310" s="3"/>
      <c r="B14310" s="3"/>
      <c r="C14310" s="3"/>
      <c r="D14310" s="3"/>
      <c r="E14310" s="3"/>
      <c r="F14310" s="3"/>
      <c r="G14310" s="3"/>
      <c r="H14310" s="11"/>
      <c r="I14310" s="12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  <c r="AA14310" s="3"/>
      <c r="AB14310" s="3"/>
      <c r="AC14310" s="3"/>
      <c r="AD14310" s="3"/>
      <c r="AE14310" s="3"/>
      <c r="AF14310" s="3"/>
      <c r="AG14310" s="3"/>
      <c r="AH14310" s="3"/>
    </row>
    <row r="14311" spans="1:34" ht="14.25" customHeight="1" x14ac:dyDescent="0.25">
      <c r="A14311" s="3"/>
      <c r="B14311" s="3"/>
      <c r="C14311" s="3"/>
      <c r="D14311" s="3"/>
      <c r="E14311" s="3"/>
      <c r="F14311" s="3"/>
      <c r="G14311" s="3"/>
      <c r="H14311" s="11"/>
      <c r="I14311" s="12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  <c r="AA14311" s="3"/>
      <c r="AB14311" s="3"/>
      <c r="AC14311" s="3"/>
      <c r="AD14311" s="3"/>
      <c r="AE14311" s="3"/>
      <c r="AF14311" s="3"/>
      <c r="AG14311" s="3"/>
      <c r="AH14311" s="3"/>
    </row>
    <row r="14312" spans="1:34" ht="14.25" customHeight="1" x14ac:dyDescent="0.25">
      <c r="A14312" s="3"/>
      <c r="B14312" s="3"/>
      <c r="C14312" s="3"/>
      <c r="D14312" s="3"/>
      <c r="E14312" s="3"/>
      <c r="F14312" s="3"/>
      <c r="G14312" s="3"/>
      <c r="H14312" s="11"/>
      <c r="I14312" s="12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  <c r="AA14312" s="3"/>
      <c r="AB14312" s="3"/>
      <c r="AC14312" s="3"/>
      <c r="AD14312" s="3"/>
      <c r="AE14312" s="3"/>
      <c r="AF14312" s="3"/>
      <c r="AG14312" s="3"/>
      <c r="AH14312" s="3"/>
    </row>
    <row r="14313" spans="1:34" ht="14.25" customHeight="1" x14ac:dyDescent="0.25">
      <c r="A14313" s="3"/>
      <c r="B14313" s="3"/>
      <c r="C14313" s="3"/>
      <c r="D14313" s="3"/>
      <c r="E14313" s="3"/>
      <c r="F14313" s="3"/>
      <c r="G14313" s="3"/>
      <c r="H14313" s="11"/>
      <c r="I14313" s="12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  <c r="AA14313" s="3"/>
      <c r="AB14313" s="3"/>
      <c r="AC14313" s="3"/>
      <c r="AD14313" s="3"/>
      <c r="AE14313" s="3"/>
      <c r="AF14313" s="3"/>
      <c r="AG14313" s="3"/>
      <c r="AH14313" s="3"/>
    </row>
    <row r="14314" spans="1:34" ht="14.25" customHeight="1" x14ac:dyDescent="0.25">
      <c r="A14314" s="3"/>
      <c r="B14314" s="3"/>
      <c r="C14314" s="3"/>
      <c r="D14314" s="3"/>
      <c r="E14314" s="3"/>
      <c r="F14314" s="3"/>
      <c r="G14314" s="3"/>
      <c r="H14314" s="11"/>
      <c r="I14314" s="12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  <c r="AA14314" s="3"/>
      <c r="AB14314" s="3"/>
      <c r="AC14314" s="3"/>
      <c r="AD14314" s="3"/>
      <c r="AE14314" s="3"/>
      <c r="AF14314" s="3"/>
      <c r="AG14314" s="3"/>
      <c r="AH14314" s="3"/>
    </row>
    <row r="14315" spans="1:34" ht="14.25" customHeight="1" x14ac:dyDescent="0.25">
      <c r="A14315" s="3"/>
      <c r="B14315" s="3"/>
      <c r="C14315" s="3"/>
      <c r="D14315" s="3"/>
      <c r="E14315" s="3"/>
      <c r="F14315" s="3"/>
      <c r="G14315" s="3"/>
      <c r="H14315" s="11"/>
      <c r="I14315" s="12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  <c r="AA14315" s="3"/>
      <c r="AB14315" s="3"/>
      <c r="AC14315" s="3"/>
      <c r="AD14315" s="3"/>
      <c r="AE14315" s="3"/>
      <c r="AF14315" s="3"/>
      <c r="AG14315" s="3"/>
      <c r="AH14315" s="3"/>
    </row>
    <row r="14316" spans="1:34" ht="14.25" customHeight="1" x14ac:dyDescent="0.25">
      <c r="A14316" s="3"/>
      <c r="B14316" s="3"/>
      <c r="C14316" s="3"/>
      <c r="D14316" s="3"/>
      <c r="E14316" s="3"/>
      <c r="F14316" s="3"/>
      <c r="G14316" s="3"/>
      <c r="H14316" s="11"/>
      <c r="I14316" s="12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  <c r="AA14316" s="3"/>
      <c r="AB14316" s="3"/>
      <c r="AC14316" s="3"/>
      <c r="AD14316" s="3"/>
      <c r="AE14316" s="3"/>
      <c r="AF14316" s="3"/>
      <c r="AG14316" s="3"/>
      <c r="AH14316" s="3"/>
    </row>
    <row r="14317" spans="1:34" ht="14.25" customHeight="1" x14ac:dyDescent="0.25">
      <c r="A14317" s="3"/>
      <c r="B14317" s="3"/>
      <c r="C14317" s="3"/>
      <c r="D14317" s="3"/>
      <c r="E14317" s="3"/>
      <c r="F14317" s="3"/>
      <c r="G14317" s="3"/>
      <c r="H14317" s="11"/>
      <c r="I14317" s="12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  <c r="AA14317" s="3"/>
      <c r="AB14317" s="3"/>
      <c r="AC14317" s="3"/>
      <c r="AD14317" s="3"/>
      <c r="AE14317" s="3"/>
      <c r="AF14317" s="3"/>
      <c r="AG14317" s="3"/>
      <c r="AH14317" s="3"/>
    </row>
    <row r="14318" spans="1:34" ht="14.25" customHeight="1" x14ac:dyDescent="0.25">
      <c r="A14318" s="3"/>
      <c r="B14318" s="3"/>
      <c r="C14318" s="3"/>
      <c r="D14318" s="3"/>
      <c r="E14318" s="3"/>
      <c r="F14318" s="3"/>
      <c r="G14318" s="3"/>
      <c r="H14318" s="11"/>
      <c r="I14318" s="12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  <c r="AA14318" s="3"/>
      <c r="AB14318" s="3"/>
      <c r="AC14318" s="3"/>
      <c r="AD14318" s="3"/>
      <c r="AE14318" s="3"/>
      <c r="AF14318" s="3"/>
      <c r="AG14318" s="3"/>
      <c r="AH14318" s="3"/>
    </row>
    <row r="14319" spans="1:34" ht="14.25" customHeight="1" x14ac:dyDescent="0.25">
      <c r="A14319" s="3"/>
      <c r="B14319" s="3"/>
      <c r="C14319" s="3"/>
      <c r="D14319" s="3"/>
      <c r="E14319" s="3"/>
      <c r="F14319" s="3"/>
      <c r="G14319" s="3"/>
      <c r="H14319" s="11"/>
      <c r="I14319" s="12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  <c r="AA14319" s="3"/>
      <c r="AB14319" s="3"/>
      <c r="AC14319" s="3"/>
      <c r="AD14319" s="3"/>
      <c r="AE14319" s="3"/>
      <c r="AF14319" s="3"/>
      <c r="AG14319" s="3"/>
      <c r="AH14319" s="3"/>
    </row>
    <row r="14320" spans="1:34" ht="14.25" customHeight="1" x14ac:dyDescent="0.25">
      <c r="A14320" s="3"/>
      <c r="B14320" s="3"/>
      <c r="C14320" s="3"/>
      <c r="D14320" s="3"/>
      <c r="E14320" s="3"/>
      <c r="F14320" s="3"/>
      <c r="G14320" s="3"/>
      <c r="H14320" s="11"/>
      <c r="I14320" s="12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  <c r="AA14320" s="3"/>
      <c r="AB14320" s="3"/>
      <c r="AC14320" s="3"/>
      <c r="AD14320" s="3"/>
      <c r="AE14320" s="3"/>
      <c r="AF14320" s="3"/>
      <c r="AG14320" s="3"/>
      <c r="AH14320" s="3"/>
    </row>
    <row r="14321" spans="1:34" ht="14.25" customHeight="1" x14ac:dyDescent="0.25">
      <c r="A14321" s="3"/>
      <c r="B14321" s="3"/>
      <c r="C14321" s="3"/>
      <c r="D14321" s="3"/>
      <c r="E14321" s="3"/>
      <c r="F14321" s="3"/>
      <c r="G14321" s="3"/>
      <c r="H14321" s="11"/>
      <c r="I14321" s="12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  <c r="AA14321" s="3"/>
      <c r="AB14321" s="3"/>
      <c r="AC14321" s="3"/>
      <c r="AD14321" s="3"/>
      <c r="AE14321" s="3"/>
      <c r="AF14321" s="3"/>
      <c r="AG14321" s="3"/>
      <c r="AH14321" s="3"/>
    </row>
    <row r="14322" spans="1:34" ht="14.25" customHeight="1" x14ac:dyDescent="0.25">
      <c r="A14322" s="3"/>
      <c r="B14322" s="3"/>
      <c r="C14322" s="3"/>
      <c r="D14322" s="3"/>
      <c r="E14322" s="3"/>
      <c r="F14322" s="3"/>
      <c r="G14322" s="3"/>
      <c r="H14322" s="11"/>
      <c r="I14322" s="12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  <c r="AA14322" s="3"/>
      <c r="AB14322" s="3"/>
      <c r="AC14322" s="3"/>
      <c r="AD14322" s="3"/>
      <c r="AE14322" s="3"/>
      <c r="AF14322" s="3"/>
      <c r="AG14322" s="3"/>
      <c r="AH14322" s="3"/>
    </row>
    <row r="14323" spans="1:34" ht="14.25" customHeight="1" x14ac:dyDescent="0.25">
      <c r="A14323" s="3"/>
      <c r="B14323" s="3"/>
      <c r="C14323" s="3"/>
      <c r="D14323" s="3"/>
      <c r="E14323" s="3"/>
      <c r="F14323" s="3"/>
      <c r="G14323" s="3"/>
      <c r="H14323" s="11"/>
      <c r="I14323" s="12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  <c r="AA14323" s="3"/>
      <c r="AB14323" s="3"/>
      <c r="AC14323" s="3"/>
      <c r="AD14323" s="3"/>
      <c r="AE14323" s="3"/>
      <c r="AF14323" s="3"/>
      <c r="AG14323" s="3"/>
      <c r="AH14323" s="3"/>
    </row>
    <row r="14324" spans="1:34" ht="14.25" customHeight="1" x14ac:dyDescent="0.25">
      <c r="A14324" s="3"/>
      <c r="B14324" s="3"/>
      <c r="C14324" s="3"/>
      <c r="D14324" s="3"/>
      <c r="E14324" s="3"/>
      <c r="F14324" s="3"/>
      <c r="G14324" s="3"/>
      <c r="H14324" s="11"/>
      <c r="I14324" s="12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  <c r="AA14324" s="3"/>
      <c r="AB14324" s="3"/>
      <c r="AC14324" s="3"/>
      <c r="AD14324" s="3"/>
      <c r="AE14324" s="3"/>
      <c r="AF14324" s="3"/>
      <c r="AG14324" s="3"/>
      <c r="AH14324" s="3"/>
    </row>
    <row r="14325" spans="1:34" ht="14.25" customHeight="1" x14ac:dyDescent="0.25">
      <c r="A14325" s="3"/>
      <c r="B14325" s="3"/>
      <c r="C14325" s="3"/>
      <c r="D14325" s="3"/>
      <c r="E14325" s="3"/>
      <c r="F14325" s="3"/>
      <c r="G14325" s="3"/>
      <c r="H14325" s="11"/>
      <c r="I14325" s="12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  <c r="AA14325" s="3"/>
      <c r="AB14325" s="3"/>
      <c r="AC14325" s="3"/>
      <c r="AD14325" s="3"/>
      <c r="AE14325" s="3"/>
      <c r="AF14325" s="3"/>
      <c r="AG14325" s="3"/>
      <c r="AH14325" s="3"/>
    </row>
    <row r="14326" spans="1:34" ht="14.25" customHeight="1" x14ac:dyDescent="0.25">
      <c r="A14326" s="3"/>
      <c r="B14326" s="3"/>
      <c r="C14326" s="3"/>
      <c r="D14326" s="3"/>
      <c r="E14326" s="3"/>
      <c r="F14326" s="3"/>
      <c r="G14326" s="3"/>
      <c r="H14326" s="11"/>
      <c r="I14326" s="12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  <c r="AA14326" s="3"/>
      <c r="AB14326" s="3"/>
      <c r="AC14326" s="3"/>
      <c r="AD14326" s="3"/>
      <c r="AE14326" s="3"/>
      <c r="AF14326" s="3"/>
      <c r="AG14326" s="3"/>
      <c r="AH14326" s="3"/>
    </row>
    <row r="14327" spans="1:34" ht="14.25" customHeight="1" x14ac:dyDescent="0.25">
      <c r="A14327" s="3"/>
      <c r="B14327" s="3"/>
      <c r="C14327" s="3"/>
      <c r="D14327" s="3"/>
      <c r="E14327" s="3"/>
      <c r="F14327" s="3"/>
      <c r="G14327" s="3"/>
      <c r="H14327" s="11"/>
      <c r="I14327" s="12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  <c r="AA14327" s="3"/>
      <c r="AB14327" s="3"/>
      <c r="AC14327" s="3"/>
      <c r="AD14327" s="3"/>
      <c r="AE14327" s="3"/>
      <c r="AF14327" s="3"/>
      <c r="AG14327" s="3"/>
      <c r="AH14327" s="3"/>
    </row>
    <row r="14328" spans="1:34" ht="14.25" customHeight="1" x14ac:dyDescent="0.25">
      <c r="A14328" s="3"/>
      <c r="B14328" s="3"/>
      <c r="C14328" s="3"/>
      <c r="D14328" s="3"/>
      <c r="E14328" s="3"/>
      <c r="F14328" s="3"/>
      <c r="G14328" s="3"/>
      <c r="H14328" s="11"/>
      <c r="I14328" s="12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  <c r="AA14328" s="3"/>
      <c r="AB14328" s="3"/>
      <c r="AC14328" s="3"/>
      <c r="AD14328" s="3"/>
      <c r="AE14328" s="3"/>
      <c r="AF14328" s="3"/>
      <c r="AG14328" s="3"/>
      <c r="AH14328" s="3"/>
    </row>
    <row r="14329" spans="1:34" ht="14.25" customHeight="1" x14ac:dyDescent="0.25">
      <c r="A14329" s="3"/>
      <c r="B14329" s="3"/>
      <c r="C14329" s="3"/>
      <c r="D14329" s="3"/>
      <c r="E14329" s="3"/>
      <c r="F14329" s="3"/>
      <c r="G14329" s="3"/>
      <c r="H14329" s="11"/>
      <c r="I14329" s="12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  <c r="AA14329" s="3"/>
      <c r="AB14329" s="3"/>
      <c r="AC14329" s="3"/>
      <c r="AD14329" s="3"/>
      <c r="AE14329" s="3"/>
      <c r="AF14329" s="3"/>
      <c r="AG14329" s="3"/>
      <c r="AH14329" s="3"/>
    </row>
    <row r="14330" spans="1:34" ht="14.25" customHeight="1" x14ac:dyDescent="0.25">
      <c r="A14330" s="3"/>
      <c r="B14330" s="3"/>
      <c r="C14330" s="3"/>
      <c r="D14330" s="3"/>
      <c r="E14330" s="3"/>
      <c r="F14330" s="3"/>
      <c r="G14330" s="3"/>
      <c r="H14330" s="11"/>
      <c r="I14330" s="12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  <c r="AA14330" s="3"/>
      <c r="AB14330" s="3"/>
      <c r="AC14330" s="3"/>
      <c r="AD14330" s="3"/>
      <c r="AE14330" s="3"/>
      <c r="AF14330" s="3"/>
      <c r="AG14330" s="3"/>
      <c r="AH14330" s="3"/>
    </row>
    <row r="14331" spans="1:34" ht="14.25" customHeight="1" x14ac:dyDescent="0.25">
      <c r="A14331" s="3"/>
      <c r="B14331" s="3"/>
      <c r="C14331" s="3"/>
      <c r="D14331" s="3"/>
      <c r="E14331" s="3"/>
      <c r="F14331" s="3"/>
      <c r="G14331" s="3"/>
      <c r="H14331" s="11"/>
      <c r="I14331" s="12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  <c r="AA14331" s="3"/>
      <c r="AB14331" s="3"/>
      <c r="AC14331" s="3"/>
      <c r="AD14331" s="3"/>
      <c r="AE14331" s="3"/>
      <c r="AF14331" s="3"/>
      <c r="AG14331" s="3"/>
      <c r="AH14331" s="3"/>
    </row>
    <row r="14332" spans="1:34" ht="14.25" customHeight="1" x14ac:dyDescent="0.25">
      <c r="A14332" s="3"/>
      <c r="B14332" s="3"/>
      <c r="C14332" s="3"/>
      <c r="D14332" s="3"/>
      <c r="E14332" s="3"/>
      <c r="F14332" s="3"/>
      <c r="G14332" s="3"/>
      <c r="H14332" s="11"/>
      <c r="I14332" s="12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  <c r="AA14332" s="3"/>
      <c r="AB14332" s="3"/>
      <c r="AC14332" s="3"/>
      <c r="AD14332" s="3"/>
      <c r="AE14332" s="3"/>
      <c r="AF14332" s="3"/>
      <c r="AG14332" s="3"/>
      <c r="AH14332" s="3"/>
    </row>
    <row r="14333" spans="1:34" ht="14.25" customHeight="1" x14ac:dyDescent="0.25">
      <c r="A14333" s="3"/>
      <c r="B14333" s="3"/>
      <c r="C14333" s="3"/>
      <c r="D14333" s="3"/>
      <c r="E14333" s="3"/>
      <c r="F14333" s="3"/>
      <c r="G14333" s="3"/>
      <c r="H14333" s="11"/>
      <c r="I14333" s="12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  <c r="AA14333" s="3"/>
      <c r="AB14333" s="3"/>
      <c r="AC14333" s="3"/>
      <c r="AD14333" s="3"/>
      <c r="AE14333" s="3"/>
      <c r="AF14333" s="3"/>
      <c r="AG14333" s="3"/>
      <c r="AH14333" s="3"/>
    </row>
    <row r="14334" spans="1:34" ht="14.25" customHeight="1" x14ac:dyDescent="0.25">
      <c r="A14334" s="3"/>
      <c r="B14334" s="3"/>
      <c r="C14334" s="3"/>
      <c r="D14334" s="3"/>
      <c r="E14334" s="3"/>
      <c r="F14334" s="3"/>
      <c r="G14334" s="3"/>
      <c r="H14334" s="11"/>
      <c r="I14334" s="12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  <c r="AA14334" s="3"/>
      <c r="AB14334" s="3"/>
      <c r="AC14334" s="3"/>
      <c r="AD14334" s="3"/>
      <c r="AE14334" s="3"/>
      <c r="AF14334" s="3"/>
      <c r="AG14334" s="3"/>
      <c r="AH14334" s="3"/>
    </row>
    <row r="14335" spans="1:34" ht="14.25" customHeight="1" x14ac:dyDescent="0.25">
      <c r="A14335" s="3"/>
      <c r="B14335" s="3"/>
      <c r="C14335" s="3"/>
      <c r="D14335" s="3"/>
      <c r="E14335" s="3"/>
      <c r="F14335" s="3"/>
      <c r="G14335" s="3"/>
      <c r="H14335" s="11"/>
      <c r="I14335" s="12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  <c r="AA14335" s="3"/>
      <c r="AB14335" s="3"/>
      <c r="AC14335" s="3"/>
      <c r="AD14335" s="3"/>
      <c r="AE14335" s="3"/>
      <c r="AF14335" s="3"/>
      <c r="AG14335" s="3"/>
      <c r="AH14335" s="3"/>
    </row>
    <row r="14336" spans="1:34" ht="14.25" customHeight="1" x14ac:dyDescent="0.25">
      <c r="A14336" s="3"/>
      <c r="B14336" s="3"/>
      <c r="C14336" s="3"/>
      <c r="D14336" s="3"/>
      <c r="E14336" s="3"/>
      <c r="F14336" s="3"/>
      <c r="G14336" s="3"/>
      <c r="H14336" s="11"/>
      <c r="I14336" s="12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  <c r="AA14336" s="3"/>
      <c r="AB14336" s="3"/>
      <c r="AC14336" s="3"/>
      <c r="AD14336" s="3"/>
      <c r="AE14336" s="3"/>
      <c r="AF14336" s="3"/>
      <c r="AG14336" s="3"/>
      <c r="AH14336" s="3"/>
    </row>
    <row r="14337" spans="1:34" ht="14.25" customHeight="1" x14ac:dyDescent="0.25">
      <c r="A14337" s="3"/>
      <c r="B14337" s="3"/>
      <c r="C14337" s="3"/>
      <c r="D14337" s="3"/>
      <c r="E14337" s="3"/>
      <c r="F14337" s="3"/>
      <c r="G14337" s="3"/>
      <c r="H14337" s="11"/>
      <c r="I14337" s="12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  <c r="AA14337" s="3"/>
      <c r="AB14337" s="3"/>
      <c r="AC14337" s="3"/>
      <c r="AD14337" s="3"/>
      <c r="AE14337" s="3"/>
      <c r="AF14337" s="3"/>
      <c r="AG14337" s="3"/>
      <c r="AH14337" s="3"/>
    </row>
    <row r="14338" spans="1:34" ht="14.25" customHeight="1" x14ac:dyDescent="0.25">
      <c r="A14338" s="3"/>
      <c r="B14338" s="3"/>
      <c r="C14338" s="3"/>
      <c r="D14338" s="3"/>
      <c r="E14338" s="3"/>
      <c r="F14338" s="3"/>
      <c r="G14338" s="3"/>
      <c r="H14338" s="11"/>
      <c r="I14338" s="12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  <c r="AA14338" s="3"/>
      <c r="AB14338" s="3"/>
      <c r="AC14338" s="3"/>
      <c r="AD14338" s="3"/>
      <c r="AE14338" s="3"/>
      <c r="AF14338" s="3"/>
      <c r="AG14338" s="3"/>
      <c r="AH14338" s="3"/>
    </row>
    <row r="14339" spans="1:34" ht="14.25" customHeight="1" x14ac:dyDescent="0.25">
      <c r="A14339" s="3"/>
      <c r="B14339" s="3"/>
      <c r="C14339" s="3"/>
      <c r="D14339" s="3"/>
      <c r="E14339" s="3"/>
      <c r="F14339" s="3"/>
      <c r="G14339" s="3"/>
      <c r="H14339" s="11"/>
      <c r="I14339" s="12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  <c r="AA14339" s="3"/>
      <c r="AB14339" s="3"/>
      <c r="AC14339" s="3"/>
      <c r="AD14339" s="3"/>
      <c r="AE14339" s="3"/>
      <c r="AF14339" s="3"/>
      <c r="AG14339" s="3"/>
      <c r="AH14339" s="3"/>
    </row>
    <row r="14340" spans="1:34" ht="14.25" customHeight="1" x14ac:dyDescent="0.25">
      <c r="A14340" s="3"/>
      <c r="B14340" s="3"/>
      <c r="C14340" s="3"/>
      <c r="D14340" s="3"/>
      <c r="E14340" s="3"/>
      <c r="F14340" s="3"/>
      <c r="G14340" s="3"/>
      <c r="H14340" s="11"/>
      <c r="I14340" s="12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  <c r="AA14340" s="3"/>
      <c r="AB14340" s="3"/>
      <c r="AC14340" s="3"/>
      <c r="AD14340" s="3"/>
      <c r="AE14340" s="3"/>
      <c r="AF14340" s="3"/>
      <c r="AG14340" s="3"/>
      <c r="AH14340" s="3"/>
    </row>
    <row r="14341" spans="1:34" ht="14.25" customHeight="1" x14ac:dyDescent="0.25">
      <c r="A14341" s="3"/>
      <c r="B14341" s="3"/>
      <c r="C14341" s="3"/>
      <c r="D14341" s="3"/>
      <c r="E14341" s="3"/>
      <c r="F14341" s="3"/>
      <c r="G14341" s="3"/>
      <c r="H14341" s="11"/>
      <c r="I14341" s="12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  <c r="AA14341" s="3"/>
      <c r="AB14341" s="3"/>
      <c r="AC14341" s="3"/>
      <c r="AD14341" s="3"/>
      <c r="AE14341" s="3"/>
      <c r="AF14341" s="3"/>
      <c r="AG14341" s="3"/>
      <c r="AH14341" s="3"/>
    </row>
    <row r="14342" spans="1:34" ht="14.25" customHeight="1" x14ac:dyDescent="0.25">
      <c r="A14342" s="3"/>
      <c r="B14342" s="3"/>
      <c r="C14342" s="3"/>
      <c r="D14342" s="3"/>
      <c r="E14342" s="3"/>
      <c r="F14342" s="3"/>
      <c r="G14342" s="3"/>
      <c r="H14342" s="11"/>
      <c r="I14342" s="12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  <c r="AA14342" s="3"/>
      <c r="AB14342" s="3"/>
      <c r="AC14342" s="3"/>
      <c r="AD14342" s="3"/>
      <c r="AE14342" s="3"/>
      <c r="AF14342" s="3"/>
      <c r="AG14342" s="3"/>
      <c r="AH14342" s="3"/>
    </row>
    <row r="14343" spans="1:34" ht="14.25" customHeight="1" x14ac:dyDescent="0.25">
      <c r="A14343" s="3"/>
      <c r="B14343" s="3"/>
      <c r="C14343" s="3"/>
      <c r="D14343" s="3"/>
      <c r="E14343" s="3"/>
      <c r="F14343" s="3"/>
      <c r="G14343" s="3"/>
      <c r="H14343" s="11"/>
      <c r="I14343" s="12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  <c r="AA14343" s="3"/>
      <c r="AB14343" s="3"/>
      <c r="AC14343" s="3"/>
      <c r="AD14343" s="3"/>
      <c r="AE14343" s="3"/>
      <c r="AF14343" s="3"/>
      <c r="AG14343" s="3"/>
      <c r="AH14343" s="3"/>
    </row>
    <row r="14344" spans="1:34" ht="14.25" customHeight="1" x14ac:dyDescent="0.25">
      <c r="A14344" s="3"/>
      <c r="B14344" s="3"/>
      <c r="C14344" s="3"/>
      <c r="D14344" s="3"/>
      <c r="E14344" s="3"/>
      <c r="F14344" s="3"/>
      <c r="G14344" s="3"/>
      <c r="H14344" s="11"/>
      <c r="I14344" s="12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  <c r="AA14344" s="3"/>
      <c r="AB14344" s="3"/>
      <c r="AC14344" s="3"/>
      <c r="AD14344" s="3"/>
      <c r="AE14344" s="3"/>
      <c r="AF14344" s="3"/>
      <c r="AG14344" s="3"/>
      <c r="AH14344" s="3"/>
    </row>
    <row r="14345" spans="1:34" ht="14.25" customHeight="1" x14ac:dyDescent="0.25">
      <c r="A14345" s="3"/>
      <c r="B14345" s="3"/>
      <c r="C14345" s="3"/>
      <c r="D14345" s="3"/>
      <c r="E14345" s="3"/>
      <c r="F14345" s="3"/>
      <c r="G14345" s="3"/>
      <c r="H14345" s="11"/>
      <c r="I14345" s="12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  <c r="AA14345" s="3"/>
      <c r="AB14345" s="3"/>
      <c r="AC14345" s="3"/>
      <c r="AD14345" s="3"/>
      <c r="AE14345" s="3"/>
      <c r="AF14345" s="3"/>
      <c r="AG14345" s="3"/>
      <c r="AH14345" s="3"/>
    </row>
    <row r="14346" spans="1:34" ht="14.25" customHeight="1" x14ac:dyDescent="0.25">
      <c r="A14346" s="3"/>
      <c r="B14346" s="3"/>
      <c r="C14346" s="3"/>
      <c r="D14346" s="3"/>
      <c r="E14346" s="3"/>
      <c r="F14346" s="3"/>
      <c r="G14346" s="3"/>
      <c r="H14346" s="11"/>
      <c r="I14346" s="12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  <c r="AA14346" s="3"/>
      <c r="AB14346" s="3"/>
      <c r="AC14346" s="3"/>
      <c r="AD14346" s="3"/>
      <c r="AE14346" s="3"/>
      <c r="AF14346" s="3"/>
      <c r="AG14346" s="3"/>
      <c r="AH14346" s="3"/>
    </row>
    <row r="14347" spans="1:34" ht="14.25" customHeight="1" x14ac:dyDescent="0.25">
      <c r="A14347" s="3"/>
      <c r="B14347" s="3"/>
      <c r="C14347" s="3"/>
      <c r="D14347" s="3"/>
      <c r="E14347" s="3"/>
      <c r="F14347" s="3"/>
      <c r="G14347" s="3"/>
      <c r="H14347" s="11"/>
      <c r="I14347" s="12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  <c r="AA14347" s="3"/>
      <c r="AB14347" s="3"/>
      <c r="AC14347" s="3"/>
      <c r="AD14347" s="3"/>
      <c r="AE14347" s="3"/>
      <c r="AF14347" s="3"/>
      <c r="AG14347" s="3"/>
      <c r="AH14347" s="3"/>
    </row>
    <row r="14348" spans="1:34" ht="14.25" customHeight="1" x14ac:dyDescent="0.25">
      <c r="A14348" s="3"/>
      <c r="B14348" s="3"/>
      <c r="C14348" s="3"/>
      <c r="D14348" s="3"/>
      <c r="E14348" s="3"/>
      <c r="F14348" s="3"/>
      <c r="G14348" s="3"/>
      <c r="H14348" s="11"/>
      <c r="I14348" s="12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  <c r="AA14348" s="3"/>
      <c r="AB14348" s="3"/>
      <c r="AC14348" s="3"/>
      <c r="AD14348" s="3"/>
      <c r="AE14348" s="3"/>
      <c r="AF14348" s="3"/>
      <c r="AG14348" s="3"/>
      <c r="AH14348" s="3"/>
    </row>
    <row r="14349" spans="1:34" ht="14.25" customHeight="1" x14ac:dyDescent="0.25">
      <c r="A14349" s="3"/>
      <c r="B14349" s="3"/>
      <c r="C14349" s="3"/>
      <c r="D14349" s="3"/>
      <c r="E14349" s="3"/>
      <c r="F14349" s="3"/>
      <c r="G14349" s="3"/>
      <c r="H14349" s="11"/>
      <c r="I14349" s="12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  <c r="AA14349" s="3"/>
      <c r="AB14349" s="3"/>
      <c r="AC14349" s="3"/>
      <c r="AD14349" s="3"/>
      <c r="AE14349" s="3"/>
      <c r="AF14349" s="3"/>
      <c r="AG14349" s="3"/>
      <c r="AH14349" s="3"/>
    </row>
    <row r="14350" spans="1:34" ht="14.25" customHeight="1" x14ac:dyDescent="0.25">
      <c r="A14350" s="3"/>
      <c r="B14350" s="3"/>
      <c r="C14350" s="3"/>
      <c r="D14350" s="3"/>
      <c r="E14350" s="3"/>
      <c r="F14350" s="3"/>
      <c r="G14350" s="3"/>
      <c r="H14350" s="11"/>
      <c r="I14350" s="12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  <c r="AA14350" s="3"/>
      <c r="AB14350" s="3"/>
      <c r="AC14350" s="3"/>
      <c r="AD14350" s="3"/>
      <c r="AE14350" s="3"/>
      <c r="AF14350" s="3"/>
      <c r="AG14350" s="3"/>
      <c r="AH14350" s="3"/>
    </row>
    <row r="14351" spans="1:34" ht="14.25" customHeight="1" x14ac:dyDescent="0.25">
      <c r="A14351" s="3"/>
      <c r="B14351" s="3"/>
      <c r="C14351" s="3"/>
      <c r="D14351" s="3"/>
      <c r="E14351" s="3"/>
      <c r="F14351" s="3"/>
      <c r="G14351" s="3"/>
      <c r="H14351" s="11"/>
      <c r="I14351" s="12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  <c r="AA14351" s="3"/>
      <c r="AB14351" s="3"/>
      <c r="AC14351" s="3"/>
      <c r="AD14351" s="3"/>
      <c r="AE14351" s="3"/>
      <c r="AF14351" s="3"/>
      <c r="AG14351" s="3"/>
      <c r="AH14351" s="3"/>
    </row>
    <row r="14352" spans="1:34" ht="14.25" customHeight="1" x14ac:dyDescent="0.25">
      <c r="A14352" s="3"/>
      <c r="B14352" s="3"/>
      <c r="C14352" s="3"/>
      <c r="D14352" s="3"/>
      <c r="E14352" s="3"/>
      <c r="F14352" s="3"/>
      <c r="G14352" s="3"/>
      <c r="H14352" s="11"/>
      <c r="I14352" s="12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  <c r="AA14352" s="3"/>
      <c r="AB14352" s="3"/>
      <c r="AC14352" s="3"/>
      <c r="AD14352" s="3"/>
      <c r="AE14352" s="3"/>
      <c r="AF14352" s="3"/>
      <c r="AG14352" s="3"/>
      <c r="AH14352" s="3"/>
    </row>
    <row r="14353" spans="1:34" ht="14.25" customHeight="1" x14ac:dyDescent="0.25">
      <c r="A14353" s="3"/>
      <c r="B14353" s="3"/>
      <c r="C14353" s="3"/>
      <c r="D14353" s="3"/>
      <c r="E14353" s="3"/>
      <c r="F14353" s="3"/>
      <c r="G14353" s="3"/>
      <c r="H14353" s="11"/>
      <c r="I14353" s="12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  <c r="AA14353" s="3"/>
      <c r="AB14353" s="3"/>
      <c r="AC14353" s="3"/>
      <c r="AD14353" s="3"/>
      <c r="AE14353" s="3"/>
      <c r="AF14353" s="3"/>
      <c r="AG14353" s="3"/>
      <c r="AH14353" s="3"/>
    </row>
    <row r="14354" spans="1:34" ht="14.25" customHeight="1" x14ac:dyDescent="0.25">
      <c r="A14354" s="3"/>
      <c r="B14354" s="3"/>
      <c r="C14354" s="3"/>
      <c r="D14354" s="3"/>
      <c r="E14354" s="3"/>
      <c r="F14354" s="3"/>
      <c r="G14354" s="3"/>
      <c r="H14354" s="11"/>
      <c r="I14354" s="12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  <c r="AA14354" s="3"/>
      <c r="AB14354" s="3"/>
      <c r="AC14354" s="3"/>
      <c r="AD14354" s="3"/>
      <c r="AE14354" s="3"/>
      <c r="AF14354" s="3"/>
      <c r="AG14354" s="3"/>
      <c r="AH14354" s="3"/>
    </row>
    <row r="14355" spans="1:34" ht="14.25" customHeight="1" x14ac:dyDescent="0.25">
      <c r="A14355" s="3"/>
      <c r="B14355" s="3"/>
      <c r="C14355" s="3"/>
      <c r="D14355" s="3"/>
      <c r="E14355" s="3"/>
      <c r="F14355" s="3"/>
      <c r="G14355" s="3"/>
      <c r="H14355" s="11"/>
      <c r="I14355" s="12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  <c r="AA14355" s="3"/>
      <c r="AB14355" s="3"/>
      <c r="AC14355" s="3"/>
      <c r="AD14355" s="3"/>
      <c r="AE14355" s="3"/>
      <c r="AF14355" s="3"/>
      <c r="AG14355" s="3"/>
      <c r="AH14355" s="3"/>
    </row>
    <row r="14356" spans="1:34" ht="14.25" customHeight="1" x14ac:dyDescent="0.25">
      <c r="A14356" s="3"/>
      <c r="B14356" s="3"/>
      <c r="C14356" s="3"/>
      <c r="D14356" s="3"/>
      <c r="E14356" s="3"/>
      <c r="F14356" s="3"/>
      <c r="G14356" s="3"/>
      <c r="H14356" s="11"/>
      <c r="I14356" s="12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  <c r="AA14356" s="3"/>
      <c r="AB14356" s="3"/>
      <c r="AC14356" s="3"/>
      <c r="AD14356" s="3"/>
      <c r="AE14356" s="3"/>
      <c r="AF14356" s="3"/>
      <c r="AG14356" s="3"/>
      <c r="AH14356" s="3"/>
    </row>
    <row r="14357" spans="1:34" ht="14.25" customHeight="1" x14ac:dyDescent="0.25">
      <c r="A14357" s="3"/>
      <c r="B14357" s="3"/>
      <c r="C14357" s="3"/>
      <c r="D14357" s="3"/>
      <c r="E14357" s="3"/>
      <c r="F14357" s="3"/>
      <c r="G14357" s="3"/>
      <c r="H14357" s="11"/>
      <c r="I14357" s="12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  <c r="AA14357" s="3"/>
      <c r="AB14357" s="3"/>
      <c r="AC14357" s="3"/>
      <c r="AD14357" s="3"/>
      <c r="AE14357" s="3"/>
      <c r="AF14357" s="3"/>
      <c r="AG14357" s="3"/>
      <c r="AH14357" s="3"/>
    </row>
    <row r="14358" spans="1:34" ht="14.25" customHeight="1" x14ac:dyDescent="0.25">
      <c r="A14358" s="3"/>
      <c r="B14358" s="3"/>
      <c r="C14358" s="3"/>
      <c r="D14358" s="3"/>
      <c r="E14358" s="3"/>
      <c r="F14358" s="3"/>
      <c r="G14358" s="3"/>
      <c r="H14358" s="11"/>
      <c r="I14358" s="12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  <c r="AA14358" s="3"/>
      <c r="AB14358" s="3"/>
      <c r="AC14358" s="3"/>
      <c r="AD14358" s="3"/>
      <c r="AE14358" s="3"/>
      <c r="AF14358" s="3"/>
      <c r="AG14358" s="3"/>
      <c r="AH14358" s="3"/>
    </row>
    <row r="14359" spans="1:34" ht="14.25" customHeight="1" x14ac:dyDescent="0.25">
      <c r="A14359" s="3"/>
      <c r="B14359" s="3"/>
      <c r="C14359" s="3"/>
      <c r="D14359" s="3"/>
      <c r="E14359" s="3"/>
      <c r="F14359" s="3"/>
      <c r="G14359" s="3"/>
      <c r="H14359" s="11"/>
      <c r="I14359" s="12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  <c r="AA14359" s="3"/>
      <c r="AB14359" s="3"/>
      <c r="AC14359" s="3"/>
      <c r="AD14359" s="3"/>
      <c r="AE14359" s="3"/>
      <c r="AF14359" s="3"/>
      <c r="AG14359" s="3"/>
      <c r="AH14359" s="3"/>
    </row>
    <row r="14360" spans="1:34" ht="14.25" customHeight="1" x14ac:dyDescent="0.25">
      <c r="A14360" s="3"/>
      <c r="B14360" s="3"/>
      <c r="C14360" s="3"/>
      <c r="D14360" s="3"/>
      <c r="E14360" s="3"/>
      <c r="F14360" s="3"/>
      <c r="G14360" s="3"/>
      <c r="H14360" s="11"/>
      <c r="I14360" s="12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  <c r="AA14360" s="3"/>
      <c r="AB14360" s="3"/>
      <c r="AC14360" s="3"/>
      <c r="AD14360" s="3"/>
      <c r="AE14360" s="3"/>
      <c r="AF14360" s="3"/>
      <c r="AG14360" s="3"/>
      <c r="AH14360" s="3"/>
    </row>
    <row r="14361" spans="1:34" ht="14.25" customHeight="1" x14ac:dyDescent="0.25">
      <c r="A14361" s="3"/>
      <c r="B14361" s="3"/>
      <c r="C14361" s="3"/>
      <c r="D14361" s="3"/>
      <c r="E14361" s="3"/>
      <c r="F14361" s="3"/>
      <c r="G14361" s="3"/>
      <c r="H14361" s="11"/>
      <c r="I14361" s="12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  <c r="AA14361" s="3"/>
      <c r="AB14361" s="3"/>
      <c r="AC14361" s="3"/>
      <c r="AD14361" s="3"/>
      <c r="AE14361" s="3"/>
      <c r="AF14361" s="3"/>
      <c r="AG14361" s="3"/>
      <c r="AH14361" s="3"/>
    </row>
    <row r="14362" spans="1:34" ht="14.25" customHeight="1" x14ac:dyDescent="0.25">
      <c r="A14362" s="3"/>
      <c r="B14362" s="3"/>
      <c r="C14362" s="3"/>
      <c r="D14362" s="3"/>
      <c r="E14362" s="3"/>
      <c r="F14362" s="3"/>
      <c r="G14362" s="3"/>
      <c r="H14362" s="11"/>
      <c r="I14362" s="12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  <c r="AA14362" s="3"/>
      <c r="AB14362" s="3"/>
      <c r="AC14362" s="3"/>
      <c r="AD14362" s="3"/>
      <c r="AE14362" s="3"/>
      <c r="AF14362" s="3"/>
      <c r="AG14362" s="3"/>
      <c r="AH14362" s="3"/>
    </row>
    <row r="14363" spans="1:34" ht="14.25" customHeight="1" x14ac:dyDescent="0.25">
      <c r="A14363" s="3"/>
      <c r="B14363" s="3"/>
      <c r="C14363" s="3"/>
      <c r="D14363" s="3"/>
      <c r="E14363" s="3"/>
      <c r="F14363" s="3"/>
      <c r="G14363" s="3"/>
      <c r="H14363" s="11"/>
      <c r="I14363" s="12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  <c r="AA14363" s="3"/>
      <c r="AB14363" s="3"/>
      <c r="AC14363" s="3"/>
      <c r="AD14363" s="3"/>
      <c r="AE14363" s="3"/>
      <c r="AF14363" s="3"/>
      <c r="AG14363" s="3"/>
      <c r="AH14363" s="3"/>
    </row>
    <row r="14364" spans="1:34" ht="14.25" customHeight="1" x14ac:dyDescent="0.25">
      <c r="A14364" s="3"/>
      <c r="B14364" s="3"/>
      <c r="C14364" s="3"/>
      <c r="D14364" s="3"/>
      <c r="E14364" s="3"/>
      <c r="F14364" s="3"/>
      <c r="G14364" s="3"/>
      <c r="H14364" s="11"/>
      <c r="I14364" s="12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  <c r="AA14364" s="3"/>
      <c r="AB14364" s="3"/>
      <c r="AC14364" s="3"/>
      <c r="AD14364" s="3"/>
      <c r="AE14364" s="3"/>
      <c r="AF14364" s="3"/>
      <c r="AG14364" s="3"/>
      <c r="AH14364" s="3"/>
    </row>
    <row r="14365" spans="1:34" ht="14.25" customHeight="1" x14ac:dyDescent="0.25">
      <c r="A14365" s="3"/>
      <c r="B14365" s="3"/>
      <c r="C14365" s="3"/>
      <c r="D14365" s="3"/>
      <c r="E14365" s="3"/>
      <c r="F14365" s="3"/>
      <c r="G14365" s="3"/>
      <c r="H14365" s="11"/>
      <c r="I14365" s="12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  <c r="AA14365" s="3"/>
      <c r="AB14365" s="3"/>
      <c r="AC14365" s="3"/>
      <c r="AD14365" s="3"/>
      <c r="AE14365" s="3"/>
      <c r="AF14365" s="3"/>
      <c r="AG14365" s="3"/>
      <c r="AH14365" s="3"/>
    </row>
    <row r="14366" spans="1:34" ht="14.25" customHeight="1" x14ac:dyDescent="0.25">
      <c r="A14366" s="3"/>
      <c r="B14366" s="3"/>
      <c r="C14366" s="3"/>
      <c r="D14366" s="3"/>
      <c r="E14366" s="3"/>
      <c r="F14366" s="3"/>
      <c r="G14366" s="3"/>
      <c r="H14366" s="11"/>
      <c r="I14366" s="12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  <c r="AA14366" s="3"/>
      <c r="AB14366" s="3"/>
      <c r="AC14366" s="3"/>
      <c r="AD14366" s="3"/>
      <c r="AE14366" s="3"/>
      <c r="AF14366" s="3"/>
      <c r="AG14366" s="3"/>
      <c r="AH14366" s="3"/>
    </row>
    <row r="14367" spans="1:34" ht="14.25" customHeight="1" x14ac:dyDescent="0.25">
      <c r="A14367" s="3"/>
      <c r="B14367" s="3"/>
      <c r="C14367" s="3"/>
      <c r="D14367" s="3"/>
      <c r="E14367" s="3"/>
      <c r="F14367" s="3"/>
      <c r="G14367" s="3"/>
      <c r="H14367" s="11"/>
      <c r="I14367" s="12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  <c r="AA14367" s="3"/>
      <c r="AB14367" s="3"/>
      <c r="AC14367" s="3"/>
      <c r="AD14367" s="3"/>
      <c r="AE14367" s="3"/>
      <c r="AF14367" s="3"/>
      <c r="AG14367" s="3"/>
      <c r="AH14367" s="3"/>
    </row>
    <row r="14368" spans="1:34" ht="14.25" customHeight="1" x14ac:dyDescent="0.25">
      <c r="A14368" s="3"/>
      <c r="B14368" s="3"/>
      <c r="C14368" s="3"/>
      <c r="D14368" s="3"/>
      <c r="E14368" s="3"/>
      <c r="F14368" s="3"/>
      <c r="G14368" s="3"/>
      <c r="H14368" s="11"/>
      <c r="I14368" s="12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  <c r="AA14368" s="3"/>
      <c r="AB14368" s="3"/>
      <c r="AC14368" s="3"/>
      <c r="AD14368" s="3"/>
      <c r="AE14368" s="3"/>
      <c r="AF14368" s="3"/>
      <c r="AG14368" s="3"/>
      <c r="AH14368" s="3"/>
    </row>
    <row r="14369" spans="1:34" ht="14.25" customHeight="1" x14ac:dyDescent="0.25">
      <c r="A14369" s="3"/>
      <c r="B14369" s="3"/>
      <c r="C14369" s="3"/>
      <c r="D14369" s="3"/>
      <c r="E14369" s="3"/>
      <c r="F14369" s="3"/>
      <c r="G14369" s="3"/>
      <c r="H14369" s="11"/>
      <c r="I14369" s="12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  <c r="AA14369" s="3"/>
      <c r="AB14369" s="3"/>
      <c r="AC14369" s="3"/>
      <c r="AD14369" s="3"/>
      <c r="AE14369" s="3"/>
      <c r="AF14369" s="3"/>
      <c r="AG14369" s="3"/>
      <c r="AH14369" s="3"/>
    </row>
    <row r="14370" spans="1:34" ht="14.25" customHeight="1" x14ac:dyDescent="0.25">
      <c r="A14370" s="3"/>
      <c r="B14370" s="3"/>
      <c r="C14370" s="3"/>
      <c r="D14370" s="3"/>
      <c r="E14370" s="3"/>
      <c r="F14370" s="3"/>
      <c r="G14370" s="3"/>
      <c r="H14370" s="11"/>
      <c r="I14370" s="12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  <c r="AA14370" s="3"/>
      <c r="AB14370" s="3"/>
      <c r="AC14370" s="3"/>
      <c r="AD14370" s="3"/>
      <c r="AE14370" s="3"/>
      <c r="AF14370" s="3"/>
      <c r="AG14370" s="3"/>
      <c r="AH14370" s="3"/>
    </row>
    <row r="14371" spans="1:34" ht="14.25" customHeight="1" x14ac:dyDescent="0.25">
      <c r="A14371" s="3"/>
      <c r="B14371" s="3"/>
      <c r="C14371" s="3"/>
      <c r="D14371" s="3"/>
      <c r="E14371" s="3"/>
      <c r="F14371" s="3"/>
      <c r="G14371" s="3"/>
      <c r="H14371" s="11"/>
      <c r="I14371" s="12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  <c r="AA14371" s="3"/>
      <c r="AB14371" s="3"/>
      <c r="AC14371" s="3"/>
      <c r="AD14371" s="3"/>
      <c r="AE14371" s="3"/>
      <c r="AF14371" s="3"/>
      <c r="AG14371" s="3"/>
      <c r="AH14371" s="3"/>
    </row>
    <row r="14372" spans="1:34" ht="14.25" customHeight="1" x14ac:dyDescent="0.25">
      <c r="A14372" s="3"/>
      <c r="B14372" s="3"/>
      <c r="C14372" s="3"/>
      <c r="D14372" s="3"/>
      <c r="E14372" s="3"/>
      <c r="F14372" s="3"/>
      <c r="G14372" s="3"/>
      <c r="H14372" s="11"/>
      <c r="I14372" s="12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  <c r="AA14372" s="3"/>
      <c r="AB14372" s="3"/>
      <c r="AC14372" s="3"/>
      <c r="AD14372" s="3"/>
      <c r="AE14372" s="3"/>
      <c r="AF14372" s="3"/>
      <c r="AG14372" s="3"/>
      <c r="AH14372" s="3"/>
    </row>
    <row r="14373" spans="1:34" ht="14.25" customHeight="1" x14ac:dyDescent="0.25">
      <c r="A14373" s="3"/>
      <c r="B14373" s="3"/>
      <c r="C14373" s="3"/>
      <c r="D14373" s="3"/>
      <c r="E14373" s="3"/>
      <c r="F14373" s="3"/>
      <c r="G14373" s="3"/>
      <c r="H14373" s="11"/>
      <c r="I14373" s="12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  <c r="AA14373" s="3"/>
      <c r="AB14373" s="3"/>
      <c r="AC14373" s="3"/>
      <c r="AD14373" s="3"/>
      <c r="AE14373" s="3"/>
      <c r="AF14373" s="3"/>
      <c r="AG14373" s="3"/>
      <c r="AH14373" s="3"/>
    </row>
    <row r="14374" spans="1:34" ht="14.25" customHeight="1" x14ac:dyDescent="0.25">
      <c r="A14374" s="3"/>
      <c r="B14374" s="3"/>
      <c r="C14374" s="3"/>
      <c r="D14374" s="3"/>
      <c r="E14374" s="3"/>
      <c r="F14374" s="3"/>
      <c r="G14374" s="3"/>
      <c r="H14374" s="11"/>
      <c r="I14374" s="12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  <c r="AA14374" s="3"/>
      <c r="AB14374" s="3"/>
      <c r="AC14374" s="3"/>
      <c r="AD14374" s="3"/>
      <c r="AE14374" s="3"/>
      <c r="AF14374" s="3"/>
      <c r="AG14374" s="3"/>
      <c r="AH14374" s="3"/>
    </row>
    <row r="14375" spans="1:34" ht="14.25" customHeight="1" x14ac:dyDescent="0.25">
      <c r="A14375" s="3"/>
      <c r="B14375" s="3"/>
      <c r="C14375" s="3"/>
      <c r="D14375" s="3"/>
      <c r="E14375" s="3"/>
      <c r="F14375" s="3"/>
      <c r="G14375" s="3"/>
      <c r="H14375" s="11"/>
      <c r="I14375" s="12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  <c r="AA14375" s="3"/>
      <c r="AB14375" s="3"/>
      <c r="AC14375" s="3"/>
      <c r="AD14375" s="3"/>
      <c r="AE14375" s="3"/>
      <c r="AF14375" s="3"/>
      <c r="AG14375" s="3"/>
      <c r="AH14375" s="3"/>
    </row>
    <row r="14376" spans="1:34" ht="14.25" customHeight="1" x14ac:dyDescent="0.25">
      <c r="A14376" s="3"/>
      <c r="B14376" s="3"/>
      <c r="C14376" s="3"/>
      <c r="D14376" s="3"/>
      <c r="E14376" s="3"/>
      <c r="F14376" s="3"/>
      <c r="G14376" s="3"/>
      <c r="H14376" s="11"/>
      <c r="I14376" s="12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  <c r="AA14376" s="3"/>
      <c r="AB14376" s="3"/>
      <c r="AC14376" s="3"/>
      <c r="AD14376" s="3"/>
      <c r="AE14376" s="3"/>
      <c r="AF14376" s="3"/>
      <c r="AG14376" s="3"/>
      <c r="AH14376" s="3"/>
    </row>
    <row r="14377" spans="1:34" ht="14.25" customHeight="1" x14ac:dyDescent="0.25">
      <c r="A14377" s="3"/>
      <c r="B14377" s="3"/>
      <c r="C14377" s="3"/>
      <c r="D14377" s="3"/>
      <c r="E14377" s="3"/>
      <c r="F14377" s="3"/>
      <c r="G14377" s="3"/>
      <c r="H14377" s="11"/>
      <c r="I14377" s="12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  <c r="AA14377" s="3"/>
      <c r="AB14377" s="3"/>
      <c r="AC14377" s="3"/>
      <c r="AD14377" s="3"/>
      <c r="AE14377" s="3"/>
      <c r="AF14377" s="3"/>
      <c r="AG14377" s="3"/>
      <c r="AH14377" s="3"/>
    </row>
    <row r="14378" spans="1:34" ht="14.25" customHeight="1" x14ac:dyDescent="0.25">
      <c r="A14378" s="3"/>
      <c r="B14378" s="3"/>
      <c r="C14378" s="3"/>
      <c r="D14378" s="3"/>
      <c r="E14378" s="3"/>
      <c r="F14378" s="3"/>
      <c r="G14378" s="3"/>
      <c r="H14378" s="11"/>
      <c r="I14378" s="12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  <c r="AA14378" s="3"/>
      <c r="AB14378" s="3"/>
      <c r="AC14378" s="3"/>
      <c r="AD14378" s="3"/>
      <c r="AE14378" s="3"/>
      <c r="AF14378" s="3"/>
      <c r="AG14378" s="3"/>
      <c r="AH14378" s="3"/>
    </row>
    <row r="14379" spans="1:34" ht="14.25" customHeight="1" x14ac:dyDescent="0.25">
      <c r="A14379" s="3"/>
      <c r="B14379" s="3"/>
      <c r="C14379" s="3"/>
      <c r="D14379" s="3"/>
      <c r="E14379" s="3"/>
      <c r="F14379" s="3"/>
      <c r="G14379" s="3"/>
      <c r="H14379" s="11"/>
      <c r="I14379" s="12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  <c r="AA14379" s="3"/>
      <c r="AB14379" s="3"/>
      <c r="AC14379" s="3"/>
      <c r="AD14379" s="3"/>
      <c r="AE14379" s="3"/>
      <c r="AF14379" s="3"/>
      <c r="AG14379" s="3"/>
      <c r="AH14379" s="3"/>
    </row>
    <row r="14380" spans="1:34" ht="14.25" customHeight="1" x14ac:dyDescent="0.25">
      <c r="A14380" s="3"/>
      <c r="B14380" s="3"/>
      <c r="C14380" s="3"/>
      <c r="D14380" s="3"/>
      <c r="E14380" s="3"/>
      <c r="F14380" s="3"/>
      <c r="G14380" s="3"/>
      <c r="H14380" s="11"/>
      <c r="I14380" s="12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  <c r="AA14380" s="3"/>
      <c r="AB14380" s="3"/>
      <c r="AC14380" s="3"/>
      <c r="AD14380" s="3"/>
      <c r="AE14380" s="3"/>
      <c r="AF14380" s="3"/>
      <c r="AG14380" s="3"/>
      <c r="AH14380" s="3"/>
    </row>
    <row r="14381" spans="1:34" ht="14.25" customHeight="1" x14ac:dyDescent="0.25">
      <c r="A14381" s="3"/>
      <c r="B14381" s="3"/>
      <c r="C14381" s="3"/>
      <c r="D14381" s="3"/>
      <c r="E14381" s="3"/>
      <c r="F14381" s="3"/>
      <c r="G14381" s="3"/>
      <c r="H14381" s="11"/>
      <c r="I14381" s="12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  <c r="AA14381" s="3"/>
      <c r="AB14381" s="3"/>
      <c r="AC14381" s="3"/>
      <c r="AD14381" s="3"/>
      <c r="AE14381" s="3"/>
      <c r="AF14381" s="3"/>
      <c r="AG14381" s="3"/>
      <c r="AH14381" s="3"/>
    </row>
    <row r="14382" spans="1:34" ht="14.25" customHeight="1" x14ac:dyDescent="0.25">
      <c r="A14382" s="3"/>
      <c r="B14382" s="3"/>
      <c r="C14382" s="3"/>
      <c r="D14382" s="3"/>
      <c r="E14382" s="3"/>
      <c r="F14382" s="3"/>
      <c r="G14382" s="3"/>
      <c r="H14382" s="11"/>
      <c r="I14382" s="12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  <c r="AA14382" s="3"/>
      <c r="AB14382" s="3"/>
      <c r="AC14382" s="3"/>
      <c r="AD14382" s="3"/>
      <c r="AE14382" s="3"/>
      <c r="AF14382" s="3"/>
      <c r="AG14382" s="3"/>
      <c r="AH14382" s="3"/>
    </row>
    <row r="14383" spans="1:34" ht="14.25" customHeight="1" x14ac:dyDescent="0.25">
      <c r="A14383" s="3"/>
      <c r="B14383" s="3"/>
      <c r="C14383" s="3"/>
      <c r="D14383" s="3"/>
      <c r="E14383" s="3"/>
      <c r="F14383" s="3"/>
      <c r="G14383" s="3"/>
      <c r="H14383" s="11"/>
      <c r="I14383" s="12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  <c r="AA14383" s="3"/>
      <c r="AB14383" s="3"/>
      <c r="AC14383" s="3"/>
      <c r="AD14383" s="3"/>
      <c r="AE14383" s="3"/>
      <c r="AF14383" s="3"/>
      <c r="AG14383" s="3"/>
      <c r="AH14383" s="3"/>
    </row>
    <row r="14384" spans="1:34" ht="14.25" customHeight="1" x14ac:dyDescent="0.25">
      <c r="A14384" s="3"/>
      <c r="B14384" s="3"/>
      <c r="C14384" s="3"/>
      <c r="D14384" s="3"/>
      <c r="E14384" s="3"/>
      <c r="F14384" s="3"/>
      <c r="G14384" s="3"/>
      <c r="H14384" s="11"/>
      <c r="I14384" s="12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  <c r="AA14384" s="3"/>
      <c r="AB14384" s="3"/>
      <c r="AC14384" s="3"/>
      <c r="AD14384" s="3"/>
      <c r="AE14384" s="3"/>
      <c r="AF14384" s="3"/>
      <c r="AG14384" s="3"/>
      <c r="AH14384" s="3"/>
    </row>
    <row r="14385" spans="1:34" ht="14.25" customHeight="1" x14ac:dyDescent="0.25">
      <c r="A14385" s="3"/>
      <c r="B14385" s="3"/>
      <c r="C14385" s="3"/>
      <c r="D14385" s="3"/>
      <c r="E14385" s="3"/>
      <c r="F14385" s="3"/>
      <c r="G14385" s="3"/>
      <c r="H14385" s="11"/>
      <c r="I14385" s="12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  <c r="AA14385" s="3"/>
      <c r="AB14385" s="3"/>
      <c r="AC14385" s="3"/>
      <c r="AD14385" s="3"/>
      <c r="AE14385" s="3"/>
      <c r="AF14385" s="3"/>
      <c r="AG14385" s="3"/>
      <c r="AH14385" s="3"/>
    </row>
    <row r="14386" spans="1:34" ht="14.25" customHeight="1" x14ac:dyDescent="0.25">
      <c r="A14386" s="3"/>
      <c r="B14386" s="3"/>
      <c r="C14386" s="3"/>
      <c r="D14386" s="3"/>
      <c r="E14386" s="3"/>
      <c r="F14386" s="3"/>
      <c r="G14386" s="3"/>
      <c r="H14386" s="11"/>
      <c r="I14386" s="12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  <c r="AA14386" s="3"/>
      <c r="AB14386" s="3"/>
      <c r="AC14386" s="3"/>
      <c r="AD14386" s="3"/>
      <c r="AE14386" s="3"/>
      <c r="AF14386" s="3"/>
      <c r="AG14386" s="3"/>
      <c r="AH14386" s="3"/>
    </row>
    <row r="14387" spans="1:34" ht="14.25" customHeight="1" x14ac:dyDescent="0.25">
      <c r="A14387" s="3"/>
      <c r="B14387" s="3"/>
      <c r="C14387" s="3"/>
      <c r="D14387" s="3"/>
      <c r="E14387" s="3"/>
      <c r="F14387" s="3"/>
      <c r="G14387" s="3"/>
      <c r="H14387" s="11"/>
      <c r="I14387" s="12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  <c r="AA14387" s="3"/>
      <c r="AB14387" s="3"/>
      <c r="AC14387" s="3"/>
      <c r="AD14387" s="3"/>
      <c r="AE14387" s="3"/>
      <c r="AF14387" s="3"/>
      <c r="AG14387" s="3"/>
      <c r="AH14387" s="3"/>
    </row>
    <row r="14388" spans="1:34" ht="14.25" customHeight="1" x14ac:dyDescent="0.25">
      <c r="A14388" s="3"/>
      <c r="B14388" s="3"/>
      <c r="C14388" s="3"/>
      <c r="D14388" s="3"/>
      <c r="E14388" s="3"/>
      <c r="F14388" s="3"/>
      <c r="G14388" s="3"/>
      <c r="H14388" s="11"/>
      <c r="I14388" s="12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  <c r="AA14388" s="3"/>
      <c r="AB14388" s="3"/>
      <c r="AC14388" s="3"/>
      <c r="AD14388" s="3"/>
      <c r="AE14388" s="3"/>
      <c r="AF14388" s="3"/>
      <c r="AG14388" s="3"/>
      <c r="AH14388" s="3"/>
    </row>
    <row r="14389" spans="1:34" ht="14.25" customHeight="1" x14ac:dyDescent="0.25">
      <c r="A14389" s="3"/>
      <c r="B14389" s="3"/>
      <c r="C14389" s="3"/>
      <c r="D14389" s="3"/>
      <c r="E14389" s="3"/>
      <c r="F14389" s="3"/>
      <c r="G14389" s="3"/>
      <c r="H14389" s="11"/>
      <c r="I14389" s="12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  <c r="AA14389" s="3"/>
      <c r="AB14389" s="3"/>
      <c r="AC14389" s="3"/>
      <c r="AD14389" s="3"/>
      <c r="AE14389" s="3"/>
      <c r="AF14389" s="3"/>
      <c r="AG14389" s="3"/>
      <c r="AH14389" s="3"/>
    </row>
    <row r="14390" spans="1:34" ht="14.25" customHeight="1" x14ac:dyDescent="0.25">
      <c r="A14390" s="3"/>
      <c r="B14390" s="3"/>
      <c r="C14390" s="3"/>
      <c r="D14390" s="3"/>
      <c r="E14390" s="3"/>
      <c r="F14390" s="3"/>
      <c r="G14390" s="3"/>
      <c r="H14390" s="11"/>
      <c r="I14390" s="12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  <c r="AA14390" s="3"/>
      <c r="AB14390" s="3"/>
      <c r="AC14390" s="3"/>
      <c r="AD14390" s="3"/>
      <c r="AE14390" s="3"/>
      <c r="AF14390" s="3"/>
      <c r="AG14390" s="3"/>
      <c r="AH14390" s="3"/>
    </row>
    <row r="14391" spans="1:34" ht="14.25" customHeight="1" x14ac:dyDescent="0.25">
      <c r="A14391" s="3"/>
      <c r="B14391" s="3"/>
      <c r="C14391" s="3"/>
      <c r="D14391" s="3"/>
      <c r="E14391" s="3"/>
      <c r="F14391" s="3"/>
      <c r="G14391" s="3"/>
      <c r="H14391" s="11"/>
      <c r="I14391" s="12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  <c r="AA14391" s="3"/>
      <c r="AB14391" s="3"/>
      <c r="AC14391" s="3"/>
      <c r="AD14391" s="3"/>
      <c r="AE14391" s="3"/>
      <c r="AF14391" s="3"/>
      <c r="AG14391" s="3"/>
      <c r="AH14391" s="3"/>
    </row>
    <row r="14392" spans="1:34" ht="14.25" customHeight="1" x14ac:dyDescent="0.25">
      <c r="A14392" s="3"/>
      <c r="B14392" s="3"/>
      <c r="C14392" s="3"/>
      <c r="D14392" s="3"/>
      <c r="E14392" s="3"/>
      <c r="F14392" s="3"/>
      <c r="G14392" s="3"/>
      <c r="H14392" s="11"/>
      <c r="I14392" s="12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  <c r="AA14392" s="3"/>
      <c r="AB14392" s="3"/>
      <c r="AC14392" s="3"/>
      <c r="AD14392" s="3"/>
      <c r="AE14392" s="3"/>
      <c r="AF14392" s="3"/>
      <c r="AG14392" s="3"/>
      <c r="AH14392" s="3"/>
    </row>
    <row r="14393" spans="1:34" ht="14.25" customHeight="1" x14ac:dyDescent="0.25">
      <c r="A14393" s="3"/>
      <c r="B14393" s="3"/>
      <c r="C14393" s="3"/>
      <c r="D14393" s="3"/>
      <c r="E14393" s="3"/>
      <c r="F14393" s="3"/>
      <c r="G14393" s="3"/>
      <c r="H14393" s="11"/>
      <c r="I14393" s="12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  <c r="AA14393" s="3"/>
      <c r="AB14393" s="3"/>
      <c r="AC14393" s="3"/>
      <c r="AD14393" s="3"/>
      <c r="AE14393" s="3"/>
      <c r="AF14393" s="3"/>
      <c r="AG14393" s="3"/>
      <c r="AH14393" s="3"/>
    </row>
    <row r="14394" spans="1:34" ht="14.25" customHeight="1" x14ac:dyDescent="0.25">
      <c r="A14394" s="3"/>
      <c r="B14394" s="3"/>
      <c r="C14394" s="3"/>
      <c r="D14394" s="3"/>
      <c r="E14394" s="3"/>
      <c r="F14394" s="3"/>
      <c r="G14394" s="3"/>
      <c r="H14394" s="11"/>
      <c r="I14394" s="12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  <c r="AA14394" s="3"/>
      <c r="AB14394" s="3"/>
      <c r="AC14394" s="3"/>
      <c r="AD14394" s="3"/>
      <c r="AE14394" s="3"/>
      <c r="AF14394" s="3"/>
      <c r="AG14394" s="3"/>
      <c r="AH14394" s="3"/>
    </row>
    <row r="14395" spans="1:34" ht="14.25" customHeight="1" x14ac:dyDescent="0.25">
      <c r="A14395" s="3"/>
      <c r="B14395" s="3"/>
      <c r="C14395" s="3"/>
      <c r="D14395" s="3"/>
      <c r="E14395" s="3"/>
      <c r="F14395" s="3"/>
      <c r="G14395" s="3"/>
      <c r="H14395" s="11"/>
      <c r="I14395" s="12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  <c r="AA14395" s="3"/>
      <c r="AB14395" s="3"/>
      <c r="AC14395" s="3"/>
      <c r="AD14395" s="3"/>
      <c r="AE14395" s="3"/>
      <c r="AF14395" s="3"/>
      <c r="AG14395" s="3"/>
      <c r="AH14395" s="3"/>
    </row>
    <row r="14396" spans="1:34" ht="14.25" customHeight="1" x14ac:dyDescent="0.25">
      <c r="A14396" s="3"/>
      <c r="B14396" s="3"/>
      <c r="C14396" s="3"/>
      <c r="D14396" s="3"/>
      <c r="E14396" s="3"/>
      <c r="F14396" s="3"/>
      <c r="G14396" s="3"/>
      <c r="H14396" s="11"/>
      <c r="I14396" s="12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  <c r="AA14396" s="3"/>
      <c r="AB14396" s="3"/>
      <c r="AC14396" s="3"/>
      <c r="AD14396" s="3"/>
      <c r="AE14396" s="3"/>
      <c r="AF14396" s="3"/>
      <c r="AG14396" s="3"/>
      <c r="AH14396" s="3"/>
    </row>
    <row r="14397" spans="1:34" ht="14.25" customHeight="1" x14ac:dyDescent="0.25">
      <c r="A14397" s="3"/>
      <c r="B14397" s="3"/>
      <c r="C14397" s="3"/>
      <c r="D14397" s="3"/>
      <c r="E14397" s="3"/>
      <c r="F14397" s="3"/>
      <c r="G14397" s="3"/>
      <c r="H14397" s="11"/>
      <c r="I14397" s="12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  <c r="AA14397" s="3"/>
      <c r="AB14397" s="3"/>
      <c r="AC14397" s="3"/>
      <c r="AD14397" s="3"/>
      <c r="AE14397" s="3"/>
      <c r="AF14397" s="3"/>
      <c r="AG14397" s="3"/>
      <c r="AH14397" s="3"/>
    </row>
    <row r="14398" spans="1:34" ht="14.25" customHeight="1" x14ac:dyDescent="0.25">
      <c r="A14398" s="3"/>
      <c r="B14398" s="3"/>
      <c r="C14398" s="3"/>
      <c r="D14398" s="3"/>
      <c r="E14398" s="3"/>
      <c r="F14398" s="3"/>
      <c r="G14398" s="3"/>
      <c r="H14398" s="11"/>
      <c r="I14398" s="12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  <c r="AA14398" s="3"/>
      <c r="AB14398" s="3"/>
      <c r="AC14398" s="3"/>
      <c r="AD14398" s="3"/>
      <c r="AE14398" s="3"/>
      <c r="AF14398" s="3"/>
      <c r="AG14398" s="3"/>
      <c r="AH14398" s="3"/>
    </row>
    <row r="14399" spans="1:34" ht="14.25" customHeight="1" x14ac:dyDescent="0.25">
      <c r="A14399" s="3"/>
      <c r="B14399" s="3"/>
      <c r="C14399" s="3"/>
      <c r="D14399" s="3"/>
      <c r="E14399" s="3"/>
      <c r="F14399" s="3"/>
      <c r="G14399" s="3"/>
      <c r="H14399" s="11"/>
      <c r="I14399" s="12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  <c r="AA14399" s="3"/>
      <c r="AB14399" s="3"/>
      <c r="AC14399" s="3"/>
      <c r="AD14399" s="3"/>
      <c r="AE14399" s="3"/>
      <c r="AF14399" s="3"/>
      <c r="AG14399" s="3"/>
      <c r="AH14399" s="3"/>
    </row>
    <row r="14400" spans="1:34" ht="14.25" customHeight="1" x14ac:dyDescent="0.25">
      <c r="A14400" s="3"/>
      <c r="B14400" s="3"/>
      <c r="C14400" s="3"/>
      <c r="D14400" s="3"/>
      <c r="E14400" s="3"/>
      <c r="F14400" s="3"/>
      <c r="G14400" s="3"/>
      <c r="H14400" s="11"/>
      <c r="I14400" s="12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  <c r="AA14400" s="3"/>
      <c r="AB14400" s="3"/>
      <c r="AC14400" s="3"/>
      <c r="AD14400" s="3"/>
      <c r="AE14400" s="3"/>
      <c r="AF14400" s="3"/>
      <c r="AG14400" s="3"/>
      <c r="AH14400" s="3"/>
    </row>
    <row r="14401" spans="1:34" ht="14.25" customHeight="1" x14ac:dyDescent="0.25">
      <c r="A14401" s="3"/>
      <c r="B14401" s="3"/>
      <c r="C14401" s="3"/>
      <c r="D14401" s="3"/>
      <c r="E14401" s="3"/>
      <c r="F14401" s="3"/>
      <c r="G14401" s="3"/>
      <c r="H14401" s="11"/>
      <c r="I14401" s="12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  <c r="AA14401" s="3"/>
      <c r="AB14401" s="3"/>
      <c r="AC14401" s="3"/>
      <c r="AD14401" s="3"/>
      <c r="AE14401" s="3"/>
      <c r="AF14401" s="3"/>
      <c r="AG14401" s="3"/>
      <c r="AH14401" s="3"/>
    </row>
    <row r="14402" spans="1:34" ht="14.25" customHeight="1" x14ac:dyDescent="0.25">
      <c r="A14402" s="3"/>
      <c r="B14402" s="3"/>
      <c r="C14402" s="3"/>
      <c r="D14402" s="3"/>
      <c r="E14402" s="3"/>
      <c r="F14402" s="3"/>
      <c r="G14402" s="3"/>
      <c r="H14402" s="11"/>
      <c r="I14402" s="12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  <c r="AA14402" s="3"/>
      <c r="AB14402" s="3"/>
      <c r="AC14402" s="3"/>
      <c r="AD14402" s="3"/>
      <c r="AE14402" s="3"/>
      <c r="AF14402" s="3"/>
      <c r="AG14402" s="3"/>
      <c r="AH14402" s="3"/>
    </row>
    <row r="14403" spans="1:34" ht="14.25" customHeight="1" x14ac:dyDescent="0.25">
      <c r="A14403" s="3"/>
      <c r="B14403" s="3"/>
      <c r="C14403" s="3"/>
      <c r="D14403" s="3"/>
      <c r="E14403" s="3"/>
      <c r="F14403" s="3"/>
      <c r="G14403" s="3"/>
      <c r="H14403" s="11"/>
      <c r="I14403" s="12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  <c r="AA14403" s="3"/>
      <c r="AB14403" s="3"/>
      <c r="AC14403" s="3"/>
      <c r="AD14403" s="3"/>
      <c r="AE14403" s="3"/>
      <c r="AF14403" s="3"/>
      <c r="AG14403" s="3"/>
      <c r="AH14403" s="3"/>
    </row>
    <row r="14404" spans="1:34" ht="14.25" customHeight="1" x14ac:dyDescent="0.25">
      <c r="A14404" s="3"/>
      <c r="B14404" s="3"/>
      <c r="C14404" s="3"/>
      <c r="D14404" s="3"/>
      <c r="E14404" s="3"/>
      <c r="F14404" s="3"/>
      <c r="G14404" s="3"/>
      <c r="H14404" s="11"/>
      <c r="I14404" s="12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  <c r="AA14404" s="3"/>
      <c r="AB14404" s="3"/>
      <c r="AC14404" s="3"/>
      <c r="AD14404" s="3"/>
      <c r="AE14404" s="3"/>
      <c r="AF14404" s="3"/>
      <c r="AG14404" s="3"/>
      <c r="AH14404" s="3"/>
    </row>
    <row r="14405" spans="1:34" ht="14.25" customHeight="1" x14ac:dyDescent="0.25">
      <c r="A14405" s="3"/>
      <c r="B14405" s="3"/>
      <c r="C14405" s="3"/>
      <c r="D14405" s="3"/>
      <c r="E14405" s="3"/>
      <c r="F14405" s="3"/>
      <c r="G14405" s="3"/>
      <c r="H14405" s="11"/>
      <c r="I14405" s="12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  <c r="AA14405" s="3"/>
      <c r="AB14405" s="3"/>
      <c r="AC14405" s="3"/>
      <c r="AD14405" s="3"/>
      <c r="AE14405" s="3"/>
      <c r="AF14405" s="3"/>
      <c r="AG14405" s="3"/>
      <c r="AH14405" s="3"/>
    </row>
    <row r="14406" spans="1:34" ht="14.25" customHeight="1" x14ac:dyDescent="0.25">
      <c r="A14406" s="3"/>
      <c r="B14406" s="3"/>
      <c r="C14406" s="3"/>
      <c r="D14406" s="3"/>
      <c r="E14406" s="3"/>
      <c r="F14406" s="3"/>
      <c r="G14406" s="3"/>
      <c r="H14406" s="11"/>
      <c r="I14406" s="12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  <c r="AA14406" s="3"/>
      <c r="AB14406" s="3"/>
      <c r="AC14406" s="3"/>
      <c r="AD14406" s="3"/>
      <c r="AE14406" s="3"/>
      <c r="AF14406" s="3"/>
      <c r="AG14406" s="3"/>
      <c r="AH14406" s="3"/>
    </row>
    <row r="14407" spans="1:34" ht="14.25" customHeight="1" x14ac:dyDescent="0.25">
      <c r="A14407" s="3"/>
      <c r="B14407" s="3"/>
      <c r="C14407" s="3"/>
      <c r="D14407" s="3"/>
      <c r="E14407" s="3"/>
      <c r="F14407" s="3"/>
      <c r="G14407" s="3"/>
      <c r="H14407" s="11"/>
      <c r="I14407" s="12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  <c r="AA14407" s="3"/>
      <c r="AB14407" s="3"/>
      <c r="AC14407" s="3"/>
      <c r="AD14407" s="3"/>
      <c r="AE14407" s="3"/>
      <c r="AF14407" s="3"/>
      <c r="AG14407" s="3"/>
      <c r="AH14407" s="3"/>
    </row>
    <row r="14408" spans="1:34" ht="14.25" customHeight="1" x14ac:dyDescent="0.25">
      <c r="A14408" s="3"/>
      <c r="B14408" s="3"/>
      <c r="C14408" s="3"/>
      <c r="D14408" s="3"/>
      <c r="E14408" s="3"/>
      <c r="F14408" s="3"/>
      <c r="G14408" s="3"/>
      <c r="H14408" s="11"/>
      <c r="I14408" s="12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  <c r="AA14408" s="3"/>
      <c r="AB14408" s="3"/>
      <c r="AC14408" s="3"/>
      <c r="AD14408" s="3"/>
      <c r="AE14408" s="3"/>
      <c r="AF14408" s="3"/>
      <c r="AG14408" s="3"/>
      <c r="AH14408" s="3"/>
    </row>
    <row r="14409" spans="1:34" ht="14.25" customHeight="1" x14ac:dyDescent="0.25">
      <c r="A14409" s="3"/>
      <c r="B14409" s="3"/>
      <c r="C14409" s="3"/>
      <c r="D14409" s="3"/>
      <c r="E14409" s="3"/>
      <c r="F14409" s="3"/>
      <c r="G14409" s="3"/>
      <c r="H14409" s="11"/>
      <c r="I14409" s="12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  <c r="AA14409" s="3"/>
      <c r="AB14409" s="3"/>
      <c r="AC14409" s="3"/>
      <c r="AD14409" s="3"/>
      <c r="AE14409" s="3"/>
      <c r="AF14409" s="3"/>
      <c r="AG14409" s="3"/>
      <c r="AH14409" s="3"/>
    </row>
    <row r="14410" spans="1:34" ht="14.25" customHeight="1" x14ac:dyDescent="0.25">
      <c r="A14410" s="3"/>
      <c r="B14410" s="3"/>
      <c r="C14410" s="3"/>
      <c r="D14410" s="3"/>
      <c r="E14410" s="3"/>
      <c r="F14410" s="3"/>
      <c r="G14410" s="3"/>
      <c r="H14410" s="11"/>
      <c r="I14410" s="12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  <c r="AA14410" s="3"/>
      <c r="AB14410" s="3"/>
      <c r="AC14410" s="3"/>
      <c r="AD14410" s="3"/>
      <c r="AE14410" s="3"/>
      <c r="AF14410" s="3"/>
      <c r="AG14410" s="3"/>
      <c r="AH14410" s="3"/>
    </row>
    <row r="14411" spans="1:34" ht="14.25" customHeight="1" x14ac:dyDescent="0.25">
      <c r="A14411" s="3"/>
      <c r="B14411" s="3"/>
      <c r="C14411" s="3"/>
      <c r="D14411" s="3"/>
      <c r="E14411" s="3"/>
      <c r="F14411" s="3"/>
      <c r="G14411" s="3"/>
      <c r="H14411" s="11"/>
      <c r="I14411" s="12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  <c r="AA14411" s="3"/>
      <c r="AB14411" s="3"/>
      <c r="AC14411" s="3"/>
      <c r="AD14411" s="3"/>
      <c r="AE14411" s="3"/>
      <c r="AF14411" s="3"/>
      <c r="AG14411" s="3"/>
      <c r="AH14411" s="3"/>
    </row>
    <row r="14412" spans="1:34" ht="14.25" customHeight="1" x14ac:dyDescent="0.25">
      <c r="A14412" s="3"/>
      <c r="B14412" s="3"/>
      <c r="C14412" s="3"/>
      <c r="D14412" s="3"/>
      <c r="E14412" s="3"/>
      <c r="F14412" s="3"/>
      <c r="G14412" s="3"/>
      <c r="H14412" s="11"/>
      <c r="I14412" s="12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  <c r="AA14412" s="3"/>
      <c r="AB14412" s="3"/>
      <c r="AC14412" s="3"/>
      <c r="AD14412" s="3"/>
      <c r="AE14412" s="3"/>
      <c r="AF14412" s="3"/>
      <c r="AG14412" s="3"/>
      <c r="AH14412" s="3"/>
    </row>
    <row r="14413" spans="1:34" ht="14.25" customHeight="1" x14ac:dyDescent="0.25">
      <c r="A14413" s="3"/>
      <c r="B14413" s="3"/>
      <c r="C14413" s="3"/>
      <c r="D14413" s="3"/>
      <c r="E14413" s="3"/>
      <c r="F14413" s="3"/>
      <c r="G14413" s="3"/>
      <c r="H14413" s="11"/>
      <c r="I14413" s="12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  <c r="AA14413" s="3"/>
      <c r="AB14413" s="3"/>
      <c r="AC14413" s="3"/>
      <c r="AD14413" s="3"/>
      <c r="AE14413" s="3"/>
      <c r="AF14413" s="3"/>
      <c r="AG14413" s="3"/>
      <c r="AH14413" s="3"/>
    </row>
    <row r="14414" spans="1:34" ht="14.25" customHeight="1" x14ac:dyDescent="0.25">
      <c r="A14414" s="3"/>
      <c r="B14414" s="3"/>
      <c r="C14414" s="3"/>
      <c r="D14414" s="3"/>
      <c r="E14414" s="3"/>
      <c r="F14414" s="3"/>
      <c r="G14414" s="3"/>
      <c r="H14414" s="11"/>
      <c r="I14414" s="12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  <c r="AA14414" s="3"/>
      <c r="AB14414" s="3"/>
      <c r="AC14414" s="3"/>
      <c r="AD14414" s="3"/>
      <c r="AE14414" s="3"/>
      <c r="AF14414" s="3"/>
      <c r="AG14414" s="3"/>
      <c r="AH14414" s="3"/>
    </row>
    <row r="14415" spans="1:34" ht="14.25" customHeight="1" x14ac:dyDescent="0.25">
      <c r="A14415" s="3"/>
      <c r="B14415" s="3"/>
      <c r="C14415" s="3"/>
      <c r="D14415" s="3"/>
      <c r="E14415" s="3"/>
      <c r="F14415" s="3"/>
      <c r="G14415" s="3"/>
      <c r="H14415" s="11"/>
      <c r="I14415" s="12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  <c r="AA14415" s="3"/>
      <c r="AB14415" s="3"/>
      <c r="AC14415" s="3"/>
      <c r="AD14415" s="3"/>
      <c r="AE14415" s="3"/>
      <c r="AF14415" s="3"/>
      <c r="AG14415" s="3"/>
      <c r="AH14415" s="3"/>
    </row>
    <row r="14416" spans="1:34" ht="14.25" customHeight="1" x14ac:dyDescent="0.25">
      <c r="A14416" s="3"/>
      <c r="B14416" s="3"/>
      <c r="C14416" s="3"/>
      <c r="D14416" s="3"/>
      <c r="E14416" s="3"/>
      <c r="F14416" s="3"/>
      <c r="G14416" s="3"/>
      <c r="H14416" s="11"/>
      <c r="I14416" s="12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  <c r="AA14416" s="3"/>
      <c r="AB14416" s="3"/>
      <c r="AC14416" s="3"/>
      <c r="AD14416" s="3"/>
      <c r="AE14416" s="3"/>
      <c r="AF14416" s="3"/>
      <c r="AG14416" s="3"/>
      <c r="AH14416" s="3"/>
    </row>
    <row r="14417" spans="1:34" ht="14.25" customHeight="1" x14ac:dyDescent="0.25">
      <c r="A14417" s="3"/>
      <c r="B14417" s="3"/>
      <c r="C14417" s="3"/>
      <c r="D14417" s="3"/>
      <c r="E14417" s="3"/>
      <c r="F14417" s="3"/>
      <c r="G14417" s="3"/>
      <c r="H14417" s="11"/>
      <c r="I14417" s="12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  <c r="AA14417" s="3"/>
      <c r="AB14417" s="3"/>
      <c r="AC14417" s="3"/>
      <c r="AD14417" s="3"/>
      <c r="AE14417" s="3"/>
      <c r="AF14417" s="3"/>
      <c r="AG14417" s="3"/>
      <c r="AH14417" s="3"/>
    </row>
    <row r="14418" spans="1:34" ht="14.25" customHeight="1" x14ac:dyDescent="0.25">
      <c r="A14418" s="3"/>
      <c r="B14418" s="3"/>
      <c r="C14418" s="3"/>
      <c r="D14418" s="3"/>
      <c r="E14418" s="3"/>
      <c r="F14418" s="3"/>
      <c r="G14418" s="3"/>
      <c r="H14418" s="11"/>
      <c r="I14418" s="12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  <c r="AA14418" s="3"/>
      <c r="AB14418" s="3"/>
      <c r="AC14418" s="3"/>
      <c r="AD14418" s="3"/>
      <c r="AE14418" s="3"/>
      <c r="AF14418" s="3"/>
      <c r="AG14418" s="3"/>
      <c r="AH14418" s="3"/>
    </row>
    <row r="14419" spans="1:34" ht="14.25" customHeight="1" x14ac:dyDescent="0.25">
      <c r="A14419" s="3"/>
      <c r="B14419" s="3"/>
      <c r="C14419" s="3"/>
      <c r="D14419" s="3"/>
      <c r="E14419" s="3"/>
      <c r="F14419" s="3"/>
      <c r="G14419" s="3"/>
      <c r="H14419" s="11"/>
      <c r="I14419" s="12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  <c r="AA14419" s="3"/>
      <c r="AB14419" s="3"/>
      <c r="AC14419" s="3"/>
      <c r="AD14419" s="3"/>
      <c r="AE14419" s="3"/>
      <c r="AF14419" s="3"/>
      <c r="AG14419" s="3"/>
      <c r="AH14419" s="3"/>
    </row>
    <row r="14420" spans="1:34" ht="14.25" customHeight="1" x14ac:dyDescent="0.25">
      <c r="A14420" s="3"/>
      <c r="B14420" s="3"/>
      <c r="C14420" s="3"/>
      <c r="D14420" s="3"/>
      <c r="E14420" s="3"/>
      <c r="F14420" s="3"/>
      <c r="G14420" s="3"/>
      <c r="H14420" s="11"/>
      <c r="I14420" s="12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  <c r="AA14420" s="3"/>
      <c r="AB14420" s="3"/>
      <c r="AC14420" s="3"/>
      <c r="AD14420" s="3"/>
      <c r="AE14420" s="3"/>
      <c r="AF14420" s="3"/>
      <c r="AG14420" s="3"/>
      <c r="AH14420" s="3"/>
    </row>
    <row r="14421" spans="1:34" ht="14.25" customHeight="1" x14ac:dyDescent="0.25">
      <c r="A14421" s="3"/>
      <c r="B14421" s="3"/>
      <c r="C14421" s="3"/>
      <c r="D14421" s="3"/>
      <c r="E14421" s="3"/>
      <c r="F14421" s="3"/>
      <c r="G14421" s="3"/>
      <c r="H14421" s="11"/>
      <c r="I14421" s="12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  <c r="AA14421" s="3"/>
      <c r="AB14421" s="3"/>
      <c r="AC14421" s="3"/>
      <c r="AD14421" s="3"/>
      <c r="AE14421" s="3"/>
      <c r="AF14421" s="3"/>
      <c r="AG14421" s="3"/>
      <c r="AH14421" s="3"/>
    </row>
    <row r="14422" spans="1:34" ht="14.25" customHeight="1" x14ac:dyDescent="0.25">
      <c r="A14422" s="3"/>
      <c r="B14422" s="3"/>
      <c r="C14422" s="3"/>
      <c r="D14422" s="3"/>
      <c r="E14422" s="3"/>
      <c r="F14422" s="3"/>
      <c r="G14422" s="3"/>
      <c r="H14422" s="11"/>
      <c r="I14422" s="12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  <c r="AA14422" s="3"/>
      <c r="AB14422" s="3"/>
      <c r="AC14422" s="3"/>
      <c r="AD14422" s="3"/>
      <c r="AE14422" s="3"/>
      <c r="AF14422" s="3"/>
      <c r="AG14422" s="3"/>
      <c r="AH14422" s="3"/>
    </row>
    <row r="14423" spans="1:34" ht="14.25" customHeight="1" x14ac:dyDescent="0.25">
      <c r="A14423" s="3"/>
      <c r="B14423" s="3"/>
      <c r="C14423" s="3"/>
      <c r="D14423" s="3"/>
      <c r="E14423" s="3"/>
      <c r="F14423" s="3"/>
      <c r="G14423" s="3"/>
      <c r="H14423" s="11"/>
      <c r="I14423" s="12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  <c r="AA14423" s="3"/>
      <c r="AB14423" s="3"/>
      <c r="AC14423" s="3"/>
      <c r="AD14423" s="3"/>
      <c r="AE14423" s="3"/>
      <c r="AF14423" s="3"/>
      <c r="AG14423" s="3"/>
      <c r="AH14423" s="3"/>
    </row>
    <row r="14424" spans="1:34" ht="14.25" customHeight="1" x14ac:dyDescent="0.25">
      <c r="A14424" s="3"/>
      <c r="B14424" s="3"/>
      <c r="C14424" s="3"/>
      <c r="D14424" s="3"/>
      <c r="E14424" s="3"/>
      <c r="F14424" s="3"/>
      <c r="G14424" s="3"/>
      <c r="H14424" s="11"/>
      <c r="I14424" s="12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  <c r="AA14424" s="3"/>
      <c r="AB14424" s="3"/>
      <c r="AC14424" s="3"/>
      <c r="AD14424" s="3"/>
      <c r="AE14424" s="3"/>
      <c r="AF14424" s="3"/>
      <c r="AG14424" s="3"/>
      <c r="AH14424" s="3"/>
    </row>
    <row r="14425" spans="1:34" ht="14.25" customHeight="1" x14ac:dyDescent="0.25">
      <c r="A14425" s="3"/>
      <c r="B14425" s="3"/>
      <c r="C14425" s="3"/>
      <c r="D14425" s="3"/>
      <c r="E14425" s="3"/>
      <c r="F14425" s="3"/>
      <c r="G14425" s="3"/>
      <c r="H14425" s="11"/>
      <c r="I14425" s="12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  <c r="AA14425" s="3"/>
      <c r="AB14425" s="3"/>
      <c r="AC14425" s="3"/>
      <c r="AD14425" s="3"/>
      <c r="AE14425" s="3"/>
      <c r="AF14425" s="3"/>
      <c r="AG14425" s="3"/>
      <c r="AH14425" s="3"/>
    </row>
    <row r="14426" spans="1:34" ht="14.25" customHeight="1" x14ac:dyDescent="0.25">
      <c r="A14426" s="3"/>
      <c r="B14426" s="3"/>
      <c r="C14426" s="3"/>
      <c r="D14426" s="3"/>
      <c r="E14426" s="3"/>
      <c r="F14426" s="3"/>
      <c r="G14426" s="3"/>
      <c r="H14426" s="11"/>
      <c r="I14426" s="12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  <c r="AA14426" s="3"/>
      <c r="AB14426" s="3"/>
      <c r="AC14426" s="3"/>
      <c r="AD14426" s="3"/>
      <c r="AE14426" s="3"/>
      <c r="AF14426" s="3"/>
      <c r="AG14426" s="3"/>
      <c r="AH14426" s="3"/>
    </row>
    <row r="14427" spans="1:34" ht="14.25" customHeight="1" x14ac:dyDescent="0.25">
      <c r="A14427" s="3"/>
      <c r="B14427" s="3"/>
      <c r="C14427" s="3"/>
      <c r="D14427" s="3"/>
      <c r="E14427" s="3"/>
      <c r="F14427" s="3"/>
      <c r="G14427" s="3"/>
      <c r="H14427" s="11"/>
      <c r="I14427" s="12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  <c r="AA14427" s="3"/>
      <c r="AB14427" s="3"/>
      <c r="AC14427" s="3"/>
      <c r="AD14427" s="3"/>
      <c r="AE14427" s="3"/>
      <c r="AF14427" s="3"/>
      <c r="AG14427" s="3"/>
      <c r="AH14427" s="3"/>
    </row>
    <row r="14428" spans="1:34" ht="14.25" customHeight="1" x14ac:dyDescent="0.25">
      <c r="A14428" s="3"/>
      <c r="B14428" s="3"/>
      <c r="C14428" s="3"/>
      <c r="D14428" s="3"/>
      <c r="E14428" s="3"/>
      <c r="F14428" s="3"/>
      <c r="G14428" s="3"/>
      <c r="H14428" s="11"/>
      <c r="I14428" s="12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  <c r="AA14428" s="3"/>
      <c r="AB14428" s="3"/>
      <c r="AC14428" s="3"/>
      <c r="AD14428" s="3"/>
      <c r="AE14428" s="3"/>
      <c r="AF14428" s="3"/>
      <c r="AG14428" s="3"/>
      <c r="AH14428" s="3"/>
    </row>
    <row r="14429" spans="1:34" ht="14.25" customHeight="1" x14ac:dyDescent="0.25">
      <c r="A14429" s="3"/>
      <c r="B14429" s="3"/>
      <c r="C14429" s="3"/>
      <c r="D14429" s="3"/>
      <c r="E14429" s="3"/>
      <c r="F14429" s="3"/>
      <c r="G14429" s="3"/>
      <c r="H14429" s="11"/>
      <c r="I14429" s="12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  <c r="AA14429" s="3"/>
      <c r="AB14429" s="3"/>
      <c r="AC14429" s="3"/>
      <c r="AD14429" s="3"/>
      <c r="AE14429" s="3"/>
      <c r="AF14429" s="3"/>
      <c r="AG14429" s="3"/>
      <c r="AH14429" s="3"/>
    </row>
    <row r="14430" spans="1:34" ht="14.25" customHeight="1" x14ac:dyDescent="0.25">
      <c r="A14430" s="3"/>
      <c r="B14430" s="3"/>
      <c r="C14430" s="3"/>
      <c r="D14430" s="3"/>
      <c r="E14430" s="3"/>
      <c r="F14430" s="3"/>
      <c r="G14430" s="3"/>
      <c r="H14430" s="11"/>
      <c r="I14430" s="12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  <c r="AA14430" s="3"/>
      <c r="AB14430" s="3"/>
      <c r="AC14430" s="3"/>
      <c r="AD14430" s="3"/>
      <c r="AE14430" s="3"/>
      <c r="AF14430" s="3"/>
      <c r="AG14430" s="3"/>
      <c r="AH14430" s="3"/>
    </row>
    <row r="14431" spans="1:34" ht="14.25" customHeight="1" x14ac:dyDescent="0.25">
      <c r="A14431" s="3"/>
      <c r="B14431" s="3"/>
      <c r="C14431" s="3"/>
      <c r="D14431" s="3"/>
      <c r="E14431" s="3"/>
      <c r="F14431" s="3"/>
      <c r="G14431" s="3"/>
      <c r="H14431" s="11"/>
      <c r="I14431" s="12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  <c r="AA14431" s="3"/>
      <c r="AB14431" s="3"/>
      <c r="AC14431" s="3"/>
      <c r="AD14431" s="3"/>
      <c r="AE14431" s="3"/>
      <c r="AF14431" s="3"/>
      <c r="AG14431" s="3"/>
      <c r="AH14431" s="3"/>
    </row>
    <row r="14432" spans="1:34" ht="14.25" customHeight="1" x14ac:dyDescent="0.25">
      <c r="A14432" s="3"/>
      <c r="B14432" s="3"/>
      <c r="C14432" s="3"/>
      <c r="D14432" s="3"/>
      <c r="E14432" s="3"/>
      <c r="F14432" s="3"/>
      <c r="G14432" s="3"/>
      <c r="H14432" s="11"/>
      <c r="I14432" s="12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  <c r="AA14432" s="3"/>
      <c r="AB14432" s="3"/>
      <c r="AC14432" s="3"/>
      <c r="AD14432" s="3"/>
      <c r="AE14432" s="3"/>
      <c r="AF14432" s="3"/>
      <c r="AG14432" s="3"/>
      <c r="AH14432" s="3"/>
    </row>
    <row r="14433" spans="1:34" ht="14.25" customHeight="1" x14ac:dyDescent="0.25">
      <c r="A14433" s="3"/>
      <c r="B14433" s="3"/>
      <c r="C14433" s="3"/>
      <c r="D14433" s="3"/>
      <c r="E14433" s="3"/>
      <c r="F14433" s="3"/>
      <c r="G14433" s="3"/>
      <c r="H14433" s="11"/>
      <c r="I14433" s="12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  <c r="AA14433" s="3"/>
      <c r="AB14433" s="3"/>
      <c r="AC14433" s="3"/>
      <c r="AD14433" s="3"/>
      <c r="AE14433" s="3"/>
      <c r="AF14433" s="3"/>
      <c r="AG14433" s="3"/>
      <c r="AH14433" s="3"/>
    </row>
    <row r="14434" spans="1:34" ht="14.25" customHeight="1" x14ac:dyDescent="0.25">
      <c r="A14434" s="3"/>
      <c r="B14434" s="3"/>
      <c r="C14434" s="3"/>
      <c r="D14434" s="3"/>
      <c r="E14434" s="3"/>
      <c r="F14434" s="3"/>
      <c r="G14434" s="3"/>
      <c r="H14434" s="11"/>
      <c r="I14434" s="12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  <c r="AA14434" s="3"/>
      <c r="AB14434" s="3"/>
      <c r="AC14434" s="3"/>
      <c r="AD14434" s="3"/>
      <c r="AE14434" s="3"/>
      <c r="AF14434" s="3"/>
      <c r="AG14434" s="3"/>
      <c r="AH14434" s="3"/>
    </row>
    <row r="14435" spans="1:34" ht="14.25" customHeight="1" x14ac:dyDescent="0.25">
      <c r="A14435" s="3"/>
      <c r="B14435" s="3"/>
      <c r="C14435" s="3"/>
      <c r="D14435" s="3"/>
      <c r="E14435" s="3"/>
      <c r="F14435" s="3"/>
      <c r="G14435" s="3"/>
      <c r="H14435" s="11"/>
      <c r="I14435" s="12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  <c r="AA14435" s="3"/>
      <c r="AB14435" s="3"/>
      <c r="AC14435" s="3"/>
      <c r="AD14435" s="3"/>
      <c r="AE14435" s="3"/>
      <c r="AF14435" s="3"/>
      <c r="AG14435" s="3"/>
      <c r="AH14435" s="3"/>
    </row>
    <row r="14436" spans="1:34" ht="14.25" customHeight="1" x14ac:dyDescent="0.25">
      <c r="A14436" s="3"/>
      <c r="B14436" s="3"/>
      <c r="C14436" s="3"/>
      <c r="D14436" s="3"/>
      <c r="E14436" s="3"/>
      <c r="F14436" s="3"/>
      <c r="G14436" s="3"/>
      <c r="H14436" s="11"/>
      <c r="I14436" s="12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  <c r="AA14436" s="3"/>
      <c r="AB14436" s="3"/>
      <c r="AC14436" s="3"/>
      <c r="AD14436" s="3"/>
      <c r="AE14436" s="3"/>
      <c r="AF14436" s="3"/>
      <c r="AG14436" s="3"/>
      <c r="AH14436" s="3"/>
    </row>
    <row r="14437" spans="1:34" ht="14.25" customHeight="1" x14ac:dyDescent="0.25">
      <c r="A14437" s="3"/>
      <c r="B14437" s="3"/>
      <c r="C14437" s="3"/>
      <c r="D14437" s="3"/>
      <c r="E14437" s="3"/>
      <c r="F14437" s="3"/>
      <c r="G14437" s="3"/>
      <c r="H14437" s="11"/>
      <c r="I14437" s="12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  <c r="AA14437" s="3"/>
      <c r="AB14437" s="3"/>
      <c r="AC14437" s="3"/>
      <c r="AD14437" s="3"/>
      <c r="AE14437" s="3"/>
      <c r="AF14437" s="3"/>
      <c r="AG14437" s="3"/>
      <c r="AH14437" s="3"/>
    </row>
    <row r="14438" spans="1:34" ht="14.25" customHeight="1" x14ac:dyDescent="0.25">
      <c r="A14438" s="3"/>
      <c r="B14438" s="3"/>
      <c r="C14438" s="3"/>
      <c r="D14438" s="3"/>
      <c r="E14438" s="3"/>
      <c r="F14438" s="3"/>
      <c r="G14438" s="3"/>
      <c r="H14438" s="11"/>
      <c r="I14438" s="12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  <c r="AA14438" s="3"/>
      <c r="AB14438" s="3"/>
      <c r="AC14438" s="3"/>
      <c r="AD14438" s="3"/>
      <c r="AE14438" s="3"/>
      <c r="AF14438" s="3"/>
      <c r="AG14438" s="3"/>
      <c r="AH14438" s="3"/>
    </row>
    <row r="14439" spans="1:34" ht="14.25" customHeight="1" x14ac:dyDescent="0.25">
      <c r="A14439" s="3"/>
      <c r="B14439" s="3"/>
      <c r="C14439" s="3"/>
      <c r="D14439" s="3"/>
      <c r="E14439" s="3"/>
      <c r="F14439" s="3"/>
      <c r="G14439" s="3"/>
      <c r="H14439" s="11"/>
      <c r="I14439" s="12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  <c r="AA14439" s="3"/>
      <c r="AB14439" s="3"/>
      <c r="AC14439" s="3"/>
      <c r="AD14439" s="3"/>
      <c r="AE14439" s="3"/>
      <c r="AF14439" s="3"/>
      <c r="AG14439" s="3"/>
      <c r="AH14439" s="3"/>
    </row>
    <row r="14440" spans="1:34" ht="14.25" customHeight="1" x14ac:dyDescent="0.25">
      <c r="A14440" s="3"/>
      <c r="B14440" s="3"/>
      <c r="C14440" s="3"/>
      <c r="D14440" s="3"/>
      <c r="E14440" s="3"/>
      <c r="F14440" s="3"/>
      <c r="G14440" s="3"/>
      <c r="H14440" s="11"/>
      <c r="I14440" s="12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  <c r="AA14440" s="3"/>
      <c r="AB14440" s="3"/>
      <c r="AC14440" s="3"/>
      <c r="AD14440" s="3"/>
      <c r="AE14440" s="3"/>
      <c r="AF14440" s="3"/>
      <c r="AG14440" s="3"/>
      <c r="AH14440" s="3"/>
    </row>
    <row r="14441" spans="1:34" ht="14.25" customHeight="1" x14ac:dyDescent="0.25">
      <c r="A14441" s="3"/>
      <c r="B14441" s="3"/>
      <c r="C14441" s="3"/>
      <c r="D14441" s="3"/>
      <c r="E14441" s="3"/>
      <c r="F14441" s="3"/>
      <c r="G14441" s="3"/>
      <c r="H14441" s="11"/>
      <c r="I14441" s="12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  <c r="AA14441" s="3"/>
      <c r="AB14441" s="3"/>
      <c r="AC14441" s="3"/>
      <c r="AD14441" s="3"/>
      <c r="AE14441" s="3"/>
      <c r="AF14441" s="3"/>
      <c r="AG14441" s="3"/>
      <c r="AH14441" s="3"/>
    </row>
    <row r="14442" spans="1:34" ht="14.25" customHeight="1" x14ac:dyDescent="0.25">
      <c r="A14442" s="3"/>
      <c r="B14442" s="3"/>
      <c r="C14442" s="3"/>
      <c r="D14442" s="3"/>
      <c r="E14442" s="3"/>
      <c r="F14442" s="3"/>
      <c r="G14442" s="3"/>
      <c r="H14442" s="11"/>
      <c r="I14442" s="12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  <c r="AA14442" s="3"/>
      <c r="AB14442" s="3"/>
      <c r="AC14442" s="3"/>
      <c r="AD14442" s="3"/>
      <c r="AE14442" s="3"/>
      <c r="AF14442" s="3"/>
      <c r="AG14442" s="3"/>
      <c r="AH14442" s="3"/>
    </row>
    <row r="14443" spans="1:34" ht="14.25" customHeight="1" x14ac:dyDescent="0.25">
      <c r="A14443" s="3"/>
      <c r="B14443" s="3"/>
      <c r="C14443" s="3"/>
      <c r="D14443" s="3"/>
      <c r="E14443" s="3"/>
      <c r="F14443" s="3"/>
      <c r="G14443" s="3"/>
      <c r="H14443" s="11"/>
      <c r="I14443" s="12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  <c r="AA14443" s="3"/>
      <c r="AB14443" s="3"/>
      <c r="AC14443" s="3"/>
      <c r="AD14443" s="3"/>
      <c r="AE14443" s="3"/>
      <c r="AF14443" s="3"/>
      <c r="AG14443" s="3"/>
      <c r="AH14443" s="3"/>
    </row>
    <row r="14444" spans="1:34" ht="14.25" customHeight="1" x14ac:dyDescent="0.25">
      <c r="A14444" s="3"/>
      <c r="B14444" s="3"/>
      <c r="C14444" s="3"/>
      <c r="D14444" s="3"/>
      <c r="E14444" s="3"/>
      <c r="F14444" s="3"/>
      <c r="G14444" s="3"/>
      <c r="H14444" s="11"/>
      <c r="I14444" s="12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  <c r="AA14444" s="3"/>
      <c r="AB14444" s="3"/>
      <c r="AC14444" s="3"/>
      <c r="AD14444" s="3"/>
      <c r="AE14444" s="3"/>
      <c r="AF14444" s="3"/>
      <c r="AG14444" s="3"/>
      <c r="AH14444" s="3"/>
    </row>
    <row r="14445" spans="1:34" ht="14.25" customHeight="1" x14ac:dyDescent="0.25">
      <c r="A14445" s="3"/>
      <c r="B14445" s="3"/>
      <c r="C14445" s="3"/>
      <c r="D14445" s="3"/>
      <c r="E14445" s="3"/>
      <c r="F14445" s="3"/>
      <c r="G14445" s="3"/>
      <c r="H14445" s="11"/>
      <c r="I14445" s="12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  <c r="AA14445" s="3"/>
      <c r="AB14445" s="3"/>
      <c r="AC14445" s="3"/>
      <c r="AD14445" s="3"/>
      <c r="AE14445" s="3"/>
      <c r="AF14445" s="3"/>
      <c r="AG14445" s="3"/>
      <c r="AH14445" s="3"/>
    </row>
    <row r="14446" spans="1:34" ht="14.25" customHeight="1" x14ac:dyDescent="0.25">
      <c r="A14446" s="3"/>
      <c r="B14446" s="3"/>
      <c r="C14446" s="3"/>
      <c r="D14446" s="3"/>
      <c r="E14446" s="3"/>
      <c r="F14446" s="3"/>
      <c r="G14446" s="3"/>
      <c r="H14446" s="11"/>
      <c r="I14446" s="12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  <c r="AA14446" s="3"/>
      <c r="AB14446" s="3"/>
      <c r="AC14446" s="3"/>
      <c r="AD14446" s="3"/>
      <c r="AE14446" s="3"/>
      <c r="AF14446" s="3"/>
      <c r="AG14446" s="3"/>
      <c r="AH14446" s="3"/>
    </row>
    <row r="14447" spans="1:34" ht="14.25" customHeight="1" x14ac:dyDescent="0.25">
      <c r="A14447" s="3"/>
      <c r="B14447" s="3"/>
      <c r="C14447" s="3"/>
      <c r="D14447" s="3"/>
      <c r="E14447" s="3"/>
      <c r="F14447" s="3"/>
      <c r="G14447" s="3"/>
      <c r="H14447" s="11"/>
      <c r="I14447" s="12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  <c r="AA14447" s="3"/>
      <c r="AB14447" s="3"/>
      <c r="AC14447" s="3"/>
      <c r="AD14447" s="3"/>
      <c r="AE14447" s="3"/>
      <c r="AF14447" s="3"/>
      <c r="AG14447" s="3"/>
      <c r="AH14447" s="3"/>
    </row>
    <row r="14448" spans="1:34" ht="14.25" customHeight="1" x14ac:dyDescent="0.25">
      <c r="A14448" s="3"/>
      <c r="B14448" s="3"/>
      <c r="C14448" s="3"/>
      <c r="D14448" s="3"/>
      <c r="E14448" s="3"/>
      <c r="F14448" s="3"/>
      <c r="G14448" s="3"/>
      <c r="H14448" s="11"/>
      <c r="I14448" s="12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  <c r="AA14448" s="3"/>
      <c r="AB14448" s="3"/>
      <c r="AC14448" s="3"/>
      <c r="AD14448" s="3"/>
      <c r="AE14448" s="3"/>
      <c r="AF14448" s="3"/>
      <c r="AG14448" s="3"/>
      <c r="AH14448" s="3"/>
    </row>
    <row r="14449" spans="1:34" ht="14.25" customHeight="1" x14ac:dyDescent="0.25">
      <c r="A14449" s="3"/>
      <c r="B14449" s="3"/>
      <c r="C14449" s="3"/>
      <c r="D14449" s="3"/>
      <c r="E14449" s="3"/>
      <c r="F14449" s="3"/>
      <c r="G14449" s="3"/>
      <c r="H14449" s="11"/>
      <c r="I14449" s="12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  <c r="AA14449" s="3"/>
      <c r="AB14449" s="3"/>
      <c r="AC14449" s="3"/>
      <c r="AD14449" s="3"/>
      <c r="AE14449" s="3"/>
      <c r="AF14449" s="3"/>
      <c r="AG14449" s="3"/>
      <c r="AH14449" s="3"/>
    </row>
    <row r="14450" spans="1:34" ht="14.25" customHeight="1" x14ac:dyDescent="0.25">
      <c r="A14450" s="3"/>
      <c r="B14450" s="3"/>
      <c r="C14450" s="3"/>
      <c r="D14450" s="3"/>
      <c r="E14450" s="3"/>
      <c r="F14450" s="3"/>
      <c r="G14450" s="3"/>
      <c r="H14450" s="11"/>
      <c r="I14450" s="12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  <c r="AA14450" s="3"/>
      <c r="AB14450" s="3"/>
      <c r="AC14450" s="3"/>
      <c r="AD14450" s="3"/>
      <c r="AE14450" s="3"/>
      <c r="AF14450" s="3"/>
      <c r="AG14450" s="3"/>
      <c r="AH14450" s="3"/>
    </row>
    <row r="14451" spans="1:34" ht="14.25" customHeight="1" x14ac:dyDescent="0.25">
      <c r="A14451" s="3"/>
      <c r="B14451" s="3"/>
      <c r="C14451" s="3"/>
      <c r="D14451" s="3"/>
      <c r="E14451" s="3"/>
      <c r="F14451" s="3"/>
      <c r="G14451" s="3"/>
      <c r="H14451" s="11"/>
      <c r="I14451" s="12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  <c r="AA14451" s="3"/>
      <c r="AB14451" s="3"/>
      <c r="AC14451" s="3"/>
      <c r="AD14451" s="3"/>
      <c r="AE14451" s="3"/>
      <c r="AF14451" s="3"/>
      <c r="AG14451" s="3"/>
      <c r="AH14451" s="3"/>
    </row>
    <row r="14452" spans="1:34" ht="14.25" customHeight="1" x14ac:dyDescent="0.25">
      <c r="A14452" s="3"/>
      <c r="B14452" s="3"/>
      <c r="C14452" s="3"/>
      <c r="D14452" s="3"/>
      <c r="E14452" s="3"/>
      <c r="F14452" s="3"/>
      <c r="G14452" s="3"/>
      <c r="H14452" s="11"/>
      <c r="I14452" s="12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  <c r="AA14452" s="3"/>
      <c r="AB14452" s="3"/>
      <c r="AC14452" s="3"/>
      <c r="AD14452" s="3"/>
      <c r="AE14452" s="3"/>
      <c r="AF14452" s="3"/>
      <c r="AG14452" s="3"/>
      <c r="AH14452" s="3"/>
    </row>
    <row r="14453" spans="1:34" ht="14.25" customHeight="1" x14ac:dyDescent="0.25">
      <c r="A14453" s="3"/>
      <c r="B14453" s="3"/>
      <c r="C14453" s="3"/>
      <c r="D14453" s="3"/>
      <c r="E14453" s="3"/>
      <c r="F14453" s="3"/>
      <c r="G14453" s="3"/>
      <c r="H14453" s="11"/>
      <c r="I14453" s="12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  <c r="AA14453" s="3"/>
      <c r="AB14453" s="3"/>
      <c r="AC14453" s="3"/>
      <c r="AD14453" s="3"/>
      <c r="AE14453" s="3"/>
      <c r="AF14453" s="3"/>
      <c r="AG14453" s="3"/>
      <c r="AH14453" s="3"/>
    </row>
    <row r="14454" spans="1:34" ht="14.25" customHeight="1" x14ac:dyDescent="0.25">
      <c r="A14454" s="3"/>
      <c r="B14454" s="3"/>
      <c r="C14454" s="3"/>
      <c r="D14454" s="3"/>
      <c r="E14454" s="3"/>
      <c r="F14454" s="3"/>
      <c r="G14454" s="3"/>
      <c r="H14454" s="11"/>
      <c r="I14454" s="12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  <c r="AA14454" s="3"/>
      <c r="AB14454" s="3"/>
      <c r="AC14454" s="3"/>
      <c r="AD14454" s="3"/>
      <c r="AE14454" s="3"/>
      <c r="AF14454" s="3"/>
      <c r="AG14454" s="3"/>
      <c r="AH14454" s="3"/>
    </row>
    <row r="14455" spans="1:34" ht="14.25" customHeight="1" x14ac:dyDescent="0.25">
      <c r="A14455" s="3"/>
      <c r="B14455" s="3"/>
      <c r="C14455" s="3"/>
      <c r="D14455" s="3"/>
      <c r="E14455" s="3"/>
      <c r="F14455" s="3"/>
      <c r="G14455" s="3"/>
      <c r="H14455" s="11"/>
      <c r="I14455" s="12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  <c r="AA14455" s="3"/>
      <c r="AB14455" s="3"/>
      <c r="AC14455" s="3"/>
      <c r="AD14455" s="3"/>
      <c r="AE14455" s="3"/>
      <c r="AF14455" s="3"/>
      <c r="AG14455" s="3"/>
      <c r="AH14455" s="3"/>
    </row>
    <row r="14456" spans="1:34" ht="14.25" customHeight="1" x14ac:dyDescent="0.25">
      <c r="A14456" s="3"/>
      <c r="B14456" s="3"/>
      <c r="C14456" s="3"/>
      <c r="D14456" s="3"/>
      <c r="E14456" s="3"/>
      <c r="F14456" s="3"/>
      <c r="G14456" s="3"/>
      <c r="H14456" s="11"/>
      <c r="I14456" s="12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  <c r="AA14456" s="3"/>
      <c r="AB14456" s="3"/>
      <c r="AC14456" s="3"/>
      <c r="AD14456" s="3"/>
      <c r="AE14456" s="3"/>
      <c r="AF14456" s="3"/>
      <c r="AG14456" s="3"/>
      <c r="AH14456" s="3"/>
    </row>
    <row r="14457" spans="1:34" ht="14.25" customHeight="1" x14ac:dyDescent="0.25">
      <c r="A14457" s="3"/>
      <c r="B14457" s="3"/>
      <c r="C14457" s="3"/>
      <c r="D14457" s="3"/>
      <c r="E14457" s="3"/>
      <c r="F14457" s="3"/>
      <c r="G14457" s="3"/>
      <c r="H14457" s="11"/>
      <c r="I14457" s="12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  <c r="AA14457" s="3"/>
      <c r="AB14457" s="3"/>
      <c r="AC14457" s="3"/>
      <c r="AD14457" s="3"/>
      <c r="AE14457" s="3"/>
      <c r="AF14457" s="3"/>
      <c r="AG14457" s="3"/>
      <c r="AH14457" s="3"/>
    </row>
    <row r="14458" spans="1:34" ht="14.25" customHeight="1" x14ac:dyDescent="0.25">
      <c r="A14458" s="3"/>
      <c r="B14458" s="3"/>
      <c r="C14458" s="3"/>
      <c r="D14458" s="3"/>
      <c r="E14458" s="3"/>
      <c r="F14458" s="3"/>
      <c r="G14458" s="3"/>
      <c r="H14458" s="11"/>
      <c r="I14458" s="12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  <c r="AA14458" s="3"/>
      <c r="AB14458" s="3"/>
      <c r="AC14458" s="3"/>
      <c r="AD14458" s="3"/>
      <c r="AE14458" s="3"/>
      <c r="AF14458" s="3"/>
      <c r="AG14458" s="3"/>
      <c r="AH14458" s="3"/>
    </row>
    <row r="14459" spans="1:34" ht="14.25" customHeight="1" x14ac:dyDescent="0.25">
      <c r="A14459" s="3"/>
      <c r="B14459" s="3"/>
      <c r="C14459" s="3"/>
      <c r="D14459" s="3"/>
      <c r="E14459" s="3"/>
      <c r="F14459" s="3"/>
      <c r="G14459" s="3"/>
      <c r="H14459" s="11"/>
      <c r="I14459" s="12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  <c r="AA14459" s="3"/>
      <c r="AB14459" s="3"/>
      <c r="AC14459" s="3"/>
      <c r="AD14459" s="3"/>
      <c r="AE14459" s="3"/>
      <c r="AF14459" s="3"/>
      <c r="AG14459" s="3"/>
      <c r="AH14459" s="3"/>
    </row>
    <row r="14460" spans="1:34" ht="14.25" customHeight="1" x14ac:dyDescent="0.25">
      <c r="A14460" s="3"/>
      <c r="B14460" s="3"/>
      <c r="C14460" s="3"/>
      <c r="D14460" s="3"/>
      <c r="E14460" s="3"/>
      <c r="F14460" s="3"/>
      <c r="G14460" s="3"/>
      <c r="H14460" s="11"/>
      <c r="I14460" s="12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  <c r="AA14460" s="3"/>
      <c r="AB14460" s="3"/>
      <c r="AC14460" s="3"/>
      <c r="AD14460" s="3"/>
      <c r="AE14460" s="3"/>
      <c r="AF14460" s="3"/>
      <c r="AG14460" s="3"/>
      <c r="AH14460" s="3"/>
    </row>
    <row r="14461" spans="1:34" ht="14.25" customHeight="1" x14ac:dyDescent="0.25">
      <c r="A14461" s="3"/>
      <c r="B14461" s="3"/>
      <c r="C14461" s="3"/>
      <c r="D14461" s="3"/>
      <c r="E14461" s="3"/>
      <c r="F14461" s="3"/>
      <c r="G14461" s="3"/>
      <c r="H14461" s="11"/>
      <c r="I14461" s="12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  <c r="AA14461" s="3"/>
      <c r="AB14461" s="3"/>
      <c r="AC14461" s="3"/>
      <c r="AD14461" s="3"/>
      <c r="AE14461" s="3"/>
      <c r="AF14461" s="3"/>
      <c r="AG14461" s="3"/>
      <c r="AH14461" s="3"/>
    </row>
    <row r="14462" spans="1:34" ht="14.25" customHeight="1" x14ac:dyDescent="0.25">
      <c r="A14462" s="3"/>
      <c r="B14462" s="3"/>
      <c r="C14462" s="3"/>
      <c r="D14462" s="3"/>
      <c r="E14462" s="3"/>
      <c r="F14462" s="3"/>
      <c r="G14462" s="3"/>
      <c r="H14462" s="11"/>
      <c r="I14462" s="12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  <c r="AA14462" s="3"/>
      <c r="AB14462" s="3"/>
      <c r="AC14462" s="3"/>
      <c r="AD14462" s="3"/>
      <c r="AE14462" s="3"/>
      <c r="AF14462" s="3"/>
      <c r="AG14462" s="3"/>
      <c r="AH14462" s="3"/>
    </row>
    <row r="14463" spans="1:34" ht="14.25" customHeight="1" x14ac:dyDescent="0.25">
      <c r="A14463" s="3"/>
      <c r="B14463" s="3"/>
      <c r="C14463" s="3"/>
      <c r="D14463" s="3"/>
      <c r="E14463" s="3"/>
      <c r="F14463" s="3"/>
      <c r="G14463" s="3"/>
      <c r="H14463" s="11"/>
      <c r="I14463" s="12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  <c r="AA14463" s="3"/>
      <c r="AB14463" s="3"/>
      <c r="AC14463" s="3"/>
      <c r="AD14463" s="3"/>
      <c r="AE14463" s="3"/>
      <c r="AF14463" s="3"/>
      <c r="AG14463" s="3"/>
      <c r="AH14463" s="3"/>
    </row>
    <row r="14464" spans="1:34" ht="14.25" customHeight="1" x14ac:dyDescent="0.25">
      <c r="A14464" s="3"/>
      <c r="B14464" s="3"/>
      <c r="C14464" s="3"/>
      <c r="D14464" s="3"/>
      <c r="E14464" s="3"/>
      <c r="F14464" s="3"/>
      <c r="G14464" s="3"/>
      <c r="H14464" s="11"/>
      <c r="I14464" s="12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  <c r="AA14464" s="3"/>
      <c r="AB14464" s="3"/>
      <c r="AC14464" s="3"/>
      <c r="AD14464" s="3"/>
      <c r="AE14464" s="3"/>
      <c r="AF14464" s="3"/>
      <c r="AG14464" s="3"/>
      <c r="AH14464" s="3"/>
    </row>
    <row r="14465" spans="1:34" ht="14.25" customHeight="1" x14ac:dyDescent="0.25">
      <c r="A14465" s="3"/>
      <c r="B14465" s="3"/>
      <c r="C14465" s="3"/>
      <c r="D14465" s="3"/>
      <c r="E14465" s="3"/>
      <c r="F14465" s="3"/>
      <c r="G14465" s="3"/>
      <c r="H14465" s="11"/>
      <c r="I14465" s="12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  <c r="AA14465" s="3"/>
      <c r="AB14465" s="3"/>
      <c r="AC14465" s="3"/>
      <c r="AD14465" s="3"/>
      <c r="AE14465" s="3"/>
      <c r="AF14465" s="3"/>
      <c r="AG14465" s="3"/>
      <c r="AH14465" s="3"/>
    </row>
    <row r="14466" spans="1:34" ht="14.25" customHeight="1" x14ac:dyDescent="0.25">
      <c r="A14466" s="3"/>
      <c r="B14466" s="3"/>
      <c r="C14466" s="3"/>
      <c r="D14466" s="3"/>
      <c r="E14466" s="3"/>
      <c r="F14466" s="3"/>
      <c r="G14466" s="3"/>
      <c r="H14466" s="11"/>
      <c r="I14466" s="12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  <c r="AA14466" s="3"/>
      <c r="AB14466" s="3"/>
      <c r="AC14466" s="3"/>
      <c r="AD14466" s="3"/>
      <c r="AE14466" s="3"/>
      <c r="AF14466" s="3"/>
      <c r="AG14466" s="3"/>
      <c r="AH14466" s="3"/>
    </row>
    <row r="14467" spans="1:34" ht="14.25" customHeight="1" x14ac:dyDescent="0.25">
      <c r="A14467" s="3"/>
      <c r="B14467" s="3"/>
      <c r="C14467" s="3"/>
      <c r="D14467" s="3"/>
      <c r="E14467" s="3"/>
      <c r="F14467" s="3"/>
      <c r="G14467" s="3"/>
      <c r="H14467" s="11"/>
      <c r="I14467" s="12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  <c r="AA14467" s="3"/>
      <c r="AB14467" s="3"/>
      <c r="AC14467" s="3"/>
      <c r="AD14467" s="3"/>
      <c r="AE14467" s="3"/>
      <c r="AF14467" s="3"/>
      <c r="AG14467" s="3"/>
      <c r="AH14467" s="3"/>
    </row>
    <row r="14468" spans="1:34" ht="14.25" customHeight="1" x14ac:dyDescent="0.25">
      <c r="A14468" s="3"/>
      <c r="B14468" s="3"/>
      <c r="C14468" s="3"/>
      <c r="D14468" s="3"/>
      <c r="E14468" s="3"/>
      <c r="F14468" s="3"/>
      <c r="G14468" s="3"/>
      <c r="H14468" s="11"/>
      <c r="I14468" s="12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  <c r="AA14468" s="3"/>
      <c r="AB14468" s="3"/>
      <c r="AC14468" s="3"/>
      <c r="AD14468" s="3"/>
      <c r="AE14468" s="3"/>
      <c r="AF14468" s="3"/>
      <c r="AG14468" s="3"/>
      <c r="AH14468" s="3"/>
    </row>
    <row r="14469" spans="1:34" ht="14.25" customHeight="1" x14ac:dyDescent="0.25">
      <c r="A14469" s="3"/>
      <c r="B14469" s="3"/>
      <c r="C14469" s="3"/>
      <c r="D14469" s="3"/>
      <c r="E14469" s="3"/>
      <c r="F14469" s="3"/>
      <c r="G14469" s="3"/>
      <c r="H14469" s="11"/>
      <c r="I14469" s="12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  <c r="AA14469" s="3"/>
      <c r="AB14469" s="3"/>
      <c r="AC14469" s="3"/>
      <c r="AD14469" s="3"/>
      <c r="AE14469" s="3"/>
      <c r="AF14469" s="3"/>
      <c r="AG14469" s="3"/>
      <c r="AH14469" s="3"/>
    </row>
    <row r="14470" spans="1:34" ht="14.25" customHeight="1" x14ac:dyDescent="0.25">
      <c r="A14470" s="3"/>
      <c r="B14470" s="3"/>
      <c r="C14470" s="3"/>
      <c r="D14470" s="3"/>
      <c r="E14470" s="3"/>
      <c r="F14470" s="3"/>
      <c r="G14470" s="3"/>
      <c r="H14470" s="11"/>
      <c r="I14470" s="12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  <c r="AA14470" s="3"/>
      <c r="AB14470" s="3"/>
      <c r="AC14470" s="3"/>
      <c r="AD14470" s="3"/>
      <c r="AE14470" s="3"/>
      <c r="AF14470" s="3"/>
      <c r="AG14470" s="3"/>
      <c r="AH14470" s="3"/>
    </row>
    <row r="14471" spans="1:34" ht="14.25" customHeight="1" x14ac:dyDescent="0.25">
      <c r="A14471" s="3"/>
      <c r="B14471" s="3"/>
      <c r="C14471" s="3"/>
      <c r="D14471" s="3"/>
      <c r="E14471" s="3"/>
      <c r="F14471" s="3"/>
      <c r="G14471" s="3"/>
      <c r="H14471" s="11"/>
      <c r="I14471" s="12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  <c r="AA14471" s="3"/>
      <c r="AB14471" s="3"/>
      <c r="AC14471" s="3"/>
      <c r="AD14471" s="3"/>
      <c r="AE14471" s="3"/>
      <c r="AF14471" s="3"/>
      <c r="AG14471" s="3"/>
      <c r="AH14471" s="3"/>
    </row>
    <row r="14472" spans="1:34" ht="14.25" customHeight="1" x14ac:dyDescent="0.25">
      <c r="A14472" s="3"/>
      <c r="B14472" s="3"/>
      <c r="C14472" s="3"/>
      <c r="D14472" s="3"/>
      <c r="E14472" s="3"/>
      <c r="F14472" s="3"/>
      <c r="G14472" s="3"/>
      <c r="H14472" s="11"/>
      <c r="I14472" s="12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  <c r="AA14472" s="3"/>
      <c r="AB14472" s="3"/>
      <c r="AC14472" s="3"/>
      <c r="AD14472" s="3"/>
      <c r="AE14472" s="3"/>
      <c r="AF14472" s="3"/>
      <c r="AG14472" s="3"/>
      <c r="AH14472" s="3"/>
    </row>
    <row r="14473" spans="1:34" ht="14.25" customHeight="1" x14ac:dyDescent="0.25">
      <c r="A14473" s="3"/>
      <c r="B14473" s="3"/>
      <c r="C14473" s="3"/>
      <c r="D14473" s="3"/>
      <c r="E14473" s="3"/>
      <c r="F14473" s="3"/>
      <c r="G14473" s="3"/>
      <c r="H14473" s="11"/>
      <c r="I14473" s="12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  <c r="AA14473" s="3"/>
      <c r="AB14473" s="3"/>
      <c r="AC14473" s="3"/>
      <c r="AD14473" s="3"/>
      <c r="AE14473" s="3"/>
      <c r="AF14473" s="3"/>
      <c r="AG14473" s="3"/>
      <c r="AH14473" s="3"/>
    </row>
    <row r="14474" spans="1:34" ht="14.25" customHeight="1" x14ac:dyDescent="0.25">
      <c r="A14474" s="3"/>
      <c r="B14474" s="3"/>
      <c r="C14474" s="3"/>
      <c r="D14474" s="3"/>
      <c r="E14474" s="3"/>
      <c r="F14474" s="3"/>
      <c r="G14474" s="3"/>
      <c r="H14474" s="11"/>
      <c r="I14474" s="12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  <c r="AA14474" s="3"/>
      <c r="AB14474" s="3"/>
      <c r="AC14474" s="3"/>
      <c r="AD14474" s="3"/>
      <c r="AE14474" s="3"/>
      <c r="AF14474" s="3"/>
      <c r="AG14474" s="3"/>
      <c r="AH14474" s="3"/>
    </row>
    <row r="14475" spans="1:34" ht="14.25" customHeight="1" x14ac:dyDescent="0.25">
      <c r="A14475" s="3"/>
      <c r="B14475" s="3"/>
      <c r="C14475" s="3"/>
      <c r="D14475" s="3"/>
      <c r="E14475" s="3"/>
      <c r="F14475" s="3"/>
      <c r="G14475" s="3"/>
      <c r="H14475" s="11"/>
      <c r="I14475" s="12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  <c r="AA14475" s="3"/>
      <c r="AB14475" s="3"/>
      <c r="AC14475" s="3"/>
      <c r="AD14475" s="3"/>
      <c r="AE14475" s="3"/>
      <c r="AF14475" s="3"/>
      <c r="AG14475" s="3"/>
      <c r="AH14475" s="3"/>
    </row>
    <row r="14476" spans="1:34" ht="14.25" customHeight="1" x14ac:dyDescent="0.25">
      <c r="A14476" s="3"/>
      <c r="B14476" s="3"/>
      <c r="C14476" s="3"/>
      <c r="D14476" s="3"/>
      <c r="E14476" s="3"/>
      <c r="F14476" s="3"/>
      <c r="G14476" s="3"/>
      <c r="H14476" s="11"/>
      <c r="I14476" s="12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  <c r="AA14476" s="3"/>
      <c r="AB14476" s="3"/>
      <c r="AC14476" s="3"/>
      <c r="AD14476" s="3"/>
      <c r="AE14476" s="3"/>
      <c r="AF14476" s="3"/>
      <c r="AG14476" s="3"/>
      <c r="AH14476" s="3"/>
    </row>
    <row r="14477" spans="1:34" ht="14.25" customHeight="1" x14ac:dyDescent="0.25">
      <c r="A14477" s="3"/>
      <c r="B14477" s="3"/>
      <c r="C14477" s="3"/>
      <c r="D14477" s="3"/>
      <c r="E14477" s="3"/>
      <c r="F14477" s="3"/>
      <c r="G14477" s="3"/>
      <c r="H14477" s="11"/>
      <c r="I14477" s="12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  <c r="AA14477" s="3"/>
      <c r="AB14477" s="3"/>
      <c r="AC14477" s="3"/>
      <c r="AD14477" s="3"/>
      <c r="AE14477" s="3"/>
      <c r="AF14477" s="3"/>
      <c r="AG14477" s="3"/>
      <c r="AH14477" s="3"/>
    </row>
    <row r="14478" spans="1:34" ht="14.25" customHeight="1" x14ac:dyDescent="0.25">
      <c r="A14478" s="3"/>
      <c r="B14478" s="3"/>
      <c r="C14478" s="3"/>
      <c r="D14478" s="3"/>
      <c r="E14478" s="3"/>
      <c r="F14478" s="3"/>
      <c r="G14478" s="3"/>
      <c r="H14478" s="11"/>
      <c r="I14478" s="12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  <c r="AA14478" s="3"/>
      <c r="AB14478" s="3"/>
      <c r="AC14478" s="3"/>
      <c r="AD14478" s="3"/>
      <c r="AE14478" s="3"/>
      <c r="AF14478" s="3"/>
      <c r="AG14478" s="3"/>
      <c r="AH14478" s="3"/>
    </row>
    <row r="14479" spans="1:34" ht="14.25" customHeight="1" x14ac:dyDescent="0.25">
      <c r="A14479" s="3"/>
      <c r="B14479" s="3"/>
      <c r="C14479" s="3"/>
      <c r="D14479" s="3"/>
      <c r="E14479" s="3"/>
      <c r="F14479" s="3"/>
      <c r="G14479" s="3"/>
      <c r="H14479" s="11"/>
      <c r="I14479" s="12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  <c r="AA14479" s="3"/>
      <c r="AB14479" s="3"/>
      <c r="AC14479" s="3"/>
      <c r="AD14479" s="3"/>
      <c r="AE14479" s="3"/>
      <c r="AF14479" s="3"/>
      <c r="AG14479" s="3"/>
      <c r="AH14479" s="3"/>
    </row>
    <row r="14480" spans="1:34" ht="14.25" customHeight="1" x14ac:dyDescent="0.25">
      <c r="A14480" s="3"/>
      <c r="B14480" s="3"/>
      <c r="C14480" s="3"/>
      <c r="D14480" s="3"/>
      <c r="E14480" s="3"/>
      <c r="F14480" s="3"/>
      <c r="G14480" s="3"/>
      <c r="H14480" s="11"/>
      <c r="I14480" s="12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  <c r="AA14480" s="3"/>
      <c r="AB14480" s="3"/>
      <c r="AC14480" s="3"/>
      <c r="AD14480" s="3"/>
      <c r="AE14480" s="3"/>
      <c r="AF14480" s="3"/>
      <c r="AG14480" s="3"/>
      <c r="AH14480" s="3"/>
    </row>
    <row r="14481" spans="1:34" ht="14.25" customHeight="1" x14ac:dyDescent="0.25">
      <c r="A14481" s="3"/>
      <c r="B14481" s="3"/>
      <c r="C14481" s="3"/>
      <c r="D14481" s="3"/>
      <c r="E14481" s="3"/>
      <c r="F14481" s="3"/>
      <c r="G14481" s="3"/>
      <c r="H14481" s="11"/>
      <c r="I14481" s="12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  <c r="AA14481" s="3"/>
      <c r="AB14481" s="3"/>
      <c r="AC14481" s="3"/>
      <c r="AD14481" s="3"/>
      <c r="AE14481" s="3"/>
      <c r="AF14481" s="3"/>
      <c r="AG14481" s="3"/>
      <c r="AH14481" s="3"/>
    </row>
    <row r="14482" spans="1:34" ht="14.25" customHeight="1" x14ac:dyDescent="0.25">
      <c r="A14482" s="3"/>
      <c r="B14482" s="3"/>
      <c r="C14482" s="3"/>
      <c r="D14482" s="3"/>
      <c r="E14482" s="3"/>
      <c r="F14482" s="3"/>
      <c r="G14482" s="3"/>
      <c r="H14482" s="11"/>
      <c r="I14482" s="12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  <c r="AA14482" s="3"/>
      <c r="AB14482" s="3"/>
      <c r="AC14482" s="3"/>
      <c r="AD14482" s="3"/>
      <c r="AE14482" s="3"/>
      <c r="AF14482" s="3"/>
      <c r="AG14482" s="3"/>
      <c r="AH14482" s="3"/>
    </row>
    <row r="14483" spans="1:34" ht="14.25" customHeight="1" x14ac:dyDescent="0.25">
      <c r="A14483" s="3"/>
      <c r="B14483" s="3"/>
      <c r="C14483" s="3"/>
      <c r="D14483" s="3"/>
      <c r="E14483" s="3"/>
      <c r="F14483" s="3"/>
      <c r="G14483" s="3"/>
      <c r="H14483" s="11"/>
      <c r="I14483" s="12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  <c r="AA14483" s="3"/>
      <c r="AB14483" s="3"/>
      <c r="AC14483" s="3"/>
      <c r="AD14483" s="3"/>
      <c r="AE14483" s="3"/>
      <c r="AF14483" s="3"/>
      <c r="AG14483" s="3"/>
      <c r="AH14483" s="3"/>
    </row>
    <row r="14484" spans="1:34" ht="14.25" customHeight="1" x14ac:dyDescent="0.25">
      <c r="A14484" s="3"/>
      <c r="B14484" s="3"/>
      <c r="C14484" s="3"/>
      <c r="D14484" s="3"/>
      <c r="E14484" s="3"/>
      <c r="F14484" s="3"/>
      <c r="G14484" s="3"/>
      <c r="H14484" s="11"/>
      <c r="I14484" s="12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  <c r="AA14484" s="3"/>
      <c r="AB14484" s="3"/>
      <c r="AC14484" s="3"/>
      <c r="AD14484" s="3"/>
      <c r="AE14484" s="3"/>
      <c r="AF14484" s="3"/>
      <c r="AG14484" s="3"/>
      <c r="AH14484" s="3"/>
    </row>
    <row r="14485" spans="1:34" ht="14.25" customHeight="1" x14ac:dyDescent="0.25">
      <c r="A14485" s="3"/>
      <c r="B14485" s="3"/>
      <c r="C14485" s="3"/>
      <c r="D14485" s="3"/>
      <c r="E14485" s="3"/>
      <c r="F14485" s="3"/>
      <c r="G14485" s="3"/>
      <c r="H14485" s="11"/>
      <c r="I14485" s="12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  <c r="AA14485" s="3"/>
      <c r="AB14485" s="3"/>
      <c r="AC14485" s="3"/>
      <c r="AD14485" s="3"/>
      <c r="AE14485" s="3"/>
      <c r="AF14485" s="3"/>
      <c r="AG14485" s="3"/>
      <c r="AH14485" s="3"/>
    </row>
    <row r="14486" spans="1:34" ht="14.25" customHeight="1" x14ac:dyDescent="0.25">
      <c r="A14486" s="3"/>
      <c r="B14486" s="3"/>
      <c r="C14486" s="3"/>
      <c r="D14486" s="3"/>
      <c r="E14486" s="3"/>
      <c r="F14486" s="3"/>
      <c r="G14486" s="3"/>
      <c r="H14486" s="11"/>
      <c r="I14486" s="12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  <c r="AA14486" s="3"/>
      <c r="AB14486" s="3"/>
      <c r="AC14486" s="3"/>
      <c r="AD14486" s="3"/>
      <c r="AE14486" s="3"/>
      <c r="AF14486" s="3"/>
      <c r="AG14486" s="3"/>
      <c r="AH14486" s="3"/>
    </row>
    <row r="14487" spans="1:34" ht="14.25" customHeight="1" x14ac:dyDescent="0.25">
      <c r="A14487" s="3"/>
      <c r="B14487" s="3"/>
      <c r="C14487" s="3"/>
      <c r="D14487" s="3"/>
      <c r="E14487" s="3"/>
      <c r="F14487" s="3"/>
      <c r="G14487" s="3"/>
      <c r="H14487" s="11"/>
      <c r="I14487" s="12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  <c r="AA14487" s="3"/>
      <c r="AB14487" s="3"/>
      <c r="AC14487" s="3"/>
      <c r="AD14487" s="3"/>
      <c r="AE14487" s="3"/>
      <c r="AF14487" s="3"/>
      <c r="AG14487" s="3"/>
      <c r="AH14487" s="3"/>
    </row>
    <row r="14488" spans="1:34" ht="14.25" customHeight="1" x14ac:dyDescent="0.25">
      <c r="A14488" s="3"/>
      <c r="B14488" s="3"/>
      <c r="C14488" s="3"/>
      <c r="D14488" s="3"/>
      <c r="E14488" s="3"/>
      <c r="F14488" s="3"/>
      <c r="G14488" s="3"/>
      <c r="H14488" s="11"/>
      <c r="I14488" s="12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  <c r="AA14488" s="3"/>
      <c r="AB14488" s="3"/>
      <c r="AC14488" s="3"/>
      <c r="AD14488" s="3"/>
      <c r="AE14488" s="3"/>
      <c r="AF14488" s="3"/>
      <c r="AG14488" s="3"/>
      <c r="AH14488" s="3"/>
    </row>
    <row r="14489" spans="1:34" ht="14.25" customHeight="1" x14ac:dyDescent="0.25">
      <c r="A14489" s="3"/>
      <c r="B14489" s="3"/>
      <c r="C14489" s="3"/>
      <c r="D14489" s="3"/>
      <c r="E14489" s="3"/>
      <c r="F14489" s="3"/>
      <c r="G14489" s="3"/>
      <c r="H14489" s="11"/>
      <c r="I14489" s="12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  <c r="AA14489" s="3"/>
      <c r="AB14489" s="3"/>
      <c r="AC14489" s="3"/>
      <c r="AD14489" s="3"/>
      <c r="AE14489" s="3"/>
      <c r="AF14489" s="3"/>
      <c r="AG14489" s="3"/>
      <c r="AH14489" s="3"/>
    </row>
    <row r="14490" spans="1:34" ht="14.25" customHeight="1" x14ac:dyDescent="0.25">
      <c r="A14490" s="3"/>
      <c r="B14490" s="3"/>
      <c r="C14490" s="3"/>
      <c r="D14490" s="3"/>
      <c r="E14490" s="3"/>
      <c r="F14490" s="3"/>
      <c r="G14490" s="3"/>
      <c r="H14490" s="11"/>
      <c r="I14490" s="12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  <c r="AA14490" s="3"/>
      <c r="AB14490" s="3"/>
      <c r="AC14490" s="3"/>
      <c r="AD14490" s="3"/>
      <c r="AE14490" s="3"/>
      <c r="AF14490" s="3"/>
      <c r="AG14490" s="3"/>
      <c r="AH14490" s="3"/>
    </row>
    <row r="14491" spans="1:34" ht="14.25" customHeight="1" x14ac:dyDescent="0.25">
      <c r="A14491" s="3"/>
      <c r="B14491" s="3"/>
      <c r="C14491" s="3"/>
      <c r="D14491" s="3"/>
      <c r="E14491" s="3"/>
      <c r="F14491" s="3"/>
      <c r="G14491" s="3"/>
      <c r="H14491" s="11"/>
      <c r="I14491" s="12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  <c r="AA14491" s="3"/>
      <c r="AB14491" s="3"/>
      <c r="AC14491" s="3"/>
      <c r="AD14491" s="3"/>
      <c r="AE14491" s="3"/>
      <c r="AF14491" s="3"/>
      <c r="AG14491" s="3"/>
      <c r="AH14491" s="3"/>
    </row>
    <row r="14492" spans="1:34" ht="14.25" customHeight="1" x14ac:dyDescent="0.25">
      <c r="A14492" s="3"/>
      <c r="B14492" s="3"/>
      <c r="C14492" s="3"/>
      <c r="D14492" s="3"/>
      <c r="E14492" s="3"/>
      <c r="F14492" s="3"/>
      <c r="G14492" s="3"/>
      <c r="H14492" s="11"/>
      <c r="I14492" s="12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  <c r="AA14492" s="3"/>
      <c r="AB14492" s="3"/>
      <c r="AC14492" s="3"/>
      <c r="AD14492" s="3"/>
      <c r="AE14492" s="3"/>
      <c r="AF14492" s="3"/>
      <c r="AG14492" s="3"/>
      <c r="AH14492" s="3"/>
    </row>
    <row r="14493" spans="1:34" ht="14.25" customHeight="1" x14ac:dyDescent="0.25">
      <c r="A14493" s="3"/>
      <c r="B14493" s="3"/>
      <c r="C14493" s="3"/>
      <c r="D14493" s="3"/>
      <c r="E14493" s="3"/>
      <c r="F14493" s="3"/>
      <c r="G14493" s="3"/>
      <c r="H14493" s="11"/>
      <c r="I14493" s="12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  <c r="AA14493" s="3"/>
      <c r="AB14493" s="3"/>
      <c r="AC14493" s="3"/>
      <c r="AD14493" s="3"/>
      <c r="AE14493" s="3"/>
      <c r="AF14493" s="3"/>
      <c r="AG14493" s="3"/>
      <c r="AH14493" s="3"/>
    </row>
    <row r="14494" spans="1:34" ht="14.25" customHeight="1" x14ac:dyDescent="0.25">
      <c r="A14494" s="3"/>
      <c r="B14494" s="3"/>
      <c r="C14494" s="3"/>
      <c r="D14494" s="3"/>
      <c r="E14494" s="3"/>
      <c r="F14494" s="3"/>
      <c r="G14494" s="3"/>
      <c r="H14494" s="11"/>
      <c r="I14494" s="12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  <c r="AA14494" s="3"/>
      <c r="AB14494" s="3"/>
      <c r="AC14494" s="3"/>
      <c r="AD14494" s="3"/>
      <c r="AE14494" s="3"/>
      <c r="AF14494" s="3"/>
      <c r="AG14494" s="3"/>
      <c r="AH14494" s="3"/>
    </row>
    <row r="14495" spans="1:34" ht="14.25" customHeight="1" x14ac:dyDescent="0.25">
      <c r="A14495" s="3"/>
      <c r="B14495" s="3"/>
      <c r="C14495" s="3"/>
      <c r="D14495" s="3"/>
      <c r="E14495" s="3"/>
      <c r="F14495" s="3"/>
      <c r="G14495" s="3"/>
      <c r="H14495" s="11"/>
      <c r="I14495" s="12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  <c r="AA14495" s="3"/>
      <c r="AB14495" s="3"/>
      <c r="AC14495" s="3"/>
      <c r="AD14495" s="3"/>
      <c r="AE14495" s="3"/>
      <c r="AF14495" s="3"/>
      <c r="AG14495" s="3"/>
      <c r="AH14495" s="3"/>
    </row>
    <row r="14496" spans="1:34" ht="14.25" customHeight="1" x14ac:dyDescent="0.25">
      <c r="A14496" s="3"/>
      <c r="B14496" s="3"/>
      <c r="C14496" s="3"/>
      <c r="D14496" s="3"/>
      <c r="E14496" s="3"/>
      <c r="F14496" s="3"/>
      <c r="G14496" s="3"/>
      <c r="H14496" s="11"/>
      <c r="I14496" s="12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  <c r="AA14496" s="3"/>
      <c r="AB14496" s="3"/>
      <c r="AC14496" s="3"/>
      <c r="AD14496" s="3"/>
      <c r="AE14496" s="3"/>
      <c r="AF14496" s="3"/>
      <c r="AG14496" s="3"/>
      <c r="AH14496" s="3"/>
    </row>
    <row r="14497" spans="1:34" ht="14.25" customHeight="1" x14ac:dyDescent="0.25">
      <c r="A14497" s="3"/>
      <c r="B14497" s="3"/>
      <c r="C14497" s="3"/>
      <c r="D14497" s="3"/>
      <c r="E14497" s="3"/>
      <c r="F14497" s="3"/>
      <c r="G14497" s="3"/>
      <c r="H14497" s="11"/>
      <c r="I14497" s="12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  <c r="AA14497" s="3"/>
      <c r="AB14497" s="3"/>
      <c r="AC14497" s="3"/>
      <c r="AD14497" s="3"/>
      <c r="AE14497" s="3"/>
      <c r="AF14497" s="3"/>
      <c r="AG14497" s="3"/>
      <c r="AH14497" s="3"/>
    </row>
    <row r="14498" spans="1:34" ht="14.25" customHeight="1" x14ac:dyDescent="0.25">
      <c r="A14498" s="3"/>
      <c r="B14498" s="3"/>
      <c r="C14498" s="3"/>
      <c r="D14498" s="3"/>
      <c r="E14498" s="3"/>
      <c r="F14498" s="3"/>
      <c r="G14498" s="3"/>
      <c r="H14498" s="11"/>
      <c r="I14498" s="12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  <c r="AA14498" s="3"/>
      <c r="AB14498" s="3"/>
      <c r="AC14498" s="3"/>
      <c r="AD14498" s="3"/>
      <c r="AE14498" s="3"/>
      <c r="AF14498" s="3"/>
      <c r="AG14498" s="3"/>
      <c r="AH14498" s="3"/>
    </row>
    <row r="14499" spans="1:34" ht="14.25" customHeight="1" x14ac:dyDescent="0.25">
      <c r="A14499" s="3"/>
      <c r="B14499" s="3"/>
      <c r="C14499" s="3"/>
      <c r="D14499" s="3"/>
      <c r="E14499" s="3"/>
      <c r="F14499" s="3"/>
      <c r="G14499" s="3"/>
      <c r="H14499" s="11"/>
      <c r="I14499" s="12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  <c r="AA14499" s="3"/>
      <c r="AB14499" s="3"/>
      <c r="AC14499" s="3"/>
      <c r="AD14499" s="3"/>
      <c r="AE14499" s="3"/>
      <c r="AF14499" s="3"/>
      <c r="AG14499" s="3"/>
      <c r="AH14499" s="3"/>
    </row>
    <row r="14500" spans="1:34" ht="14.25" customHeight="1" x14ac:dyDescent="0.25">
      <c r="A14500" s="3"/>
      <c r="B14500" s="3"/>
      <c r="C14500" s="3"/>
      <c r="D14500" s="3"/>
      <c r="E14500" s="3"/>
      <c r="F14500" s="3"/>
      <c r="G14500" s="3"/>
      <c r="H14500" s="11"/>
      <c r="I14500" s="12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  <c r="AA14500" s="3"/>
      <c r="AB14500" s="3"/>
      <c r="AC14500" s="3"/>
      <c r="AD14500" s="3"/>
      <c r="AE14500" s="3"/>
      <c r="AF14500" s="3"/>
      <c r="AG14500" s="3"/>
      <c r="AH14500" s="3"/>
    </row>
    <row r="14501" spans="1:34" ht="14.25" customHeight="1" x14ac:dyDescent="0.25">
      <c r="A14501" s="3"/>
      <c r="B14501" s="3"/>
      <c r="C14501" s="3"/>
      <c r="D14501" s="3"/>
      <c r="E14501" s="3"/>
      <c r="F14501" s="3"/>
      <c r="G14501" s="3"/>
      <c r="H14501" s="11"/>
      <c r="I14501" s="12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  <c r="AA14501" s="3"/>
      <c r="AB14501" s="3"/>
      <c r="AC14501" s="3"/>
      <c r="AD14501" s="3"/>
      <c r="AE14501" s="3"/>
      <c r="AF14501" s="3"/>
      <c r="AG14501" s="3"/>
      <c r="AH14501" s="3"/>
    </row>
    <row r="14502" spans="1:34" ht="14.25" customHeight="1" x14ac:dyDescent="0.25">
      <c r="A14502" s="3"/>
      <c r="B14502" s="3"/>
      <c r="C14502" s="3"/>
      <c r="D14502" s="3"/>
      <c r="E14502" s="3"/>
      <c r="F14502" s="3"/>
      <c r="G14502" s="3"/>
      <c r="H14502" s="11"/>
      <c r="I14502" s="12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  <c r="AA14502" s="3"/>
      <c r="AB14502" s="3"/>
      <c r="AC14502" s="3"/>
      <c r="AD14502" s="3"/>
      <c r="AE14502" s="3"/>
      <c r="AF14502" s="3"/>
      <c r="AG14502" s="3"/>
      <c r="AH14502" s="3"/>
    </row>
    <row r="14503" spans="1:34" ht="14.25" customHeight="1" x14ac:dyDescent="0.25">
      <c r="A14503" s="3"/>
      <c r="B14503" s="3"/>
      <c r="C14503" s="3"/>
      <c r="D14503" s="3"/>
      <c r="E14503" s="3"/>
      <c r="F14503" s="3"/>
      <c r="G14503" s="3"/>
      <c r="H14503" s="11"/>
      <c r="I14503" s="12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  <c r="AA14503" s="3"/>
      <c r="AB14503" s="3"/>
      <c r="AC14503" s="3"/>
      <c r="AD14503" s="3"/>
      <c r="AE14503" s="3"/>
      <c r="AF14503" s="3"/>
      <c r="AG14503" s="3"/>
      <c r="AH14503" s="3"/>
    </row>
    <row r="14504" spans="1:34" ht="14.25" customHeight="1" x14ac:dyDescent="0.25">
      <c r="A14504" s="3"/>
      <c r="B14504" s="3"/>
      <c r="C14504" s="3"/>
      <c r="D14504" s="3"/>
      <c r="E14504" s="3"/>
      <c r="F14504" s="3"/>
      <c r="G14504" s="3"/>
      <c r="H14504" s="11"/>
      <c r="I14504" s="12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  <c r="AA14504" s="3"/>
      <c r="AB14504" s="3"/>
      <c r="AC14504" s="3"/>
      <c r="AD14504" s="3"/>
      <c r="AE14504" s="3"/>
      <c r="AF14504" s="3"/>
      <c r="AG14504" s="3"/>
      <c r="AH14504" s="3"/>
    </row>
    <row r="14505" spans="1:34" ht="14.25" customHeight="1" x14ac:dyDescent="0.25">
      <c r="A14505" s="3"/>
      <c r="B14505" s="3"/>
      <c r="C14505" s="3"/>
      <c r="D14505" s="3"/>
      <c r="E14505" s="3"/>
      <c r="F14505" s="3"/>
      <c r="G14505" s="3"/>
      <c r="H14505" s="11"/>
      <c r="I14505" s="12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  <c r="AA14505" s="3"/>
      <c r="AB14505" s="3"/>
      <c r="AC14505" s="3"/>
      <c r="AD14505" s="3"/>
      <c r="AE14505" s="3"/>
      <c r="AF14505" s="3"/>
      <c r="AG14505" s="3"/>
      <c r="AH14505" s="3"/>
    </row>
    <row r="14506" spans="1:34" ht="14.25" customHeight="1" x14ac:dyDescent="0.25">
      <c r="A14506" s="3"/>
      <c r="B14506" s="3"/>
      <c r="C14506" s="3"/>
      <c r="D14506" s="3"/>
      <c r="E14506" s="3"/>
      <c r="F14506" s="3"/>
      <c r="G14506" s="3"/>
      <c r="H14506" s="11"/>
      <c r="I14506" s="12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  <c r="AA14506" s="3"/>
      <c r="AB14506" s="3"/>
      <c r="AC14506" s="3"/>
      <c r="AD14506" s="3"/>
      <c r="AE14506" s="3"/>
      <c r="AF14506" s="3"/>
      <c r="AG14506" s="3"/>
      <c r="AH14506" s="3"/>
    </row>
    <row r="14507" spans="1:34" ht="14.25" customHeight="1" x14ac:dyDescent="0.25">
      <c r="A14507" s="3"/>
      <c r="B14507" s="3"/>
      <c r="C14507" s="3"/>
      <c r="D14507" s="3"/>
      <c r="E14507" s="3"/>
      <c r="F14507" s="3"/>
      <c r="G14507" s="3"/>
      <c r="H14507" s="11"/>
      <c r="I14507" s="12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  <c r="AA14507" s="3"/>
      <c r="AB14507" s="3"/>
      <c r="AC14507" s="3"/>
      <c r="AD14507" s="3"/>
      <c r="AE14507" s="3"/>
      <c r="AF14507" s="3"/>
      <c r="AG14507" s="3"/>
      <c r="AH14507" s="3"/>
    </row>
    <row r="14508" spans="1:34" ht="14.25" customHeight="1" x14ac:dyDescent="0.25">
      <c r="A14508" s="3"/>
      <c r="B14508" s="3"/>
      <c r="C14508" s="3"/>
      <c r="D14508" s="3"/>
      <c r="E14508" s="3"/>
      <c r="F14508" s="3"/>
      <c r="G14508" s="3"/>
      <c r="H14508" s="11"/>
      <c r="I14508" s="12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  <c r="AA14508" s="3"/>
      <c r="AB14508" s="3"/>
      <c r="AC14508" s="3"/>
      <c r="AD14508" s="3"/>
      <c r="AE14508" s="3"/>
      <c r="AF14508" s="3"/>
      <c r="AG14508" s="3"/>
      <c r="AH14508" s="3"/>
    </row>
    <row r="14509" spans="1:34" ht="14.25" customHeight="1" x14ac:dyDescent="0.25">
      <c r="A14509" s="3"/>
      <c r="B14509" s="3"/>
      <c r="C14509" s="3"/>
      <c r="D14509" s="3"/>
      <c r="E14509" s="3"/>
      <c r="F14509" s="3"/>
      <c r="G14509" s="3"/>
      <c r="H14509" s="11"/>
      <c r="I14509" s="12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  <c r="AA14509" s="3"/>
      <c r="AB14509" s="3"/>
      <c r="AC14509" s="3"/>
      <c r="AD14509" s="3"/>
      <c r="AE14509" s="3"/>
      <c r="AF14509" s="3"/>
      <c r="AG14509" s="3"/>
      <c r="AH14509" s="3"/>
    </row>
    <row r="14510" spans="1:34" ht="14.25" customHeight="1" x14ac:dyDescent="0.25">
      <c r="A14510" s="3"/>
      <c r="B14510" s="3"/>
      <c r="C14510" s="3"/>
      <c r="D14510" s="3"/>
      <c r="E14510" s="3"/>
      <c r="F14510" s="3"/>
      <c r="G14510" s="3"/>
      <c r="H14510" s="11"/>
      <c r="I14510" s="12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  <c r="AA14510" s="3"/>
      <c r="AB14510" s="3"/>
      <c r="AC14510" s="3"/>
      <c r="AD14510" s="3"/>
      <c r="AE14510" s="3"/>
      <c r="AF14510" s="3"/>
      <c r="AG14510" s="3"/>
      <c r="AH14510" s="3"/>
    </row>
    <row r="14511" spans="1:34" ht="14.25" customHeight="1" x14ac:dyDescent="0.25">
      <c r="A14511" s="3"/>
      <c r="B14511" s="3"/>
      <c r="C14511" s="3"/>
      <c r="D14511" s="3"/>
      <c r="E14511" s="3"/>
      <c r="F14511" s="3"/>
      <c r="G14511" s="3"/>
      <c r="H14511" s="11"/>
      <c r="I14511" s="12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  <c r="AA14511" s="3"/>
      <c r="AB14511" s="3"/>
      <c r="AC14511" s="3"/>
      <c r="AD14511" s="3"/>
      <c r="AE14511" s="3"/>
      <c r="AF14511" s="3"/>
      <c r="AG14511" s="3"/>
      <c r="AH14511" s="3"/>
    </row>
    <row r="14512" spans="1:34" ht="14.25" customHeight="1" x14ac:dyDescent="0.25">
      <c r="A14512" s="3"/>
      <c r="B14512" s="3"/>
      <c r="C14512" s="3"/>
      <c r="D14512" s="3"/>
      <c r="E14512" s="3"/>
      <c r="F14512" s="3"/>
      <c r="G14512" s="3"/>
      <c r="H14512" s="11"/>
      <c r="I14512" s="12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  <c r="AA14512" s="3"/>
      <c r="AB14512" s="3"/>
      <c r="AC14512" s="3"/>
      <c r="AD14512" s="3"/>
      <c r="AE14512" s="3"/>
      <c r="AF14512" s="3"/>
      <c r="AG14512" s="3"/>
      <c r="AH14512" s="3"/>
    </row>
    <row r="14513" spans="1:34" ht="14.25" customHeight="1" x14ac:dyDescent="0.25">
      <c r="A14513" s="3"/>
      <c r="B14513" s="3"/>
      <c r="C14513" s="3"/>
      <c r="D14513" s="3"/>
      <c r="E14513" s="3"/>
      <c r="F14513" s="3"/>
      <c r="G14513" s="3"/>
      <c r="H14513" s="11"/>
      <c r="I14513" s="12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  <c r="AA14513" s="3"/>
      <c r="AB14513" s="3"/>
      <c r="AC14513" s="3"/>
      <c r="AD14513" s="3"/>
      <c r="AE14513" s="3"/>
      <c r="AF14513" s="3"/>
      <c r="AG14513" s="3"/>
      <c r="AH14513" s="3"/>
    </row>
    <row r="14514" spans="1:34" ht="14.25" customHeight="1" x14ac:dyDescent="0.25">
      <c r="A14514" s="3"/>
      <c r="B14514" s="3"/>
      <c r="C14514" s="3"/>
      <c r="D14514" s="3"/>
      <c r="E14514" s="3"/>
      <c r="F14514" s="3"/>
      <c r="G14514" s="3"/>
      <c r="H14514" s="11"/>
      <c r="I14514" s="12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  <c r="AA14514" s="3"/>
      <c r="AB14514" s="3"/>
      <c r="AC14514" s="3"/>
      <c r="AD14514" s="3"/>
      <c r="AE14514" s="3"/>
      <c r="AF14514" s="3"/>
      <c r="AG14514" s="3"/>
      <c r="AH14514" s="3"/>
    </row>
    <row r="14515" spans="1:34" ht="14.25" customHeight="1" x14ac:dyDescent="0.25">
      <c r="A14515" s="3"/>
      <c r="B14515" s="3"/>
      <c r="C14515" s="3"/>
      <c r="D14515" s="3"/>
      <c r="E14515" s="3"/>
      <c r="F14515" s="3"/>
      <c r="G14515" s="3"/>
      <c r="H14515" s="11"/>
      <c r="I14515" s="12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  <c r="AA14515" s="3"/>
      <c r="AB14515" s="3"/>
      <c r="AC14515" s="3"/>
      <c r="AD14515" s="3"/>
      <c r="AE14515" s="3"/>
      <c r="AF14515" s="3"/>
      <c r="AG14515" s="3"/>
      <c r="AH14515" s="3"/>
    </row>
    <row r="14516" spans="1:34" ht="14.25" customHeight="1" x14ac:dyDescent="0.25">
      <c r="A14516" s="3"/>
      <c r="B14516" s="3"/>
      <c r="C14516" s="3"/>
      <c r="D14516" s="3"/>
      <c r="E14516" s="3"/>
      <c r="F14516" s="3"/>
      <c r="G14516" s="3"/>
      <c r="H14516" s="11"/>
      <c r="I14516" s="12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  <c r="AA14516" s="3"/>
      <c r="AB14516" s="3"/>
      <c r="AC14516" s="3"/>
      <c r="AD14516" s="3"/>
      <c r="AE14516" s="3"/>
      <c r="AF14516" s="3"/>
      <c r="AG14516" s="3"/>
      <c r="AH14516" s="3"/>
    </row>
    <row r="14517" spans="1:34" ht="14.25" customHeight="1" x14ac:dyDescent="0.25">
      <c r="A14517" s="3"/>
      <c r="B14517" s="3"/>
      <c r="C14517" s="3"/>
      <c r="D14517" s="3"/>
      <c r="E14517" s="3"/>
      <c r="F14517" s="3"/>
      <c r="G14517" s="3"/>
      <c r="H14517" s="11"/>
      <c r="I14517" s="12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  <c r="AA14517" s="3"/>
      <c r="AB14517" s="3"/>
      <c r="AC14517" s="3"/>
      <c r="AD14517" s="3"/>
      <c r="AE14517" s="3"/>
      <c r="AF14517" s="3"/>
      <c r="AG14517" s="3"/>
      <c r="AH14517" s="3"/>
    </row>
    <row r="14518" spans="1:34" ht="14.25" customHeight="1" x14ac:dyDescent="0.25">
      <c r="A14518" s="3"/>
      <c r="B14518" s="3"/>
      <c r="C14518" s="3"/>
      <c r="D14518" s="3"/>
      <c r="E14518" s="3"/>
      <c r="F14518" s="3"/>
      <c r="G14518" s="3"/>
      <c r="H14518" s="11"/>
      <c r="I14518" s="12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  <c r="AA14518" s="3"/>
      <c r="AB14518" s="3"/>
      <c r="AC14518" s="3"/>
      <c r="AD14518" s="3"/>
      <c r="AE14518" s="3"/>
      <c r="AF14518" s="3"/>
      <c r="AG14518" s="3"/>
      <c r="AH14518" s="3"/>
    </row>
    <row r="14519" spans="1:34" ht="14.25" customHeight="1" x14ac:dyDescent="0.25">
      <c r="A14519" s="3"/>
      <c r="B14519" s="3"/>
      <c r="C14519" s="3"/>
      <c r="D14519" s="3"/>
      <c r="E14519" s="3"/>
      <c r="F14519" s="3"/>
      <c r="G14519" s="3"/>
      <c r="H14519" s="11"/>
      <c r="I14519" s="12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  <c r="AA14519" s="3"/>
      <c r="AB14519" s="3"/>
      <c r="AC14519" s="3"/>
      <c r="AD14519" s="3"/>
      <c r="AE14519" s="3"/>
      <c r="AF14519" s="3"/>
      <c r="AG14519" s="3"/>
      <c r="AH14519" s="3"/>
    </row>
    <row r="14520" spans="1:34" ht="14.25" customHeight="1" x14ac:dyDescent="0.25">
      <c r="A14520" s="3"/>
      <c r="B14520" s="3"/>
      <c r="C14520" s="3"/>
      <c r="D14520" s="3"/>
      <c r="E14520" s="3"/>
      <c r="F14520" s="3"/>
      <c r="G14520" s="3"/>
      <c r="H14520" s="11"/>
      <c r="I14520" s="12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  <c r="AA14520" s="3"/>
      <c r="AB14520" s="3"/>
      <c r="AC14520" s="3"/>
      <c r="AD14520" s="3"/>
      <c r="AE14520" s="3"/>
      <c r="AF14520" s="3"/>
      <c r="AG14520" s="3"/>
      <c r="AH14520" s="3"/>
    </row>
    <row r="14521" spans="1:34" ht="14.25" customHeight="1" x14ac:dyDescent="0.25">
      <c r="A14521" s="3"/>
      <c r="B14521" s="3"/>
      <c r="C14521" s="3"/>
      <c r="D14521" s="3"/>
      <c r="E14521" s="3"/>
      <c r="F14521" s="3"/>
      <c r="G14521" s="3"/>
      <c r="H14521" s="11"/>
      <c r="I14521" s="12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  <c r="AA14521" s="3"/>
      <c r="AB14521" s="3"/>
      <c r="AC14521" s="3"/>
      <c r="AD14521" s="3"/>
      <c r="AE14521" s="3"/>
      <c r="AF14521" s="3"/>
      <c r="AG14521" s="3"/>
      <c r="AH14521" s="3"/>
    </row>
    <row r="14522" spans="1:34" ht="14.25" customHeight="1" x14ac:dyDescent="0.25">
      <c r="A14522" s="3"/>
      <c r="B14522" s="3"/>
      <c r="C14522" s="3"/>
      <c r="D14522" s="3"/>
      <c r="E14522" s="3"/>
      <c r="F14522" s="3"/>
      <c r="G14522" s="3"/>
      <c r="H14522" s="11"/>
      <c r="I14522" s="12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  <c r="AA14522" s="3"/>
      <c r="AB14522" s="3"/>
      <c r="AC14522" s="3"/>
      <c r="AD14522" s="3"/>
      <c r="AE14522" s="3"/>
      <c r="AF14522" s="3"/>
      <c r="AG14522" s="3"/>
      <c r="AH14522" s="3"/>
    </row>
    <row r="14523" spans="1:34" ht="14.25" customHeight="1" x14ac:dyDescent="0.25">
      <c r="A14523" s="3"/>
      <c r="B14523" s="3"/>
      <c r="C14523" s="3"/>
      <c r="D14523" s="3"/>
      <c r="E14523" s="3"/>
      <c r="F14523" s="3"/>
      <c r="G14523" s="3"/>
      <c r="H14523" s="11"/>
      <c r="I14523" s="12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  <c r="AA14523" s="3"/>
      <c r="AB14523" s="3"/>
      <c r="AC14523" s="3"/>
      <c r="AD14523" s="3"/>
      <c r="AE14523" s="3"/>
      <c r="AF14523" s="3"/>
      <c r="AG14523" s="3"/>
      <c r="AH14523" s="3"/>
    </row>
    <row r="14524" spans="1:34" ht="14.25" customHeight="1" x14ac:dyDescent="0.25">
      <c r="A14524" s="3"/>
      <c r="B14524" s="3"/>
      <c r="C14524" s="3"/>
      <c r="D14524" s="3"/>
      <c r="E14524" s="3"/>
      <c r="F14524" s="3"/>
      <c r="G14524" s="3"/>
      <c r="H14524" s="11"/>
      <c r="I14524" s="12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  <c r="AA14524" s="3"/>
      <c r="AB14524" s="3"/>
      <c r="AC14524" s="3"/>
      <c r="AD14524" s="3"/>
      <c r="AE14524" s="3"/>
      <c r="AF14524" s="3"/>
      <c r="AG14524" s="3"/>
      <c r="AH14524" s="3"/>
    </row>
    <row r="14525" spans="1:34" ht="14.25" customHeight="1" x14ac:dyDescent="0.25">
      <c r="A14525" s="3"/>
      <c r="B14525" s="3"/>
      <c r="C14525" s="3"/>
      <c r="D14525" s="3"/>
      <c r="E14525" s="3"/>
      <c r="F14525" s="3"/>
      <c r="G14525" s="3"/>
      <c r="H14525" s="11"/>
      <c r="I14525" s="12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  <c r="AA14525" s="3"/>
      <c r="AB14525" s="3"/>
      <c r="AC14525" s="3"/>
      <c r="AD14525" s="3"/>
      <c r="AE14525" s="3"/>
      <c r="AF14525" s="3"/>
      <c r="AG14525" s="3"/>
      <c r="AH14525" s="3"/>
    </row>
    <row r="14526" spans="1:34" ht="14.25" customHeight="1" x14ac:dyDescent="0.25">
      <c r="A14526" s="3"/>
      <c r="B14526" s="3"/>
      <c r="C14526" s="3"/>
      <c r="D14526" s="3"/>
      <c r="E14526" s="3"/>
      <c r="F14526" s="3"/>
      <c r="G14526" s="3"/>
      <c r="H14526" s="11"/>
      <c r="I14526" s="12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  <c r="AA14526" s="3"/>
      <c r="AB14526" s="3"/>
      <c r="AC14526" s="3"/>
      <c r="AD14526" s="3"/>
      <c r="AE14526" s="3"/>
      <c r="AF14526" s="3"/>
      <c r="AG14526" s="3"/>
      <c r="AH14526" s="3"/>
    </row>
    <row r="14527" spans="1:34" ht="14.25" customHeight="1" x14ac:dyDescent="0.25">
      <c r="A14527" s="3"/>
      <c r="B14527" s="3"/>
      <c r="C14527" s="3"/>
      <c r="D14527" s="3"/>
      <c r="E14527" s="3"/>
      <c r="F14527" s="3"/>
      <c r="G14527" s="3"/>
      <c r="H14527" s="11"/>
      <c r="I14527" s="12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  <c r="AA14527" s="3"/>
      <c r="AB14527" s="3"/>
      <c r="AC14527" s="3"/>
      <c r="AD14527" s="3"/>
      <c r="AE14527" s="3"/>
      <c r="AF14527" s="3"/>
      <c r="AG14527" s="3"/>
      <c r="AH14527" s="3"/>
    </row>
    <row r="14528" spans="1:34" ht="14.25" customHeight="1" x14ac:dyDescent="0.25">
      <c r="A14528" s="3"/>
      <c r="B14528" s="3"/>
      <c r="C14528" s="3"/>
      <c r="D14528" s="3"/>
      <c r="E14528" s="3"/>
      <c r="F14528" s="3"/>
      <c r="G14528" s="3"/>
      <c r="H14528" s="11"/>
      <c r="I14528" s="12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  <c r="AA14528" s="3"/>
      <c r="AB14528" s="3"/>
      <c r="AC14528" s="3"/>
      <c r="AD14528" s="3"/>
      <c r="AE14528" s="3"/>
      <c r="AF14528" s="3"/>
      <c r="AG14528" s="3"/>
      <c r="AH14528" s="3"/>
    </row>
    <row r="14529" spans="1:34" ht="14.25" customHeight="1" x14ac:dyDescent="0.25">
      <c r="A14529" s="3"/>
      <c r="B14529" s="3"/>
      <c r="C14529" s="3"/>
      <c r="D14529" s="3"/>
      <c r="E14529" s="3"/>
      <c r="F14529" s="3"/>
      <c r="G14529" s="3"/>
      <c r="H14529" s="11"/>
      <c r="I14529" s="12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  <c r="AA14529" s="3"/>
      <c r="AB14529" s="3"/>
      <c r="AC14529" s="3"/>
      <c r="AD14529" s="3"/>
      <c r="AE14529" s="3"/>
      <c r="AF14529" s="3"/>
      <c r="AG14529" s="3"/>
      <c r="AH14529" s="3"/>
    </row>
    <row r="14530" spans="1:34" ht="14.25" customHeight="1" x14ac:dyDescent="0.25">
      <c r="A14530" s="3"/>
      <c r="B14530" s="3"/>
      <c r="C14530" s="3"/>
      <c r="D14530" s="3"/>
      <c r="E14530" s="3"/>
      <c r="F14530" s="3"/>
      <c r="G14530" s="3"/>
      <c r="H14530" s="11"/>
      <c r="I14530" s="12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  <c r="AA14530" s="3"/>
      <c r="AB14530" s="3"/>
      <c r="AC14530" s="3"/>
      <c r="AD14530" s="3"/>
      <c r="AE14530" s="3"/>
      <c r="AF14530" s="3"/>
      <c r="AG14530" s="3"/>
      <c r="AH14530" s="3"/>
    </row>
    <row r="14531" spans="1:34" ht="14.25" customHeight="1" x14ac:dyDescent="0.25">
      <c r="A14531" s="3"/>
      <c r="B14531" s="3"/>
      <c r="C14531" s="3"/>
      <c r="D14531" s="3"/>
      <c r="E14531" s="3"/>
      <c r="F14531" s="3"/>
      <c r="G14531" s="3"/>
      <c r="H14531" s="11"/>
      <c r="I14531" s="12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  <c r="AA14531" s="3"/>
      <c r="AB14531" s="3"/>
      <c r="AC14531" s="3"/>
      <c r="AD14531" s="3"/>
      <c r="AE14531" s="3"/>
      <c r="AF14531" s="3"/>
      <c r="AG14531" s="3"/>
      <c r="AH14531" s="3"/>
    </row>
    <row r="14532" spans="1:34" ht="14.25" customHeight="1" x14ac:dyDescent="0.25">
      <c r="A14532" s="3"/>
      <c r="B14532" s="3"/>
      <c r="C14532" s="3"/>
      <c r="D14532" s="3"/>
      <c r="E14532" s="3"/>
      <c r="F14532" s="3"/>
      <c r="G14532" s="3"/>
      <c r="H14532" s="11"/>
      <c r="I14532" s="12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  <c r="AA14532" s="3"/>
      <c r="AB14532" s="3"/>
      <c r="AC14532" s="3"/>
      <c r="AD14532" s="3"/>
      <c r="AE14532" s="3"/>
      <c r="AF14532" s="3"/>
      <c r="AG14532" s="3"/>
      <c r="AH14532" s="3"/>
    </row>
    <row r="14533" spans="1:34" ht="14.25" customHeight="1" x14ac:dyDescent="0.25">
      <c r="A14533" s="3"/>
      <c r="B14533" s="3"/>
      <c r="C14533" s="3"/>
      <c r="D14533" s="3"/>
      <c r="E14533" s="3"/>
      <c r="F14533" s="3"/>
      <c r="G14533" s="3"/>
      <c r="H14533" s="11"/>
      <c r="I14533" s="12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  <c r="AA14533" s="3"/>
      <c r="AB14533" s="3"/>
      <c r="AC14533" s="3"/>
      <c r="AD14533" s="3"/>
      <c r="AE14533" s="3"/>
      <c r="AF14533" s="3"/>
      <c r="AG14533" s="3"/>
      <c r="AH14533" s="3"/>
    </row>
    <row r="14534" spans="1:34" ht="14.25" customHeight="1" x14ac:dyDescent="0.25">
      <c r="A14534" s="3"/>
      <c r="B14534" s="3"/>
      <c r="C14534" s="3"/>
      <c r="D14534" s="3"/>
      <c r="E14534" s="3"/>
      <c r="F14534" s="3"/>
      <c r="G14534" s="3"/>
      <c r="H14534" s="11"/>
      <c r="I14534" s="12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  <c r="AA14534" s="3"/>
      <c r="AB14534" s="3"/>
      <c r="AC14534" s="3"/>
      <c r="AD14534" s="3"/>
      <c r="AE14534" s="3"/>
      <c r="AF14534" s="3"/>
      <c r="AG14534" s="3"/>
      <c r="AH14534" s="3"/>
    </row>
    <row r="14535" spans="1:34" ht="14.25" customHeight="1" x14ac:dyDescent="0.25">
      <c r="A14535" s="3"/>
      <c r="B14535" s="3"/>
      <c r="C14535" s="3"/>
      <c r="D14535" s="3"/>
      <c r="E14535" s="3"/>
      <c r="F14535" s="3"/>
      <c r="G14535" s="3"/>
      <c r="H14535" s="11"/>
      <c r="I14535" s="12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  <c r="AA14535" s="3"/>
      <c r="AB14535" s="3"/>
      <c r="AC14535" s="3"/>
      <c r="AD14535" s="3"/>
      <c r="AE14535" s="3"/>
      <c r="AF14535" s="3"/>
      <c r="AG14535" s="3"/>
      <c r="AH14535" s="3"/>
    </row>
    <row r="14536" spans="1:34" ht="14.25" customHeight="1" x14ac:dyDescent="0.25">
      <c r="A14536" s="3"/>
      <c r="B14536" s="3"/>
      <c r="C14536" s="3"/>
      <c r="D14536" s="3"/>
      <c r="E14536" s="3"/>
      <c r="F14536" s="3"/>
      <c r="G14536" s="3"/>
      <c r="H14536" s="11"/>
      <c r="I14536" s="12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  <c r="AA14536" s="3"/>
      <c r="AB14536" s="3"/>
      <c r="AC14536" s="3"/>
      <c r="AD14536" s="3"/>
      <c r="AE14536" s="3"/>
      <c r="AF14536" s="3"/>
      <c r="AG14536" s="3"/>
      <c r="AH14536" s="3"/>
    </row>
    <row r="14537" spans="1:34" ht="14.25" customHeight="1" x14ac:dyDescent="0.25">
      <c r="A14537" s="3"/>
      <c r="B14537" s="3"/>
      <c r="C14537" s="3"/>
      <c r="D14537" s="3"/>
      <c r="E14537" s="3"/>
      <c r="F14537" s="3"/>
      <c r="G14537" s="3"/>
      <c r="H14537" s="11"/>
      <c r="I14537" s="12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  <c r="AA14537" s="3"/>
      <c r="AB14537" s="3"/>
      <c r="AC14537" s="3"/>
      <c r="AD14537" s="3"/>
      <c r="AE14537" s="3"/>
      <c r="AF14537" s="3"/>
      <c r="AG14537" s="3"/>
      <c r="AH14537" s="3"/>
    </row>
    <row r="14538" spans="1:34" ht="14.25" customHeight="1" x14ac:dyDescent="0.25">
      <c r="A14538" s="3"/>
      <c r="B14538" s="3"/>
      <c r="C14538" s="3"/>
      <c r="D14538" s="3"/>
      <c r="E14538" s="3"/>
      <c r="F14538" s="3"/>
      <c r="G14538" s="3"/>
      <c r="H14538" s="11"/>
      <c r="I14538" s="12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  <c r="AA14538" s="3"/>
      <c r="AB14538" s="3"/>
      <c r="AC14538" s="3"/>
      <c r="AD14538" s="3"/>
      <c r="AE14538" s="3"/>
      <c r="AF14538" s="3"/>
      <c r="AG14538" s="3"/>
      <c r="AH14538" s="3"/>
    </row>
    <row r="14539" spans="1:34" ht="14.25" customHeight="1" x14ac:dyDescent="0.25">
      <c r="A14539" s="3"/>
      <c r="B14539" s="3"/>
      <c r="C14539" s="3"/>
      <c r="D14539" s="3"/>
      <c r="E14539" s="3"/>
      <c r="F14539" s="3"/>
      <c r="G14539" s="3"/>
      <c r="H14539" s="11"/>
      <c r="I14539" s="12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  <c r="AA14539" s="3"/>
      <c r="AB14539" s="3"/>
      <c r="AC14539" s="3"/>
      <c r="AD14539" s="3"/>
      <c r="AE14539" s="3"/>
      <c r="AF14539" s="3"/>
      <c r="AG14539" s="3"/>
      <c r="AH14539" s="3"/>
    </row>
    <row r="14540" spans="1:34" ht="14.25" customHeight="1" x14ac:dyDescent="0.25">
      <c r="A14540" s="3"/>
      <c r="B14540" s="3"/>
      <c r="C14540" s="3"/>
      <c r="D14540" s="3"/>
      <c r="E14540" s="3"/>
      <c r="F14540" s="3"/>
      <c r="G14540" s="3"/>
      <c r="H14540" s="11"/>
      <c r="I14540" s="12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  <c r="AA14540" s="3"/>
      <c r="AB14540" s="3"/>
      <c r="AC14540" s="3"/>
      <c r="AD14540" s="3"/>
      <c r="AE14540" s="3"/>
      <c r="AF14540" s="3"/>
      <c r="AG14540" s="3"/>
      <c r="AH14540" s="3"/>
    </row>
    <row r="14541" spans="1:34" ht="14.25" customHeight="1" x14ac:dyDescent="0.25">
      <c r="A14541" s="3"/>
      <c r="B14541" s="3"/>
      <c r="C14541" s="3"/>
      <c r="D14541" s="3"/>
      <c r="E14541" s="3"/>
      <c r="F14541" s="3"/>
      <c r="G14541" s="3"/>
      <c r="H14541" s="11"/>
      <c r="I14541" s="12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  <c r="AA14541" s="3"/>
      <c r="AB14541" s="3"/>
      <c r="AC14541" s="3"/>
      <c r="AD14541" s="3"/>
      <c r="AE14541" s="3"/>
      <c r="AF14541" s="3"/>
      <c r="AG14541" s="3"/>
      <c r="AH14541" s="3"/>
    </row>
    <row r="14542" spans="1:34" ht="14.25" customHeight="1" x14ac:dyDescent="0.25">
      <c r="A14542" s="3"/>
      <c r="B14542" s="3"/>
      <c r="C14542" s="3"/>
      <c r="D14542" s="3"/>
      <c r="E14542" s="3"/>
      <c r="F14542" s="3"/>
      <c r="G14542" s="3"/>
      <c r="H14542" s="11"/>
      <c r="I14542" s="12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  <c r="AA14542" s="3"/>
      <c r="AB14542" s="3"/>
      <c r="AC14542" s="3"/>
      <c r="AD14542" s="3"/>
      <c r="AE14542" s="3"/>
      <c r="AF14542" s="3"/>
      <c r="AG14542" s="3"/>
      <c r="AH14542" s="3"/>
    </row>
    <row r="14543" spans="1:34" ht="14.25" customHeight="1" x14ac:dyDescent="0.25">
      <c r="A14543" s="3"/>
      <c r="B14543" s="3"/>
      <c r="C14543" s="3"/>
      <c r="D14543" s="3"/>
      <c r="E14543" s="3"/>
      <c r="F14543" s="3"/>
      <c r="G14543" s="3"/>
      <c r="H14543" s="11"/>
      <c r="I14543" s="12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  <c r="AA14543" s="3"/>
      <c r="AB14543" s="3"/>
      <c r="AC14543" s="3"/>
      <c r="AD14543" s="3"/>
      <c r="AE14543" s="3"/>
      <c r="AF14543" s="3"/>
      <c r="AG14543" s="3"/>
      <c r="AH14543" s="3"/>
    </row>
    <row r="14544" spans="1:34" ht="14.25" customHeight="1" x14ac:dyDescent="0.25">
      <c r="A14544" s="3"/>
      <c r="B14544" s="3"/>
      <c r="C14544" s="3"/>
      <c r="D14544" s="3"/>
      <c r="E14544" s="3"/>
      <c r="F14544" s="3"/>
      <c r="G14544" s="3"/>
      <c r="H14544" s="11"/>
      <c r="I14544" s="12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  <c r="AA14544" s="3"/>
      <c r="AB14544" s="3"/>
      <c r="AC14544" s="3"/>
      <c r="AD14544" s="3"/>
      <c r="AE14544" s="3"/>
      <c r="AF14544" s="3"/>
      <c r="AG14544" s="3"/>
      <c r="AH14544" s="3"/>
    </row>
    <row r="14545" spans="1:34" ht="14.25" customHeight="1" x14ac:dyDescent="0.25">
      <c r="A14545" s="3"/>
      <c r="B14545" s="3"/>
      <c r="C14545" s="3"/>
      <c r="D14545" s="3"/>
      <c r="E14545" s="3"/>
      <c r="F14545" s="3"/>
      <c r="G14545" s="3"/>
      <c r="H14545" s="11"/>
      <c r="I14545" s="12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  <c r="AA14545" s="3"/>
      <c r="AB14545" s="3"/>
      <c r="AC14545" s="3"/>
      <c r="AD14545" s="3"/>
      <c r="AE14545" s="3"/>
      <c r="AF14545" s="3"/>
      <c r="AG14545" s="3"/>
      <c r="AH14545" s="3"/>
    </row>
    <row r="14546" spans="1:34" ht="14.25" customHeight="1" x14ac:dyDescent="0.25">
      <c r="A14546" s="3"/>
      <c r="B14546" s="3"/>
      <c r="C14546" s="3"/>
      <c r="D14546" s="3"/>
      <c r="E14546" s="3"/>
      <c r="F14546" s="3"/>
      <c r="G14546" s="3"/>
      <c r="H14546" s="11"/>
      <c r="I14546" s="12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  <c r="AA14546" s="3"/>
      <c r="AB14546" s="3"/>
      <c r="AC14546" s="3"/>
      <c r="AD14546" s="3"/>
      <c r="AE14546" s="3"/>
      <c r="AF14546" s="3"/>
      <c r="AG14546" s="3"/>
      <c r="AH14546" s="3"/>
    </row>
    <row r="14547" spans="1:34" ht="14.25" customHeight="1" x14ac:dyDescent="0.25">
      <c r="A14547" s="3"/>
      <c r="B14547" s="3"/>
      <c r="C14547" s="3"/>
      <c r="D14547" s="3"/>
      <c r="E14547" s="3"/>
      <c r="F14547" s="3"/>
      <c r="G14547" s="3"/>
      <c r="H14547" s="11"/>
      <c r="I14547" s="12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  <c r="AA14547" s="3"/>
      <c r="AB14547" s="3"/>
      <c r="AC14547" s="3"/>
      <c r="AD14547" s="3"/>
      <c r="AE14547" s="3"/>
      <c r="AF14547" s="3"/>
      <c r="AG14547" s="3"/>
      <c r="AH14547" s="3"/>
    </row>
    <row r="14548" spans="1:34" ht="14.25" customHeight="1" x14ac:dyDescent="0.25">
      <c r="A14548" s="3"/>
      <c r="B14548" s="3"/>
      <c r="C14548" s="3"/>
      <c r="D14548" s="3"/>
      <c r="E14548" s="3"/>
      <c r="F14548" s="3"/>
      <c r="G14548" s="3"/>
      <c r="H14548" s="11"/>
      <c r="I14548" s="12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  <c r="AA14548" s="3"/>
      <c r="AB14548" s="3"/>
      <c r="AC14548" s="3"/>
      <c r="AD14548" s="3"/>
      <c r="AE14548" s="3"/>
      <c r="AF14548" s="3"/>
      <c r="AG14548" s="3"/>
      <c r="AH14548" s="3"/>
    </row>
    <row r="14549" spans="1:34" ht="14.25" customHeight="1" x14ac:dyDescent="0.25">
      <c r="A14549" s="3"/>
      <c r="B14549" s="3"/>
      <c r="C14549" s="3"/>
      <c r="D14549" s="3"/>
      <c r="E14549" s="3"/>
      <c r="F14549" s="3"/>
      <c r="G14549" s="3"/>
      <c r="H14549" s="11"/>
      <c r="I14549" s="12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  <c r="AA14549" s="3"/>
      <c r="AB14549" s="3"/>
      <c r="AC14549" s="3"/>
      <c r="AD14549" s="3"/>
      <c r="AE14549" s="3"/>
      <c r="AF14549" s="3"/>
      <c r="AG14549" s="3"/>
      <c r="AH14549" s="3"/>
    </row>
    <row r="14550" spans="1:34" ht="14.25" customHeight="1" x14ac:dyDescent="0.25">
      <c r="A14550" s="3"/>
      <c r="B14550" s="3"/>
      <c r="C14550" s="3"/>
      <c r="D14550" s="3"/>
      <c r="E14550" s="3"/>
      <c r="F14550" s="3"/>
      <c r="G14550" s="3"/>
      <c r="H14550" s="11"/>
      <c r="I14550" s="12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  <c r="AA14550" s="3"/>
      <c r="AB14550" s="3"/>
      <c r="AC14550" s="3"/>
      <c r="AD14550" s="3"/>
      <c r="AE14550" s="3"/>
      <c r="AF14550" s="3"/>
      <c r="AG14550" s="3"/>
      <c r="AH14550" s="3"/>
    </row>
    <row r="14551" spans="1:34" ht="14.25" customHeight="1" x14ac:dyDescent="0.25">
      <c r="A14551" s="3"/>
      <c r="B14551" s="3"/>
      <c r="C14551" s="3"/>
      <c r="D14551" s="3"/>
      <c r="E14551" s="3"/>
      <c r="F14551" s="3"/>
      <c r="G14551" s="3"/>
      <c r="H14551" s="11"/>
      <c r="I14551" s="12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  <c r="AA14551" s="3"/>
      <c r="AB14551" s="3"/>
      <c r="AC14551" s="3"/>
      <c r="AD14551" s="3"/>
      <c r="AE14551" s="3"/>
      <c r="AF14551" s="3"/>
      <c r="AG14551" s="3"/>
      <c r="AH14551" s="3"/>
    </row>
    <row r="14552" spans="1:34" ht="14.25" customHeight="1" x14ac:dyDescent="0.25">
      <c r="A14552" s="3"/>
      <c r="B14552" s="3"/>
      <c r="C14552" s="3"/>
      <c r="D14552" s="3"/>
      <c r="E14552" s="3"/>
      <c r="F14552" s="3"/>
      <c r="G14552" s="3"/>
      <c r="H14552" s="11"/>
      <c r="I14552" s="12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  <c r="AA14552" s="3"/>
      <c r="AB14552" s="3"/>
      <c r="AC14552" s="3"/>
      <c r="AD14552" s="3"/>
      <c r="AE14552" s="3"/>
      <c r="AF14552" s="3"/>
      <c r="AG14552" s="3"/>
      <c r="AH14552" s="3"/>
    </row>
    <row r="14553" spans="1:34" ht="14.25" customHeight="1" x14ac:dyDescent="0.25">
      <c r="A14553" s="3"/>
      <c r="B14553" s="3"/>
      <c r="C14553" s="3"/>
      <c r="D14553" s="3"/>
      <c r="E14553" s="3"/>
      <c r="F14553" s="3"/>
      <c r="G14553" s="3"/>
      <c r="H14553" s="11"/>
      <c r="I14553" s="12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  <c r="AA14553" s="3"/>
      <c r="AB14553" s="3"/>
      <c r="AC14553" s="3"/>
      <c r="AD14553" s="3"/>
      <c r="AE14553" s="3"/>
      <c r="AF14553" s="3"/>
      <c r="AG14553" s="3"/>
      <c r="AH14553" s="3"/>
    </row>
    <row r="14554" spans="1:34" ht="14.25" customHeight="1" x14ac:dyDescent="0.25">
      <c r="A14554" s="3"/>
      <c r="B14554" s="3"/>
      <c r="C14554" s="3"/>
      <c r="D14554" s="3"/>
      <c r="E14554" s="3"/>
      <c r="F14554" s="3"/>
      <c r="G14554" s="3"/>
      <c r="H14554" s="11"/>
      <c r="I14554" s="12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  <c r="AA14554" s="3"/>
      <c r="AB14554" s="3"/>
      <c r="AC14554" s="3"/>
      <c r="AD14554" s="3"/>
      <c r="AE14554" s="3"/>
      <c r="AF14554" s="3"/>
      <c r="AG14554" s="3"/>
      <c r="AH14554" s="3"/>
    </row>
    <row r="14555" spans="1:34" ht="14.25" customHeight="1" x14ac:dyDescent="0.25">
      <c r="A14555" s="3"/>
      <c r="B14555" s="3"/>
      <c r="C14555" s="3"/>
      <c r="D14555" s="3"/>
      <c r="E14555" s="3"/>
      <c r="F14555" s="3"/>
      <c r="G14555" s="3"/>
      <c r="H14555" s="11"/>
      <c r="I14555" s="12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  <c r="AA14555" s="3"/>
      <c r="AB14555" s="3"/>
      <c r="AC14555" s="3"/>
      <c r="AD14555" s="3"/>
      <c r="AE14555" s="3"/>
      <c r="AF14555" s="3"/>
      <c r="AG14555" s="3"/>
      <c r="AH14555" s="3"/>
    </row>
    <row r="14556" spans="1:34" ht="14.25" customHeight="1" x14ac:dyDescent="0.25">
      <c r="A14556" s="3"/>
      <c r="B14556" s="3"/>
      <c r="C14556" s="3"/>
      <c r="D14556" s="3"/>
      <c r="E14556" s="3"/>
      <c r="F14556" s="3"/>
      <c r="G14556" s="3"/>
      <c r="H14556" s="11"/>
      <c r="I14556" s="12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  <c r="AA14556" s="3"/>
      <c r="AB14556" s="3"/>
      <c r="AC14556" s="3"/>
      <c r="AD14556" s="3"/>
      <c r="AE14556" s="3"/>
      <c r="AF14556" s="3"/>
      <c r="AG14556" s="3"/>
      <c r="AH14556" s="3"/>
    </row>
    <row r="14557" spans="1:34" ht="14.25" customHeight="1" x14ac:dyDescent="0.25">
      <c r="A14557" s="3"/>
      <c r="B14557" s="3"/>
      <c r="C14557" s="3"/>
      <c r="D14557" s="3"/>
      <c r="E14557" s="3"/>
      <c r="F14557" s="3"/>
      <c r="G14557" s="3"/>
      <c r="H14557" s="11"/>
      <c r="I14557" s="12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  <c r="AA14557" s="3"/>
      <c r="AB14557" s="3"/>
      <c r="AC14557" s="3"/>
      <c r="AD14557" s="3"/>
      <c r="AE14557" s="3"/>
      <c r="AF14557" s="3"/>
      <c r="AG14557" s="3"/>
      <c r="AH14557" s="3"/>
    </row>
    <row r="14558" spans="1:34" ht="14.25" customHeight="1" x14ac:dyDescent="0.25">
      <c r="A14558" s="3"/>
      <c r="B14558" s="3"/>
      <c r="C14558" s="3"/>
      <c r="D14558" s="3"/>
      <c r="E14558" s="3"/>
      <c r="F14558" s="3"/>
      <c r="G14558" s="3"/>
      <c r="H14558" s="11"/>
      <c r="I14558" s="12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  <c r="AA14558" s="3"/>
      <c r="AB14558" s="3"/>
      <c r="AC14558" s="3"/>
      <c r="AD14558" s="3"/>
      <c r="AE14558" s="3"/>
      <c r="AF14558" s="3"/>
      <c r="AG14558" s="3"/>
      <c r="AH14558" s="3"/>
    </row>
    <row r="14559" spans="1:34" ht="14.25" customHeight="1" x14ac:dyDescent="0.25">
      <c r="A14559" s="3"/>
      <c r="B14559" s="3"/>
      <c r="C14559" s="3"/>
      <c r="D14559" s="3"/>
      <c r="E14559" s="3"/>
      <c r="F14559" s="3"/>
      <c r="G14559" s="3"/>
      <c r="H14559" s="11"/>
      <c r="I14559" s="12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  <c r="AA14559" s="3"/>
      <c r="AB14559" s="3"/>
      <c r="AC14559" s="3"/>
      <c r="AD14559" s="3"/>
      <c r="AE14559" s="3"/>
      <c r="AF14559" s="3"/>
      <c r="AG14559" s="3"/>
      <c r="AH14559" s="3"/>
    </row>
    <row r="14560" spans="1:34" ht="14.25" customHeight="1" x14ac:dyDescent="0.25">
      <c r="A14560" s="3"/>
      <c r="B14560" s="3"/>
      <c r="C14560" s="3"/>
      <c r="D14560" s="3"/>
      <c r="E14560" s="3"/>
      <c r="F14560" s="3"/>
      <c r="G14560" s="3"/>
      <c r="H14560" s="11"/>
      <c r="I14560" s="12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  <c r="AA14560" s="3"/>
      <c r="AB14560" s="3"/>
      <c r="AC14560" s="3"/>
      <c r="AD14560" s="3"/>
      <c r="AE14560" s="3"/>
      <c r="AF14560" s="3"/>
      <c r="AG14560" s="3"/>
      <c r="AH14560" s="3"/>
    </row>
    <row r="14561" spans="1:34" ht="14.25" customHeight="1" x14ac:dyDescent="0.25">
      <c r="A14561" s="3"/>
      <c r="B14561" s="3"/>
      <c r="C14561" s="3"/>
      <c r="D14561" s="3"/>
      <c r="E14561" s="3"/>
      <c r="F14561" s="3"/>
      <c r="G14561" s="3"/>
      <c r="H14561" s="11"/>
      <c r="I14561" s="12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  <c r="AA14561" s="3"/>
      <c r="AB14561" s="3"/>
      <c r="AC14561" s="3"/>
      <c r="AD14561" s="3"/>
      <c r="AE14561" s="3"/>
      <c r="AF14561" s="3"/>
      <c r="AG14561" s="3"/>
      <c r="AH14561" s="3"/>
    </row>
    <row r="14562" spans="1:34" ht="14.25" customHeight="1" x14ac:dyDescent="0.25">
      <c r="A14562" s="3"/>
      <c r="B14562" s="3"/>
      <c r="C14562" s="3"/>
      <c r="D14562" s="3"/>
      <c r="E14562" s="3"/>
      <c r="F14562" s="3"/>
      <c r="G14562" s="3"/>
      <c r="H14562" s="11"/>
      <c r="I14562" s="12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  <c r="AA14562" s="3"/>
      <c r="AB14562" s="3"/>
      <c r="AC14562" s="3"/>
      <c r="AD14562" s="3"/>
      <c r="AE14562" s="3"/>
      <c r="AF14562" s="3"/>
      <c r="AG14562" s="3"/>
      <c r="AH14562" s="3"/>
    </row>
    <row r="14563" spans="1:34" ht="14.25" customHeight="1" x14ac:dyDescent="0.25">
      <c r="A14563" s="3"/>
      <c r="B14563" s="3"/>
      <c r="C14563" s="3"/>
      <c r="D14563" s="3"/>
      <c r="E14563" s="3"/>
      <c r="F14563" s="3"/>
      <c r="G14563" s="3"/>
      <c r="H14563" s="11"/>
      <c r="I14563" s="12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  <c r="AA14563" s="3"/>
      <c r="AB14563" s="3"/>
      <c r="AC14563" s="3"/>
      <c r="AD14563" s="3"/>
      <c r="AE14563" s="3"/>
      <c r="AF14563" s="3"/>
      <c r="AG14563" s="3"/>
      <c r="AH14563" s="3"/>
    </row>
    <row r="14564" spans="1:34" ht="14.25" customHeight="1" x14ac:dyDescent="0.25">
      <c r="A14564" s="3"/>
      <c r="B14564" s="3"/>
      <c r="C14564" s="3"/>
      <c r="D14564" s="3"/>
      <c r="E14564" s="3"/>
      <c r="F14564" s="3"/>
      <c r="G14564" s="3"/>
      <c r="H14564" s="11"/>
      <c r="I14564" s="12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  <c r="AA14564" s="3"/>
      <c r="AB14564" s="3"/>
      <c r="AC14564" s="3"/>
      <c r="AD14564" s="3"/>
      <c r="AE14564" s="3"/>
      <c r="AF14564" s="3"/>
      <c r="AG14564" s="3"/>
      <c r="AH14564" s="3"/>
    </row>
    <row r="14565" spans="1:34" ht="14.25" customHeight="1" x14ac:dyDescent="0.25">
      <c r="A14565" s="3"/>
      <c r="B14565" s="3"/>
      <c r="C14565" s="3"/>
      <c r="D14565" s="3"/>
      <c r="E14565" s="3"/>
      <c r="F14565" s="3"/>
      <c r="G14565" s="3"/>
      <c r="H14565" s="11"/>
      <c r="I14565" s="12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  <c r="AA14565" s="3"/>
      <c r="AB14565" s="3"/>
      <c r="AC14565" s="3"/>
      <c r="AD14565" s="3"/>
      <c r="AE14565" s="3"/>
      <c r="AF14565" s="3"/>
      <c r="AG14565" s="3"/>
      <c r="AH14565" s="3"/>
    </row>
    <row r="14566" spans="1:34" ht="14.25" customHeight="1" x14ac:dyDescent="0.25">
      <c r="A14566" s="3"/>
      <c r="B14566" s="3"/>
      <c r="C14566" s="3"/>
      <c r="D14566" s="3"/>
      <c r="E14566" s="3"/>
      <c r="F14566" s="3"/>
      <c r="G14566" s="3"/>
      <c r="H14566" s="11"/>
      <c r="I14566" s="12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  <c r="AA14566" s="3"/>
      <c r="AB14566" s="3"/>
      <c r="AC14566" s="3"/>
      <c r="AD14566" s="3"/>
      <c r="AE14566" s="3"/>
      <c r="AF14566" s="3"/>
      <c r="AG14566" s="3"/>
      <c r="AH14566" s="3"/>
    </row>
    <row r="14567" spans="1:34" ht="14.25" customHeight="1" x14ac:dyDescent="0.25">
      <c r="A14567" s="3"/>
      <c r="B14567" s="3"/>
      <c r="C14567" s="3"/>
      <c r="D14567" s="3"/>
      <c r="E14567" s="3"/>
      <c r="F14567" s="3"/>
      <c r="G14567" s="3"/>
      <c r="H14567" s="11"/>
      <c r="I14567" s="12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  <c r="AA14567" s="3"/>
      <c r="AB14567" s="3"/>
      <c r="AC14567" s="3"/>
      <c r="AD14567" s="3"/>
      <c r="AE14567" s="3"/>
      <c r="AF14567" s="3"/>
      <c r="AG14567" s="3"/>
      <c r="AH14567" s="3"/>
    </row>
    <row r="14568" spans="1:34" ht="14.25" customHeight="1" x14ac:dyDescent="0.25">
      <c r="A14568" s="3"/>
      <c r="B14568" s="3"/>
      <c r="C14568" s="3"/>
      <c r="D14568" s="3"/>
      <c r="E14568" s="3"/>
      <c r="F14568" s="3"/>
      <c r="G14568" s="3"/>
      <c r="H14568" s="11"/>
      <c r="I14568" s="12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  <c r="AA14568" s="3"/>
      <c r="AB14568" s="3"/>
      <c r="AC14568" s="3"/>
      <c r="AD14568" s="3"/>
      <c r="AE14568" s="3"/>
      <c r="AF14568" s="3"/>
      <c r="AG14568" s="3"/>
      <c r="AH14568" s="3"/>
    </row>
    <row r="14569" spans="1:34" ht="14.25" customHeight="1" x14ac:dyDescent="0.25">
      <c r="A14569" s="3"/>
      <c r="B14569" s="3"/>
      <c r="C14569" s="3"/>
      <c r="D14569" s="3"/>
      <c r="E14569" s="3"/>
      <c r="F14569" s="3"/>
      <c r="G14569" s="3"/>
      <c r="H14569" s="11"/>
      <c r="I14569" s="12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  <c r="AA14569" s="3"/>
      <c r="AB14569" s="3"/>
      <c r="AC14569" s="3"/>
      <c r="AD14569" s="3"/>
      <c r="AE14569" s="3"/>
      <c r="AF14569" s="3"/>
      <c r="AG14569" s="3"/>
      <c r="AH14569" s="3"/>
    </row>
    <row r="14570" spans="1:34" ht="14.25" customHeight="1" x14ac:dyDescent="0.25">
      <c r="A14570" s="3"/>
      <c r="B14570" s="3"/>
      <c r="C14570" s="3"/>
      <c r="D14570" s="3"/>
      <c r="E14570" s="3"/>
      <c r="F14570" s="3"/>
      <c r="G14570" s="3"/>
      <c r="H14570" s="11"/>
      <c r="I14570" s="12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  <c r="AA14570" s="3"/>
      <c r="AB14570" s="3"/>
      <c r="AC14570" s="3"/>
      <c r="AD14570" s="3"/>
      <c r="AE14570" s="3"/>
      <c r="AF14570" s="3"/>
      <c r="AG14570" s="3"/>
      <c r="AH14570" s="3"/>
    </row>
    <row r="14571" spans="1:34" ht="14.25" customHeight="1" x14ac:dyDescent="0.25">
      <c r="A14571" s="3"/>
      <c r="B14571" s="3"/>
      <c r="C14571" s="3"/>
      <c r="D14571" s="3"/>
      <c r="E14571" s="3"/>
      <c r="F14571" s="3"/>
      <c r="G14571" s="3"/>
      <c r="H14571" s="11"/>
      <c r="I14571" s="12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  <c r="AA14571" s="3"/>
      <c r="AB14571" s="3"/>
      <c r="AC14571" s="3"/>
      <c r="AD14571" s="3"/>
      <c r="AE14571" s="3"/>
      <c r="AF14571" s="3"/>
      <c r="AG14571" s="3"/>
      <c r="AH14571" s="3"/>
    </row>
    <row r="14572" spans="1:34" ht="14.25" customHeight="1" x14ac:dyDescent="0.25">
      <c r="A14572" s="3"/>
      <c r="B14572" s="3"/>
      <c r="C14572" s="3"/>
      <c r="D14572" s="3"/>
      <c r="E14572" s="3"/>
      <c r="F14572" s="3"/>
      <c r="G14572" s="3"/>
      <c r="H14572" s="11"/>
      <c r="I14572" s="12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  <c r="AA14572" s="3"/>
      <c r="AB14572" s="3"/>
      <c r="AC14572" s="3"/>
      <c r="AD14572" s="3"/>
      <c r="AE14572" s="3"/>
      <c r="AF14572" s="3"/>
      <c r="AG14572" s="3"/>
      <c r="AH14572" s="3"/>
    </row>
    <row r="14573" spans="1:34" ht="14.25" customHeight="1" x14ac:dyDescent="0.25">
      <c r="A14573" s="3"/>
      <c r="B14573" s="3"/>
      <c r="C14573" s="3"/>
      <c r="D14573" s="3"/>
      <c r="E14573" s="3"/>
      <c r="F14573" s="3"/>
      <c r="G14573" s="3"/>
      <c r="H14573" s="11"/>
      <c r="I14573" s="12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  <c r="AA14573" s="3"/>
      <c r="AB14573" s="3"/>
      <c r="AC14573" s="3"/>
      <c r="AD14573" s="3"/>
      <c r="AE14573" s="3"/>
      <c r="AF14573" s="3"/>
      <c r="AG14573" s="3"/>
      <c r="AH14573" s="3"/>
    </row>
    <row r="14574" spans="1:34" ht="14.25" customHeight="1" x14ac:dyDescent="0.25">
      <c r="A14574" s="3"/>
      <c r="B14574" s="3"/>
      <c r="C14574" s="3"/>
      <c r="D14574" s="3"/>
      <c r="E14574" s="3"/>
      <c r="F14574" s="3"/>
      <c r="G14574" s="3"/>
      <c r="H14574" s="11"/>
      <c r="I14574" s="12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  <c r="AA14574" s="3"/>
      <c r="AB14574" s="3"/>
      <c r="AC14574" s="3"/>
      <c r="AD14574" s="3"/>
      <c r="AE14574" s="3"/>
      <c r="AF14574" s="3"/>
      <c r="AG14574" s="3"/>
      <c r="AH14574" s="3"/>
    </row>
    <row r="14575" spans="1:34" ht="14.25" customHeight="1" x14ac:dyDescent="0.25">
      <c r="A14575" s="3"/>
      <c r="B14575" s="3"/>
      <c r="C14575" s="3"/>
      <c r="D14575" s="3"/>
      <c r="E14575" s="3"/>
      <c r="F14575" s="3"/>
      <c r="G14575" s="3"/>
      <c r="H14575" s="11"/>
      <c r="I14575" s="12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  <c r="AA14575" s="3"/>
      <c r="AB14575" s="3"/>
      <c r="AC14575" s="3"/>
      <c r="AD14575" s="3"/>
      <c r="AE14575" s="3"/>
      <c r="AF14575" s="3"/>
      <c r="AG14575" s="3"/>
      <c r="AH14575" s="3"/>
    </row>
    <row r="14576" spans="1:34" ht="14.25" customHeight="1" x14ac:dyDescent="0.25">
      <c r="A14576" s="3"/>
      <c r="B14576" s="3"/>
      <c r="C14576" s="3"/>
      <c r="D14576" s="3"/>
      <c r="E14576" s="3"/>
      <c r="F14576" s="3"/>
      <c r="G14576" s="3"/>
      <c r="H14576" s="11"/>
      <c r="I14576" s="12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  <c r="AA14576" s="3"/>
      <c r="AB14576" s="3"/>
      <c r="AC14576" s="3"/>
      <c r="AD14576" s="3"/>
      <c r="AE14576" s="3"/>
      <c r="AF14576" s="3"/>
      <c r="AG14576" s="3"/>
      <c r="AH14576" s="3"/>
    </row>
    <row r="14577" spans="1:34" ht="14.25" customHeight="1" x14ac:dyDescent="0.25">
      <c r="A14577" s="3"/>
      <c r="B14577" s="3"/>
      <c r="C14577" s="3"/>
      <c r="D14577" s="3"/>
      <c r="E14577" s="3"/>
      <c r="F14577" s="3"/>
      <c r="G14577" s="3"/>
      <c r="H14577" s="11"/>
      <c r="I14577" s="12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  <c r="AA14577" s="3"/>
      <c r="AB14577" s="3"/>
      <c r="AC14577" s="3"/>
      <c r="AD14577" s="3"/>
      <c r="AE14577" s="3"/>
      <c r="AF14577" s="3"/>
      <c r="AG14577" s="3"/>
      <c r="AH14577" s="3"/>
    </row>
    <row r="14578" spans="1:34" ht="14.25" customHeight="1" x14ac:dyDescent="0.25">
      <c r="A14578" s="3"/>
      <c r="B14578" s="3"/>
      <c r="C14578" s="3"/>
      <c r="D14578" s="3"/>
      <c r="E14578" s="3"/>
      <c r="F14578" s="3"/>
      <c r="G14578" s="3"/>
      <c r="H14578" s="11"/>
      <c r="I14578" s="12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  <c r="AA14578" s="3"/>
      <c r="AB14578" s="3"/>
      <c r="AC14578" s="3"/>
      <c r="AD14578" s="3"/>
      <c r="AE14578" s="3"/>
      <c r="AF14578" s="3"/>
      <c r="AG14578" s="3"/>
      <c r="AH14578" s="3"/>
    </row>
    <row r="14579" spans="1:34" ht="14.25" customHeight="1" x14ac:dyDescent="0.25">
      <c r="A14579" s="3"/>
      <c r="B14579" s="3"/>
      <c r="C14579" s="3"/>
      <c r="D14579" s="3"/>
      <c r="E14579" s="3"/>
      <c r="F14579" s="3"/>
      <c r="G14579" s="3"/>
      <c r="H14579" s="11"/>
      <c r="I14579" s="12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  <c r="AA14579" s="3"/>
      <c r="AB14579" s="3"/>
      <c r="AC14579" s="3"/>
      <c r="AD14579" s="3"/>
      <c r="AE14579" s="3"/>
      <c r="AF14579" s="3"/>
      <c r="AG14579" s="3"/>
      <c r="AH14579" s="3"/>
    </row>
    <row r="14580" spans="1:34" ht="14.25" customHeight="1" x14ac:dyDescent="0.25">
      <c r="A14580" s="3"/>
      <c r="B14580" s="3"/>
      <c r="C14580" s="3"/>
      <c r="D14580" s="3"/>
      <c r="E14580" s="3"/>
      <c r="F14580" s="3"/>
      <c r="G14580" s="3"/>
      <c r="H14580" s="11"/>
      <c r="I14580" s="12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  <c r="AA14580" s="3"/>
      <c r="AB14580" s="3"/>
      <c r="AC14580" s="3"/>
      <c r="AD14580" s="3"/>
      <c r="AE14580" s="3"/>
      <c r="AF14580" s="3"/>
      <c r="AG14580" s="3"/>
      <c r="AH14580" s="3"/>
    </row>
    <row r="14581" spans="1:34" ht="14.25" customHeight="1" x14ac:dyDescent="0.25">
      <c r="A14581" s="3"/>
      <c r="B14581" s="3"/>
      <c r="C14581" s="3"/>
      <c r="D14581" s="3"/>
      <c r="E14581" s="3"/>
      <c r="F14581" s="3"/>
      <c r="G14581" s="3"/>
      <c r="H14581" s="11"/>
      <c r="I14581" s="12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  <c r="AA14581" s="3"/>
      <c r="AB14581" s="3"/>
      <c r="AC14581" s="3"/>
      <c r="AD14581" s="3"/>
      <c r="AE14581" s="3"/>
      <c r="AF14581" s="3"/>
      <c r="AG14581" s="3"/>
      <c r="AH14581" s="3"/>
    </row>
    <row r="14582" spans="1:34" ht="14.25" customHeight="1" x14ac:dyDescent="0.25">
      <c r="A14582" s="3"/>
      <c r="B14582" s="3"/>
      <c r="C14582" s="3"/>
      <c r="D14582" s="3"/>
      <c r="E14582" s="3"/>
      <c r="F14582" s="3"/>
      <c r="G14582" s="3"/>
      <c r="H14582" s="11"/>
      <c r="I14582" s="12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  <c r="AA14582" s="3"/>
      <c r="AB14582" s="3"/>
      <c r="AC14582" s="3"/>
      <c r="AD14582" s="3"/>
      <c r="AE14582" s="3"/>
      <c r="AF14582" s="3"/>
      <c r="AG14582" s="3"/>
      <c r="AH14582" s="3"/>
    </row>
    <row r="14583" spans="1:34" ht="14.25" customHeight="1" x14ac:dyDescent="0.25">
      <c r="A14583" s="3"/>
      <c r="B14583" s="3"/>
      <c r="C14583" s="3"/>
      <c r="D14583" s="3"/>
      <c r="E14583" s="3"/>
      <c r="F14583" s="3"/>
      <c r="G14583" s="3"/>
      <c r="H14583" s="11"/>
      <c r="I14583" s="12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  <c r="AA14583" s="3"/>
      <c r="AB14583" s="3"/>
      <c r="AC14583" s="3"/>
      <c r="AD14583" s="3"/>
      <c r="AE14583" s="3"/>
      <c r="AF14583" s="3"/>
      <c r="AG14583" s="3"/>
      <c r="AH14583" s="3"/>
    </row>
    <row r="14584" spans="1:34" ht="14.25" customHeight="1" x14ac:dyDescent="0.25">
      <c r="A14584" s="3"/>
      <c r="B14584" s="3"/>
      <c r="C14584" s="3"/>
      <c r="D14584" s="3"/>
      <c r="E14584" s="3"/>
      <c r="F14584" s="3"/>
      <c r="G14584" s="3"/>
      <c r="H14584" s="11"/>
      <c r="I14584" s="12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  <c r="AA14584" s="3"/>
      <c r="AB14584" s="3"/>
      <c r="AC14584" s="3"/>
      <c r="AD14584" s="3"/>
      <c r="AE14584" s="3"/>
      <c r="AF14584" s="3"/>
      <c r="AG14584" s="3"/>
      <c r="AH14584" s="3"/>
    </row>
    <row r="14585" spans="1:34" ht="14.25" customHeight="1" x14ac:dyDescent="0.25">
      <c r="A14585" s="3"/>
      <c r="B14585" s="3"/>
      <c r="C14585" s="3"/>
      <c r="D14585" s="3"/>
      <c r="E14585" s="3"/>
      <c r="F14585" s="3"/>
      <c r="G14585" s="3"/>
      <c r="H14585" s="11"/>
      <c r="I14585" s="12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  <c r="AA14585" s="3"/>
      <c r="AB14585" s="3"/>
      <c r="AC14585" s="3"/>
      <c r="AD14585" s="3"/>
      <c r="AE14585" s="3"/>
      <c r="AF14585" s="3"/>
      <c r="AG14585" s="3"/>
      <c r="AH14585" s="3"/>
    </row>
    <row r="14586" spans="1:34" ht="14.25" customHeight="1" x14ac:dyDescent="0.25">
      <c r="A14586" s="3"/>
      <c r="B14586" s="3"/>
      <c r="C14586" s="3"/>
      <c r="D14586" s="3"/>
      <c r="E14586" s="3"/>
      <c r="F14586" s="3"/>
      <c r="G14586" s="3"/>
      <c r="H14586" s="11"/>
      <c r="I14586" s="12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  <c r="AA14586" s="3"/>
      <c r="AB14586" s="3"/>
      <c r="AC14586" s="3"/>
      <c r="AD14586" s="3"/>
      <c r="AE14586" s="3"/>
      <c r="AF14586" s="3"/>
      <c r="AG14586" s="3"/>
      <c r="AH14586" s="3"/>
    </row>
    <row r="14587" spans="1:34" ht="14.25" customHeight="1" x14ac:dyDescent="0.25">
      <c r="A14587" s="3"/>
      <c r="B14587" s="3"/>
      <c r="C14587" s="3"/>
      <c r="D14587" s="3"/>
      <c r="E14587" s="3"/>
      <c r="F14587" s="3"/>
      <c r="G14587" s="3"/>
      <c r="H14587" s="11"/>
      <c r="I14587" s="12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  <c r="AA14587" s="3"/>
      <c r="AB14587" s="3"/>
      <c r="AC14587" s="3"/>
      <c r="AD14587" s="3"/>
      <c r="AE14587" s="3"/>
      <c r="AF14587" s="3"/>
      <c r="AG14587" s="3"/>
      <c r="AH14587" s="3"/>
    </row>
    <row r="14588" spans="1:34" ht="14.25" customHeight="1" x14ac:dyDescent="0.25">
      <c r="A14588" s="3"/>
      <c r="B14588" s="3"/>
      <c r="C14588" s="3"/>
      <c r="D14588" s="3"/>
      <c r="E14588" s="3"/>
      <c r="F14588" s="3"/>
      <c r="G14588" s="3"/>
      <c r="H14588" s="11"/>
      <c r="I14588" s="12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  <c r="AA14588" s="3"/>
      <c r="AB14588" s="3"/>
      <c r="AC14588" s="3"/>
      <c r="AD14588" s="3"/>
      <c r="AE14588" s="3"/>
      <c r="AF14588" s="3"/>
      <c r="AG14588" s="3"/>
      <c r="AH14588" s="3"/>
    </row>
    <row r="14589" spans="1:34" ht="14.25" customHeight="1" x14ac:dyDescent="0.25">
      <c r="A14589" s="3"/>
      <c r="B14589" s="3"/>
      <c r="C14589" s="3"/>
      <c r="D14589" s="3"/>
      <c r="E14589" s="3"/>
      <c r="F14589" s="3"/>
      <c r="G14589" s="3"/>
      <c r="H14589" s="11"/>
      <c r="I14589" s="12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  <c r="AA14589" s="3"/>
      <c r="AB14589" s="3"/>
      <c r="AC14589" s="3"/>
      <c r="AD14589" s="3"/>
      <c r="AE14589" s="3"/>
      <c r="AF14589" s="3"/>
      <c r="AG14589" s="3"/>
      <c r="AH14589" s="3"/>
    </row>
    <row r="14590" spans="1:34" ht="14.25" customHeight="1" x14ac:dyDescent="0.25">
      <c r="A14590" s="3"/>
      <c r="B14590" s="3"/>
      <c r="C14590" s="3"/>
      <c r="D14590" s="3"/>
      <c r="E14590" s="3"/>
      <c r="F14590" s="3"/>
      <c r="G14590" s="3"/>
      <c r="H14590" s="11"/>
      <c r="I14590" s="12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  <c r="AA14590" s="3"/>
      <c r="AB14590" s="3"/>
      <c r="AC14590" s="3"/>
      <c r="AD14590" s="3"/>
      <c r="AE14590" s="3"/>
      <c r="AF14590" s="3"/>
      <c r="AG14590" s="3"/>
      <c r="AH14590" s="3"/>
    </row>
    <row r="14591" spans="1:34" ht="14.25" customHeight="1" x14ac:dyDescent="0.25">
      <c r="A14591" s="3"/>
      <c r="B14591" s="3"/>
      <c r="C14591" s="3"/>
      <c r="D14591" s="3"/>
      <c r="E14591" s="3"/>
      <c r="F14591" s="3"/>
      <c r="G14591" s="3"/>
      <c r="H14591" s="11"/>
      <c r="I14591" s="12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  <c r="AA14591" s="3"/>
      <c r="AB14591" s="3"/>
      <c r="AC14591" s="3"/>
      <c r="AD14591" s="3"/>
      <c r="AE14591" s="3"/>
      <c r="AF14591" s="3"/>
      <c r="AG14591" s="3"/>
      <c r="AH14591" s="3"/>
    </row>
    <row r="14592" spans="1:34" ht="14.25" customHeight="1" x14ac:dyDescent="0.25">
      <c r="A14592" s="3"/>
      <c r="B14592" s="3"/>
      <c r="C14592" s="3"/>
      <c r="D14592" s="3"/>
      <c r="E14592" s="3"/>
      <c r="F14592" s="3"/>
      <c r="G14592" s="3"/>
      <c r="H14592" s="11"/>
      <c r="I14592" s="12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  <c r="AA14592" s="3"/>
      <c r="AB14592" s="3"/>
      <c r="AC14592" s="3"/>
      <c r="AD14592" s="3"/>
      <c r="AE14592" s="3"/>
      <c r="AF14592" s="3"/>
      <c r="AG14592" s="3"/>
      <c r="AH14592" s="3"/>
    </row>
    <row r="14593" spans="1:34" ht="14.25" customHeight="1" x14ac:dyDescent="0.25">
      <c r="A14593" s="3"/>
      <c r="B14593" s="3"/>
      <c r="C14593" s="3"/>
      <c r="D14593" s="3"/>
      <c r="E14593" s="3"/>
      <c r="F14593" s="3"/>
      <c r="G14593" s="3"/>
      <c r="H14593" s="11"/>
      <c r="I14593" s="12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  <c r="AA14593" s="3"/>
      <c r="AB14593" s="3"/>
      <c r="AC14593" s="3"/>
      <c r="AD14593" s="3"/>
      <c r="AE14593" s="3"/>
      <c r="AF14593" s="3"/>
      <c r="AG14593" s="3"/>
      <c r="AH14593" s="3"/>
    </row>
    <row r="14594" spans="1:34" ht="14.25" customHeight="1" x14ac:dyDescent="0.25">
      <c r="A14594" s="3"/>
      <c r="B14594" s="3"/>
      <c r="C14594" s="3"/>
      <c r="D14594" s="3"/>
      <c r="E14594" s="3"/>
      <c r="F14594" s="3"/>
      <c r="G14594" s="3"/>
      <c r="H14594" s="11"/>
      <c r="I14594" s="12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  <c r="AA14594" s="3"/>
      <c r="AB14594" s="3"/>
      <c r="AC14594" s="3"/>
      <c r="AD14594" s="3"/>
      <c r="AE14594" s="3"/>
      <c r="AF14594" s="3"/>
      <c r="AG14594" s="3"/>
      <c r="AH14594" s="3"/>
    </row>
    <row r="14595" spans="1:34" ht="14.25" customHeight="1" x14ac:dyDescent="0.25">
      <c r="A14595" s="3"/>
      <c r="B14595" s="3"/>
      <c r="C14595" s="3"/>
      <c r="D14595" s="3"/>
      <c r="E14595" s="3"/>
      <c r="F14595" s="3"/>
      <c r="G14595" s="3"/>
      <c r="H14595" s="11"/>
      <c r="I14595" s="12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  <c r="AA14595" s="3"/>
      <c r="AB14595" s="3"/>
      <c r="AC14595" s="3"/>
      <c r="AD14595" s="3"/>
      <c r="AE14595" s="3"/>
      <c r="AF14595" s="3"/>
      <c r="AG14595" s="3"/>
      <c r="AH14595" s="3"/>
    </row>
    <row r="14596" spans="1:34" ht="14.25" customHeight="1" x14ac:dyDescent="0.25">
      <c r="A14596" s="3"/>
      <c r="B14596" s="3"/>
      <c r="C14596" s="3"/>
      <c r="D14596" s="3"/>
      <c r="E14596" s="3"/>
      <c r="F14596" s="3"/>
      <c r="G14596" s="3"/>
      <c r="H14596" s="11"/>
      <c r="I14596" s="12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  <c r="AA14596" s="3"/>
      <c r="AB14596" s="3"/>
      <c r="AC14596" s="3"/>
      <c r="AD14596" s="3"/>
      <c r="AE14596" s="3"/>
      <c r="AF14596" s="3"/>
      <c r="AG14596" s="3"/>
      <c r="AH14596" s="3"/>
    </row>
    <row r="14597" spans="1:34" ht="14.25" customHeight="1" x14ac:dyDescent="0.25">
      <c r="A14597" s="3"/>
      <c r="B14597" s="3"/>
      <c r="C14597" s="3"/>
      <c r="D14597" s="3"/>
      <c r="E14597" s="3"/>
      <c r="F14597" s="3"/>
      <c r="G14597" s="3"/>
      <c r="H14597" s="11"/>
      <c r="I14597" s="12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  <c r="AA14597" s="3"/>
      <c r="AB14597" s="3"/>
      <c r="AC14597" s="3"/>
      <c r="AD14597" s="3"/>
      <c r="AE14597" s="3"/>
      <c r="AF14597" s="3"/>
      <c r="AG14597" s="3"/>
      <c r="AH14597" s="3"/>
    </row>
    <row r="14598" spans="1:34" ht="14.25" customHeight="1" x14ac:dyDescent="0.25">
      <c r="A14598" s="3"/>
      <c r="B14598" s="3"/>
      <c r="C14598" s="3"/>
      <c r="D14598" s="3"/>
      <c r="E14598" s="3"/>
      <c r="F14598" s="3"/>
      <c r="G14598" s="3"/>
      <c r="H14598" s="11"/>
      <c r="I14598" s="12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  <c r="AA14598" s="3"/>
      <c r="AB14598" s="3"/>
      <c r="AC14598" s="3"/>
      <c r="AD14598" s="3"/>
      <c r="AE14598" s="3"/>
      <c r="AF14598" s="3"/>
      <c r="AG14598" s="3"/>
      <c r="AH14598" s="3"/>
    </row>
    <row r="14599" spans="1:34" ht="14.25" customHeight="1" x14ac:dyDescent="0.25">
      <c r="A14599" s="3"/>
      <c r="B14599" s="3"/>
      <c r="C14599" s="3"/>
      <c r="D14599" s="3"/>
      <c r="E14599" s="3"/>
      <c r="F14599" s="3"/>
      <c r="G14599" s="3"/>
      <c r="H14599" s="11"/>
      <c r="I14599" s="12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  <c r="AA14599" s="3"/>
      <c r="AB14599" s="3"/>
      <c r="AC14599" s="3"/>
      <c r="AD14599" s="3"/>
      <c r="AE14599" s="3"/>
      <c r="AF14599" s="3"/>
      <c r="AG14599" s="3"/>
      <c r="AH14599" s="3"/>
    </row>
    <row r="14600" spans="1:34" ht="14.25" customHeight="1" x14ac:dyDescent="0.25">
      <c r="A14600" s="3"/>
      <c r="B14600" s="3"/>
      <c r="C14600" s="3"/>
      <c r="D14600" s="3"/>
      <c r="E14600" s="3"/>
      <c r="F14600" s="3"/>
      <c r="G14600" s="3"/>
      <c r="H14600" s="11"/>
      <c r="I14600" s="12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  <c r="AA14600" s="3"/>
      <c r="AB14600" s="3"/>
      <c r="AC14600" s="3"/>
      <c r="AD14600" s="3"/>
      <c r="AE14600" s="3"/>
      <c r="AF14600" s="3"/>
      <c r="AG14600" s="3"/>
      <c r="AH14600" s="3"/>
    </row>
    <row r="14601" spans="1:34" ht="14.25" customHeight="1" x14ac:dyDescent="0.25">
      <c r="A14601" s="3"/>
      <c r="B14601" s="3"/>
      <c r="C14601" s="3"/>
      <c r="D14601" s="3"/>
      <c r="E14601" s="3"/>
      <c r="F14601" s="3"/>
      <c r="G14601" s="3"/>
      <c r="H14601" s="11"/>
      <c r="I14601" s="12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  <c r="AA14601" s="3"/>
      <c r="AB14601" s="3"/>
      <c r="AC14601" s="3"/>
      <c r="AD14601" s="3"/>
      <c r="AE14601" s="3"/>
      <c r="AF14601" s="3"/>
      <c r="AG14601" s="3"/>
      <c r="AH14601" s="3"/>
    </row>
    <row r="14602" spans="1:34" ht="14.25" customHeight="1" x14ac:dyDescent="0.25">
      <c r="A14602" s="3"/>
      <c r="B14602" s="3"/>
      <c r="C14602" s="3"/>
      <c r="D14602" s="3"/>
      <c r="E14602" s="3"/>
      <c r="F14602" s="3"/>
      <c r="G14602" s="3"/>
      <c r="H14602" s="11"/>
      <c r="I14602" s="12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  <c r="AA14602" s="3"/>
      <c r="AB14602" s="3"/>
      <c r="AC14602" s="3"/>
      <c r="AD14602" s="3"/>
      <c r="AE14602" s="3"/>
      <c r="AF14602" s="3"/>
      <c r="AG14602" s="3"/>
      <c r="AH14602" s="3"/>
    </row>
    <row r="14603" spans="1:34" ht="14.25" customHeight="1" x14ac:dyDescent="0.25">
      <c r="A14603" s="3"/>
      <c r="B14603" s="3"/>
      <c r="C14603" s="3"/>
      <c r="D14603" s="3"/>
      <c r="E14603" s="3"/>
      <c r="F14603" s="3"/>
      <c r="G14603" s="3"/>
      <c r="H14603" s="11"/>
      <c r="I14603" s="12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  <c r="AA14603" s="3"/>
      <c r="AB14603" s="3"/>
      <c r="AC14603" s="3"/>
      <c r="AD14603" s="3"/>
      <c r="AE14603" s="3"/>
      <c r="AF14603" s="3"/>
      <c r="AG14603" s="3"/>
      <c r="AH14603" s="3"/>
    </row>
    <row r="14604" spans="1:34" ht="14.25" customHeight="1" x14ac:dyDescent="0.25">
      <c r="A14604" s="3"/>
      <c r="B14604" s="3"/>
      <c r="C14604" s="3"/>
      <c r="D14604" s="3"/>
      <c r="E14604" s="3"/>
      <c r="F14604" s="3"/>
      <c r="G14604" s="3"/>
      <c r="H14604" s="11"/>
      <c r="I14604" s="12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  <c r="AA14604" s="3"/>
      <c r="AB14604" s="3"/>
      <c r="AC14604" s="3"/>
      <c r="AD14604" s="3"/>
      <c r="AE14604" s="3"/>
      <c r="AF14604" s="3"/>
      <c r="AG14604" s="3"/>
      <c r="AH14604" s="3"/>
    </row>
    <row r="14605" spans="1:34" ht="14.25" customHeight="1" x14ac:dyDescent="0.25">
      <c r="A14605" s="3"/>
      <c r="B14605" s="3"/>
      <c r="C14605" s="3"/>
      <c r="D14605" s="3"/>
      <c r="E14605" s="3"/>
      <c r="F14605" s="3"/>
      <c r="G14605" s="3"/>
      <c r="H14605" s="11"/>
      <c r="I14605" s="12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  <c r="AA14605" s="3"/>
      <c r="AB14605" s="3"/>
      <c r="AC14605" s="3"/>
      <c r="AD14605" s="3"/>
      <c r="AE14605" s="3"/>
      <c r="AF14605" s="3"/>
      <c r="AG14605" s="3"/>
      <c r="AH14605" s="3"/>
    </row>
    <row r="14606" spans="1:34" ht="14.25" customHeight="1" x14ac:dyDescent="0.25">
      <c r="A14606" s="3"/>
      <c r="B14606" s="3"/>
      <c r="C14606" s="3"/>
      <c r="D14606" s="3"/>
      <c r="E14606" s="3"/>
      <c r="F14606" s="3"/>
      <c r="G14606" s="3"/>
      <c r="H14606" s="11"/>
      <c r="I14606" s="12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  <c r="AA14606" s="3"/>
      <c r="AB14606" s="3"/>
      <c r="AC14606" s="3"/>
      <c r="AD14606" s="3"/>
      <c r="AE14606" s="3"/>
      <c r="AF14606" s="3"/>
      <c r="AG14606" s="3"/>
      <c r="AH14606" s="3"/>
    </row>
    <row r="14607" spans="1:34" ht="14.25" customHeight="1" x14ac:dyDescent="0.25">
      <c r="A14607" s="3"/>
      <c r="B14607" s="3"/>
      <c r="C14607" s="3"/>
      <c r="D14607" s="3"/>
      <c r="E14607" s="3"/>
      <c r="F14607" s="3"/>
      <c r="G14607" s="3"/>
      <c r="H14607" s="11"/>
      <c r="I14607" s="12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  <c r="AA14607" s="3"/>
      <c r="AB14607" s="3"/>
      <c r="AC14607" s="3"/>
      <c r="AD14607" s="3"/>
      <c r="AE14607" s="3"/>
      <c r="AF14607" s="3"/>
      <c r="AG14607" s="3"/>
      <c r="AH14607" s="3"/>
    </row>
    <row r="14608" spans="1:34" ht="14.25" customHeight="1" x14ac:dyDescent="0.25">
      <c r="A14608" s="3"/>
      <c r="B14608" s="3"/>
      <c r="C14608" s="3"/>
      <c r="D14608" s="3"/>
      <c r="E14608" s="3"/>
      <c r="F14608" s="3"/>
      <c r="G14608" s="3"/>
      <c r="H14608" s="11"/>
      <c r="I14608" s="12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  <c r="AA14608" s="3"/>
      <c r="AB14608" s="3"/>
      <c r="AC14608" s="3"/>
      <c r="AD14608" s="3"/>
      <c r="AE14608" s="3"/>
      <c r="AF14608" s="3"/>
      <c r="AG14608" s="3"/>
      <c r="AH14608" s="3"/>
    </row>
    <row r="14609" spans="1:34" ht="14.25" customHeight="1" x14ac:dyDescent="0.25">
      <c r="A14609" s="3"/>
      <c r="B14609" s="3"/>
      <c r="C14609" s="3"/>
      <c r="D14609" s="3"/>
      <c r="E14609" s="3"/>
      <c r="F14609" s="3"/>
      <c r="G14609" s="3"/>
      <c r="H14609" s="11"/>
      <c r="I14609" s="12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  <c r="AA14609" s="3"/>
      <c r="AB14609" s="3"/>
      <c r="AC14609" s="3"/>
      <c r="AD14609" s="3"/>
      <c r="AE14609" s="3"/>
      <c r="AF14609" s="3"/>
      <c r="AG14609" s="3"/>
      <c r="AH14609" s="3"/>
    </row>
    <row r="14610" spans="1:34" ht="14.25" customHeight="1" x14ac:dyDescent="0.25">
      <c r="A14610" s="3"/>
      <c r="B14610" s="3"/>
      <c r="C14610" s="3"/>
      <c r="D14610" s="3"/>
      <c r="E14610" s="3"/>
      <c r="F14610" s="3"/>
      <c r="G14610" s="3"/>
      <c r="H14610" s="11"/>
      <c r="I14610" s="12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  <c r="AA14610" s="3"/>
      <c r="AB14610" s="3"/>
      <c r="AC14610" s="3"/>
      <c r="AD14610" s="3"/>
      <c r="AE14610" s="3"/>
      <c r="AF14610" s="3"/>
      <c r="AG14610" s="3"/>
      <c r="AH14610" s="3"/>
    </row>
    <row r="14611" spans="1:34" ht="14.25" customHeight="1" x14ac:dyDescent="0.25">
      <c r="A14611" s="3"/>
      <c r="B14611" s="3"/>
      <c r="C14611" s="3"/>
      <c r="D14611" s="3"/>
      <c r="E14611" s="3"/>
      <c r="F14611" s="3"/>
      <c r="G14611" s="3"/>
      <c r="H14611" s="11"/>
      <c r="I14611" s="12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  <c r="AA14611" s="3"/>
      <c r="AB14611" s="3"/>
      <c r="AC14611" s="3"/>
      <c r="AD14611" s="3"/>
      <c r="AE14611" s="3"/>
      <c r="AF14611" s="3"/>
      <c r="AG14611" s="3"/>
      <c r="AH14611" s="3"/>
    </row>
    <row r="14612" spans="1:34" ht="14.25" customHeight="1" x14ac:dyDescent="0.25">
      <c r="A14612" s="3"/>
      <c r="B14612" s="3"/>
      <c r="C14612" s="3"/>
      <c r="D14612" s="3"/>
      <c r="E14612" s="3"/>
      <c r="F14612" s="3"/>
      <c r="G14612" s="3"/>
      <c r="H14612" s="11"/>
      <c r="I14612" s="12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  <c r="AA14612" s="3"/>
      <c r="AB14612" s="3"/>
      <c r="AC14612" s="3"/>
      <c r="AD14612" s="3"/>
      <c r="AE14612" s="3"/>
      <c r="AF14612" s="3"/>
      <c r="AG14612" s="3"/>
      <c r="AH14612" s="3"/>
    </row>
    <row r="14613" spans="1:34" ht="14.25" customHeight="1" x14ac:dyDescent="0.25">
      <c r="A14613" s="3"/>
      <c r="B14613" s="3"/>
      <c r="C14613" s="3"/>
      <c r="D14613" s="3"/>
      <c r="E14613" s="3"/>
      <c r="F14613" s="3"/>
      <c r="G14613" s="3"/>
      <c r="H14613" s="11"/>
      <c r="I14613" s="12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  <c r="AA14613" s="3"/>
      <c r="AB14613" s="3"/>
      <c r="AC14613" s="3"/>
      <c r="AD14613" s="3"/>
      <c r="AE14613" s="3"/>
      <c r="AF14613" s="3"/>
      <c r="AG14613" s="3"/>
      <c r="AH14613" s="3"/>
    </row>
    <row r="14614" spans="1:34" ht="14.25" customHeight="1" x14ac:dyDescent="0.25">
      <c r="A14614" s="3"/>
      <c r="B14614" s="3"/>
      <c r="C14614" s="3"/>
      <c r="D14614" s="3"/>
      <c r="E14614" s="3"/>
      <c r="F14614" s="3"/>
      <c r="G14614" s="3"/>
      <c r="H14614" s="11"/>
      <c r="I14614" s="12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  <c r="AA14614" s="3"/>
      <c r="AB14614" s="3"/>
      <c r="AC14614" s="3"/>
      <c r="AD14614" s="3"/>
      <c r="AE14614" s="3"/>
      <c r="AF14614" s="3"/>
      <c r="AG14614" s="3"/>
      <c r="AH14614" s="3"/>
    </row>
    <row r="14615" spans="1:34" ht="14.25" customHeight="1" x14ac:dyDescent="0.25">
      <c r="A14615" s="3"/>
      <c r="B14615" s="3"/>
      <c r="C14615" s="3"/>
      <c r="D14615" s="3"/>
      <c r="E14615" s="3"/>
      <c r="F14615" s="3"/>
      <c r="G14615" s="3"/>
      <c r="H14615" s="11"/>
      <c r="I14615" s="12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  <c r="AA14615" s="3"/>
      <c r="AB14615" s="3"/>
      <c r="AC14615" s="3"/>
      <c r="AD14615" s="3"/>
      <c r="AE14615" s="3"/>
      <c r="AF14615" s="3"/>
      <c r="AG14615" s="3"/>
      <c r="AH14615" s="3"/>
    </row>
    <row r="14616" spans="1:34" ht="14.25" customHeight="1" x14ac:dyDescent="0.25">
      <c r="A14616" s="3"/>
      <c r="B14616" s="3"/>
      <c r="C14616" s="3"/>
      <c r="D14616" s="3"/>
      <c r="E14616" s="3"/>
      <c r="F14616" s="3"/>
      <c r="G14616" s="3"/>
      <c r="H14616" s="11"/>
      <c r="I14616" s="12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  <c r="AA14616" s="3"/>
      <c r="AB14616" s="3"/>
      <c r="AC14616" s="3"/>
      <c r="AD14616" s="3"/>
      <c r="AE14616" s="3"/>
      <c r="AF14616" s="3"/>
      <c r="AG14616" s="3"/>
      <c r="AH14616" s="3"/>
    </row>
    <row r="14617" spans="1:34" ht="14.25" customHeight="1" x14ac:dyDescent="0.25">
      <c r="A14617" s="3"/>
      <c r="B14617" s="3"/>
      <c r="C14617" s="3"/>
      <c r="D14617" s="3"/>
      <c r="E14617" s="3"/>
      <c r="F14617" s="3"/>
      <c r="G14617" s="3"/>
      <c r="H14617" s="11"/>
      <c r="I14617" s="12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  <c r="AA14617" s="3"/>
      <c r="AB14617" s="3"/>
      <c r="AC14617" s="3"/>
      <c r="AD14617" s="3"/>
      <c r="AE14617" s="3"/>
      <c r="AF14617" s="3"/>
      <c r="AG14617" s="3"/>
      <c r="AH14617" s="3"/>
    </row>
    <row r="14618" spans="1:34" ht="14.25" customHeight="1" x14ac:dyDescent="0.25">
      <c r="A14618" s="3"/>
      <c r="B14618" s="3"/>
      <c r="C14618" s="3"/>
      <c r="D14618" s="3"/>
      <c r="E14618" s="3"/>
      <c r="F14618" s="3"/>
      <c r="G14618" s="3"/>
      <c r="H14618" s="11"/>
      <c r="I14618" s="12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  <c r="AA14618" s="3"/>
      <c r="AB14618" s="3"/>
      <c r="AC14618" s="3"/>
      <c r="AD14618" s="3"/>
      <c r="AE14618" s="3"/>
      <c r="AF14618" s="3"/>
      <c r="AG14618" s="3"/>
      <c r="AH14618" s="3"/>
    </row>
    <row r="14619" spans="1:34" ht="14.25" customHeight="1" x14ac:dyDescent="0.25">
      <c r="A14619" s="3"/>
      <c r="B14619" s="3"/>
      <c r="C14619" s="3"/>
      <c r="D14619" s="3"/>
      <c r="E14619" s="3"/>
      <c r="F14619" s="3"/>
      <c r="G14619" s="3"/>
      <c r="H14619" s="11"/>
      <c r="I14619" s="12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  <c r="AA14619" s="3"/>
      <c r="AB14619" s="3"/>
      <c r="AC14619" s="3"/>
      <c r="AD14619" s="3"/>
      <c r="AE14619" s="3"/>
      <c r="AF14619" s="3"/>
      <c r="AG14619" s="3"/>
      <c r="AH14619" s="3"/>
    </row>
    <row r="14620" spans="1:34" ht="14.25" customHeight="1" x14ac:dyDescent="0.25">
      <c r="A14620" s="3"/>
      <c r="B14620" s="3"/>
      <c r="C14620" s="3"/>
      <c r="D14620" s="3"/>
      <c r="E14620" s="3"/>
      <c r="F14620" s="3"/>
      <c r="G14620" s="3"/>
      <c r="H14620" s="11"/>
      <c r="I14620" s="12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  <c r="AA14620" s="3"/>
      <c r="AB14620" s="3"/>
      <c r="AC14620" s="3"/>
      <c r="AD14620" s="3"/>
      <c r="AE14620" s="3"/>
      <c r="AF14620" s="3"/>
      <c r="AG14620" s="3"/>
      <c r="AH14620" s="3"/>
    </row>
    <row r="14621" spans="1:34" ht="14.25" customHeight="1" x14ac:dyDescent="0.25">
      <c r="A14621" s="3"/>
      <c r="B14621" s="3"/>
      <c r="C14621" s="3"/>
      <c r="D14621" s="3"/>
      <c r="E14621" s="3"/>
      <c r="F14621" s="3"/>
      <c r="G14621" s="3"/>
      <c r="H14621" s="11"/>
      <c r="I14621" s="12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  <c r="AA14621" s="3"/>
      <c r="AB14621" s="3"/>
      <c r="AC14621" s="3"/>
      <c r="AD14621" s="3"/>
      <c r="AE14621" s="3"/>
      <c r="AF14621" s="3"/>
      <c r="AG14621" s="3"/>
      <c r="AH14621" s="3"/>
    </row>
    <row r="14622" spans="1:34" ht="14.25" customHeight="1" x14ac:dyDescent="0.25">
      <c r="A14622" s="3"/>
      <c r="B14622" s="3"/>
      <c r="C14622" s="3"/>
      <c r="D14622" s="3"/>
      <c r="E14622" s="3"/>
      <c r="F14622" s="3"/>
      <c r="G14622" s="3"/>
      <c r="H14622" s="11"/>
      <c r="I14622" s="12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  <c r="AA14622" s="3"/>
      <c r="AB14622" s="3"/>
      <c r="AC14622" s="3"/>
      <c r="AD14622" s="3"/>
      <c r="AE14622" s="3"/>
      <c r="AF14622" s="3"/>
      <c r="AG14622" s="3"/>
      <c r="AH14622" s="3"/>
    </row>
    <row r="14623" spans="1:34" ht="14.25" customHeight="1" x14ac:dyDescent="0.25">
      <c r="A14623" s="3"/>
      <c r="B14623" s="3"/>
      <c r="C14623" s="3"/>
      <c r="D14623" s="3"/>
      <c r="E14623" s="3"/>
      <c r="F14623" s="3"/>
      <c r="G14623" s="3"/>
      <c r="H14623" s="11"/>
      <c r="I14623" s="12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  <c r="AA14623" s="3"/>
      <c r="AB14623" s="3"/>
      <c r="AC14623" s="3"/>
      <c r="AD14623" s="3"/>
      <c r="AE14623" s="3"/>
      <c r="AF14623" s="3"/>
      <c r="AG14623" s="3"/>
      <c r="AH14623" s="3"/>
    </row>
    <row r="14624" spans="1:34" ht="14.25" customHeight="1" x14ac:dyDescent="0.25">
      <c r="A14624" s="3"/>
      <c r="B14624" s="3"/>
      <c r="C14624" s="3"/>
      <c r="D14624" s="3"/>
      <c r="E14624" s="3"/>
      <c r="F14624" s="3"/>
      <c r="G14624" s="3"/>
      <c r="H14624" s="11"/>
      <c r="I14624" s="12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  <c r="AA14624" s="3"/>
      <c r="AB14624" s="3"/>
      <c r="AC14624" s="3"/>
      <c r="AD14624" s="3"/>
      <c r="AE14624" s="3"/>
      <c r="AF14624" s="3"/>
      <c r="AG14624" s="3"/>
      <c r="AH14624" s="3"/>
    </row>
    <row r="14625" spans="1:34" ht="14.25" customHeight="1" x14ac:dyDescent="0.25">
      <c r="A14625" s="3"/>
      <c r="B14625" s="3"/>
      <c r="C14625" s="3"/>
      <c r="D14625" s="3"/>
      <c r="E14625" s="3"/>
      <c r="F14625" s="3"/>
      <c r="G14625" s="3"/>
      <c r="H14625" s="11"/>
      <c r="I14625" s="12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  <c r="AA14625" s="3"/>
      <c r="AB14625" s="3"/>
      <c r="AC14625" s="3"/>
      <c r="AD14625" s="3"/>
      <c r="AE14625" s="3"/>
      <c r="AF14625" s="3"/>
      <c r="AG14625" s="3"/>
      <c r="AH14625" s="3"/>
    </row>
    <row r="14626" spans="1:34" ht="14.25" customHeight="1" x14ac:dyDescent="0.25">
      <c r="A14626" s="3"/>
      <c r="B14626" s="3"/>
      <c r="C14626" s="3"/>
      <c r="D14626" s="3"/>
      <c r="E14626" s="3"/>
      <c r="F14626" s="3"/>
      <c r="G14626" s="3"/>
      <c r="H14626" s="11"/>
      <c r="I14626" s="12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  <c r="AA14626" s="3"/>
      <c r="AB14626" s="3"/>
      <c r="AC14626" s="3"/>
      <c r="AD14626" s="3"/>
      <c r="AE14626" s="3"/>
      <c r="AF14626" s="3"/>
      <c r="AG14626" s="3"/>
      <c r="AH14626" s="3"/>
    </row>
    <row r="14627" spans="1:34" ht="14.25" customHeight="1" x14ac:dyDescent="0.25">
      <c r="A14627" s="3"/>
      <c r="B14627" s="3"/>
      <c r="C14627" s="3"/>
      <c r="D14627" s="3"/>
      <c r="E14627" s="3"/>
      <c r="F14627" s="3"/>
      <c r="G14627" s="3"/>
      <c r="H14627" s="11"/>
      <c r="I14627" s="12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  <c r="AA14627" s="3"/>
      <c r="AB14627" s="3"/>
      <c r="AC14627" s="3"/>
      <c r="AD14627" s="3"/>
      <c r="AE14627" s="3"/>
      <c r="AF14627" s="3"/>
      <c r="AG14627" s="3"/>
      <c r="AH14627" s="3"/>
    </row>
    <row r="14628" spans="1:34" ht="14.25" customHeight="1" x14ac:dyDescent="0.25">
      <c r="A14628" s="3"/>
      <c r="B14628" s="3"/>
      <c r="C14628" s="3"/>
      <c r="D14628" s="3"/>
      <c r="E14628" s="3"/>
      <c r="F14628" s="3"/>
      <c r="G14628" s="3"/>
      <c r="H14628" s="11"/>
      <c r="I14628" s="12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  <c r="AA14628" s="3"/>
      <c r="AB14628" s="3"/>
      <c r="AC14628" s="3"/>
      <c r="AD14628" s="3"/>
      <c r="AE14628" s="3"/>
      <c r="AF14628" s="3"/>
      <c r="AG14628" s="3"/>
      <c r="AH14628" s="3"/>
    </row>
    <row r="14629" spans="1:34" ht="14.25" customHeight="1" x14ac:dyDescent="0.25">
      <c r="A14629" s="3"/>
      <c r="B14629" s="3"/>
      <c r="C14629" s="3"/>
      <c r="D14629" s="3"/>
      <c r="E14629" s="3"/>
      <c r="F14629" s="3"/>
      <c r="G14629" s="3"/>
      <c r="H14629" s="11"/>
      <c r="I14629" s="12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  <c r="AA14629" s="3"/>
      <c r="AB14629" s="3"/>
      <c r="AC14629" s="3"/>
      <c r="AD14629" s="3"/>
      <c r="AE14629" s="3"/>
      <c r="AF14629" s="3"/>
      <c r="AG14629" s="3"/>
      <c r="AH14629" s="3"/>
    </row>
    <row r="14630" spans="1:34" ht="14.25" customHeight="1" x14ac:dyDescent="0.25">
      <c r="A14630" s="3"/>
      <c r="B14630" s="3"/>
      <c r="C14630" s="3"/>
      <c r="D14630" s="3"/>
      <c r="E14630" s="3"/>
      <c r="F14630" s="3"/>
      <c r="G14630" s="3"/>
      <c r="H14630" s="11"/>
      <c r="I14630" s="12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  <c r="AA14630" s="3"/>
      <c r="AB14630" s="3"/>
      <c r="AC14630" s="3"/>
      <c r="AD14630" s="3"/>
      <c r="AE14630" s="3"/>
      <c r="AF14630" s="3"/>
      <c r="AG14630" s="3"/>
      <c r="AH14630" s="3"/>
    </row>
    <row r="14631" spans="1:34" ht="14.25" customHeight="1" x14ac:dyDescent="0.25">
      <c r="A14631" s="3"/>
      <c r="B14631" s="3"/>
      <c r="C14631" s="3"/>
      <c r="D14631" s="3"/>
      <c r="E14631" s="3"/>
      <c r="F14631" s="3"/>
      <c r="G14631" s="3"/>
      <c r="H14631" s="11"/>
      <c r="I14631" s="12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  <c r="AA14631" s="3"/>
      <c r="AB14631" s="3"/>
      <c r="AC14631" s="3"/>
      <c r="AD14631" s="3"/>
      <c r="AE14631" s="3"/>
      <c r="AF14631" s="3"/>
      <c r="AG14631" s="3"/>
      <c r="AH14631" s="3"/>
    </row>
    <row r="14632" spans="1:34" ht="14.25" customHeight="1" x14ac:dyDescent="0.25">
      <c r="A14632" s="3"/>
      <c r="B14632" s="3"/>
      <c r="C14632" s="3"/>
      <c r="D14632" s="3"/>
      <c r="E14632" s="3"/>
      <c r="F14632" s="3"/>
      <c r="G14632" s="3"/>
      <c r="H14632" s="11"/>
      <c r="I14632" s="12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  <c r="AA14632" s="3"/>
      <c r="AB14632" s="3"/>
      <c r="AC14632" s="3"/>
      <c r="AD14632" s="3"/>
      <c r="AE14632" s="3"/>
      <c r="AF14632" s="3"/>
      <c r="AG14632" s="3"/>
      <c r="AH14632" s="3"/>
    </row>
    <row r="14633" spans="1:34" ht="14.25" customHeight="1" x14ac:dyDescent="0.25">
      <c r="A14633" s="3"/>
      <c r="B14633" s="3"/>
      <c r="C14633" s="3"/>
      <c r="D14633" s="3"/>
      <c r="E14633" s="3"/>
      <c r="F14633" s="3"/>
      <c r="G14633" s="3"/>
      <c r="H14633" s="11"/>
      <c r="I14633" s="12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  <c r="AA14633" s="3"/>
      <c r="AB14633" s="3"/>
      <c r="AC14633" s="3"/>
      <c r="AD14633" s="3"/>
      <c r="AE14633" s="3"/>
      <c r="AF14633" s="3"/>
      <c r="AG14633" s="3"/>
      <c r="AH14633" s="3"/>
    </row>
    <row r="14634" spans="1:34" ht="14.25" customHeight="1" x14ac:dyDescent="0.25">
      <c r="A14634" s="3"/>
      <c r="B14634" s="3"/>
      <c r="C14634" s="3"/>
      <c r="D14634" s="3"/>
      <c r="E14634" s="3"/>
      <c r="F14634" s="3"/>
      <c r="G14634" s="3"/>
      <c r="H14634" s="11"/>
      <c r="I14634" s="12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  <c r="AA14634" s="3"/>
      <c r="AB14634" s="3"/>
      <c r="AC14634" s="3"/>
      <c r="AD14634" s="3"/>
      <c r="AE14634" s="3"/>
      <c r="AF14634" s="3"/>
      <c r="AG14634" s="3"/>
      <c r="AH14634" s="3"/>
    </row>
    <row r="14635" spans="1:34" ht="14.25" customHeight="1" x14ac:dyDescent="0.25">
      <c r="A14635" s="3"/>
      <c r="B14635" s="3"/>
      <c r="C14635" s="3"/>
      <c r="D14635" s="3"/>
      <c r="E14635" s="3"/>
      <c r="F14635" s="3"/>
      <c r="G14635" s="3"/>
      <c r="H14635" s="11"/>
      <c r="I14635" s="12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  <c r="AA14635" s="3"/>
      <c r="AB14635" s="3"/>
      <c r="AC14635" s="3"/>
      <c r="AD14635" s="3"/>
      <c r="AE14635" s="3"/>
      <c r="AF14635" s="3"/>
      <c r="AG14635" s="3"/>
      <c r="AH14635" s="3"/>
    </row>
    <row r="14636" spans="1:34" ht="14.25" customHeight="1" x14ac:dyDescent="0.25">
      <c r="A14636" s="3"/>
      <c r="B14636" s="3"/>
      <c r="C14636" s="3"/>
      <c r="D14636" s="3"/>
      <c r="E14636" s="3"/>
      <c r="F14636" s="3"/>
      <c r="G14636" s="3"/>
      <c r="H14636" s="11"/>
      <c r="I14636" s="12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  <c r="AA14636" s="3"/>
      <c r="AB14636" s="3"/>
      <c r="AC14636" s="3"/>
      <c r="AD14636" s="3"/>
      <c r="AE14636" s="3"/>
      <c r="AF14636" s="3"/>
      <c r="AG14636" s="3"/>
      <c r="AH14636" s="3"/>
    </row>
    <row r="14637" spans="1:34" ht="14.25" customHeight="1" x14ac:dyDescent="0.25">
      <c r="A14637" s="3"/>
      <c r="B14637" s="3"/>
      <c r="C14637" s="3"/>
      <c r="D14637" s="3"/>
      <c r="E14637" s="3"/>
      <c r="F14637" s="3"/>
      <c r="G14637" s="3"/>
      <c r="H14637" s="11"/>
      <c r="I14637" s="12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  <c r="AA14637" s="3"/>
      <c r="AB14637" s="3"/>
      <c r="AC14637" s="3"/>
      <c r="AD14637" s="3"/>
      <c r="AE14637" s="3"/>
      <c r="AF14637" s="3"/>
      <c r="AG14637" s="3"/>
      <c r="AH14637" s="3"/>
    </row>
    <row r="14638" spans="1:34" ht="14.25" customHeight="1" x14ac:dyDescent="0.25">
      <c r="A14638" s="3"/>
      <c r="B14638" s="3"/>
      <c r="C14638" s="3"/>
      <c r="D14638" s="3"/>
      <c r="E14638" s="3"/>
      <c r="F14638" s="3"/>
      <c r="G14638" s="3"/>
      <c r="H14638" s="11"/>
      <c r="I14638" s="12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  <c r="AA14638" s="3"/>
      <c r="AB14638" s="3"/>
      <c r="AC14638" s="3"/>
      <c r="AD14638" s="3"/>
      <c r="AE14638" s="3"/>
      <c r="AF14638" s="3"/>
      <c r="AG14638" s="3"/>
      <c r="AH14638" s="3"/>
    </row>
    <row r="14639" spans="1:34" ht="14.25" customHeight="1" x14ac:dyDescent="0.25">
      <c r="A14639" s="3"/>
      <c r="B14639" s="3"/>
      <c r="C14639" s="3"/>
      <c r="D14639" s="3"/>
      <c r="E14639" s="3"/>
      <c r="F14639" s="3"/>
      <c r="G14639" s="3"/>
      <c r="H14639" s="11"/>
      <c r="I14639" s="12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  <c r="AA14639" s="3"/>
      <c r="AB14639" s="3"/>
      <c r="AC14639" s="3"/>
      <c r="AD14639" s="3"/>
      <c r="AE14639" s="3"/>
      <c r="AF14639" s="3"/>
      <c r="AG14639" s="3"/>
      <c r="AH14639" s="3"/>
    </row>
    <row r="14640" spans="1:34" ht="14.25" customHeight="1" x14ac:dyDescent="0.25">
      <c r="A14640" s="3"/>
      <c r="B14640" s="3"/>
      <c r="C14640" s="3"/>
      <c r="D14640" s="3"/>
      <c r="E14640" s="3"/>
      <c r="F14640" s="3"/>
      <c r="G14640" s="3"/>
      <c r="H14640" s="11"/>
      <c r="I14640" s="12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  <c r="AA14640" s="3"/>
      <c r="AB14640" s="3"/>
      <c r="AC14640" s="3"/>
      <c r="AD14640" s="3"/>
      <c r="AE14640" s="3"/>
      <c r="AF14640" s="3"/>
      <c r="AG14640" s="3"/>
      <c r="AH14640" s="3"/>
    </row>
    <row r="14641" spans="1:34" ht="14.25" customHeight="1" x14ac:dyDescent="0.25">
      <c r="A14641" s="3"/>
      <c r="B14641" s="3"/>
      <c r="C14641" s="3"/>
      <c r="D14641" s="3"/>
      <c r="E14641" s="3"/>
      <c r="F14641" s="3"/>
      <c r="G14641" s="3"/>
      <c r="H14641" s="11"/>
      <c r="I14641" s="12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  <c r="AA14641" s="3"/>
      <c r="AB14641" s="3"/>
      <c r="AC14641" s="3"/>
      <c r="AD14641" s="3"/>
      <c r="AE14641" s="3"/>
      <c r="AF14641" s="3"/>
      <c r="AG14641" s="3"/>
      <c r="AH14641" s="3"/>
    </row>
    <row r="14642" spans="1:34" ht="14.25" customHeight="1" x14ac:dyDescent="0.25">
      <c r="A14642" s="3"/>
      <c r="B14642" s="3"/>
      <c r="C14642" s="3"/>
      <c r="D14642" s="3"/>
      <c r="E14642" s="3"/>
      <c r="F14642" s="3"/>
      <c r="G14642" s="3"/>
      <c r="H14642" s="11"/>
      <c r="I14642" s="12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  <c r="AA14642" s="3"/>
      <c r="AB14642" s="3"/>
      <c r="AC14642" s="3"/>
      <c r="AD14642" s="3"/>
      <c r="AE14642" s="3"/>
      <c r="AF14642" s="3"/>
      <c r="AG14642" s="3"/>
      <c r="AH14642" s="3"/>
    </row>
    <row r="14643" spans="1:34" ht="14.25" customHeight="1" x14ac:dyDescent="0.25">
      <c r="A14643" s="3"/>
      <c r="B14643" s="3"/>
      <c r="C14643" s="3"/>
      <c r="D14643" s="3"/>
      <c r="E14643" s="3"/>
      <c r="F14643" s="3"/>
      <c r="G14643" s="3"/>
      <c r="H14643" s="11"/>
      <c r="I14643" s="12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  <c r="AA14643" s="3"/>
      <c r="AB14643" s="3"/>
      <c r="AC14643" s="3"/>
      <c r="AD14643" s="3"/>
      <c r="AE14643" s="3"/>
      <c r="AF14643" s="3"/>
      <c r="AG14643" s="3"/>
      <c r="AH14643" s="3"/>
    </row>
    <row r="14644" spans="1:34" ht="14.25" customHeight="1" x14ac:dyDescent="0.25">
      <c r="A14644" s="3"/>
      <c r="B14644" s="3"/>
      <c r="C14644" s="3"/>
      <c r="D14644" s="3"/>
      <c r="E14644" s="3"/>
      <c r="F14644" s="3"/>
      <c r="G14644" s="3"/>
      <c r="H14644" s="11"/>
      <c r="I14644" s="12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  <c r="AA14644" s="3"/>
      <c r="AB14644" s="3"/>
      <c r="AC14644" s="3"/>
      <c r="AD14644" s="3"/>
      <c r="AE14644" s="3"/>
      <c r="AF14644" s="3"/>
      <c r="AG14644" s="3"/>
      <c r="AH14644" s="3"/>
    </row>
    <row r="14645" spans="1:34" ht="14.25" customHeight="1" x14ac:dyDescent="0.25">
      <c r="A14645" s="3"/>
      <c r="B14645" s="3"/>
      <c r="C14645" s="3"/>
      <c r="D14645" s="3"/>
      <c r="E14645" s="3"/>
      <c r="F14645" s="3"/>
      <c r="G14645" s="3"/>
      <c r="H14645" s="11"/>
      <c r="I14645" s="12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  <c r="AA14645" s="3"/>
      <c r="AB14645" s="3"/>
      <c r="AC14645" s="3"/>
      <c r="AD14645" s="3"/>
      <c r="AE14645" s="3"/>
      <c r="AF14645" s="3"/>
      <c r="AG14645" s="3"/>
      <c r="AH14645" s="3"/>
    </row>
    <row r="14646" spans="1:34" ht="14.25" customHeight="1" x14ac:dyDescent="0.25">
      <c r="A14646" s="3"/>
      <c r="B14646" s="3"/>
      <c r="C14646" s="3"/>
      <c r="D14646" s="3"/>
      <c r="E14646" s="3"/>
      <c r="F14646" s="3"/>
      <c r="G14646" s="3"/>
      <c r="H14646" s="11"/>
      <c r="I14646" s="12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  <c r="AA14646" s="3"/>
      <c r="AB14646" s="3"/>
      <c r="AC14646" s="3"/>
      <c r="AD14646" s="3"/>
      <c r="AE14646" s="3"/>
      <c r="AF14646" s="3"/>
      <c r="AG14646" s="3"/>
      <c r="AH14646" s="3"/>
    </row>
    <row r="14647" spans="1:34" ht="14.25" customHeight="1" x14ac:dyDescent="0.25">
      <c r="A14647" s="3"/>
      <c r="B14647" s="3"/>
      <c r="C14647" s="3"/>
      <c r="D14647" s="3"/>
      <c r="E14647" s="3"/>
      <c r="F14647" s="3"/>
      <c r="G14647" s="3"/>
      <c r="H14647" s="11"/>
      <c r="I14647" s="12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  <c r="AA14647" s="3"/>
      <c r="AB14647" s="3"/>
      <c r="AC14647" s="3"/>
      <c r="AD14647" s="3"/>
      <c r="AE14647" s="3"/>
      <c r="AF14647" s="3"/>
      <c r="AG14647" s="3"/>
      <c r="AH14647" s="3"/>
    </row>
    <row r="14648" spans="1:34" ht="14.25" customHeight="1" x14ac:dyDescent="0.25">
      <c r="A14648" s="3"/>
      <c r="B14648" s="3"/>
      <c r="C14648" s="3"/>
      <c r="D14648" s="3"/>
      <c r="E14648" s="3"/>
      <c r="F14648" s="3"/>
      <c r="G14648" s="3"/>
      <c r="H14648" s="11"/>
      <c r="I14648" s="12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  <c r="AA14648" s="3"/>
      <c r="AB14648" s="3"/>
      <c r="AC14648" s="3"/>
      <c r="AD14648" s="3"/>
      <c r="AE14648" s="3"/>
      <c r="AF14648" s="3"/>
      <c r="AG14648" s="3"/>
      <c r="AH14648" s="3"/>
    </row>
    <row r="14649" spans="1:34" ht="14.25" customHeight="1" x14ac:dyDescent="0.25">
      <c r="A14649" s="3"/>
      <c r="B14649" s="3"/>
      <c r="C14649" s="3"/>
      <c r="D14649" s="3"/>
      <c r="E14649" s="3"/>
      <c r="F14649" s="3"/>
      <c r="G14649" s="3"/>
      <c r="H14649" s="11"/>
      <c r="I14649" s="12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  <c r="AA14649" s="3"/>
      <c r="AB14649" s="3"/>
      <c r="AC14649" s="3"/>
      <c r="AD14649" s="3"/>
      <c r="AE14649" s="3"/>
      <c r="AF14649" s="3"/>
      <c r="AG14649" s="3"/>
      <c r="AH14649" s="3"/>
    </row>
    <row r="14650" spans="1:34" ht="14.25" customHeight="1" x14ac:dyDescent="0.25">
      <c r="A14650" s="3"/>
      <c r="B14650" s="3"/>
      <c r="C14650" s="3"/>
      <c r="D14650" s="3"/>
      <c r="E14650" s="3"/>
      <c r="F14650" s="3"/>
      <c r="G14650" s="3"/>
      <c r="H14650" s="11"/>
      <c r="I14650" s="12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  <c r="AA14650" s="3"/>
      <c r="AB14650" s="3"/>
      <c r="AC14650" s="3"/>
      <c r="AD14650" s="3"/>
      <c r="AE14650" s="3"/>
      <c r="AF14650" s="3"/>
      <c r="AG14650" s="3"/>
      <c r="AH14650" s="3"/>
    </row>
    <row r="14651" spans="1:34" ht="14.25" customHeight="1" x14ac:dyDescent="0.25">
      <c r="A14651" s="3"/>
      <c r="B14651" s="3"/>
      <c r="C14651" s="3"/>
      <c r="D14651" s="3"/>
      <c r="E14651" s="3"/>
      <c r="F14651" s="3"/>
      <c r="G14651" s="3"/>
      <c r="H14651" s="11"/>
      <c r="I14651" s="12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  <c r="AA14651" s="3"/>
      <c r="AB14651" s="3"/>
      <c r="AC14651" s="3"/>
      <c r="AD14651" s="3"/>
      <c r="AE14651" s="3"/>
      <c r="AF14651" s="3"/>
      <c r="AG14651" s="3"/>
      <c r="AH14651" s="3"/>
    </row>
    <row r="14652" spans="1:34" ht="14.25" customHeight="1" x14ac:dyDescent="0.25">
      <c r="A14652" s="3"/>
      <c r="B14652" s="3"/>
      <c r="C14652" s="3"/>
      <c r="D14652" s="3"/>
      <c r="E14652" s="3"/>
      <c r="F14652" s="3"/>
      <c r="G14652" s="3"/>
      <c r="H14652" s="11"/>
      <c r="I14652" s="12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  <c r="AA14652" s="3"/>
      <c r="AB14652" s="3"/>
      <c r="AC14652" s="3"/>
      <c r="AD14652" s="3"/>
      <c r="AE14652" s="3"/>
      <c r="AF14652" s="3"/>
      <c r="AG14652" s="3"/>
      <c r="AH14652" s="3"/>
    </row>
    <row r="14653" spans="1:34" ht="14.25" customHeight="1" x14ac:dyDescent="0.25">
      <c r="A14653" s="3"/>
      <c r="B14653" s="3"/>
      <c r="C14653" s="3"/>
      <c r="D14653" s="3"/>
      <c r="E14653" s="3"/>
      <c r="F14653" s="3"/>
      <c r="G14653" s="3"/>
      <c r="H14653" s="11"/>
      <c r="I14653" s="12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  <c r="AA14653" s="3"/>
      <c r="AB14653" s="3"/>
      <c r="AC14653" s="3"/>
      <c r="AD14653" s="3"/>
      <c r="AE14653" s="3"/>
      <c r="AF14653" s="3"/>
      <c r="AG14653" s="3"/>
      <c r="AH14653" s="3"/>
    </row>
    <row r="14654" spans="1:34" ht="14.25" customHeight="1" x14ac:dyDescent="0.25">
      <c r="A14654" s="3"/>
      <c r="B14654" s="3"/>
      <c r="C14654" s="3"/>
      <c r="D14654" s="3"/>
      <c r="E14654" s="3"/>
      <c r="F14654" s="3"/>
      <c r="G14654" s="3"/>
      <c r="H14654" s="11"/>
      <c r="I14654" s="12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  <c r="AA14654" s="3"/>
      <c r="AB14654" s="3"/>
      <c r="AC14654" s="3"/>
      <c r="AD14654" s="3"/>
      <c r="AE14654" s="3"/>
      <c r="AF14654" s="3"/>
      <c r="AG14654" s="3"/>
      <c r="AH14654" s="3"/>
    </row>
    <row r="14655" spans="1:34" ht="14.25" customHeight="1" x14ac:dyDescent="0.25">
      <c r="A14655" s="3"/>
      <c r="B14655" s="3"/>
      <c r="C14655" s="3"/>
      <c r="D14655" s="3"/>
      <c r="E14655" s="3"/>
      <c r="F14655" s="3"/>
      <c r="G14655" s="3"/>
      <c r="H14655" s="11"/>
      <c r="I14655" s="12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  <c r="AA14655" s="3"/>
      <c r="AB14655" s="3"/>
      <c r="AC14655" s="3"/>
      <c r="AD14655" s="3"/>
      <c r="AE14655" s="3"/>
      <c r="AF14655" s="3"/>
      <c r="AG14655" s="3"/>
      <c r="AH14655" s="3"/>
    </row>
    <row r="14656" spans="1:34" ht="14.25" customHeight="1" x14ac:dyDescent="0.25">
      <c r="A14656" s="3"/>
      <c r="B14656" s="3"/>
      <c r="C14656" s="3"/>
      <c r="D14656" s="3"/>
      <c r="E14656" s="3"/>
      <c r="F14656" s="3"/>
      <c r="G14656" s="3"/>
      <c r="H14656" s="11"/>
      <c r="I14656" s="12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  <c r="AA14656" s="3"/>
      <c r="AB14656" s="3"/>
      <c r="AC14656" s="3"/>
      <c r="AD14656" s="3"/>
      <c r="AE14656" s="3"/>
      <c r="AF14656" s="3"/>
      <c r="AG14656" s="3"/>
      <c r="AH14656" s="3"/>
    </row>
    <row r="14657" spans="1:34" ht="14.25" customHeight="1" x14ac:dyDescent="0.25">
      <c r="A14657" s="3"/>
      <c r="B14657" s="3"/>
      <c r="C14657" s="3"/>
      <c r="D14657" s="3"/>
      <c r="E14657" s="3"/>
      <c r="F14657" s="3"/>
      <c r="G14657" s="3"/>
      <c r="H14657" s="11"/>
      <c r="I14657" s="12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  <c r="AA14657" s="3"/>
      <c r="AB14657" s="3"/>
      <c r="AC14657" s="3"/>
      <c r="AD14657" s="3"/>
      <c r="AE14657" s="3"/>
      <c r="AF14657" s="3"/>
      <c r="AG14657" s="3"/>
      <c r="AH14657" s="3"/>
    </row>
    <row r="14658" spans="1:34" ht="14.25" customHeight="1" x14ac:dyDescent="0.25">
      <c r="A14658" s="3"/>
      <c r="B14658" s="3"/>
      <c r="C14658" s="3"/>
      <c r="D14658" s="3"/>
      <c r="E14658" s="3"/>
      <c r="F14658" s="3"/>
      <c r="G14658" s="3"/>
      <c r="H14658" s="11"/>
      <c r="I14658" s="12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  <c r="AA14658" s="3"/>
      <c r="AB14658" s="3"/>
      <c r="AC14658" s="3"/>
      <c r="AD14658" s="3"/>
      <c r="AE14658" s="3"/>
      <c r="AF14658" s="3"/>
      <c r="AG14658" s="3"/>
      <c r="AH14658" s="3"/>
    </row>
    <row r="14659" spans="1:34" ht="14.25" customHeight="1" x14ac:dyDescent="0.25">
      <c r="A14659" s="3"/>
      <c r="B14659" s="3"/>
      <c r="C14659" s="3"/>
      <c r="D14659" s="3"/>
      <c r="E14659" s="3"/>
      <c r="F14659" s="3"/>
      <c r="G14659" s="3"/>
      <c r="H14659" s="11"/>
      <c r="I14659" s="12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  <c r="AA14659" s="3"/>
      <c r="AB14659" s="3"/>
      <c r="AC14659" s="3"/>
      <c r="AD14659" s="3"/>
      <c r="AE14659" s="3"/>
      <c r="AF14659" s="3"/>
      <c r="AG14659" s="3"/>
      <c r="AH14659" s="3"/>
    </row>
    <row r="14660" spans="1:34" ht="14.25" customHeight="1" x14ac:dyDescent="0.25">
      <c r="A14660" s="3"/>
      <c r="B14660" s="3"/>
      <c r="C14660" s="3"/>
      <c r="D14660" s="3"/>
      <c r="E14660" s="3"/>
      <c r="F14660" s="3"/>
      <c r="G14660" s="3"/>
      <c r="H14660" s="11"/>
      <c r="I14660" s="12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  <c r="AA14660" s="3"/>
      <c r="AB14660" s="3"/>
      <c r="AC14660" s="3"/>
      <c r="AD14660" s="3"/>
      <c r="AE14660" s="3"/>
      <c r="AF14660" s="3"/>
      <c r="AG14660" s="3"/>
      <c r="AH14660" s="3"/>
    </row>
    <row r="14661" spans="1:34" ht="14.25" customHeight="1" x14ac:dyDescent="0.25">
      <c r="A14661" s="3"/>
      <c r="B14661" s="3"/>
      <c r="C14661" s="3"/>
      <c r="D14661" s="3"/>
      <c r="E14661" s="3"/>
      <c r="F14661" s="3"/>
      <c r="G14661" s="3"/>
      <c r="H14661" s="11"/>
      <c r="I14661" s="12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  <c r="AA14661" s="3"/>
      <c r="AB14661" s="3"/>
      <c r="AC14661" s="3"/>
      <c r="AD14661" s="3"/>
      <c r="AE14661" s="3"/>
      <c r="AF14661" s="3"/>
      <c r="AG14661" s="3"/>
      <c r="AH14661" s="3"/>
    </row>
    <row r="14662" spans="1:34" ht="14.25" customHeight="1" x14ac:dyDescent="0.25">
      <c r="A14662" s="3"/>
      <c r="B14662" s="3"/>
      <c r="C14662" s="3"/>
      <c r="D14662" s="3"/>
      <c r="E14662" s="3"/>
      <c r="F14662" s="3"/>
      <c r="G14662" s="3"/>
      <c r="H14662" s="11"/>
      <c r="I14662" s="12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  <c r="AA14662" s="3"/>
      <c r="AB14662" s="3"/>
      <c r="AC14662" s="3"/>
      <c r="AD14662" s="3"/>
      <c r="AE14662" s="3"/>
      <c r="AF14662" s="3"/>
      <c r="AG14662" s="3"/>
      <c r="AH14662" s="3"/>
    </row>
    <row r="14663" spans="1:34" ht="14.25" customHeight="1" x14ac:dyDescent="0.25">
      <c r="A14663" s="3"/>
      <c r="B14663" s="3"/>
      <c r="C14663" s="3"/>
      <c r="D14663" s="3"/>
      <c r="E14663" s="3"/>
      <c r="F14663" s="3"/>
      <c r="G14663" s="3"/>
      <c r="H14663" s="11"/>
      <c r="I14663" s="12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  <c r="AA14663" s="3"/>
      <c r="AB14663" s="3"/>
      <c r="AC14663" s="3"/>
      <c r="AD14663" s="3"/>
      <c r="AE14663" s="3"/>
      <c r="AF14663" s="3"/>
      <c r="AG14663" s="3"/>
      <c r="AH14663" s="3"/>
    </row>
    <row r="14664" spans="1:34" ht="14.25" customHeight="1" x14ac:dyDescent="0.25">
      <c r="A14664" s="3"/>
      <c r="B14664" s="3"/>
      <c r="C14664" s="3"/>
      <c r="D14664" s="3"/>
      <c r="E14664" s="3"/>
      <c r="F14664" s="3"/>
      <c r="G14664" s="3"/>
      <c r="H14664" s="11"/>
      <c r="I14664" s="12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  <c r="AA14664" s="3"/>
      <c r="AB14664" s="3"/>
      <c r="AC14664" s="3"/>
      <c r="AD14664" s="3"/>
      <c r="AE14664" s="3"/>
      <c r="AF14664" s="3"/>
      <c r="AG14664" s="3"/>
      <c r="AH14664" s="3"/>
    </row>
    <row r="14665" spans="1:34" ht="14.25" customHeight="1" x14ac:dyDescent="0.25">
      <c r="A14665" s="3"/>
      <c r="B14665" s="3"/>
      <c r="C14665" s="3"/>
      <c r="D14665" s="3"/>
      <c r="E14665" s="3"/>
      <c r="F14665" s="3"/>
      <c r="G14665" s="3"/>
      <c r="H14665" s="11"/>
      <c r="I14665" s="12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  <c r="AA14665" s="3"/>
      <c r="AB14665" s="3"/>
      <c r="AC14665" s="3"/>
      <c r="AD14665" s="3"/>
      <c r="AE14665" s="3"/>
      <c r="AF14665" s="3"/>
      <c r="AG14665" s="3"/>
      <c r="AH14665" s="3"/>
    </row>
    <row r="14666" spans="1:34" ht="14.25" customHeight="1" x14ac:dyDescent="0.25">
      <c r="A14666" s="3"/>
      <c r="B14666" s="3"/>
      <c r="C14666" s="3"/>
      <c r="D14666" s="3"/>
      <c r="E14666" s="3"/>
      <c r="F14666" s="3"/>
      <c r="G14666" s="3"/>
      <c r="H14666" s="11"/>
      <c r="I14666" s="12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  <c r="AA14666" s="3"/>
      <c r="AB14666" s="3"/>
      <c r="AC14666" s="3"/>
      <c r="AD14666" s="3"/>
      <c r="AE14666" s="3"/>
      <c r="AF14666" s="3"/>
      <c r="AG14666" s="3"/>
      <c r="AH14666" s="3"/>
    </row>
    <row r="14667" spans="1:34" ht="14.25" customHeight="1" x14ac:dyDescent="0.25">
      <c r="A14667" s="3"/>
      <c r="B14667" s="3"/>
      <c r="C14667" s="3"/>
      <c r="D14667" s="3"/>
      <c r="E14667" s="3"/>
      <c r="F14667" s="3"/>
      <c r="G14667" s="3"/>
      <c r="H14667" s="11"/>
      <c r="I14667" s="12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  <c r="AA14667" s="3"/>
      <c r="AB14667" s="3"/>
      <c r="AC14667" s="3"/>
      <c r="AD14667" s="3"/>
      <c r="AE14667" s="3"/>
      <c r="AF14667" s="3"/>
      <c r="AG14667" s="3"/>
      <c r="AH14667" s="3"/>
    </row>
    <row r="14668" spans="1:34" ht="14.25" customHeight="1" x14ac:dyDescent="0.25">
      <c r="A14668" s="3"/>
      <c r="B14668" s="3"/>
      <c r="C14668" s="3"/>
      <c r="D14668" s="3"/>
      <c r="E14668" s="3"/>
      <c r="F14668" s="3"/>
      <c r="G14668" s="3"/>
      <c r="H14668" s="11"/>
      <c r="I14668" s="12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  <c r="AA14668" s="3"/>
      <c r="AB14668" s="3"/>
      <c r="AC14668" s="3"/>
      <c r="AD14668" s="3"/>
      <c r="AE14668" s="3"/>
      <c r="AF14668" s="3"/>
      <c r="AG14668" s="3"/>
      <c r="AH14668" s="3"/>
    </row>
    <row r="14669" spans="1:34" ht="14.25" customHeight="1" x14ac:dyDescent="0.25">
      <c r="A14669" s="3"/>
      <c r="B14669" s="3"/>
      <c r="C14669" s="3"/>
      <c r="D14669" s="3"/>
      <c r="E14669" s="3"/>
      <c r="F14669" s="3"/>
      <c r="G14669" s="3"/>
      <c r="H14669" s="11"/>
      <c r="I14669" s="12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  <c r="AA14669" s="3"/>
      <c r="AB14669" s="3"/>
      <c r="AC14669" s="3"/>
      <c r="AD14669" s="3"/>
      <c r="AE14669" s="3"/>
      <c r="AF14669" s="3"/>
      <c r="AG14669" s="3"/>
      <c r="AH14669" s="3"/>
    </row>
    <row r="14670" spans="1:34" ht="14.25" customHeight="1" x14ac:dyDescent="0.25">
      <c r="A14670" s="3"/>
      <c r="B14670" s="3"/>
      <c r="C14670" s="3"/>
      <c r="D14670" s="3"/>
      <c r="E14670" s="3"/>
      <c r="F14670" s="3"/>
      <c r="G14670" s="3"/>
      <c r="H14670" s="11"/>
      <c r="I14670" s="12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  <c r="AA14670" s="3"/>
      <c r="AB14670" s="3"/>
      <c r="AC14670" s="3"/>
      <c r="AD14670" s="3"/>
      <c r="AE14670" s="3"/>
      <c r="AF14670" s="3"/>
      <c r="AG14670" s="3"/>
      <c r="AH14670" s="3"/>
    </row>
    <row r="14671" spans="1:34" ht="14.25" customHeight="1" x14ac:dyDescent="0.25">
      <c r="A14671" s="3"/>
      <c r="B14671" s="3"/>
      <c r="C14671" s="3"/>
      <c r="D14671" s="3"/>
      <c r="E14671" s="3"/>
      <c r="F14671" s="3"/>
      <c r="G14671" s="3"/>
      <c r="H14671" s="11"/>
      <c r="I14671" s="12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  <c r="AA14671" s="3"/>
      <c r="AB14671" s="3"/>
      <c r="AC14671" s="3"/>
      <c r="AD14671" s="3"/>
      <c r="AE14671" s="3"/>
      <c r="AF14671" s="3"/>
      <c r="AG14671" s="3"/>
      <c r="AH14671" s="3"/>
    </row>
    <row r="14672" spans="1:34" ht="14.25" customHeight="1" x14ac:dyDescent="0.25">
      <c r="A14672" s="3"/>
      <c r="B14672" s="3"/>
      <c r="C14672" s="3"/>
      <c r="D14672" s="3"/>
      <c r="E14672" s="3"/>
      <c r="F14672" s="3"/>
      <c r="G14672" s="3"/>
      <c r="H14672" s="11"/>
      <c r="I14672" s="12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  <c r="AA14672" s="3"/>
      <c r="AB14672" s="3"/>
      <c r="AC14672" s="3"/>
      <c r="AD14672" s="3"/>
      <c r="AE14672" s="3"/>
      <c r="AF14672" s="3"/>
      <c r="AG14672" s="3"/>
      <c r="AH14672" s="3"/>
    </row>
    <row r="14673" spans="1:34" ht="14.25" customHeight="1" x14ac:dyDescent="0.25">
      <c r="A14673" s="3"/>
      <c r="B14673" s="3"/>
      <c r="C14673" s="3"/>
      <c r="D14673" s="3"/>
      <c r="E14673" s="3"/>
      <c r="F14673" s="3"/>
      <c r="G14673" s="3"/>
      <c r="H14673" s="11"/>
      <c r="I14673" s="12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  <c r="AA14673" s="3"/>
      <c r="AB14673" s="3"/>
      <c r="AC14673" s="3"/>
      <c r="AD14673" s="3"/>
      <c r="AE14673" s="3"/>
      <c r="AF14673" s="3"/>
      <c r="AG14673" s="3"/>
      <c r="AH14673" s="3"/>
    </row>
    <row r="14674" spans="1:34" ht="14.25" customHeight="1" x14ac:dyDescent="0.25">
      <c r="A14674" s="3"/>
      <c r="B14674" s="3"/>
      <c r="C14674" s="3"/>
      <c r="D14674" s="3"/>
      <c r="E14674" s="3"/>
      <c r="F14674" s="3"/>
      <c r="G14674" s="3"/>
      <c r="H14674" s="11"/>
      <c r="I14674" s="12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  <c r="AA14674" s="3"/>
      <c r="AB14674" s="3"/>
      <c r="AC14674" s="3"/>
      <c r="AD14674" s="3"/>
      <c r="AE14674" s="3"/>
      <c r="AF14674" s="3"/>
      <c r="AG14674" s="3"/>
      <c r="AH14674" s="3"/>
    </row>
    <row r="14675" spans="1:34" ht="14.25" customHeight="1" x14ac:dyDescent="0.25">
      <c r="A14675" s="3"/>
      <c r="B14675" s="3"/>
      <c r="C14675" s="3"/>
      <c r="D14675" s="3"/>
      <c r="E14675" s="3"/>
      <c r="F14675" s="3"/>
      <c r="G14675" s="3"/>
      <c r="H14675" s="11"/>
      <c r="I14675" s="12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  <c r="AA14675" s="3"/>
      <c r="AB14675" s="3"/>
      <c r="AC14675" s="3"/>
      <c r="AD14675" s="3"/>
      <c r="AE14675" s="3"/>
      <c r="AF14675" s="3"/>
      <c r="AG14675" s="3"/>
      <c r="AH14675" s="3"/>
    </row>
    <row r="14676" spans="1:34" ht="14.25" customHeight="1" x14ac:dyDescent="0.25">
      <c r="A14676" s="3"/>
      <c r="B14676" s="3"/>
      <c r="C14676" s="3"/>
      <c r="D14676" s="3"/>
      <c r="E14676" s="3"/>
      <c r="F14676" s="3"/>
      <c r="G14676" s="3"/>
      <c r="H14676" s="11"/>
      <c r="I14676" s="12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  <c r="AA14676" s="3"/>
      <c r="AB14676" s="3"/>
      <c r="AC14676" s="3"/>
      <c r="AD14676" s="3"/>
      <c r="AE14676" s="3"/>
      <c r="AF14676" s="3"/>
      <c r="AG14676" s="3"/>
      <c r="AH14676" s="3"/>
    </row>
    <row r="14677" spans="1:34" ht="14.25" customHeight="1" x14ac:dyDescent="0.25">
      <c r="A14677" s="3"/>
      <c r="B14677" s="3"/>
      <c r="C14677" s="3"/>
      <c r="D14677" s="3"/>
      <c r="E14677" s="3"/>
      <c r="F14677" s="3"/>
      <c r="G14677" s="3"/>
      <c r="H14677" s="11"/>
      <c r="I14677" s="12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  <c r="AA14677" s="3"/>
      <c r="AB14677" s="3"/>
      <c r="AC14677" s="3"/>
      <c r="AD14677" s="3"/>
      <c r="AE14677" s="3"/>
      <c r="AF14677" s="3"/>
      <c r="AG14677" s="3"/>
      <c r="AH14677" s="3"/>
    </row>
    <row r="14678" spans="1:34" ht="14.25" customHeight="1" x14ac:dyDescent="0.25">
      <c r="A14678" s="3"/>
      <c r="B14678" s="3"/>
      <c r="C14678" s="3"/>
      <c r="D14678" s="3"/>
      <c r="E14678" s="3"/>
      <c r="F14678" s="3"/>
      <c r="G14678" s="3"/>
      <c r="H14678" s="11"/>
      <c r="I14678" s="12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  <c r="AA14678" s="3"/>
      <c r="AB14678" s="3"/>
      <c r="AC14678" s="3"/>
      <c r="AD14678" s="3"/>
      <c r="AE14678" s="3"/>
      <c r="AF14678" s="3"/>
      <c r="AG14678" s="3"/>
      <c r="AH14678" s="3"/>
    </row>
    <row r="14679" spans="1:34" ht="14.25" customHeight="1" x14ac:dyDescent="0.25">
      <c r="A14679" s="3"/>
      <c r="B14679" s="3"/>
      <c r="C14679" s="3"/>
      <c r="D14679" s="3"/>
      <c r="E14679" s="3"/>
      <c r="F14679" s="3"/>
      <c r="G14679" s="3"/>
      <c r="H14679" s="11"/>
      <c r="I14679" s="12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  <c r="AA14679" s="3"/>
      <c r="AB14679" s="3"/>
      <c r="AC14679" s="3"/>
      <c r="AD14679" s="3"/>
      <c r="AE14679" s="3"/>
      <c r="AF14679" s="3"/>
      <c r="AG14679" s="3"/>
      <c r="AH14679" s="3"/>
    </row>
    <row r="14680" spans="1:34" ht="14.25" customHeight="1" x14ac:dyDescent="0.25">
      <c r="A14680" s="3"/>
      <c r="B14680" s="3"/>
      <c r="C14680" s="3"/>
      <c r="D14680" s="3"/>
      <c r="E14680" s="3"/>
      <c r="F14680" s="3"/>
      <c r="G14680" s="3"/>
      <c r="H14680" s="11"/>
      <c r="I14680" s="12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  <c r="AA14680" s="3"/>
      <c r="AB14680" s="3"/>
      <c r="AC14680" s="3"/>
      <c r="AD14680" s="3"/>
      <c r="AE14680" s="3"/>
      <c r="AF14680" s="3"/>
      <c r="AG14680" s="3"/>
      <c r="AH14680" s="3"/>
    </row>
    <row r="14681" spans="1:34" ht="14.25" customHeight="1" x14ac:dyDescent="0.25">
      <c r="A14681" s="3"/>
      <c r="B14681" s="3"/>
      <c r="C14681" s="3"/>
      <c r="D14681" s="3"/>
      <c r="E14681" s="3"/>
      <c r="F14681" s="3"/>
      <c r="G14681" s="3"/>
      <c r="H14681" s="11"/>
      <c r="I14681" s="12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  <c r="AA14681" s="3"/>
      <c r="AB14681" s="3"/>
      <c r="AC14681" s="3"/>
      <c r="AD14681" s="3"/>
      <c r="AE14681" s="3"/>
      <c r="AF14681" s="3"/>
      <c r="AG14681" s="3"/>
      <c r="AH14681" s="3"/>
    </row>
    <row r="14682" spans="1:34" ht="14.25" customHeight="1" x14ac:dyDescent="0.25">
      <c r="A14682" s="3"/>
      <c r="B14682" s="3"/>
      <c r="C14682" s="3"/>
      <c r="D14682" s="3"/>
      <c r="E14682" s="3"/>
      <c r="F14682" s="3"/>
      <c r="G14682" s="3"/>
      <c r="H14682" s="11"/>
      <c r="I14682" s="12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  <c r="AA14682" s="3"/>
      <c r="AB14682" s="3"/>
      <c r="AC14682" s="3"/>
      <c r="AD14682" s="3"/>
      <c r="AE14682" s="3"/>
      <c r="AF14682" s="3"/>
      <c r="AG14682" s="3"/>
      <c r="AH14682" s="3"/>
    </row>
    <row r="14683" spans="1:34" ht="14.25" customHeight="1" x14ac:dyDescent="0.25">
      <c r="A14683" s="3"/>
      <c r="B14683" s="3"/>
      <c r="C14683" s="3"/>
      <c r="D14683" s="3"/>
      <c r="E14683" s="3"/>
      <c r="F14683" s="3"/>
      <c r="G14683" s="3"/>
      <c r="H14683" s="11"/>
      <c r="I14683" s="12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  <c r="AA14683" s="3"/>
      <c r="AB14683" s="3"/>
      <c r="AC14683" s="3"/>
      <c r="AD14683" s="3"/>
      <c r="AE14683" s="3"/>
      <c r="AF14683" s="3"/>
      <c r="AG14683" s="3"/>
      <c r="AH14683" s="3"/>
    </row>
    <row r="14684" spans="1:34" ht="14.25" customHeight="1" x14ac:dyDescent="0.25">
      <c r="A14684" s="3"/>
      <c r="B14684" s="3"/>
      <c r="C14684" s="3"/>
      <c r="D14684" s="3"/>
      <c r="E14684" s="3"/>
      <c r="F14684" s="3"/>
      <c r="G14684" s="3"/>
      <c r="H14684" s="11"/>
      <c r="I14684" s="12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  <c r="AA14684" s="3"/>
      <c r="AB14684" s="3"/>
      <c r="AC14684" s="3"/>
      <c r="AD14684" s="3"/>
      <c r="AE14684" s="3"/>
      <c r="AF14684" s="3"/>
      <c r="AG14684" s="3"/>
      <c r="AH14684" s="3"/>
    </row>
    <row r="14685" spans="1:34" ht="14.25" customHeight="1" x14ac:dyDescent="0.25">
      <c r="A14685" s="3"/>
      <c r="B14685" s="3"/>
      <c r="C14685" s="3"/>
      <c r="D14685" s="3"/>
      <c r="E14685" s="3"/>
      <c r="F14685" s="3"/>
      <c r="G14685" s="3"/>
      <c r="H14685" s="11"/>
      <c r="I14685" s="12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  <c r="AA14685" s="3"/>
      <c r="AB14685" s="3"/>
      <c r="AC14685" s="3"/>
      <c r="AD14685" s="3"/>
      <c r="AE14685" s="3"/>
      <c r="AF14685" s="3"/>
      <c r="AG14685" s="3"/>
      <c r="AH14685" s="3"/>
    </row>
    <row r="14686" spans="1:34" ht="14.25" customHeight="1" x14ac:dyDescent="0.25">
      <c r="A14686" s="3"/>
      <c r="B14686" s="3"/>
      <c r="C14686" s="3"/>
      <c r="D14686" s="3"/>
      <c r="E14686" s="3"/>
      <c r="F14686" s="3"/>
      <c r="G14686" s="3"/>
      <c r="H14686" s="11"/>
      <c r="I14686" s="12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  <c r="AA14686" s="3"/>
      <c r="AB14686" s="3"/>
      <c r="AC14686" s="3"/>
      <c r="AD14686" s="3"/>
      <c r="AE14686" s="3"/>
      <c r="AF14686" s="3"/>
      <c r="AG14686" s="3"/>
      <c r="AH14686" s="3"/>
    </row>
    <row r="14687" spans="1:34" ht="14.25" customHeight="1" x14ac:dyDescent="0.25">
      <c r="A14687" s="3"/>
      <c r="B14687" s="3"/>
      <c r="C14687" s="3"/>
      <c r="D14687" s="3"/>
      <c r="E14687" s="3"/>
      <c r="F14687" s="3"/>
      <c r="G14687" s="3"/>
      <c r="H14687" s="11"/>
      <c r="I14687" s="12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  <c r="AA14687" s="3"/>
      <c r="AB14687" s="3"/>
      <c r="AC14687" s="3"/>
      <c r="AD14687" s="3"/>
      <c r="AE14687" s="3"/>
      <c r="AF14687" s="3"/>
      <c r="AG14687" s="3"/>
      <c r="AH14687" s="3"/>
    </row>
    <row r="14688" spans="1:34" ht="14.25" customHeight="1" x14ac:dyDescent="0.25">
      <c r="A14688" s="3"/>
      <c r="B14688" s="3"/>
      <c r="C14688" s="3"/>
      <c r="D14688" s="3"/>
      <c r="E14688" s="3"/>
      <c r="F14688" s="3"/>
      <c r="G14688" s="3"/>
      <c r="H14688" s="11"/>
      <c r="I14688" s="12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  <c r="AA14688" s="3"/>
      <c r="AB14688" s="3"/>
      <c r="AC14688" s="3"/>
      <c r="AD14688" s="3"/>
      <c r="AE14688" s="3"/>
      <c r="AF14688" s="3"/>
      <c r="AG14688" s="3"/>
      <c r="AH14688" s="3"/>
    </row>
    <row r="14689" spans="1:34" ht="14.25" customHeight="1" x14ac:dyDescent="0.25">
      <c r="A14689" s="3"/>
      <c r="B14689" s="3"/>
      <c r="C14689" s="3"/>
      <c r="D14689" s="3"/>
      <c r="E14689" s="3"/>
      <c r="F14689" s="3"/>
      <c r="G14689" s="3"/>
      <c r="H14689" s="11"/>
      <c r="I14689" s="12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  <c r="AA14689" s="3"/>
      <c r="AB14689" s="3"/>
      <c r="AC14689" s="3"/>
      <c r="AD14689" s="3"/>
      <c r="AE14689" s="3"/>
      <c r="AF14689" s="3"/>
      <c r="AG14689" s="3"/>
      <c r="AH14689" s="3"/>
    </row>
    <row r="14690" spans="1:34" ht="14.25" customHeight="1" x14ac:dyDescent="0.25">
      <c r="A14690" s="3"/>
      <c r="B14690" s="3"/>
      <c r="C14690" s="3"/>
      <c r="D14690" s="3"/>
      <c r="E14690" s="3"/>
      <c r="F14690" s="3"/>
      <c r="G14690" s="3"/>
      <c r="H14690" s="11"/>
      <c r="I14690" s="12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  <c r="AA14690" s="3"/>
      <c r="AB14690" s="3"/>
      <c r="AC14690" s="3"/>
      <c r="AD14690" s="3"/>
      <c r="AE14690" s="3"/>
      <c r="AF14690" s="3"/>
      <c r="AG14690" s="3"/>
      <c r="AH14690" s="3"/>
    </row>
    <row r="14691" spans="1:34" ht="14.25" customHeight="1" x14ac:dyDescent="0.25">
      <c r="A14691" s="3"/>
      <c r="B14691" s="3"/>
      <c r="C14691" s="3"/>
      <c r="D14691" s="3"/>
      <c r="E14691" s="3"/>
      <c r="F14691" s="3"/>
      <c r="G14691" s="3"/>
      <c r="H14691" s="11"/>
      <c r="I14691" s="12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  <c r="AA14691" s="3"/>
      <c r="AB14691" s="3"/>
      <c r="AC14691" s="3"/>
      <c r="AD14691" s="3"/>
      <c r="AE14691" s="3"/>
      <c r="AF14691" s="3"/>
      <c r="AG14691" s="3"/>
      <c r="AH14691" s="3"/>
    </row>
    <row r="14692" spans="1:34" ht="14.25" customHeight="1" x14ac:dyDescent="0.25">
      <c r="A14692" s="3"/>
      <c r="B14692" s="3"/>
      <c r="C14692" s="3"/>
      <c r="D14692" s="3"/>
      <c r="E14692" s="3"/>
      <c r="F14692" s="3"/>
      <c r="G14692" s="3"/>
      <c r="H14692" s="11"/>
      <c r="I14692" s="12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  <c r="AA14692" s="3"/>
      <c r="AB14692" s="3"/>
      <c r="AC14692" s="3"/>
      <c r="AD14692" s="3"/>
      <c r="AE14692" s="3"/>
      <c r="AF14692" s="3"/>
      <c r="AG14692" s="3"/>
      <c r="AH14692" s="3"/>
    </row>
    <row r="14693" spans="1:34" ht="14.25" customHeight="1" x14ac:dyDescent="0.25">
      <c r="A14693" s="3"/>
      <c r="B14693" s="3"/>
      <c r="C14693" s="3"/>
      <c r="D14693" s="3"/>
      <c r="E14693" s="3"/>
      <c r="F14693" s="3"/>
      <c r="G14693" s="3"/>
      <c r="H14693" s="11"/>
      <c r="I14693" s="12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  <c r="AA14693" s="3"/>
      <c r="AB14693" s="3"/>
      <c r="AC14693" s="3"/>
      <c r="AD14693" s="3"/>
      <c r="AE14693" s="3"/>
      <c r="AF14693" s="3"/>
      <c r="AG14693" s="3"/>
      <c r="AH14693" s="3"/>
    </row>
    <row r="14694" spans="1:34" ht="14.25" customHeight="1" x14ac:dyDescent="0.25">
      <c r="A14694" s="3"/>
      <c r="B14694" s="3"/>
      <c r="C14694" s="3"/>
      <c r="D14694" s="3"/>
      <c r="E14694" s="3"/>
      <c r="F14694" s="3"/>
      <c r="G14694" s="3"/>
      <c r="H14694" s="11"/>
      <c r="I14694" s="12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  <c r="AA14694" s="3"/>
      <c r="AB14694" s="3"/>
      <c r="AC14694" s="3"/>
      <c r="AD14694" s="3"/>
      <c r="AE14694" s="3"/>
      <c r="AF14694" s="3"/>
      <c r="AG14694" s="3"/>
      <c r="AH14694" s="3"/>
    </row>
    <row r="14695" spans="1:34" ht="14.25" customHeight="1" x14ac:dyDescent="0.25">
      <c r="A14695" s="3"/>
      <c r="B14695" s="3"/>
      <c r="C14695" s="3"/>
      <c r="D14695" s="3"/>
      <c r="E14695" s="3"/>
      <c r="F14695" s="3"/>
      <c r="G14695" s="3"/>
      <c r="H14695" s="11"/>
      <c r="I14695" s="12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  <c r="AA14695" s="3"/>
      <c r="AB14695" s="3"/>
      <c r="AC14695" s="3"/>
      <c r="AD14695" s="3"/>
      <c r="AE14695" s="3"/>
      <c r="AF14695" s="3"/>
      <c r="AG14695" s="3"/>
      <c r="AH14695" s="3"/>
    </row>
    <row r="14696" spans="1:34" ht="14.25" customHeight="1" x14ac:dyDescent="0.25">
      <c r="A14696" s="3"/>
      <c r="B14696" s="3"/>
      <c r="C14696" s="3"/>
      <c r="D14696" s="3"/>
      <c r="E14696" s="3"/>
      <c r="F14696" s="3"/>
      <c r="G14696" s="3"/>
      <c r="H14696" s="11"/>
      <c r="I14696" s="12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  <c r="AA14696" s="3"/>
      <c r="AB14696" s="3"/>
      <c r="AC14696" s="3"/>
      <c r="AD14696" s="3"/>
      <c r="AE14696" s="3"/>
      <c r="AF14696" s="3"/>
      <c r="AG14696" s="3"/>
      <c r="AH14696" s="3"/>
    </row>
    <row r="14697" spans="1:34" ht="14.25" customHeight="1" x14ac:dyDescent="0.25">
      <c r="A14697" s="3"/>
      <c r="B14697" s="3"/>
      <c r="C14697" s="3"/>
      <c r="D14697" s="3"/>
      <c r="E14697" s="3"/>
      <c r="F14697" s="3"/>
      <c r="G14697" s="3"/>
      <c r="H14697" s="11"/>
      <c r="I14697" s="12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  <c r="AA14697" s="3"/>
      <c r="AB14697" s="3"/>
      <c r="AC14697" s="3"/>
      <c r="AD14697" s="3"/>
      <c r="AE14697" s="3"/>
      <c r="AF14697" s="3"/>
      <c r="AG14697" s="3"/>
      <c r="AH14697" s="3"/>
    </row>
    <row r="14698" spans="1:34" ht="14.25" customHeight="1" x14ac:dyDescent="0.25">
      <c r="A14698" s="3"/>
      <c r="B14698" s="3"/>
      <c r="C14698" s="3"/>
      <c r="D14698" s="3"/>
      <c r="E14698" s="3"/>
      <c r="F14698" s="3"/>
      <c r="G14698" s="3"/>
      <c r="H14698" s="11"/>
      <c r="I14698" s="12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  <c r="AA14698" s="3"/>
      <c r="AB14698" s="3"/>
      <c r="AC14698" s="3"/>
      <c r="AD14698" s="3"/>
      <c r="AE14698" s="3"/>
      <c r="AF14698" s="3"/>
      <c r="AG14698" s="3"/>
      <c r="AH14698" s="3"/>
    </row>
    <row r="14699" spans="1:34" ht="14.25" customHeight="1" x14ac:dyDescent="0.25">
      <c r="A14699" s="3"/>
      <c r="B14699" s="3"/>
      <c r="C14699" s="3"/>
      <c r="D14699" s="3"/>
      <c r="E14699" s="3"/>
      <c r="F14699" s="3"/>
      <c r="G14699" s="3"/>
      <c r="H14699" s="11"/>
      <c r="I14699" s="12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  <c r="AA14699" s="3"/>
      <c r="AB14699" s="3"/>
      <c r="AC14699" s="3"/>
      <c r="AD14699" s="3"/>
      <c r="AE14699" s="3"/>
      <c r="AF14699" s="3"/>
      <c r="AG14699" s="3"/>
      <c r="AH14699" s="3"/>
    </row>
    <row r="14700" spans="1:34" ht="14.25" customHeight="1" x14ac:dyDescent="0.25">
      <c r="A14700" s="3"/>
      <c r="B14700" s="3"/>
      <c r="C14700" s="3"/>
      <c r="D14700" s="3"/>
      <c r="E14700" s="3"/>
      <c r="F14700" s="3"/>
      <c r="G14700" s="3"/>
      <c r="H14700" s="11"/>
      <c r="I14700" s="12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  <c r="AA14700" s="3"/>
      <c r="AB14700" s="3"/>
      <c r="AC14700" s="3"/>
      <c r="AD14700" s="3"/>
      <c r="AE14700" s="3"/>
      <c r="AF14700" s="3"/>
      <c r="AG14700" s="3"/>
      <c r="AH14700" s="3"/>
    </row>
    <row r="14701" spans="1:34" ht="14.25" customHeight="1" x14ac:dyDescent="0.25">
      <c r="A14701" s="3"/>
      <c r="B14701" s="3"/>
      <c r="C14701" s="3"/>
      <c r="D14701" s="3"/>
      <c r="E14701" s="3"/>
      <c r="F14701" s="3"/>
      <c r="G14701" s="3"/>
      <c r="H14701" s="11"/>
      <c r="I14701" s="12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  <c r="AA14701" s="3"/>
      <c r="AB14701" s="3"/>
      <c r="AC14701" s="3"/>
      <c r="AD14701" s="3"/>
      <c r="AE14701" s="3"/>
      <c r="AF14701" s="3"/>
      <c r="AG14701" s="3"/>
      <c r="AH14701" s="3"/>
    </row>
    <row r="14702" spans="1:34" ht="14.25" customHeight="1" x14ac:dyDescent="0.25">
      <c r="A14702" s="3"/>
      <c r="B14702" s="3"/>
      <c r="C14702" s="3"/>
      <c r="D14702" s="3"/>
      <c r="E14702" s="3"/>
      <c r="F14702" s="3"/>
      <c r="G14702" s="3"/>
      <c r="H14702" s="11"/>
      <c r="I14702" s="12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  <c r="AA14702" s="3"/>
      <c r="AB14702" s="3"/>
      <c r="AC14702" s="3"/>
      <c r="AD14702" s="3"/>
      <c r="AE14702" s="3"/>
      <c r="AF14702" s="3"/>
      <c r="AG14702" s="3"/>
      <c r="AH14702" s="3"/>
    </row>
    <row r="14703" spans="1:34" ht="14.25" customHeight="1" x14ac:dyDescent="0.25">
      <c r="A14703" s="3"/>
      <c r="B14703" s="3"/>
      <c r="C14703" s="3"/>
      <c r="D14703" s="3"/>
      <c r="E14703" s="3"/>
      <c r="F14703" s="3"/>
      <c r="G14703" s="3"/>
      <c r="H14703" s="11"/>
      <c r="I14703" s="12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  <c r="AA14703" s="3"/>
      <c r="AB14703" s="3"/>
      <c r="AC14703" s="3"/>
      <c r="AD14703" s="3"/>
      <c r="AE14703" s="3"/>
      <c r="AF14703" s="3"/>
      <c r="AG14703" s="3"/>
      <c r="AH14703" s="3"/>
    </row>
    <row r="14704" spans="1:34" ht="14.25" customHeight="1" x14ac:dyDescent="0.25">
      <c r="A14704" s="3"/>
      <c r="B14704" s="3"/>
      <c r="C14704" s="3"/>
      <c r="D14704" s="3"/>
      <c r="E14704" s="3"/>
      <c r="F14704" s="3"/>
      <c r="G14704" s="3"/>
      <c r="H14704" s="11"/>
      <c r="I14704" s="12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  <c r="AA14704" s="3"/>
      <c r="AB14704" s="3"/>
      <c r="AC14704" s="3"/>
      <c r="AD14704" s="3"/>
      <c r="AE14704" s="3"/>
      <c r="AF14704" s="3"/>
      <c r="AG14704" s="3"/>
      <c r="AH14704" s="3"/>
    </row>
    <row r="14705" spans="1:34" ht="14.25" customHeight="1" x14ac:dyDescent="0.25">
      <c r="A14705" s="3"/>
      <c r="B14705" s="3"/>
      <c r="C14705" s="3"/>
      <c r="D14705" s="3"/>
      <c r="E14705" s="3"/>
      <c r="F14705" s="3"/>
      <c r="G14705" s="3"/>
      <c r="H14705" s="11"/>
      <c r="I14705" s="12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  <c r="AA14705" s="3"/>
      <c r="AB14705" s="3"/>
      <c r="AC14705" s="3"/>
      <c r="AD14705" s="3"/>
      <c r="AE14705" s="3"/>
      <c r="AF14705" s="3"/>
      <c r="AG14705" s="3"/>
      <c r="AH14705" s="3"/>
    </row>
    <row r="14706" spans="1:34" ht="14.25" customHeight="1" x14ac:dyDescent="0.25">
      <c r="A14706" s="3"/>
      <c r="B14706" s="3"/>
      <c r="C14706" s="3"/>
      <c r="D14706" s="3"/>
      <c r="E14706" s="3"/>
      <c r="F14706" s="3"/>
      <c r="G14706" s="3"/>
      <c r="H14706" s="11"/>
      <c r="I14706" s="12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  <c r="AA14706" s="3"/>
      <c r="AB14706" s="3"/>
      <c r="AC14706" s="3"/>
      <c r="AD14706" s="3"/>
      <c r="AE14706" s="3"/>
      <c r="AF14706" s="3"/>
      <c r="AG14706" s="3"/>
      <c r="AH14706" s="3"/>
    </row>
    <row r="14707" spans="1:34" ht="14.25" customHeight="1" x14ac:dyDescent="0.25">
      <c r="A14707" s="3"/>
      <c r="B14707" s="3"/>
      <c r="C14707" s="3"/>
      <c r="D14707" s="3"/>
      <c r="E14707" s="3"/>
      <c r="F14707" s="3"/>
      <c r="G14707" s="3"/>
      <c r="H14707" s="11"/>
      <c r="I14707" s="12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  <c r="AA14707" s="3"/>
      <c r="AB14707" s="3"/>
      <c r="AC14707" s="3"/>
      <c r="AD14707" s="3"/>
      <c r="AE14707" s="3"/>
      <c r="AF14707" s="3"/>
      <c r="AG14707" s="3"/>
      <c r="AH14707" s="3"/>
    </row>
    <row r="14708" spans="1:34" ht="14.25" customHeight="1" x14ac:dyDescent="0.25">
      <c r="A14708" s="3"/>
      <c r="B14708" s="3"/>
      <c r="C14708" s="3"/>
      <c r="D14708" s="3"/>
      <c r="E14708" s="3"/>
      <c r="F14708" s="3"/>
      <c r="G14708" s="3"/>
      <c r="H14708" s="11"/>
      <c r="I14708" s="12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  <c r="AA14708" s="3"/>
      <c r="AB14708" s="3"/>
      <c r="AC14708" s="3"/>
      <c r="AD14708" s="3"/>
      <c r="AE14708" s="3"/>
      <c r="AF14708" s="3"/>
      <c r="AG14708" s="3"/>
      <c r="AH14708" s="3"/>
    </row>
    <row r="14709" spans="1:34" ht="14.25" customHeight="1" x14ac:dyDescent="0.25">
      <c r="A14709" s="3"/>
      <c r="B14709" s="3"/>
      <c r="C14709" s="3"/>
      <c r="D14709" s="3"/>
      <c r="E14709" s="3"/>
      <c r="F14709" s="3"/>
      <c r="G14709" s="3"/>
      <c r="H14709" s="11"/>
      <c r="I14709" s="12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  <c r="AA14709" s="3"/>
      <c r="AB14709" s="3"/>
      <c r="AC14709" s="3"/>
      <c r="AD14709" s="3"/>
      <c r="AE14709" s="3"/>
      <c r="AF14709" s="3"/>
      <c r="AG14709" s="3"/>
      <c r="AH14709" s="3"/>
    </row>
    <row r="14710" spans="1:34" ht="14.25" customHeight="1" x14ac:dyDescent="0.25">
      <c r="A14710" s="3"/>
      <c r="B14710" s="3"/>
      <c r="C14710" s="3"/>
      <c r="D14710" s="3"/>
      <c r="E14710" s="3"/>
      <c r="F14710" s="3"/>
      <c r="G14710" s="3"/>
      <c r="H14710" s="11"/>
      <c r="I14710" s="12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  <c r="AA14710" s="3"/>
      <c r="AB14710" s="3"/>
      <c r="AC14710" s="3"/>
      <c r="AD14710" s="3"/>
      <c r="AE14710" s="3"/>
      <c r="AF14710" s="3"/>
      <c r="AG14710" s="3"/>
      <c r="AH14710" s="3"/>
    </row>
    <row r="14711" spans="1:34" ht="14.25" customHeight="1" x14ac:dyDescent="0.25">
      <c r="A14711" s="3"/>
      <c r="B14711" s="3"/>
      <c r="C14711" s="3"/>
      <c r="D14711" s="3"/>
      <c r="E14711" s="3"/>
      <c r="F14711" s="3"/>
      <c r="G14711" s="3"/>
      <c r="H14711" s="11"/>
      <c r="I14711" s="12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  <c r="AA14711" s="3"/>
      <c r="AB14711" s="3"/>
      <c r="AC14711" s="3"/>
      <c r="AD14711" s="3"/>
      <c r="AE14711" s="3"/>
      <c r="AF14711" s="3"/>
      <c r="AG14711" s="3"/>
      <c r="AH14711" s="3"/>
    </row>
    <row r="14712" spans="1:34" ht="14.25" customHeight="1" x14ac:dyDescent="0.25">
      <c r="A14712" s="3"/>
      <c r="B14712" s="3"/>
      <c r="C14712" s="3"/>
      <c r="D14712" s="3"/>
      <c r="E14712" s="3"/>
      <c r="F14712" s="3"/>
      <c r="G14712" s="3"/>
      <c r="H14712" s="11"/>
      <c r="I14712" s="12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  <c r="AA14712" s="3"/>
      <c r="AB14712" s="3"/>
      <c r="AC14712" s="3"/>
      <c r="AD14712" s="3"/>
      <c r="AE14712" s="3"/>
      <c r="AF14712" s="3"/>
      <c r="AG14712" s="3"/>
      <c r="AH14712" s="3"/>
    </row>
    <row r="14713" spans="1:34" ht="14.25" customHeight="1" x14ac:dyDescent="0.25">
      <c r="A14713" s="3"/>
      <c r="B14713" s="3"/>
      <c r="C14713" s="3"/>
      <c r="D14713" s="3"/>
      <c r="E14713" s="3"/>
      <c r="F14713" s="3"/>
      <c r="G14713" s="3"/>
      <c r="H14713" s="11"/>
      <c r="I14713" s="12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  <c r="AA14713" s="3"/>
      <c r="AB14713" s="3"/>
      <c r="AC14713" s="3"/>
      <c r="AD14713" s="3"/>
      <c r="AE14713" s="3"/>
      <c r="AF14713" s="3"/>
      <c r="AG14713" s="3"/>
      <c r="AH14713" s="3"/>
    </row>
    <row r="14714" spans="1:34" ht="14.25" customHeight="1" x14ac:dyDescent="0.25">
      <c r="A14714" s="3"/>
      <c r="B14714" s="3"/>
      <c r="C14714" s="3"/>
      <c r="D14714" s="3"/>
      <c r="E14714" s="3"/>
      <c r="F14714" s="3"/>
      <c r="G14714" s="3"/>
      <c r="H14714" s="11"/>
      <c r="I14714" s="12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  <c r="AA14714" s="3"/>
      <c r="AB14714" s="3"/>
      <c r="AC14714" s="3"/>
      <c r="AD14714" s="3"/>
      <c r="AE14714" s="3"/>
      <c r="AF14714" s="3"/>
      <c r="AG14714" s="3"/>
      <c r="AH14714" s="3"/>
    </row>
    <row r="14715" spans="1:34" ht="14.25" customHeight="1" x14ac:dyDescent="0.25">
      <c r="A14715" s="3"/>
      <c r="B14715" s="3"/>
      <c r="C14715" s="3"/>
      <c r="D14715" s="3"/>
      <c r="E14715" s="3"/>
      <c r="F14715" s="3"/>
      <c r="G14715" s="3"/>
      <c r="H14715" s="11"/>
      <c r="I14715" s="12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  <c r="AA14715" s="3"/>
      <c r="AB14715" s="3"/>
      <c r="AC14715" s="3"/>
      <c r="AD14715" s="3"/>
      <c r="AE14715" s="3"/>
      <c r="AF14715" s="3"/>
      <c r="AG14715" s="3"/>
      <c r="AH14715" s="3"/>
    </row>
    <row r="14716" spans="1:34" ht="14.25" customHeight="1" x14ac:dyDescent="0.25">
      <c r="A14716" s="3"/>
      <c r="B14716" s="3"/>
      <c r="C14716" s="3"/>
      <c r="D14716" s="3"/>
      <c r="E14716" s="3"/>
      <c r="F14716" s="3"/>
      <c r="G14716" s="3"/>
      <c r="H14716" s="11"/>
      <c r="I14716" s="12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  <c r="AA14716" s="3"/>
      <c r="AB14716" s="3"/>
      <c r="AC14716" s="3"/>
      <c r="AD14716" s="3"/>
      <c r="AE14716" s="3"/>
      <c r="AF14716" s="3"/>
      <c r="AG14716" s="3"/>
      <c r="AH14716" s="3"/>
    </row>
    <row r="14717" spans="1:34" ht="14.25" customHeight="1" x14ac:dyDescent="0.25">
      <c r="A14717" s="3"/>
      <c r="B14717" s="3"/>
      <c r="C14717" s="3"/>
      <c r="D14717" s="3"/>
      <c r="E14717" s="3"/>
      <c r="F14717" s="3"/>
      <c r="G14717" s="3"/>
      <c r="H14717" s="11"/>
      <c r="I14717" s="12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  <c r="AA14717" s="3"/>
      <c r="AB14717" s="3"/>
      <c r="AC14717" s="3"/>
      <c r="AD14717" s="3"/>
      <c r="AE14717" s="3"/>
      <c r="AF14717" s="3"/>
      <c r="AG14717" s="3"/>
      <c r="AH14717" s="3"/>
    </row>
    <row r="14718" spans="1:34" ht="14.25" customHeight="1" x14ac:dyDescent="0.25">
      <c r="A14718" s="3"/>
      <c r="B14718" s="3"/>
      <c r="C14718" s="3"/>
      <c r="D14718" s="3"/>
      <c r="E14718" s="3"/>
      <c r="F14718" s="3"/>
      <c r="G14718" s="3"/>
      <c r="H14718" s="11"/>
      <c r="I14718" s="12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  <c r="AA14718" s="3"/>
      <c r="AB14718" s="3"/>
      <c r="AC14718" s="3"/>
      <c r="AD14718" s="3"/>
      <c r="AE14718" s="3"/>
      <c r="AF14718" s="3"/>
      <c r="AG14718" s="3"/>
      <c r="AH14718" s="3"/>
    </row>
    <row r="14719" spans="1:34" ht="14.25" customHeight="1" x14ac:dyDescent="0.25">
      <c r="A14719" s="3"/>
      <c r="B14719" s="3"/>
      <c r="C14719" s="3"/>
      <c r="D14719" s="3"/>
      <c r="E14719" s="3"/>
      <c r="F14719" s="3"/>
      <c r="G14719" s="3"/>
      <c r="H14719" s="11"/>
      <c r="I14719" s="12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  <c r="AA14719" s="3"/>
      <c r="AB14719" s="3"/>
      <c r="AC14719" s="3"/>
      <c r="AD14719" s="3"/>
      <c r="AE14719" s="3"/>
      <c r="AF14719" s="3"/>
      <c r="AG14719" s="3"/>
      <c r="AH14719" s="3"/>
    </row>
    <row r="14720" spans="1:34" ht="14.25" customHeight="1" x14ac:dyDescent="0.25">
      <c r="A14720" s="3"/>
      <c r="B14720" s="3"/>
      <c r="C14720" s="3"/>
      <c r="D14720" s="3"/>
      <c r="E14720" s="3"/>
      <c r="F14720" s="3"/>
      <c r="G14720" s="3"/>
      <c r="H14720" s="11"/>
      <c r="I14720" s="12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  <c r="AA14720" s="3"/>
      <c r="AB14720" s="3"/>
      <c r="AC14720" s="3"/>
      <c r="AD14720" s="3"/>
      <c r="AE14720" s="3"/>
      <c r="AF14720" s="3"/>
      <c r="AG14720" s="3"/>
      <c r="AH14720" s="3"/>
    </row>
    <row r="14721" spans="1:34" ht="14.25" customHeight="1" x14ac:dyDescent="0.25">
      <c r="A14721" s="3"/>
      <c r="B14721" s="3"/>
      <c r="C14721" s="3"/>
      <c r="D14721" s="3"/>
      <c r="E14721" s="3"/>
      <c r="F14721" s="3"/>
      <c r="G14721" s="3"/>
      <c r="H14721" s="11"/>
      <c r="I14721" s="12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  <c r="AA14721" s="3"/>
      <c r="AB14721" s="3"/>
      <c r="AC14721" s="3"/>
      <c r="AD14721" s="3"/>
      <c r="AE14721" s="3"/>
      <c r="AF14721" s="3"/>
      <c r="AG14721" s="3"/>
      <c r="AH14721" s="3"/>
    </row>
    <row r="14722" spans="1:34" ht="14.25" customHeight="1" x14ac:dyDescent="0.25">
      <c r="A14722" s="3"/>
      <c r="B14722" s="3"/>
      <c r="C14722" s="3"/>
      <c r="D14722" s="3"/>
      <c r="E14722" s="3"/>
      <c r="F14722" s="3"/>
      <c r="G14722" s="3"/>
      <c r="H14722" s="11"/>
      <c r="I14722" s="12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  <c r="AA14722" s="3"/>
      <c r="AB14722" s="3"/>
      <c r="AC14722" s="3"/>
      <c r="AD14722" s="3"/>
      <c r="AE14722" s="3"/>
      <c r="AF14722" s="3"/>
      <c r="AG14722" s="3"/>
      <c r="AH14722" s="3"/>
    </row>
    <row r="14723" spans="1:34" ht="14.25" customHeight="1" x14ac:dyDescent="0.25">
      <c r="A14723" s="3"/>
      <c r="B14723" s="3"/>
      <c r="C14723" s="3"/>
      <c r="D14723" s="3"/>
      <c r="E14723" s="3"/>
      <c r="F14723" s="3"/>
      <c r="G14723" s="3"/>
      <c r="H14723" s="11"/>
      <c r="I14723" s="12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  <c r="AA14723" s="3"/>
      <c r="AB14723" s="3"/>
      <c r="AC14723" s="3"/>
      <c r="AD14723" s="3"/>
      <c r="AE14723" s="3"/>
      <c r="AF14723" s="3"/>
      <c r="AG14723" s="3"/>
      <c r="AH14723" s="3"/>
    </row>
    <row r="14724" spans="1:34" ht="14.25" customHeight="1" x14ac:dyDescent="0.25">
      <c r="A14724" s="3"/>
      <c r="B14724" s="3"/>
      <c r="C14724" s="3"/>
      <c r="D14724" s="3"/>
      <c r="E14724" s="3"/>
      <c r="F14724" s="3"/>
      <c r="G14724" s="3"/>
      <c r="H14724" s="11"/>
      <c r="I14724" s="12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  <c r="AA14724" s="3"/>
      <c r="AB14724" s="3"/>
      <c r="AC14724" s="3"/>
      <c r="AD14724" s="3"/>
      <c r="AE14724" s="3"/>
      <c r="AF14724" s="3"/>
      <c r="AG14724" s="3"/>
      <c r="AH14724" s="3"/>
    </row>
    <row r="14725" spans="1:34" ht="14.25" customHeight="1" x14ac:dyDescent="0.25">
      <c r="A14725" s="3"/>
      <c r="B14725" s="3"/>
      <c r="C14725" s="3"/>
      <c r="D14725" s="3"/>
      <c r="E14725" s="3"/>
      <c r="F14725" s="3"/>
      <c r="G14725" s="3"/>
      <c r="H14725" s="11"/>
      <c r="I14725" s="12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  <c r="AA14725" s="3"/>
      <c r="AB14725" s="3"/>
      <c r="AC14725" s="3"/>
      <c r="AD14725" s="3"/>
      <c r="AE14725" s="3"/>
      <c r="AF14725" s="3"/>
      <c r="AG14725" s="3"/>
      <c r="AH14725" s="3"/>
    </row>
    <row r="14726" spans="1:34" ht="14.25" customHeight="1" x14ac:dyDescent="0.25">
      <c r="A14726" s="3"/>
      <c r="B14726" s="3"/>
      <c r="C14726" s="3"/>
      <c r="D14726" s="3"/>
      <c r="E14726" s="3"/>
      <c r="F14726" s="3"/>
      <c r="G14726" s="3"/>
      <c r="H14726" s="11"/>
      <c r="I14726" s="12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  <c r="AA14726" s="3"/>
      <c r="AB14726" s="3"/>
      <c r="AC14726" s="3"/>
      <c r="AD14726" s="3"/>
      <c r="AE14726" s="3"/>
      <c r="AF14726" s="3"/>
      <c r="AG14726" s="3"/>
      <c r="AH14726" s="3"/>
    </row>
    <row r="14727" spans="1:34" ht="14.25" customHeight="1" x14ac:dyDescent="0.25">
      <c r="A14727" s="3"/>
      <c r="B14727" s="3"/>
      <c r="C14727" s="3"/>
      <c r="D14727" s="3"/>
      <c r="E14727" s="3"/>
      <c r="F14727" s="3"/>
      <c r="G14727" s="3"/>
      <c r="H14727" s="11"/>
      <c r="I14727" s="12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  <c r="AA14727" s="3"/>
      <c r="AB14727" s="3"/>
      <c r="AC14727" s="3"/>
      <c r="AD14727" s="3"/>
      <c r="AE14727" s="3"/>
      <c r="AF14727" s="3"/>
      <c r="AG14727" s="3"/>
      <c r="AH14727" s="3"/>
    </row>
    <row r="14728" spans="1:34" ht="14.25" customHeight="1" x14ac:dyDescent="0.25">
      <c r="A14728" s="3"/>
      <c r="B14728" s="3"/>
      <c r="C14728" s="3"/>
      <c r="D14728" s="3"/>
      <c r="E14728" s="3"/>
      <c r="F14728" s="3"/>
      <c r="G14728" s="3"/>
      <c r="H14728" s="11"/>
      <c r="I14728" s="12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  <c r="AA14728" s="3"/>
      <c r="AB14728" s="3"/>
      <c r="AC14728" s="3"/>
      <c r="AD14728" s="3"/>
      <c r="AE14728" s="3"/>
      <c r="AF14728" s="3"/>
      <c r="AG14728" s="3"/>
      <c r="AH14728" s="3"/>
    </row>
    <row r="14729" spans="1:34" ht="14.25" customHeight="1" x14ac:dyDescent="0.25">
      <c r="A14729" s="3"/>
      <c r="B14729" s="3"/>
      <c r="C14729" s="3"/>
      <c r="D14729" s="3"/>
      <c r="E14729" s="3"/>
      <c r="F14729" s="3"/>
      <c r="G14729" s="3"/>
      <c r="H14729" s="11"/>
      <c r="I14729" s="12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  <c r="AA14729" s="3"/>
      <c r="AB14729" s="3"/>
      <c r="AC14729" s="3"/>
      <c r="AD14729" s="3"/>
      <c r="AE14729" s="3"/>
      <c r="AF14729" s="3"/>
      <c r="AG14729" s="3"/>
      <c r="AH14729" s="3"/>
    </row>
    <row r="14730" spans="1:34" ht="14.25" customHeight="1" x14ac:dyDescent="0.25">
      <c r="A14730" s="3"/>
      <c r="B14730" s="3"/>
      <c r="C14730" s="3"/>
      <c r="D14730" s="3"/>
      <c r="E14730" s="3"/>
      <c r="F14730" s="3"/>
      <c r="G14730" s="3"/>
      <c r="H14730" s="11"/>
      <c r="I14730" s="12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  <c r="AA14730" s="3"/>
      <c r="AB14730" s="3"/>
      <c r="AC14730" s="3"/>
      <c r="AD14730" s="3"/>
      <c r="AE14730" s="3"/>
      <c r="AF14730" s="3"/>
      <c r="AG14730" s="3"/>
      <c r="AH14730" s="3"/>
    </row>
    <row r="14731" spans="1:34" ht="14.25" customHeight="1" x14ac:dyDescent="0.25">
      <c r="A14731" s="3"/>
      <c r="B14731" s="3"/>
      <c r="C14731" s="3"/>
      <c r="D14731" s="3"/>
      <c r="E14731" s="3"/>
      <c r="F14731" s="3"/>
      <c r="G14731" s="3"/>
      <c r="H14731" s="11"/>
      <c r="I14731" s="12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  <c r="AA14731" s="3"/>
      <c r="AB14731" s="3"/>
      <c r="AC14731" s="3"/>
      <c r="AD14731" s="3"/>
      <c r="AE14731" s="3"/>
      <c r="AF14731" s="3"/>
      <c r="AG14731" s="3"/>
      <c r="AH14731" s="3"/>
    </row>
    <row r="14732" spans="1:34" ht="14.25" customHeight="1" x14ac:dyDescent="0.25">
      <c r="A14732" s="3"/>
      <c r="B14732" s="3"/>
      <c r="C14732" s="3"/>
      <c r="D14732" s="3"/>
      <c r="E14732" s="3"/>
      <c r="F14732" s="3"/>
      <c r="G14732" s="3"/>
      <c r="H14732" s="11"/>
      <c r="I14732" s="12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  <c r="AA14732" s="3"/>
      <c r="AB14732" s="3"/>
      <c r="AC14732" s="3"/>
      <c r="AD14732" s="3"/>
      <c r="AE14732" s="3"/>
      <c r="AF14732" s="3"/>
      <c r="AG14732" s="3"/>
      <c r="AH14732" s="3"/>
    </row>
    <row r="14733" spans="1:34" ht="14.25" customHeight="1" x14ac:dyDescent="0.25">
      <c r="A14733" s="3"/>
      <c r="B14733" s="3"/>
      <c r="C14733" s="3"/>
      <c r="D14733" s="3"/>
      <c r="E14733" s="3"/>
      <c r="F14733" s="3"/>
      <c r="G14733" s="3"/>
      <c r="H14733" s="11"/>
      <c r="I14733" s="12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  <c r="AA14733" s="3"/>
      <c r="AB14733" s="3"/>
      <c r="AC14733" s="3"/>
      <c r="AD14733" s="3"/>
      <c r="AE14733" s="3"/>
      <c r="AF14733" s="3"/>
      <c r="AG14733" s="3"/>
      <c r="AH14733" s="3"/>
    </row>
    <row r="14734" spans="1:34" ht="14.25" customHeight="1" x14ac:dyDescent="0.25">
      <c r="A14734" s="3"/>
      <c r="B14734" s="3"/>
      <c r="C14734" s="3"/>
      <c r="D14734" s="3"/>
      <c r="E14734" s="3"/>
      <c r="F14734" s="3"/>
      <c r="G14734" s="3"/>
      <c r="H14734" s="11"/>
      <c r="I14734" s="12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  <c r="AA14734" s="3"/>
      <c r="AB14734" s="3"/>
      <c r="AC14734" s="3"/>
      <c r="AD14734" s="3"/>
      <c r="AE14734" s="3"/>
      <c r="AF14734" s="3"/>
      <c r="AG14734" s="3"/>
      <c r="AH14734" s="3"/>
    </row>
    <row r="14735" spans="1:34" ht="14.25" customHeight="1" x14ac:dyDescent="0.25">
      <c r="A14735" s="3"/>
      <c r="B14735" s="3"/>
      <c r="C14735" s="3"/>
      <c r="D14735" s="3"/>
      <c r="E14735" s="3"/>
      <c r="F14735" s="3"/>
      <c r="G14735" s="3"/>
      <c r="H14735" s="11"/>
      <c r="I14735" s="12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  <c r="AA14735" s="3"/>
      <c r="AB14735" s="3"/>
      <c r="AC14735" s="3"/>
      <c r="AD14735" s="3"/>
      <c r="AE14735" s="3"/>
      <c r="AF14735" s="3"/>
      <c r="AG14735" s="3"/>
      <c r="AH14735" s="3"/>
    </row>
    <row r="14736" spans="1:34" ht="14.25" customHeight="1" x14ac:dyDescent="0.25">
      <c r="A14736" s="3"/>
      <c r="B14736" s="3"/>
      <c r="C14736" s="3"/>
      <c r="D14736" s="3"/>
      <c r="E14736" s="3"/>
      <c r="F14736" s="3"/>
      <c r="G14736" s="3"/>
      <c r="H14736" s="11"/>
      <c r="I14736" s="12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  <c r="AA14736" s="3"/>
      <c r="AB14736" s="3"/>
      <c r="AC14736" s="3"/>
      <c r="AD14736" s="3"/>
      <c r="AE14736" s="3"/>
      <c r="AF14736" s="3"/>
      <c r="AG14736" s="3"/>
      <c r="AH14736" s="3"/>
    </row>
    <row r="14737" spans="1:34" ht="14.25" customHeight="1" x14ac:dyDescent="0.25">
      <c r="A14737" s="3"/>
      <c r="B14737" s="3"/>
      <c r="C14737" s="3"/>
      <c r="D14737" s="3"/>
      <c r="E14737" s="3"/>
      <c r="F14737" s="3"/>
      <c r="G14737" s="3"/>
      <c r="H14737" s="11"/>
      <c r="I14737" s="12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  <c r="AA14737" s="3"/>
      <c r="AB14737" s="3"/>
      <c r="AC14737" s="3"/>
      <c r="AD14737" s="3"/>
      <c r="AE14737" s="3"/>
      <c r="AF14737" s="3"/>
      <c r="AG14737" s="3"/>
      <c r="AH14737" s="3"/>
    </row>
    <row r="14738" spans="1:34" ht="14.25" customHeight="1" x14ac:dyDescent="0.25">
      <c r="A14738" s="3"/>
      <c r="B14738" s="3"/>
      <c r="C14738" s="3"/>
      <c r="D14738" s="3"/>
      <c r="E14738" s="3"/>
      <c r="F14738" s="3"/>
      <c r="G14738" s="3"/>
      <c r="H14738" s="11"/>
      <c r="I14738" s="12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  <c r="AA14738" s="3"/>
      <c r="AB14738" s="3"/>
      <c r="AC14738" s="3"/>
      <c r="AD14738" s="3"/>
      <c r="AE14738" s="3"/>
      <c r="AF14738" s="3"/>
      <c r="AG14738" s="3"/>
      <c r="AH14738" s="3"/>
    </row>
    <row r="14739" spans="1:34" ht="14.25" customHeight="1" x14ac:dyDescent="0.25">
      <c r="A14739" s="3"/>
      <c r="B14739" s="3"/>
      <c r="C14739" s="3"/>
      <c r="D14739" s="3"/>
      <c r="E14739" s="3"/>
      <c r="F14739" s="3"/>
      <c r="G14739" s="3"/>
      <c r="H14739" s="11"/>
      <c r="I14739" s="12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  <c r="AA14739" s="3"/>
      <c r="AB14739" s="3"/>
      <c r="AC14739" s="3"/>
      <c r="AD14739" s="3"/>
      <c r="AE14739" s="3"/>
      <c r="AF14739" s="3"/>
      <c r="AG14739" s="3"/>
      <c r="AH14739" s="3"/>
    </row>
    <row r="14740" spans="1:34" ht="14.25" customHeight="1" x14ac:dyDescent="0.25">
      <c r="A14740" s="3"/>
      <c r="B14740" s="3"/>
      <c r="C14740" s="3"/>
      <c r="D14740" s="3"/>
      <c r="E14740" s="3"/>
      <c r="F14740" s="3"/>
      <c r="G14740" s="3"/>
      <c r="H14740" s="11"/>
      <c r="I14740" s="12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  <c r="AA14740" s="3"/>
      <c r="AB14740" s="3"/>
      <c r="AC14740" s="3"/>
      <c r="AD14740" s="3"/>
      <c r="AE14740" s="3"/>
      <c r="AF14740" s="3"/>
      <c r="AG14740" s="3"/>
      <c r="AH14740" s="3"/>
    </row>
    <row r="14741" spans="1:34" ht="14.25" customHeight="1" x14ac:dyDescent="0.25">
      <c r="A14741" s="3"/>
      <c r="B14741" s="3"/>
      <c r="C14741" s="3"/>
      <c r="D14741" s="3"/>
      <c r="E14741" s="3"/>
      <c r="F14741" s="3"/>
      <c r="G14741" s="3"/>
      <c r="H14741" s="11"/>
      <c r="I14741" s="12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  <c r="AA14741" s="3"/>
      <c r="AB14741" s="3"/>
      <c r="AC14741" s="3"/>
      <c r="AD14741" s="3"/>
      <c r="AE14741" s="3"/>
      <c r="AF14741" s="3"/>
      <c r="AG14741" s="3"/>
      <c r="AH14741" s="3"/>
    </row>
    <row r="14742" spans="1:34" ht="14.25" customHeight="1" x14ac:dyDescent="0.25">
      <c r="A14742" s="3"/>
      <c r="B14742" s="3"/>
      <c r="C14742" s="3"/>
      <c r="D14742" s="3"/>
      <c r="E14742" s="3"/>
      <c r="F14742" s="3"/>
      <c r="G14742" s="3"/>
      <c r="H14742" s="11"/>
      <c r="I14742" s="12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  <c r="AA14742" s="3"/>
      <c r="AB14742" s="3"/>
      <c r="AC14742" s="3"/>
      <c r="AD14742" s="3"/>
      <c r="AE14742" s="3"/>
      <c r="AF14742" s="3"/>
      <c r="AG14742" s="3"/>
      <c r="AH14742" s="3"/>
    </row>
    <row r="14743" spans="1:34" ht="14.25" customHeight="1" x14ac:dyDescent="0.25">
      <c r="A14743" s="3"/>
      <c r="B14743" s="3"/>
      <c r="C14743" s="3"/>
      <c r="D14743" s="3"/>
      <c r="E14743" s="3"/>
      <c r="F14743" s="3"/>
      <c r="G14743" s="3"/>
      <c r="H14743" s="11"/>
      <c r="I14743" s="12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  <c r="AA14743" s="3"/>
      <c r="AB14743" s="3"/>
      <c r="AC14743" s="3"/>
      <c r="AD14743" s="3"/>
      <c r="AE14743" s="3"/>
      <c r="AF14743" s="3"/>
      <c r="AG14743" s="3"/>
      <c r="AH14743" s="3"/>
    </row>
    <row r="14744" spans="1:34" ht="14.25" customHeight="1" x14ac:dyDescent="0.25">
      <c r="A14744" s="3"/>
      <c r="B14744" s="3"/>
      <c r="C14744" s="3"/>
      <c r="D14744" s="3"/>
      <c r="E14744" s="3"/>
      <c r="F14744" s="3"/>
      <c r="G14744" s="3"/>
      <c r="H14744" s="11"/>
      <c r="I14744" s="12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  <c r="AA14744" s="3"/>
      <c r="AB14744" s="3"/>
      <c r="AC14744" s="3"/>
      <c r="AD14744" s="3"/>
      <c r="AE14744" s="3"/>
      <c r="AF14744" s="3"/>
      <c r="AG14744" s="3"/>
      <c r="AH14744" s="3"/>
    </row>
    <row r="14745" spans="1:34" ht="14.25" customHeight="1" x14ac:dyDescent="0.25">
      <c r="A14745" s="3"/>
      <c r="B14745" s="3"/>
      <c r="C14745" s="3"/>
      <c r="D14745" s="3"/>
      <c r="E14745" s="3"/>
      <c r="F14745" s="3"/>
      <c r="G14745" s="3"/>
      <c r="H14745" s="11"/>
      <c r="I14745" s="12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  <c r="AA14745" s="3"/>
      <c r="AB14745" s="3"/>
      <c r="AC14745" s="3"/>
      <c r="AD14745" s="3"/>
      <c r="AE14745" s="3"/>
      <c r="AF14745" s="3"/>
      <c r="AG14745" s="3"/>
      <c r="AH14745" s="3"/>
    </row>
    <row r="14746" spans="1:34" ht="14.25" customHeight="1" x14ac:dyDescent="0.25">
      <c r="A14746" s="3"/>
      <c r="B14746" s="3"/>
      <c r="C14746" s="3"/>
      <c r="D14746" s="3"/>
      <c r="E14746" s="3"/>
      <c r="F14746" s="3"/>
      <c r="G14746" s="3"/>
      <c r="H14746" s="11"/>
      <c r="I14746" s="12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  <c r="AA14746" s="3"/>
      <c r="AB14746" s="3"/>
      <c r="AC14746" s="3"/>
      <c r="AD14746" s="3"/>
      <c r="AE14746" s="3"/>
      <c r="AF14746" s="3"/>
      <c r="AG14746" s="3"/>
      <c r="AH14746" s="3"/>
    </row>
    <row r="14747" spans="1:34" ht="14.25" customHeight="1" x14ac:dyDescent="0.25">
      <c r="A14747" s="3"/>
      <c r="B14747" s="3"/>
      <c r="C14747" s="3"/>
      <c r="D14747" s="3"/>
      <c r="E14747" s="3"/>
      <c r="F14747" s="3"/>
      <c r="G14747" s="3"/>
      <c r="H14747" s="11"/>
      <c r="I14747" s="12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  <c r="AA14747" s="3"/>
      <c r="AB14747" s="3"/>
      <c r="AC14747" s="3"/>
      <c r="AD14747" s="3"/>
      <c r="AE14747" s="3"/>
      <c r="AF14747" s="3"/>
      <c r="AG14747" s="3"/>
      <c r="AH14747" s="3"/>
    </row>
    <row r="14748" spans="1:34" ht="14.25" customHeight="1" x14ac:dyDescent="0.25">
      <c r="A14748" s="3"/>
      <c r="B14748" s="3"/>
      <c r="C14748" s="3"/>
      <c r="D14748" s="3"/>
      <c r="E14748" s="3"/>
      <c r="F14748" s="3"/>
      <c r="G14748" s="3"/>
      <c r="H14748" s="11"/>
      <c r="I14748" s="12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  <c r="AA14748" s="3"/>
      <c r="AB14748" s="3"/>
      <c r="AC14748" s="3"/>
      <c r="AD14748" s="3"/>
      <c r="AE14748" s="3"/>
      <c r="AF14748" s="3"/>
      <c r="AG14748" s="3"/>
      <c r="AH14748" s="3"/>
    </row>
    <row r="14749" spans="1:34" ht="14.25" customHeight="1" x14ac:dyDescent="0.25">
      <c r="A14749" s="3"/>
      <c r="B14749" s="3"/>
      <c r="C14749" s="3"/>
      <c r="D14749" s="3"/>
      <c r="E14749" s="3"/>
      <c r="F14749" s="3"/>
      <c r="G14749" s="3"/>
      <c r="H14749" s="11"/>
      <c r="I14749" s="12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  <c r="AA14749" s="3"/>
      <c r="AB14749" s="3"/>
      <c r="AC14749" s="3"/>
      <c r="AD14749" s="3"/>
      <c r="AE14749" s="3"/>
      <c r="AF14749" s="3"/>
      <c r="AG14749" s="3"/>
      <c r="AH14749" s="3"/>
    </row>
    <row r="14750" spans="1:34" ht="14.25" customHeight="1" x14ac:dyDescent="0.25">
      <c r="A14750" s="3"/>
      <c r="B14750" s="3"/>
      <c r="C14750" s="3"/>
      <c r="D14750" s="3"/>
      <c r="E14750" s="3"/>
      <c r="F14750" s="3"/>
      <c r="G14750" s="3"/>
      <c r="H14750" s="11"/>
      <c r="I14750" s="12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  <c r="AA14750" s="3"/>
      <c r="AB14750" s="3"/>
      <c r="AC14750" s="3"/>
      <c r="AD14750" s="3"/>
      <c r="AE14750" s="3"/>
      <c r="AF14750" s="3"/>
      <c r="AG14750" s="3"/>
      <c r="AH14750" s="3"/>
    </row>
    <row r="14751" spans="1:34" ht="14.25" customHeight="1" x14ac:dyDescent="0.25">
      <c r="A14751" s="3"/>
      <c r="B14751" s="3"/>
      <c r="C14751" s="3"/>
      <c r="D14751" s="3"/>
      <c r="E14751" s="3"/>
      <c r="F14751" s="3"/>
      <c r="G14751" s="3"/>
      <c r="H14751" s="11"/>
      <c r="I14751" s="12"/>
      <c r="J14751" s="3"/>
      <c r="K14751" s="3"/>
      <c r="L14751" s="3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  <c r="AA14751" s="3"/>
      <c r="AB14751" s="3"/>
      <c r="AC14751" s="3"/>
      <c r="AD14751" s="3"/>
      <c r="AE14751" s="3"/>
      <c r="AF14751" s="3"/>
      <c r="AG14751" s="3"/>
      <c r="AH14751" s="3"/>
    </row>
    <row r="14752" spans="1:34" ht="14.25" customHeight="1" x14ac:dyDescent="0.25">
      <c r="A14752" s="3"/>
      <c r="B14752" s="3"/>
      <c r="C14752" s="3"/>
      <c r="D14752" s="3"/>
      <c r="E14752" s="3"/>
      <c r="F14752" s="3"/>
      <c r="G14752" s="3"/>
      <c r="H14752" s="11"/>
      <c r="I14752" s="12"/>
      <c r="J14752" s="3"/>
      <c r="K14752" s="3"/>
      <c r="L14752" s="3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  <c r="AA14752" s="3"/>
      <c r="AB14752" s="3"/>
      <c r="AC14752" s="3"/>
      <c r="AD14752" s="3"/>
      <c r="AE14752" s="3"/>
      <c r="AF14752" s="3"/>
      <c r="AG14752" s="3"/>
      <c r="AH14752" s="3"/>
    </row>
    <row r="14753" spans="1:34" ht="14.25" customHeight="1" x14ac:dyDescent="0.25">
      <c r="A14753" s="3"/>
      <c r="B14753" s="3"/>
      <c r="C14753" s="3"/>
      <c r="D14753" s="3"/>
      <c r="E14753" s="3"/>
      <c r="F14753" s="3"/>
      <c r="G14753" s="3"/>
      <c r="H14753" s="11"/>
      <c r="I14753" s="12"/>
      <c r="J14753" s="3"/>
      <c r="K14753" s="3"/>
      <c r="L14753" s="3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  <c r="AA14753" s="3"/>
      <c r="AB14753" s="3"/>
      <c r="AC14753" s="3"/>
      <c r="AD14753" s="3"/>
      <c r="AE14753" s="3"/>
      <c r="AF14753" s="3"/>
      <c r="AG14753" s="3"/>
      <c r="AH14753" s="3"/>
    </row>
    <row r="14754" spans="1:34" ht="14.25" customHeight="1" x14ac:dyDescent="0.25">
      <c r="A14754" s="3"/>
      <c r="B14754" s="3"/>
      <c r="C14754" s="3"/>
      <c r="D14754" s="3"/>
      <c r="E14754" s="3"/>
      <c r="F14754" s="3"/>
      <c r="G14754" s="3"/>
      <c r="H14754" s="11"/>
      <c r="I14754" s="12"/>
      <c r="J14754" s="3"/>
      <c r="K14754" s="3"/>
      <c r="L14754" s="3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  <c r="AA14754" s="3"/>
      <c r="AB14754" s="3"/>
      <c r="AC14754" s="3"/>
      <c r="AD14754" s="3"/>
      <c r="AE14754" s="3"/>
      <c r="AF14754" s="3"/>
      <c r="AG14754" s="3"/>
      <c r="AH14754" s="3"/>
    </row>
    <row r="14755" spans="1:34" ht="14.25" customHeight="1" x14ac:dyDescent="0.25">
      <c r="A14755" s="3"/>
      <c r="B14755" s="3"/>
      <c r="C14755" s="3"/>
      <c r="D14755" s="3"/>
      <c r="E14755" s="3"/>
      <c r="F14755" s="3"/>
      <c r="G14755" s="3"/>
      <c r="H14755" s="11"/>
      <c r="I14755" s="12"/>
      <c r="J14755" s="3"/>
      <c r="K14755" s="3"/>
      <c r="L14755" s="3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  <c r="AA14755" s="3"/>
      <c r="AB14755" s="3"/>
      <c r="AC14755" s="3"/>
      <c r="AD14755" s="3"/>
      <c r="AE14755" s="3"/>
      <c r="AF14755" s="3"/>
      <c r="AG14755" s="3"/>
      <c r="AH14755" s="3"/>
    </row>
    <row r="14756" spans="1:34" ht="14.25" customHeight="1" x14ac:dyDescent="0.25">
      <c r="A14756" s="3"/>
      <c r="B14756" s="3"/>
      <c r="C14756" s="3"/>
      <c r="D14756" s="3"/>
      <c r="E14756" s="3"/>
      <c r="F14756" s="3"/>
      <c r="G14756" s="3"/>
      <c r="H14756" s="11"/>
      <c r="I14756" s="12"/>
      <c r="J14756" s="3"/>
      <c r="K14756" s="3"/>
      <c r="L14756" s="3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  <c r="AA14756" s="3"/>
      <c r="AB14756" s="3"/>
      <c r="AC14756" s="3"/>
      <c r="AD14756" s="3"/>
      <c r="AE14756" s="3"/>
      <c r="AF14756" s="3"/>
      <c r="AG14756" s="3"/>
      <c r="AH14756" s="3"/>
    </row>
    <row r="14757" spans="1:34" ht="14.25" customHeight="1" x14ac:dyDescent="0.25">
      <c r="A14757" s="3"/>
      <c r="B14757" s="3"/>
      <c r="C14757" s="3"/>
      <c r="D14757" s="3"/>
      <c r="E14757" s="3"/>
      <c r="F14757" s="3"/>
      <c r="G14757" s="3"/>
      <c r="H14757" s="11"/>
      <c r="I14757" s="12"/>
      <c r="J14757" s="3"/>
      <c r="K14757" s="3"/>
      <c r="L14757" s="3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  <c r="AA14757" s="3"/>
      <c r="AB14757" s="3"/>
      <c r="AC14757" s="3"/>
      <c r="AD14757" s="3"/>
      <c r="AE14757" s="3"/>
      <c r="AF14757" s="3"/>
      <c r="AG14757" s="3"/>
      <c r="AH14757" s="3"/>
    </row>
    <row r="14758" spans="1:34" ht="14.25" customHeight="1" x14ac:dyDescent="0.25">
      <c r="A14758" s="3"/>
      <c r="B14758" s="3"/>
      <c r="C14758" s="3"/>
      <c r="D14758" s="3"/>
      <c r="E14758" s="3"/>
      <c r="F14758" s="3"/>
      <c r="G14758" s="3"/>
      <c r="H14758" s="11"/>
      <c r="I14758" s="12"/>
      <c r="J14758" s="3"/>
      <c r="K14758" s="3"/>
      <c r="L14758" s="3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  <c r="AA14758" s="3"/>
      <c r="AB14758" s="3"/>
      <c r="AC14758" s="3"/>
      <c r="AD14758" s="3"/>
      <c r="AE14758" s="3"/>
      <c r="AF14758" s="3"/>
      <c r="AG14758" s="3"/>
      <c r="AH14758" s="3"/>
    </row>
    <row r="14759" spans="1:34" ht="14.25" customHeight="1" x14ac:dyDescent="0.25">
      <c r="A14759" s="3"/>
      <c r="B14759" s="3"/>
      <c r="C14759" s="3"/>
      <c r="D14759" s="3"/>
      <c r="E14759" s="3"/>
      <c r="F14759" s="3"/>
      <c r="G14759" s="3"/>
      <c r="H14759" s="11"/>
      <c r="I14759" s="12"/>
      <c r="J14759" s="3"/>
      <c r="K14759" s="3"/>
      <c r="L14759" s="3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  <c r="AA14759" s="3"/>
      <c r="AB14759" s="3"/>
      <c r="AC14759" s="3"/>
      <c r="AD14759" s="3"/>
      <c r="AE14759" s="3"/>
      <c r="AF14759" s="3"/>
      <c r="AG14759" s="3"/>
      <c r="AH14759" s="3"/>
    </row>
    <row r="14760" spans="1:34" ht="14.25" customHeight="1" x14ac:dyDescent="0.25">
      <c r="A14760" s="3"/>
      <c r="B14760" s="3"/>
      <c r="C14760" s="3"/>
      <c r="D14760" s="3"/>
      <c r="E14760" s="3"/>
      <c r="F14760" s="3"/>
      <c r="G14760" s="3"/>
      <c r="H14760" s="11"/>
      <c r="I14760" s="12"/>
      <c r="J14760" s="3"/>
      <c r="K14760" s="3"/>
      <c r="L14760" s="3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  <c r="AA14760" s="3"/>
      <c r="AB14760" s="3"/>
      <c r="AC14760" s="3"/>
      <c r="AD14760" s="3"/>
      <c r="AE14760" s="3"/>
      <c r="AF14760" s="3"/>
      <c r="AG14760" s="3"/>
      <c r="AH14760" s="3"/>
    </row>
    <row r="14761" spans="1:34" ht="14.25" customHeight="1" x14ac:dyDescent="0.25">
      <c r="A14761" s="3"/>
      <c r="B14761" s="3"/>
      <c r="C14761" s="3"/>
      <c r="D14761" s="3"/>
      <c r="E14761" s="3"/>
      <c r="F14761" s="3"/>
      <c r="G14761" s="3"/>
      <c r="H14761" s="11"/>
      <c r="I14761" s="12"/>
      <c r="J14761" s="3"/>
      <c r="K14761" s="3"/>
      <c r="L14761" s="3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  <c r="AA14761" s="3"/>
      <c r="AB14761" s="3"/>
      <c r="AC14761" s="3"/>
      <c r="AD14761" s="3"/>
      <c r="AE14761" s="3"/>
      <c r="AF14761" s="3"/>
      <c r="AG14761" s="3"/>
      <c r="AH14761" s="3"/>
    </row>
    <row r="14762" spans="1:34" ht="14.25" customHeight="1" x14ac:dyDescent="0.25">
      <c r="A14762" s="3"/>
      <c r="B14762" s="3"/>
      <c r="C14762" s="3"/>
      <c r="D14762" s="3"/>
      <c r="E14762" s="3"/>
      <c r="F14762" s="3"/>
      <c r="G14762" s="3"/>
      <c r="H14762" s="11"/>
      <c r="I14762" s="12"/>
      <c r="J14762" s="3"/>
      <c r="K14762" s="3"/>
      <c r="L14762" s="3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  <c r="AA14762" s="3"/>
      <c r="AB14762" s="3"/>
      <c r="AC14762" s="3"/>
      <c r="AD14762" s="3"/>
      <c r="AE14762" s="3"/>
      <c r="AF14762" s="3"/>
      <c r="AG14762" s="3"/>
      <c r="AH14762" s="3"/>
    </row>
    <row r="14763" spans="1:34" ht="14.25" customHeight="1" x14ac:dyDescent="0.25">
      <c r="A14763" s="3"/>
      <c r="B14763" s="3"/>
      <c r="C14763" s="3"/>
      <c r="D14763" s="3"/>
      <c r="E14763" s="3"/>
      <c r="F14763" s="3"/>
      <c r="G14763" s="3"/>
      <c r="H14763" s="11"/>
      <c r="I14763" s="12"/>
      <c r="J14763" s="3"/>
      <c r="K14763" s="3"/>
      <c r="L14763" s="3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  <c r="AA14763" s="3"/>
      <c r="AB14763" s="3"/>
      <c r="AC14763" s="3"/>
      <c r="AD14763" s="3"/>
      <c r="AE14763" s="3"/>
      <c r="AF14763" s="3"/>
      <c r="AG14763" s="3"/>
      <c r="AH14763" s="3"/>
    </row>
    <row r="14764" spans="1:34" ht="14.25" customHeight="1" x14ac:dyDescent="0.25">
      <c r="A14764" s="3"/>
      <c r="B14764" s="3"/>
      <c r="C14764" s="3"/>
      <c r="D14764" s="3"/>
      <c r="E14764" s="3"/>
      <c r="F14764" s="3"/>
      <c r="G14764" s="3"/>
      <c r="H14764" s="11"/>
      <c r="I14764" s="12"/>
      <c r="J14764" s="3"/>
      <c r="K14764" s="3"/>
      <c r="L14764" s="3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  <c r="AA14764" s="3"/>
      <c r="AB14764" s="3"/>
      <c r="AC14764" s="3"/>
      <c r="AD14764" s="3"/>
      <c r="AE14764" s="3"/>
      <c r="AF14764" s="3"/>
      <c r="AG14764" s="3"/>
      <c r="AH14764" s="3"/>
    </row>
    <row r="14765" spans="1:34" ht="14.25" customHeight="1" x14ac:dyDescent="0.25">
      <c r="A14765" s="3"/>
      <c r="B14765" s="3"/>
      <c r="C14765" s="3"/>
      <c r="D14765" s="3"/>
      <c r="E14765" s="3"/>
      <c r="F14765" s="3"/>
      <c r="G14765" s="3"/>
      <c r="H14765" s="11"/>
      <c r="I14765" s="12"/>
      <c r="J14765" s="3"/>
      <c r="K14765" s="3"/>
      <c r="L14765" s="3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  <c r="AA14765" s="3"/>
      <c r="AB14765" s="3"/>
      <c r="AC14765" s="3"/>
      <c r="AD14765" s="3"/>
      <c r="AE14765" s="3"/>
      <c r="AF14765" s="3"/>
      <c r="AG14765" s="3"/>
      <c r="AH14765" s="3"/>
    </row>
    <row r="14766" spans="1:34" ht="14.25" customHeight="1" x14ac:dyDescent="0.25">
      <c r="A14766" s="3"/>
      <c r="B14766" s="3"/>
      <c r="C14766" s="3"/>
      <c r="D14766" s="3"/>
      <c r="E14766" s="3"/>
      <c r="F14766" s="3"/>
      <c r="G14766" s="3"/>
      <c r="H14766" s="11"/>
      <c r="I14766" s="12"/>
      <c r="J14766" s="3"/>
      <c r="K14766" s="3"/>
      <c r="L14766" s="3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  <c r="AA14766" s="3"/>
      <c r="AB14766" s="3"/>
      <c r="AC14766" s="3"/>
      <c r="AD14766" s="3"/>
      <c r="AE14766" s="3"/>
      <c r="AF14766" s="3"/>
      <c r="AG14766" s="3"/>
      <c r="AH14766" s="3"/>
    </row>
    <row r="14767" spans="1:34" ht="14.25" customHeight="1" x14ac:dyDescent="0.25">
      <c r="A14767" s="3"/>
      <c r="B14767" s="3"/>
      <c r="C14767" s="3"/>
      <c r="D14767" s="3"/>
      <c r="E14767" s="3"/>
      <c r="F14767" s="3"/>
      <c r="G14767" s="3"/>
      <c r="H14767" s="11"/>
      <c r="I14767" s="12"/>
      <c r="J14767" s="3"/>
      <c r="K14767" s="3"/>
      <c r="L14767" s="3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  <c r="AA14767" s="3"/>
      <c r="AB14767" s="3"/>
      <c r="AC14767" s="3"/>
      <c r="AD14767" s="3"/>
      <c r="AE14767" s="3"/>
      <c r="AF14767" s="3"/>
      <c r="AG14767" s="3"/>
      <c r="AH14767" s="3"/>
    </row>
    <row r="14768" spans="1:34" ht="14.25" customHeight="1" x14ac:dyDescent="0.25">
      <c r="A14768" s="3"/>
      <c r="B14768" s="3"/>
      <c r="C14768" s="3"/>
      <c r="D14768" s="3"/>
      <c r="E14768" s="3"/>
      <c r="F14768" s="3"/>
      <c r="G14768" s="3"/>
      <c r="H14768" s="11"/>
      <c r="I14768" s="12"/>
      <c r="J14768" s="3"/>
      <c r="K14768" s="3"/>
      <c r="L14768" s="3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  <c r="AA14768" s="3"/>
      <c r="AB14768" s="3"/>
      <c r="AC14768" s="3"/>
      <c r="AD14768" s="3"/>
      <c r="AE14768" s="3"/>
      <c r="AF14768" s="3"/>
      <c r="AG14768" s="3"/>
      <c r="AH14768" s="3"/>
    </row>
    <row r="14769" spans="1:34" ht="14.25" customHeight="1" x14ac:dyDescent="0.25">
      <c r="A14769" s="3"/>
      <c r="B14769" s="3"/>
      <c r="C14769" s="3"/>
      <c r="D14769" s="3"/>
      <c r="E14769" s="3"/>
      <c r="F14769" s="3"/>
      <c r="G14769" s="3"/>
      <c r="H14769" s="11"/>
      <c r="I14769" s="12"/>
      <c r="J14769" s="3"/>
      <c r="K14769" s="3"/>
      <c r="L14769" s="3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  <c r="AA14769" s="3"/>
      <c r="AB14769" s="3"/>
      <c r="AC14769" s="3"/>
      <c r="AD14769" s="3"/>
      <c r="AE14769" s="3"/>
      <c r="AF14769" s="3"/>
      <c r="AG14769" s="3"/>
      <c r="AH14769" s="3"/>
    </row>
    <row r="14770" spans="1:34" ht="14.25" customHeight="1" x14ac:dyDescent="0.25">
      <c r="A14770" s="3"/>
      <c r="B14770" s="3"/>
      <c r="C14770" s="3"/>
      <c r="D14770" s="3"/>
      <c r="E14770" s="3"/>
      <c r="F14770" s="3"/>
      <c r="G14770" s="3"/>
      <c r="H14770" s="11"/>
      <c r="I14770" s="12"/>
      <c r="J14770" s="3"/>
      <c r="K14770" s="3"/>
      <c r="L14770" s="3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  <c r="AA14770" s="3"/>
      <c r="AB14770" s="3"/>
      <c r="AC14770" s="3"/>
      <c r="AD14770" s="3"/>
      <c r="AE14770" s="3"/>
      <c r="AF14770" s="3"/>
      <c r="AG14770" s="3"/>
      <c r="AH14770" s="3"/>
    </row>
    <row r="14771" spans="1:34" ht="14.25" customHeight="1" x14ac:dyDescent="0.25">
      <c r="A14771" s="3"/>
      <c r="B14771" s="3"/>
      <c r="C14771" s="3"/>
      <c r="D14771" s="3"/>
      <c r="E14771" s="3"/>
      <c r="F14771" s="3"/>
      <c r="G14771" s="3"/>
      <c r="H14771" s="11"/>
      <c r="I14771" s="12"/>
      <c r="J14771" s="3"/>
      <c r="K14771" s="3"/>
      <c r="L14771" s="3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  <c r="AA14771" s="3"/>
      <c r="AB14771" s="3"/>
      <c r="AC14771" s="3"/>
      <c r="AD14771" s="3"/>
      <c r="AE14771" s="3"/>
      <c r="AF14771" s="3"/>
      <c r="AG14771" s="3"/>
      <c r="AH14771" s="3"/>
    </row>
    <row r="14772" spans="1:34" ht="14.25" customHeight="1" x14ac:dyDescent="0.25">
      <c r="A14772" s="3"/>
      <c r="B14772" s="3"/>
      <c r="C14772" s="3"/>
      <c r="D14772" s="3"/>
      <c r="E14772" s="3"/>
      <c r="F14772" s="3"/>
      <c r="G14772" s="3"/>
      <c r="H14772" s="11"/>
      <c r="I14772" s="12"/>
      <c r="J14772" s="3"/>
      <c r="K14772" s="3"/>
      <c r="L14772" s="3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  <c r="AA14772" s="3"/>
      <c r="AB14772" s="3"/>
      <c r="AC14772" s="3"/>
      <c r="AD14772" s="3"/>
      <c r="AE14772" s="3"/>
      <c r="AF14772" s="3"/>
      <c r="AG14772" s="3"/>
      <c r="AH14772" s="3"/>
    </row>
    <row r="14773" spans="1:34" ht="14.25" customHeight="1" x14ac:dyDescent="0.25">
      <c r="A14773" s="3"/>
      <c r="B14773" s="3"/>
      <c r="C14773" s="3"/>
      <c r="D14773" s="3"/>
      <c r="E14773" s="3"/>
      <c r="F14773" s="3"/>
      <c r="G14773" s="3"/>
      <c r="H14773" s="11"/>
      <c r="I14773" s="12"/>
      <c r="J14773" s="3"/>
      <c r="K14773" s="3"/>
      <c r="L14773" s="3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  <c r="AA14773" s="3"/>
      <c r="AB14773" s="3"/>
      <c r="AC14773" s="3"/>
      <c r="AD14773" s="3"/>
      <c r="AE14773" s="3"/>
      <c r="AF14773" s="3"/>
      <c r="AG14773" s="3"/>
      <c r="AH14773" s="3"/>
    </row>
    <row r="14774" spans="1:34" ht="14.25" customHeight="1" x14ac:dyDescent="0.25">
      <c r="A14774" s="3"/>
      <c r="B14774" s="3"/>
      <c r="C14774" s="3"/>
      <c r="D14774" s="3"/>
      <c r="E14774" s="3"/>
      <c r="F14774" s="3"/>
      <c r="G14774" s="3"/>
      <c r="H14774" s="11"/>
      <c r="I14774" s="12"/>
      <c r="J14774" s="3"/>
      <c r="K14774" s="3"/>
      <c r="L14774" s="3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  <c r="AA14774" s="3"/>
      <c r="AB14774" s="3"/>
      <c r="AC14774" s="3"/>
      <c r="AD14774" s="3"/>
      <c r="AE14774" s="3"/>
      <c r="AF14774" s="3"/>
      <c r="AG14774" s="3"/>
      <c r="AH14774" s="3"/>
    </row>
    <row r="14775" spans="1:34" ht="14.25" customHeight="1" x14ac:dyDescent="0.25">
      <c r="A14775" s="3"/>
      <c r="B14775" s="3"/>
      <c r="C14775" s="3"/>
      <c r="D14775" s="3"/>
      <c r="E14775" s="3"/>
      <c r="F14775" s="3"/>
      <c r="G14775" s="3"/>
      <c r="H14775" s="11"/>
      <c r="I14775" s="12"/>
      <c r="J14775" s="3"/>
      <c r="K14775" s="3"/>
      <c r="L14775" s="3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  <c r="AA14775" s="3"/>
      <c r="AB14775" s="3"/>
      <c r="AC14775" s="3"/>
      <c r="AD14775" s="3"/>
      <c r="AE14775" s="3"/>
      <c r="AF14775" s="3"/>
      <c r="AG14775" s="3"/>
      <c r="AH14775" s="3"/>
    </row>
    <row r="14776" spans="1:34" ht="14.25" customHeight="1" x14ac:dyDescent="0.25">
      <c r="A14776" s="3"/>
      <c r="B14776" s="3"/>
      <c r="C14776" s="3"/>
      <c r="D14776" s="3"/>
      <c r="E14776" s="3"/>
      <c r="F14776" s="3"/>
      <c r="G14776" s="3"/>
      <c r="H14776" s="11"/>
      <c r="I14776" s="12"/>
      <c r="J14776" s="3"/>
      <c r="K14776" s="3"/>
      <c r="L14776" s="3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  <c r="AA14776" s="3"/>
      <c r="AB14776" s="3"/>
      <c r="AC14776" s="3"/>
      <c r="AD14776" s="3"/>
      <c r="AE14776" s="3"/>
      <c r="AF14776" s="3"/>
      <c r="AG14776" s="3"/>
      <c r="AH14776" s="3"/>
    </row>
    <row r="14777" spans="1:34" ht="14.25" customHeight="1" x14ac:dyDescent="0.25">
      <c r="A14777" s="3"/>
      <c r="B14777" s="3"/>
      <c r="C14777" s="3"/>
      <c r="D14777" s="3"/>
      <c r="E14777" s="3"/>
      <c r="F14777" s="3"/>
      <c r="G14777" s="3"/>
      <c r="H14777" s="11"/>
      <c r="I14777" s="12"/>
      <c r="J14777" s="3"/>
      <c r="K14777" s="3"/>
      <c r="L14777" s="3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  <c r="AA14777" s="3"/>
      <c r="AB14777" s="3"/>
      <c r="AC14777" s="3"/>
      <c r="AD14777" s="3"/>
      <c r="AE14777" s="3"/>
      <c r="AF14777" s="3"/>
      <c r="AG14777" s="3"/>
      <c r="AH14777" s="3"/>
    </row>
    <row r="14778" spans="1:34" ht="14.25" customHeight="1" x14ac:dyDescent="0.25">
      <c r="A14778" s="3"/>
      <c r="B14778" s="3"/>
      <c r="C14778" s="3"/>
      <c r="D14778" s="3"/>
      <c r="E14778" s="3"/>
      <c r="F14778" s="3"/>
      <c r="G14778" s="3"/>
      <c r="H14778" s="11"/>
      <c r="I14778" s="12"/>
      <c r="J14778" s="3"/>
      <c r="K14778" s="3"/>
      <c r="L14778" s="3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  <c r="AA14778" s="3"/>
      <c r="AB14778" s="3"/>
      <c r="AC14778" s="3"/>
      <c r="AD14778" s="3"/>
      <c r="AE14778" s="3"/>
      <c r="AF14778" s="3"/>
      <c r="AG14778" s="3"/>
      <c r="AH14778" s="3"/>
    </row>
    <row r="14779" spans="1:34" ht="14.25" customHeight="1" x14ac:dyDescent="0.25">
      <c r="A14779" s="3"/>
      <c r="B14779" s="3"/>
      <c r="C14779" s="3"/>
      <c r="D14779" s="3"/>
      <c r="E14779" s="3"/>
      <c r="F14779" s="3"/>
      <c r="G14779" s="3"/>
      <c r="H14779" s="11"/>
      <c r="I14779" s="12"/>
      <c r="J14779" s="3"/>
      <c r="K14779" s="3"/>
      <c r="L14779" s="3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  <c r="AA14779" s="3"/>
      <c r="AB14779" s="3"/>
      <c r="AC14779" s="3"/>
      <c r="AD14779" s="3"/>
      <c r="AE14779" s="3"/>
      <c r="AF14779" s="3"/>
      <c r="AG14779" s="3"/>
      <c r="AH14779" s="3"/>
    </row>
    <row r="14780" spans="1:34" ht="14.25" customHeight="1" x14ac:dyDescent="0.25">
      <c r="A14780" s="3"/>
      <c r="B14780" s="3"/>
      <c r="C14780" s="3"/>
      <c r="D14780" s="3"/>
      <c r="E14780" s="3"/>
      <c r="F14780" s="3"/>
      <c r="G14780" s="3"/>
      <c r="H14780" s="11"/>
      <c r="I14780" s="12"/>
      <c r="J14780" s="3"/>
      <c r="K14780" s="3"/>
      <c r="L14780" s="3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  <c r="AA14780" s="3"/>
      <c r="AB14780" s="3"/>
      <c r="AC14780" s="3"/>
      <c r="AD14780" s="3"/>
      <c r="AE14780" s="3"/>
      <c r="AF14780" s="3"/>
      <c r="AG14780" s="3"/>
      <c r="AH14780" s="3"/>
    </row>
    <row r="14781" spans="1:34" ht="14.25" customHeight="1" x14ac:dyDescent="0.25">
      <c r="A14781" s="3"/>
      <c r="B14781" s="3"/>
      <c r="C14781" s="3"/>
      <c r="D14781" s="3"/>
      <c r="E14781" s="3"/>
      <c r="F14781" s="3"/>
      <c r="G14781" s="3"/>
      <c r="H14781" s="11"/>
      <c r="I14781" s="12"/>
      <c r="J14781" s="3"/>
      <c r="K14781" s="3"/>
      <c r="L14781" s="3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  <c r="AA14781" s="3"/>
      <c r="AB14781" s="3"/>
      <c r="AC14781" s="3"/>
      <c r="AD14781" s="3"/>
      <c r="AE14781" s="3"/>
      <c r="AF14781" s="3"/>
      <c r="AG14781" s="3"/>
      <c r="AH14781" s="3"/>
    </row>
    <row r="14782" spans="1:34" ht="14.25" customHeight="1" x14ac:dyDescent="0.25">
      <c r="A14782" s="3"/>
      <c r="B14782" s="3"/>
      <c r="C14782" s="3"/>
      <c r="D14782" s="3"/>
      <c r="E14782" s="3"/>
      <c r="F14782" s="3"/>
      <c r="G14782" s="3"/>
      <c r="H14782" s="11"/>
      <c r="I14782" s="12"/>
      <c r="J14782" s="3"/>
      <c r="K14782" s="3"/>
      <c r="L14782" s="3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  <c r="AA14782" s="3"/>
      <c r="AB14782" s="3"/>
      <c r="AC14782" s="3"/>
      <c r="AD14782" s="3"/>
      <c r="AE14782" s="3"/>
      <c r="AF14782" s="3"/>
      <c r="AG14782" s="3"/>
      <c r="AH14782" s="3"/>
    </row>
    <row r="14783" spans="1:34" ht="14.25" customHeight="1" x14ac:dyDescent="0.25">
      <c r="A14783" s="3"/>
      <c r="B14783" s="3"/>
      <c r="C14783" s="3"/>
      <c r="D14783" s="3"/>
      <c r="E14783" s="3"/>
      <c r="F14783" s="3"/>
      <c r="G14783" s="3"/>
      <c r="H14783" s="11"/>
      <c r="I14783" s="12"/>
      <c r="J14783" s="3"/>
      <c r="K14783" s="3"/>
      <c r="L14783" s="3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  <c r="AA14783" s="3"/>
      <c r="AB14783" s="3"/>
      <c r="AC14783" s="3"/>
      <c r="AD14783" s="3"/>
      <c r="AE14783" s="3"/>
      <c r="AF14783" s="3"/>
      <c r="AG14783" s="3"/>
      <c r="AH14783" s="3"/>
    </row>
    <row r="14784" spans="1:34" ht="14.25" customHeight="1" x14ac:dyDescent="0.25">
      <c r="A14784" s="3"/>
      <c r="B14784" s="3"/>
      <c r="C14784" s="3"/>
      <c r="D14784" s="3"/>
      <c r="E14784" s="3"/>
      <c r="F14784" s="3"/>
      <c r="G14784" s="3"/>
      <c r="H14784" s="11"/>
      <c r="I14784" s="12"/>
      <c r="J14784" s="3"/>
      <c r="K14784" s="3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  <c r="AA14784" s="3"/>
      <c r="AB14784" s="3"/>
      <c r="AC14784" s="3"/>
      <c r="AD14784" s="3"/>
      <c r="AE14784" s="3"/>
      <c r="AF14784" s="3"/>
      <c r="AG14784" s="3"/>
      <c r="AH14784" s="3"/>
    </row>
    <row r="14785" spans="1:34" ht="14.25" customHeight="1" x14ac:dyDescent="0.25">
      <c r="A14785" s="3"/>
      <c r="B14785" s="3"/>
      <c r="C14785" s="3"/>
      <c r="D14785" s="3"/>
      <c r="E14785" s="3"/>
      <c r="F14785" s="3"/>
      <c r="G14785" s="3"/>
      <c r="H14785" s="11"/>
      <c r="I14785" s="12"/>
      <c r="J14785" s="3"/>
      <c r="K14785" s="3"/>
      <c r="L14785" s="3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  <c r="AA14785" s="3"/>
      <c r="AB14785" s="3"/>
      <c r="AC14785" s="3"/>
      <c r="AD14785" s="3"/>
      <c r="AE14785" s="3"/>
      <c r="AF14785" s="3"/>
      <c r="AG14785" s="3"/>
      <c r="AH14785" s="3"/>
    </row>
    <row r="14786" spans="1:34" ht="14.25" customHeight="1" x14ac:dyDescent="0.25">
      <c r="A14786" s="3"/>
      <c r="B14786" s="3"/>
      <c r="C14786" s="3"/>
      <c r="D14786" s="3"/>
      <c r="E14786" s="3"/>
      <c r="F14786" s="3"/>
      <c r="G14786" s="3"/>
      <c r="H14786" s="11"/>
      <c r="I14786" s="12"/>
      <c r="J14786" s="3"/>
      <c r="K14786" s="3"/>
      <c r="L14786" s="3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  <c r="AA14786" s="3"/>
      <c r="AB14786" s="3"/>
      <c r="AC14786" s="3"/>
      <c r="AD14786" s="3"/>
      <c r="AE14786" s="3"/>
      <c r="AF14786" s="3"/>
      <c r="AG14786" s="3"/>
      <c r="AH14786" s="3"/>
    </row>
    <row r="14787" spans="1:34" ht="14.25" customHeight="1" x14ac:dyDescent="0.25">
      <c r="A14787" s="3"/>
      <c r="B14787" s="3"/>
      <c r="C14787" s="3"/>
      <c r="D14787" s="3"/>
      <c r="E14787" s="3"/>
      <c r="F14787" s="3"/>
      <c r="G14787" s="3"/>
      <c r="H14787" s="11"/>
      <c r="I14787" s="12"/>
      <c r="J14787" s="3"/>
      <c r="K14787" s="3"/>
      <c r="L14787" s="3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  <c r="AA14787" s="3"/>
      <c r="AB14787" s="3"/>
      <c r="AC14787" s="3"/>
      <c r="AD14787" s="3"/>
      <c r="AE14787" s="3"/>
      <c r="AF14787" s="3"/>
      <c r="AG14787" s="3"/>
      <c r="AH14787" s="3"/>
    </row>
    <row r="14788" spans="1:34" ht="14.25" customHeight="1" x14ac:dyDescent="0.25">
      <c r="A14788" s="3"/>
      <c r="B14788" s="3"/>
      <c r="C14788" s="3"/>
      <c r="D14788" s="3"/>
      <c r="E14788" s="3"/>
      <c r="F14788" s="3"/>
      <c r="G14788" s="3"/>
      <c r="H14788" s="11"/>
      <c r="I14788" s="12"/>
      <c r="J14788" s="3"/>
      <c r="K14788" s="3"/>
      <c r="L14788" s="3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  <c r="AA14788" s="3"/>
      <c r="AB14788" s="3"/>
      <c r="AC14788" s="3"/>
      <c r="AD14788" s="3"/>
      <c r="AE14788" s="3"/>
      <c r="AF14788" s="3"/>
      <c r="AG14788" s="3"/>
      <c r="AH14788" s="3"/>
    </row>
    <row r="14789" spans="1:34" ht="14.25" customHeight="1" x14ac:dyDescent="0.25">
      <c r="A14789" s="3"/>
      <c r="B14789" s="3"/>
      <c r="C14789" s="3"/>
      <c r="D14789" s="3"/>
      <c r="E14789" s="3"/>
      <c r="F14789" s="3"/>
      <c r="G14789" s="3"/>
      <c r="H14789" s="11"/>
      <c r="I14789" s="12"/>
      <c r="J14789" s="3"/>
      <c r="K14789" s="3"/>
      <c r="L14789" s="3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  <c r="AA14789" s="3"/>
      <c r="AB14789" s="3"/>
      <c r="AC14789" s="3"/>
      <c r="AD14789" s="3"/>
      <c r="AE14789" s="3"/>
      <c r="AF14789" s="3"/>
      <c r="AG14789" s="3"/>
      <c r="AH14789" s="3"/>
    </row>
    <row r="14790" spans="1:34" ht="14.25" customHeight="1" x14ac:dyDescent="0.25">
      <c r="A14790" s="3"/>
      <c r="B14790" s="3"/>
      <c r="C14790" s="3"/>
      <c r="D14790" s="3"/>
      <c r="E14790" s="3"/>
      <c r="F14790" s="3"/>
      <c r="G14790" s="3"/>
      <c r="H14790" s="11"/>
      <c r="I14790" s="12"/>
      <c r="J14790" s="3"/>
      <c r="K14790" s="3"/>
      <c r="L14790" s="3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  <c r="AA14790" s="3"/>
      <c r="AB14790" s="3"/>
      <c r="AC14790" s="3"/>
      <c r="AD14790" s="3"/>
      <c r="AE14790" s="3"/>
      <c r="AF14790" s="3"/>
      <c r="AG14790" s="3"/>
      <c r="AH14790" s="3"/>
    </row>
    <row r="14791" spans="1:34" ht="14.25" customHeight="1" x14ac:dyDescent="0.25">
      <c r="A14791" s="3"/>
      <c r="B14791" s="3"/>
      <c r="C14791" s="3"/>
      <c r="D14791" s="3"/>
      <c r="E14791" s="3"/>
      <c r="F14791" s="3"/>
      <c r="G14791" s="3"/>
      <c r="H14791" s="11"/>
      <c r="I14791" s="12"/>
      <c r="J14791" s="3"/>
      <c r="K14791" s="3"/>
      <c r="L14791" s="3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  <c r="AA14791" s="3"/>
      <c r="AB14791" s="3"/>
      <c r="AC14791" s="3"/>
      <c r="AD14791" s="3"/>
      <c r="AE14791" s="3"/>
      <c r="AF14791" s="3"/>
      <c r="AG14791" s="3"/>
      <c r="AH14791" s="3"/>
    </row>
    <row r="14792" spans="1:34" ht="14.25" customHeight="1" x14ac:dyDescent="0.25">
      <c r="A14792" s="3"/>
      <c r="B14792" s="3"/>
      <c r="C14792" s="3"/>
      <c r="D14792" s="3"/>
      <c r="E14792" s="3"/>
      <c r="F14792" s="3"/>
      <c r="G14792" s="3"/>
      <c r="H14792" s="11"/>
      <c r="I14792" s="12"/>
      <c r="J14792" s="3"/>
      <c r="K14792" s="3"/>
      <c r="L14792" s="3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  <c r="AA14792" s="3"/>
      <c r="AB14792" s="3"/>
      <c r="AC14792" s="3"/>
      <c r="AD14792" s="3"/>
      <c r="AE14792" s="3"/>
      <c r="AF14792" s="3"/>
      <c r="AG14792" s="3"/>
      <c r="AH14792" s="3"/>
    </row>
    <row r="14793" spans="1:34" ht="14.25" customHeight="1" x14ac:dyDescent="0.25">
      <c r="A14793" s="3"/>
      <c r="B14793" s="3"/>
      <c r="C14793" s="3"/>
      <c r="D14793" s="3"/>
      <c r="E14793" s="3"/>
      <c r="F14793" s="3"/>
      <c r="G14793" s="3"/>
      <c r="H14793" s="11"/>
      <c r="I14793" s="12"/>
      <c r="J14793" s="3"/>
      <c r="K14793" s="3"/>
      <c r="L14793" s="3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  <c r="AA14793" s="3"/>
      <c r="AB14793" s="3"/>
      <c r="AC14793" s="3"/>
      <c r="AD14793" s="3"/>
      <c r="AE14793" s="3"/>
      <c r="AF14793" s="3"/>
      <c r="AG14793" s="3"/>
      <c r="AH14793" s="3"/>
    </row>
    <row r="14794" spans="1:34" ht="14.25" customHeight="1" x14ac:dyDescent="0.25">
      <c r="A14794" s="3"/>
      <c r="B14794" s="3"/>
      <c r="C14794" s="3"/>
      <c r="D14794" s="3"/>
      <c r="E14794" s="3"/>
      <c r="F14794" s="3"/>
      <c r="G14794" s="3"/>
      <c r="H14794" s="11"/>
      <c r="I14794" s="12"/>
      <c r="J14794" s="3"/>
      <c r="K14794" s="3"/>
      <c r="L14794" s="3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  <c r="AA14794" s="3"/>
      <c r="AB14794" s="3"/>
      <c r="AC14794" s="3"/>
      <c r="AD14794" s="3"/>
      <c r="AE14794" s="3"/>
      <c r="AF14794" s="3"/>
      <c r="AG14794" s="3"/>
      <c r="AH14794" s="3"/>
    </row>
    <row r="14795" spans="1:34" ht="14.25" customHeight="1" x14ac:dyDescent="0.25">
      <c r="A14795" s="3"/>
      <c r="B14795" s="3"/>
      <c r="C14795" s="3"/>
      <c r="D14795" s="3"/>
      <c r="E14795" s="3"/>
      <c r="F14795" s="3"/>
      <c r="G14795" s="3"/>
      <c r="H14795" s="11"/>
      <c r="I14795" s="12"/>
      <c r="J14795" s="3"/>
      <c r="K14795" s="3"/>
      <c r="L14795" s="3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  <c r="AA14795" s="3"/>
      <c r="AB14795" s="3"/>
      <c r="AC14795" s="3"/>
      <c r="AD14795" s="3"/>
      <c r="AE14795" s="3"/>
      <c r="AF14795" s="3"/>
      <c r="AG14795" s="3"/>
      <c r="AH14795" s="3"/>
    </row>
    <row r="14796" spans="1:34" ht="14.25" customHeight="1" x14ac:dyDescent="0.25">
      <c r="A14796" s="3"/>
      <c r="B14796" s="3"/>
      <c r="C14796" s="3"/>
      <c r="D14796" s="3"/>
      <c r="E14796" s="3"/>
      <c r="F14796" s="3"/>
      <c r="G14796" s="3"/>
      <c r="H14796" s="11"/>
      <c r="I14796" s="12"/>
      <c r="J14796" s="3"/>
      <c r="K14796" s="3"/>
      <c r="L14796" s="3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  <c r="AA14796" s="3"/>
      <c r="AB14796" s="3"/>
      <c r="AC14796" s="3"/>
      <c r="AD14796" s="3"/>
      <c r="AE14796" s="3"/>
      <c r="AF14796" s="3"/>
      <c r="AG14796" s="3"/>
      <c r="AH14796" s="3"/>
    </row>
    <row r="14797" spans="1:34" ht="14.25" customHeight="1" x14ac:dyDescent="0.25">
      <c r="A14797" s="3"/>
      <c r="B14797" s="3"/>
      <c r="C14797" s="3"/>
      <c r="D14797" s="3"/>
      <c r="E14797" s="3"/>
      <c r="F14797" s="3"/>
      <c r="G14797" s="3"/>
      <c r="H14797" s="11"/>
      <c r="I14797" s="12"/>
      <c r="J14797" s="3"/>
      <c r="K14797" s="3"/>
      <c r="L14797" s="3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  <c r="AA14797" s="3"/>
      <c r="AB14797" s="3"/>
      <c r="AC14797" s="3"/>
      <c r="AD14797" s="3"/>
      <c r="AE14797" s="3"/>
      <c r="AF14797" s="3"/>
      <c r="AG14797" s="3"/>
      <c r="AH14797" s="3"/>
    </row>
    <row r="14798" spans="1:34" ht="14.25" customHeight="1" x14ac:dyDescent="0.25">
      <c r="A14798" s="3"/>
      <c r="B14798" s="3"/>
      <c r="C14798" s="3"/>
      <c r="D14798" s="3"/>
      <c r="E14798" s="3"/>
      <c r="F14798" s="3"/>
      <c r="G14798" s="3"/>
      <c r="H14798" s="11"/>
      <c r="I14798" s="12"/>
      <c r="J14798" s="3"/>
      <c r="K14798" s="3"/>
      <c r="L14798" s="3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  <c r="AA14798" s="3"/>
      <c r="AB14798" s="3"/>
      <c r="AC14798" s="3"/>
      <c r="AD14798" s="3"/>
      <c r="AE14798" s="3"/>
      <c r="AF14798" s="3"/>
      <c r="AG14798" s="3"/>
      <c r="AH14798" s="3"/>
    </row>
    <row r="14799" spans="1:34" ht="14.25" customHeight="1" x14ac:dyDescent="0.25">
      <c r="A14799" s="3"/>
      <c r="B14799" s="3"/>
      <c r="C14799" s="3"/>
      <c r="D14799" s="3"/>
      <c r="E14799" s="3"/>
      <c r="F14799" s="3"/>
      <c r="G14799" s="3"/>
      <c r="H14799" s="11"/>
      <c r="I14799" s="12"/>
      <c r="J14799" s="3"/>
      <c r="K14799" s="3"/>
      <c r="L14799" s="3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  <c r="AA14799" s="3"/>
      <c r="AB14799" s="3"/>
      <c r="AC14799" s="3"/>
      <c r="AD14799" s="3"/>
      <c r="AE14799" s="3"/>
      <c r="AF14799" s="3"/>
      <c r="AG14799" s="3"/>
      <c r="AH14799" s="3"/>
    </row>
    <row r="14800" spans="1:34" ht="14.25" customHeight="1" x14ac:dyDescent="0.25">
      <c r="A14800" s="3"/>
      <c r="B14800" s="3"/>
      <c r="C14800" s="3"/>
      <c r="D14800" s="3"/>
      <c r="E14800" s="3"/>
      <c r="F14800" s="3"/>
      <c r="G14800" s="3"/>
      <c r="H14800" s="11"/>
      <c r="I14800" s="12"/>
      <c r="J14800" s="3"/>
      <c r="K14800" s="3"/>
      <c r="L14800" s="3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  <c r="AA14800" s="3"/>
      <c r="AB14800" s="3"/>
      <c r="AC14800" s="3"/>
      <c r="AD14800" s="3"/>
      <c r="AE14800" s="3"/>
      <c r="AF14800" s="3"/>
      <c r="AG14800" s="3"/>
      <c r="AH14800" s="3"/>
    </row>
    <row r="14801" spans="1:34" ht="14.25" customHeight="1" x14ac:dyDescent="0.25">
      <c r="A14801" s="3"/>
      <c r="B14801" s="3"/>
      <c r="C14801" s="3"/>
      <c r="D14801" s="3"/>
      <c r="E14801" s="3"/>
      <c r="F14801" s="3"/>
      <c r="G14801" s="3"/>
      <c r="H14801" s="11"/>
      <c r="I14801" s="12"/>
      <c r="J14801" s="3"/>
      <c r="K14801" s="3"/>
      <c r="L14801" s="3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  <c r="AA14801" s="3"/>
      <c r="AB14801" s="3"/>
      <c r="AC14801" s="3"/>
      <c r="AD14801" s="3"/>
      <c r="AE14801" s="3"/>
      <c r="AF14801" s="3"/>
      <c r="AG14801" s="3"/>
      <c r="AH14801" s="3"/>
    </row>
    <row r="14802" spans="1:34" ht="14.25" customHeight="1" x14ac:dyDescent="0.25">
      <c r="A14802" s="3"/>
      <c r="B14802" s="3"/>
      <c r="C14802" s="3"/>
      <c r="D14802" s="3"/>
      <c r="E14802" s="3"/>
      <c r="F14802" s="3"/>
      <c r="G14802" s="3"/>
      <c r="H14802" s="11"/>
      <c r="I14802" s="12"/>
      <c r="J14802" s="3"/>
      <c r="K14802" s="3"/>
      <c r="L14802" s="3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  <c r="AA14802" s="3"/>
      <c r="AB14802" s="3"/>
      <c r="AC14802" s="3"/>
      <c r="AD14802" s="3"/>
      <c r="AE14802" s="3"/>
      <c r="AF14802" s="3"/>
      <c r="AG14802" s="3"/>
      <c r="AH14802" s="3"/>
    </row>
    <row r="14803" spans="1:34" ht="14.25" customHeight="1" x14ac:dyDescent="0.25">
      <c r="A14803" s="3"/>
      <c r="B14803" s="3"/>
      <c r="C14803" s="3"/>
      <c r="D14803" s="3"/>
      <c r="E14803" s="3"/>
      <c r="F14803" s="3"/>
      <c r="G14803" s="3"/>
      <c r="H14803" s="11"/>
      <c r="I14803" s="12"/>
      <c r="J14803" s="3"/>
      <c r="K14803" s="3"/>
      <c r="L14803" s="3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  <c r="AA14803" s="3"/>
      <c r="AB14803" s="3"/>
      <c r="AC14803" s="3"/>
      <c r="AD14803" s="3"/>
      <c r="AE14803" s="3"/>
      <c r="AF14803" s="3"/>
      <c r="AG14803" s="3"/>
      <c r="AH14803" s="3"/>
    </row>
    <row r="14804" spans="1:34" ht="14.25" customHeight="1" x14ac:dyDescent="0.25">
      <c r="A14804" s="3"/>
      <c r="B14804" s="3"/>
      <c r="C14804" s="3"/>
      <c r="D14804" s="3"/>
      <c r="E14804" s="3"/>
      <c r="F14804" s="3"/>
      <c r="G14804" s="3"/>
      <c r="H14804" s="11"/>
      <c r="I14804" s="12"/>
      <c r="J14804" s="3"/>
      <c r="K14804" s="3"/>
      <c r="L14804" s="3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  <c r="AA14804" s="3"/>
      <c r="AB14804" s="3"/>
      <c r="AC14804" s="3"/>
      <c r="AD14804" s="3"/>
      <c r="AE14804" s="3"/>
      <c r="AF14804" s="3"/>
      <c r="AG14804" s="3"/>
      <c r="AH14804" s="3"/>
    </row>
    <row r="14805" spans="1:34" ht="14.25" customHeight="1" x14ac:dyDescent="0.25">
      <c r="A14805" s="3"/>
      <c r="B14805" s="3"/>
      <c r="C14805" s="3"/>
      <c r="D14805" s="3"/>
      <c r="E14805" s="3"/>
      <c r="F14805" s="3"/>
      <c r="G14805" s="3"/>
      <c r="H14805" s="11"/>
      <c r="I14805" s="12"/>
      <c r="J14805" s="3"/>
      <c r="K14805" s="3"/>
      <c r="L14805" s="3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  <c r="AA14805" s="3"/>
      <c r="AB14805" s="3"/>
      <c r="AC14805" s="3"/>
      <c r="AD14805" s="3"/>
      <c r="AE14805" s="3"/>
      <c r="AF14805" s="3"/>
      <c r="AG14805" s="3"/>
      <c r="AH14805" s="3"/>
    </row>
    <row r="14806" spans="1:34" ht="14.25" customHeight="1" x14ac:dyDescent="0.25">
      <c r="A14806" s="3"/>
      <c r="B14806" s="3"/>
      <c r="C14806" s="3"/>
      <c r="D14806" s="3"/>
      <c r="E14806" s="3"/>
      <c r="F14806" s="3"/>
      <c r="G14806" s="3"/>
      <c r="H14806" s="11"/>
      <c r="I14806" s="12"/>
      <c r="J14806" s="3"/>
      <c r="K14806" s="3"/>
      <c r="L14806" s="3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  <c r="AA14806" s="3"/>
      <c r="AB14806" s="3"/>
      <c r="AC14806" s="3"/>
      <c r="AD14806" s="3"/>
      <c r="AE14806" s="3"/>
      <c r="AF14806" s="3"/>
      <c r="AG14806" s="3"/>
      <c r="AH14806" s="3"/>
    </row>
    <row r="14807" spans="1:34" ht="14.25" customHeight="1" x14ac:dyDescent="0.25">
      <c r="A14807" s="3"/>
      <c r="B14807" s="3"/>
      <c r="C14807" s="3"/>
      <c r="D14807" s="3"/>
      <c r="E14807" s="3"/>
      <c r="F14807" s="3"/>
      <c r="G14807" s="3"/>
      <c r="H14807" s="11"/>
      <c r="I14807" s="12"/>
      <c r="J14807" s="3"/>
      <c r="K14807" s="3"/>
      <c r="L14807" s="3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  <c r="AA14807" s="3"/>
      <c r="AB14807" s="3"/>
      <c r="AC14807" s="3"/>
      <c r="AD14807" s="3"/>
      <c r="AE14807" s="3"/>
      <c r="AF14807" s="3"/>
      <c r="AG14807" s="3"/>
      <c r="AH14807" s="3"/>
    </row>
    <row r="14808" spans="1:34" ht="14.25" customHeight="1" x14ac:dyDescent="0.25">
      <c r="A14808" s="3"/>
      <c r="B14808" s="3"/>
      <c r="C14808" s="3"/>
      <c r="D14808" s="3"/>
      <c r="E14808" s="3"/>
      <c r="F14808" s="3"/>
      <c r="G14808" s="3"/>
      <c r="H14808" s="11"/>
      <c r="I14808" s="12"/>
      <c r="J14808" s="3"/>
      <c r="K14808" s="3"/>
      <c r="L14808" s="3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  <c r="AA14808" s="3"/>
      <c r="AB14808" s="3"/>
      <c r="AC14808" s="3"/>
      <c r="AD14808" s="3"/>
      <c r="AE14808" s="3"/>
      <c r="AF14808" s="3"/>
      <c r="AG14808" s="3"/>
      <c r="AH14808" s="3"/>
    </row>
    <row r="14809" spans="1:34" ht="14.25" customHeight="1" x14ac:dyDescent="0.25">
      <c r="A14809" s="3"/>
      <c r="B14809" s="3"/>
      <c r="C14809" s="3"/>
      <c r="D14809" s="3"/>
      <c r="E14809" s="3"/>
      <c r="F14809" s="3"/>
      <c r="G14809" s="3"/>
      <c r="H14809" s="11"/>
      <c r="I14809" s="12"/>
      <c r="J14809" s="3"/>
      <c r="K14809" s="3"/>
      <c r="L14809" s="3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  <c r="AA14809" s="3"/>
      <c r="AB14809" s="3"/>
      <c r="AC14809" s="3"/>
      <c r="AD14809" s="3"/>
      <c r="AE14809" s="3"/>
      <c r="AF14809" s="3"/>
      <c r="AG14809" s="3"/>
      <c r="AH14809" s="3"/>
    </row>
    <row r="14810" spans="1:34" ht="14.25" customHeight="1" x14ac:dyDescent="0.25">
      <c r="A14810" s="3"/>
      <c r="B14810" s="3"/>
      <c r="C14810" s="3"/>
      <c r="D14810" s="3"/>
      <c r="E14810" s="3"/>
      <c r="F14810" s="3"/>
      <c r="G14810" s="3"/>
      <c r="H14810" s="11"/>
      <c r="I14810" s="12"/>
      <c r="J14810" s="3"/>
      <c r="K14810" s="3"/>
      <c r="L14810" s="3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  <c r="AA14810" s="3"/>
      <c r="AB14810" s="3"/>
      <c r="AC14810" s="3"/>
      <c r="AD14810" s="3"/>
      <c r="AE14810" s="3"/>
      <c r="AF14810" s="3"/>
      <c r="AG14810" s="3"/>
      <c r="AH14810" s="3"/>
    </row>
    <row r="14811" spans="1:34" ht="14.25" customHeight="1" x14ac:dyDescent="0.25">
      <c r="A14811" s="3"/>
      <c r="B14811" s="3"/>
      <c r="C14811" s="3"/>
      <c r="D14811" s="3"/>
      <c r="E14811" s="3"/>
      <c r="F14811" s="3"/>
      <c r="G14811" s="3"/>
      <c r="H14811" s="11"/>
      <c r="I14811" s="12"/>
      <c r="J14811" s="3"/>
      <c r="K14811" s="3"/>
      <c r="L14811" s="3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  <c r="AA14811" s="3"/>
      <c r="AB14811" s="3"/>
      <c r="AC14811" s="3"/>
      <c r="AD14811" s="3"/>
      <c r="AE14811" s="3"/>
      <c r="AF14811" s="3"/>
      <c r="AG14811" s="3"/>
      <c r="AH14811" s="3"/>
    </row>
    <row r="14812" spans="1:34" ht="14.25" customHeight="1" x14ac:dyDescent="0.25">
      <c r="A14812" s="3"/>
      <c r="B14812" s="3"/>
      <c r="C14812" s="3"/>
      <c r="D14812" s="3"/>
      <c r="E14812" s="3"/>
      <c r="F14812" s="3"/>
      <c r="G14812" s="3"/>
      <c r="H14812" s="11"/>
      <c r="I14812" s="12"/>
      <c r="J14812" s="3"/>
      <c r="K14812" s="3"/>
      <c r="L14812" s="3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  <c r="AA14812" s="3"/>
      <c r="AB14812" s="3"/>
      <c r="AC14812" s="3"/>
      <c r="AD14812" s="3"/>
      <c r="AE14812" s="3"/>
      <c r="AF14812" s="3"/>
      <c r="AG14812" s="3"/>
      <c r="AH14812" s="3"/>
    </row>
    <row r="14813" spans="1:34" ht="14.25" customHeight="1" x14ac:dyDescent="0.25">
      <c r="A14813" s="3"/>
      <c r="B14813" s="3"/>
      <c r="C14813" s="3"/>
      <c r="D14813" s="3"/>
      <c r="E14813" s="3"/>
      <c r="F14813" s="3"/>
      <c r="G14813" s="3"/>
      <c r="H14813" s="11"/>
      <c r="I14813" s="12"/>
      <c r="J14813" s="3"/>
      <c r="K14813" s="3"/>
      <c r="L14813" s="3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  <c r="AA14813" s="3"/>
      <c r="AB14813" s="3"/>
      <c r="AC14813" s="3"/>
      <c r="AD14813" s="3"/>
      <c r="AE14813" s="3"/>
      <c r="AF14813" s="3"/>
      <c r="AG14813" s="3"/>
      <c r="AH14813" s="3"/>
    </row>
    <row r="14814" spans="1:34" ht="14.25" customHeight="1" x14ac:dyDescent="0.25">
      <c r="A14814" s="3"/>
      <c r="B14814" s="3"/>
      <c r="C14814" s="3"/>
      <c r="D14814" s="3"/>
      <c r="E14814" s="3"/>
      <c r="F14814" s="3"/>
      <c r="G14814" s="3"/>
      <c r="H14814" s="11"/>
      <c r="I14814" s="12"/>
      <c r="J14814" s="3"/>
      <c r="K14814" s="3"/>
      <c r="L14814" s="3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  <c r="AA14814" s="3"/>
      <c r="AB14814" s="3"/>
      <c r="AC14814" s="3"/>
      <c r="AD14814" s="3"/>
      <c r="AE14814" s="3"/>
      <c r="AF14814" s="3"/>
      <c r="AG14814" s="3"/>
      <c r="AH14814" s="3"/>
    </row>
    <row r="14815" spans="1:34" ht="14.25" customHeight="1" x14ac:dyDescent="0.25">
      <c r="A14815" s="3"/>
      <c r="B14815" s="3"/>
      <c r="C14815" s="3"/>
      <c r="D14815" s="3"/>
      <c r="E14815" s="3"/>
      <c r="F14815" s="3"/>
      <c r="G14815" s="3"/>
      <c r="H14815" s="11"/>
      <c r="I14815" s="12"/>
      <c r="J14815" s="3"/>
      <c r="K14815" s="3"/>
      <c r="L14815" s="3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  <c r="AA14815" s="3"/>
      <c r="AB14815" s="3"/>
      <c r="AC14815" s="3"/>
      <c r="AD14815" s="3"/>
      <c r="AE14815" s="3"/>
      <c r="AF14815" s="3"/>
      <c r="AG14815" s="3"/>
      <c r="AH14815" s="3"/>
    </row>
    <row r="14816" spans="1:34" ht="14.25" customHeight="1" x14ac:dyDescent="0.25">
      <c r="A14816" s="3"/>
      <c r="B14816" s="3"/>
      <c r="C14816" s="3"/>
      <c r="D14816" s="3"/>
      <c r="E14816" s="3"/>
      <c r="F14816" s="3"/>
      <c r="G14816" s="3"/>
      <c r="H14816" s="11"/>
      <c r="I14816" s="12"/>
      <c r="J14816" s="3"/>
      <c r="K14816" s="3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  <c r="AA14816" s="3"/>
      <c r="AB14816" s="3"/>
      <c r="AC14816" s="3"/>
      <c r="AD14816" s="3"/>
      <c r="AE14816" s="3"/>
      <c r="AF14816" s="3"/>
      <c r="AG14816" s="3"/>
      <c r="AH14816" s="3"/>
    </row>
    <row r="14817" spans="1:34" ht="14.25" customHeight="1" x14ac:dyDescent="0.25">
      <c r="A14817" s="3"/>
      <c r="B14817" s="3"/>
      <c r="C14817" s="3"/>
      <c r="D14817" s="3"/>
      <c r="E14817" s="3"/>
      <c r="F14817" s="3"/>
      <c r="G14817" s="3"/>
      <c r="H14817" s="11"/>
      <c r="I14817" s="12"/>
      <c r="J14817" s="3"/>
      <c r="K14817" s="3"/>
      <c r="L14817" s="3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  <c r="AA14817" s="3"/>
      <c r="AB14817" s="3"/>
      <c r="AC14817" s="3"/>
      <c r="AD14817" s="3"/>
      <c r="AE14817" s="3"/>
      <c r="AF14817" s="3"/>
      <c r="AG14817" s="3"/>
      <c r="AH14817" s="3"/>
    </row>
    <row r="14818" spans="1:34" ht="14.25" customHeight="1" x14ac:dyDescent="0.25">
      <c r="A14818" s="3"/>
      <c r="B14818" s="3"/>
      <c r="C14818" s="3"/>
      <c r="D14818" s="3"/>
      <c r="E14818" s="3"/>
      <c r="F14818" s="3"/>
      <c r="G14818" s="3"/>
      <c r="H14818" s="11"/>
      <c r="I14818" s="12"/>
      <c r="J14818" s="3"/>
      <c r="K14818" s="3"/>
      <c r="L14818" s="3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  <c r="AA14818" s="3"/>
      <c r="AB14818" s="3"/>
      <c r="AC14818" s="3"/>
      <c r="AD14818" s="3"/>
      <c r="AE14818" s="3"/>
      <c r="AF14818" s="3"/>
      <c r="AG14818" s="3"/>
      <c r="AH14818" s="3"/>
    </row>
    <row r="14819" spans="1:34" ht="14.25" customHeight="1" x14ac:dyDescent="0.25">
      <c r="A14819" s="3"/>
      <c r="B14819" s="3"/>
      <c r="C14819" s="3"/>
      <c r="D14819" s="3"/>
      <c r="E14819" s="3"/>
      <c r="F14819" s="3"/>
      <c r="G14819" s="3"/>
      <c r="H14819" s="11"/>
      <c r="I14819" s="12"/>
      <c r="J14819" s="3"/>
      <c r="K14819" s="3"/>
      <c r="L14819" s="3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  <c r="AA14819" s="3"/>
      <c r="AB14819" s="3"/>
      <c r="AC14819" s="3"/>
      <c r="AD14819" s="3"/>
      <c r="AE14819" s="3"/>
      <c r="AF14819" s="3"/>
      <c r="AG14819" s="3"/>
      <c r="AH14819" s="3"/>
    </row>
    <row r="14820" spans="1:34" ht="14.25" customHeight="1" x14ac:dyDescent="0.25">
      <c r="A14820" s="3"/>
      <c r="B14820" s="3"/>
      <c r="C14820" s="3"/>
      <c r="D14820" s="3"/>
      <c r="E14820" s="3"/>
      <c r="F14820" s="3"/>
      <c r="G14820" s="3"/>
      <c r="H14820" s="11"/>
      <c r="I14820" s="12"/>
      <c r="J14820" s="3"/>
      <c r="K14820" s="3"/>
      <c r="L14820" s="3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  <c r="AA14820" s="3"/>
      <c r="AB14820" s="3"/>
      <c r="AC14820" s="3"/>
      <c r="AD14820" s="3"/>
      <c r="AE14820" s="3"/>
      <c r="AF14820" s="3"/>
      <c r="AG14820" s="3"/>
      <c r="AH14820" s="3"/>
    </row>
    <row r="14821" spans="1:34" ht="14.25" customHeight="1" x14ac:dyDescent="0.25">
      <c r="A14821" s="3"/>
      <c r="B14821" s="3"/>
      <c r="C14821" s="3"/>
      <c r="D14821" s="3"/>
      <c r="E14821" s="3"/>
      <c r="F14821" s="3"/>
      <c r="G14821" s="3"/>
      <c r="H14821" s="11"/>
      <c r="I14821" s="12"/>
      <c r="J14821" s="3"/>
      <c r="K14821" s="3"/>
      <c r="L14821" s="3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  <c r="AA14821" s="3"/>
      <c r="AB14821" s="3"/>
      <c r="AC14821" s="3"/>
      <c r="AD14821" s="3"/>
      <c r="AE14821" s="3"/>
      <c r="AF14821" s="3"/>
      <c r="AG14821" s="3"/>
      <c r="AH14821" s="3"/>
    </row>
    <row r="14822" spans="1:34" ht="14.25" customHeight="1" x14ac:dyDescent="0.25">
      <c r="A14822" s="3"/>
      <c r="B14822" s="3"/>
      <c r="C14822" s="3"/>
      <c r="D14822" s="3"/>
      <c r="E14822" s="3"/>
      <c r="F14822" s="3"/>
      <c r="G14822" s="3"/>
      <c r="H14822" s="11"/>
      <c r="I14822" s="12"/>
      <c r="J14822" s="3"/>
      <c r="K14822" s="3"/>
      <c r="L14822" s="3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  <c r="AA14822" s="3"/>
      <c r="AB14822" s="3"/>
      <c r="AC14822" s="3"/>
      <c r="AD14822" s="3"/>
      <c r="AE14822" s="3"/>
      <c r="AF14822" s="3"/>
      <c r="AG14822" s="3"/>
      <c r="AH14822" s="3"/>
    </row>
    <row r="14823" spans="1:34" ht="14.25" customHeight="1" x14ac:dyDescent="0.25">
      <c r="A14823" s="3"/>
      <c r="B14823" s="3"/>
      <c r="C14823" s="3"/>
      <c r="D14823" s="3"/>
      <c r="E14823" s="3"/>
      <c r="F14823" s="3"/>
      <c r="G14823" s="3"/>
      <c r="H14823" s="11"/>
      <c r="I14823" s="12"/>
      <c r="J14823" s="3"/>
      <c r="K14823" s="3"/>
      <c r="L14823" s="3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  <c r="AA14823" s="3"/>
      <c r="AB14823" s="3"/>
      <c r="AC14823" s="3"/>
      <c r="AD14823" s="3"/>
      <c r="AE14823" s="3"/>
      <c r="AF14823" s="3"/>
      <c r="AG14823" s="3"/>
      <c r="AH14823" s="3"/>
    </row>
    <row r="14824" spans="1:34" ht="14.25" customHeight="1" x14ac:dyDescent="0.25">
      <c r="A14824" s="3"/>
      <c r="B14824" s="3"/>
      <c r="C14824" s="3"/>
      <c r="D14824" s="3"/>
      <c r="E14824" s="3"/>
      <c r="F14824" s="3"/>
      <c r="G14824" s="3"/>
      <c r="H14824" s="11"/>
      <c r="I14824" s="12"/>
      <c r="J14824" s="3"/>
      <c r="K14824" s="3"/>
      <c r="L14824" s="3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  <c r="AA14824" s="3"/>
      <c r="AB14824" s="3"/>
      <c r="AC14824" s="3"/>
      <c r="AD14824" s="3"/>
      <c r="AE14824" s="3"/>
      <c r="AF14824" s="3"/>
      <c r="AG14824" s="3"/>
      <c r="AH14824" s="3"/>
    </row>
    <row r="14825" spans="1:34" ht="14.25" customHeight="1" x14ac:dyDescent="0.25">
      <c r="A14825" s="3"/>
      <c r="B14825" s="3"/>
      <c r="C14825" s="3"/>
      <c r="D14825" s="3"/>
      <c r="E14825" s="3"/>
      <c r="F14825" s="3"/>
      <c r="G14825" s="3"/>
      <c r="H14825" s="11"/>
      <c r="I14825" s="12"/>
      <c r="J14825" s="3"/>
      <c r="K14825" s="3"/>
      <c r="L14825" s="3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  <c r="AA14825" s="3"/>
      <c r="AB14825" s="3"/>
      <c r="AC14825" s="3"/>
      <c r="AD14825" s="3"/>
      <c r="AE14825" s="3"/>
      <c r="AF14825" s="3"/>
      <c r="AG14825" s="3"/>
      <c r="AH14825" s="3"/>
    </row>
    <row r="14826" spans="1:34" ht="14.25" customHeight="1" x14ac:dyDescent="0.25">
      <c r="A14826" s="3"/>
      <c r="B14826" s="3"/>
      <c r="C14826" s="3"/>
      <c r="D14826" s="3"/>
      <c r="E14826" s="3"/>
      <c r="F14826" s="3"/>
      <c r="G14826" s="3"/>
      <c r="H14826" s="11"/>
      <c r="I14826" s="12"/>
      <c r="J14826" s="3"/>
      <c r="K14826" s="3"/>
      <c r="L14826" s="3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  <c r="AA14826" s="3"/>
      <c r="AB14826" s="3"/>
      <c r="AC14826" s="3"/>
      <c r="AD14826" s="3"/>
      <c r="AE14826" s="3"/>
      <c r="AF14826" s="3"/>
      <c r="AG14826" s="3"/>
      <c r="AH14826" s="3"/>
    </row>
    <row r="14827" spans="1:34" ht="14.25" customHeight="1" x14ac:dyDescent="0.25">
      <c r="A14827" s="3"/>
      <c r="B14827" s="3"/>
      <c r="C14827" s="3"/>
      <c r="D14827" s="3"/>
      <c r="E14827" s="3"/>
      <c r="F14827" s="3"/>
      <c r="G14827" s="3"/>
      <c r="H14827" s="11"/>
      <c r="I14827" s="12"/>
      <c r="J14827" s="3"/>
      <c r="K14827" s="3"/>
      <c r="L14827" s="3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  <c r="AA14827" s="3"/>
      <c r="AB14827" s="3"/>
      <c r="AC14827" s="3"/>
      <c r="AD14827" s="3"/>
      <c r="AE14827" s="3"/>
      <c r="AF14827" s="3"/>
      <c r="AG14827" s="3"/>
      <c r="AH14827" s="3"/>
    </row>
    <row r="14828" spans="1:34" ht="14.25" customHeight="1" x14ac:dyDescent="0.25">
      <c r="A14828" s="3"/>
      <c r="B14828" s="3"/>
      <c r="C14828" s="3"/>
      <c r="D14828" s="3"/>
      <c r="E14828" s="3"/>
      <c r="F14828" s="3"/>
      <c r="G14828" s="3"/>
      <c r="H14828" s="11"/>
      <c r="I14828" s="12"/>
      <c r="J14828" s="3"/>
      <c r="K14828" s="3"/>
      <c r="L14828" s="3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  <c r="AA14828" s="3"/>
      <c r="AB14828" s="3"/>
      <c r="AC14828" s="3"/>
      <c r="AD14828" s="3"/>
      <c r="AE14828" s="3"/>
      <c r="AF14828" s="3"/>
      <c r="AG14828" s="3"/>
      <c r="AH14828" s="3"/>
    </row>
    <row r="14829" spans="1:34" ht="14.25" customHeight="1" x14ac:dyDescent="0.25">
      <c r="A14829" s="3"/>
      <c r="B14829" s="3"/>
      <c r="C14829" s="3"/>
      <c r="D14829" s="3"/>
      <c r="E14829" s="3"/>
      <c r="F14829" s="3"/>
      <c r="G14829" s="3"/>
      <c r="H14829" s="11"/>
      <c r="I14829" s="12"/>
      <c r="J14829" s="3"/>
      <c r="K14829" s="3"/>
      <c r="L14829" s="3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  <c r="AA14829" s="3"/>
      <c r="AB14829" s="3"/>
      <c r="AC14829" s="3"/>
      <c r="AD14829" s="3"/>
      <c r="AE14829" s="3"/>
      <c r="AF14829" s="3"/>
      <c r="AG14829" s="3"/>
      <c r="AH14829" s="3"/>
    </row>
    <row r="14830" spans="1:34" ht="14.25" customHeight="1" x14ac:dyDescent="0.25">
      <c r="A14830" s="3"/>
      <c r="B14830" s="3"/>
      <c r="C14830" s="3"/>
      <c r="D14830" s="3"/>
      <c r="E14830" s="3"/>
      <c r="F14830" s="3"/>
      <c r="G14830" s="3"/>
      <c r="H14830" s="11"/>
      <c r="I14830" s="12"/>
      <c r="J14830" s="3"/>
      <c r="K14830" s="3"/>
      <c r="L14830" s="3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  <c r="AA14830" s="3"/>
      <c r="AB14830" s="3"/>
      <c r="AC14830" s="3"/>
      <c r="AD14830" s="3"/>
      <c r="AE14830" s="3"/>
      <c r="AF14830" s="3"/>
      <c r="AG14830" s="3"/>
      <c r="AH14830" s="3"/>
    </row>
    <row r="14831" spans="1:34" ht="14.25" customHeight="1" x14ac:dyDescent="0.25">
      <c r="A14831" s="3"/>
      <c r="B14831" s="3"/>
      <c r="C14831" s="3"/>
      <c r="D14831" s="3"/>
      <c r="E14831" s="3"/>
      <c r="F14831" s="3"/>
      <c r="G14831" s="3"/>
      <c r="H14831" s="11"/>
      <c r="I14831" s="12"/>
      <c r="J14831" s="3"/>
      <c r="K14831" s="3"/>
      <c r="L14831" s="3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  <c r="AA14831" s="3"/>
      <c r="AB14831" s="3"/>
      <c r="AC14831" s="3"/>
      <c r="AD14831" s="3"/>
      <c r="AE14831" s="3"/>
      <c r="AF14831" s="3"/>
      <c r="AG14831" s="3"/>
      <c r="AH14831" s="3"/>
    </row>
    <row r="14832" spans="1:34" ht="14.25" customHeight="1" x14ac:dyDescent="0.25">
      <c r="A14832" s="3"/>
      <c r="B14832" s="3"/>
      <c r="C14832" s="3"/>
      <c r="D14832" s="3"/>
      <c r="E14832" s="3"/>
      <c r="F14832" s="3"/>
      <c r="G14832" s="3"/>
      <c r="H14832" s="11"/>
      <c r="I14832" s="12"/>
      <c r="J14832" s="3"/>
      <c r="K14832" s="3"/>
      <c r="L14832" s="3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  <c r="AA14832" s="3"/>
      <c r="AB14832" s="3"/>
      <c r="AC14832" s="3"/>
      <c r="AD14832" s="3"/>
      <c r="AE14832" s="3"/>
      <c r="AF14832" s="3"/>
      <c r="AG14832" s="3"/>
      <c r="AH14832" s="3"/>
    </row>
    <row r="14833" spans="1:34" ht="14.25" customHeight="1" x14ac:dyDescent="0.25">
      <c r="A14833" s="3"/>
      <c r="B14833" s="3"/>
      <c r="C14833" s="3"/>
      <c r="D14833" s="3"/>
      <c r="E14833" s="3"/>
      <c r="F14833" s="3"/>
      <c r="G14833" s="3"/>
      <c r="H14833" s="11"/>
      <c r="I14833" s="12"/>
      <c r="J14833" s="3"/>
      <c r="K14833" s="3"/>
      <c r="L14833" s="3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  <c r="AA14833" s="3"/>
      <c r="AB14833" s="3"/>
      <c r="AC14833" s="3"/>
      <c r="AD14833" s="3"/>
      <c r="AE14833" s="3"/>
      <c r="AF14833" s="3"/>
      <c r="AG14833" s="3"/>
      <c r="AH14833" s="3"/>
    </row>
    <row r="14834" spans="1:34" ht="14.25" customHeight="1" x14ac:dyDescent="0.25">
      <c r="A14834" s="3"/>
      <c r="B14834" s="3"/>
      <c r="C14834" s="3"/>
      <c r="D14834" s="3"/>
      <c r="E14834" s="3"/>
      <c r="F14834" s="3"/>
      <c r="G14834" s="3"/>
      <c r="H14834" s="11"/>
      <c r="I14834" s="12"/>
      <c r="J14834" s="3"/>
      <c r="K14834" s="3"/>
      <c r="L14834" s="3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  <c r="AA14834" s="3"/>
      <c r="AB14834" s="3"/>
      <c r="AC14834" s="3"/>
      <c r="AD14834" s="3"/>
      <c r="AE14834" s="3"/>
      <c r="AF14834" s="3"/>
      <c r="AG14834" s="3"/>
      <c r="AH14834" s="3"/>
    </row>
    <row r="14835" spans="1:34" ht="14.25" customHeight="1" x14ac:dyDescent="0.25">
      <c r="A14835" s="3"/>
      <c r="B14835" s="3"/>
      <c r="C14835" s="3"/>
      <c r="D14835" s="3"/>
      <c r="E14835" s="3"/>
      <c r="F14835" s="3"/>
      <c r="G14835" s="3"/>
      <c r="H14835" s="11"/>
      <c r="I14835" s="12"/>
      <c r="J14835" s="3"/>
      <c r="K14835" s="3"/>
      <c r="L14835" s="3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  <c r="AA14835" s="3"/>
      <c r="AB14835" s="3"/>
      <c r="AC14835" s="3"/>
      <c r="AD14835" s="3"/>
      <c r="AE14835" s="3"/>
      <c r="AF14835" s="3"/>
      <c r="AG14835" s="3"/>
      <c r="AH14835" s="3"/>
    </row>
    <row r="14836" spans="1:34" ht="14.25" customHeight="1" x14ac:dyDescent="0.25">
      <c r="A14836" s="3"/>
      <c r="B14836" s="3"/>
      <c r="C14836" s="3"/>
      <c r="D14836" s="3"/>
      <c r="E14836" s="3"/>
      <c r="F14836" s="3"/>
      <c r="G14836" s="3"/>
      <c r="H14836" s="11"/>
      <c r="I14836" s="12"/>
      <c r="J14836" s="3"/>
      <c r="K14836" s="3"/>
      <c r="L14836" s="3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  <c r="AA14836" s="3"/>
      <c r="AB14836" s="3"/>
      <c r="AC14836" s="3"/>
      <c r="AD14836" s="3"/>
      <c r="AE14836" s="3"/>
      <c r="AF14836" s="3"/>
      <c r="AG14836" s="3"/>
      <c r="AH14836" s="3"/>
    </row>
    <row r="14837" spans="1:34" ht="14.25" customHeight="1" x14ac:dyDescent="0.25">
      <c r="A14837" s="3"/>
      <c r="B14837" s="3"/>
      <c r="C14837" s="3"/>
      <c r="D14837" s="3"/>
      <c r="E14837" s="3"/>
      <c r="F14837" s="3"/>
      <c r="G14837" s="3"/>
      <c r="H14837" s="11"/>
      <c r="I14837" s="12"/>
      <c r="J14837" s="3"/>
      <c r="K14837" s="3"/>
      <c r="L14837" s="3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  <c r="AA14837" s="3"/>
      <c r="AB14837" s="3"/>
      <c r="AC14837" s="3"/>
      <c r="AD14837" s="3"/>
      <c r="AE14837" s="3"/>
      <c r="AF14837" s="3"/>
      <c r="AG14837" s="3"/>
      <c r="AH14837" s="3"/>
    </row>
    <row r="14838" spans="1:34" ht="14.25" customHeight="1" x14ac:dyDescent="0.25">
      <c r="A14838" s="3"/>
      <c r="B14838" s="3"/>
      <c r="C14838" s="3"/>
      <c r="D14838" s="3"/>
      <c r="E14838" s="3"/>
      <c r="F14838" s="3"/>
      <c r="G14838" s="3"/>
      <c r="H14838" s="11"/>
      <c r="I14838" s="12"/>
      <c r="J14838" s="3"/>
      <c r="K14838" s="3"/>
      <c r="L14838" s="3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  <c r="AA14838" s="3"/>
      <c r="AB14838" s="3"/>
      <c r="AC14838" s="3"/>
      <c r="AD14838" s="3"/>
      <c r="AE14838" s="3"/>
      <c r="AF14838" s="3"/>
      <c r="AG14838" s="3"/>
      <c r="AH14838" s="3"/>
    </row>
    <row r="14839" spans="1:34" ht="14.25" customHeight="1" x14ac:dyDescent="0.25">
      <c r="A14839" s="3"/>
      <c r="B14839" s="3"/>
      <c r="C14839" s="3"/>
      <c r="D14839" s="3"/>
      <c r="E14839" s="3"/>
      <c r="F14839" s="3"/>
      <c r="G14839" s="3"/>
      <c r="H14839" s="11"/>
      <c r="I14839" s="12"/>
      <c r="J14839" s="3"/>
      <c r="K14839" s="3"/>
      <c r="L14839" s="3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  <c r="AA14839" s="3"/>
      <c r="AB14839" s="3"/>
      <c r="AC14839" s="3"/>
      <c r="AD14839" s="3"/>
      <c r="AE14839" s="3"/>
      <c r="AF14839" s="3"/>
      <c r="AG14839" s="3"/>
      <c r="AH14839" s="3"/>
    </row>
    <row r="14840" spans="1:34" ht="14.25" customHeight="1" x14ac:dyDescent="0.25">
      <c r="A14840" s="3"/>
      <c r="B14840" s="3"/>
      <c r="C14840" s="3"/>
      <c r="D14840" s="3"/>
      <c r="E14840" s="3"/>
      <c r="F14840" s="3"/>
      <c r="G14840" s="3"/>
      <c r="H14840" s="11"/>
      <c r="I14840" s="12"/>
      <c r="J14840" s="3"/>
      <c r="K14840" s="3"/>
      <c r="L14840" s="3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  <c r="AA14840" s="3"/>
      <c r="AB14840" s="3"/>
      <c r="AC14840" s="3"/>
      <c r="AD14840" s="3"/>
      <c r="AE14840" s="3"/>
      <c r="AF14840" s="3"/>
      <c r="AG14840" s="3"/>
      <c r="AH14840" s="3"/>
    </row>
    <row r="14841" spans="1:34" ht="14.25" customHeight="1" x14ac:dyDescent="0.25">
      <c r="A14841" s="3"/>
      <c r="B14841" s="3"/>
      <c r="C14841" s="3"/>
      <c r="D14841" s="3"/>
      <c r="E14841" s="3"/>
      <c r="F14841" s="3"/>
      <c r="G14841" s="3"/>
      <c r="H14841" s="11"/>
      <c r="I14841" s="12"/>
      <c r="J14841" s="3"/>
      <c r="K14841" s="3"/>
      <c r="L14841" s="3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  <c r="AA14841" s="3"/>
      <c r="AB14841" s="3"/>
      <c r="AC14841" s="3"/>
      <c r="AD14841" s="3"/>
      <c r="AE14841" s="3"/>
      <c r="AF14841" s="3"/>
      <c r="AG14841" s="3"/>
      <c r="AH14841" s="3"/>
    </row>
    <row r="14842" spans="1:34" ht="14.25" customHeight="1" x14ac:dyDescent="0.25">
      <c r="A14842" s="3"/>
      <c r="B14842" s="3"/>
      <c r="C14842" s="3"/>
      <c r="D14842" s="3"/>
      <c r="E14842" s="3"/>
      <c r="F14842" s="3"/>
      <c r="G14842" s="3"/>
      <c r="H14842" s="11"/>
      <c r="I14842" s="12"/>
      <c r="J14842" s="3"/>
      <c r="K14842" s="3"/>
      <c r="L14842" s="3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  <c r="AA14842" s="3"/>
      <c r="AB14842" s="3"/>
      <c r="AC14842" s="3"/>
      <c r="AD14842" s="3"/>
      <c r="AE14842" s="3"/>
      <c r="AF14842" s="3"/>
      <c r="AG14842" s="3"/>
      <c r="AH14842" s="3"/>
    </row>
    <row r="14843" spans="1:34" ht="14.25" customHeight="1" x14ac:dyDescent="0.25">
      <c r="A14843" s="3"/>
      <c r="B14843" s="3"/>
      <c r="C14843" s="3"/>
      <c r="D14843" s="3"/>
      <c r="E14843" s="3"/>
      <c r="F14843" s="3"/>
      <c r="G14843" s="3"/>
      <c r="H14843" s="11"/>
      <c r="I14843" s="12"/>
      <c r="J14843" s="3"/>
      <c r="K14843" s="3"/>
      <c r="L14843" s="3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  <c r="AA14843" s="3"/>
      <c r="AB14843" s="3"/>
      <c r="AC14843" s="3"/>
      <c r="AD14843" s="3"/>
      <c r="AE14843" s="3"/>
      <c r="AF14843" s="3"/>
      <c r="AG14843" s="3"/>
      <c r="AH14843" s="3"/>
    </row>
    <row r="14844" spans="1:34" ht="14.25" customHeight="1" x14ac:dyDescent="0.25">
      <c r="A14844" s="3"/>
      <c r="B14844" s="3"/>
      <c r="C14844" s="3"/>
      <c r="D14844" s="3"/>
      <c r="E14844" s="3"/>
      <c r="F14844" s="3"/>
      <c r="G14844" s="3"/>
      <c r="H14844" s="11"/>
      <c r="I14844" s="12"/>
      <c r="J14844" s="3"/>
      <c r="K14844" s="3"/>
      <c r="L14844" s="3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  <c r="AA14844" s="3"/>
      <c r="AB14844" s="3"/>
      <c r="AC14844" s="3"/>
      <c r="AD14844" s="3"/>
      <c r="AE14844" s="3"/>
      <c r="AF14844" s="3"/>
      <c r="AG14844" s="3"/>
      <c r="AH14844" s="3"/>
    </row>
    <row r="14845" spans="1:34" ht="14.25" customHeight="1" x14ac:dyDescent="0.25">
      <c r="A14845" s="3"/>
      <c r="B14845" s="3"/>
      <c r="C14845" s="3"/>
      <c r="D14845" s="3"/>
      <c r="E14845" s="3"/>
      <c r="F14845" s="3"/>
      <c r="G14845" s="3"/>
      <c r="H14845" s="11"/>
      <c r="I14845" s="12"/>
      <c r="J14845" s="3"/>
      <c r="K14845" s="3"/>
      <c r="L14845" s="3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  <c r="AA14845" s="3"/>
      <c r="AB14845" s="3"/>
      <c r="AC14845" s="3"/>
      <c r="AD14845" s="3"/>
      <c r="AE14845" s="3"/>
      <c r="AF14845" s="3"/>
      <c r="AG14845" s="3"/>
      <c r="AH14845" s="3"/>
    </row>
    <row r="14846" spans="1:34" ht="14.25" customHeight="1" x14ac:dyDescent="0.25">
      <c r="A14846" s="3"/>
      <c r="B14846" s="3"/>
      <c r="C14846" s="3"/>
      <c r="D14846" s="3"/>
      <c r="E14846" s="3"/>
      <c r="F14846" s="3"/>
      <c r="G14846" s="3"/>
      <c r="H14846" s="11"/>
      <c r="I14846" s="12"/>
      <c r="J14846" s="3"/>
      <c r="K14846" s="3"/>
      <c r="L14846" s="3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  <c r="AA14846" s="3"/>
      <c r="AB14846" s="3"/>
      <c r="AC14846" s="3"/>
      <c r="AD14846" s="3"/>
      <c r="AE14846" s="3"/>
      <c r="AF14846" s="3"/>
      <c r="AG14846" s="3"/>
      <c r="AH14846" s="3"/>
    </row>
    <row r="14847" spans="1:34" ht="14.25" customHeight="1" x14ac:dyDescent="0.25">
      <c r="A14847" s="3"/>
      <c r="B14847" s="3"/>
      <c r="C14847" s="3"/>
      <c r="D14847" s="3"/>
      <c r="E14847" s="3"/>
      <c r="F14847" s="3"/>
      <c r="G14847" s="3"/>
      <c r="H14847" s="11"/>
      <c r="I14847" s="12"/>
      <c r="J14847" s="3"/>
      <c r="K14847" s="3"/>
      <c r="L14847" s="3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  <c r="AA14847" s="3"/>
      <c r="AB14847" s="3"/>
      <c r="AC14847" s="3"/>
      <c r="AD14847" s="3"/>
      <c r="AE14847" s="3"/>
      <c r="AF14847" s="3"/>
      <c r="AG14847" s="3"/>
      <c r="AH14847" s="3"/>
    </row>
    <row r="14848" spans="1:34" ht="14.25" customHeight="1" x14ac:dyDescent="0.25">
      <c r="A14848" s="3"/>
      <c r="B14848" s="3"/>
      <c r="C14848" s="3"/>
      <c r="D14848" s="3"/>
      <c r="E14848" s="3"/>
      <c r="F14848" s="3"/>
      <c r="G14848" s="3"/>
      <c r="H14848" s="11"/>
      <c r="I14848" s="12"/>
      <c r="J14848" s="3"/>
      <c r="K14848" s="3"/>
      <c r="L14848" s="3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  <c r="AA14848" s="3"/>
      <c r="AB14848" s="3"/>
      <c r="AC14848" s="3"/>
      <c r="AD14848" s="3"/>
      <c r="AE14848" s="3"/>
      <c r="AF14848" s="3"/>
      <c r="AG14848" s="3"/>
      <c r="AH14848" s="3"/>
    </row>
    <row r="14849" spans="1:34" ht="14.25" customHeight="1" x14ac:dyDescent="0.25">
      <c r="A14849" s="3"/>
      <c r="B14849" s="3"/>
      <c r="C14849" s="3"/>
      <c r="D14849" s="3"/>
      <c r="E14849" s="3"/>
      <c r="F14849" s="3"/>
      <c r="G14849" s="3"/>
      <c r="H14849" s="11"/>
      <c r="I14849" s="12"/>
      <c r="J14849" s="3"/>
      <c r="K14849" s="3"/>
      <c r="L14849" s="3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  <c r="AA14849" s="3"/>
      <c r="AB14849" s="3"/>
      <c r="AC14849" s="3"/>
      <c r="AD14849" s="3"/>
      <c r="AE14849" s="3"/>
      <c r="AF14849" s="3"/>
      <c r="AG14849" s="3"/>
      <c r="AH14849" s="3"/>
    </row>
    <row r="14850" spans="1:34" ht="14.25" customHeight="1" x14ac:dyDescent="0.25">
      <c r="A14850" s="3"/>
      <c r="B14850" s="3"/>
      <c r="C14850" s="3"/>
      <c r="D14850" s="3"/>
      <c r="E14850" s="3"/>
      <c r="F14850" s="3"/>
      <c r="G14850" s="3"/>
      <c r="H14850" s="11"/>
      <c r="I14850" s="12"/>
      <c r="J14850" s="3"/>
      <c r="K14850" s="3"/>
      <c r="L14850" s="3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  <c r="AA14850" s="3"/>
      <c r="AB14850" s="3"/>
      <c r="AC14850" s="3"/>
      <c r="AD14850" s="3"/>
      <c r="AE14850" s="3"/>
      <c r="AF14850" s="3"/>
      <c r="AG14850" s="3"/>
      <c r="AH14850" s="3"/>
    </row>
    <row r="14851" spans="1:34" ht="14.25" customHeight="1" x14ac:dyDescent="0.25">
      <c r="A14851" s="3"/>
      <c r="B14851" s="3"/>
      <c r="C14851" s="3"/>
      <c r="D14851" s="3"/>
      <c r="E14851" s="3"/>
      <c r="F14851" s="3"/>
      <c r="G14851" s="3"/>
      <c r="H14851" s="11"/>
      <c r="I14851" s="12"/>
      <c r="J14851" s="3"/>
      <c r="K14851" s="3"/>
      <c r="L14851" s="3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  <c r="AA14851" s="3"/>
      <c r="AB14851" s="3"/>
      <c r="AC14851" s="3"/>
      <c r="AD14851" s="3"/>
      <c r="AE14851" s="3"/>
      <c r="AF14851" s="3"/>
      <c r="AG14851" s="3"/>
      <c r="AH14851" s="3"/>
    </row>
    <row r="14852" spans="1:34" ht="14.25" customHeight="1" x14ac:dyDescent="0.25">
      <c r="A14852" s="3"/>
      <c r="B14852" s="3"/>
      <c r="C14852" s="3"/>
      <c r="D14852" s="3"/>
      <c r="E14852" s="3"/>
      <c r="F14852" s="3"/>
      <c r="G14852" s="3"/>
      <c r="H14852" s="11"/>
      <c r="I14852" s="12"/>
      <c r="J14852" s="3"/>
      <c r="K14852" s="3"/>
      <c r="L14852" s="3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  <c r="AA14852" s="3"/>
      <c r="AB14852" s="3"/>
      <c r="AC14852" s="3"/>
      <c r="AD14852" s="3"/>
      <c r="AE14852" s="3"/>
      <c r="AF14852" s="3"/>
      <c r="AG14852" s="3"/>
      <c r="AH14852" s="3"/>
    </row>
    <row r="14853" spans="1:34" ht="14.25" customHeight="1" x14ac:dyDescent="0.25">
      <c r="A14853" s="3"/>
      <c r="B14853" s="3"/>
      <c r="C14853" s="3"/>
      <c r="D14853" s="3"/>
      <c r="E14853" s="3"/>
      <c r="F14853" s="3"/>
      <c r="G14853" s="3"/>
      <c r="H14853" s="11"/>
      <c r="I14853" s="12"/>
      <c r="J14853" s="3"/>
      <c r="K14853" s="3"/>
      <c r="L14853" s="3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  <c r="AA14853" s="3"/>
      <c r="AB14853" s="3"/>
      <c r="AC14853" s="3"/>
      <c r="AD14853" s="3"/>
      <c r="AE14853" s="3"/>
      <c r="AF14853" s="3"/>
      <c r="AG14853" s="3"/>
      <c r="AH14853" s="3"/>
    </row>
    <row r="14854" spans="1:34" ht="14.25" customHeight="1" x14ac:dyDescent="0.25">
      <c r="A14854" s="3"/>
      <c r="B14854" s="3"/>
      <c r="C14854" s="3"/>
      <c r="D14854" s="3"/>
      <c r="E14854" s="3"/>
      <c r="F14854" s="3"/>
      <c r="G14854" s="3"/>
      <c r="H14854" s="11"/>
      <c r="I14854" s="12"/>
      <c r="J14854" s="3"/>
      <c r="K14854" s="3"/>
      <c r="L14854" s="3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  <c r="AA14854" s="3"/>
      <c r="AB14854" s="3"/>
      <c r="AC14854" s="3"/>
      <c r="AD14854" s="3"/>
      <c r="AE14854" s="3"/>
      <c r="AF14854" s="3"/>
      <c r="AG14854" s="3"/>
      <c r="AH14854" s="3"/>
    </row>
    <row r="14855" spans="1:34" ht="14.25" customHeight="1" x14ac:dyDescent="0.25">
      <c r="A14855" s="3"/>
      <c r="B14855" s="3"/>
      <c r="C14855" s="3"/>
      <c r="D14855" s="3"/>
      <c r="E14855" s="3"/>
      <c r="F14855" s="3"/>
      <c r="G14855" s="3"/>
      <c r="H14855" s="11"/>
      <c r="I14855" s="12"/>
      <c r="J14855" s="3"/>
      <c r="K14855" s="3"/>
      <c r="L14855" s="3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  <c r="AA14855" s="3"/>
      <c r="AB14855" s="3"/>
      <c r="AC14855" s="3"/>
      <c r="AD14855" s="3"/>
      <c r="AE14855" s="3"/>
      <c r="AF14855" s="3"/>
      <c r="AG14855" s="3"/>
      <c r="AH14855" s="3"/>
    </row>
    <row r="14856" spans="1:34" ht="14.25" customHeight="1" x14ac:dyDescent="0.25">
      <c r="A14856" s="3"/>
      <c r="B14856" s="3"/>
      <c r="C14856" s="3"/>
      <c r="D14856" s="3"/>
      <c r="E14856" s="3"/>
      <c r="F14856" s="3"/>
      <c r="G14856" s="3"/>
      <c r="H14856" s="11"/>
      <c r="I14856" s="12"/>
      <c r="J14856" s="3"/>
      <c r="K14856" s="3"/>
      <c r="L14856" s="3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  <c r="AA14856" s="3"/>
      <c r="AB14856" s="3"/>
      <c r="AC14856" s="3"/>
      <c r="AD14856" s="3"/>
      <c r="AE14856" s="3"/>
      <c r="AF14856" s="3"/>
      <c r="AG14856" s="3"/>
      <c r="AH14856" s="3"/>
    </row>
    <row r="14857" spans="1:34" ht="14.25" customHeight="1" x14ac:dyDescent="0.25">
      <c r="A14857" s="3"/>
      <c r="B14857" s="3"/>
      <c r="C14857" s="3"/>
      <c r="D14857" s="3"/>
      <c r="E14857" s="3"/>
      <c r="F14857" s="3"/>
      <c r="G14857" s="3"/>
      <c r="H14857" s="11"/>
      <c r="I14857" s="12"/>
      <c r="J14857" s="3"/>
      <c r="K14857" s="3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  <c r="AA14857" s="3"/>
      <c r="AB14857" s="3"/>
      <c r="AC14857" s="3"/>
      <c r="AD14857" s="3"/>
      <c r="AE14857" s="3"/>
      <c r="AF14857" s="3"/>
      <c r="AG14857" s="3"/>
      <c r="AH14857" s="3"/>
    </row>
    <row r="14858" spans="1:34" ht="14.25" customHeight="1" x14ac:dyDescent="0.25">
      <c r="A14858" s="3"/>
      <c r="B14858" s="3"/>
      <c r="C14858" s="3"/>
      <c r="D14858" s="3"/>
      <c r="E14858" s="3"/>
      <c r="F14858" s="3"/>
      <c r="G14858" s="3"/>
      <c r="H14858" s="11"/>
      <c r="I14858" s="12"/>
      <c r="J14858" s="3"/>
      <c r="K14858" s="3"/>
      <c r="L14858" s="3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  <c r="AA14858" s="3"/>
      <c r="AB14858" s="3"/>
      <c r="AC14858" s="3"/>
      <c r="AD14858" s="3"/>
      <c r="AE14858" s="3"/>
      <c r="AF14858" s="3"/>
      <c r="AG14858" s="3"/>
      <c r="AH14858" s="3"/>
    </row>
    <row r="14859" spans="1:34" ht="14.25" customHeight="1" x14ac:dyDescent="0.25">
      <c r="A14859" s="3"/>
      <c r="B14859" s="3"/>
      <c r="C14859" s="3"/>
      <c r="D14859" s="3"/>
      <c r="E14859" s="3"/>
      <c r="F14859" s="3"/>
      <c r="G14859" s="3"/>
      <c r="H14859" s="11"/>
      <c r="I14859" s="12"/>
      <c r="J14859" s="3"/>
      <c r="K14859" s="3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  <c r="AA14859" s="3"/>
      <c r="AB14859" s="3"/>
      <c r="AC14859" s="3"/>
      <c r="AD14859" s="3"/>
      <c r="AE14859" s="3"/>
      <c r="AF14859" s="3"/>
      <c r="AG14859" s="3"/>
      <c r="AH14859" s="3"/>
    </row>
    <row r="14860" spans="1:34" ht="14.25" customHeight="1" x14ac:dyDescent="0.25">
      <c r="A14860" s="3"/>
      <c r="B14860" s="3"/>
      <c r="C14860" s="3"/>
      <c r="D14860" s="3"/>
      <c r="E14860" s="3"/>
      <c r="F14860" s="3"/>
      <c r="G14860" s="3"/>
      <c r="H14860" s="11"/>
      <c r="I14860" s="12"/>
      <c r="J14860" s="3"/>
      <c r="K14860" s="3"/>
      <c r="L14860" s="3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  <c r="AA14860" s="3"/>
      <c r="AB14860" s="3"/>
      <c r="AC14860" s="3"/>
      <c r="AD14860" s="3"/>
      <c r="AE14860" s="3"/>
      <c r="AF14860" s="3"/>
      <c r="AG14860" s="3"/>
      <c r="AH14860" s="3"/>
    </row>
    <row r="14861" spans="1:34" ht="14.25" customHeight="1" x14ac:dyDescent="0.25">
      <c r="A14861" s="3"/>
      <c r="B14861" s="3"/>
      <c r="C14861" s="3"/>
      <c r="D14861" s="3"/>
      <c r="E14861" s="3"/>
      <c r="F14861" s="3"/>
      <c r="G14861" s="3"/>
      <c r="H14861" s="11"/>
      <c r="I14861" s="12"/>
      <c r="J14861" s="3"/>
      <c r="K14861" s="3"/>
      <c r="L14861" s="3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  <c r="AA14861" s="3"/>
      <c r="AB14861" s="3"/>
      <c r="AC14861" s="3"/>
      <c r="AD14861" s="3"/>
      <c r="AE14861" s="3"/>
      <c r="AF14861" s="3"/>
      <c r="AG14861" s="3"/>
      <c r="AH14861" s="3"/>
    </row>
    <row r="14862" spans="1:34" ht="14.25" customHeight="1" x14ac:dyDescent="0.25">
      <c r="A14862" s="3"/>
      <c r="B14862" s="3"/>
      <c r="C14862" s="3"/>
      <c r="D14862" s="3"/>
      <c r="E14862" s="3"/>
      <c r="F14862" s="3"/>
      <c r="G14862" s="3"/>
      <c r="H14862" s="11"/>
      <c r="I14862" s="12"/>
      <c r="J14862" s="3"/>
      <c r="K14862" s="3"/>
      <c r="L14862" s="3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  <c r="AA14862" s="3"/>
      <c r="AB14862" s="3"/>
      <c r="AC14862" s="3"/>
      <c r="AD14862" s="3"/>
      <c r="AE14862" s="3"/>
      <c r="AF14862" s="3"/>
      <c r="AG14862" s="3"/>
      <c r="AH14862" s="3"/>
    </row>
    <row r="14863" spans="1:34" ht="14.25" customHeight="1" x14ac:dyDescent="0.25">
      <c r="A14863" s="3"/>
      <c r="B14863" s="3"/>
      <c r="C14863" s="3"/>
      <c r="D14863" s="3"/>
      <c r="E14863" s="3"/>
      <c r="F14863" s="3"/>
      <c r="G14863" s="3"/>
      <c r="H14863" s="11"/>
      <c r="I14863" s="12"/>
      <c r="J14863" s="3"/>
      <c r="K14863" s="3"/>
      <c r="L14863" s="3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  <c r="AA14863" s="3"/>
      <c r="AB14863" s="3"/>
      <c r="AC14863" s="3"/>
      <c r="AD14863" s="3"/>
      <c r="AE14863" s="3"/>
      <c r="AF14863" s="3"/>
      <c r="AG14863" s="3"/>
      <c r="AH14863" s="3"/>
    </row>
    <row r="14864" spans="1:34" ht="14.25" customHeight="1" x14ac:dyDescent="0.25">
      <c r="A14864" s="3"/>
      <c r="B14864" s="3"/>
      <c r="C14864" s="3"/>
      <c r="D14864" s="3"/>
      <c r="E14864" s="3"/>
      <c r="F14864" s="3"/>
      <c r="G14864" s="3"/>
      <c r="H14864" s="11"/>
      <c r="I14864" s="12"/>
      <c r="J14864" s="3"/>
      <c r="K14864" s="3"/>
      <c r="L14864" s="3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  <c r="AA14864" s="3"/>
      <c r="AB14864" s="3"/>
      <c r="AC14864" s="3"/>
      <c r="AD14864" s="3"/>
      <c r="AE14864" s="3"/>
      <c r="AF14864" s="3"/>
      <c r="AG14864" s="3"/>
      <c r="AH14864" s="3"/>
    </row>
    <row r="14865" spans="1:34" ht="14.25" customHeight="1" x14ac:dyDescent="0.25">
      <c r="A14865" s="3"/>
      <c r="B14865" s="3"/>
      <c r="C14865" s="3"/>
      <c r="D14865" s="3"/>
      <c r="E14865" s="3"/>
      <c r="F14865" s="3"/>
      <c r="G14865" s="3"/>
      <c r="H14865" s="11"/>
      <c r="I14865" s="12"/>
      <c r="J14865" s="3"/>
      <c r="K14865" s="3"/>
      <c r="L14865" s="3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  <c r="AA14865" s="3"/>
      <c r="AB14865" s="3"/>
      <c r="AC14865" s="3"/>
      <c r="AD14865" s="3"/>
      <c r="AE14865" s="3"/>
      <c r="AF14865" s="3"/>
      <c r="AG14865" s="3"/>
      <c r="AH14865" s="3"/>
    </row>
    <row r="14866" spans="1:34" ht="14.25" customHeight="1" x14ac:dyDescent="0.25">
      <c r="A14866" s="3"/>
      <c r="B14866" s="3"/>
      <c r="C14866" s="3"/>
      <c r="D14866" s="3"/>
      <c r="E14866" s="3"/>
      <c r="F14866" s="3"/>
      <c r="G14866" s="3"/>
      <c r="H14866" s="11"/>
      <c r="I14866" s="12"/>
      <c r="J14866" s="3"/>
      <c r="K14866" s="3"/>
      <c r="L14866" s="3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  <c r="AA14866" s="3"/>
      <c r="AB14866" s="3"/>
      <c r="AC14866" s="3"/>
      <c r="AD14866" s="3"/>
      <c r="AE14866" s="3"/>
      <c r="AF14866" s="3"/>
      <c r="AG14866" s="3"/>
      <c r="AH14866" s="3"/>
    </row>
    <row r="14867" spans="1:34" ht="14.25" customHeight="1" x14ac:dyDescent="0.25">
      <c r="A14867" s="3"/>
      <c r="B14867" s="3"/>
      <c r="C14867" s="3"/>
      <c r="D14867" s="3"/>
      <c r="E14867" s="3"/>
      <c r="F14867" s="3"/>
      <c r="G14867" s="3"/>
      <c r="H14867" s="11"/>
      <c r="I14867" s="12"/>
      <c r="J14867" s="3"/>
      <c r="K14867" s="3"/>
      <c r="L14867" s="3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  <c r="AA14867" s="3"/>
      <c r="AB14867" s="3"/>
      <c r="AC14867" s="3"/>
      <c r="AD14867" s="3"/>
      <c r="AE14867" s="3"/>
      <c r="AF14867" s="3"/>
      <c r="AG14867" s="3"/>
      <c r="AH14867" s="3"/>
    </row>
    <row r="14868" spans="1:34" ht="14.25" customHeight="1" x14ac:dyDescent="0.25">
      <c r="A14868" s="3"/>
      <c r="B14868" s="3"/>
      <c r="C14868" s="3"/>
      <c r="D14868" s="3"/>
      <c r="E14868" s="3"/>
      <c r="F14868" s="3"/>
      <c r="G14868" s="3"/>
      <c r="H14868" s="11"/>
      <c r="I14868" s="12"/>
      <c r="J14868" s="3"/>
      <c r="K14868" s="3"/>
      <c r="L14868" s="3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  <c r="AA14868" s="3"/>
      <c r="AB14868" s="3"/>
      <c r="AC14868" s="3"/>
      <c r="AD14868" s="3"/>
      <c r="AE14868" s="3"/>
      <c r="AF14868" s="3"/>
      <c r="AG14868" s="3"/>
      <c r="AH14868" s="3"/>
    </row>
    <row r="14869" spans="1:34" ht="14.25" customHeight="1" x14ac:dyDescent="0.25">
      <c r="A14869" s="3"/>
      <c r="B14869" s="3"/>
      <c r="C14869" s="3"/>
      <c r="D14869" s="3"/>
      <c r="E14869" s="3"/>
      <c r="F14869" s="3"/>
      <c r="G14869" s="3"/>
      <c r="H14869" s="11"/>
      <c r="I14869" s="12"/>
      <c r="J14869" s="3"/>
      <c r="K14869" s="3"/>
      <c r="L14869" s="3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  <c r="AA14869" s="3"/>
      <c r="AB14869" s="3"/>
      <c r="AC14869" s="3"/>
      <c r="AD14869" s="3"/>
      <c r="AE14869" s="3"/>
      <c r="AF14869" s="3"/>
      <c r="AG14869" s="3"/>
      <c r="AH14869" s="3"/>
    </row>
    <row r="14870" spans="1:34" ht="14.25" customHeight="1" x14ac:dyDescent="0.25">
      <c r="A14870" s="3"/>
      <c r="B14870" s="3"/>
      <c r="C14870" s="3"/>
      <c r="D14870" s="3"/>
      <c r="E14870" s="3"/>
      <c r="F14870" s="3"/>
      <c r="G14870" s="3"/>
      <c r="H14870" s="11"/>
      <c r="I14870" s="12"/>
      <c r="J14870" s="3"/>
      <c r="K14870" s="3"/>
      <c r="L14870" s="3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  <c r="AA14870" s="3"/>
      <c r="AB14870" s="3"/>
      <c r="AC14870" s="3"/>
      <c r="AD14870" s="3"/>
      <c r="AE14870" s="3"/>
      <c r="AF14870" s="3"/>
      <c r="AG14870" s="3"/>
      <c r="AH14870" s="3"/>
    </row>
    <row r="14871" spans="1:34" ht="14.25" customHeight="1" x14ac:dyDescent="0.25">
      <c r="A14871" s="3"/>
      <c r="B14871" s="3"/>
      <c r="C14871" s="3"/>
      <c r="D14871" s="3"/>
      <c r="E14871" s="3"/>
      <c r="F14871" s="3"/>
      <c r="G14871" s="3"/>
      <c r="H14871" s="11"/>
      <c r="I14871" s="12"/>
      <c r="J14871" s="3"/>
      <c r="K14871" s="3"/>
      <c r="L14871" s="3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  <c r="AA14871" s="3"/>
      <c r="AB14871" s="3"/>
      <c r="AC14871" s="3"/>
      <c r="AD14871" s="3"/>
      <c r="AE14871" s="3"/>
      <c r="AF14871" s="3"/>
      <c r="AG14871" s="3"/>
      <c r="AH14871" s="3"/>
    </row>
    <row r="14872" spans="1:34" ht="14.25" customHeight="1" x14ac:dyDescent="0.25">
      <c r="A14872" s="3"/>
      <c r="B14872" s="3"/>
      <c r="C14872" s="3"/>
      <c r="D14872" s="3"/>
      <c r="E14872" s="3"/>
      <c r="F14872" s="3"/>
      <c r="G14872" s="3"/>
      <c r="H14872" s="11"/>
      <c r="I14872" s="12"/>
      <c r="J14872" s="3"/>
      <c r="K14872" s="3"/>
      <c r="L14872" s="3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  <c r="AA14872" s="3"/>
      <c r="AB14872" s="3"/>
      <c r="AC14872" s="3"/>
      <c r="AD14872" s="3"/>
      <c r="AE14872" s="3"/>
      <c r="AF14872" s="3"/>
      <c r="AG14872" s="3"/>
      <c r="AH14872" s="3"/>
    </row>
    <row r="14873" spans="1:34" ht="14.25" customHeight="1" x14ac:dyDescent="0.25">
      <c r="A14873" s="3"/>
      <c r="B14873" s="3"/>
      <c r="C14873" s="3"/>
      <c r="D14873" s="3"/>
      <c r="E14873" s="3"/>
      <c r="F14873" s="3"/>
      <c r="G14873" s="3"/>
      <c r="H14873" s="11"/>
      <c r="I14873" s="12"/>
      <c r="J14873" s="3"/>
      <c r="K14873" s="3"/>
      <c r="L14873" s="3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  <c r="AA14873" s="3"/>
      <c r="AB14873" s="3"/>
      <c r="AC14873" s="3"/>
      <c r="AD14873" s="3"/>
      <c r="AE14873" s="3"/>
      <c r="AF14873" s="3"/>
      <c r="AG14873" s="3"/>
      <c r="AH14873" s="3"/>
    </row>
    <row r="14874" spans="1:34" ht="14.25" customHeight="1" x14ac:dyDescent="0.25">
      <c r="A14874" s="3"/>
      <c r="B14874" s="3"/>
      <c r="C14874" s="3"/>
      <c r="D14874" s="3"/>
      <c r="E14874" s="3"/>
      <c r="F14874" s="3"/>
      <c r="G14874" s="3"/>
      <c r="H14874" s="11"/>
      <c r="I14874" s="12"/>
      <c r="J14874" s="3"/>
      <c r="K14874" s="3"/>
      <c r="L14874" s="3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  <c r="AA14874" s="3"/>
      <c r="AB14874" s="3"/>
      <c r="AC14874" s="3"/>
      <c r="AD14874" s="3"/>
      <c r="AE14874" s="3"/>
      <c r="AF14874" s="3"/>
      <c r="AG14874" s="3"/>
      <c r="AH14874" s="3"/>
    </row>
    <row r="14875" spans="1:34" ht="14.25" customHeight="1" x14ac:dyDescent="0.25">
      <c r="A14875" s="3"/>
      <c r="B14875" s="3"/>
      <c r="C14875" s="3"/>
      <c r="D14875" s="3"/>
      <c r="E14875" s="3"/>
      <c r="F14875" s="3"/>
      <c r="G14875" s="3"/>
      <c r="H14875" s="11"/>
      <c r="I14875" s="12"/>
      <c r="J14875" s="3"/>
      <c r="K14875" s="3"/>
      <c r="L14875" s="3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  <c r="AA14875" s="3"/>
      <c r="AB14875" s="3"/>
      <c r="AC14875" s="3"/>
      <c r="AD14875" s="3"/>
      <c r="AE14875" s="3"/>
      <c r="AF14875" s="3"/>
      <c r="AG14875" s="3"/>
      <c r="AH14875" s="3"/>
    </row>
    <row r="14876" spans="1:34" ht="14.25" customHeight="1" x14ac:dyDescent="0.25">
      <c r="A14876" s="3"/>
      <c r="B14876" s="3"/>
      <c r="C14876" s="3"/>
      <c r="D14876" s="3"/>
      <c r="E14876" s="3"/>
      <c r="F14876" s="3"/>
      <c r="G14876" s="3"/>
      <c r="H14876" s="11"/>
      <c r="I14876" s="12"/>
      <c r="J14876" s="3"/>
      <c r="K14876" s="3"/>
      <c r="L14876" s="3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  <c r="AA14876" s="3"/>
      <c r="AB14876" s="3"/>
      <c r="AC14876" s="3"/>
      <c r="AD14876" s="3"/>
      <c r="AE14876" s="3"/>
      <c r="AF14876" s="3"/>
      <c r="AG14876" s="3"/>
      <c r="AH14876" s="3"/>
    </row>
    <row r="14877" spans="1:34" ht="14.25" customHeight="1" x14ac:dyDescent="0.25">
      <c r="A14877" s="3"/>
      <c r="B14877" s="3"/>
      <c r="C14877" s="3"/>
      <c r="D14877" s="3"/>
      <c r="E14877" s="3"/>
      <c r="F14877" s="3"/>
      <c r="G14877" s="3"/>
      <c r="H14877" s="11"/>
      <c r="I14877" s="12"/>
      <c r="J14877" s="3"/>
      <c r="K14877" s="3"/>
      <c r="L14877" s="3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  <c r="AA14877" s="3"/>
      <c r="AB14877" s="3"/>
      <c r="AC14877" s="3"/>
      <c r="AD14877" s="3"/>
      <c r="AE14877" s="3"/>
      <c r="AF14877" s="3"/>
      <c r="AG14877" s="3"/>
      <c r="AH14877" s="3"/>
    </row>
    <row r="14878" spans="1:34" ht="14.25" customHeight="1" x14ac:dyDescent="0.25">
      <c r="A14878" s="3"/>
      <c r="B14878" s="3"/>
      <c r="C14878" s="3"/>
      <c r="D14878" s="3"/>
      <c r="E14878" s="3"/>
      <c r="F14878" s="3"/>
      <c r="G14878" s="3"/>
      <c r="H14878" s="11"/>
      <c r="I14878" s="12"/>
      <c r="J14878" s="3"/>
      <c r="K14878" s="3"/>
      <c r="L14878" s="3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  <c r="AA14878" s="3"/>
      <c r="AB14878" s="3"/>
      <c r="AC14878" s="3"/>
      <c r="AD14878" s="3"/>
      <c r="AE14878" s="3"/>
      <c r="AF14878" s="3"/>
      <c r="AG14878" s="3"/>
      <c r="AH14878" s="3"/>
    </row>
    <row r="14879" spans="1:34" ht="14.25" customHeight="1" x14ac:dyDescent="0.25">
      <c r="A14879" s="3"/>
      <c r="B14879" s="3"/>
      <c r="C14879" s="3"/>
      <c r="D14879" s="3"/>
      <c r="E14879" s="3"/>
      <c r="F14879" s="3"/>
      <c r="G14879" s="3"/>
      <c r="H14879" s="11"/>
      <c r="I14879" s="12"/>
      <c r="J14879" s="3"/>
      <c r="K14879" s="3"/>
      <c r="L14879" s="3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  <c r="AA14879" s="3"/>
      <c r="AB14879" s="3"/>
      <c r="AC14879" s="3"/>
      <c r="AD14879" s="3"/>
      <c r="AE14879" s="3"/>
      <c r="AF14879" s="3"/>
      <c r="AG14879" s="3"/>
      <c r="AH14879" s="3"/>
    </row>
    <row r="14880" spans="1:34" ht="14.25" customHeight="1" x14ac:dyDescent="0.25">
      <c r="A14880" s="3"/>
      <c r="B14880" s="3"/>
      <c r="C14880" s="3"/>
      <c r="D14880" s="3"/>
      <c r="E14880" s="3"/>
      <c r="F14880" s="3"/>
      <c r="G14880" s="3"/>
      <c r="H14880" s="11"/>
      <c r="I14880" s="12"/>
      <c r="J14880" s="3"/>
      <c r="K14880" s="3"/>
      <c r="L14880" s="3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  <c r="AA14880" s="3"/>
      <c r="AB14880" s="3"/>
      <c r="AC14880" s="3"/>
      <c r="AD14880" s="3"/>
      <c r="AE14880" s="3"/>
      <c r="AF14880" s="3"/>
      <c r="AG14880" s="3"/>
      <c r="AH14880" s="3"/>
    </row>
    <row r="14881" spans="1:34" ht="14.25" customHeight="1" x14ac:dyDescent="0.25">
      <c r="A14881" s="3"/>
      <c r="B14881" s="3"/>
      <c r="C14881" s="3"/>
      <c r="D14881" s="3"/>
      <c r="E14881" s="3"/>
      <c r="F14881" s="3"/>
      <c r="G14881" s="3"/>
      <c r="H14881" s="11"/>
      <c r="I14881" s="12"/>
      <c r="J14881" s="3"/>
      <c r="K14881" s="3"/>
      <c r="L14881" s="3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  <c r="AA14881" s="3"/>
      <c r="AB14881" s="3"/>
      <c r="AC14881" s="3"/>
      <c r="AD14881" s="3"/>
      <c r="AE14881" s="3"/>
      <c r="AF14881" s="3"/>
      <c r="AG14881" s="3"/>
      <c r="AH14881" s="3"/>
    </row>
    <row r="14882" spans="1:34" ht="14.25" customHeight="1" x14ac:dyDescent="0.25">
      <c r="A14882" s="3"/>
      <c r="B14882" s="3"/>
      <c r="C14882" s="3"/>
      <c r="D14882" s="3"/>
      <c r="E14882" s="3"/>
      <c r="F14882" s="3"/>
      <c r="G14882" s="3"/>
      <c r="H14882" s="11"/>
      <c r="I14882" s="12"/>
      <c r="J14882" s="3"/>
      <c r="K14882" s="3"/>
      <c r="L14882" s="3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  <c r="AA14882" s="3"/>
      <c r="AB14882" s="3"/>
      <c r="AC14882" s="3"/>
      <c r="AD14882" s="3"/>
      <c r="AE14882" s="3"/>
      <c r="AF14882" s="3"/>
      <c r="AG14882" s="3"/>
      <c r="AH14882" s="3"/>
    </row>
    <row r="14883" spans="1:34" ht="14.25" customHeight="1" x14ac:dyDescent="0.25">
      <c r="A14883" s="3"/>
      <c r="B14883" s="3"/>
      <c r="C14883" s="3"/>
      <c r="D14883" s="3"/>
      <c r="E14883" s="3"/>
      <c r="F14883" s="3"/>
      <c r="G14883" s="3"/>
      <c r="H14883" s="11"/>
      <c r="I14883" s="12"/>
      <c r="J14883" s="3"/>
      <c r="K14883" s="3"/>
      <c r="L14883" s="3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  <c r="AA14883" s="3"/>
      <c r="AB14883" s="3"/>
      <c r="AC14883" s="3"/>
      <c r="AD14883" s="3"/>
      <c r="AE14883" s="3"/>
      <c r="AF14883" s="3"/>
      <c r="AG14883" s="3"/>
      <c r="AH14883" s="3"/>
    </row>
    <row r="14884" spans="1:34" ht="14.25" customHeight="1" x14ac:dyDescent="0.25">
      <c r="A14884" s="3"/>
      <c r="B14884" s="3"/>
      <c r="C14884" s="3"/>
      <c r="D14884" s="3"/>
      <c r="E14884" s="3"/>
      <c r="F14884" s="3"/>
      <c r="G14884" s="3"/>
      <c r="H14884" s="11"/>
      <c r="I14884" s="12"/>
      <c r="J14884" s="3"/>
      <c r="K14884" s="3"/>
      <c r="L14884" s="3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  <c r="AA14884" s="3"/>
      <c r="AB14884" s="3"/>
      <c r="AC14884" s="3"/>
      <c r="AD14884" s="3"/>
      <c r="AE14884" s="3"/>
      <c r="AF14884" s="3"/>
      <c r="AG14884" s="3"/>
      <c r="AH14884" s="3"/>
    </row>
    <row r="14885" spans="1:34" ht="14.25" customHeight="1" x14ac:dyDescent="0.25">
      <c r="A14885" s="3"/>
      <c r="B14885" s="3"/>
      <c r="C14885" s="3"/>
      <c r="D14885" s="3"/>
      <c r="E14885" s="3"/>
      <c r="F14885" s="3"/>
      <c r="G14885" s="3"/>
      <c r="H14885" s="11"/>
      <c r="I14885" s="12"/>
      <c r="J14885" s="3"/>
      <c r="K14885" s="3"/>
      <c r="L14885" s="3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  <c r="AA14885" s="3"/>
      <c r="AB14885" s="3"/>
      <c r="AC14885" s="3"/>
      <c r="AD14885" s="3"/>
      <c r="AE14885" s="3"/>
      <c r="AF14885" s="3"/>
      <c r="AG14885" s="3"/>
      <c r="AH14885" s="3"/>
    </row>
    <row r="14886" spans="1:34" ht="14.25" customHeight="1" x14ac:dyDescent="0.25">
      <c r="A14886" s="3"/>
      <c r="B14886" s="3"/>
      <c r="C14886" s="3"/>
      <c r="D14886" s="3"/>
      <c r="E14886" s="3"/>
      <c r="F14886" s="3"/>
      <c r="G14886" s="3"/>
      <c r="H14886" s="11"/>
      <c r="I14886" s="12"/>
      <c r="J14886" s="3"/>
      <c r="K14886" s="3"/>
      <c r="L14886" s="3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  <c r="AA14886" s="3"/>
      <c r="AB14886" s="3"/>
      <c r="AC14886" s="3"/>
      <c r="AD14886" s="3"/>
      <c r="AE14886" s="3"/>
      <c r="AF14886" s="3"/>
      <c r="AG14886" s="3"/>
      <c r="AH14886" s="3"/>
    </row>
    <row r="14887" spans="1:34" ht="14.25" customHeight="1" x14ac:dyDescent="0.25">
      <c r="A14887" s="3"/>
      <c r="B14887" s="3"/>
      <c r="C14887" s="3"/>
      <c r="D14887" s="3"/>
      <c r="E14887" s="3"/>
      <c r="F14887" s="3"/>
      <c r="G14887" s="3"/>
      <c r="H14887" s="11"/>
      <c r="I14887" s="12"/>
      <c r="J14887" s="3"/>
      <c r="K14887" s="3"/>
      <c r="L14887" s="3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  <c r="AA14887" s="3"/>
      <c r="AB14887" s="3"/>
      <c r="AC14887" s="3"/>
      <c r="AD14887" s="3"/>
      <c r="AE14887" s="3"/>
      <c r="AF14887" s="3"/>
      <c r="AG14887" s="3"/>
      <c r="AH14887" s="3"/>
    </row>
    <row r="14888" spans="1:34" ht="14.25" customHeight="1" x14ac:dyDescent="0.25">
      <c r="A14888" s="3"/>
      <c r="B14888" s="3"/>
      <c r="C14888" s="3"/>
      <c r="D14888" s="3"/>
      <c r="E14888" s="3"/>
      <c r="F14888" s="3"/>
      <c r="G14888" s="3"/>
      <c r="H14888" s="11"/>
      <c r="I14888" s="12"/>
      <c r="J14888" s="3"/>
      <c r="K14888" s="3"/>
      <c r="L14888" s="3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  <c r="AA14888" s="3"/>
      <c r="AB14888" s="3"/>
      <c r="AC14888" s="3"/>
      <c r="AD14888" s="3"/>
      <c r="AE14888" s="3"/>
      <c r="AF14888" s="3"/>
      <c r="AG14888" s="3"/>
      <c r="AH14888" s="3"/>
    </row>
    <row r="14889" spans="1:34" ht="14.25" customHeight="1" x14ac:dyDescent="0.25">
      <c r="A14889" s="3"/>
      <c r="B14889" s="3"/>
      <c r="C14889" s="3"/>
      <c r="D14889" s="3"/>
      <c r="E14889" s="3"/>
      <c r="F14889" s="3"/>
      <c r="G14889" s="3"/>
      <c r="H14889" s="11"/>
      <c r="I14889" s="12"/>
      <c r="J14889" s="3"/>
      <c r="K14889" s="3"/>
      <c r="L14889" s="3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  <c r="AA14889" s="3"/>
      <c r="AB14889" s="3"/>
      <c r="AC14889" s="3"/>
      <c r="AD14889" s="3"/>
      <c r="AE14889" s="3"/>
      <c r="AF14889" s="3"/>
      <c r="AG14889" s="3"/>
      <c r="AH14889" s="3"/>
    </row>
    <row r="14890" spans="1:34" ht="14.25" customHeight="1" x14ac:dyDescent="0.25">
      <c r="A14890" s="3"/>
      <c r="B14890" s="3"/>
      <c r="C14890" s="3"/>
      <c r="D14890" s="3"/>
      <c r="E14890" s="3"/>
      <c r="F14890" s="3"/>
      <c r="G14890" s="3"/>
      <c r="H14890" s="11"/>
      <c r="I14890" s="12"/>
      <c r="J14890" s="3"/>
      <c r="K14890" s="3"/>
      <c r="L14890" s="3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  <c r="AA14890" s="3"/>
      <c r="AB14890" s="3"/>
      <c r="AC14890" s="3"/>
      <c r="AD14890" s="3"/>
      <c r="AE14890" s="3"/>
      <c r="AF14890" s="3"/>
      <c r="AG14890" s="3"/>
      <c r="AH14890" s="3"/>
    </row>
    <row r="14891" spans="1:34" ht="14.25" customHeight="1" x14ac:dyDescent="0.25">
      <c r="A14891" s="3"/>
      <c r="B14891" s="3"/>
      <c r="C14891" s="3"/>
      <c r="D14891" s="3"/>
      <c r="E14891" s="3"/>
      <c r="F14891" s="3"/>
      <c r="G14891" s="3"/>
      <c r="H14891" s="11"/>
      <c r="I14891" s="12"/>
      <c r="J14891" s="3"/>
      <c r="K14891" s="3"/>
      <c r="L14891" s="3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  <c r="AA14891" s="3"/>
      <c r="AB14891" s="3"/>
      <c r="AC14891" s="3"/>
      <c r="AD14891" s="3"/>
      <c r="AE14891" s="3"/>
      <c r="AF14891" s="3"/>
      <c r="AG14891" s="3"/>
      <c r="AH14891" s="3"/>
    </row>
    <row r="14892" spans="1:34" ht="14.25" customHeight="1" x14ac:dyDescent="0.25">
      <c r="A14892" s="3"/>
      <c r="B14892" s="3"/>
      <c r="C14892" s="3"/>
      <c r="D14892" s="3"/>
      <c r="E14892" s="3"/>
      <c r="F14892" s="3"/>
      <c r="G14892" s="3"/>
      <c r="H14892" s="11"/>
      <c r="I14892" s="12"/>
      <c r="J14892" s="3"/>
      <c r="K14892" s="3"/>
      <c r="L14892" s="3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  <c r="AA14892" s="3"/>
      <c r="AB14892" s="3"/>
      <c r="AC14892" s="3"/>
      <c r="AD14892" s="3"/>
      <c r="AE14892" s="3"/>
      <c r="AF14892" s="3"/>
      <c r="AG14892" s="3"/>
      <c r="AH14892" s="3"/>
    </row>
    <row r="14893" spans="1:34" ht="14.25" customHeight="1" x14ac:dyDescent="0.25">
      <c r="A14893" s="3"/>
      <c r="B14893" s="3"/>
      <c r="C14893" s="3"/>
      <c r="D14893" s="3"/>
      <c r="E14893" s="3"/>
      <c r="F14893" s="3"/>
      <c r="G14893" s="3"/>
      <c r="H14893" s="11"/>
      <c r="I14893" s="12"/>
      <c r="J14893" s="3"/>
      <c r="K14893" s="3"/>
      <c r="L14893" s="3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  <c r="AA14893" s="3"/>
      <c r="AB14893" s="3"/>
      <c r="AC14893" s="3"/>
      <c r="AD14893" s="3"/>
      <c r="AE14893" s="3"/>
      <c r="AF14893" s="3"/>
      <c r="AG14893" s="3"/>
      <c r="AH14893" s="3"/>
    </row>
    <row r="14894" spans="1:34" ht="14.25" customHeight="1" x14ac:dyDescent="0.25">
      <c r="A14894" s="3"/>
      <c r="B14894" s="3"/>
      <c r="C14894" s="3"/>
      <c r="D14894" s="3"/>
      <c r="E14894" s="3"/>
      <c r="F14894" s="3"/>
      <c r="G14894" s="3"/>
      <c r="H14894" s="11"/>
      <c r="I14894" s="12"/>
      <c r="J14894" s="3"/>
      <c r="K14894" s="3"/>
      <c r="L14894" s="3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  <c r="AA14894" s="3"/>
      <c r="AB14894" s="3"/>
      <c r="AC14894" s="3"/>
      <c r="AD14894" s="3"/>
      <c r="AE14894" s="3"/>
      <c r="AF14894" s="3"/>
      <c r="AG14894" s="3"/>
      <c r="AH14894" s="3"/>
    </row>
    <row r="14895" spans="1:34" ht="14.25" customHeight="1" x14ac:dyDescent="0.25">
      <c r="A14895" s="3"/>
      <c r="B14895" s="3"/>
      <c r="C14895" s="3"/>
      <c r="D14895" s="3"/>
      <c r="E14895" s="3"/>
      <c r="F14895" s="3"/>
      <c r="G14895" s="3"/>
      <c r="H14895" s="11"/>
      <c r="I14895" s="12"/>
      <c r="J14895" s="3"/>
      <c r="K14895" s="3"/>
      <c r="L14895" s="3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  <c r="AA14895" s="3"/>
      <c r="AB14895" s="3"/>
      <c r="AC14895" s="3"/>
      <c r="AD14895" s="3"/>
      <c r="AE14895" s="3"/>
      <c r="AF14895" s="3"/>
      <c r="AG14895" s="3"/>
      <c r="AH14895" s="3"/>
    </row>
    <row r="14896" spans="1:34" ht="14.25" customHeight="1" x14ac:dyDescent="0.25">
      <c r="A14896" s="3"/>
      <c r="B14896" s="3"/>
      <c r="C14896" s="3"/>
      <c r="D14896" s="3"/>
      <c r="E14896" s="3"/>
      <c r="F14896" s="3"/>
      <c r="G14896" s="3"/>
      <c r="H14896" s="11"/>
      <c r="I14896" s="12"/>
      <c r="J14896" s="3"/>
      <c r="K14896" s="3"/>
      <c r="L14896" s="3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  <c r="AA14896" s="3"/>
      <c r="AB14896" s="3"/>
      <c r="AC14896" s="3"/>
      <c r="AD14896" s="3"/>
      <c r="AE14896" s="3"/>
      <c r="AF14896" s="3"/>
      <c r="AG14896" s="3"/>
      <c r="AH14896" s="3"/>
    </row>
    <row r="14897" spans="1:34" ht="14.25" customHeight="1" x14ac:dyDescent="0.25">
      <c r="A14897" s="3"/>
      <c r="B14897" s="3"/>
      <c r="C14897" s="3"/>
      <c r="D14897" s="3"/>
      <c r="E14897" s="3"/>
      <c r="F14897" s="3"/>
      <c r="G14897" s="3"/>
      <c r="H14897" s="11"/>
      <c r="I14897" s="12"/>
      <c r="J14897" s="3"/>
      <c r="K14897" s="3"/>
      <c r="L14897" s="3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  <c r="AA14897" s="3"/>
      <c r="AB14897" s="3"/>
      <c r="AC14897" s="3"/>
      <c r="AD14897" s="3"/>
      <c r="AE14897" s="3"/>
      <c r="AF14897" s="3"/>
      <c r="AG14897" s="3"/>
      <c r="AH14897" s="3"/>
    </row>
    <row r="14898" spans="1:34" ht="14.25" customHeight="1" x14ac:dyDescent="0.25">
      <c r="A14898" s="3"/>
      <c r="B14898" s="3"/>
      <c r="C14898" s="3"/>
      <c r="D14898" s="3"/>
      <c r="E14898" s="3"/>
      <c r="F14898" s="3"/>
      <c r="G14898" s="3"/>
      <c r="H14898" s="11"/>
      <c r="I14898" s="12"/>
      <c r="J14898" s="3"/>
      <c r="K14898" s="3"/>
      <c r="L14898" s="3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  <c r="AA14898" s="3"/>
      <c r="AB14898" s="3"/>
      <c r="AC14898" s="3"/>
      <c r="AD14898" s="3"/>
      <c r="AE14898" s="3"/>
      <c r="AF14898" s="3"/>
      <c r="AG14898" s="3"/>
      <c r="AH14898" s="3"/>
    </row>
    <row r="14899" spans="1:34" ht="14.25" customHeight="1" x14ac:dyDescent="0.25">
      <c r="A14899" s="3"/>
      <c r="B14899" s="3"/>
      <c r="C14899" s="3"/>
      <c r="D14899" s="3"/>
      <c r="E14899" s="3"/>
      <c r="F14899" s="3"/>
      <c r="G14899" s="3"/>
      <c r="H14899" s="11"/>
      <c r="I14899" s="12"/>
      <c r="J14899" s="3"/>
      <c r="K14899" s="3"/>
      <c r="L14899" s="3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  <c r="AA14899" s="3"/>
      <c r="AB14899" s="3"/>
      <c r="AC14899" s="3"/>
      <c r="AD14899" s="3"/>
      <c r="AE14899" s="3"/>
      <c r="AF14899" s="3"/>
      <c r="AG14899" s="3"/>
      <c r="AH14899" s="3"/>
    </row>
    <row r="14900" spans="1:34" ht="14.25" customHeight="1" x14ac:dyDescent="0.25">
      <c r="A14900" s="3"/>
      <c r="B14900" s="3"/>
      <c r="C14900" s="3"/>
      <c r="D14900" s="3"/>
      <c r="E14900" s="3"/>
      <c r="F14900" s="3"/>
      <c r="G14900" s="3"/>
      <c r="H14900" s="11"/>
      <c r="I14900" s="12"/>
      <c r="J14900" s="3"/>
      <c r="K14900" s="3"/>
      <c r="L14900" s="3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  <c r="AA14900" s="3"/>
      <c r="AB14900" s="3"/>
      <c r="AC14900" s="3"/>
      <c r="AD14900" s="3"/>
      <c r="AE14900" s="3"/>
      <c r="AF14900" s="3"/>
      <c r="AG14900" s="3"/>
      <c r="AH14900" s="3"/>
    </row>
    <row r="14901" spans="1:34" ht="14.25" customHeight="1" x14ac:dyDescent="0.25">
      <c r="A14901" s="3"/>
      <c r="B14901" s="3"/>
      <c r="C14901" s="3"/>
      <c r="D14901" s="3"/>
      <c r="E14901" s="3"/>
      <c r="F14901" s="3"/>
      <c r="G14901" s="3"/>
      <c r="H14901" s="11"/>
      <c r="I14901" s="12"/>
      <c r="J14901" s="3"/>
      <c r="K14901" s="3"/>
      <c r="L14901" s="3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  <c r="AA14901" s="3"/>
      <c r="AB14901" s="3"/>
      <c r="AC14901" s="3"/>
      <c r="AD14901" s="3"/>
      <c r="AE14901" s="3"/>
      <c r="AF14901" s="3"/>
      <c r="AG14901" s="3"/>
      <c r="AH14901" s="3"/>
    </row>
    <row r="14902" spans="1:34" ht="14.25" customHeight="1" x14ac:dyDescent="0.25">
      <c r="A14902" s="3"/>
      <c r="B14902" s="3"/>
      <c r="C14902" s="3"/>
      <c r="D14902" s="3"/>
      <c r="E14902" s="3"/>
      <c r="F14902" s="3"/>
      <c r="G14902" s="3"/>
      <c r="H14902" s="11"/>
      <c r="I14902" s="12"/>
      <c r="J14902" s="3"/>
      <c r="K14902" s="3"/>
      <c r="L14902" s="3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  <c r="AA14902" s="3"/>
      <c r="AB14902" s="3"/>
      <c r="AC14902" s="3"/>
      <c r="AD14902" s="3"/>
      <c r="AE14902" s="3"/>
      <c r="AF14902" s="3"/>
      <c r="AG14902" s="3"/>
      <c r="AH14902" s="3"/>
    </row>
    <row r="14903" spans="1:34" ht="14.25" customHeight="1" x14ac:dyDescent="0.25">
      <c r="A14903" s="3"/>
      <c r="B14903" s="3"/>
      <c r="C14903" s="3"/>
      <c r="D14903" s="3"/>
      <c r="E14903" s="3"/>
      <c r="F14903" s="3"/>
      <c r="G14903" s="3"/>
      <c r="H14903" s="11"/>
      <c r="I14903" s="12"/>
      <c r="J14903" s="3"/>
      <c r="K14903" s="3"/>
      <c r="L14903" s="3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  <c r="AA14903" s="3"/>
      <c r="AB14903" s="3"/>
      <c r="AC14903" s="3"/>
      <c r="AD14903" s="3"/>
      <c r="AE14903" s="3"/>
      <c r="AF14903" s="3"/>
      <c r="AG14903" s="3"/>
      <c r="AH14903" s="3"/>
    </row>
    <row r="14904" spans="1:34" ht="14.25" customHeight="1" x14ac:dyDescent="0.25">
      <c r="A14904" s="3"/>
      <c r="B14904" s="3"/>
      <c r="C14904" s="3"/>
      <c r="D14904" s="3"/>
      <c r="E14904" s="3"/>
      <c r="F14904" s="3"/>
      <c r="G14904" s="3"/>
      <c r="H14904" s="11"/>
      <c r="I14904" s="12"/>
      <c r="J14904" s="3"/>
      <c r="K14904" s="3"/>
      <c r="L14904" s="3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  <c r="AA14904" s="3"/>
      <c r="AB14904" s="3"/>
      <c r="AC14904" s="3"/>
      <c r="AD14904" s="3"/>
      <c r="AE14904" s="3"/>
      <c r="AF14904" s="3"/>
      <c r="AG14904" s="3"/>
      <c r="AH14904" s="3"/>
    </row>
    <row r="14905" spans="1:34" ht="14.25" customHeight="1" x14ac:dyDescent="0.25">
      <c r="A14905" s="3"/>
      <c r="B14905" s="3"/>
      <c r="C14905" s="3"/>
      <c r="D14905" s="3"/>
      <c r="E14905" s="3"/>
      <c r="F14905" s="3"/>
      <c r="G14905" s="3"/>
      <c r="H14905" s="11"/>
      <c r="I14905" s="12"/>
      <c r="J14905" s="3"/>
      <c r="K14905" s="3"/>
      <c r="L14905" s="3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  <c r="AA14905" s="3"/>
      <c r="AB14905" s="3"/>
      <c r="AC14905" s="3"/>
      <c r="AD14905" s="3"/>
      <c r="AE14905" s="3"/>
      <c r="AF14905" s="3"/>
      <c r="AG14905" s="3"/>
      <c r="AH14905" s="3"/>
    </row>
    <row r="14906" spans="1:34" ht="14.25" customHeight="1" x14ac:dyDescent="0.25">
      <c r="A14906" s="3"/>
      <c r="B14906" s="3"/>
      <c r="C14906" s="3"/>
      <c r="D14906" s="3"/>
      <c r="E14906" s="3"/>
      <c r="F14906" s="3"/>
      <c r="G14906" s="3"/>
      <c r="H14906" s="11"/>
      <c r="I14906" s="12"/>
      <c r="J14906" s="3"/>
      <c r="K14906" s="3"/>
      <c r="L14906" s="3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  <c r="AA14906" s="3"/>
      <c r="AB14906" s="3"/>
      <c r="AC14906" s="3"/>
      <c r="AD14906" s="3"/>
      <c r="AE14906" s="3"/>
      <c r="AF14906" s="3"/>
      <c r="AG14906" s="3"/>
      <c r="AH14906" s="3"/>
    </row>
    <row r="14907" spans="1:34" ht="14.25" customHeight="1" x14ac:dyDescent="0.25">
      <c r="A14907" s="3"/>
      <c r="B14907" s="3"/>
      <c r="C14907" s="3"/>
      <c r="D14907" s="3"/>
      <c r="E14907" s="3"/>
      <c r="F14907" s="3"/>
      <c r="G14907" s="3"/>
      <c r="H14907" s="11"/>
      <c r="I14907" s="12"/>
      <c r="J14907" s="3"/>
      <c r="K14907" s="3"/>
      <c r="L14907" s="3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  <c r="AA14907" s="3"/>
      <c r="AB14907" s="3"/>
      <c r="AC14907" s="3"/>
      <c r="AD14907" s="3"/>
      <c r="AE14907" s="3"/>
      <c r="AF14907" s="3"/>
      <c r="AG14907" s="3"/>
      <c r="AH14907" s="3"/>
    </row>
    <row r="14908" spans="1:34" ht="14.25" customHeight="1" x14ac:dyDescent="0.25">
      <c r="A14908" s="3"/>
      <c r="B14908" s="3"/>
      <c r="C14908" s="3"/>
      <c r="D14908" s="3"/>
      <c r="E14908" s="3"/>
      <c r="F14908" s="3"/>
      <c r="G14908" s="3"/>
      <c r="H14908" s="11"/>
      <c r="I14908" s="12"/>
      <c r="J14908" s="3"/>
      <c r="K14908" s="3"/>
      <c r="L14908" s="3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  <c r="AA14908" s="3"/>
      <c r="AB14908" s="3"/>
      <c r="AC14908" s="3"/>
      <c r="AD14908" s="3"/>
      <c r="AE14908" s="3"/>
      <c r="AF14908" s="3"/>
      <c r="AG14908" s="3"/>
      <c r="AH14908" s="3"/>
    </row>
    <row r="14909" spans="1:34" ht="14.25" customHeight="1" x14ac:dyDescent="0.25">
      <c r="A14909" s="3"/>
      <c r="B14909" s="3"/>
      <c r="C14909" s="3"/>
      <c r="D14909" s="3"/>
      <c r="E14909" s="3"/>
      <c r="F14909" s="3"/>
      <c r="G14909" s="3"/>
      <c r="H14909" s="11"/>
      <c r="I14909" s="12"/>
      <c r="J14909" s="3"/>
      <c r="K14909" s="3"/>
      <c r="L14909" s="3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  <c r="AA14909" s="3"/>
      <c r="AB14909" s="3"/>
      <c r="AC14909" s="3"/>
      <c r="AD14909" s="3"/>
      <c r="AE14909" s="3"/>
      <c r="AF14909" s="3"/>
      <c r="AG14909" s="3"/>
      <c r="AH14909" s="3"/>
    </row>
    <row r="14910" spans="1:34" ht="14.25" customHeight="1" x14ac:dyDescent="0.25">
      <c r="A14910" s="3"/>
      <c r="B14910" s="3"/>
      <c r="C14910" s="3"/>
      <c r="D14910" s="3"/>
      <c r="E14910" s="3"/>
      <c r="F14910" s="3"/>
      <c r="G14910" s="3"/>
      <c r="H14910" s="11"/>
      <c r="I14910" s="12"/>
      <c r="J14910" s="3"/>
      <c r="K14910" s="3"/>
      <c r="L14910" s="3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  <c r="AA14910" s="3"/>
      <c r="AB14910" s="3"/>
      <c r="AC14910" s="3"/>
      <c r="AD14910" s="3"/>
      <c r="AE14910" s="3"/>
      <c r="AF14910" s="3"/>
      <c r="AG14910" s="3"/>
      <c r="AH14910" s="3"/>
    </row>
    <row r="14911" spans="1:34" ht="14.25" customHeight="1" x14ac:dyDescent="0.25">
      <c r="A14911" s="3"/>
      <c r="B14911" s="3"/>
      <c r="C14911" s="3"/>
      <c r="D14911" s="3"/>
      <c r="E14911" s="3"/>
      <c r="F14911" s="3"/>
      <c r="G14911" s="3"/>
      <c r="H14911" s="11"/>
      <c r="I14911" s="12"/>
      <c r="J14911" s="3"/>
      <c r="K14911" s="3"/>
      <c r="L14911" s="3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  <c r="AA14911" s="3"/>
      <c r="AB14911" s="3"/>
      <c r="AC14911" s="3"/>
      <c r="AD14911" s="3"/>
      <c r="AE14911" s="3"/>
      <c r="AF14911" s="3"/>
      <c r="AG14911" s="3"/>
      <c r="AH14911" s="3"/>
    </row>
    <row r="14912" spans="1:34" ht="14.25" customHeight="1" x14ac:dyDescent="0.25">
      <c r="A14912" s="3"/>
      <c r="B14912" s="3"/>
      <c r="C14912" s="3"/>
      <c r="D14912" s="3"/>
      <c r="E14912" s="3"/>
      <c r="F14912" s="3"/>
      <c r="G14912" s="3"/>
      <c r="H14912" s="11"/>
      <c r="I14912" s="12"/>
      <c r="J14912" s="3"/>
      <c r="K14912" s="3"/>
      <c r="L14912" s="3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  <c r="AA14912" s="3"/>
      <c r="AB14912" s="3"/>
      <c r="AC14912" s="3"/>
      <c r="AD14912" s="3"/>
      <c r="AE14912" s="3"/>
      <c r="AF14912" s="3"/>
      <c r="AG14912" s="3"/>
      <c r="AH14912" s="3"/>
    </row>
    <row r="14913" spans="1:34" ht="14.25" customHeight="1" x14ac:dyDescent="0.25">
      <c r="A14913" s="3"/>
      <c r="B14913" s="3"/>
      <c r="C14913" s="3"/>
      <c r="D14913" s="3"/>
      <c r="E14913" s="3"/>
      <c r="F14913" s="3"/>
      <c r="G14913" s="3"/>
      <c r="H14913" s="11"/>
      <c r="I14913" s="12"/>
      <c r="J14913" s="3"/>
      <c r="K14913" s="3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  <c r="AA14913" s="3"/>
      <c r="AB14913" s="3"/>
      <c r="AC14913" s="3"/>
      <c r="AD14913" s="3"/>
      <c r="AE14913" s="3"/>
      <c r="AF14913" s="3"/>
      <c r="AG14913" s="3"/>
      <c r="AH14913" s="3"/>
    </row>
    <row r="14914" spans="1:34" ht="14.25" customHeight="1" x14ac:dyDescent="0.25">
      <c r="A14914" s="3"/>
      <c r="B14914" s="3"/>
      <c r="C14914" s="3"/>
      <c r="D14914" s="3"/>
      <c r="E14914" s="3"/>
      <c r="F14914" s="3"/>
      <c r="G14914" s="3"/>
      <c r="H14914" s="11"/>
      <c r="I14914" s="12"/>
      <c r="J14914" s="3"/>
      <c r="K14914" s="3"/>
      <c r="L14914" s="3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  <c r="AA14914" s="3"/>
      <c r="AB14914" s="3"/>
      <c r="AC14914" s="3"/>
      <c r="AD14914" s="3"/>
      <c r="AE14914" s="3"/>
      <c r="AF14914" s="3"/>
      <c r="AG14914" s="3"/>
      <c r="AH14914" s="3"/>
    </row>
    <row r="14915" spans="1:34" ht="14.25" customHeight="1" x14ac:dyDescent="0.25">
      <c r="A14915" s="3"/>
      <c r="B14915" s="3"/>
      <c r="C14915" s="3"/>
      <c r="D14915" s="3"/>
      <c r="E14915" s="3"/>
      <c r="F14915" s="3"/>
      <c r="G14915" s="3"/>
      <c r="H14915" s="11"/>
      <c r="I14915" s="12"/>
      <c r="J14915" s="3"/>
      <c r="K14915" s="3"/>
      <c r="L14915" s="3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  <c r="AA14915" s="3"/>
      <c r="AB14915" s="3"/>
      <c r="AC14915" s="3"/>
      <c r="AD14915" s="3"/>
      <c r="AE14915" s="3"/>
      <c r="AF14915" s="3"/>
      <c r="AG14915" s="3"/>
      <c r="AH14915" s="3"/>
    </row>
    <row r="14916" spans="1:34" ht="14.25" customHeight="1" x14ac:dyDescent="0.25">
      <c r="A14916" s="3"/>
      <c r="B14916" s="3"/>
      <c r="C14916" s="3"/>
      <c r="D14916" s="3"/>
      <c r="E14916" s="3"/>
      <c r="F14916" s="3"/>
      <c r="G14916" s="3"/>
      <c r="H14916" s="11"/>
      <c r="I14916" s="12"/>
      <c r="J14916" s="3"/>
      <c r="K14916" s="3"/>
      <c r="L14916" s="3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  <c r="AA14916" s="3"/>
      <c r="AB14916" s="3"/>
      <c r="AC14916" s="3"/>
      <c r="AD14916" s="3"/>
      <c r="AE14916" s="3"/>
      <c r="AF14916" s="3"/>
      <c r="AG14916" s="3"/>
      <c r="AH14916" s="3"/>
    </row>
    <row r="14917" spans="1:34" ht="14.25" customHeight="1" x14ac:dyDescent="0.25">
      <c r="A14917" s="3"/>
      <c r="B14917" s="3"/>
      <c r="C14917" s="3"/>
      <c r="D14917" s="3"/>
      <c r="E14917" s="3"/>
      <c r="F14917" s="3"/>
      <c r="G14917" s="3"/>
      <c r="H14917" s="11"/>
      <c r="I14917" s="12"/>
      <c r="J14917" s="3"/>
      <c r="K14917" s="3"/>
      <c r="L14917" s="3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  <c r="AA14917" s="3"/>
      <c r="AB14917" s="3"/>
      <c r="AC14917" s="3"/>
      <c r="AD14917" s="3"/>
      <c r="AE14917" s="3"/>
      <c r="AF14917" s="3"/>
      <c r="AG14917" s="3"/>
      <c r="AH14917" s="3"/>
    </row>
    <row r="14918" spans="1:34" ht="14.25" customHeight="1" x14ac:dyDescent="0.25">
      <c r="A14918" s="3"/>
      <c r="B14918" s="3"/>
      <c r="C14918" s="3"/>
      <c r="D14918" s="3"/>
      <c r="E14918" s="3"/>
      <c r="F14918" s="3"/>
      <c r="G14918" s="3"/>
      <c r="H14918" s="11"/>
      <c r="I14918" s="12"/>
      <c r="J14918" s="3"/>
      <c r="K14918" s="3"/>
      <c r="L14918" s="3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  <c r="AA14918" s="3"/>
      <c r="AB14918" s="3"/>
      <c r="AC14918" s="3"/>
      <c r="AD14918" s="3"/>
      <c r="AE14918" s="3"/>
      <c r="AF14918" s="3"/>
      <c r="AG14918" s="3"/>
      <c r="AH14918" s="3"/>
    </row>
    <row r="14919" spans="1:34" ht="14.25" customHeight="1" x14ac:dyDescent="0.25">
      <c r="A14919" s="3"/>
      <c r="B14919" s="3"/>
      <c r="C14919" s="3"/>
      <c r="D14919" s="3"/>
      <c r="E14919" s="3"/>
      <c r="F14919" s="3"/>
      <c r="G14919" s="3"/>
      <c r="H14919" s="11"/>
      <c r="I14919" s="12"/>
      <c r="J14919" s="3"/>
      <c r="K14919" s="3"/>
      <c r="L14919" s="3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  <c r="AA14919" s="3"/>
      <c r="AB14919" s="3"/>
      <c r="AC14919" s="3"/>
      <c r="AD14919" s="3"/>
      <c r="AE14919" s="3"/>
      <c r="AF14919" s="3"/>
      <c r="AG14919" s="3"/>
      <c r="AH14919" s="3"/>
    </row>
    <row r="14920" spans="1:34" ht="14.25" customHeight="1" x14ac:dyDescent="0.25">
      <c r="A14920" s="3"/>
      <c r="B14920" s="3"/>
      <c r="C14920" s="3"/>
      <c r="D14920" s="3"/>
      <c r="E14920" s="3"/>
      <c r="F14920" s="3"/>
      <c r="G14920" s="3"/>
      <c r="H14920" s="11"/>
      <c r="I14920" s="12"/>
      <c r="J14920" s="3"/>
      <c r="K14920" s="3"/>
      <c r="L14920" s="3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  <c r="AA14920" s="3"/>
      <c r="AB14920" s="3"/>
      <c r="AC14920" s="3"/>
      <c r="AD14920" s="3"/>
      <c r="AE14920" s="3"/>
      <c r="AF14920" s="3"/>
      <c r="AG14920" s="3"/>
      <c r="AH14920" s="3"/>
    </row>
    <row r="14921" spans="1:34" ht="14.25" customHeight="1" x14ac:dyDescent="0.25">
      <c r="A14921" s="3"/>
      <c r="B14921" s="3"/>
      <c r="C14921" s="3"/>
      <c r="D14921" s="3"/>
      <c r="E14921" s="3"/>
      <c r="F14921" s="3"/>
      <c r="G14921" s="3"/>
      <c r="H14921" s="11"/>
      <c r="I14921" s="12"/>
      <c r="J14921" s="3"/>
      <c r="K14921" s="3"/>
      <c r="L14921" s="3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  <c r="AA14921" s="3"/>
      <c r="AB14921" s="3"/>
      <c r="AC14921" s="3"/>
      <c r="AD14921" s="3"/>
      <c r="AE14921" s="3"/>
      <c r="AF14921" s="3"/>
      <c r="AG14921" s="3"/>
      <c r="AH14921" s="3"/>
    </row>
    <row r="14922" spans="1:34" ht="14.25" customHeight="1" x14ac:dyDescent="0.25">
      <c r="A14922" s="3"/>
      <c r="B14922" s="3"/>
      <c r="C14922" s="3"/>
      <c r="D14922" s="3"/>
      <c r="E14922" s="3"/>
      <c r="F14922" s="3"/>
      <c r="G14922" s="3"/>
      <c r="H14922" s="11"/>
      <c r="I14922" s="12"/>
      <c r="J14922" s="3"/>
      <c r="K14922" s="3"/>
      <c r="L14922" s="3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  <c r="AA14922" s="3"/>
      <c r="AB14922" s="3"/>
      <c r="AC14922" s="3"/>
      <c r="AD14922" s="3"/>
      <c r="AE14922" s="3"/>
      <c r="AF14922" s="3"/>
      <c r="AG14922" s="3"/>
      <c r="AH14922" s="3"/>
    </row>
    <row r="14923" spans="1:34" ht="14.25" customHeight="1" x14ac:dyDescent="0.25">
      <c r="A14923" s="3"/>
      <c r="B14923" s="3"/>
      <c r="C14923" s="3"/>
      <c r="D14923" s="3"/>
      <c r="E14923" s="3"/>
      <c r="F14923" s="3"/>
      <c r="G14923" s="3"/>
      <c r="H14923" s="11"/>
      <c r="I14923" s="12"/>
      <c r="J14923" s="3"/>
      <c r="K14923" s="3"/>
      <c r="L14923" s="3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  <c r="AA14923" s="3"/>
      <c r="AB14923" s="3"/>
      <c r="AC14923" s="3"/>
      <c r="AD14923" s="3"/>
      <c r="AE14923" s="3"/>
      <c r="AF14923" s="3"/>
      <c r="AG14923" s="3"/>
      <c r="AH14923" s="3"/>
    </row>
    <row r="14924" spans="1:34" ht="14.25" customHeight="1" x14ac:dyDescent="0.25">
      <c r="A14924" s="3"/>
      <c r="B14924" s="3"/>
      <c r="C14924" s="3"/>
      <c r="D14924" s="3"/>
      <c r="E14924" s="3"/>
      <c r="F14924" s="3"/>
      <c r="G14924" s="3"/>
      <c r="H14924" s="11"/>
      <c r="I14924" s="12"/>
      <c r="J14924" s="3"/>
      <c r="K14924" s="3"/>
      <c r="L14924" s="3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  <c r="AA14924" s="3"/>
      <c r="AB14924" s="3"/>
      <c r="AC14924" s="3"/>
      <c r="AD14924" s="3"/>
      <c r="AE14924" s="3"/>
      <c r="AF14924" s="3"/>
      <c r="AG14924" s="3"/>
      <c r="AH14924" s="3"/>
    </row>
    <row r="14925" spans="1:34" ht="14.25" customHeight="1" x14ac:dyDescent="0.25">
      <c r="A14925" s="3"/>
      <c r="B14925" s="3"/>
      <c r="C14925" s="3"/>
      <c r="D14925" s="3"/>
      <c r="E14925" s="3"/>
      <c r="F14925" s="3"/>
      <c r="G14925" s="3"/>
      <c r="H14925" s="11"/>
      <c r="I14925" s="12"/>
      <c r="J14925" s="3"/>
      <c r="K14925" s="3"/>
      <c r="L14925" s="3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  <c r="AA14925" s="3"/>
      <c r="AB14925" s="3"/>
      <c r="AC14925" s="3"/>
      <c r="AD14925" s="3"/>
      <c r="AE14925" s="3"/>
      <c r="AF14925" s="3"/>
      <c r="AG14925" s="3"/>
      <c r="AH14925" s="3"/>
    </row>
    <row r="14926" spans="1:34" ht="14.25" customHeight="1" x14ac:dyDescent="0.25">
      <c r="A14926" s="3"/>
      <c r="B14926" s="3"/>
      <c r="C14926" s="3"/>
      <c r="D14926" s="3"/>
      <c r="E14926" s="3"/>
      <c r="F14926" s="3"/>
      <c r="G14926" s="3"/>
      <c r="H14926" s="11"/>
      <c r="I14926" s="12"/>
      <c r="J14926" s="3"/>
      <c r="K14926" s="3"/>
      <c r="L14926" s="3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  <c r="AA14926" s="3"/>
      <c r="AB14926" s="3"/>
      <c r="AC14926" s="3"/>
      <c r="AD14926" s="3"/>
      <c r="AE14926" s="3"/>
      <c r="AF14926" s="3"/>
      <c r="AG14926" s="3"/>
      <c r="AH14926" s="3"/>
    </row>
    <row r="14927" spans="1:34" ht="14.25" customHeight="1" x14ac:dyDescent="0.25">
      <c r="A14927" s="3"/>
      <c r="B14927" s="3"/>
      <c r="C14927" s="3"/>
      <c r="D14927" s="3"/>
      <c r="E14927" s="3"/>
      <c r="F14927" s="3"/>
      <c r="G14927" s="3"/>
      <c r="H14927" s="11"/>
      <c r="I14927" s="12"/>
      <c r="J14927" s="3"/>
      <c r="K14927" s="3"/>
      <c r="L14927" s="3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  <c r="AA14927" s="3"/>
      <c r="AB14927" s="3"/>
      <c r="AC14927" s="3"/>
      <c r="AD14927" s="3"/>
      <c r="AE14927" s="3"/>
      <c r="AF14927" s="3"/>
      <c r="AG14927" s="3"/>
      <c r="AH14927" s="3"/>
    </row>
    <row r="14928" spans="1:34" ht="14.25" customHeight="1" x14ac:dyDescent="0.25">
      <c r="A14928" s="3"/>
      <c r="B14928" s="3"/>
      <c r="C14928" s="3"/>
      <c r="D14928" s="3"/>
      <c r="E14928" s="3"/>
      <c r="F14928" s="3"/>
      <c r="G14928" s="3"/>
      <c r="H14928" s="11"/>
      <c r="I14928" s="12"/>
      <c r="J14928" s="3"/>
      <c r="K14928" s="3"/>
      <c r="L14928" s="3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  <c r="AA14928" s="3"/>
      <c r="AB14928" s="3"/>
      <c r="AC14928" s="3"/>
      <c r="AD14928" s="3"/>
      <c r="AE14928" s="3"/>
      <c r="AF14928" s="3"/>
      <c r="AG14928" s="3"/>
      <c r="AH14928" s="3"/>
    </row>
    <row r="14929" spans="1:34" ht="14.25" customHeight="1" x14ac:dyDescent="0.25">
      <c r="A14929" s="3"/>
      <c r="B14929" s="3"/>
      <c r="C14929" s="3"/>
      <c r="D14929" s="3"/>
      <c r="E14929" s="3"/>
      <c r="F14929" s="3"/>
      <c r="G14929" s="3"/>
      <c r="H14929" s="11"/>
      <c r="I14929" s="12"/>
      <c r="J14929" s="3"/>
      <c r="K14929" s="3"/>
      <c r="L14929" s="3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  <c r="AA14929" s="3"/>
      <c r="AB14929" s="3"/>
      <c r="AC14929" s="3"/>
      <c r="AD14929" s="3"/>
      <c r="AE14929" s="3"/>
      <c r="AF14929" s="3"/>
      <c r="AG14929" s="3"/>
      <c r="AH14929" s="3"/>
    </row>
    <row r="14930" spans="1:34" ht="14.25" customHeight="1" x14ac:dyDescent="0.25">
      <c r="A14930" s="3"/>
      <c r="B14930" s="3"/>
      <c r="C14930" s="3"/>
      <c r="D14930" s="3"/>
      <c r="E14930" s="3"/>
      <c r="F14930" s="3"/>
      <c r="G14930" s="3"/>
      <c r="H14930" s="11"/>
      <c r="I14930" s="12"/>
      <c r="J14930" s="3"/>
      <c r="K14930" s="3"/>
      <c r="L14930" s="3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  <c r="AA14930" s="3"/>
      <c r="AB14930" s="3"/>
      <c r="AC14930" s="3"/>
      <c r="AD14930" s="3"/>
      <c r="AE14930" s="3"/>
      <c r="AF14930" s="3"/>
      <c r="AG14930" s="3"/>
      <c r="AH14930" s="3"/>
    </row>
    <row r="14931" spans="1:34" ht="14.25" customHeight="1" x14ac:dyDescent="0.25">
      <c r="A14931" s="3"/>
      <c r="B14931" s="3"/>
      <c r="C14931" s="3"/>
      <c r="D14931" s="3"/>
      <c r="E14931" s="3"/>
      <c r="F14931" s="3"/>
      <c r="G14931" s="3"/>
      <c r="H14931" s="11"/>
      <c r="I14931" s="12"/>
      <c r="J14931" s="3"/>
      <c r="K14931" s="3"/>
      <c r="L14931" s="3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  <c r="AA14931" s="3"/>
      <c r="AB14931" s="3"/>
      <c r="AC14931" s="3"/>
      <c r="AD14931" s="3"/>
      <c r="AE14931" s="3"/>
      <c r="AF14931" s="3"/>
      <c r="AG14931" s="3"/>
      <c r="AH14931" s="3"/>
    </row>
    <row r="14932" spans="1:34" ht="14.25" customHeight="1" x14ac:dyDescent="0.25">
      <c r="A14932" s="3"/>
      <c r="B14932" s="3"/>
      <c r="C14932" s="3"/>
      <c r="D14932" s="3"/>
      <c r="E14932" s="3"/>
      <c r="F14932" s="3"/>
      <c r="G14932" s="3"/>
      <c r="H14932" s="11"/>
      <c r="I14932" s="12"/>
      <c r="J14932" s="3"/>
      <c r="K14932" s="3"/>
      <c r="L14932" s="3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  <c r="AA14932" s="3"/>
      <c r="AB14932" s="3"/>
      <c r="AC14932" s="3"/>
      <c r="AD14932" s="3"/>
      <c r="AE14932" s="3"/>
      <c r="AF14932" s="3"/>
      <c r="AG14932" s="3"/>
      <c r="AH14932" s="3"/>
    </row>
    <row r="14933" spans="1:34" ht="14.25" customHeight="1" x14ac:dyDescent="0.25">
      <c r="A14933" s="3"/>
      <c r="B14933" s="3"/>
      <c r="C14933" s="3"/>
      <c r="D14933" s="3"/>
      <c r="E14933" s="3"/>
      <c r="F14933" s="3"/>
      <c r="G14933" s="3"/>
      <c r="H14933" s="11"/>
      <c r="I14933" s="12"/>
      <c r="J14933" s="3"/>
      <c r="K14933" s="3"/>
      <c r="L14933" s="3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  <c r="AA14933" s="3"/>
      <c r="AB14933" s="3"/>
      <c r="AC14933" s="3"/>
      <c r="AD14933" s="3"/>
      <c r="AE14933" s="3"/>
      <c r="AF14933" s="3"/>
      <c r="AG14933" s="3"/>
      <c r="AH14933" s="3"/>
    </row>
    <row r="14934" spans="1:34" ht="14.25" customHeight="1" x14ac:dyDescent="0.25">
      <c r="A14934" s="3"/>
      <c r="B14934" s="3"/>
      <c r="C14934" s="3"/>
      <c r="D14934" s="3"/>
      <c r="E14934" s="3"/>
      <c r="F14934" s="3"/>
      <c r="G14934" s="3"/>
      <c r="H14934" s="11"/>
      <c r="I14934" s="12"/>
      <c r="J14934" s="3"/>
      <c r="K14934" s="3"/>
      <c r="L14934" s="3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  <c r="AA14934" s="3"/>
      <c r="AB14934" s="3"/>
      <c r="AC14934" s="3"/>
      <c r="AD14934" s="3"/>
      <c r="AE14934" s="3"/>
      <c r="AF14934" s="3"/>
      <c r="AG14934" s="3"/>
      <c r="AH14934" s="3"/>
    </row>
    <row r="14935" spans="1:34" ht="14.25" customHeight="1" x14ac:dyDescent="0.25">
      <c r="A14935" s="3"/>
      <c r="B14935" s="3"/>
      <c r="C14935" s="3"/>
      <c r="D14935" s="3"/>
      <c r="E14935" s="3"/>
      <c r="F14935" s="3"/>
      <c r="G14935" s="3"/>
      <c r="H14935" s="11"/>
      <c r="I14935" s="12"/>
      <c r="J14935" s="3"/>
      <c r="K14935" s="3"/>
      <c r="L14935" s="3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  <c r="AA14935" s="3"/>
      <c r="AB14935" s="3"/>
      <c r="AC14935" s="3"/>
      <c r="AD14935" s="3"/>
      <c r="AE14935" s="3"/>
      <c r="AF14935" s="3"/>
      <c r="AG14935" s="3"/>
      <c r="AH14935" s="3"/>
    </row>
    <row r="14936" spans="1:34" ht="14.25" customHeight="1" x14ac:dyDescent="0.25">
      <c r="A14936" s="3"/>
      <c r="B14936" s="3"/>
      <c r="C14936" s="3"/>
      <c r="D14936" s="3"/>
      <c r="E14936" s="3"/>
      <c r="F14936" s="3"/>
      <c r="G14936" s="3"/>
      <c r="H14936" s="11"/>
      <c r="I14936" s="12"/>
      <c r="J14936" s="3"/>
      <c r="K14936" s="3"/>
      <c r="L14936" s="3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  <c r="AA14936" s="3"/>
      <c r="AB14936" s="3"/>
      <c r="AC14936" s="3"/>
      <c r="AD14936" s="3"/>
      <c r="AE14936" s="3"/>
      <c r="AF14936" s="3"/>
      <c r="AG14936" s="3"/>
      <c r="AH14936" s="3"/>
    </row>
    <row r="14937" spans="1:34" ht="14.25" customHeight="1" x14ac:dyDescent="0.25">
      <c r="A14937" s="3"/>
      <c r="B14937" s="3"/>
      <c r="C14937" s="3"/>
      <c r="D14937" s="3"/>
      <c r="E14937" s="3"/>
      <c r="F14937" s="3"/>
      <c r="G14937" s="3"/>
      <c r="H14937" s="11"/>
      <c r="I14937" s="12"/>
      <c r="J14937" s="3"/>
      <c r="K14937" s="3"/>
      <c r="L14937" s="3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  <c r="AA14937" s="3"/>
      <c r="AB14937" s="3"/>
      <c r="AC14937" s="3"/>
      <c r="AD14937" s="3"/>
      <c r="AE14937" s="3"/>
      <c r="AF14937" s="3"/>
      <c r="AG14937" s="3"/>
      <c r="AH14937" s="3"/>
    </row>
    <row r="14938" spans="1:34" ht="14.25" customHeight="1" x14ac:dyDescent="0.25">
      <c r="A14938" s="3"/>
      <c r="B14938" s="3"/>
      <c r="C14938" s="3"/>
      <c r="D14938" s="3"/>
      <c r="E14938" s="3"/>
      <c r="F14938" s="3"/>
      <c r="G14938" s="3"/>
      <c r="H14938" s="11"/>
      <c r="I14938" s="12"/>
      <c r="J14938" s="3"/>
      <c r="K14938" s="3"/>
      <c r="L14938" s="3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  <c r="AA14938" s="3"/>
      <c r="AB14938" s="3"/>
      <c r="AC14938" s="3"/>
      <c r="AD14938" s="3"/>
      <c r="AE14938" s="3"/>
      <c r="AF14938" s="3"/>
      <c r="AG14938" s="3"/>
      <c r="AH14938" s="3"/>
    </row>
    <row r="14939" spans="1:34" ht="14.25" customHeight="1" x14ac:dyDescent="0.25">
      <c r="A14939" s="3"/>
      <c r="B14939" s="3"/>
      <c r="C14939" s="3"/>
      <c r="D14939" s="3"/>
      <c r="E14939" s="3"/>
      <c r="F14939" s="3"/>
      <c r="G14939" s="3"/>
      <c r="H14939" s="11"/>
      <c r="I14939" s="12"/>
      <c r="J14939" s="3"/>
      <c r="K14939" s="3"/>
      <c r="L14939" s="3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  <c r="AA14939" s="3"/>
      <c r="AB14939" s="3"/>
      <c r="AC14939" s="3"/>
      <c r="AD14939" s="3"/>
      <c r="AE14939" s="3"/>
      <c r="AF14939" s="3"/>
      <c r="AG14939" s="3"/>
      <c r="AH14939" s="3"/>
    </row>
    <row r="14940" spans="1:34" ht="14.25" customHeight="1" x14ac:dyDescent="0.25">
      <c r="A14940" s="3"/>
      <c r="B14940" s="3"/>
      <c r="C14940" s="3"/>
      <c r="D14940" s="3"/>
      <c r="E14940" s="3"/>
      <c r="F14940" s="3"/>
      <c r="G14940" s="3"/>
      <c r="H14940" s="11"/>
      <c r="I14940" s="12"/>
      <c r="J14940" s="3"/>
      <c r="K14940" s="3"/>
      <c r="L14940" s="3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  <c r="AA14940" s="3"/>
      <c r="AB14940" s="3"/>
      <c r="AC14940" s="3"/>
      <c r="AD14940" s="3"/>
      <c r="AE14940" s="3"/>
      <c r="AF14940" s="3"/>
      <c r="AG14940" s="3"/>
      <c r="AH14940" s="3"/>
    </row>
    <row r="14941" spans="1:34" ht="14.25" customHeight="1" x14ac:dyDescent="0.25">
      <c r="A14941" s="3"/>
      <c r="B14941" s="3"/>
      <c r="C14941" s="3"/>
      <c r="D14941" s="3"/>
      <c r="E14941" s="3"/>
      <c r="F14941" s="3"/>
      <c r="G14941" s="3"/>
      <c r="H14941" s="11"/>
      <c r="I14941" s="12"/>
      <c r="J14941" s="3"/>
      <c r="K14941" s="3"/>
      <c r="L14941" s="3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  <c r="AA14941" s="3"/>
      <c r="AB14941" s="3"/>
      <c r="AC14941" s="3"/>
      <c r="AD14941" s="3"/>
      <c r="AE14941" s="3"/>
      <c r="AF14941" s="3"/>
      <c r="AG14941" s="3"/>
      <c r="AH14941" s="3"/>
    </row>
    <row r="14942" spans="1:34" ht="14.25" customHeight="1" x14ac:dyDescent="0.25">
      <c r="A14942" s="3"/>
      <c r="B14942" s="3"/>
      <c r="C14942" s="3"/>
      <c r="D14942" s="3"/>
      <c r="E14942" s="3"/>
      <c r="F14942" s="3"/>
      <c r="G14942" s="3"/>
      <c r="H14942" s="11"/>
      <c r="I14942" s="12"/>
      <c r="J14942" s="3"/>
      <c r="K14942" s="3"/>
      <c r="L14942" s="3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  <c r="AA14942" s="3"/>
      <c r="AB14942" s="3"/>
      <c r="AC14942" s="3"/>
      <c r="AD14942" s="3"/>
      <c r="AE14942" s="3"/>
      <c r="AF14942" s="3"/>
      <c r="AG14942" s="3"/>
      <c r="AH14942" s="3"/>
    </row>
    <row r="14943" spans="1:34" ht="14.25" customHeight="1" x14ac:dyDescent="0.25">
      <c r="A14943" s="3"/>
      <c r="B14943" s="3"/>
      <c r="C14943" s="3"/>
      <c r="D14943" s="3"/>
      <c r="E14943" s="3"/>
      <c r="F14943" s="3"/>
      <c r="G14943" s="3"/>
      <c r="H14943" s="11"/>
      <c r="I14943" s="12"/>
      <c r="J14943" s="3"/>
      <c r="K14943" s="3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  <c r="AA14943" s="3"/>
      <c r="AB14943" s="3"/>
      <c r="AC14943" s="3"/>
      <c r="AD14943" s="3"/>
      <c r="AE14943" s="3"/>
      <c r="AF14943" s="3"/>
      <c r="AG14943" s="3"/>
      <c r="AH14943" s="3"/>
    </row>
    <row r="14944" spans="1:34" ht="14.25" customHeight="1" x14ac:dyDescent="0.25">
      <c r="A14944" s="3"/>
      <c r="B14944" s="3"/>
      <c r="C14944" s="3"/>
      <c r="D14944" s="3"/>
      <c r="E14944" s="3"/>
      <c r="F14944" s="3"/>
      <c r="G14944" s="3"/>
      <c r="H14944" s="11"/>
      <c r="I14944" s="12"/>
      <c r="J14944" s="3"/>
      <c r="K14944" s="3"/>
      <c r="L14944" s="3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  <c r="AA14944" s="3"/>
      <c r="AB14944" s="3"/>
      <c r="AC14944" s="3"/>
      <c r="AD14944" s="3"/>
      <c r="AE14944" s="3"/>
      <c r="AF14944" s="3"/>
      <c r="AG14944" s="3"/>
      <c r="AH14944" s="3"/>
    </row>
    <row r="14945" spans="1:34" ht="14.25" customHeight="1" x14ac:dyDescent="0.25">
      <c r="A14945" s="3"/>
      <c r="B14945" s="3"/>
      <c r="C14945" s="3"/>
      <c r="D14945" s="3"/>
      <c r="E14945" s="3"/>
      <c r="F14945" s="3"/>
      <c r="G14945" s="3"/>
      <c r="H14945" s="11"/>
      <c r="I14945" s="12"/>
      <c r="J14945" s="3"/>
      <c r="K14945" s="3"/>
      <c r="L14945" s="3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  <c r="AA14945" s="3"/>
      <c r="AB14945" s="3"/>
      <c r="AC14945" s="3"/>
      <c r="AD14945" s="3"/>
      <c r="AE14945" s="3"/>
      <c r="AF14945" s="3"/>
      <c r="AG14945" s="3"/>
      <c r="AH14945" s="3"/>
    </row>
    <row r="14946" spans="1:34" ht="14.25" customHeight="1" x14ac:dyDescent="0.25">
      <c r="A14946" s="3"/>
      <c r="B14946" s="3"/>
      <c r="C14946" s="3"/>
      <c r="D14946" s="3"/>
      <c r="E14946" s="3"/>
      <c r="F14946" s="3"/>
      <c r="G14946" s="3"/>
      <c r="H14946" s="11"/>
      <c r="I14946" s="12"/>
      <c r="J14946" s="3"/>
      <c r="K14946" s="3"/>
      <c r="L14946" s="3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  <c r="AA14946" s="3"/>
      <c r="AB14946" s="3"/>
      <c r="AC14946" s="3"/>
      <c r="AD14946" s="3"/>
      <c r="AE14946" s="3"/>
      <c r="AF14946" s="3"/>
      <c r="AG14946" s="3"/>
      <c r="AH14946" s="3"/>
    </row>
    <row r="14947" spans="1:34" ht="14.25" customHeight="1" x14ac:dyDescent="0.25">
      <c r="A14947" s="3"/>
      <c r="B14947" s="3"/>
      <c r="C14947" s="3"/>
      <c r="D14947" s="3"/>
      <c r="E14947" s="3"/>
      <c r="F14947" s="3"/>
      <c r="G14947" s="3"/>
      <c r="H14947" s="11"/>
      <c r="I14947" s="12"/>
      <c r="J14947" s="3"/>
      <c r="K14947" s="3"/>
      <c r="L14947" s="3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  <c r="AA14947" s="3"/>
      <c r="AB14947" s="3"/>
      <c r="AC14947" s="3"/>
      <c r="AD14947" s="3"/>
      <c r="AE14947" s="3"/>
      <c r="AF14947" s="3"/>
      <c r="AG14947" s="3"/>
      <c r="AH14947" s="3"/>
    </row>
    <row r="14948" spans="1:34" ht="14.25" customHeight="1" x14ac:dyDescent="0.25">
      <c r="A14948" s="3"/>
      <c r="B14948" s="3"/>
      <c r="C14948" s="3"/>
      <c r="D14948" s="3"/>
      <c r="E14948" s="3"/>
      <c r="F14948" s="3"/>
      <c r="G14948" s="3"/>
      <c r="H14948" s="11"/>
      <c r="I14948" s="12"/>
      <c r="J14948" s="3"/>
      <c r="K14948" s="3"/>
      <c r="L14948" s="3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  <c r="AA14948" s="3"/>
      <c r="AB14948" s="3"/>
      <c r="AC14948" s="3"/>
      <c r="AD14948" s="3"/>
      <c r="AE14948" s="3"/>
      <c r="AF14948" s="3"/>
      <c r="AG14948" s="3"/>
      <c r="AH14948" s="3"/>
    </row>
    <row r="14949" spans="1:34" ht="14.25" customHeight="1" x14ac:dyDescent="0.25">
      <c r="A14949" s="3"/>
      <c r="B14949" s="3"/>
      <c r="C14949" s="3"/>
      <c r="D14949" s="3"/>
      <c r="E14949" s="3"/>
      <c r="F14949" s="3"/>
      <c r="G14949" s="3"/>
      <c r="H14949" s="11"/>
      <c r="I14949" s="12"/>
      <c r="J14949" s="3"/>
      <c r="K14949" s="3"/>
      <c r="L14949" s="3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  <c r="AA14949" s="3"/>
      <c r="AB14949" s="3"/>
      <c r="AC14949" s="3"/>
      <c r="AD14949" s="3"/>
      <c r="AE14949" s="3"/>
      <c r="AF14949" s="3"/>
      <c r="AG14949" s="3"/>
      <c r="AH14949" s="3"/>
    </row>
    <row r="14950" spans="1:34" ht="14.25" customHeight="1" x14ac:dyDescent="0.25">
      <c r="A14950" s="3"/>
      <c r="B14950" s="3"/>
      <c r="C14950" s="3"/>
      <c r="D14950" s="3"/>
      <c r="E14950" s="3"/>
      <c r="F14950" s="3"/>
      <c r="G14950" s="3"/>
      <c r="H14950" s="11"/>
      <c r="I14950" s="12"/>
      <c r="J14950" s="3"/>
      <c r="K14950" s="3"/>
      <c r="L14950" s="3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  <c r="AA14950" s="3"/>
      <c r="AB14950" s="3"/>
      <c r="AC14950" s="3"/>
      <c r="AD14950" s="3"/>
      <c r="AE14950" s="3"/>
      <c r="AF14950" s="3"/>
      <c r="AG14950" s="3"/>
      <c r="AH14950" s="3"/>
    </row>
    <row r="14951" spans="1:34" ht="14.25" customHeight="1" x14ac:dyDescent="0.25">
      <c r="A14951" s="3"/>
      <c r="B14951" s="3"/>
      <c r="C14951" s="3"/>
      <c r="D14951" s="3"/>
      <c r="E14951" s="3"/>
      <c r="F14951" s="3"/>
      <c r="G14951" s="3"/>
      <c r="H14951" s="11"/>
      <c r="I14951" s="12"/>
      <c r="J14951" s="3"/>
      <c r="K14951" s="3"/>
      <c r="L14951" s="3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  <c r="AA14951" s="3"/>
      <c r="AB14951" s="3"/>
      <c r="AC14951" s="3"/>
      <c r="AD14951" s="3"/>
      <c r="AE14951" s="3"/>
      <c r="AF14951" s="3"/>
      <c r="AG14951" s="3"/>
      <c r="AH14951" s="3"/>
    </row>
    <row r="14952" spans="1:34" ht="14.25" customHeight="1" x14ac:dyDescent="0.25">
      <c r="A14952" s="3"/>
      <c r="B14952" s="3"/>
      <c r="C14952" s="3"/>
      <c r="D14952" s="3"/>
      <c r="E14952" s="3"/>
      <c r="F14952" s="3"/>
      <c r="G14952" s="3"/>
      <c r="H14952" s="11"/>
      <c r="I14952" s="12"/>
      <c r="J14952" s="3"/>
      <c r="K14952" s="3"/>
      <c r="L14952" s="3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  <c r="AA14952" s="3"/>
      <c r="AB14952" s="3"/>
      <c r="AC14952" s="3"/>
      <c r="AD14952" s="3"/>
      <c r="AE14952" s="3"/>
      <c r="AF14952" s="3"/>
      <c r="AG14952" s="3"/>
      <c r="AH14952" s="3"/>
    </row>
    <row r="14953" spans="1:34" ht="14.25" customHeight="1" x14ac:dyDescent="0.25">
      <c r="A14953" s="3"/>
      <c r="B14953" s="3"/>
      <c r="C14953" s="3"/>
      <c r="D14953" s="3"/>
      <c r="E14953" s="3"/>
      <c r="F14953" s="3"/>
      <c r="G14953" s="3"/>
      <c r="H14953" s="11"/>
      <c r="I14953" s="12"/>
      <c r="J14953" s="3"/>
      <c r="K14953" s="3"/>
      <c r="L14953" s="3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  <c r="AA14953" s="3"/>
      <c r="AB14953" s="3"/>
      <c r="AC14953" s="3"/>
      <c r="AD14953" s="3"/>
      <c r="AE14953" s="3"/>
      <c r="AF14953" s="3"/>
      <c r="AG14953" s="3"/>
      <c r="AH14953" s="3"/>
    </row>
    <row r="14954" spans="1:34" ht="14.25" customHeight="1" x14ac:dyDescent="0.25">
      <c r="A14954" s="3"/>
      <c r="B14954" s="3"/>
      <c r="C14954" s="3"/>
      <c r="D14954" s="3"/>
      <c r="E14954" s="3"/>
      <c r="F14954" s="3"/>
      <c r="G14954" s="3"/>
      <c r="H14954" s="11"/>
      <c r="I14954" s="12"/>
      <c r="J14954" s="3"/>
      <c r="K14954" s="3"/>
      <c r="L14954" s="3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  <c r="AA14954" s="3"/>
      <c r="AB14954" s="3"/>
      <c r="AC14954" s="3"/>
      <c r="AD14954" s="3"/>
      <c r="AE14954" s="3"/>
      <c r="AF14954" s="3"/>
      <c r="AG14954" s="3"/>
      <c r="AH14954" s="3"/>
    </row>
    <row r="14955" spans="1:34" ht="14.25" customHeight="1" x14ac:dyDescent="0.25">
      <c r="A14955" s="3"/>
      <c r="B14955" s="3"/>
      <c r="C14955" s="3"/>
      <c r="D14955" s="3"/>
      <c r="E14955" s="3"/>
      <c r="F14955" s="3"/>
      <c r="G14955" s="3"/>
      <c r="H14955" s="11"/>
      <c r="I14955" s="12"/>
      <c r="J14955" s="3"/>
      <c r="K14955" s="3"/>
      <c r="L14955" s="3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  <c r="AA14955" s="3"/>
      <c r="AB14955" s="3"/>
      <c r="AC14955" s="3"/>
      <c r="AD14955" s="3"/>
      <c r="AE14955" s="3"/>
      <c r="AF14955" s="3"/>
      <c r="AG14955" s="3"/>
      <c r="AH14955" s="3"/>
    </row>
    <row r="14956" spans="1:34" ht="14.25" customHeight="1" x14ac:dyDescent="0.25">
      <c r="A14956" s="3"/>
      <c r="B14956" s="3"/>
      <c r="C14956" s="3"/>
      <c r="D14956" s="3"/>
      <c r="E14956" s="3"/>
      <c r="F14956" s="3"/>
      <c r="G14956" s="3"/>
      <c r="H14956" s="11"/>
      <c r="I14956" s="12"/>
      <c r="J14956" s="3"/>
      <c r="K14956" s="3"/>
      <c r="L14956" s="3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  <c r="AA14956" s="3"/>
      <c r="AB14956" s="3"/>
      <c r="AC14956" s="3"/>
      <c r="AD14956" s="3"/>
      <c r="AE14956" s="3"/>
      <c r="AF14956" s="3"/>
      <c r="AG14956" s="3"/>
      <c r="AH14956" s="3"/>
    </row>
    <row r="14957" spans="1:34" ht="14.25" customHeight="1" x14ac:dyDescent="0.25">
      <c r="A14957" s="3"/>
      <c r="B14957" s="3"/>
      <c r="C14957" s="3"/>
      <c r="D14957" s="3"/>
      <c r="E14957" s="3"/>
      <c r="F14957" s="3"/>
      <c r="G14957" s="3"/>
      <c r="H14957" s="11"/>
      <c r="I14957" s="12"/>
      <c r="J14957" s="3"/>
      <c r="K14957" s="3"/>
      <c r="L14957" s="3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  <c r="AA14957" s="3"/>
      <c r="AB14957" s="3"/>
      <c r="AC14957" s="3"/>
      <c r="AD14957" s="3"/>
      <c r="AE14957" s="3"/>
      <c r="AF14957" s="3"/>
      <c r="AG14957" s="3"/>
      <c r="AH14957" s="3"/>
    </row>
    <row r="14958" spans="1:34" ht="14.25" customHeight="1" x14ac:dyDescent="0.25">
      <c r="A14958" s="3"/>
      <c r="B14958" s="3"/>
      <c r="C14958" s="3"/>
      <c r="D14958" s="3"/>
      <c r="E14958" s="3"/>
      <c r="F14958" s="3"/>
      <c r="G14958" s="3"/>
      <c r="H14958" s="11"/>
      <c r="I14958" s="12"/>
      <c r="J14958" s="3"/>
      <c r="K14958" s="3"/>
      <c r="L14958" s="3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  <c r="AA14958" s="3"/>
      <c r="AB14958" s="3"/>
      <c r="AC14958" s="3"/>
      <c r="AD14958" s="3"/>
      <c r="AE14958" s="3"/>
      <c r="AF14958" s="3"/>
      <c r="AG14958" s="3"/>
      <c r="AH14958" s="3"/>
    </row>
    <row r="14959" spans="1:34" ht="14.25" customHeight="1" x14ac:dyDescent="0.25">
      <c r="A14959" s="3"/>
      <c r="B14959" s="3"/>
      <c r="C14959" s="3"/>
      <c r="D14959" s="3"/>
      <c r="E14959" s="3"/>
      <c r="F14959" s="3"/>
      <c r="G14959" s="3"/>
      <c r="H14959" s="11"/>
      <c r="I14959" s="12"/>
      <c r="J14959" s="3"/>
      <c r="K14959" s="3"/>
      <c r="L14959" s="3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  <c r="AA14959" s="3"/>
      <c r="AB14959" s="3"/>
      <c r="AC14959" s="3"/>
      <c r="AD14959" s="3"/>
      <c r="AE14959" s="3"/>
      <c r="AF14959" s="3"/>
      <c r="AG14959" s="3"/>
      <c r="AH14959" s="3"/>
    </row>
    <row r="14960" spans="1:34" ht="14.25" customHeight="1" x14ac:dyDescent="0.25">
      <c r="A14960" s="3"/>
      <c r="B14960" s="3"/>
      <c r="C14960" s="3"/>
      <c r="D14960" s="3"/>
      <c r="E14960" s="3"/>
      <c r="F14960" s="3"/>
      <c r="G14960" s="3"/>
      <c r="H14960" s="11"/>
      <c r="I14960" s="12"/>
      <c r="J14960" s="3"/>
      <c r="K14960" s="3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  <c r="AA14960" s="3"/>
      <c r="AB14960" s="3"/>
      <c r="AC14960" s="3"/>
      <c r="AD14960" s="3"/>
      <c r="AE14960" s="3"/>
      <c r="AF14960" s="3"/>
      <c r="AG14960" s="3"/>
      <c r="AH14960" s="3"/>
    </row>
    <row r="14961" spans="1:34" ht="14.25" customHeight="1" x14ac:dyDescent="0.25">
      <c r="A14961" s="3"/>
      <c r="B14961" s="3"/>
      <c r="C14961" s="3"/>
      <c r="D14961" s="3"/>
      <c r="E14961" s="3"/>
      <c r="F14961" s="3"/>
      <c r="G14961" s="3"/>
      <c r="H14961" s="11"/>
      <c r="I14961" s="12"/>
      <c r="J14961" s="3"/>
      <c r="K14961" s="3"/>
      <c r="L14961" s="3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  <c r="AA14961" s="3"/>
      <c r="AB14961" s="3"/>
      <c r="AC14961" s="3"/>
      <c r="AD14961" s="3"/>
      <c r="AE14961" s="3"/>
      <c r="AF14961" s="3"/>
      <c r="AG14961" s="3"/>
      <c r="AH14961" s="3"/>
    </row>
    <row r="14962" spans="1:34" ht="14.25" customHeight="1" x14ac:dyDescent="0.25">
      <c r="A14962" s="3"/>
      <c r="B14962" s="3"/>
      <c r="C14962" s="3"/>
      <c r="D14962" s="3"/>
      <c r="E14962" s="3"/>
      <c r="F14962" s="3"/>
      <c r="G14962" s="3"/>
      <c r="H14962" s="11"/>
      <c r="I14962" s="12"/>
      <c r="J14962" s="3"/>
      <c r="K14962" s="3"/>
      <c r="L14962" s="3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  <c r="AA14962" s="3"/>
      <c r="AB14962" s="3"/>
      <c r="AC14962" s="3"/>
      <c r="AD14962" s="3"/>
      <c r="AE14962" s="3"/>
      <c r="AF14962" s="3"/>
      <c r="AG14962" s="3"/>
      <c r="AH14962" s="3"/>
    </row>
    <row r="14963" spans="1:34" ht="14.25" customHeight="1" x14ac:dyDescent="0.25">
      <c r="A14963" s="3"/>
      <c r="B14963" s="3"/>
      <c r="C14963" s="3"/>
      <c r="D14963" s="3"/>
      <c r="E14963" s="3"/>
      <c r="F14963" s="3"/>
      <c r="G14963" s="3"/>
      <c r="H14963" s="11"/>
      <c r="I14963" s="12"/>
      <c r="J14963" s="3"/>
      <c r="K14963" s="3"/>
      <c r="L14963" s="3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  <c r="AA14963" s="3"/>
      <c r="AB14963" s="3"/>
      <c r="AC14963" s="3"/>
      <c r="AD14963" s="3"/>
      <c r="AE14963" s="3"/>
      <c r="AF14963" s="3"/>
      <c r="AG14963" s="3"/>
      <c r="AH14963" s="3"/>
    </row>
    <row r="14964" spans="1:34" ht="14.25" customHeight="1" x14ac:dyDescent="0.25">
      <c r="A14964" s="3"/>
      <c r="B14964" s="3"/>
      <c r="C14964" s="3"/>
      <c r="D14964" s="3"/>
      <c r="E14964" s="3"/>
      <c r="F14964" s="3"/>
      <c r="G14964" s="3"/>
      <c r="H14964" s="11"/>
      <c r="I14964" s="12"/>
      <c r="J14964" s="3"/>
      <c r="K14964" s="3"/>
      <c r="L14964" s="3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  <c r="AA14964" s="3"/>
      <c r="AB14964" s="3"/>
      <c r="AC14964" s="3"/>
      <c r="AD14964" s="3"/>
      <c r="AE14964" s="3"/>
      <c r="AF14964" s="3"/>
      <c r="AG14964" s="3"/>
      <c r="AH14964" s="3"/>
    </row>
    <row r="14965" spans="1:34" ht="14.25" customHeight="1" x14ac:dyDescent="0.25">
      <c r="A14965" s="3"/>
      <c r="B14965" s="3"/>
      <c r="C14965" s="3"/>
      <c r="D14965" s="3"/>
      <c r="E14965" s="3"/>
      <c r="F14965" s="3"/>
      <c r="G14965" s="3"/>
      <c r="H14965" s="11"/>
      <c r="I14965" s="12"/>
      <c r="J14965" s="3"/>
      <c r="K14965" s="3"/>
      <c r="L14965" s="3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  <c r="AA14965" s="3"/>
      <c r="AB14965" s="3"/>
      <c r="AC14965" s="3"/>
      <c r="AD14965" s="3"/>
      <c r="AE14965" s="3"/>
      <c r="AF14965" s="3"/>
      <c r="AG14965" s="3"/>
      <c r="AH14965" s="3"/>
    </row>
    <row r="14966" spans="1:34" ht="14.25" customHeight="1" x14ac:dyDescent="0.25">
      <c r="A14966" s="3"/>
      <c r="B14966" s="3"/>
      <c r="C14966" s="3"/>
      <c r="D14966" s="3"/>
      <c r="E14966" s="3"/>
      <c r="F14966" s="3"/>
      <c r="G14966" s="3"/>
      <c r="H14966" s="11"/>
      <c r="I14966" s="12"/>
      <c r="J14966" s="3"/>
      <c r="K14966" s="3"/>
      <c r="L14966" s="3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  <c r="AA14966" s="3"/>
      <c r="AB14966" s="3"/>
      <c r="AC14966" s="3"/>
      <c r="AD14966" s="3"/>
      <c r="AE14966" s="3"/>
      <c r="AF14966" s="3"/>
      <c r="AG14966" s="3"/>
      <c r="AH14966" s="3"/>
    </row>
    <row r="14967" spans="1:34" ht="14.25" customHeight="1" x14ac:dyDescent="0.25">
      <c r="A14967" s="3"/>
      <c r="B14967" s="3"/>
      <c r="C14967" s="3"/>
      <c r="D14967" s="3"/>
      <c r="E14967" s="3"/>
      <c r="F14967" s="3"/>
      <c r="G14967" s="3"/>
      <c r="H14967" s="11"/>
      <c r="I14967" s="12"/>
      <c r="J14967" s="3"/>
      <c r="K14967" s="3"/>
      <c r="L14967" s="3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  <c r="AA14967" s="3"/>
      <c r="AB14967" s="3"/>
      <c r="AC14967" s="3"/>
      <c r="AD14967" s="3"/>
      <c r="AE14967" s="3"/>
      <c r="AF14967" s="3"/>
      <c r="AG14967" s="3"/>
      <c r="AH14967" s="3"/>
    </row>
    <row r="14968" spans="1:34" ht="14.25" customHeight="1" x14ac:dyDescent="0.25">
      <c r="A14968" s="3"/>
      <c r="B14968" s="3"/>
      <c r="C14968" s="3"/>
      <c r="D14968" s="3"/>
      <c r="E14968" s="3"/>
      <c r="F14968" s="3"/>
      <c r="G14968" s="3"/>
      <c r="H14968" s="11"/>
      <c r="I14968" s="12"/>
      <c r="J14968" s="3"/>
      <c r="K14968" s="3"/>
      <c r="L14968" s="3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  <c r="AA14968" s="3"/>
      <c r="AB14968" s="3"/>
      <c r="AC14968" s="3"/>
      <c r="AD14968" s="3"/>
      <c r="AE14968" s="3"/>
      <c r="AF14968" s="3"/>
      <c r="AG14968" s="3"/>
      <c r="AH14968" s="3"/>
    </row>
    <row r="14969" spans="1:34" ht="14.25" customHeight="1" x14ac:dyDescent="0.25">
      <c r="A14969" s="3"/>
      <c r="B14969" s="3"/>
      <c r="C14969" s="3"/>
      <c r="D14969" s="3"/>
      <c r="E14969" s="3"/>
      <c r="F14969" s="3"/>
      <c r="G14969" s="3"/>
      <c r="H14969" s="11"/>
      <c r="I14969" s="12"/>
      <c r="J14969" s="3"/>
      <c r="K14969" s="3"/>
      <c r="L14969" s="3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  <c r="AA14969" s="3"/>
      <c r="AB14969" s="3"/>
      <c r="AC14969" s="3"/>
      <c r="AD14969" s="3"/>
      <c r="AE14969" s="3"/>
      <c r="AF14969" s="3"/>
      <c r="AG14969" s="3"/>
      <c r="AH14969" s="3"/>
    </row>
    <row r="14970" spans="1:34" ht="14.25" customHeight="1" x14ac:dyDescent="0.25">
      <c r="A14970" s="3"/>
      <c r="B14970" s="3"/>
      <c r="C14970" s="3"/>
      <c r="D14970" s="3"/>
      <c r="E14970" s="3"/>
      <c r="F14970" s="3"/>
      <c r="G14970" s="3"/>
      <c r="H14970" s="11"/>
      <c r="I14970" s="12"/>
      <c r="J14970" s="3"/>
      <c r="K14970" s="3"/>
      <c r="L14970" s="3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  <c r="AA14970" s="3"/>
      <c r="AB14970" s="3"/>
      <c r="AC14970" s="3"/>
      <c r="AD14970" s="3"/>
      <c r="AE14970" s="3"/>
      <c r="AF14970" s="3"/>
      <c r="AG14970" s="3"/>
      <c r="AH14970" s="3"/>
    </row>
    <row r="14971" spans="1:34" ht="14.25" customHeight="1" x14ac:dyDescent="0.25">
      <c r="A14971" s="3"/>
      <c r="B14971" s="3"/>
      <c r="C14971" s="3"/>
      <c r="D14971" s="3"/>
      <c r="E14971" s="3"/>
      <c r="F14971" s="3"/>
      <c r="G14971" s="3"/>
      <c r="H14971" s="11"/>
      <c r="I14971" s="12"/>
      <c r="J14971" s="3"/>
      <c r="K14971" s="3"/>
      <c r="L14971" s="3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  <c r="AA14971" s="3"/>
      <c r="AB14971" s="3"/>
      <c r="AC14971" s="3"/>
      <c r="AD14971" s="3"/>
      <c r="AE14971" s="3"/>
      <c r="AF14971" s="3"/>
      <c r="AG14971" s="3"/>
      <c r="AH14971" s="3"/>
    </row>
    <row r="14972" spans="1:34" ht="14.25" customHeight="1" x14ac:dyDescent="0.25">
      <c r="A14972" s="3"/>
      <c r="B14972" s="3"/>
      <c r="C14972" s="3"/>
      <c r="D14972" s="3"/>
      <c r="E14972" s="3"/>
      <c r="F14972" s="3"/>
      <c r="G14972" s="3"/>
      <c r="H14972" s="11"/>
      <c r="I14972" s="12"/>
      <c r="J14972" s="3"/>
      <c r="K14972" s="3"/>
      <c r="L14972" s="3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  <c r="AA14972" s="3"/>
      <c r="AB14972" s="3"/>
      <c r="AC14972" s="3"/>
      <c r="AD14972" s="3"/>
      <c r="AE14972" s="3"/>
      <c r="AF14972" s="3"/>
      <c r="AG14972" s="3"/>
      <c r="AH14972" s="3"/>
    </row>
    <row r="14973" spans="1:34" ht="14.25" customHeight="1" x14ac:dyDescent="0.25">
      <c r="A14973" s="3"/>
      <c r="B14973" s="3"/>
      <c r="C14973" s="3"/>
      <c r="D14973" s="3"/>
      <c r="E14973" s="3"/>
      <c r="F14973" s="3"/>
      <c r="G14973" s="3"/>
      <c r="H14973" s="11"/>
      <c r="I14973" s="12"/>
      <c r="J14973" s="3"/>
      <c r="K14973" s="3"/>
      <c r="L14973" s="3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  <c r="AA14973" s="3"/>
      <c r="AB14973" s="3"/>
      <c r="AC14973" s="3"/>
      <c r="AD14973" s="3"/>
      <c r="AE14973" s="3"/>
      <c r="AF14973" s="3"/>
      <c r="AG14973" s="3"/>
      <c r="AH14973" s="3"/>
    </row>
    <row r="14974" spans="1:34" ht="14.25" customHeight="1" x14ac:dyDescent="0.25">
      <c r="A14974" s="3"/>
      <c r="B14974" s="3"/>
      <c r="C14974" s="3"/>
      <c r="D14974" s="3"/>
      <c r="E14974" s="3"/>
      <c r="F14974" s="3"/>
      <c r="G14974" s="3"/>
      <c r="H14974" s="11"/>
      <c r="I14974" s="12"/>
      <c r="J14974" s="3"/>
      <c r="K14974" s="3"/>
      <c r="L14974" s="3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  <c r="AA14974" s="3"/>
      <c r="AB14974" s="3"/>
      <c r="AC14974" s="3"/>
      <c r="AD14974" s="3"/>
      <c r="AE14974" s="3"/>
      <c r="AF14974" s="3"/>
      <c r="AG14974" s="3"/>
      <c r="AH14974" s="3"/>
    </row>
    <row r="14975" spans="1:34" ht="14.25" customHeight="1" x14ac:dyDescent="0.25">
      <c r="A14975" s="3"/>
      <c r="B14975" s="3"/>
      <c r="C14975" s="3"/>
      <c r="D14975" s="3"/>
      <c r="E14975" s="3"/>
      <c r="F14975" s="3"/>
      <c r="G14975" s="3"/>
      <c r="H14975" s="11"/>
      <c r="I14975" s="12"/>
      <c r="J14975" s="3"/>
      <c r="K14975" s="3"/>
      <c r="L14975" s="3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  <c r="AA14975" s="3"/>
      <c r="AB14975" s="3"/>
      <c r="AC14975" s="3"/>
      <c r="AD14975" s="3"/>
      <c r="AE14975" s="3"/>
      <c r="AF14975" s="3"/>
      <c r="AG14975" s="3"/>
      <c r="AH14975" s="3"/>
    </row>
    <row r="14976" spans="1:34" ht="14.25" customHeight="1" x14ac:dyDescent="0.25">
      <c r="A14976" s="3"/>
      <c r="B14976" s="3"/>
      <c r="C14976" s="3"/>
      <c r="D14976" s="3"/>
      <c r="E14976" s="3"/>
      <c r="F14976" s="3"/>
      <c r="G14976" s="3"/>
      <c r="H14976" s="11"/>
      <c r="I14976" s="12"/>
      <c r="J14976" s="3"/>
      <c r="K14976" s="3"/>
      <c r="L14976" s="3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  <c r="AA14976" s="3"/>
      <c r="AB14976" s="3"/>
      <c r="AC14976" s="3"/>
      <c r="AD14976" s="3"/>
      <c r="AE14976" s="3"/>
      <c r="AF14976" s="3"/>
      <c r="AG14976" s="3"/>
      <c r="AH14976" s="3"/>
    </row>
    <row r="14977" spans="1:34" ht="14.25" customHeight="1" x14ac:dyDescent="0.25">
      <c r="A14977" s="3"/>
      <c r="B14977" s="3"/>
      <c r="C14977" s="3"/>
      <c r="D14977" s="3"/>
      <c r="E14977" s="3"/>
      <c r="F14977" s="3"/>
      <c r="G14977" s="3"/>
      <c r="H14977" s="11"/>
      <c r="I14977" s="12"/>
      <c r="J14977" s="3"/>
      <c r="K14977" s="3"/>
      <c r="L14977" s="3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  <c r="AA14977" s="3"/>
      <c r="AB14977" s="3"/>
      <c r="AC14977" s="3"/>
      <c r="AD14977" s="3"/>
      <c r="AE14977" s="3"/>
      <c r="AF14977" s="3"/>
      <c r="AG14977" s="3"/>
      <c r="AH14977" s="3"/>
    </row>
    <row r="14978" spans="1:34" ht="14.25" customHeight="1" x14ac:dyDescent="0.25">
      <c r="A14978" s="3"/>
      <c r="B14978" s="3"/>
      <c r="C14978" s="3"/>
      <c r="D14978" s="3"/>
      <c r="E14978" s="3"/>
      <c r="F14978" s="3"/>
      <c r="G14978" s="3"/>
      <c r="H14978" s="11"/>
      <c r="I14978" s="12"/>
      <c r="J14978" s="3"/>
      <c r="K14978" s="3"/>
      <c r="L14978" s="3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  <c r="AA14978" s="3"/>
      <c r="AB14978" s="3"/>
      <c r="AC14978" s="3"/>
      <c r="AD14978" s="3"/>
      <c r="AE14978" s="3"/>
      <c r="AF14978" s="3"/>
      <c r="AG14978" s="3"/>
      <c r="AH14978" s="3"/>
    </row>
    <row r="14979" spans="1:34" ht="14.25" customHeight="1" x14ac:dyDescent="0.25">
      <c r="A14979" s="3"/>
      <c r="B14979" s="3"/>
      <c r="C14979" s="3"/>
      <c r="D14979" s="3"/>
      <c r="E14979" s="3"/>
      <c r="F14979" s="3"/>
      <c r="G14979" s="3"/>
      <c r="H14979" s="11"/>
      <c r="I14979" s="12"/>
      <c r="J14979" s="3"/>
      <c r="K14979" s="3"/>
      <c r="L14979" s="3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  <c r="AA14979" s="3"/>
      <c r="AB14979" s="3"/>
      <c r="AC14979" s="3"/>
      <c r="AD14979" s="3"/>
      <c r="AE14979" s="3"/>
      <c r="AF14979" s="3"/>
      <c r="AG14979" s="3"/>
      <c r="AH14979" s="3"/>
    </row>
    <row r="14980" spans="1:34" ht="14.25" customHeight="1" x14ac:dyDescent="0.25">
      <c r="A14980" s="3"/>
      <c r="B14980" s="3"/>
      <c r="C14980" s="3"/>
      <c r="D14980" s="3"/>
      <c r="E14980" s="3"/>
      <c r="F14980" s="3"/>
      <c r="G14980" s="3"/>
      <c r="H14980" s="11"/>
      <c r="I14980" s="12"/>
      <c r="J14980" s="3"/>
      <c r="K14980" s="3"/>
      <c r="L14980" s="3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  <c r="AA14980" s="3"/>
      <c r="AB14980" s="3"/>
      <c r="AC14980" s="3"/>
      <c r="AD14980" s="3"/>
      <c r="AE14980" s="3"/>
      <c r="AF14980" s="3"/>
      <c r="AG14980" s="3"/>
      <c r="AH14980" s="3"/>
    </row>
    <row r="14981" spans="1:34" ht="14.25" customHeight="1" x14ac:dyDescent="0.25">
      <c r="A14981" s="3"/>
      <c r="B14981" s="3"/>
      <c r="C14981" s="3"/>
      <c r="D14981" s="3"/>
      <c r="E14981" s="3"/>
      <c r="F14981" s="3"/>
      <c r="G14981" s="3"/>
      <c r="H14981" s="11"/>
      <c r="I14981" s="12"/>
      <c r="J14981" s="3"/>
      <c r="K14981" s="3"/>
      <c r="L14981" s="3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  <c r="AA14981" s="3"/>
      <c r="AB14981" s="3"/>
      <c r="AC14981" s="3"/>
      <c r="AD14981" s="3"/>
      <c r="AE14981" s="3"/>
      <c r="AF14981" s="3"/>
      <c r="AG14981" s="3"/>
      <c r="AH14981" s="3"/>
    </row>
    <row r="14982" spans="1:34" ht="14.25" customHeight="1" x14ac:dyDescent="0.25">
      <c r="A14982" s="3"/>
      <c r="B14982" s="3"/>
      <c r="C14982" s="3"/>
      <c r="D14982" s="3"/>
      <c r="E14982" s="3"/>
      <c r="F14982" s="3"/>
      <c r="G14982" s="3"/>
      <c r="H14982" s="11"/>
      <c r="I14982" s="12"/>
      <c r="J14982" s="3"/>
      <c r="K14982" s="3"/>
      <c r="L14982" s="3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  <c r="AA14982" s="3"/>
      <c r="AB14982" s="3"/>
      <c r="AC14982" s="3"/>
      <c r="AD14982" s="3"/>
      <c r="AE14982" s="3"/>
      <c r="AF14982" s="3"/>
      <c r="AG14982" s="3"/>
      <c r="AH14982" s="3"/>
    </row>
    <row r="14983" spans="1:34" ht="14.25" customHeight="1" x14ac:dyDescent="0.25">
      <c r="A14983" s="3"/>
      <c r="B14983" s="3"/>
      <c r="C14983" s="3"/>
      <c r="D14983" s="3"/>
      <c r="E14983" s="3"/>
      <c r="F14983" s="3"/>
      <c r="G14983" s="3"/>
      <c r="H14983" s="11"/>
      <c r="I14983" s="12"/>
      <c r="J14983" s="3"/>
      <c r="K14983" s="3"/>
      <c r="L14983" s="3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  <c r="AA14983" s="3"/>
      <c r="AB14983" s="3"/>
      <c r="AC14983" s="3"/>
      <c r="AD14983" s="3"/>
      <c r="AE14983" s="3"/>
      <c r="AF14983" s="3"/>
      <c r="AG14983" s="3"/>
      <c r="AH14983" s="3"/>
    </row>
    <row r="14984" spans="1:34" ht="14.25" customHeight="1" x14ac:dyDescent="0.25">
      <c r="A14984" s="3"/>
      <c r="B14984" s="3"/>
      <c r="C14984" s="3"/>
      <c r="D14984" s="3"/>
      <c r="E14984" s="3"/>
      <c r="F14984" s="3"/>
      <c r="G14984" s="3"/>
      <c r="H14984" s="11"/>
      <c r="I14984" s="12"/>
      <c r="J14984" s="3"/>
      <c r="K14984" s="3"/>
      <c r="L14984" s="3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  <c r="AA14984" s="3"/>
      <c r="AB14984" s="3"/>
      <c r="AC14984" s="3"/>
      <c r="AD14984" s="3"/>
      <c r="AE14984" s="3"/>
      <c r="AF14984" s="3"/>
      <c r="AG14984" s="3"/>
      <c r="AH14984" s="3"/>
    </row>
    <row r="14985" spans="1:34" ht="14.25" customHeight="1" x14ac:dyDescent="0.25">
      <c r="A14985" s="3"/>
      <c r="B14985" s="3"/>
      <c r="C14985" s="3"/>
      <c r="D14985" s="3"/>
      <c r="E14985" s="3"/>
      <c r="F14985" s="3"/>
      <c r="G14985" s="3"/>
      <c r="H14985" s="11"/>
      <c r="I14985" s="12"/>
      <c r="J14985" s="3"/>
      <c r="K14985" s="3"/>
      <c r="L14985" s="3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  <c r="AA14985" s="3"/>
      <c r="AB14985" s="3"/>
      <c r="AC14985" s="3"/>
      <c r="AD14985" s="3"/>
      <c r="AE14985" s="3"/>
      <c r="AF14985" s="3"/>
      <c r="AG14985" s="3"/>
      <c r="AH14985" s="3"/>
    </row>
    <row r="14986" spans="1:34" ht="14.25" customHeight="1" x14ac:dyDescent="0.25">
      <c r="A14986" s="3"/>
      <c r="B14986" s="3"/>
      <c r="C14986" s="3"/>
      <c r="D14986" s="3"/>
      <c r="E14986" s="3"/>
      <c r="F14986" s="3"/>
      <c r="G14986" s="3"/>
      <c r="H14986" s="11"/>
      <c r="I14986" s="12"/>
      <c r="J14986" s="3"/>
      <c r="K14986" s="3"/>
      <c r="L14986" s="3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  <c r="AA14986" s="3"/>
      <c r="AB14986" s="3"/>
      <c r="AC14986" s="3"/>
      <c r="AD14986" s="3"/>
      <c r="AE14986" s="3"/>
      <c r="AF14986" s="3"/>
      <c r="AG14986" s="3"/>
      <c r="AH14986" s="3"/>
    </row>
    <row r="14987" spans="1:34" ht="14.25" customHeight="1" x14ac:dyDescent="0.25">
      <c r="A14987" s="3"/>
      <c r="B14987" s="3"/>
      <c r="C14987" s="3"/>
      <c r="D14987" s="3"/>
      <c r="E14987" s="3"/>
      <c r="F14987" s="3"/>
      <c r="G14987" s="3"/>
      <c r="H14987" s="11"/>
      <c r="I14987" s="12"/>
      <c r="J14987" s="3"/>
      <c r="K14987" s="3"/>
      <c r="L14987" s="3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  <c r="AA14987" s="3"/>
      <c r="AB14987" s="3"/>
      <c r="AC14987" s="3"/>
      <c r="AD14987" s="3"/>
      <c r="AE14987" s="3"/>
      <c r="AF14987" s="3"/>
      <c r="AG14987" s="3"/>
      <c r="AH14987" s="3"/>
    </row>
    <row r="14988" spans="1:34" ht="14.25" customHeight="1" x14ac:dyDescent="0.25">
      <c r="A14988" s="3"/>
      <c r="B14988" s="3"/>
      <c r="C14988" s="3"/>
      <c r="D14988" s="3"/>
      <c r="E14988" s="3"/>
      <c r="F14988" s="3"/>
      <c r="G14988" s="3"/>
      <c r="H14988" s="11"/>
      <c r="I14988" s="12"/>
      <c r="J14988" s="3"/>
      <c r="K14988" s="3"/>
      <c r="L14988" s="3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  <c r="AA14988" s="3"/>
      <c r="AB14988" s="3"/>
      <c r="AC14988" s="3"/>
      <c r="AD14988" s="3"/>
      <c r="AE14988" s="3"/>
      <c r="AF14988" s="3"/>
      <c r="AG14988" s="3"/>
      <c r="AH14988" s="3"/>
    </row>
    <row r="14989" spans="1:34" ht="14.25" customHeight="1" x14ac:dyDescent="0.25">
      <c r="A14989" s="3"/>
      <c r="B14989" s="3"/>
      <c r="C14989" s="3"/>
      <c r="D14989" s="3"/>
      <c r="E14989" s="3"/>
      <c r="F14989" s="3"/>
      <c r="G14989" s="3"/>
      <c r="H14989" s="11"/>
      <c r="I14989" s="12"/>
      <c r="J14989" s="3"/>
      <c r="K14989" s="3"/>
      <c r="L14989" s="3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  <c r="AA14989" s="3"/>
      <c r="AB14989" s="3"/>
      <c r="AC14989" s="3"/>
      <c r="AD14989" s="3"/>
      <c r="AE14989" s="3"/>
      <c r="AF14989" s="3"/>
      <c r="AG14989" s="3"/>
      <c r="AH14989" s="3"/>
    </row>
    <row r="14990" spans="1:34" ht="14.25" customHeight="1" x14ac:dyDescent="0.25">
      <c r="A14990" s="3"/>
      <c r="B14990" s="3"/>
      <c r="C14990" s="3"/>
      <c r="D14990" s="3"/>
      <c r="E14990" s="3"/>
      <c r="F14990" s="3"/>
      <c r="G14990" s="3"/>
      <c r="H14990" s="11"/>
      <c r="I14990" s="12"/>
      <c r="J14990" s="3"/>
      <c r="K14990" s="3"/>
      <c r="L14990" s="3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  <c r="AA14990" s="3"/>
      <c r="AB14990" s="3"/>
      <c r="AC14990" s="3"/>
      <c r="AD14990" s="3"/>
      <c r="AE14990" s="3"/>
      <c r="AF14990" s="3"/>
      <c r="AG14990" s="3"/>
      <c r="AH14990" s="3"/>
    </row>
    <row r="14991" spans="1:34" ht="14.25" customHeight="1" x14ac:dyDescent="0.25">
      <c r="A14991" s="3"/>
      <c r="B14991" s="3"/>
      <c r="C14991" s="3"/>
      <c r="D14991" s="3"/>
      <c r="E14991" s="3"/>
      <c r="F14991" s="3"/>
      <c r="G14991" s="3"/>
      <c r="H14991" s="11"/>
      <c r="I14991" s="12"/>
      <c r="J14991" s="3"/>
      <c r="K14991" s="3"/>
      <c r="L14991" s="3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  <c r="AA14991" s="3"/>
      <c r="AB14991" s="3"/>
      <c r="AC14991" s="3"/>
      <c r="AD14991" s="3"/>
      <c r="AE14991" s="3"/>
      <c r="AF14991" s="3"/>
      <c r="AG14991" s="3"/>
      <c r="AH14991" s="3"/>
    </row>
    <row r="14992" spans="1:34" ht="14.25" customHeight="1" x14ac:dyDescent="0.25">
      <c r="A14992" s="3"/>
      <c r="B14992" s="3"/>
      <c r="C14992" s="3"/>
      <c r="D14992" s="3"/>
      <c r="E14992" s="3"/>
      <c r="F14992" s="3"/>
      <c r="G14992" s="3"/>
      <c r="H14992" s="11"/>
      <c r="I14992" s="12"/>
      <c r="J14992" s="3"/>
      <c r="K14992" s="3"/>
      <c r="L14992" s="3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  <c r="AA14992" s="3"/>
      <c r="AB14992" s="3"/>
      <c r="AC14992" s="3"/>
      <c r="AD14992" s="3"/>
      <c r="AE14992" s="3"/>
      <c r="AF14992" s="3"/>
      <c r="AG14992" s="3"/>
      <c r="AH14992" s="3"/>
    </row>
    <row r="14993" spans="1:34" ht="14.25" customHeight="1" x14ac:dyDescent="0.25">
      <c r="A14993" s="3"/>
      <c r="B14993" s="3"/>
      <c r="C14993" s="3"/>
      <c r="D14993" s="3"/>
      <c r="E14993" s="3"/>
      <c r="F14993" s="3"/>
      <c r="G14993" s="3"/>
      <c r="H14993" s="11"/>
      <c r="I14993" s="12"/>
      <c r="J14993" s="3"/>
      <c r="K14993" s="3"/>
      <c r="L14993" s="3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  <c r="AA14993" s="3"/>
      <c r="AB14993" s="3"/>
      <c r="AC14993" s="3"/>
      <c r="AD14993" s="3"/>
      <c r="AE14993" s="3"/>
      <c r="AF14993" s="3"/>
      <c r="AG14993" s="3"/>
      <c r="AH14993" s="3"/>
    </row>
    <row r="14994" spans="1:34" ht="14.25" customHeight="1" x14ac:dyDescent="0.25">
      <c r="A14994" s="3"/>
      <c r="B14994" s="3"/>
      <c r="C14994" s="3"/>
      <c r="D14994" s="3"/>
      <c r="E14994" s="3"/>
      <c r="F14994" s="3"/>
      <c r="G14994" s="3"/>
      <c r="H14994" s="11"/>
      <c r="I14994" s="12"/>
      <c r="J14994" s="3"/>
      <c r="K14994" s="3"/>
      <c r="L14994" s="3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  <c r="AA14994" s="3"/>
      <c r="AB14994" s="3"/>
      <c r="AC14994" s="3"/>
      <c r="AD14994" s="3"/>
      <c r="AE14994" s="3"/>
      <c r="AF14994" s="3"/>
      <c r="AG14994" s="3"/>
      <c r="AH14994" s="3"/>
    </row>
    <row r="14995" spans="1:34" ht="14.25" customHeight="1" x14ac:dyDescent="0.25">
      <c r="A14995" s="3"/>
      <c r="B14995" s="3"/>
      <c r="C14995" s="3"/>
      <c r="D14995" s="3"/>
      <c r="E14995" s="3"/>
      <c r="F14995" s="3"/>
      <c r="G14995" s="3"/>
      <c r="H14995" s="11"/>
      <c r="I14995" s="12"/>
      <c r="J14995" s="3"/>
      <c r="K14995" s="3"/>
      <c r="L14995" s="3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  <c r="AA14995" s="3"/>
      <c r="AB14995" s="3"/>
      <c r="AC14995" s="3"/>
      <c r="AD14995" s="3"/>
      <c r="AE14995" s="3"/>
      <c r="AF14995" s="3"/>
      <c r="AG14995" s="3"/>
      <c r="AH14995" s="3"/>
    </row>
    <row r="14996" spans="1:34" ht="14.25" customHeight="1" x14ac:dyDescent="0.25">
      <c r="A14996" s="3"/>
      <c r="B14996" s="3"/>
      <c r="C14996" s="3"/>
      <c r="D14996" s="3"/>
      <c r="E14996" s="3"/>
      <c r="F14996" s="3"/>
      <c r="G14996" s="3"/>
      <c r="H14996" s="11"/>
      <c r="I14996" s="12"/>
      <c r="J14996" s="3"/>
      <c r="K14996" s="3"/>
      <c r="L14996" s="3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  <c r="AA14996" s="3"/>
      <c r="AB14996" s="3"/>
      <c r="AC14996" s="3"/>
      <c r="AD14996" s="3"/>
      <c r="AE14996" s="3"/>
      <c r="AF14996" s="3"/>
      <c r="AG14996" s="3"/>
      <c r="AH14996" s="3"/>
    </row>
    <row r="14997" spans="1:34" ht="14.25" customHeight="1" x14ac:dyDescent="0.25">
      <c r="A14997" s="3"/>
      <c r="B14997" s="3"/>
      <c r="C14997" s="3"/>
      <c r="D14997" s="3"/>
      <c r="E14997" s="3"/>
      <c r="F14997" s="3"/>
      <c r="G14997" s="3"/>
      <c r="H14997" s="11"/>
      <c r="I14997" s="12"/>
      <c r="J14997" s="3"/>
      <c r="K14997" s="3"/>
      <c r="L14997" s="3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  <c r="AA14997" s="3"/>
      <c r="AB14997" s="3"/>
      <c r="AC14997" s="3"/>
      <c r="AD14997" s="3"/>
      <c r="AE14997" s="3"/>
      <c r="AF14997" s="3"/>
      <c r="AG14997" s="3"/>
      <c r="AH14997" s="3"/>
    </row>
    <row r="14998" spans="1:34" ht="14.25" customHeight="1" x14ac:dyDescent="0.25">
      <c r="A14998" s="3"/>
      <c r="B14998" s="3"/>
      <c r="C14998" s="3"/>
      <c r="D14998" s="3"/>
      <c r="E14998" s="3"/>
      <c r="F14998" s="3"/>
      <c r="G14998" s="3"/>
      <c r="H14998" s="11"/>
      <c r="I14998" s="12"/>
      <c r="J14998" s="3"/>
      <c r="K14998" s="3"/>
      <c r="L14998" s="3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  <c r="AA14998" s="3"/>
      <c r="AB14998" s="3"/>
      <c r="AC14998" s="3"/>
      <c r="AD14998" s="3"/>
      <c r="AE14998" s="3"/>
      <c r="AF14998" s="3"/>
      <c r="AG14998" s="3"/>
      <c r="AH14998" s="3"/>
    </row>
    <row r="14999" spans="1:34" ht="14.25" customHeight="1" x14ac:dyDescent="0.25">
      <c r="A14999" s="3"/>
      <c r="B14999" s="3"/>
      <c r="C14999" s="3"/>
      <c r="D14999" s="3"/>
      <c r="E14999" s="3"/>
      <c r="F14999" s="3"/>
      <c r="G14999" s="3"/>
      <c r="H14999" s="11"/>
      <c r="I14999" s="12"/>
      <c r="J14999" s="3"/>
      <c r="K14999" s="3"/>
      <c r="L14999" s="3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  <c r="AA14999" s="3"/>
      <c r="AB14999" s="3"/>
      <c r="AC14999" s="3"/>
      <c r="AD14999" s="3"/>
      <c r="AE14999" s="3"/>
      <c r="AF14999" s="3"/>
      <c r="AG14999" s="3"/>
      <c r="AH14999" s="3"/>
    </row>
    <row r="15000" spans="1:34" ht="14.25" customHeight="1" x14ac:dyDescent="0.25">
      <c r="A15000" s="3"/>
      <c r="B15000" s="3"/>
      <c r="C15000" s="3"/>
      <c r="D15000" s="3"/>
      <c r="E15000" s="3"/>
      <c r="F15000" s="3"/>
      <c r="G15000" s="3"/>
      <c r="H15000" s="11"/>
      <c r="I15000" s="12"/>
      <c r="J15000" s="3"/>
      <c r="K15000" s="3"/>
      <c r="L15000" s="3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  <c r="AA15000" s="3"/>
      <c r="AB15000" s="3"/>
      <c r="AC15000" s="3"/>
      <c r="AD15000" s="3"/>
      <c r="AE15000" s="3"/>
      <c r="AF15000" s="3"/>
      <c r="AG15000" s="3"/>
      <c r="AH15000" s="3"/>
    </row>
    <row r="15001" spans="1:34" ht="14.25" customHeight="1" x14ac:dyDescent="0.25">
      <c r="A15001" s="3"/>
      <c r="B15001" s="3"/>
      <c r="C15001" s="3"/>
      <c r="D15001" s="3"/>
      <c r="E15001" s="3"/>
      <c r="F15001" s="3"/>
      <c r="G15001" s="3"/>
      <c r="H15001" s="11"/>
      <c r="I15001" s="12"/>
      <c r="J15001" s="3"/>
      <c r="K15001" s="3"/>
      <c r="L15001" s="3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  <c r="AA15001" s="3"/>
      <c r="AB15001" s="3"/>
      <c r="AC15001" s="3"/>
      <c r="AD15001" s="3"/>
      <c r="AE15001" s="3"/>
      <c r="AF15001" s="3"/>
      <c r="AG15001" s="3"/>
      <c r="AH15001" s="3"/>
    </row>
    <row r="15002" spans="1:34" ht="14.25" customHeight="1" x14ac:dyDescent="0.25">
      <c r="A15002" s="3"/>
      <c r="B15002" s="3"/>
      <c r="C15002" s="3"/>
      <c r="D15002" s="3"/>
      <c r="E15002" s="3"/>
      <c r="F15002" s="3"/>
      <c r="G15002" s="3"/>
      <c r="H15002" s="11"/>
      <c r="I15002" s="12"/>
      <c r="J15002" s="3"/>
      <c r="K15002" s="3"/>
      <c r="L15002" s="3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  <c r="AA15002" s="3"/>
      <c r="AB15002" s="3"/>
      <c r="AC15002" s="3"/>
      <c r="AD15002" s="3"/>
      <c r="AE15002" s="3"/>
      <c r="AF15002" s="3"/>
      <c r="AG15002" s="3"/>
      <c r="AH15002" s="3"/>
    </row>
    <row r="15003" spans="1:34" ht="14.25" customHeight="1" x14ac:dyDescent="0.25">
      <c r="A15003" s="3"/>
      <c r="B15003" s="3"/>
      <c r="C15003" s="3"/>
      <c r="D15003" s="3"/>
      <c r="E15003" s="3"/>
      <c r="F15003" s="3"/>
      <c r="G15003" s="3"/>
      <c r="H15003" s="11"/>
      <c r="I15003" s="12"/>
      <c r="J15003" s="3"/>
      <c r="K15003" s="3"/>
      <c r="L15003" s="3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  <c r="AA15003" s="3"/>
      <c r="AB15003" s="3"/>
      <c r="AC15003" s="3"/>
      <c r="AD15003" s="3"/>
      <c r="AE15003" s="3"/>
      <c r="AF15003" s="3"/>
      <c r="AG15003" s="3"/>
      <c r="AH15003" s="3"/>
    </row>
    <row r="15004" spans="1:34" ht="14.25" customHeight="1" x14ac:dyDescent="0.25">
      <c r="A15004" s="3"/>
      <c r="B15004" s="3"/>
      <c r="C15004" s="3"/>
      <c r="D15004" s="3"/>
      <c r="E15004" s="3"/>
      <c r="F15004" s="3"/>
      <c r="G15004" s="3"/>
      <c r="H15004" s="11"/>
      <c r="I15004" s="12"/>
      <c r="J15004" s="3"/>
      <c r="K15004" s="3"/>
      <c r="L15004" s="3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  <c r="AA15004" s="3"/>
      <c r="AB15004" s="3"/>
      <c r="AC15004" s="3"/>
      <c r="AD15004" s="3"/>
      <c r="AE15004" s="3"/>
      <c r="AF15004" s="3"/>
      <c r="AG15004" s="3"/>
      <c r="AH15004" s="3"/>
    </row>
    <row r="15005" spans="1:34" ht="14.25" customHeight="1" x14ac:dyDescent="0.25">
      <c r="A15005" s="3"/>
      <c r="B15005" s="3"/>
      <c r="C15005" s="3"/>
      <c r="D15005" s="3"/>
      <c r="E15005" s="3"/>
      <c r="F15005" s="3"/>
      <c r="G15005" s="3"/>
      <c r="H15005" s="11"/>
      <c r="I15005" s="12"/>
      <c r="J15005" s="3"/>
      <c r="K15005" s="3"/>
      <c r="L15005" s="3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  <c r="AA15005" s="3"/>
      <c r="AB15005" s="3"/>
      <c r="AC15005" s="3"/>
      <c r="AD15005" s="3"/>
      <c r="AE15005" s="3"/>
      <c r="AF15005" s="3"/>
      <c r="AG15005" s="3"/>
      <c r="AH15005" s="3"/>
    </row>
    <row r="15006" spans="1:34" ht="14.25" customHeight="1" x14ac:dyDescent="0.25">
      <c r="A15006" s="3"/>
      <c r="B15006" s="3"/>
      <c r="C15006" s="3"/>
      <c r="D15006" s="3"/>
      <c r="E15006" s="3"/>
      <c r="F15006" s="3"/>
      <c r="G15006" s="3"/>
      <c r="H15006" s="11"/>
      <c r="I15006" s="12"/>
      <c r="J15006" s="3"/>
      <c r="K15006" s="3"/>
      <c r="L15006" s="3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  <c r="AA15006" s="3"/>
      <c r="AB15006" s="3"/>
      <c r="AC15006" s="3"/>
      <c r="AD15006" s="3"/>
      <c r="AE15006" s="3"/>
      <c r="AF15006" s="3"/>
      <c r="AG15006" s="3"/>
      <c r="AH15006" s="3"/>
    </row>
    <row r="15007" spans="1:34" ht="14.25" customHeight="1" x14ac:dyDescent="0.25">
      <c r="A15007" s="3"/>
      <c r="B15007" s="3"/>
      <c r="C15007" s="3"/>
      <c r="D15007" s="3"/>
      <c r="E15007" s="3"/>
      <c r="F15007" s="3"/>
      <c r="G15007" s="3"/>
      <c r="H15007" s="11"/>
      <c r="I15007" s="12"/>
      <c r="J15007" s="3"/>
      <c r="K15007" s="3"/>
      <c r="L15007" s="3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  <c r="AA15007" s="3"/>
      <c r="AB15007" s="3"/>
      <c r="AC15007" s="3"/>
      <c r="AD15007" s="3"/>
      <c r="AE15007" s="3"/>
      <c r="AF15007" s="3"/>
      <c r="AG15007" s="3"/>
      <c r="AH15007" s="3"/>
    </row>
    <row r="15008" spans="1:34" ht="14.25" customHeight="1" x14ac:dyDescent="0.25">
      <c r="A15008" s="3"/>
      <c r="B15008" s="3"/>
      <c r="C15008" s="3"/>
      <c r="D15008" s="3"/>
      <c r="E15008" s="3"/>
      <c r="F15008" s="3"/>
      <c r="G15008" s="3"/>
      <c r="H15008" s="11"/>
      <c r="I15008" s="12"/>
      <c r="J15008" s="3"/>
      <c r="K15008" s="3"/>
      <c r="L15008" s="3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  <c r="AA15008" s="3"/>
      <c r="AB15008" s="3"/>
      <c r="AC15008" s="3"/>
      <c r="AD15008" s="3"/>
      <c r="AE15008" s="3"/>
      <c r="AF15008" s="3"/>
      <c r="AG15008" s="3"/>
      <c r="AH15008" s="3"/>
    </row>
    <row r="15009" spans="1:34" ht="14.25" customHeight="1" x14ac:dyDescent="0.25">
      <c r="A15009" s="3"/>
      <c r="B15009" s="3"/>
      <c r="C15009" s="3"/>
      <c r="D15009" s="3"/>
      <c r="E15009" s="3"/>
      <c r="F15009" s="3"/>
      <c r="G15009" s="3"/>
      <c r="H15009" s="11"/>
      <c r="I15009" s="12"/>
      <c r="J15009" s="3"/>
      <c r="K15009" s="3"/>
      <c r="L15009" s="3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  <c r="AA15009" s="3"/>
      <c r="AB15009" s="3"/>
      <c r="AC15009" s="3"/>
      <c r="AD15009" s="3"/>
      <c r="AE15009" s="3"/>
      <c r="AF15009" s="3"/>
      <c r="AG15009" s="3"/>
      <c r="AH15009" s="3"/>
    </row>
    <row r="15010" spans="1:34" ht="14.25" customHeight="1" x14ac:dyDescent="0.25">
      <c r="A15010" s="3"/>
      <c r="B15010" s="3"/>
      <c r="C15010" s="3"/>
      <c r="D15010" s="3"/>
      <c r="E15010" s="3"/>
      <c r="F15010" s="3"/>
      <c r="G15010" s="3"/>
      <c r="H15010" s="11"/>
      <c r="I15010" s="12"/>
      <c r="J15010" s="3"/>
      <c r="K15010" s="3"/>
      <c r="L15010" s="3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  <c r="AA15010" s="3"/>
      <c r="AB15010" s="3"/>
      <c r="AC15010" s="3"/>
      <c r="AD15010" s="3"/>
      <c r="AE15010" s="3"/>
      <c r="AF15010" s="3"/>
      <c r="AG15010" s="3"/>
      <c r="AH15010" s="3"/>
    </row>
    <row r="15011" spans="1:34" ht="14.25" customHeight="1" x14ac:dyDescent="0.25">
      <c r="A15011" s="3"/>
      <c r="B15011" s="3"/>
      <c r="C15011" s="3"/>
      <c r="D15011" s="3"/>
      <c r="E15011" s="3"/>
      <c r="F15011" s="3"/>
      <c r="G15011" s="3"/>
      <c r="H15011" s="11"/>
      <c r="I15011" s="12"/>
      <c r="J15011" s="3"/>
      <c r="K15011" s="3"/>
      <c r="L15011" s="3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  <c r="AA15011" s="3"/>
      <c r="AB15011" s="3"/>
      <c r="AC15011" s="3"/>
      <c r="AD15011" s="3"/>
      <c r="AE15011" s="3"/>
      <c r="AF15011" s="3"/>
      <c r="AG15011" s="3"/>
      <c r="AH15011" s="3"/>
    </row>
    <row r="15012" spans="1:34" ht="14.25" customHeight="1" x14ac:dyDescent="0.25">
      <c r="A15012" s="3"/>
      <c r="B15012" s="3"/>
      <c r="C15012" s="3"/>
      <c r="D15012" s="3"/>
      <c r="E15012" s="3"/>
      <c r="F15012" s="3"/>
      <c r="G15012" s="3"/>
      <c r="H15012" s="11"/>
      <c r="I15012" s="12"/>
      <c r="J15012" s="3"/>
      <c r="K15012" s="3"/>
      <c r="L15012" s="3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  <c r="AA15012" s="3"/>
      <c r="AB15012" s="3"/>
      <c r="AC15012" s="3"/>
      <c r="AD15012" s="3"/>
      <c r="AE15012" s="3"/>
      <c r="AF15012" s="3"/>
      <c r="AG15012" s="3"/>
      <c r="AH15012" s="3"/>
    </row>
    <row r="15013" spans="1:34" ht="14.25" customHeight="1" x14ac:dyDescent="0.25">
      <c r="A15013" s="3"/>
      <c r="B15013" s="3"/>
      <c r="C15013" s="3"/>
      <c r="D15013" s="3"/>
      <c r="E15013" s="3"/>
      <c r="F15013" s="3"/>
      <c r="G15013" s="3"/>
      <c r="H15013" s="11"/>
      <c r="I15013" s="12"/>
      <c r="J15013" s="3"/>
      <c r="K15013" s="3"/>
      <c r="L15013" s="3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  <c r="AA15013" s="3"/>
      <c r="AB15013" s="3"/>
      <c r="AC15013" s="3"/>
      <c r="AD15013" s="3"/>
      <c r="AE15013" s="3"/>
      <c r="AF15013" s="3"/>
      <c r="AG15013" s="3"/>
      <c r="AH15013" s="3"/>
    </row>
    <row r="15014" spans="1:34" ht="14.25" customHeight="1" x14ac:dyDescent="0.25">
      <c r="A15014" s="3"/>
      <c r="B15014" s="3"/>
      <c r="C15014" s="3"/>
      <c r="D15014" s="3"/>
      <c r="E15014" s="3"/>
      <c r="F15014" s="3"/>
      <c r="G15014" s="3"/>
      <c r="H15014" s="11"/>
      <c r="I15014" s="12"/>
      <c r="J15014" s="3"/>
      <c r="K15014" s="3"/>
      <c r="L15014" s="3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  <c r="AA15014" s="3"/>
      <c r="AB15014" s="3"/>
      <c r="AC15014" s="3"/>
      <c r="AD15014" s="3"/>
      <c r="AE15014" s="3"/>
      <c r="AF15014" s="3"/>
      <c r="AG15014" s="3"/>
      <c r="AH15014" s="3"/>
    </row>
    <row r="15015" spans="1:34" ht="14.25" customHeight="1" x14ac:dyDescent="0.25">
      <c r="A15015" s="3"/>
      <c r="B15015" s="3"/>
      <c r="C15015" s="3"/>
      <c r="D15015" s="3"/>
      <c r="E15015" s="3"/>
      <c r="F15015" s="3"/>
      <c r="G15015" s="3"/>
      <c r="H15015" s="11"/>
      <c r="I15015" s="12"/>
      <c r="J15015" s="3"/>
      <c r="K15015" s="3"/>
      <c r="L15015" s="3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  <c r="AA15015" s="3"/>
      <c r="AB15015" s="3"/>
      <c r="AC15015" s="3"/>
      <c r="AD15015" s="3"/>
      <c r="AE15015" s="3"/>
      <c r="AF15015" s="3"/>
      <c r="AG15015" s="3"/>
      <c r="AH15015" s="3"/>
    </row>
    <row r="15016" spans="1:34" ht="14.25" customHeight="1" x14ac:dyDescent="0.25">
      <c r="A15016" s="3"/>
      <c r="B15016" s="3"/>
      <c r="C15016" s="3"/>
      <c r="D15016" s="3"/>
      <c r="E15016" s="3"/>
      <c r="F15016" s="3"/>
      <c r="G15016" s="3"/>
      <c r="H15016" s="11"/>
      <c r="I15016" s="12"/>
      <c r="J15016" s="3"/>
      <c r="K15016" s="3"/>
      <c r="L15016" s="3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  <c r="AA15016" s="3"/>
      <c r="AB15016" s="3"/>
      <c r="AC15016" s="3"/>
      <c r="AD15016" s="3"/>
      <c r="AE15016" s="3"/>
      <c r="AF15016" s="3"/>
      <c r="AG15016" s="3"/>
      <c r="AH15016" s="3"/>
    </row>
    <row r="15017" spans="1:34" ht="14.25" customHeight="1" x14ac:dyDescent="0.25">
      <c r="A15017" s="3"/>
      <c r="B15017" s="3"/>
      <c r="C15017" s="3"/>
      <c r="D15017" s="3"/>
      <c r="E15017" s="3"/>
      <c r="F15017" s="3"/>
      <c r="G15017" s="3"/>
      <c r="H15017" s="11"/>
      <c r="I15017" s="12"/>
      <c r="J15017" s="3"/>
      <c r="K15017" s="3"/>
      <c r="L15017" s="3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  <c r="AA15017" s="3"/>
      <c r="AB15017" s="3"/>
      <c r="AC15017" s="3"/>
      <c r="AD15017" s="3"/>
      <c r="AE15017" s="3"/>
      <c r="AF15017" s="3"/>
      <c r="AG15017" s="3"/>
      <c r="AH15017" s="3"/>
    </row>
    <row r="15018" spans="1:34" ht="14.25" customHeight="1" x14ac:dyDescent="0.25">
      <c r="A15018" s="3"/>
      <c r="B15018" s="3"/>
      <c r="C15018" s="3"/>
      <c r="D15018" s="3"/>
      <c r="E15018" s="3"/>
      <c r="F15018" s="3"/>
      <c r="G15018" s="3"/>
      <c r="H15018" s="11"/>
      <c r="I15018" s="12"/>
      <c r="J15018" s="3"/>
      <c r="K15018" s="3"/>
      <c r="L15018" s="3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  <c r="AA15018" s="3"/>
      <c r="AB15018" s="3"/>
      <c r="AC15018" s="3"/>
      <c r="AD15018" s="3"/>
      <c r="AE15018" s="3"/>
      <c r="AF15018" s="3"/>
      <c r="AG15018" s="3"/>
      <c r="AH15018" s="3"/>
    </row>
    <row r="15019" spans="1:34" ht="14.25" customHeight="1" x14ac:dyDescent="0.25">
      <c r="A15019" s="3"/>
      <c r="B15019" s="3"/>
      <c r="C15019" s="3"/>
      <c r="D15019" s="3"/>
      <c r="E15019" s="3"/>
      <c r="F15019" s="3"/>
      <c r="G15019" s="3"/>
      <c r="H15019" s="11"/>
      <c r="I15019" s="12"/>
      <c r="J15019" s="3"/>
      <c r="K15019" s="3"/>
      <c r="L15019" s="3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  <c r="AA15019" s="3"/>
      <c r="AB15019" s="3"/>
      <c r="AC15019" s="3"/>
      <c r="AD15019" s="3"/>
      <c r="AE15019" s="3"/>
      <c r="AF15019" s="3"/>
      <c r="AG15019" s="3"/>
      <c r="AH15019" s="3"/>
    </row>
    <row r="15020" spans="1:34" ht="14.25" customHeight="1" x14ac:dyDescent="0.25">
      <c r="A15020" s="3"/>
      <c r="B15020" s="3"/>
      <c r="C15020" s="3"/>
      <c r="D15020" s="3"/>
      <c r="E15020" s="3"/>
      <c r="F15020" s="3"/>
      <c r="G15020" s="3"/>
      <c r="H15020" s="11"/>
      <c r="I15020" s="12"/>
      <c r="J15020" s="3"/>
      <c r="K15020" s="3"/>
      <c r="L15020" s="3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  <c r="AA15020" s="3"/>
      <c r="AB15020" s="3"/>
      <c r="AC15020" s="3"/>
      <c r="AD15020" s="3"/>
      <c r="AE15020" s="3"/>
      <c r="AF15020" s="3"/>
      <c r="AG15020" s="3"/>
      <c r="AH15020" s="3"/>
    </row>
    <row r="15021" spans="1:34" ht="14.25" customHeight="1" x14ac:dyDescent="0.25">
      <c r="A15021" s="3"/>
      <c r="B15021" s="3"/>
      <c r="C15021" s="3"/>
      <c r="D15021" s="3"/>
      <c r="E15021" s="3"/>
      <c r="F15021" s="3"/>
      <c r="G15021" s="3"/>
      <c r="H15021" s="11"/>
      <c r="I15021" s="12"/>
      <c r="J15021" s="3"/>
      <c r="K15021" s="3"/>
      <c r="L15021" s="3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  <c r="AA15021" s="3"/>
      <c r="AB15021" s="3"/>
      <c r="AC15021" s="3"/>
      <c r="AD15021" s="3"/>
      <c r="AE15021" s="3"/>
      <c r="AF15021" s="3"/>
      <c r="AG15021" s="3"/>
      <c r="AH15021" s="3"/>
    </row>
    <row r="15022" spans="1:34" ht="14.25" customHeight="1" x14ac:dyDescent="0.25">
      <c r="A15022" s="3"/>
      <c r="B15022" s="3"/>
      <c r="C15022" s="3"/>
      <c r="D15022" s="3"/>
      <c r="E15022" s="3"/>
      <c r="F15022" s="3"/>
      <c r="G15022" s="3"/>
      <c r="H15022" s="11"/>
      <c r="I15022" s="12"/>
      <c r="J15022" s="3"/>
      <c r="K15022" s="3"/>
      <c r="L15022" s="3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  <c r="AA15022" s="3"/>
      <c r="AB15022" s="3"/>
      <c r="AC15022" s="3"/>
      <c r="AD15022" s="3"/>
      <c r="AE15022" s="3"/>
      <c r="AF15022" s="3"/>
      <c r="AG15022" s="3"/>
      <c r="AH15022" s="3"/>
    </row>
    <row r="15023" spans="1:34" ht="14.25" customHeight="1" x14ac:dyDescent="0.25">
      <c r="A15023" s="3"/>
      <c r="B15023" s="3"/>
      <c r="C15023" s="3"/>
      <c r="D15023" s="3"/>
      <c r="E15023" s="3"/>
      <c r="F15023" s="3"/>
      <c r="G15023" s="3"/>
      <c r="H15023" s="11"/>
      <c r="I15023" s="12"/>
      <c r="J15023" s="3"/>
      <c r="K15023" s="3"/>
      <c r="L15023" s="3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  <c r="AA15023" s="3"/>
      <c r="AB15023" s="3"/>
      <c r="AC15023" s="3"/>
      <c r="AD15023" s="3"/>
      <c r="AE15023" s="3"/>
      <c r="AF15023" s="3"/>
      <c r="AG15023" s="3"/>
      <c r="AH15023" s="3"/>
    </row>
    <row r="15024" spans="1:34" ht="14.25" customHeight="1" x14ac:dyDescent="0.25">
      <c r="A15024" s="3"/>
      <c r="B15024" s="3"/>
      <c r="C15024" s="3"/>
      <c r="D15024" s="3"/>
      <c r="E15024" s="3"/>
      <c r="F15024" s="3"/>
      <c r="G15024" s="3"/>
      <c r="H15024" s="11"/>
      <c r="I15024" s="12"/>
      <c r="J15024" s="3"/>
      <c r="K15024" s="3"/>
      <c r="L15024" s="3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  <c r="AA15024" s="3"/>
      <c r="AB15024" s="3"/>
      <c r="AC15024" s="3"/>
      <c r="AD15024" s="3"/>
      <c r="AE15024" s="3"/>
      <c r="AF15024" s="3"/>
      <c r="AG15024" s="3"/>
      <c r="AH15024" s="3"/>
    </row>
    <row r="15025" spans="1:34" ht="14.25" customHeight="1" x14ac:dyDescent="0.25">
      <c r="A15025" s="3"/>
      <c r="B15025" s="3"/>
      <c r="C15025" s="3"/>
      <c r="D15025" s="3"/>
      <c r="E15025" s="3"/>
      <c r="F15025" s="3"/>
      <c r="G15025" s="3"/>
      <c r="H15025" s="11"/>
      <c r="I15025" s="12"/>
      <c r="J15025" s="3"/>
      <c r="K15025" s="3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  <c r="AA15025" s="3"/>
      <c r="AB15025" s="3"/>
      <c r="AC15025" s="3"/>
      <c r="AD15025" s="3"/>
      <c r="AE15025" s="3"/>
      <c r="AF15025" s="3"/>
      <c r="AG15025" s="3"/>
      <c r="AH15025" s="3"/>
    </row>
    <row r="15026" spans="1:34" ht="14.25" customHeight="1" x14ac:dyDescent="0.25">
      <c r="A15026" s="3"/>
      <c r="B15026" s="3"/>
      <c r="C15026" s="3"/>
      <c r="D15026" s="3"/>
      <c r="E15026" s="3"/>
      <c r="F15026" s="3"/>
      <c r="G15026" s="3"/>
      <c r="H15026" s="11"/>
      <c r="I15026" s="12"/>
      <c r="J15026" s="3"/>
      <c r="K15026" s="3"/>
      <c r="L15026" s="3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  <c r="AA15026" s="3"/>
      <c r="AB15026" s="3"/>
      <c r="AC15026" s="3"/>
      <c r="AD15026" s="3"/>
      <c r="AE15026" s="3"/>
      <c r="AF15026" s="3"/>
      <c r="AG15026" s="3"/>
      <c r="AH15026" s="3"/>
    </row>
    <row r="15027" spans="1:34" ht="14.25" customHeight="1" x14ac:dyDescent="0.25">
      <c r="A15027" s="3"/>
      <c r="B15027" s="3"/>
      <c r="C15027" s="3"/>
      <c r="D15027" s="3"/>
      <c r="E15027" s="3"/>
      <c r="F15027" s="3"/>
      <c r="G15027" s="3"/>
      <c r="H15027" s="11"/>
      <c r="I15027" s="12"/>
      <c r="J15027" s="3"/>
      <c r="K15027" s="3"/>
      <c r="L15027" s="3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  <c r="AA15027" s="3"/>
      <c r="AB15027" s="3"/>
      <c r="AC15027" s="3"/>
      <c r="AD15027" s="3"/>
      <c r="AE15027" s="3"/>
      <c r="AF15027" s="3"/>
      <c r="AG15027" s="3"/>
      <c r="AH15027" s="3"/>
    </row>
    <row r="15028" spans="1:34" ht="14.25" customHeight="1" x14ac:dyDescent="0.25">
      <c r="A15028" s="3"/>
      <c r="B15028" s="3"/>
      <c r="C15028" s="3"/>
      <c r="D15028" s="3"/>
      <c r="E15028" s="3"/>
      <c r="F15028" s="3"/>
      <c r="G15028" s="3"/>
      <c r="H15028" s="11"/>
      <c r="I15028" s="12"/>
      <c r="J15028" s="3"/>
      <c r="K15028" s="3"/>
      <c r="L15028" s="3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  <c r="AA15028" s="3"/>
      <c r="AB15028" s="3"/>
      <c r="AC15028" s="3"/>
      <c r="AD15028" s="3"/>
      <c r="AE15028" s="3"/>
      <c r="AF15028" s="3"/>
      <c r="AG15028" s="3"/>
      <c r="AH15028" s="3"/>
    </row>
    <row r="15029" spans="1:34" ht="14.25" customHeight="1" x14ac:dyDescent="0.25">
      <c r="A15029" s="3"/>
      <c r="B15029" s="3"/>
      <c r="C15029" s="3"/>
      <c r="D15029" s="3"/>
      <c r="E15029" s="3"/>
      <c r="F15029" s="3"/>
      <c r="G15029" s="3"/>
      <c r="H15029" s="11"/>
      <c r="I15029" s="12"/>
      <c r="J15029" s="3"/>
      <c r="K15029" s="3"/>
      <c r="L15029" s="3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  <c r="AA15029" s="3"/>
      <c r="AB15029" s="3"/>
      <c r="AC15029" s="3"/>
      <c r="AD15029" s="3"/>
      <c r="AE15029" s="3"/>
      <c r="AF15029" s="3"/>
      <c r="AG15029" s="3"/>
      <c r="AH15029" s="3"/>
    </row>
    <row r="15030" spans="1:34" ht="14.25" customHeight="1" x14ac:dyDescent="0.25">
      <c r="A15030" s="3"/>
      <c r="B15030" s="3"/>
      <c r="C15030" s="3"/>
      <c r="D15030" s="3"/>
      <c r="E15030" s="3"/>
      <c r="F15030" s="3"/>
      <c r="G15030" s="3"/>
      <c r="H15030" s="11"/>
      <c r="I15030" s="12"/>
      <c r="J15030" s="3"/>
      <c r="K15030" s="3"/>
      <c r="L15030" s="3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  <c r="AA15030" s="3"/>
      <c r="AB15030" s="3"/>
      <c r="AC15030" s="3"/>
      <c r="AD15030" s="3"/>
      <c r="AE15030" s="3"/>
      <c r="AF15030" s="3"/>
      <c r="AG15030" s="3"/>
      <c r="AH15030" s="3"/>
    </row>
    <row r="15031" spans="1:34" ht="14.25" customHeight="1" x14ac:dyDescent="0.25">
      <c r="A15031" s="3"/>
      <c r="B15031" s="3"/>
      <c r="C15031" s="3"/>
      <c r="D15031" s="3"/>
      <c r="E15031" s="3"/>
      <c r="F15031" s="3"/>
      <c r="G15031" s="3"/>
      <c r="H15031" s="11"/>
      <c r="I15031" s="12"/>
      <c r="J15031" s="3"/>
      <c r="K15031" s="3"/>
      <c r="L15031" s="3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  <c r="AA15031" s="3"/>
      <c r="AB15031" s="3"/>
      <c r="AC15031" s="3"/>
      <c r="AD15031" s="3"/>
      <c r="AE15031" s="3"/>
      <c r="AF15031" s="3"/>
      <c r="AG15031" s="3"/>
      <c r="AH15031" s="3"/>
    </row>
    <row r="15032" spans="1:34" ht="14.25" customHeight="1" x14ac:dyDescent="0.25">
      <c r="A15032" s="3"/>
      <c r="B15032" s="3"/>
      <c r="C15032" s="3"/>
      <c r="D15032" s="3"/>
      <c r="E15032" s="3"/>
      <c r="F15032" s="3"/>
      <c r="G15032" s="3"/>
      <c r="H15032" s="11"/>
      <c r="I15032" s="12"/>
      <c r="J15032" s="3"/>
      <c r="K15032" s="3"/>
      <c r="L15032" s="3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  <c r="AA15032" s="3"/>
      <c r="AB15032" s="3"/>
      <c r="AC15032" s="3"/>
      <c r="AD15032" s="3"/>
      <c r="AE15032" s="3"/>
      <c r="AF15032" s="3"/>
      <c r="AG15032" s="3"/>
      <c r="AH15032" s="3"/>
    </row>
    <row r="15033" spans="1:34" ht="14.25" customHeight="1" x14ac:dyDescent="0.25">
      <c r="A15033" s="3"/>
      <c r="B15033" s="3"/>
      <c r="C15033" s="3"/>
      <c r="D15033" s="3"/>
      <c r="E15033" s="3"/>
      <c r="F15033" s="3"/>
      <c r="G15033" s="3"/>
      <c r="H15033" s="11"/>
      <c r="I15033" s="12"/>
      <c r="J15033" s="3"/>
      <c r="K15033" s="3"/>
      <c r="L15033" s="3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  <c r="AA15033" s="3"/>
      <c r="AB15033" s="3"/>
      <c r="AC15033" s="3"/>
      <c r="AD15033" s="3"/>
      <c r="AE15033" s="3"/>
      <c r="AF15033" s="3"/>
      <c r="AG15033" s="3"/>
      <c r="AH15033" s="3"/>
    </row>
    <row r="15034" spans="1:34" ht="14.25" customHeight="1" x14ac:dyDescent="0.25">
      <c r="A15034" s="3"/>
      <c r="B15034" s="3"/>
      <c r="C15034" s="3"/>
      <c r="D15034" s="3"/>
      <c r="E15034" s="3"/>
      <c r="F15034" s="3"/>
      <c r="G15034" s="3"/>
      <c r="H15034" s="11"/>
      <c r="I15034" s="12"/>
      <c r="J15034" s="3"/>
      <c r="K15034" s="3"/>
      <c r="L15034" s="3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  <c r="AA15034" s="3"/>
      <c r="AB15034" s="3"/>
      <c r="AC15034" s="3"/>
      <c r="AD15034" s="3"/>
      <c r="AE15034" s="3"/>
      <c r="AF15034" s="3"/>
      <c r="AG15034" s="3"/>
      <c r="AH15034" s="3"/>
    </row>
    <row r="15035" spans="1:34" ht="14.25" customHeight="1" x14ac:dyDescent="0.25">
      <c r="A15035" s="3"/>
      <c r="B15035" s="3"/>
      <c r="C15035" s="3"/>
      <c r="D15035" s="3"/>
      <c r="E15035" s="3"/>
      <c r="F15035" s="3"/>
      <c r="G15035" s="3"/>
      <c r="H15035" s="11"/>
      <c r="I15035" s="12"/>
      <c r="J15035" s="3"/>
      <c r="K15035" s="3"/>
      <c r="L15035" s="3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  <c r="AA15035" s="3"/>
      <c r="AB15035" s="3"/>
      <c r="AC15035" s="3"/>
      <c r="AD15035" s="3"/>
      <c r="AE15035" s="3"/>
      <c r="AF15035" s="3"/>
      <c r="AG15035" s="3"/>
      <c r="AH15035" s="3"/>
    </row>
    <row r="15036" spans="1:34" ht="14.25" customHeight="1" x14ac:dyDescent="0.25">
      <c r="A15036" s="3"/>
      <c r="B15036" s="3"/>
      <c r="C15036" s="3"/>
      <c r="D15036" s="3"/>
      <c r="E15036" s="3"/>
      <c r="F15036" s="3"/>
      <c r="G15036" s="3"/>
      <c r="H15036" s="11"/>
      <c r="I15036" s="12"/>
      <c r="J15036" s="3"/>
      <c r="K15036" s="3"/>
      <c r="L15036" s="3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  <c r="AA15036" s="3"/>
      <c r="AB15036" s="3"/>
      <c r="AC15036" s="3"/>
      <c r="AD15036" s="3"/>
      <c r="AE15036" s="3"/>
      <c r="AF15036" s="3"/>
      <c r="AG15036" s="3"/>
      <c r="AH15036" s="3"/>
    </row>
    <row r="15037" spans="1:34" ht="14.25" customHeight="1" x14ac:dyDescent="0.25">
      <c r="A15037" s="3"/>
      <c r="B15037" s="3"/>
      <c r="C15037" s="3"/>
      <c r="D15037" s="3"/>
      <c r="E15037" s="3"/>
      <c r="F15037" s="3"/>
      <c r="G15037" s="3"/>
      <c r="H15037" s="11"/>
      <c r="I15037" s="12"/>
      <c r="J15037" s="3"/>
      <c r="K15037" s="3"/>
      <c r="L15037" s="3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  <c r="AA15037" s="3"/>
      <c r="AB15037" s="3"/>
      <c r="AC15037" s="3"/>
      <c r="AD15037" s="3"/>
      <c r="AE15037" s="3"/>
      <c r="AF15037" s="3"/>
      <c r="AG15037" s="3"/>
      <c r="AH15037" s="3"/>
    </row>
    <row r="15038" spans="1:34" ht="14.25" customHeight="1" x14ac:dyDescent="0.25">
      <c r="A15038" s="3"/>
      <c r="B15038" s="3"/>
      <c r="C15038" s="3"/>
      <c r="D15038" s="3"/>
      <c r="E15038" s="3"/>
      <c r="F15038" s="3"/>
      <c r="G15038" s="3"/>
      <c r="H15038" s="11"/>
      <c r="I15038" s="12"/>
      <c r="J15038" s="3"/>
      <c r="K15038" s="3"/>
      <c r="L15038" s="3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  <c r="AA15038" s="3"/>
      <c r="AB15038" s="3"/>
      <c r="AC15038" s="3"/>
      <c r="AD15038" s="3"/>
      <c r="AE15038" s="3"/>
      <c r="AF15038" s="3"/>
      <c r="AG15038" s="3"/>
      <c r="AH15038" s="3"/>
    </row>
    <row r="15039" spans="1:34" ht="14.25" customHeight="1" x14ac:dyDescent="0.25">
      <c r="A15039" s="3"/>
      <c r="B15039" s="3"/>
      <c r="C15039" s="3"/>
      <c r="D15039" s="3"/>
      <c r="E15039" s="3"/>
      <c r="F15039" s="3"/>
      <c r="G15039" s="3"/>
      <c r="H15039" s="11"/>
      <c r="I15039" s="12"/>
      <c r="J15039" s="3"/>
      <c r="K15039" s="3"/>
      <c r="L15039" s="3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  <c r="AA15039" s="3"/>
      <c r="AB15039" s="3"/>
      <c r="AC15039" s="3"/>
      <c r="AD15039" s="3"/>
      <c r="AE15039" s="3"/>
      <c r="AF15039" s="3"/>
      <c r="AG15039" s="3"/>
      <c r="AH15039" s="3"/>
    </row>
    <row r="15040" spans="1:34" ht="14.25" customHeight="1" x14ac:dyDescent="0.25">
      <c r="A15040" s="3"/>
      <c r="B15040" s="3"/>
      <c r="C15040" s="3"/>
      <c r="D15040" s="3"/>
      <c r="E15040" s="3"/>
      <c r="F15040" s="3"/>
      <c r="G15040" s="3"/>
      <c r="H15040" s="11"/>
      <c r="I15040" s="12"/>
      <c r="J15040" s="3"/>
      <c r="K15040" s="3"/>
      <c r="L15040" s="3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  <c r="AA15040" s="3"/>
      <c r="AB15040" s="3"/>
      <c r="AC15040" s="3"/>
      <c r="AD15040" s="3"/>
      <c r="AE15040" s="3"/>
      <c r="AF15040" s="3"/>
      <c r="AG15040" s="3"/>
      <c r="AH15040" s="3"/>
    </row>
    <row r="15041" spans="1:34" ht="14.25" customHeight="1" x14ac:dyDescent="0.25">
      <c r="A15041" s="3"/>
      <c r="B15041" s="3"/>
      <c r="C15041" s="3"/>
      <c r="D15041" s="3"/>
      <c r="E15041" s="3"/>
      <c r="F15041" s="3"/>
      <c r="G15041" s="3"/>
      <c r="H15041" s="11"/>
      <c r="I15041" s="12"/>
      <c r="J15041" s="3"/>
      <c r="K15041" s="3"/>
      <c r="L15041" s="3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  <c r="AA15041" s="3"/>
      <c r="AB15041" s="3"/>
      <c r="AC15041" s="3"/>
      <c r="AD15041" s="3"/>
      <c r="AE15041" s="3"/>
      <c r="AF15041" s="3"/>
      <c r="AG15041" s="3"/>
      <c r="AH15041" s="3"/>
    </row>
    <row r="15042" spans="1:34" ht="14.25" customHeight="1" x14ac:dyDescent="0.25">
      <c r="A15042" s="3"/>
      <c r="B15042" s="3"/>
      <c r="C15042" s="3"/>
      <c r="D15042" s="3"/>
      <c r="E15042" s="3"/>
      <c r="F15042" s="3"/>
      <c r="G15042" s="3"/>
      <c r="H15042" s="11"/>
      <c r="I15042" s="12"/>
      <c r="J15042" s="3"/>
      <c r="K15042" s="3"/>
      <c r="L15042" s="3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  <c r="AA15042" s="3"/>
      <c r="AB15042" s="3"/>
      <c r="AC15042" s="3"/>
      <c r="AD15042" s="3"/>
      <c r="AE15042" s="3"/>
      <c r="AF15042" s="3"/>
      <c r="AG15042" s="3"/>
      <c r="AH15042" s="3"/>
    </row>
    <row r="15043" spans="1:34" ht="14.25" customHeight="1" x14ac:dyDescent="0.25">
      <c r="A15043" s="3"/>
      <c r="B15043" s="3"/>
      <c r="C15043" s="3"/>
      <c r="D15043" s="3"/>
      <c r="E15043" s="3"/>
      <c r="F15043" s="3"/>
      <c r="G15043" s="3"/>
      <c r="H15043" s="11"/>
      <c r="I15043" s="12"/>
      <c r="J15043" s="3"/>
      <c r="K15043" s="3"/>
      <c r="L15043" s="3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  <c r="AA15043" s="3"/>
      <c r="AB15043" s="3"/>
      <c r="AC15043" s="3"/>
      <c r="AD15043" s="3"/>
      <c r="AE15043" s="3"/>
      <c r="AF15043" s="3"/>
      <c r="AG15043" s="3"/>
      <c r="AH15043" s="3"/>
    </row>
    <row r="15044" spans="1:34" ht="14.25" customHeight="1" x14ac:dyDescent="0.25">
      <c r="A15044" s="3"/>
      <c r="B15044" s="3"/>
      <c r="C15044" s="3"/>
      <c r="D15044" s="3"/>
      <c r="E15044" s="3"/>
      <c r="F15044" s="3"/>
      <c r="G15044" s="3"/>
      <c r="H15044" s="11"/>
      <c r="I15044" s="12"/>
      <c r="J15044" s="3"/>
      <c r="K15044" s="3"/>
      <c r="L15044" s="3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  <c r="AA15044" s="3"/>
      <c r="AB15044" s="3"/>
      <c r="AC15044" s="3"/>
      <c r="AD15044" s="3"/>
      <c r="AE15044" s="3"/>
      <c r="AF15044" s="3"/>
      <c r="AG15044" s="3"/>
      <c r="AH15044" s="3"/>
    </row>
    <row r="15045" spans="1:34" ht="14.25" customHeight="1" x14ac:dyDescent="0.25">
      <c r="A15045" s="3"/>
      <c r="B15045" s="3"/>
      <c r="C15045" s="3"/>
      <c r="D15045" s="3"/>
      <c r="E15045" s="3"/>
      <c r="F15045" s="3"/>
      <c r="G15045" s="3"/>
      <c r="H15045" s="11"/>
      <c r="I15045" s="12"/>
      <c r="J15045" s="3"/>
      <c r="K15045" s="3"/>
      <c r="L15045" s="3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  <c r="AA15045" s="3"/>
      <c r="AB15045" s="3"/>
      <c r="AC15045" s="3"/>
      <c r="AD15045" s="3"/>
      <c r="AE15045" s="3"/>
      <c r="AF15045" s="3"/>
      <c r="AG15045" s="3"/>
      <c r="AH15045" s="3"/>
    </row>
    <row r="15046" spans="1:34" ht="14.25" customHeight="1" x14ac:dyDescent="0.25">
      <c r="A15046" s="3"/>
      <c r="B15046" s="3"/>
      <c r="C15046" s="3"/>
      <c r="D15046" s="3"/>
      <c r="E15046" s="3"/>
      <c r="F15046" s="3"/>
      <c r="G15046" s="3"/>
      <c r="H15046" s="11"/>
      <c r="I15046" s="12"/>
      <c r="J15046" s="3"/>
      <c r="K15046" s="3"/>
      <c r="L15046" s="3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  <c r="AA15046" s="3"/>
      <c r="AB15046" s="3"/>
      <c r="AC15046" s="3"/>
      <c r="AD15046" s="3"/>
      <c r="AE15046" s="3"/>
      <c r="AF15046" s="3"/>
      <c r="AG15046" s="3"/>
      <c r="AH15046" s="3"/>
    </row>
    <row r="15047" spans="1:34" ht="14.25" customHeight="1" x14ac:dyDescent="0.25">
      <c r="A15047" s="3"/>
      <c r="B15047" s="3"/>
      <c r="C15047" s="3"/>
      <c r="D15047" s="3"/>
      <c r="E15047" s="3"/>
      <c r="F15047" s="3"/>
      <c r="G15047" s="3"/>
      <c r="H15047" s="11"/>
      <c r="I15047" s="12"/>
      <c r="J15047" s="3"/>
      <c r="K15047" s="3"/>
      <c r="L15047" s="3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  <c r="AA15047" s="3"/>
      <c r="AB15047" s="3"/>
      <c r="AC15047" s="3"/>
      <c r="AD15047" s="3"/>
      <c r="AE15047" s="3"/>
      <c r="AF15047" s="3"/>
      <c r="AG15047" s="3"/>
      <c r="AH15047" s="3"/>
    </row>
    <row r="15048" spans="1:34" ht="14.25" customHeight="1" x14ac:dyDescent="0.25">
      <c r="A15048" s="3"/>
      <c r="B15048" s="3"/>
      <c r="C15048" s="3"/>
      <c r="D15048" s="3"/>
      <c r="E15048" s="3"/>
      <c r="F15048" s="3"/>
      <c r="G15048" s="3"/>
      <c r="H15048" s="11"/>
      <c r="I15048" s="12"/>
      <c r="J15048" s="3"/>
      <c r="K15048" s="3"/>
      <c r="L15048" s="3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  <c r="AA15048" s="3"/>
      <c r="AB15048" s="3"/>
      <c r="AC15048" s="3"/>
      <c r="AD15048" s="3"/>
      <c r="AE15048" s="3"/>
      <c r="AF15048" s="3"/>
      <c r="AG15048" s="3"/>
      <c r="AH15048" s="3"/>
    </row>
    <row r="15049" spans="1:34" ht="14.25" customHeight="1" x14ac:dyDescent="0.25">
      <c r="A15049" s="3"/>
      <c r="B15049" s="3"/>
      <c r="C15049" s="3"/>
      <c r="D15049" s="3"/>
      <c r="E15049" s="3"/>
      <c r="F15049" s="3"/>
      <c r="G15049" s="3"/>
      <c r="H15049" s="11"/>
      <c r="I15049" s="12"/>
      <c r="J15049" s="3"/>
      <c r="K15049" s="3"/>
      <c r="L15049" s="3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  <c r="AA15049" s="3"/>
      <c r="AB15049" s="3"/>
      <c r="AC15049" s="3"/>
      <c r="AD15049" s="3"/>
      <c r="AE15049" s="3"/>
      <c r="AF15049" s="3"/>
      <c r="AG15049" s="3"/>
      <c r="AH15049" s="3"/>
    </row>
    <row r="15050" spans="1:34" ht="14.25" customHeight="1" x14ac:dyDescent="0.25">
      <c r="A15050" s="3"/>
      <c r="B15050" s="3"/>
      <c r="C15050" s="3"/>
      <c r="D15050" s="3"/>
      <c r="E15050" s="3"/>
      <c r="F15050" s="3"/>
      <c r="G15050" s="3"/>
      <c r="H15050" s="11"/>
      <c r="I15050" s="12"/>
      <c r="J15050" s="3"/>
      <c r="K15050" s="3"/>
      <c r="L15050" s="3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  <c r="AA15050" s="3"/>
      <c r="AB15050" s="3"/>
      <c r="AC15050" s="3"/>
      <c r="AD15050" s="3"/>
      <c r="AE15050" s="3"/>
      <c r="AF15050" s="3"/>
      <c r="AG15050" s="3"/>
      <c r="AH15050" s="3"/>
    </row>
    <row r="15051" spans="1:34" ht="14.25" customHeight="1" x14ac:dyDescent="0.25">
      <c r="A15051" s="3"/>
      <c r="B15051" s="3"/>
      <c r="C15051" s="3"/>
      <c r="D15051" s="3"/>
      <c r="E15051" s="3"/>
      <c r="F15051" s="3"/>
      <c r="G15051" s="3"/>
      <c r="H15051" s="11"/>
      <c r="I15051" s="12"/>
      <c r="J15051" s="3"/>
      <c r="K15051" s="3"/>
      <c r="L15051" s="3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  <c r="AA15051" s="3"/>
      <c r="AB15051" s="3"/>
      <c r="AC15051" s="3"/>
      <c r="AD15051" s="3"/>
      <c r="AE15051" s="3"/>
      <c r="AF15051" s="3"/>
      <c r="AG15051" s="3"/>
      <c r="AH15051" s="3"/>
    </row>
    <row r="15052" spans="1:34" ht="14.25" customHeight="1" x14ac:dyDescent="0.25">
      <c r="A15052" s="3"/>
      <c r="B15052" s="3"/>
      <c r="C15052" s="3"/>
      <c r="D15052" s="3"/>
      <c r="E15052" s="3"/>
      <c r="F15052" s="3"/>
      <c r="G15052" s="3"/>
      <c r="H15052" s="11"/>
      <c r="I15052" s="12"/>
      <c r="J15052" s="3"/>
      <c r="K15052" s="3"/>
      <c r="L15052" s="3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  <c r="AA15052" s="3"/>
      <c r="AB15052" s="3"/>
      <c r="AC15052" s="3"/>
      <c r="AD15052" s="3"/>
      <c r="AE15052" s="3"/>
      <c r="AF15052" s="3"/>
      <c r="AG15052" s="3"/>
      <c r="AH15052" s="3"/>
    </row>
    <row r="15053" spans="1:34" ht="14.25" customHeight="1" x14ac:dyDescent="0.25">
      <c r="A15053" s="3"/>
      <c r="B15053" s="3"/>
      <c r="C15053" s="3"/>
      <c r="D15053" s="3"/>
      <c r="E15053" s="3"/>
      <c r="F15053" s="3"/>
      <c r="G15053" s="3"/>
      <c r="H15053" s="11"/>
      <c r="I15053" s="12"/>
      <c r="J15053" s="3"/>
      <c r="K15053" s="3"/>
      <c r="L15053" s="3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  <c r="AA15053" s="3"/>
      <c r="AB15053" s="3"/>
      <c r="AC15053" s="3"/>
      <c r="AD15053" s="3"/>
      <c r="AE15053" s="3"/>
      <c r="AF15053" s="3"/>
      <c r="AG15053" s="3"/>
      <c r="AH15053" s="3"/>
    </row>
    <row r="15054" spans="1:34" ht="14.25" customHeight="1" x14ac:dyDescent="0.25">
      <c r="A15054" s="3"/>
      <c r="B15054" s="3"/>
      <c r="C15054" s="3"/>
      <c r="D15054" s="3"/>
      <c r="E15054" s="3"/>
      <c r="F15054" s="3"/>
      <c r="G15054" s="3"/>
      <c r="H15054" s="11"/>
      <c r="I15054" s="12"/>
      <c r="J15054" s="3"/>
      <c r="K15054" s="3"/>
      <c r="L15054" s="3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  <c r="AA15054" s="3"/>
      <c r="AB15054" s="3"/>
      <c r="AC15054" s="3"/>
      <c r="AD15054" s="3"/>
      <c r="AE15054" s="3"/>
      <c r="AF15054" s="3"/>
      <c r="AG15054" s="3"/>
      <c r="AH15054" s="3"/>
    </row>
    <row r="15055" spans="1:34" ht="14.25" customHeight="1" x14ac:dyDescent="0.25">
      <c r="A15055" s="3"/>
      <c r="B15055" s="3"/>
      <c r="C15055" s="3"/>
      <c r="D15055" s="3"/>
      <c r="E15055" s="3"/>
      <c r="F15055" s="3"/>
      <c r="G15055" s="3"/>
      <c r="H15055" s="11"/>
      <c r="I15055" s="12"/>
      <c r="J15055" s="3"/>
      <c r="K15055" s="3"/>
      <c r="L15055" s="3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  <c r="AA15055" s="3"/>
      <c r="AB15055" s="3"/>
      <c r="AC15055" s="3"/>
      <c r="AD15055" s="3"/>
      <c r="AE15055" s="3"/>
      <c r="AF15055" s="3"/>
      <c r="AG15055" s="3"/>
      <c r="AH15055" s="3"/>
    </row>
    <row r="15056" spans="1:34" ht="14.25" customHeight="1" x14ac:dyDescent="0.25">
      <c r="A15056" s="3"/>
      <c r="B15056" s="3"/>
      <c r="C15056" s="3"/>
      <c r="D15056" s="3"/>
      <c r="E15056" s="3"/>
      <c r="F15056" s="3"/>
      <c r="G15056" s="3"/>
      <c r="H15056" s="11"/>
      <c r="I15056" s="12"/>
      <c r="J15056" s="3"/>
      <c r="K15056" s="3"/>
      <c r="L15056" s="3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  <c r="AA15056" s="3"/>
      <c r="AB15056" s="3"/>
      <c r="AC15056" s="3"/>
      <c r="AD15056" s="3"/>
      <c r="AE15056" s="3"/>
      <c r="AF15056" s="3"/>
      <c r="AG15056" s="3"/>
      <c r="AH15056" s="3"/>
    </row>
    <row r="15057" spans="1:34" ht="14.25" customHeight="1" x14ac:dyDescent="0.25">
      <c r="A15057" s="3"/>
      <c r="B15057" s="3"/>
      <c r="C15057" s="3"/>
      <c r="D15057" s="3"/>
      <c r="E15057" s="3"/>
      <c r="F15057" s="3"/>
      <c r="G15057" s="3"/>
      <c r="H15057" s="11"/>
      <c r="I15057" s="12"/>
      <c r="J15057" s="3"/>
      <c r="K15057" s="3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  <c r="AA15057" s="3"/>
      <c r="AB15057" s="3"/>
      <c r="AC15057" s="3"/>
      <c r="AD15057" s="3"/>
      <c r="AE15057" s="3"/>
      <c r="AF15057" s="3"/>
      <c r="AG15057" s="3"/>
      <c r="AH15057" s="3"/>
    </row>
    <row r="15058" spans="1:34" ht="14.25" customHeight="1" x14ac:dyDescent="0.25">
      <c r="A15058" s="3"/>
      <c r="B15058" s="3"/>
      <c r="C15058" s="3"/>
      <c r="D15058" s="3"/>
      <c r="E15058" s="3"/>
      <c r="F15058" s="3"/>
      <c r="G15058" s="3"/>
      <c r="H15058" s="11"/>
      <c r="I15058" s="12"/>
      <c r="J15058" s="3"/>
      <c r="K15058" s="3"/>
      <c r="L15058" s="3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  <c r="AA15058" s="3"/>
      <c r="AB15058" s="3"/>
      <c r="AC15058" s="3"/>
      <c r="AD15058" s="3"/>
      <c r="AE15058" s="3"/>
      <c r="AF15058" s="3"/>
      <c r="AG15058" s="3"/>
      <c r="AH15058" s="3"/>
    </row>
    <row r="15059" spans="1:34" ht="14.25" customHeight="1" x14ac:dyDescent="0.25">
      <c r="A15059" s="3"/>
      <c r="B15059" s="3"/>
      <c r="C15059" s="3"/>
      <c r="D15059" s="3"/>
      <c r="E15059" s="3"/>
      <c r="F15059" s="3"/>
      <c r="G15059" s="3"/>
      <c r="H15059" s="11"/>
      <c r="I15059" s="12"/>
      <c r="J15059" s="3"/>
      <c r="K15059" s="3"/>
      <c r="L15059" s="3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  <c r="AA15059" s="3"/>
      <c r="AB15059" s="3"/>
      <c r="AC15059" s="3"/>
      <c r="AD15059" s="3"/>
      <c r="AE15059" s="3"/>
      <c r="AF15059" s="3"/>
      <c r="AG15059" s="3"/>
      <c r="AH15059" s="3"/>
    </row>
    <row r="15060" spans="1:34" ht="14.25" customHeight="1" x14ac:dyDescent="0.25">
      <c r="A15060" s="3"/>
      <c r="B15060" s="3"/>
      <c r="C15060" s="3"/>
      <c r="D15060" s="3"/>
      <c r="E15060" s="3"/>
      <c r="F15060" s="3"/>
      <c r="G15060" s="3"/>
      <c r="H15060" s="11"/>
      <c r="I15060" s="12"/>
      <c r="J15060" s="3"/>
      <c r="K15060" s="3"/>
      <c r="L15060" s="3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  <c r="AA15060" s="3"/>
      <c r="AB15060" s="3"/>
      <c r="AC15060" s="3"/>
      <c r="AD15060" s="3"/>
      <c r="AE15060" s="3"/>
      <c r="AF15060" s="3"/>
      <c r="AG15060" s="3"/>
      <c r="AH15060" s="3"/>
    </row>
    <row r="15061" spans="1:34" ht="14.25" customHeight="1" x14ac:dyDescent="0.25">
      <c r="A15061" s="3"/>
      <c r="B15061" s="3"/>
      <c r="C15061" s="3"/>
      <c r="D15061" s="3"/>
      <c r="E15061" s="3"/>
      <c r="F15061" s="3"/>
      <c r="G15061" s="3"/>
      <c r="H15061" s="11"/>
      <c r="I15061" s="12"/>
      <c r="J15061" s="3"/>
      <c r="K15061" s="3"/>
      <c r="L15061" s="3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  <c r="AA15061" s="3"/>
      <c r="AB15061" s="3"/>
      <c r="AC15061" s="3"/>
      <c r="AD15061" s="3"/>
      <c r="AE15061" s="3"/>
      <c r="AF15061" s="3"/>
      <c r="AG15061" s="3"/>
      <c r="AH15061" s="3"/>
    </row>
    <row r="15062" spans="1:34" ht="14.25" customHeight="1" x14ac:dyDescent="0.25">
      <c r="A15062" s="3"/>
      <c r="B15062" s="3"/>
      <c r="C15062" s="3"/>
      <c r="D15062" s="3"/>
      <c r="E15062" s="3"/>
      <c r="F15062" s="3"/>
      <c r="G15062" s="3"/>
      <c r="H15062" s="11"/>
      <c r="I15062" s="12"/>
      <c r="J15062" s="3"/>
      <c r="K15062" s="3"/>
      <c r="L15062" s="3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  <c r="AA15062" s="3"/>
      <c r="AB15062" s="3"/>
      <c r="AC15062" s="3"/>
      <c r="AD15062" s="3"/>
      <c r="AE15062" s="3"/>
      <c r="AF15062" s="3"/>
      <c r="AG15062" s="3"/>
      <c r="AH15062" s="3"/>
    </row>
    <row r="15063" spans="1:34" ht="14.25" customHeight="1" x14ac:dyDescent="0.25">
      <c r="A15063" s="3"/>
      <c r="B15063" s="3"/>
      <c r="C15063" s="3"/>
      <c r="D15063" s="3"/>
      <c r="E15063" s="3"/>
      <c r="F15063" s="3"/>
      <c r="G15063" s="3"/>
      <c r="H15063" s="11"/>
      <c r="I15063" s="12"/>
      <c r="J15063" s="3"/>
      <c r="K15063" s="3"/>
      <c r="L15063" s="3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  <c r="AA15063" s="3"/>
      <c r="AB15063" s="3"/>
      <c r="AC15063" s="3"/>
      <c r="AD15063" s="3"/>
      <c r="AE15063" s="3"/>
      <c r="AF15063" s="3"/>
      <c r="AG15063" s="3"/>
      <c r="AH15063" s="3"/>
    </row>
    <row r="15064" spans="1:34" ht="14.25" customHeight="1" x14ac:dyDescent="0.25">
      <c r="A15064" s="3"/>
      <c r="B15064" s="3"/>
      <c r="C15064" s="3"/>
      <c r="D15064" s="3"/>
      <c r="E15064" s="3"/>
      <c r="F15064" s="3"/>
      <c r="G15064" s="3"/>
      <c r="H15064" s="11"/>
      <c r="I15064" s="12"/>
      <c r="J15064" s="3"/>
      <c r="K15064" s="3"/>
      <c r="L15064" s="3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  <c r="AA15064" s="3"/>
      <c r="AB15064" s="3"/>
      <c r="AC15064" s="3"/>
      <c r="AD15064" s="3"/>
      <c r="AE15064" s="3"/>
      <c r="AF15064" s="3"/>
      <c r="AG15064" s="3"/>
      <c r="AH15064" s="3"/>
    </row>
    <row r="15065" spans="1:34" ht="14.25" customHeight="1" x14ac:dyDescent="0.25">
      <c r="A15065" s="3"/>
      <c r="B15065" s="3"/>
      <c r="C15065" s="3"/>
      <c r="D15065" s="3"/>
      <c r="E15065" s="3"/>
      <c r="F15065" s="3"/>
      <c r="G15065" s="3"/>
      <c r="H15065" s="11"/>
      <c r="I15065" s="12"/>
      <c r="J15065" s="3"/>
      <c r="K15065" s="3"/>
      <c r="L15065" s="3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  <c r="AA15065" s="3"/>
      <c r="AB15065" s="3"/>
      <c r="AC15065" s="3"/>
      <c r="AD15065" s="3"/>
      <c r="AE15065" s="3"/>
      <c r="AF15065" s="3"/>
      <c r="AG15065" s="3"/>
      <c r="AH15065" s="3"/>
    </row>
    <row r="15066" spans="1:34" ht="14.25" customHeight="1" x14ac:dyDescent="0.25">
      <c r="A15066" s="3"/>
      <c r="B15066" s="3"/>
      <c r="C15066" s="3"/>
      <c r="D15066" s="3"/>
      <c r="E15066" s="3"/>
      <c r="F15066" s="3"/>
      <c r="G15066" s="3"/>
      <c r="H15066" s="11"/>
      <c r="I15066" s="12"/>
      <c r="J15066" s="3"/>
      <c r="K15066" s="3"/>
      <c r="L15066" s="3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  <c r="AA15066" s="3"/>
      <c r="AB15066" s="3"/>
      <c r="AC15066" s="3"/>
      <c r="AD15066" s="3"/>
      <c r="AE15066" s="3"/>
      <c r="AF15066" s="3"/>
      <c r="AG15066" s="3"/>
      <c r="AH15066" s="3"/>
    </row>
    <row r="15067" spans="1:34" ht="14.25" customHeight="1" x14ac:dyDescent="0.25">
      <c r="A15067" s="3"/>
      <c r="B15067" s="3"/>
      <c r="C15067" s="3"/>
      <c r="D15067" s="3"/>
      <c r="E15067" s="3"/>
      <c r="F15067" s="3"/>
      <c r="G15067" s="3"/>
      <c r="H15067" s="11"/>
      <c r="I15067" s="12"/>
      <c r="J15067" s="3"/>
      <c r="K15067" s="3"/>
      <c r="L15067" s="3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  <c r="AA15067" s="3"/>
      <c r="AB15067" s="3"/>
      <c r="AC15067" s="3"/>
      <c r="AD15067" s="3"/>
      <c r="AE15067" s="3"/>
      <c r="AF15067" s="3"/>
      <c r="AG15067" s="3"/>
      <c r="AH15067" s="3"/>
    </row>
    <row r="15068" spans="1:34" ht="14.25" customHeight="1" x14ac:dyDescent="0.25">
      <c r="A15068" s="3"/>
      <c r="B15068" s="3"/>
      <c r="C15068" s="3"/>
      <c r="D15068" s="3"/>
      <c r="E15068" s="3"/>
      <c r="F15068" s="3"/>
      <c r="G15068" s="3"/>
      <c r="H15068" s="11"/>
      <c r="I15068" s="12"/>
      <c r="J15068" s="3"/>
      <c r="K15068" s="3"/>
      <c r="L15068" s="3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  <c r="AA15068" s="3"/>
      <c r="AB15068" s="3"/>
      <c r="AC15068" s="3"/>
      <c r="AD15068" s="3"/>
      <c r="AE15068" s="3"/>
      <c r="AF15068" s="3"/>
      <c r="AG15068" s="3"/>
      <c r="AH15068" s="3"/>
    </row>
    <row r="15069" spans="1:34" ht="14.25" customHeight="1" x14ac:dyDescent="0.25">
      <c r="A15069" s="3"/>
      <c r="B15069" s="3"/>
      <c r="C15069" s="3"/>
      <c r="D15069" s="3"/>
      <c r="E15069" s="3"/>
      <c r="F15069" s="3"/>
      <c r="G15069" s="3"/>
      <c r="H15069" s="11"/>
      <c r="I15069" s="12"/>
      <c r="J15069" s="3"/>
      <c r="K15069" s="3"/>
      <c r="L15069" s="3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  <c r="AA15069" s="3"/>
      <c r="AB15069" s="3"/>
      <c r="AC15069" s="3"/>
      <c r="AD15069" s="3"/>
      <c r="AE15069" s="3"/>
      <c r="AF15069" s="3"/>
      <c r="AG15069" s="3"/>
      <c r="AH15069" s="3"/>
    </row>
    <row r="15070" spans="1:34" ht="14.25" customHeight="1" x14ac:dyDescent="0.25">
      <c r="A15070" s="3"/>
      <c r="B15070" s="3"/>
      <c r="C15070" s="3"/>
      <c r="D15070" s="3"/>
      <c r="E15070" s="3"/>
      <c r="F15070" s="3"/>
      <c r="G15070" s="3"/>
      <c r="H15070" s="11"/>
      <c r="I15070" s="12"/>
      <c r="J15070" s="3"/>
      <c r="K15070" s="3"/>
      <c r="L15070" s="3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  <c r="AA15070" s="3"/>
      <c r="AB15070" s="3"/>
      <c r="AC15070" s="3"/>
      <c r="AD15070" s="3"/>
      <c r="AE15070" s="3"/>
      <c r="AF15070" s="3"/>
      <c r="AG15070" s="3"/>
      <c r="AH15070" s="3"/>
    </row>
    <row r="15071" spans="1:34" ht="14.25" customHeight="1" x14ac:dyDescent="0.25">
      <c r="A15071" s="3"/>
      <c r="B15071" s="3"/>
      <c r="C15071" s="3"/>
      <c r="D15071" s="3"/>
      <c r="E15071" s="3"/>
      <c r="F15071" s="3"/>
      <c r="G15071" s="3"/>
      <c r="H15071" s="11"/>
      <c r="I15071" s="12"/>
      <c r="J15071" s="3"/>
      <c r="K15071" s="3"/>
      <c r="L15071" s="3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  <c r="AA15071" s="3"/>
      <c r="AB15071" s="3"/>
      <c r="AC15071" s="3"/>
      <c r="AD15071" s="3"/>
      <c r="AE15071" s="3"/>
      <c r="AF15071" s="3"/>
      <c r="AG15071" s="3"/>
      <c r="AH15071" s="3"/>
    </row>
    <row r="15072" spans="1:34" ht="14.25" customHeight="1" x14ac:dyDescent="0.25">
      <c r="A15072" s="3"/>
      <c r="B15072" s="3"/>
      <c r="C15072" s="3"/>
      <c r="D15072" s="3"/>
      <c r="E15072" s="3"/>
      <c r="F15072" s="3"/>
      <c r="G15072" s="3"/>
      <c r="H15072" s="11"/>
      <c r="I15072" s="12"/>
      <c r="J15072" s="3"/>
      <c r="K15072" s="3"/>
      <c r="L15072" s="3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  <c r="AA15072" s="3"/>
      <c r="AB15072" s="3"/>
      <c r="AC15072" s="3"/>
      <c r="AD15072" s="3"/>
      <c r="AE15072" s="3"/>
      <c r="AF15072" s="3"/>
      <c r="AG15072" s="3"/>
      <c r="AH15072" s="3"/>
    </row>
    <row r="15073" spans="1:34" ht="14.25" customHeight="1" x14ac:dyDescent="0.25">
      <c r="A15073" s="3"/>
      <c r="B15073" s="3"/>
      <c r="C15073" s="3"/>
      <c r="D15073" s="3"/>
      <c r="E15073" s="3"/>
      <c r="F15073" s="3"/>
      <c r="G15073" s="3"/>
      <c r="H15073" s="11"/>
      <c r="I15073" s="12"/>
      <c r="J15073" s="3"/>
      <c r="K15073" s="3"/>
      <c r="L15073" s="3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  <c r="AA15073" s="3"/>
      <c r="AB15073" s="3"/>
      <c r="AC15073" s="3"/>
      <c r="AD15073" s="3"/>
      <c r="AE15073" s="3"/>
      <c r="AF15073" s="3"/>
      <c r="AG15073" s="3"/>
      <c r="AH15073" s="3"/>
    </row>
    <row r="15074" spans="1:34" ht="14.25" customHeight="1" x14ac:dyDescent="0.25">
      <c r="A15074" s="3"/>
      <c r="B15074" s="3"/>
      <c r="C15074" s="3"/>
      <c r="D15074" s="3"/>
      <c r="E15074" s="3"/>
      <c r="F15074" s="3"/>
      <c r="G15074" s="3"/>
      <c r="H15074" s="11"/>
      <c r="I15074" s="12"/>
      <c r="J15074" s="3"/>
      <c r="K15074" s="3"/>
      <c r="L15074" s="3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  <c r="AA15074" s="3"/>
      <c r="AB15074" s="3"/>
      <c r="AC15074" s="3"/>
      <c r="AD15074" s="3"/>
      <c r="AE15074" s="3"/>
      <c r="AF15074" s="3"/>
      <c r="AG15074" s="3"/>
      <c r="AH15074" s="3"/>
    </row>
    <row r="15075" spans="1:34" ht="14.25" customHeight="1" x14ac:dyDescent="0.25">
      <c r="A15075" s="3"/>
      <c r="B15075" s="3"/>
      <c r="C15075" s="3"/>
      <c r="D15075" s="3"/>
      <c r="E15075" s="3"/>
      <c r="F15075" s="3"/>
      <c r="G15075" s="3"/>
      <c r="H15075" s="11"/>
      <c r="I15075" s="12"/>
      <c r="J15075" s="3"/>
      <c r="K15075" s="3"/>
      <c r="L15075" s="3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  <c r="AA15075" s="3"/>
      <c r="AB15075" s="3"/>
      <c r="AC15075" s="3"/>
      <c r="AD15075" s="3"/>
      <c r="AE15075" s="3"/>
      <c r="AF15075" s="3"/>
      <c r="AG15075" s="3"/>
      <c r="AH15075" s="3"/>
    </row>
    <row r="15076" spans="1:34" ht="14.25" customHeight="1" x14ac:dyDescent="0.25">
      <c r="A15076" s="3"/>
      <c r="B15076" s="3"/>
      <c r="C15076" s="3"/>
      <c r="D15076" s="3"/>
      <c r="E15076" s="3"/>
      <c r="F15076" s="3"/>
      <c r="G15076" s="3"/>
      <c r="H15076" s="11"/>
      <c r="I15076" s="12"/>
      <c r="J15076" s="3"/>
      <c r="K15076" s="3"/>
      <c r="L15076" s="3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  <c r="AA15076" s="3"/>
      <c r="AB15076" s="3"/>
      <c r="AC15076" s="3"/>
      <c r="AD15076" s="3"/>
      <c r="AE15076" s="3"/>
      <c r="AF15076" s="3"/>
      <c r="AG15076" s="3"/>
      <c r="AH15076" s="3"/>
    </row>
    <row r="15077" spans="1:34" ht="14.25" customHeight="1" x14ac:dyDescent="0.25">
      <c r="A15077" s="3"/>
      <c r="B15077" s="3"/>
      <c r="C15077" s="3"/>
      <c r="D15077" s="3"/>
      <c r="E15077" s="3"/>
      <c r="F15077" s="3"/>
      <c r="G15077" s="3"/>
      <c r="H15077" s="11"/>
      <c r="I15077" s="12"/>
      <c r="J15077" s="3"/>
      <c r="K15077" s="3"/>
      <c r="L15077" s="3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  <c r="AA15077" s="3"/>
      <c r="AB15077" s="3"/>
      <c r="AC15077" s="3"/>
      <c r="AD15077" s="3"/>
      <c r="AE15077" s="3"/>
      <c r="AF15077" s="3"/>
      <c r="AG15077" s="3"/>
      <c r="AH15077" s="3"/>
    </row>
    <row r="15078" spans="1:34" ht="14.25" customHeight="1" x14ac:dyDescent="0.25">
      <c r="A15078" s="3"/>
      <c r="B15078" s="3"/>
      <c r="C15078" s="3"/>
      <c r="D15078" s="3"/>
      <c r="E15078" s="3"/>
      <c r="F15078" s="3"/>
      <c r="G15078" s="3"/>
      <c r="H15078" s="11"/>
      <c r="I15078" s="12"/>
      <c r="J15078" s="3"/>
      <c r="K15078" s="3"/>
      <c r="L15078" s="3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  <c r="AA15078" s="3"/>
      <c r="AB15078" s="3"/>
      <c r="AC15078" s="3"/>
      <c r="AD15078" s="3"/>
      <c r="AE15078" s="3"/>
      <c r="AF15078" s="3"/>
      <c r="AG15078" s="3"/>
      <c r="AH15078" s="3"/>
    </row>
    <row r="15079" spans="1:34" ht="14.25" customHeight="1" x14ac:dyDescent="0.25">
      <c r="A15079" s="3"/>
      <c r="B15079" s="3"/>
      <c r="C15079" s="3"/>
      <c r="D15079" s="3"/>
      <c r="E15079" s="3"/>
      <c r="F15079" s="3"/>
      <c r="G15079" s="3"/>
      <c r="H15079" s="11"/>
      <c r="I15079" s="12"/>
      <c r="J15079" s="3"/>
      <c r="K15079" s="3"/>
      <c r="L15079" s="3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  <c r="AA15079" s="3"/>
      <c r="AB15079" s="3"/>
      <c r="AC15079" s="3"/>
      <c r="AD15079" s="3"/>
      <c r="AE15079" s="3"/>
      <c r="AF15079" s="3"/>
      <c r="AG15079" s="3"/>
      <c r="AH15079" s="3"/>
    </row>
    <row r="15080" spans="1:34" ht="14.25" customHeight="1" x14ac:dyDescent="0.25">
      <c r="A15080" s="3"/>
      <c r="B15080" s="3"/>
      <c r="C15080" s="3"/>
      <c r="D15080" s="3"/>
      <c r="E15080" s="3"/>
      <c r="F15080" s="3"/>
      <c r="G15080" s="3"/>
      <c r="H15080" s="11"/>
      <c r="I15080" s="12"/>
      <c r="J15080" s="3"/>
      <c r="K15080" s="3"/>
      <c r="L15080" s="3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  <c r="AA15080" s="3"/>
      <c r="AB15080" s="3"/>
      <c r="AC15080" s="3"/>
      <c r="AD15080" s="3"/>
      <c r="AE15080" s="3"/>
      <c r="AF15080" s="3"/>
      <c r="AG15080" s="3"/>
      <c r="AH15080" s="3"/>
    </row>
    <row r="15081" spans="1:34" ht="14.25" customHeight="1" x14ac:dyDescent="0.25">
      <c r="A15081" s="3"/>
      <c r="B15081" s="3"/>
      <c r="C15081" s="3"/>
      <c r="D15081" s="3"/>
      <c r="E15081" s="3"/>
      <c r="F15081" s="3"/>
      <c r="G15081" s="3"/>
      <c r="H15081" s="11"/>
      <c r="I15081" s="12"/>
      <c r="J15081" s="3"/>
      <c r="K15081" s="3"/>
      <c r="L15081" s="3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  <c r="AA15081" s="3"/>
      <c r="AB15081" s="3"/>
      <c r="AC15081" s="3"/>
      <c r="AD15081" s="3"/>
      <c r="AE15081" s="3"/>
      <c r="AF15081" s="3"/>
      <c r="AG15081" s="3"/>
      <c r="AH15081" s="3"/>
    </row>
    <row r="15082" spans="1:34" ht="14.25" customHeight="1" x14ac:dyDescent="0.25">
      <c r="A15082" s="3"/>
      <c r="B15082" s="3"/>
      <c r="C15082" s="3"/>
      <c r="D15082" s="3"/>
      <c r="E15082" s="3"/>
      <c r="F15082" s="3"/>
      <c r="G15082" s="3"/>
      <c r="H15082" s="11"/>
      <c r="I15082" s="12"/>
      <c r="J15082" s="3"/>
      <c r="K15082" s="3"/>
      <c r="L15082" s="3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  <c r="AA15082" s="3"/>
      <c r="AB15082" s="3"/>
      <c r="AC15082" s="3"/>
      <c r="AD15082" s="3"/>
      <c r="AE15082" s="3"/>
      <c r="AF15082" s="3"/>
      <c r="AG15082" s="3"/>
      <c r="AH15082" s="3"/>
    </row>
    <row r="15083" spans="1:34" ht="14.25" customHeight="1" x14ac:dyDescent="0.25">
      <c r="A15083" s="3"/>
      <c r="B15083" s="3"/>
      <c r="C15083" s="3"/>
      <c r="D15083" s="3"/>
      <c r="E15083" s="3"/>
      <c r="F15083" s="3"/>
      <c r="G15083" s="3"/>
      <c r="H15083" s="11"/>
      <c r="I15083" s="12"/>
      <c r="J15083" s="3"/>
      <c r="K15083" s="3"/>
      <c r="L15083" s="3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  <c r="AA15083" s="3"/>
      <c r="AB15083" s="3"/>
      <c r="AC15083" s="3"/>
      <c r="AD15083" s="3"/>
      <c r="AE15083" s="3"/>
      <c r="AF15083" s="3"/>
      <c r="AG15083" s="3"/>
      <c r="AH15083" s="3"/>
    </row>
    <row r="15084" spans="1:34" ht="14.25" customHeight="1" x14ac:dyDescent="0.25">
      <c r="A15084" s="3"/>
      <c r="B15084" s="3"/>
      <c r="C15084" s="3"/>
      <c r="D15084" s="3"/>
      <c r="E15084" s="3"/>
      <c r="F15084" s="3"/>
      <c r="G15084" s="3"/>
      <c r="H15084" s="11"/>
      <c r="I15084" s="12"/>
      <c r="J15084" s="3"/>
      <c r="K15084" s="3"/>
      <c r="L15084" s="3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  <c r="AA15084" s="3"/>
      <c r="AB15084" s="3"/>
      <c r="AC15084" s="3"/>
      <c r="AD15084" s="3"/>
      <c r="AE15084" s="3"/>
      <c r="AF15084" s="3"/>
      <c r="AG15084" s="3"/>
      <c r="AH15084" s="3"/>
    </row>
    <row r="15085" spans="1:34" ht="14.25" customHeight="1" x14ac:dyDescent="0.25">
      <c r="A15085" s="3"/>
      <c r="B15085" s="3"/>
      <c r="C15085" s="3"/>
      <c r="D15085" s="3"/>
      <c r="E15085" s="3"/>
      <c r="F15085" s="3"/>
      <c r="G15085" s="3"/>
      <c r="H15085" s="11"/>
      <c r="I15085" s="12"/>
      <c r="J15085" s="3"/>
      <c r="K15085" s="3"/>
      <c r="L15085" s="3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  <c r="AA15085" s="3"/>
      <c r="AB15085" s="3"/>
      <c r="AC15085" s="3"/>
      <c r="AD15085" s="3"/>
      <c r="AE15085" s="3"/>
      <c r="AF15085" s="3"/>
      <c r="AG15085" s="3"/>
      <c r="AH15085" s="3"/>
    </row>
    <row r="15086" spans="1:34" ht="14.25" customHeight="1" x14ac:dyDescent="0.25">
      <c r="A15086" s="3"/>
      <c r="B15086" s="3"/>
      <c r="C15086" s="3"/>
      <c r="D15086" s="3"/>
      <c r="E15086" s="3"/>
      <c r="F15086" s="3"/>
      <c r="G15086" s="3"/>
      <c r="H15086" s="11"/>
      <c r="I15086" s="12"/>
      <c r="J15086" s="3"/>
      <c r="K15086" s="3"/>
      <c r="L15086" s="3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  <c r="AA15086" s="3"/>
      <c r="AB15086" s="3"/>
      <c r="AC15086" s="3"/>
      <c r="AD15086" s="3"/>
      <c r="AE15086" s="3"/>
      <c r="AF15086" s="3"/>
      <c r="AG15086" s="3"/>
      <c r="AH15086" s="3"/>
    </row>
    <row r="15087" spans="1:34" ht="14.25" customHeight="1" x14ac:dyDescent="0.25">
      <c r="A15087" s="3"/>
      <c r="B15087" s="3"/>
      <c r="C15087" s="3"/>
      <c r="D15087" s="3"/>
      <c r="E15087" s="3"/>
      <c r="F15087" s="3"/>
      <c r="G15087" s="3"/>
      <c r="H15087" s="11"/>
      <c r="I15087" s="12"/>
      <c r="J15087" s="3"/>
      <c r="K15087" s="3"/>
      <c r="L15087" s="3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  <c r="AA15087" s="3"/>
      <c r="AB15087" s="3"/>
      <c r="AC15087" s="3"/>
      <c r="AD15087" s="3"/>
      <c r="AE15087" s="3"/>
      <c r="AF15087" s="3"/>
      <c r="AG15087" s="3"/>
      <c r="AH15087" s="3"/>
    </row>
    <row r="15088" spans="1:34" ht="14.25" customHeight="1" x14ac:dyDescent="0.25">
      <c r="A15088" s="3"/>
      <c r="B15088" s="3"/>
      <c r="C15088" s="3"/>
      <c r="D15088" s="3"/>
      <c r="E15088" s="3"/>
      <c r="F15088" s="3"/>
      <c r="G15088" s="3"/>
      <c r="H15088" s="11"/>
      <c r="I15088" s="12"/>
      <c r="J15088" s="3"/>
      <c r="K15088" s="3"/>
      <c r="L15088" s="3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  <c r="AA15088" s="3"/>
      <c r="AB15088" s="3"/>
      <c r="AC15088" s="3"/>
      <c r="AD15088" s="3"/>
      <c r="AE15088" s="3"/>
      <c r="AF15088" s="3"/>
      <c r="AG15088" s="3"/>
      <c r="AH15088" s="3"/>
    </row>
    <row r="15089" spans="1:34" ht="14.25" customHeight="1" x14ac:dyDescent="0.25">
      <c r="A15089" s="3"/>
      <c r="B15089" s="3"/>
      <c r="C15089" s="3"/>
      <c r="D15089" s="3"/>
      <c r="E15089" s="3"/>
      <c r="F15089" s="3"/>
      <c r="G15089" s="3"/>
      <c r="H15089" s="11"/>
      <c r="I15089" s="12"/>
      <c r="J15089" s="3"/>
      <c r="K15089" s="3"/>
      <c r="L15089" s="3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  <c r="AA15089" s="3"/>
      <c r="AB15089" s="3"/>
      <c r="AC15089" s="3"/>
      <c r="AD15089" s="3"/>
      <c r="AE15089" s="3"/>
      <c r="AF15089" s="3"/>
      <c r="AG15089" s="3"/>
      <c r="AH15089" s="3"/>
    </row>
    <row r="15090" spans="1:34" ht="14.25" customHeight="1" x14ac:dyDescent="0.25">
      <c r="A15090" s="3"/>
      <c r="B15090" s="3"/>
      <c r="C15090" s="3"/>
      <c r="D15090" s="3"/>
      <c r="E15090" s="3"/>
      <c r="F15090" s="3"/>
      <c r="G15090" s="3"/>
      <c r="H15090" s="11"/>
      <c r="I15090" s="12"/>
      <c r="J15090" s="3"/>
      <c r="K15090" s="3"/>
      <c r="L15090" s="3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  <c r="AA15090" s="3"/>
      <c r="AB15090" s="3"/>
      <c r="AC15090" s="3"/>
      <c r="AD15090" s="3"/>
      <c r="AE15090" s="3"/>
      <c r="AF15090" s="3"/>
      <c r="AG15090" s="3"/>
      <c r="AH15090" s="3"/>
    </row>
    <row r="15091" spans="1:34" ht="14.25" customHeight="1" x14ac:dyDescent="0.25">
      <c r="A15091" s="3"/>
      <c r="B15091" s="3"/>
      <c r="C15091" s="3"/>
      <c r="D15091" s="3"/>
      <c r="E15091" s="3"/>
      <c r="F15091" s="3"/>
      <c r="G15091" s="3"/>
      <c r="H15091" s="11"/>
      <c r="I15091" s="12"/>
      <c r="J15091" s="3"/>
      <c r="K15091" s="3"/>
      <c r="L15091" s="3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  <c r="AA15091" s="3"/>
      <c r="AB15091" s="3"/>
      <c r="AC15091" s="3"/>
      <c r="AD15091" s="3"/>
      <c r="AE15091" s="3"/>
      <c r="AF15091" s="3"/>
      <c r="AG15091" s="3"/>
      <c r="AH15091" s="3"/>
    </row>
    <row r="15092" spans="1:34" ht="14.25" customHeight="1" x14ac:dyDescent="0.25">
      <c r="A15092" s="3"/>
      <c r="B15092" s="3"/>
      <c r="C15092" s="3"/>
      <c r="D15092" s="3"/>
      <c r="E15092" s="3"/>
      <c r="F15092" s="3"/>
      <c r="G15092" s="3"/>
      <c r="H15092" s="11"/>
      <c r="I15092" s="12"/>
      <c r="J15092" s="3"/>
      <c r="K15092" s="3"/>
      <c r="L15092" s="3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  <c r="AA15092" s="3"/>
      <c r="AB15092" s="3"/>
      <c r="AC15092" s="3"/>
      <c r="AD15092" s="3"/>
      <c r="AE15092" s="3"/>
      <c r="AF15092" s="3"/>
      <c r="AG15092" s="3"/>
      <c r="AH15092" s="3"/>
    </row>
    <row r="15093" spans="1:34" ht="14.25" customHeight="1" x14ac:dyDescent="0.25">
      <c r="A15093" s="3"/>
      <c r="B15093" s="3"/>
      <c r="C15093" s="3"/>
      <c r="D15093" s="3"/>
      <c r="E15093" s="3"/>
      <c r="F15093" s="3"/>
      <c r="G15093" s="3"/>
      <c r="H15093" s="11"/>
      <c r="I15093" s="12"/>
      <c r="J15093" s="3"/>
      <c r="K15093" s="3"/>
      <c r="L15093" s="3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  <c r="AA15093" s="3"/>
      <c r="AB15093" s="3"/>
      <c r="AC15093" s="3"/>
      <c r="AD15093" s="3"/>
      <c r="AE15093" s="3"/>
      <c r="AF15093" s="3"/>
      <c r="AG15093" s="3"/>
      <c r="AH15093" s="3"/>
    </row>
    <row r="15094" spans="1:34" ht="14.25" customHeight="1" x14ac:dyDescent="0.25">
      <c r="A15094" s="3"/>
      <c r="B15094" s="3"/>
      <c r="C15094" s="3"/>
      <c r="D15094" s="3"/>
      <c r="E15094" s="3"/>
      <c r="F15094" s="3"/>
      <c r="G15094" s="3"/>
      <c r="H15094" s="11"/>
      <c r="I15094" s="12"/>
      <c r="J15094" s="3"/>
      <c r="K15094" s="3"/>
      <c r="L15094" s="3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  <c r="AA15094" s="3"/>
      <c r="AB15094" s="3"/>
      <c r="AC15094" s="3"/>
      <c r="AD15094" s="3"/>
      <c r="AE15094" s="3"/>
      <c r="AF15094" s="3"/>
      <c r="AG15094" s="3"/>
      <c r="AH15094" s="3"/>
    </row>
    <row r="15095" spans="1:34" ht="14.25" customHeight="1" x14ac:dyDescent="0.25">
      <c r="A15095" s="3"/>
      <c r="B15095" s="3"/>
      <c r="C15095" s="3"/>
      <c r="D15095" s="3"/>
      <c r="E15095" s="3"/>
      <c r="F15095" s="3"/>
      <c r="G15095" s="3"/>
      <c r="H15095" s="11"/>
      <c r="I15095" s="12"/>
      <c r="J15095" s="3"/>
      <c r="K15095" s="3"/>
      <c r="L15095" s="3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  <c r="AA15095" s="3"/>
      <c r="AB15095" s="3"/>
      <c r="AC15095" s="3"/>
      <c r="AD15095" s="3"/>
      <c r="AE15095" s="3"/>
      <c r="AF15095" s="3"/>
      <c r="AG15095" s="3"/>
      <c r="AH15095" s="3"/>
    </row>
    <row r="15096" spans="1:34" ht="14.25" customHeight="1" x14ac:dyDescent="0.25">
      <c r="A15096" s="3"/>
      <c r="B15096" s="3"/>
      <c r="C15096" s="3"/>
      <c r="D15096" s="3"/>
      <c r="E15096" s="3"/>
      <c r="F15096" s="3"/>
      <c r="G15096" s="3"/>
      <c r="H15096" s="11"/>
      <c r="I15096" s="12"/>
      <c r="J15096" s="3"/>
      <c r="K15096" s="3"/>
      <c r="L15096" s="3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  <c r="AA15096" s="3"/>
      <c r="AB15096" s="3"/>
      <c r="AC15096" s="3"/>
      <c r="AD15096" s="3"/>
      <c r="AE15096" s="3"/>
      <c r="AF15096" s="3"/>
      <c r="AG15096" s="3"/>
      <c r="AH15096" s="3"/>
    </row>
    <row r="15097" spans="1:34" ht="14.25" customHeight="1" x14ac:dyDescent="0.25">
      <c r="A15097" s="3"/>
      <c r="B15097" s="3"/>
      <c r="C15097" s="3"/>
      <c r="D15097" s="3"/>
      <c r="E15097" s="3"/>
      <c r="F15097" s="3"/>
      <c r="G15097" s="3"/>
      <c r="H15097" s="11"/>
      <c r="I15097" s="12"/>
      <c r="J15097" s="3"/>
      <c r="K15097" s="3"/>
      <c r="L15097" s="3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  <c r="AA15097" s="3"/>
      <c r="AB15097" s="3"/>
      <c r="AC15097" s="3"/>
      <c r="AD15097" s="3"/>
      <c r="AE15097" s="3"/>
      <c r="AF15097" s="3"/>
      <c r="AG15097" s="3"/>
      <c r="AH15097" s="3"/>
    </row>
    <row r="15098" spans="1:34" ht="14.25" customHeight="1" x14ac:dyDescent="0.25">
      <c r="A15098" s="3"/>
      <c r="B15098" s="3"/>
      <c r="C15098" s="3"/>
      <c r="D15098" s="3"/>
      <c r="E15098" s="3"/>
      <c r="F15098" s="3"/>
      <c r="G15098" s="3"/>
      <c r="H15098" s="11"/>
      <c r="I15098" s="12"/>
      <c r="J15098" s="3"/>
      <c r="K15098" s="3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  <c r="AA15098" s="3"/>
      <c r="AB15098" s="3"/>
      <c r="AC15098" s="3"/>
      <c r="AD15098" s="3"/>
      <c r="AE15098" s="3"/>
      <c r="AF15098" s="3"/>
      <c r="AG15098" s="3"/>
      <c r="AH15098" s="3"/>
    </row>
    <row r="15099" spans="1:34" ht="14.25" customHeight="1" x14ac:dyDescent="0.25">
      <c r="A15099" s="3"/>
      <c r="B15099" s="3"/>
      <c r="C15099" s="3"/>
      <c r="D15099" s="3"/>
      <c r="E15099" s="3"/>
      <c r="F15099" s="3"/>
      <c r="G15099" s="3"/>
      <c r="H15099" s="11"/>
      <c r="I15099" s="12"/>
      <c r="J15099" s="3"/>
      <c r="K15099" s="3"/>
      <c r="L15099" s="3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  <c r="AA15099" s="3"/>
      <c r="AB15099" s="3"/>
      <c r="AC15099" s="3"/>
      <c r="AD15099" s="3"/>
      <c r="AE15099" s="3"/>
      <c r="AF15099" s="3"/>
      <c r="AG15099" s="3"/>
      <c r="AH15099" s="3"/>
    </row>
    <row r="15100" spans="1:34" ht="14.25" customHeight="1" x14ac:dyDescent="0.25">
      <c r="A15100" s="3"/>
      <c r="B15100" s="3"/>
      <c r="C15100" s="3"/>
      <c r="D15100" s="3"/>
      <c r="E15100" s="3"/>
      <c r="F15100" s="3"/>
      <c r="G15100" s="3"/>
      <c r="H15100" s="11"/>
      <c r="I15100" s="12"/>
      <c r="J15100" s="3"/>
      <c r="K15100" s="3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  <c r="AA15100" s="3"/>
      <c r="AB15100" s="3"/>
      <c r="AC15100" s="3"/>
      <c r="AD15100" s="3"/>
      <c r="AE15100" s="3"/>
      <c r="AF15100" s="3"/>
      <c r="AG15100" s="3"/>
      <c r="AH15100" s="3"/>
    </row>
    <row r="15101" spans="1:34" ht="14.25" customHeight="1" x14ac:dyDescent="0.25">
      <c r="A15101" s="3"/>
      <c r="B15101" s="3"/>
      <c r="C15101" s="3"/>
      <c r="D15101" s="3"/>
      <c r="E15101" s="3"/>
      <c r="F15101" s="3"/>
      <c r="G15101" s="3"/>
      <c r="H15101" s="11"/>
      <c r="I15101" s="12"/>
      <c r="J15101" s="3"/>
      <c r="K15101" s="3"/>
      <c r="L15101" s="3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  <c r="AA15101" s="3"/>
      <c r="AB15101" s="3"/>
      <c r="AC15101" s="3"/>
      <c r="AD15101" s="3"/>
      <c r="AE15101" s="3"/>
      <c r="AF15101" s="3"/>
      <c r="AG15101" s="3"/>
      <c r="AH15101" s="3"/>
    </row>
    <row r="15102" spans="1:34" ht="14.25" customHeight="1" x14ac:dyDescent="0.25">
      <c r="A15102" s="3"/>
      <c r="B15102" s="3"/>
      <c r="C15102" s="3"/>
      <c r="D15102" s="3"/>
      <c r="E15102" s="3"/>
      <c r="F15102" s="3"/>
      <c r="G15102" s="3"/>
      <c r="H15102" s="11"/>
      <c r="I15102" s="12"/>
      <c r="J15102" s="3"/>
      <c r="K15102" s="3"/>
      <c r="L15102" s="3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  <c r="AA15102" s="3"/>
      <c r="AB15102" s="3"/>
      <c r="AC15102" s="3"/>
      <c r="AD15102" s="3"/>
      <c r="AE15102" s="3"/>
      <c r="AF15102" s="3"/>
      <c r="AG15102" s="3"/>
      <c r="AH15102" s="3"/>
    </row>
    <row r="15103" spans="1:34" ht="14.25" customHeight="1" x14ac:dyDescent="0.25">
      <c r="A15103" s="3"/>
      <c r="B15103" s="3"/>
      <c r="C15103" s="3"/>
      <c r="D15103" s="3"/>
      <c r="E15103" s="3"/>
      <c r="F15103" s="3"/>
      <c r="G15103" s="3"/>
      <c r="H15103" s="11"/>
      <c r="I15103" s="12"/>
      <c r="J15103" s="3"/>
      <c r="K15103" s="3"/>
      <c r="L15103" s="3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  <c r="AA15103" s="3"/>
      <c r="AB15103" s="3"/>
      <c r="AC15103" s="3"/>
      <c r="AD15103" s="3"/>
      <c r="AE15103" s="3"/>
      <c r="AF15103" s="3"/>
      <c r="AG15103" s="3"/>
      <c r="AH15103" s="3"/>
    </row>
    <row r="15104" spans="1:34" ht="14.25" customHeight="1" x14ac:dyDescent="0.25">
      <c r="A15104" s="3"/>
      <c r="B15104" s="3"/>
      <c r="C15104" s="3"/>
      <c r="D15104" s="3"/>
      <c r="E15104" s="3"/>
      <c r="F15104" s="3"/>
      <c r="G15104" s="3"/>
      <c r="H15104" s="11"/>
      <c r="I15104" s="12"/>
      <c r="J15104" s="3"/>
      <c r="K15104" s="3"/>
      <c r="L15104" s="3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  <c r="AA15104" s="3"/>
      <c r="AB15104" s="3"/>
      <c r="AC15104" s="3"/>
      <c r="AD15104" s="3"/>
      <c r="AE15104" s="3"/>
      <c r="AF15104" s="3"/>
      <c r="AG15104" s="3"/>
      <c r="AH15104" s="3"/>
    </row>
    <row r="15105" spans="1:34" ht="14.25" customHeight="1" x14ac:dyDescent="0.25">
      <c r="A15105" s="3"/>
      <c r="B15105" s="3"/>
      <c r="C15105" s="3"/>
      <c r="D15105" s="3"/>
      <c r="E15105" s="3"/>
      <c r="F15105" s="3"/>
      <c r="G15105" s="3"/>
      <c r="H15105" s="11"/>
      <c r="I15105" s="12"/>
      <c r="J15105" s="3"/>
      <c r="K15105" s="3"/>
      <c r="L15105" s="3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  <c r="AA15105" s="3"/>
      <c r="AB15105" s="3"/>
      <c r="AC15105" s="3"/>
      <c r="AD15105" s="3"/>
      <c r="AE15105" s="3"/>
      <c r="AF15105" s="3"/>
      <c r="AG15105" s="3"/>
      <c r="AH15105" s="3"/>
    </row>
    <row r="15106" spans="1:34" ht="14.25" customHeight="1" x14ac:dyDescent="0.25">
      <c r="A15106" s="3"/>
      <c r="B15106" s="3"/>
      <c r="C15106" s="3"/>
      <c r="D15106" s="3"/>
      <c r="E15106" s="3"/>
      <c r="F15106" s="3"/>
      <c r="G15106" s="3"/>
      <c r="H15106" s="11"/>
      <c r="I15106" s="12"/>
      <c r="J15106" s="3"/>
      <c r="K15106" s="3"/>
      <c r="L15106" s="3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  <c r="AA15106" s="3"/>
      <c r="AB15106" s="3"/>
      <c r="AC15106" s="3"/>
      <c r="AD15106" s="3"/>
      <c r="AE15106" s="3"/>
      <c r="AF15106" s="3"/>
      <c r="AG15106" s="3"/>
      <c r="AH15106" s="3"/>
    </row>
    <row r="15107" spans="1:34" ht="14.25" customHeight="1" x14ac:dyDescent="0.25">
      <c r="A15107" s="3"/>
      <c r="B15107" s="3"/>
      <c r="C15107" s="3"/>
      <c r="D15107" s="3"/>
      <c r="E15107" s="3"/>
      <c r="F15107" s="3"/>
      <c r="G15107" s="3"/>
      <c r="H15107" s="11"/>
      <c r="I15107" s="12"/>
      <c r="J15107" s="3"/>
      <c r="K15107" s="3"/>
      <c r="L15107" s="3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  <c r="AA15107" s="3"/>
      <c r="AB15107" s="3"/>
      <c r="AC15107" s="3"/>
      <c r="AD15107" s="3"/>
      <c r="AE15107" s="3"/>
      <c r="AF15107" s="3"/>
      <c r="AG15107" s="3"/>
      <c r="AH15107" s="3"/>
    </row>
    <row r="15108" spans="1:34" ht="14.25" customHeight="1" x14ac:dyDescent="0.25">
      <c r="A15108" s="3"/>
      <c r="B15108" s="3"/>
      <c r="C15108" s="3"/>
      <c r="D15108" s="3"/>
      <c r="E15108" s="3"/>
      <c r="F15108" s="3"/>
      <c r="G15108" s="3"/>
      <c r="H15108" s="11"/>
      <c r="I15108" s="12"/>
      <c r="J15108" s="3"/>
      <c r="K15108" s="3"/>
      <c r="L15108" s="3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  <c r="AA15108" s="3"/>
      <c r="AB15108" s="3"/>
      <c r="AC15108" s="3"/>
      <c r="AD15108" s="3"/>
      <c r="AE15108" s="3"/>
      <c r="AF15108" s="3"/>
      <c r="AG15108" s="3"/>
      <c r="AH15108" s="3"/>
    </row>
    <row r="15109" spans="1:34" ht="14.25" customHeight="1" x14ac:dyDescent="0.25">
      <c r="A15109" s="3"/>
      <c r="B15109" s="3"/>
      <c r="C15109" s="3"/>
      <c r="D15109" s="3"/>
      <c r="E15109" s="3"/>
      <c r="F15109" s="3"/>
      <c r="G15109" s="3"/>
      <c r="H15109" s="11"/>
      <c r="I15109" s="12"/>
      <c r="J15109" s="3"/>
      <c r="K15109" s="3"/>
      <c r="L15109" s="3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  <c r="AA15109" s="3"/>
      <c r="AB15109" s="3"/>
      <c r="AC15109" s="3"/>
      <c r="AD15109" s="3"/>
      <c r="AE15109" s="3"/>
      <c r="AF15109" s="3"/>
      <c r="AG15109" s="3"/>
      <c r="AH15109" s="3"/>
    </row>
    <row r="15110" spans="1:34" ht="14.25" customHeight="1" x14ac:dyDescent="0.25">
      <c r="A15110" s="3"/>
      <c r="B15110" s="3"/>
      <c r="C15110" s="3"/>
      <c r="D15110" s="3"/>
      <c r="E15110" s="3"/>
      <c r="F15110" s="3"/>
      <c r="G15110" s="3"/>
      <c r="H15110" s="11"/>
      <c r="I15110" s="12"/>
      <c r="J15110" s="3"/>
      <c r="K15110" s="3"/>
      <c r="L15110" s="3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  <c r="AA15110" s="3"/>
      <c r="AB15110" s="3"/>
      <c r="AC15110" s="3"/>
      <c r="AD15110" s="3"/>
      <c r="AE15110" s="3"/>
      <c r="AF15110" s="3"/>
      <c r="AG15110" s="3"/>
      <c r="AH15110" s="3"/>
    </row>
    <row r="15111" spans="1:34" ht="14.25" customHeight="1" x14ac:dyDescent="0.25">
      <c r="A15111" s="3"/>
      <c r="B15111" s="3"/>
      <c r="C15111" s="3"/>
      <c r="D15111" s="3"/>
      <c r="E15111" s="3"/>
      <c r="F15111" s="3"/>
      <c r="G15111" s="3"/>
      <c r="H15111" s="11"/>
      <c r="I15111" s="12"/>
      <c r="J15111" s="3"/>
      <c r="K15111" s="3"/>
      <c r="L15111" s="3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  <c r="AA15111" s="3"/>
      <c r="AB15111" s="3"/>
      <c r="AC15111" s="3"/>
      <c r="AD15111" s="3"/>
      <c r="AE15111" s="3"/>
      <c r="AF15111" s="3"/>
      <c r="AG15111" s="3"/>
      <c r="AH15111" s="3"/>
    </row>
    <row r="15112" spans="1:34" ht="14.25" customHeight="1" x14ac:dyDescent="0.25">
      <c r="A15112" s="3"/>
      <c r="B15112" s="3"/>
      <c r="C15112" s="3"/>
      <c r="D15112" s="3"/>
      <c r="E15112" s="3"/>
      <c r="F15112" s="3"/>
      <c r="G15112" s="3"/>
      <c r="H15112" s="11"/>
      <c r="I15112" s="12"/>
      <c r="J15112" s="3"/>
      <c r="K15112" s="3"/>
      <c r="L15112" s="3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  <c r="AA15112" s="3"/>
      <c r="AB15112" s="3"/>
      <c r="AC15112" s="3"/>
      <c r="AD15112" s="3"/>
      <c r="AE15112" s="3"/>
      <c r="AF15112" s="3"/>
      <c r="AG15112" s="3"/>
      <c r="AH15112" s="3"/>
    </row>
    <row r="15113" spans="1:34" ht="14.25" customHeight="1" x14ac:dyDescent="0.25">
      <c r="A15113" s="3"/>
      <c r="B15113" s="3"/>
      <c r="C15113" s="3"/>
      <c r="D15113" s="3"/>
      <c r="E15113" s="3"/>
      <c r="F15113" s="3"/>
      <c r="G15113" s="3"/>
      <c r="H15113" s="11"/>
      <c r="I15113" s="12"/>
      <c r="J15113" s="3"/>
      <c r="K15113" s="3"/>
      <c r="L15113" s="3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  <c r="AA15113" s="3"/>
      <c r="AB15113" s="3"/>
      <c r="AC15113" s="3"/>
      <c r="AD15113" s="3"/>
      <c r="AE15113" s="3"/>
      <c r="AF15113" s="3"/>
      <c r="AG15113" s="3"/>
      <c r="AH15113" s="3"/>
    </row>
    <row r="15114" spans="1:34" ht="14.25" customHeight="1" x14ac:dyDescent="0.25">
      <c r="A15114" s="3"/>
      <c r="B15114" s="3"/>
      <c r="C15114" s="3"/>
      <c r="D15114" s="3"/>
      <c r="E15114" s="3"/>
      <c r="F15114" s="3"/>
      <c r="G15114" s="3"/>
      <c r="H15114" s="11"/>
      <c r="I15114" s="12"/>
      <c r="J15114" s="3"/>
      <c r="K15114" s="3"/>
      <c r="L15114" s="3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  <c r="AA15114" s="3"/>
      <c r="AB15114" s="3"/>
      <c r="AC15114" s="3"/>
      <c r="AD15114" s="3"/>
      <c r="AE15114" s="3"/>
      <c r="AF15114" s="3"/>
      <c r="AG15114" s="3"/>
      <c r="AH15114" s="3"/>
    </row>
    <row r="15115" spans="1:34" ht="14.25" customHeight="1" x14ac:dyDescent="0.25">
      <c r="A15115" s="3"/>
      <c r="B15115" s="3"/>
      <c r="C15115" s="3"/>
      <c r="D15115" s="3"/>
      <c r="E15115" s="3"/>
      <c r="F15115" s="3"/>
      <c r="G15115" s="3"/>
      <c r="H15115" s="11"/>
      <c r="I15115" s="12"/>
      <c r="J15115" s="3"/>
      <c r="K15115" s="3"/>
      <c r="L15115" s="3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  <c r="AA15115" s="3"/>
      <c r="AB15115" s="3"/>
      <c r="AC15115" s="3"/>
      <c r="AD15115" s="3"/>
      <c r="AE15115" s="3"/>
      <c r="AF15115" s="3"/>
      <c r="AG15115" s="3"/>
      <c r="AH15115" s="3"/>
    </row>
    <row r="15116" spans="1:34" ht="14.25" customHeight="1" x14ac:dyDescent="0.25">
      <c r="A15116" s="3"/>
      <c r="B15116" s="3"/>
      <c r="C15116" s="3"/>
      <c r="D15116" s="3"/>
      <c r="E15116" s="3"/>
      <c r="F15116" s="3"/>
      <c r="G15116" s="3"/>
      <c r="H15116" s="11"/>
      <c r="I15116" s="12"/>
      <c r="J15116" s="3"/>
      <c r="K15116" s="3"/>
      <c r="L15116" s="3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  <c r="AA15116" s="3"/>
      <c r="AB15116" s="3"/>
      <c r="AC15116" s="3"/>
      <c r="AD15116" s="3"/>
      <c r="AE15116" s="3"/>
      <c r="AF15116" s="3"/>
      <c r="AG15116" s="3"/>
      <c r="AH15116" s="3"/>
    </row>
    <row r="15117" spans="1:34" ht="14.25" customHeight="1" x14ac:dyDescent="0.25">
      <c r="A15117" s="3"/>
      <c r="B15117" s="3"/>
      <c r="C15117" s="3"/>
      <c r="D15117" s="3"/>
      <c r="E15117" s="3"/>
      <c r="F15117" s="3"/>
      <c r="G15117" s="3"/>
      <c r="H15117" s="11"/>
      <c r="I15117" s="12"/>
      <c r="J15117" s="3"/>
      <c r="K15117" s="3"/>
      <c r="L15117" s="3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  <c r="AA15117" s="3"/>
      <c r="AB15117" s="3"/>
      <c r="AC15117" s="3"/>
      <c r="AD15117" s="3"/>
      <c r="AE15117" s="3"/>
      <c r="AF15117" s="3"/>
      <c r="AG15117" s="3"/>
      <c r="AH15117" s="3"/>
    </row>
    <row r="15118" spans="1:34" ht="14.25" customHeight="1" x14ac:dyDescent="0.25">
      <c r="A15118" s="3"/>
      <c r="B15118" s="3"/>
      <c r="C15118" s="3"/>
      <c r="D15118" s="3"/>
      <c r="E15118" s="3"/>
      <c r="F15118" s="3"/>
      <c r="G15118" s="3"/>
      <c r="H15118" s="11"/>
      <c r="I15118" s="12"/>
      <c r="J15118" s="3"/>
      <c r="K15118" s="3"/>
      <c r="L15118" s="3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  <c r="AA15118" s="3"/>
      <c r="AB15118" s="3"/>
      <c r="AC15118" s="3"/>
      <c r="AD15118" s="3"/>
      <c r="AE15118" s="3"/>
      <c r="AF15118" s="3"/>
      <c r="AG15118" s="3"/>
      <c r="AH15118" s="3"/>
    </row>
    <row r="15119" spans="1:34" ht="14.25" customHeight="1" x14ac:dyDescent="0.25">
      <c r="A15119" s="3"/>
      <c r="B15119" s="3"/>
      <c r="C15119" s="3"/>
      <c r="D15119" s="3"/>
      <c r="E15119" s="3"/>
      <c r="F15119" s="3"/>
      <c r="G15119" s="3"/>
      <c r="H15119" s="11"/>
      <c r="I15119" s="12"/>
      <c r="J15119" s="3"/>
      <c r="K15119" s="3"/>
      <c r="L15119" s="3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  <c r="AA15119" s="3"/>
      <c r="AB15119" s="3"/>
      <c r="AC15119" s="3"/>
      <c r="AD15119" s="3"/>
      <c r="AE15119" s="3"/>
      <c r="AF15119" s="3"/>
      <c r="AG15119" s="3"/>
      <c r="AH15119" s="3"/>
    </row>
    <row r="15120" spans="1:34" ht="14.25" customHeight="1" x14ac:dyDescent="0.25">
      <c r="A15120" s="3"/>
      <c r="B15120" s="3"/>
      <c r="C15120" s="3"/>
      <c r="D15120" s="3"/>
      <c r="E15120" s="3"/>
      <c r="F15120" s="3"/>
      <c r="G15120" s="3"/>
      <c r="H15120" s="11"/>
      <c r="I15120" s="12"/>
      <c r="J15120" s="3"/>
      <c r="K15120" s="3"/>
      <c r="L15120" s="3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  <c r="AA15120" s="3"/>
      <c r="AB15120" s="3"/>
      <c r="AC15120" s="3"/>
      <c r="AD15120" s="3"/>
      <c r="AE15120" s="3"/>
      <c r="AF15120" s="3"/>
      <c r="AG15120" s="3"/>
      <c r="AH15120" s="3"/>
    </row>
    <row r="15121" spans="1:34" ht="14.25" customHeight="1" x14ac:dyDescent="0.25">
      <c r="A15121" s="3"/>
      <c r="B15121" s="3"/>
      <c r="C15121" s="3"/>
      <c r="D15121" s="3"/>
      <c r="E15121" s="3"/>
      <c r="F15121" s="3"/>
      <c r="G15121" s="3"/>
      <c r="H15121" s="11"/>
      <c r="I15121" s="12"/>
      <c r="J15121" s="3"/>
      <c r="K15121" s="3"/>
      <c r="L15121" s="3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  <c r="AA15121" s="3"/>
      <c r="AB15121" s="3"/>
      <c r="AC15121" s="3"/>
      <c r="AD15121" s="3"/>
      <c r="AE15121" s="3"/>
      <c r="AF15121" s="3"/>
      <c r="AG15121" s="3"/>
      <c r="AH15121" s="3"/>
    </row>
    <row r="15122" spans="1:34" ht="14.25" customHeight="1" x14ac:dyDescent="0.25">
      <c r="A15122" s="3"/>
      <c r="B15122" s="3"/>
      <c r="C15122" s="3"/>
      <c r="D15122" s="3"/>
      <c r="E15122" s="3"/>
      <c r="F15122" s="3"/>
      <c r="G15122" s="3"/>
      <c r="H15122" s="11"/>
      <c r="I15122" s="12"/>
      <c r="J15122" s="3"/>
      <c r="K15122" s="3"/>
      <c r="L15122" s="3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  <c r="AA15122" s="3"/>
      <c r="AB15122" s="3"/>
      <c r="AC15122" s="3"/>
      <c r="AD15122" s="3"/>
      <c r="AE15122" s="3"/>
      <c r="AF15122" s="3"/>
      <c r="AG15122" s="3"/>
      <c r="AH15122" s="3"/>
    </row>
    <row r="15123" spans="1:34" ht="14.25" customHeight="1" x14ac:dyDescent="0.25">
      <c r="A15123" s="3"/>
      <c r="B15123" s="3"/>
      <c r="C15123" s="3"/>
      <c r="D15123" s="3"/>
      <c r="E15123" s="3"/>
      <c r="F15123" s="3"/>
      <c r="G15123" s="3"/>
      <c r="H15123" s="11"/>
      <c r="I15123" s="12"/>
      <c r="J15123" s="3"/>
      <c r="K15123" s="3"/>
      <c r="L15123" s="3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  <c r="AA15123" s="3"/>
      <c r="AB15123" s="3"/>
      <c r="AC15123" s="3"/>
      <c r="AD15123" s="3"/>
      <c r="AE15123" s="3"/>
      <c r="AF15123" s="3"/>
      <c r="AG15123" s="3"/>
      <c r="AH15123" s="3"/>
    </row>
    <row r="15124" spans="1:34" ht="14.25" customHeight="1" x14ac:dyDescent="0.25">
      <c r="A15124" s="3"/>
      <c r="B15124" s="3"/>
      <c r="C15124" s="3"/>
      <c r="D15124" s="3"/>
      <c r="E15124" s="3"/>
      <c r="F15124" s="3"/>
      <c r="G15124" s="3"/>
      <c r="H15124" s="11"/>
      <c r="I15124" s="12"/>
      <c r="J15124" s="3"/>
      <c r="K15124" s="3"/>
      <c r="L15124" s="3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  <c r="AA15124" s="3"/>
      <c r="AB15124" s="3"/>
      <c r="AC15124" s="3"/>
      <c r="AD15124" s="3"/>
      <c r="AE15124" s="3"/>
      <c r="AF15124" s="3"/>
      <c r="AG15124" s="3"/>
      <c r="AH15124" s="3"/>
    </row>
    <row r="15125" spans="1:34" ht="14.25" customHeight="1" x14ac:dyDescent="0.25">
      <c r="A15125" s="3"/>
      <c r="B15125" s="3"/>
      <c r="C15125" s="3"/>
      <c r="D15125" s="3"/>
      <c r="E15125" s="3"/>
      <c r="F15125" s="3"/>
      <c r="G15125" s="3"/>
      <c r="H15125" s="11"/>
      <c r="I15125" s="12"/>
      <c r="J15125" s="3"/>
      <c r="K15125" s="3"/>
      <c r="L15125" s="3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  <c r="AA15125" s="3"/>
      <c r="AB15125" s="3"/>
      <c r="AC15125" s="3"/>
      <c r="AD15125" s="3"/>
      <c r="AE15125" s="3"/>
      <c r="AF15125" s="3"/>
      <c r="AG15125" s="3"/>
      <c r="AH15125" s="3"/>
    </row>
    <row r="15126" spans="1:34" ht="14.25" customHeight="1" x14ac:dyDescent="0.25">
      <c r="A15126" s="3"/>
      <c r="B15126" s="3"/>
      <c r="C15126" s="3"/>
      <c r="D15126" s="3"/>
      <c r="E15126" s="3"/>
      <c r="F15126" s="3"/>
      <c r="G15126" s="3"/>
      <c r="H15126" s="11"/>
      <c r="I15126" s="12"/>
      <c r="J15126" s="3"/>
      <c r="K15126" s="3"/>
      <c r="L15126" s="3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  <c r="AA15126" s="3"/>
      <c r="AB15126" s="3"/>
      <c r="AC15126" s="3"/>
      <c r="AD15126" s="3"/>
      <c r="AE15126" s="3"/>
      <c r="AF15126" s="3"/>
      <c r="AG15126" s="3"/>
      <c r="AH15126" s="3"/>
    </row>
    <row r="15127" spans="1:34" ht="14.25" customHeight="1" x14ac:dyDescent="0.25">
      <c r="A15127" s="3"/>
      <c r="B15127" s="3"/>
      <c r="C15127" s="3"/>
      <c r="D15127" s="3"/>
      <c r="E15127" s="3"/>
      <c r="F15127" s="3"/>
      <c r="G15127" s="3"/>
      <c r="H15127" s="11"/>
      <c r="I15127" s="12"/>
      <c r="J15127" s="3"/>
      <c r="K15127" s="3"/>
      <c r="L15127" s="3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  <c r="AA15127" s="3"/>
      <c r="AB15127" s="3"/>
      <c r="AC15127" s="3"/>
      <c r="AD15127" s="3"/>
      <c r="AE15127" s="3"/>
      <c r="AF15127" s="3"/>
      <c r="AG15127" s="3"/>
      <c r="AH15127" s="3"/>
    </row>
    <row r="15128" spans="1:34" ht="14.25" customHeight="1" x14ac:dyDescent="0.25">
      <c r="A15128" s="3"/>
      <c r="B15128" s="3"/>
      <c r="C15128" s="3"/>
      <c r="D15128" s="3"/>
      <c r="E15128" s="3"/>
      <c r="F15128" s="3"/>
      <c r="G15128" s="3"/>
      <c r="H15128" s="11"/>
      <c r="I15128" s="12"/>
      <c r="J15128" s="3"/>
      <c r="K15128" s="3"/>
      <c r="L15128" s="3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  <c r="AA15128" s="3"/>
      <c r="AB15128" s="3"/>
      <c r="AC15128" s="3"/>
      <c r="AD15128" s="3"/>
      <c r="AE15128" s="3"/>
      <c r="AF15128" s="3"/>
      <c r="AG15128" s="3"/>
      <c r="AH15128" s="3"/>
    </row>
    <row r="15129" spans="1:34" ht="14.25" customHeight="1" x14ac:dyDescent="0.25">
      <c r="A15129" s="3"/>
      <c r="B15129" s="3"/>
      <c r="C15129" s="3"/>
      <c r="D15129" s="3"/>
      <c r="E15129" s="3"/>
      <c r="F15129" s="3"/>
      <c r="G15129" s="3"/>
      <c r="H15129" s="11"/>
      <c r="I15129" s="12"/>
      <c r="J15129" s="3"/>
      <c r="K15129" s="3"/>
      <c r="L15129" s="3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  <c r="AA15129" s="3"/>
      <c r="AB15129" s="3"/>
      <c r="AC15129" s="3"/>
      <c r="AD15129" s="3"/>
      <c r="AE15129" s="3"/>
      <c r="AF15129" s="3"/>
      <c r="AG15129" s="3"/>
      <c r="AH15129" s="3"/>
    </row>
    <row r="15130" spans="1:34" ht="14.25" customHeight="1" x14ac:dyDescent="0.25">
      <c r="A15130" s="3"/>
      <c r="B15130" s="3"/>
      <c r="C15130" s="3"/>
      <c r="D15130" s="3"/>
      <c r="E15130" s="3"/>
      <c r="F15130" s="3"/>
      <c r="G15130" s="3"/>
      <c r="H15130" s="11"/>
      <c r="I15130" s="12"/>
      <c r="J15130" s="3"/>
      <c r="K15130" s="3"/>
      <c r="L15130" s="3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  <c r="AA15130" s="3"/>
      <c r="AB15130" s="3"/>
      <c r="AC15130" s="3"/>
      <c r="AD15130" s="3"/>
      <c r="AE15130" s="3"/>
      <c r="AF15130" s="3"/>
      <c r="AG15130" s="3"/>
      <c r="AH15130" s="3"/>
    </row>
    <row r="15131" spans="1:34" ht="14.25" customHeight="1" x14ac:dyDescent="0.25">
      <c r="A15131" s="3"/>
      <c r="B15131" s="3"/>
      <c r="C15131" s="3"/>
      <c r="D15131" s="3"/>
      <c r="E15131" s="3"/>
      <c r="F15131" s="3"/>
      <c r="G15131" s="3"/>
      <c r="H15131" s="11"/>
      <c r="I15131" s="12"/>
      <c r="J15131" s="3"/>
      <c r="K15131" s="3"/>
      <c r="L15131" s="3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  <c r="AA15131" s="3"/>
      <c r="AB15131" s="3"/>
      <c r="AC15131" s="3"/>
      <c r="AD15131" s="3"/>
      <c r="AE15131" s="3"/>
      <c r="AF15131" s="3"/>
      <c r="AG15131" s="3"/>
      <c r="AH15131" s="3"/>
    </row>
    <row r="15132" spans="1:34" ht="14.25" customHeight="1" x14ac:dyDescent="0.25">
      <c r="A15132" s="3"/>
      <c r="B15132" s="3"/>
      <c r="C15132" s="3"/>
      <c r="D15132" s="3"/>
      <c r="E15132" s="3"/>
      <c r="F15132" s="3"/>
      <c r="G15132" s="3"/>
      <c r="H15132" s="11"/>
      <c r="I15132" s="12"/>
      <c r="J15132" s="3"/>
      <c r="K15132" s="3"/>
      <c r="L15132" s="3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  <c r="AA15132" s="3"/>
      <c r="AB15132" s="3"/>
      <c r="AC15132" s="3"/>
      <c r="AD15132" s="3"/>
      <c r="AE15132" s="3"/>
      <c r="AF15132" s="3"/>
      <c r="AG15132" s="3"/>
      <c r="AH15132" s="3"/>
    </row>
    <row r="15133" spans="1:34" ht="14.25" customHeight="1" x14ac:dyDescent="0.25">
      <c r="A15133" s="3"/>
      <c r="B15133" s="3"/>
      <c r="C15133" s="3"/>
      <c r="D15133" s="3"/>
      <c r="E15133" s="3"/>
      <c r="F15133" s="3"/>
      <c r="G15133" s="3"/>
      <c r="H15133" s="11"/>
      <c r="I15133" s="12"/>
      <c r="J15133" s="3"/>
      <c r="K15133" s="3"/>
      <c r="L15133" s="3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  <c r="AA15133" s="3"/>
      <c r="AB15133" s="3"/>
      <c r="AC15133" s="3"/>
      <c r="AD15133" s="3"/>
      <c r="AE15133" s="3"/>
      <c r="AF15133" s="3"/>
      <c r="AG15133" s="3"/>
      <c r="AH15133" s="3"/>
    </row>
    <row r="15134" spans="1:34" ht="14.25" customHeight="1" x14ac:dyDescent="0.25">
      <c r="A15134" s="3"/>
      <c r="B15134" s="3"/>
      <c r="C15134" s="3"/>
      <c r="D15134" s="3"/>
      <c r="E15134" s="3"/>
      <c r="F15134" s="3"/>
      <c r="G15134" s="3"/>
      <c r="H15134" s="11"/>
      <c r="I15134" s="12"/>
      <c r="J15134" s="3"/>
      <c r="K15134" s="3"/>
      <c r="L15134" s="3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  <c r="AA15134" s="3"/>
      <c r="AB15134" s="3"/>
      <c r="AC15134" s="3"/>
      <c r="AD15134" s="3"/>
      <c r="AE15134" s="3"/>
      <c r="AF15134" s="3"/>
      <c r="AG15134" s="3"/>
      <c r="AH15134" s="3"/>
    </row>
    <row r="15135" spans="1:34" ht="14.25" customHeight="1" x14ac:dyDescent="0.25">
      <c r="A15135" s="3"/>
      <c r="B15135" s="3"/>
      <c r="C15135" s="3"/>
      <c r="D15135" s="3"/>
      <c r="E15135" s="3"/>
      <c r="F15135" s="3"/>
      <c r="G15135" s="3"/>
      <c r="H15135" s="11"/>
      <c r="I15135" s="12"/>
      <c r="J15135" s="3"/>
      <c r="K15135" s="3"/>
      <c r="L15135" s="3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  <c r="AA15135" s="3"/>
      <c r="AB15135" s="3"/>
      <c r="AC15135" s="3"/>
      <c r="AD15135" s="3"/>
      <c r="AE15135" s="3"/>
      <c r="AF15135" s="3"/>
      <c r="AG15135" s="3"/>
      <c r="AH15135" s="3"/>
    </row>
    <row r="15136" spans="1:34" ht="14.25" customHeight="1" x14ac:dyDescent="0.25">
      <c r="A15136" s="3"/>
      <c r="B15136" s="3"/>
      <c r="C15136" s="3"/>
      <c r="D15136" s="3"/>
      <c r="E15136" s="3"/>
      <c r="F15136" s="3"/>
      <c r="G15136" s="3"/>
      <c r="H15136" s="11"/>
      <c r="I15136" s="12"/>
      <c r="J15136" s="3"/>
      <c r="K15136" s="3"/>
      <c r="L15136" s="3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  <c r="AA15136" s="3"/>
      <c r="AB15136" s="3"/>
      <c r="AC15136" s="3"/>
      <c r="AD15136" s="3"/>
      <c r="AE15136" s="3"/>
      <c r="AF15136" s="3"/>
      <c r="AG15136" s="3"/>
      <c r="AH15136" s="3"/>
    </row>
    <row r="15137" spans="1:34" ht="14.25" customHeight="1" x14ac:dyDescent="0.25">
      <c r="A15137" s="3"/>
      <c r="B15137" s="3"/>
      <c r="C15137" s="3"/>
      <c r="D15137" s="3"/>
      <c r="E15137" s="3"/>
      <c r="F15137" s="3"/>
      <c r="G15137" s="3"/>
      <c r="H15137" s="11"/>
      <c r="I15137" s="12"/>
      <c r="J15137" s="3"/>
      <c r="K15137" s="3"/>
      <c r="L15137" s="3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  <c r="AA15137" s="3"/>
      <c r="AB15137" s="3"/>
      <c r="AC15137" s="3"/>
      <c r="AD15137" s="3"/>
      <c r="AE15137" s="3"/>
      <c r="AF15137" s="3"/>
      <c r="AG15137" s="3"/>
      <c r="AH15137" s="3"/>
    </row>
    <row r="15138" spans="1:34" ht="14.25" customHeight="1" x14ac:dyDescent="0.25">
      <c r="A15138" s="3"/>
      <c r="B15138" s="3"/>
      <c r="C15138" s="3"/>
      <c r="D15138" s="3"/>
      <c r="E15138" s="3"/>
      <c r="F15138" s="3"/>
      <c r="G15138" s="3"/>
      <c r="H15138" s="11"/>
      <c r="I15138" s="12"/>
      <c r="J15138" s="3"/>
      <c r="K15138" s="3"/>
      <c r="L15138" s="3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  <c r="AA15138" s="3"/>
      <c r="AB15138" s="3"/>
      <c r="AC15138" s="3"/>
      <c r="AD15138" s="3"/>
      <c r="AE15138" s="3"/>
      <c r="AF15138" s="3"/>
      <c r="AG15138" s="3"/>
      <c r="AH15138" s="3"/>
    </row>
    <row r="15139" spans="1:34" ht="14.25" customHeight="1" x14ac:dyDescent="0.25">
      <c r="A15139" s="3"/>
      <c r="B15139" s="3"/>
      <c r="C15139" s="3"/>
      <c r="D15139" s="3"/>
      <c r="E15139" s="3"/>
      <c r="F15139" s="3"/>
      <c r="G15139" s="3"/>
      <c r="H15139" s="11"/>
      <c r="I15139" s="12"/>
      <c r="J15139" s="3"/>
      <c r="K15139" s="3"/>
      <c r="L15139" s="3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  <c r="AA15139" s="3"/>
      <c r="AB15139" s="3"/>
      <c r="AC15139" s="3"/>
      <c r="AD15139" s="3"/>
      <c r="AE15139" s="3"/>
      <c r="AF15139" s="3"/>
      <c r="AG15139" s="3"/>
      <c r="AH15139" s="3"/>
    </row>
    <row r="15140" spans="1:34" ht="14.25" customHeight="1" x14ac:dyDescent="0.25">
      <c r="A15140" s="3"/>
      <c r="B15140" s="3"/>
      <c r="C15140" s="3"/>
      <c r="D15140" s="3"/>
      <c r="E15140" s="3"/>
      <c r="F15140" s="3"/>
      <c r="G15140" s="3"/>
      <c r="H15140" s="11"/>
      <c r="I15140" s="12"/>
      <c r="J15140" s="3"/>
      <c r="K15140" s="3"/>
      <c r="L15140" s="3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  <c r="AA15140" s="3"/>
      <c r="AB15140" s="3"/>
      <c r="AC15140" s="3"/>
      <c r="AD15140" s="3"/>
      <c r="AE15140" s="3"/>
      <c r="AF15140" s="3"/>
      <c r="AG15140" s="3"/>
      <c r="AH15140" s="3"/>
    </row>
    <row r="15141" spans="1:34" ht="14.25" customHeight="1" x14ac:dyDescent="0.25">
      <c r="A15141" s="3"/>
      <c r="B15141" s="3"/>
      <c r="C15141" s="3"/>
      <c r="D15141" s="3"/>
      <c r="E15141" s="3"/>
      <c r="F15141" s="3"/>
      <c r="G15141" s="3"/>
      <c r="H15141" s="11"/>
      <c r="I15141" s="12"/>
      <c r="J15141" s="3"/>
      <c r="K15141" s="3"/>
      <c r="L15141" s="3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  <c r="AA15141" s="3"/>
      <c r="AB15141" s="3"/>
      <c r="AC15141" s="3"/>
      <c r="AD15141" s="3"/>
      <c r="AE15141" s="3"/>
      <c r="AF15141" s="3"/>
      <c r="AG15141" s="3"/>
      <c r="AH15141" s="3"/>
    </row>
    <row r="15142" spans="1:34" ht="14.25" customHeight="1" x14ac:dyDescent="0.25">
      <c r="A15142" s="3"/>
      <c r="B15142" s="3"/>
      <c r="C15142" s="3"/>
      <c r="D15142" s="3"/>
      <c r="E15142" s="3"/>
      <c r="F15142" s="3"/>
      <c r="G15142" s="3"/>
      <c r="H15142" s="11"/>
      <c r="I15142" s="12"/>
      <c r="J15142" s="3"/>
      <c r="K15142" s="3"/>
      <c r="L15142" s="3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  <c r="AA15142" s="3"/>
      <c r="AB15142" s="3"/>
      <c r="AC15142" s="3"/>
      <c r="AD15142" s="3"/>
      <c r="AE15142" s="3"/>
      <c r="AF15142" s="3"/>
      <c r="AG15142" s="3"/>
      <c r="AH15142" s="3"/>
    </row>
    <row r="15143" spans="1:34" ht="14.25" customHeight="1" x14ac:dyDescent="0.25">
      <c r="A15143" s="3"/>
      <c r="B15143" s="3"/>
      <c r="C15143" s="3"/>
      <c r="D15143" s="3"/>
      <c r="E15143" s="3"/>
      <c r="F15143" s="3"/>
      <c r="G15143" s="3"/>
      <c r="H15143" s="11"/>
      <c r="I15143" s="12"/>
      <c r="J15143" s="3"/>
      <c r="K15143" s="3"/>
      <c r="L15143" s="3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  <c r="AA15143" s="3"/>
      <c r="AB15143" s="3"/>
      <c r="AC15143" s="3"/>
      <c r="AD15143" s="3"/>
      <c r="AE15143" s="3"/>
      <c r="AF15143" s="3"/>
      <c r="AG15143" s="3"/>
      <c r="AH15143" s="3"/>
    </row>
    <row r="15144" spans="1:34" ht="14.25" customHeight="1" x14ac:dyDescent="0.25">
      <c r="A15144" s="3"/>
      <c r="B15144" s="3"/>
      <c r="C15144" s="3"/>
      <c r="D15144" s="3"/>
      <c r="E15144" s="3"/>
      <c r="F15144" s="3"/>
      <c r="G15144" s="3"/>
      <c r="H15144" s="11"/>
      <c r="I15144" s="12"/>
      <c r="J15144" s="3"/>
      <c r="K15144" s="3"/>
      <c r="L15144" s="3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  <c r="AA15144" s="3"/>
      <c r="AB15144" s="3"/>
      <c r="AC15144" s="3"/>
      <c r="AD15144" s="3"/>
      <c r="AE15144" s="3"/>
      <c r="AF15144" s="3"/>
      <c r="AG15144" s="3"/>
      <c r="AH15144" s="3"/>
    </row>
    <row r="15145" spans="1:34" ht="14.25" customHeight="1" x14ac:dyDescent="0.25">
      <c r="A15145" s="3"/>
      <c r="B15145" s="3"/>
      <c r="C15145" s="3"/>
      <c r="D15145" s="3"/>
      <c r="E15145" s="3"/>
      <c r="F15145" s="3"/>
      <c r="G15145" s="3"/>
      <c r="H15145" s="11"/>
      <c r="I15145" s="12"/>
      <c r="J15145" s="3"/>
      <c r="K15145" s="3"/>
      <c r="L15145" s="3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  <c r="AA15145" s="3"/>
      <c r="AB15145" s="3"/>
      <c r="AC15145" s="3"/>
      <c r="AD15145" s="3"/>
      <c r="AE15145" s="3"/>
      <c r="AF15145" s="3"/>
      <c r="AG15145" s="3"/>
      <c r="AH15145" s="3"/>
    </row>
    <row r="15146" spans="1:34" ht="14.25" customHeight="1" x14ac:dyDescent="0.25">
      <c r="A15146" s="3"/>
      <c r="B15146" s="3"/>
      <c r="C15146" s="3"/>
      <c r="D15146" s="3"/>
      <c r="E15146" s="3"/>
      <c r="F15146" s="3"/>
      <c r="G15146" s="3"/>
      <c r="H15146" s="11"/>
      <c r="I15146" s="12"/>
      <c r="J15146" s="3"/>
      <c r="K15146" s="3"/>
      <c r="L15146" s="3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  <c r="AA15146" s="3"/>
      <c r="AB15146" s="3"/>
      <c r="AC15146" s="3"/>
      <c r="AD15146" s="3"/>
      <c r="AE15146" s="3"/>
      <c r="AF15146" s="3"/>
      <c r="AG15146" s="3"/>
      <c r="AH15146" s="3"/>
    </row>
    <row r="15147" spans="1:34" ht="14.25" customHeight="1" x14ac:dyDescent="0.25">
      <c r="A15147" s="3"/>
      <c r="B15147" s="3"/>
      <c r="C15147" s="3"/>
      <c r="D15147" s="3"/>
      <c r="E15147" s="3"/>
      <c r="F15147" s="3"/>
      <c r="G15147" s="3"/>
      <c r="H15147" s="11"/>
      <c r="I15147" s="12"/>
      <c r="J15147" s="3"/>
      <c r="K15147" s="3"/>
      <c r="L15147" s="3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  <c r="AA15147" s="3"/>
      <c r="AB15147" s="3"/>
      <c r="AC15147" s="3"/>
      <c r="AD15147" s="3"/>
      <c r="AE15147" s="3"/>
      <c r="AF15147" s="3"/>
      <c r="AG15147" s="3"/>
      <c r="AH15147" s="3"/>
    </row>
    <row r="15148" spans="1:34" ht="14.25" customHeight="1" x14ac:dyDescent="0.25">
      <c r="A15148" s="3"/>
      <c r="B15148" s="3"/>
      <c r="C15148" s="3"/>
      <c r="D15148" s="3"/>
      <c r="E15148" s="3"/>
      <c r="F15148" s="3"/>
      <c r="G15148" s="3"/>
      <c r="H15148" s="11"/>
      <c r="I15148" s="12"/>
      <c r="J15148" s="3"/>
      <c r="K15148" s="3"/>
      <c r="L15148" s="3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  <c r="AA15148" s="3"/>
      <c r="AB15148" s="3"/>
      <c r="AC15148" s="3"/>
      <c r="AD15148" s="3"/>
      <c r="AE15148" s="3"/>
      <c r="AF15148" s="3"/>
      <c r="AG15148" s="3"/>
      <c r="AH15148" s="3"/>
    </row>
    <row r="15149" spans="1:34" ht="14.25" customHeight="1" x14ac:dyDescent="0.25">
      <c r="A15149" s="3"/>
      <c r="B15149" s="3"/>
      <c r="C15149" s="3"/>
      <c r="D15149" s="3"/>
      <c r="E15149" s="3"/>
      <c r="F15149" s="3"/>
      <c r="G15149" s="3"/>
      <c r="H15149" s="11"/>
      <c r="I15149" s="12"/>
      <c r="J15149" s="3"/>
      <c r="K15149" s="3"/>
      <c r="L15149" s="3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  <c r="AA15149" s="3"/>
      <c r="AB15149" s="3"/>
      <c r="AC15149" s="3"/>
      <c r="AD15149" s="3"/>
      <c r="AE15149" s="3"/>
      <c r="AF15149" s="3"/>
      <c r="AG15149" s="3"/>
      <c r="AH15149" s="3"/>
    </row>
    <row r="15150" spans="1:34" ht="14.25" customHeight="1" x14ac:dyDescent="0.25">
      <c r="A15150" s="3"/>
      <c r="B15150" s="3"/>
      <c r="C15150" s="3"/>
      <c r="D15150" s="3"/>
      <c r="E15150" s="3"/>
      <c r="F15150" s="3"/>
      <c r="G15150" s="3"/>
      <c r="H15150" s="11"/>
      <c r="I15150" s="12"/>
      <c r="J15150" s="3"/>
      <c r="K15150" s="3"/>
      <c r="L15150" s="3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  <c r="AA15150" s="3"/>
      <c r="AB15150" s="3"/>
      <c r="AC15150" s="3"/>
      <c r="AD15150" s="3"/>
      <c r="AE15150" s="3"/>
      <c r="AF15150" s="3"/>
      <c r="AG15150" s="3"/>
      <c r="AH15150" s="3"/>
    </row>
    <row r="15151" spans="1:34" ht="14.25" customHeight="1" x14ac:dyDescent="0.25">
      <c r="A15151" s="3"/>
      <c r="B15151" s="3"/>
      <c r="C15151" s="3"/>
      <c r="D15151" s="3"/>
      <c r="E15151" s="3"/>
      <c r="F15151" s="3"/>
      <c r="G15151" s="3"/>
      <c r="H15151" s="11"/>
      <c r="I15151" s="12"/>
      <c r="J15151" s="3"/>
      <c r="K15151" s="3"/>
      <c r="L15151" s="3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  <c r="AA15151" s="3"/>
      <c r="AB15151" s="3"/>
      <c r="AC15151" s="3"/>
      <c r="AD15151" s="3"/>
      <c r="AE15151" s="3"/>
      <c r="AF15151" s="3"/>
      <c r="AG15151" s="3"/>
      <c r="AH15151" s="3"/>
    </row>
    <row r="15152" spans="1:34" ht="14.25" customHeight="1" x14ac:dyDescent="0.25">
      <c r="A15152" s="3"/>
      <c r="B15152" s="3"/>
      <c r="C15152" s="3"/>
      <c r="D15152" s="3"/>
      <c r="E15152" s="3"/>
      <c r="F15152" s="3"/>
      <c r="G15152" s="3"/>
      <c r="H15152" s="11"/>
      <c r="I15152" s="12"/>
      <c r="J15152" s="3"/>
      <c r="K15152" s="3"/>
      <c r="L15152" s="3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  <c r="AA15152" s="3"/>
      <c r="AB15152" s="3"/>
      <c r="AC15152" s="3"/>
      <c r="AD15152" s="3"/>
      <c r="AE15152" s="3"/>
      <c r="AF15152" s="3"/>
      <c r="AG15152" s="3"/>
      <c r="AH15152" s="3"/>
    </row>
    <row r="15153" spans="1:34" ht="14.25" customHeight="1" x14ac:dyDescent="0.25">
      <c r="A15153" s="3"/>
      <c r="B15153" s="3"/>
      <c r="C15153" s="3"/>
      <c r="D15153" s="3"/>
      <c r="E15153" s="3"/>
      <c r="F15153" s="3"/>
      <c r="G15153" s="3"/>
      <c r="H15153" s="11"/>
      <c r="I15153" s="12"/>
      <c r="J15153" s="3"/>
      <c r="K15153" s="3"/>
      <c r="L15153" s="3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  <c r="AA15153" s="3"/>
      <c r="AB15153" s="3"/>
      <c r="AC15153" s="3"/>
      <c r="AD15153" s="3"/>
      <c r="AE15153" s="3"/>
      <c r="AF15153" s="3"/>
      <c r="AG15153" s="3"/>
      <c r="AH15153" s="3"/>
    </row>
    <row r="15154" spans="1:34" ht="14.25" customHeight="1" x14ac:dyDescent="0.25">
      <c r="A15154" s="3"/>
      <c r="B15154" s="3"/>
      <c r="C15154" s="3"/>
      <c r="D15154" s="3"/>
      <c r="E15154" s="3"/>
      <c r="F15154" s="3"/>
      <c r="G15154" s="3"/>
      <c r="H15154" s="11"/>
      <c r="I15154" s="12"/>
      <c r="J15154" s="3"/>
      <c r="K15154" s="3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  <c r="AA15154" s="3"/>
      <c r="AB15154" s="3"/>
      <c r="AC15154" s="3"/>
      <c r="AD15154" s="3"/>
      <c r="AE15154" s="3"/>
      <c r="AF15154" s="3"/>
      <c r="AG15154" s="3"/>
      <c r="AH15154" s="3"/>
    </row>
    <row r="15155" spans="1:34" ht="14.25" customHeight="1" x14ac:dyDescent="0.25">
      <c r="A15155" s="3"/>
      <c r="B15155" s="3"/>
      <c r="C15155" s="3"/>
      <c r="D15155" s="3"/>
      <c r="E15155" s="3"/>
      <c r="F15155" s="3"/>
      <c r="G15155" s="3"/>
      <c r="H15155" s="11"/>
      <c r="I15155" s="12"/>
      <c r="J15155" s="3"/>
      <c r="K15155" s="3"/>
      <c r="L15155" s="3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  <c r="AA15155" s="3"/>
      <c r="AB15155" s="3"/>
      <c r="AC15155" s="3"/>
      <c r="AD15155" s="3"/>
      <c r="AE15155" s="3"/>
      <c r="AF15155" s="3"/>
      <c r="AG15155" s="3"/>
      <c r="AH15155" s="3"/>
    </row>
    <row r="15156" spans="1:34" ht="14.25" customHeight="1" x14ac:dyDescent="0.25">
      <c r="A15156" s="3"/>
      <c r="B15156" s="3"/>
      <c r="C15156" s="3"/>
      <c r="D15156" s="3"/>
      <c r="E15156" s="3"/>
      <c r="F15156" s="3"/>
      <c r="G15156" s="3"/>
      <c r="H15156" s="11"/>
      <c r="I15156" s="12"/>
      <c r="J15156" s="3"/>
      <c r="K15156" s="3"/>
      <c r="L15156" s="3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  <c r="AA15156" s="3"/>
      <c r="AB15156" s="3"/>
      <c r="AC15156" s="3"/>
      <c r="AD15156" s="3"/>
      <c r="AE15156" s="3"/>
      <c r="AF15156" s="3"/>
      <c r="AG15156" s="3"/>
      <c r="AH15156" s="3"/>
    </row>
    <row r="15157" spans="1:34" ht="14.25" customHeight="1" x14ac:dyDescent="0.25">
      <c r="A15157" s="3"/>
      <c r="B15157" s="3"/>
      <c r="C15157" s="3"/>
      <c r="D15157" s="3"/>
      <c r="E15157" s="3"/>
      <c r="F15157" s="3"/>
      <c r="G15157" s="3"/>
      <c r="H15157" s="11"/>
      <c r="I15157" s="12"/>
      <c r="J15157" s="3"/>
      <c r="K15157" s="3"/>
      <c r="L15157" s="3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  <c r="AA15157" s="3"/>
      <c r="AB15157" s="3"/>
      <c r="AC15157" s="3"/>
      <c r="AD15157" s="3"/>
      <c r="AE15157" s="3"/>
      <c r="AF15157" s="3"/>
      <c r="AG15157" s="3"/>
      <c r="AH15157" s="3"/>
    </row>
    <row r="15158" spans="1:34" ht="14.25" customHeight="1" x14ac:dyDescent="0.25">
      <c r="A15158" s="3"/>
      <c r="B15158" s="3"/>
      <c r="C15158" s="3"/>
      <c r="D15158" s="3"/>
      <c r="E15158" s="3"/>
      <c r="F15158" s="3"/>
      <c r="G15158" s="3"/>
      <c r="H15158" s="11"/>
      <c r="I15158" s="12"/>
      <c r="J15158" s="3"/>
      <c r="K15158" s="3"/>
      <c r="L15158" s="3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  <c r="AA15158" s="3"/>
      <c r="AB15158" s="3"/>
      <c r="AC15158" s="3"/>
      <c r="AD15158" s="3"/>
      <c r="AE15158" s="3"/>
      <c r="AF15158" s="3"/>
      <c r="AG15158" s="3"/>
      <c r="AH15158" s="3"/>
    </row>
    <row r="15159" spans="1:34" ht="14.25" customHeight="1" x14ac:dyDescent="0.25">
      <c r="A15159" s="3"/>
      <c r="B15159" s="3"/>
      <c r="C15159" s="3"/>
      <c r="D15159" s="3"/>
      <c r="E15159" s="3"/>
      <c r="F15159" s="3"/>
      <c r="G15159" s="3"/>
      <c r="H15159" s="11"/>
      <c r="I15159" s="12"/>
      <c r="J15159" s="3"/>
      <c r="K15159" s="3"/>
      <c r="L15159" s="3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  <c r="AA15159" s="3"/>
      <c r="AB15159" s="3"/>
      <c r="AC15159" s="3"/>
      <c r="AD15159" s="3"/>
      <c r="AE15159" s="3"/>
      <c r="AF15159" s="3"/>
      <c r="AG15159" s="3"/>
      <c r="AH15159" s="3"/>
    </row>
    <row r="15160" spans="1:34" ht="14.25" customHeight="1" x14ac:dyDescent="0.25">
      <c r="A15160" s="3"/>
      <c r="B15160" s="3"/>
      <c r="C15160" s="3"/>
      <c r="D15160" s="3"/>
      <c r="E15160" s="3"/>
      <c r="F15160" s="3"/>
      <c r="G15160" s="3"/>
      <c r="H15160" s="11"/>
      <c r="I15160" s="12"/>
      <c r="J15160" s="3"/>
      <c r="K15160" s="3"/>
      <c r="L15160" s="3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  <c r="AA15160" s="3"/>
      <c r="AB15160" s="3"/>
      <c r="AC15160" s="3"/>
      <c r="AD15160" s="3"/>
      <c r="AE15160" s="3"/>
      <c r="AF15160" s="3"/>
      <c r="AG15160" s="3"/>
      <c r="AH15160" s="3"/>
    </row>
    <row r="15161" spans="1:34" ht="14.25" customHeight="1" x14ac:dyDescent="0.25">
      <c r="A15161" s="3"/>
      <c r="B15161" s="3"/>
      <c r="C15161" s="3"/>
      <c r="D15161" s="3"/>
      <c r="E15161" s="3"/>
      <c r="F15161" s="3"/>
      <c r="G15161" s="3"/>
      <c r="H15161" s="11"/>
      <c r="I15161" s="12"/>
      <c r="J15161" s="3"/>
      <c r="K15161" s="3"/>
      <c r="L15161" s="3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  <c r="AA15161" s="3"/>
      <c r="AB15161" s="3"/>
      <c r="AC15161" s="3"/>
      <c r="AD15161" s="3"/>
      <c r="AE15161" s="3"/>
      <c r="AF15161" s="3"/>
      <c r="AG15161" s="3"/>
      <c r="AH15161" s="3"/>
    </row>
    <row r="15162" spans="1:34" ht="14.25" customHeight="1" x14ac:dyDescent="0.25">
      <c r="A15162" s="3"/>
      <c r="B15162" s="3"/>
      <c r="C15162" s="3"/>
      <c r="D15162" s="3"/>
      <c r="E15162" s="3"/>
      <c r="F15162" s="3"/>
      <c r="G15162" s="3"/>
      <c r="H15162" s="11"/>
      <c r="I15162" s="12"/>
      <c r="J15162" s="3"/>
      <c r="K15162" s="3"/>
      <c r="L15162" s="3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  <c r="AA15162" s="3"/>
      <c r="AB15162" s="3"/>
      <c r="AC15162" s="3"/>
      <c r="AD15162" s="3"/>
      <c r="AE15162" s="3"/>
      <c r="AF15162" s="3"/>
      <c r="AG15162" s="3"/>
      <c r="AH15162" s="3"/>
    </row>
    <row r="15163" spans="1:34" ht="14.25" customHeight="1" x14ac:dyDescent="0.25">
      <c r="A15163" s="3"/>
      <c r="B15163" s="3"/>
      <c r="C15163" s="3"/>
      <c r="D15163" s="3"/>
      <c r="E15163" s="3"/>
      <c r="F15163" s="3"/>
      <c r="G15163" s="3"/>
      <c r="H15163" s="11"/>
      <c r="I15163" s="12"/>
      <c r="J15163" s="3"/>
      <c r="K15163" s="3"/>
      <c r="L15163" s="3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  <c r="AA15163" s="3"/>
      <c r="AB15163" s="3"/>
      <c r="AC15163" s="3"/>
      <c r="AD15163" s="3"/>
      <c r="AE15163" s="3"/>
      <c r="AF15163" s="3"/>
      <c r="AG15163" s="3"/>
      <c r="AH15163" s="3"/>
    </row>
    <row r="15164" spans="1:34" ht="14.25" customHeight="1" x14ac:dyDescent="0.25">
      <c r="A15164" s="3"/>
      <c r="B15164" s="3"/>
      <c r="C15164" s="3"/>
      <c r="D15164" s="3"/>
      <c r="E15164" s="3"/>
      <c r="F15164" s="3"/>
      <c r="G15164" s="3"/>
      <c r="H15164" s="11"/>
      <c r="I15164" s="12"/>
      <c r="J15164" s="3"/>
      <c r="K15164" s="3"/>
      <c r="L15164" s="3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  <c r="AA15164" s="3"/>
      <c r="AB15164" s="3"/>
      <c r="AC15164" s="3"/>
      <c r="AD15164" s="3"/>
      <c r="AE15164" s="3"/>
      <c r="AF15164" s="3"/>
      <c r="AG15164" s="3"/>
      <c r="AH15164" s="3"/>
    </row>
    <row r="15165" spans="1:34" ht="14.25" customHeight="1" x14ac:dyDescent="0.25">
      <c r="A15165" s="3"/>
      <c r="B15165" s="3"/>
      <c r="C15165" s="3"/>
      <c r="D15165" s="3"/>
      <c r="E15165" s="3"/>
      <c r="F15165" s="3"/>
      <c r="G15165" s="3"/>
      <c r="H15165" s="11"/>
      <c r="I15165" s="12"/>
      <c r="J15165" s="3"/>
      <c r="K15165" s="3"/>
      <c r="L15165" s="3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  <c r="AA15165" s="3"/>
      <c r="AB15165" s="3"/>
      <c r="AC15165" s="3"/>
      <c r="AD15165" s="3"/>
      <c r="AE15165" s="3"/>
      <c r="AF15165" s="3"/>
      <c r="AG15165" s="3"/>
      <c r="AH15165" s="3"/>
    </row>
    <row r="15166" spans="1:34" ht="14.25" customHeight="1" x14ac:dyDescent="0.25">
      <c r="A15166" s="3"/>
      <c r="B15166" s="3"/>
      <c r="C15166" s="3"/>
      <c r="D15166" s="3"/>
      <c r="E15166" s="3"/>
      <c r="F15166" s="3"/>
      <c r="G15166" s="3"/>
      <c r="H15166" s="11"/>
      <c r="I15166" s="12"/>
      <c r="J15166" s="3"/>
      <c r="K15166" s="3"/>
      <c r="L15166" s="3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  <c r="AA15166" s="3"/>
      <c r="AB15166" s="3"/>
      <c r="AC15166" s="3"/>
      <c r="AD15166" s="3"/>
      <c r="AE15166" s="3"/>
      <c r="AF15166" s="3"/>
      <c r="AG15166" s="3"/>
      <c r="AH15166" s="3"/>
    </row>
    <row r="15167" spans="1:34" ht="14.25" customHeight="1" x14ac:dyDescent="0.25">
      <c r="A15167" s="3"/>
      <c r="B15167" s="3"/>
      <c r="C15167" s="3"/>
      <c r="D15167" s="3"/>
      <c r="E15167" s="3"/>
      <c r="F15167" s="3"/>
      <c r="G15167" s="3"/>
      <c r="H15167" s="11"/>
      <c r="I15167" s="12"/>
      <c r="J15167" s="3"/>
      <c r="K15167" s="3"/>
      <c r="L15167" s="3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  <c r="AA15167" s="3"/>
      <c r="AB15167" s="3"/>
      <c r="AC15167" s="3"/>
      <c r="AD15167" s="3"/>
      <c r="AE15167" s="3"/>
      <c r="AF15167" s="3"/>
      <c r="AG15167" s="3"/>
      <c r="AH15167" s="3"/>
    </row>
    <row r="15168" spans="1:34" ht="14.25" customHeight="1" x14ac:dyDescent="0.25">
      <c r="A15168" s="3"/>
      <c r="B15168" s="3"/>
      <c r="C15168" s="3"/>
      <c r="D15168" s="3"/>
      <c r="E15168" s="3"/>
      <c r="F15168" s="3"/>
      <c r="G15168" s="3"/>
      <c r="H15168" s="11"/>
      <c r="I15168" s="12"/>
      <c r="J15168" s="3"/>
      <c r="K15168" s="3"/>
      <c r="L15168" s="3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  <c r="AA15168" s="3"/>
      <c r="AB15168" s="3"/>
      <c r="AC15168" s="3"/>
      <c r="AD15168" s="3"/>
      <c r="AE15168" s="3"/>
      <c r="AF15168" s="3"/>
      <c r="AG15168" s="3"/>
      <c r="AH15168" s="3"/>
    </row>
    <row r="15169" spans="1:34" ht="14.25" customHeight="1" x14ac:dyDescent="0.25">
      <c r="A15169" s="3"/>
      <c r="B15169" s="3"/>
      <c r="C15169" s="3"/>
      <c r="D15169" s="3"/>
      <c r="E15169" s="3"/>
      <c r="F15169" s="3"/>
      <c r="G15169" s="3"/>
      <c r="H15169" s="11"/>
      <c r="I15169" s="12"/>
      <c r="J15169" s="3"/>
      <c r="K15169" s="3"/>
      <c r="L15169" s="3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  <c r="AA15169" s="3"/>
      <c r="AB15169" s="3"/>
      <c r="AC15169" s="3"/>
      <c r="AD15169" s="3"/>
      <c r="AE15169" s="3"/>
      <c r="AF15169" s="3"/>
      <c r="AG15169" s="3"/>
      <c r="AH15169" s="3"/>
    </row>
    <row r="15170" spans="1:34" ht="14.25" customHeight="1" x14ac:dyDescent="0.25">
      <c r="A15170" s="3"/>
      <c r="B15170" s="3"/>
      <c r="C15170" s="3"/>
      <c r="D15170" s="3"/>
      <c r="E15170" s="3"/>
      <c r="F15170" s="3"/>
      <c r="G15170" s="3"/>
      <c r="H15170" s="11"/>
      <c r="I15170" s="12"/>
      <c r="J15170" s="3"/>
      <c r="K15170" s="3"/>
      <c r="L15170" s="3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  <c r="AA15170" s="3"/>
      <c r="AB15170" s="3"/>
      <c r="AC15170" s="3"/>
      <c r="AD15170" s="3"/>
      <c r="AE15170" s="3"/>
      <c r="AF15170" s="3"/>
      <c r="AG15170" s="3"/>
      <c r="AH15170" s="3"/>
    </row>
    <row r="15171" spans="1:34" ht="14.25" customHeight="1" x14ac:dyDescent="0.25">
      <c r="A15171" s="3"/>
      <c r="B15171" s="3"/>
      <c r="C15171" s="3"/>
      <c r="D15171" s="3"/>
      <c r="E15171" s="3"/>
      <c r="F15171" s="3"/>
      <c r="G15171" s="3"/>
      <c r="H15171" s="11"/>
      <c r="I15171" s="12"/>
      <c r="J15171" s="3"/>
      <c r="K15171" s="3"/>
      <c r="L15171" s="3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  <c r="AA15171" s="3"/>
      <c r="AB15171" s="3"/>
      <c r="AC15171" s="3"/>
      <c r="AD15171" s="3"/>
      <c r="AE15171" s="3"/>
      <c r="AF15171" s="3"/>
      <c r="AG15171" s="3"/>
      <c r="AH15171" s="3"/>
    </row>
    <row r="15172" spans="1:34" ht="14.25" customHeight="1" x14ac:dyDescent="0.25">
      <c r="A15172" s="3"/>
      <c r="B15172" s="3"/>
      <c r="C15172" s="3"/>
      <c r="D15172" s="3"/>
      <c r="E15172" s="3"/>
      <c r="F15172" s="3"/>
      <c r="G15172" s="3"/>
      <c r="H15172" s="11"/>
      <c r="I15172" s="12"/>
      <c r="J15172" s="3"/>
      <c r="K15172" s="3"/>
      <c r="L15172" s="3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  <c r="AA15172" s="3"/>
      <c r="AB15172" s="3"/>
      <c r="AC15172" s="3"/>
      <c r="AD15172" s="3"/>
      <c r="AE15172" s="3"/>
      <c r="AF15172" s="3"/>
      <c r="AG15172" s="3"/>
      <c r="AH15172" s="3"/>
    </row>
    <row r="15173" spans="1:34" ht="14.25" customHeight="1" x14ac:dyDescent="0.25">
      <c r="A15173" s="3"/>
      <c r="B15173" s="3"/>
      <c r="C15173" s="3"/>
      <c r="D15173" s="3"/>
      <c r="E15173" s="3"/>
      <c r="F15173" s="3"/>
      <c r="G15173" s="3"/>
      <c r="H15173" s="11"/>
      <c r="I15173" s="12"/>
      <c r="J15173" s="3"/>
      <c r="K15173" s="3"/>
      <c r="L15173" s="3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  <c r="AA15173" s="3"/>
      <c r="AB15173" s="3"/>
      <c r="AC15173" s="3"/>
      <c r="AD15173" s="3"/>
      <c r="AE15173" s="3"/>
      <c r="AF15173" s="3"/>
      <c r="AG15173" s="3"/>
      <c r="AH15173" s="3"/>
    </row>
    <row r="15174" spans="1:34" ht="14.25" customHeight="1" x14ac:dyDescent="0.25">
      <c r="A15174" s="3"/>
      <c r="B15174" s="3"/>
      <c r="C15174" s="3"/>
      <c r="D15174" s="3"/>
      <c r="E15174" s="3"/>
      <c r="F15174" s="3"/>
      <c r="G15174" s="3"/>
      <c r="H15174" s="11"/>
      <c r="I15174" s="12"/>
      <c r="J15174" s="3"/>
      <c r="K15174" s="3"/>
      <c r="L15174" s="3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  <c r="AA15174" s="3"/>
      <c r="AB15174" s="3"/>
      <c r="AC15174" s="3"/>
      <c r="AD15174" s="3"/>
      <c r="AE15174" s="3"/>
      <c r="AF15174" s="3"/>
      <c r="AG15174" s="3"/>
      <c r="AH15174" s="3"/>
    </row>
    <row r="15175" spans="1:34" ht="14.25" customHeight="1" x14ac:dyDescent="0.25">
      <c r="A15175" s="3"/>
      <c r="B15175" s="3"/>
      <c r="C15175" s="3"/>
      <c r="D15175" s="3"/>
      <c r="E15175" s="3"/>
      <c r="F15175" s="3"/>
      <c r="G15175" s="3"/>
      <c r="H15175" s="11"/>
      <c r="I15175" s="12"/>
      <c r="J15175" s="3"/>
      <c r="K15175" s="3"/>
      <c r="L15175" s="3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  <c r="AA15175" s="3"/>
      <c r="AB15175" s="3"/>
      <c r="AC15175" s="3"/>
      <c r="AD15175" s="3"/>
      <c r="AE15175" s="3"/>
      <c r="AF15175" s="3"/>
      <c r="AG15175" s="3"/>
      <c r="AH15175" s="3"/>
    </row>
    <row r="15176" spans="1:34" ht="14.25" customHeight="1" x14ac:dyDescent="0.25">
      <c r="A15176" s="3"/>
      <c r="B15176" s="3"/>
      <c r="C15176" s="3"/>
      <c r="D15176" s="3"/>
      <c r="E15176" s="3"/>
      <c r="F15176" s="3"/>
      <c r="G15176" s="3"/>
      <c r="H15176" s="11"/>
      <c r="I15176" s="12"/>
      <c r="J15176" s="3"/>
      <c r="K15176" s="3"/>
      <c r="L15176" s="3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  <c r="AA15176" s="3"/>
      <c r="AB15176" s="3"/>
      <c r="AC15176" s="3"/>
      <c r="AD15176" s="3"/>
      <c r="AE15176" s="3"/>
      <c r="AF15176" s="3"/>
      <c r="AG15176" s="3"/>
      <c r="AH15176" s="3"/>
    </row>
    <row r="15177" spans="1:34" ht="14.25" customHeight="1" x14ac:dyDescent="0.25">
      <c r="A15177" s="3"/>
      <c r="B15177" s="3"/>
      <c r="C15177" s="3"/>
      <c r="D15177" s="3"/>
      <c r="E15177" s="3"/>
      <c r="F15177" s="3"/>
      <c r="G15177" s="3"/>
      <c r="H15177" s="11"/>
      <c r="I15177" s="12"/>
      <c r="J15177" s="3"/>
      <c r="K15177" s="3"/>
      <c r="L15177" s="3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  <c r="AA15177" s="3"/>
      <c r="AB15177" s="3"/>
      <c r="AC15177" s="3"/>
      <c r="AD15177" s="3"/>
      <c r="AE15177" s="3"/>
      <c r="AF15177" s="3"/>
      <c r="AG15177" s="3"/>
      <c r="AH15177" s="3"/>
    </row>
    <row r="15178" spans="1:34" ht="14.25" customHeight="1" x14ac:dyDescent="0.25">
      <c r="A15178" s="3"/>
      <c r="B15178" s="3"/>
      <c r="C15178" s="3"/>
      <c r="D15178" s="3"/>
      <c r="E15178" s="3"/>
      <c r="F15178" s="3"/>
      <c r="G15178" s="3"/>
      <c r="H15178" s="11"/>
      <c r="I15178" s="12"/>
      <c r="J15178" s="3"/>
      <c r="K15178" s="3"/>
      <c r="L15178" s="3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  <c r="AA15178" s="3"/>
      <c r="AB15178" s="3"/>
      <c r="AC15178" s="3"/>
      <c r="AD15178" s="3"/>
      <c r="AE15178" s="3"/>
      <c r="AF15178" s="3"/>
      <c r="AG15178" s="3"/>
      <c r="AH15178" s="3"/>
    </row>
    <row r="15179" spans="1:34" ht="14.25" customHeight="1" x14ac:dyDescent="0.25">
      <c r="A15179" s="3"/>
      <c r="B15179" s="3"/>
      <c r="C15179" s="3"/>
      <c r="D15179" s="3"/>
      <c r="E15179" s="3"/>
      <c r="F15179" s="3"/>
      <c r="G15179" s="3"/>
      <c r="H15179" s="11"/>
      <c r="I15179" s="12"/>
      <c r="J15179" s="3"/>
      <c r="K15179" s="3"/>
      <c r="L15179" s="3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  <c r="AA15179" s="3"/>
      <c r="AB15179" s="3"/>
      <c r="AC15179" s="3"/>
      <c r="AD15179" s="3"/>
      <c r="AE15179" s="3"/>
      <c r="AF15179" s="3"/>
      <c r="AG15179" s="3"/>
      <c r="AH15179" s="3"/>
    </row>
    <row r="15180" spans="1:34" ht="14.25" customHeight="1" x14ac:dyDescent="0.25">
      <c r="A15180" s="3"/>
      <c r="B15180" s="3"/>
      <c r="C15180" s="3"/>
      <c r="D15180" s="3"/>
      <c r="E15180" s="3"/>
      <c r="F15180" s="3"/>
      <c r="G15180" s="3"/>
      <c r="H15180" s="11"/>
      <c r="I15180" s="12"/>
      <c r="J15180" s="3"/>
      <c r="K15180" s="3"/>
      <c r="L15180" s="3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  <c r="AA15180" s="3"/>
      <c r="AB15180" s="3"/>
      <c r="AC15180" s="3"/>
      <c r="AD15180" s="3"/>
      <c r="AE15180" s="3"/>
      <c r="AF15180" s="3"/>
      <c r="AG15180" s="3"/>
      <c r="AH15180" s="3"/>
    </row>
    <row r="15181" spans="1:34" ht="14.25" customHeight="1" x14ac:dyDescent="0.25">
      <c r="A15181" s="3"/>
      <c r="B15181" s="3"/>
      <c r="C15181" s="3"/>
      <c r="D15181" s="3"/>
      <c r="E15181" s="3"/>
      <c r="F15181" s="3"/>
      <c r="G15181" s="3"/>
      <c r="H15181" s="11"/>
      <c r="I15181" s="12"/>
      <c r="J15181" s="3"/>
      <c r="K15181" s="3"/>
      <c r="L15181" s="3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  <c r="AA15181" s="3"/>
      <c r="AB15181" s="3"/>
      <c r="AC15181" s="3"/>
      <c r="AD15181" s="3"/>
      <c r="AE15181" s="3"/>
      <c r="AF15181" s="3"/>
      <c r="AG15181" s="3"/>
      <c r="AH15181" s="3"/>
    </row>
    <row r="15182" spans="1:34" ht="14.25" customHeight="1" x14ac:dyDescent="0.25">
      <c r="A15182" s="3"/>
      <c r="B15182" s="3"/>
      <c r="C15182" s="3"/>
      <c r="D15182" s="3"/>
      <c r="E15182" s="3"/>
      <c r="F15182" s="3"/>
      <c r="G15182" s="3"/>
      <c r="H15182" s="11"/>
      <c r="I15182" s="12"/>
      <c r="J15182" s="3"/>
      <c r="K15182" s="3"/>
      <c r="L15182" s="3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  <c r="AA15182" s="3"/>
      <c r="AB15182" s="3"/>
      <c r="AC15182" s="3"/>
      <c r="AD15182" s="3"/>
      <c r="AE15182" s="3"/>
      <c r="AF15182" s="3"/>
      <c r="AG15182" s="3"/>
      <c r="AH15182" s="3"/>
    </row>
    <row r="15183" spans="1:34" ht="14.25" customHeight="1" x14ac:dyDescent="0.25">
      <c r="A15183" s="3"/>
      <c r="B15183" s="3"/>
      <c r="C15183" s="3"/>
      <c r="D15183" s="3"/>
      <c r="E15183" s="3"/>
      <c r="F15183" s="3"/>
      <c r="G15183" s="3"/>
      <c r="H15183" s="11"/>
      <c r="I15183" s="12"/>
      <c r="J15183" s="3"/>
      <c r="K15183" s="3"/>
      <c r="L15183" s="3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  <c r="AA15183" s="3"/>
      <c r="AB15183" s="3"/>
      <c r="AC15183" s="3"/>
      <c r="AD15183" s="3"/>
      <c r="AE15183" s="3"/>
      <c r="AF15183" s="3"/>
      <c r="AG15183" s="3"/>
      <c r="AH15183" s="3"/>
    </row>
    <row r="15184" spans="1:34" ht="14.25" customHeight="1" x14ac:dyDescent="0.25">
      <c r="A15184" s="3"/>
      <c r="B15184" s="3"/>
      <c r="C15184" s="3"/>
      <c r="D15184" s="3"/>
      <c r="E15184" s="3"/>
      <c r="F15184" s="3"/>
      <c r="G15184" s="3"/>
      <c r="H15184" s="11"/>
      <c r="I15184" s="12"/>
      <c r="J15184" s="3"/>
      <c r="K15184" s="3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  <c r="AA15184" s="3"/>
      <c r="AB15184" s="3"/>
      <c r="AC15184" s="3"/>
      <c r="AD15184" s="3"/>
      <c r="AE15184" s="3"/>
      <c r="AF15184" s="3"/>
      <c r="AG15184" s="3"/>
      <c r="AH15184" s="3"/>
    </row>
    <row r="15185" spans="1:34" ht="14.25" customHeight="1" x14ac:dyDescent="0.25">
      <c r="A15185" s="3"/>
      <c r="B15185" s="3"/>
      <c r="C15185" s="3"/>
      <c r="D15185" s="3"/>
      <c r="E15185" s="3"/>
      <c r="F15185" s="3"/>
      <c r="G15185" s="3"/>
      <c r="H15185" s="11"/>
      <c r="I15185" s="12"/>
      <c r="J15185" s="3"/>
      <c r="K15185" s="3"/>
      <c r="L15185" s="3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  <c r="AA15185" s="3"/>
      <c r="AB15185" s="3"/>
      <c r="AC15185" s="3"/>
      <c r="AD15185" s="3"/>
      <c r="AE15185" s="3"/>
      <c r="AF15185" s="3"/>
      <c r="AG15185" s="3"/>
      <c r="AH15185" s="3"/>
    </row>
    <row r="15186" spans="1:34" ht="14.25" customHeight="1" x14ac:dyDescent="0.25">
      <c r="A15186" s="3"/>
      <c r="B15186" s="3"/>
      <c r="C15186" s="3"/>
      <c r="D15186" s="3"/>
      <c r="E15186" s="3"/>
      <c r="F15186" s="3"/>
      <c r="G15186" s="3"/>
      <c r="H15186" s="11"/>
      <c r="I15186" s="12"/>
      <c r="J15186" s="3"/>
      <c r="K15186" s="3"/>
      <c r="L15186" s="3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  <c r="AA15186" s="3"/>
      <c r="AB15186" s="3"/>
      <c r="AC15186" s="3"/>
      <c r="AD15186" s="3"/>
      <c r="AE15186" s="3"/>
      <c r="AF15186" s="3"/>
      <c r="AG15186" s="3"/>
      <c r="AH15186" s="3"/>
    </row>
    <row r="15187" spans="1:34" ht="14.25" customHeight="1" x14ac:dyDescent="0.25">
      <c r="A15187" s="3"/>
      <c r="B15187" s="3"/>
      <c r="C15187" s="3"/>
      <c r="D15187" s="3"/>
      <c r="E15187" s="3"/>
      <c r="F15187" s="3"/>
      <c r="G15187" s="3"/>
      <c r="H15187" s="11"/>
      <c r="I15187" s="12"/>
      <c r="J15187" s="3"/>
      <c r="K15187" s="3"/>
      <c r="L15187" s="3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  <c r="AA15187" s="3"/>
      <c r="AB15187" s="3"/>
      <c r="AC15187" s="3"/>
      <c r="AD15187" s="3"/>
      <c r="AE15187" s="3"/>
      <c r="AF15187" s="3"/>
      <c r="AG15187" s="3"/>
      <c r="AH15187" s="3"/>
    </row>
    <row r="15188" spans="1:34" ht="14.25" customHeight="1" x14ac:dyDescent="0.25">
      <c r="A15188" s="3"/>
      <c r="B15188" s="3"/>
      <c r="C15188" s="3"/>
      <c r="D15188" s="3"/>
      <c r="E15188" s="3"/>
      <c r="F15188" s="3"/>
      <c r="G15188" s="3"/>
      <c r="H15188" s="11"/>
      <c r="I15188" s="12"/>
      <c r="J15188" s="3"/>
      <c r="K15188" s="3"/>
      <c r="L15188" s="3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  <c r="AA15188" s="3"/>
      <c r="AB15188" s="3"/>
      <c r="AC15188" s="3"/>
      <c r="AD15188" s="3"/>
      <c r="AE15188" s="3"/>
      <c r="AF15188" s="3"/>
      <c r="AG15188" s="3"/>
      <c r="AH15188" s="3"/>
    </row>
    <row r="15189" spans="1:34" ht="14.25" customHeight="1" x14ac:dyDescent="0.25">
      <c r="A15189" s="3"/>
      <c r="B15189" s="3"/>
      <c r="C15189" s="3"/>
      <c r="D15189" s="3"/>
      <c r="E15189" s="3"/>
      <c r="F15189" s="3"/>
      <c r="G15189" s="3"/>
      <c r="H15189" s="11"/>
      <c r="I15189" s="12"/>
      <c r="J15189" s="3"/>
      <c r="K15189" s="3"/>
      <c r="L15189" s="3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  <c r="AA15189" s="3"/>
      <c r="AB15189" s="3"/>
      <c r="AC15189" s="3"/>
      <c r="AD15189" s="3"/>
      <c r="AE15189" s="3"/>
      <c r="AF15189" s="3"/>
      <c r="AG15189" s="3"/>
      <c r="AH15189" s="3"/>
    </row>
    <row r="15190" spans="1:34" ht="14.25" customHeight="1" x14ac:dyDescent="0.25">
      <c r="A15190" s="3"/>
      <c r="B15190" s="3"/>
      <c r="C15190" s="3"/>
      <c r="D15190" s="3"/>
      <c r="E15190" s="3"/>
      <c r="F15190" s="3"/>
      <c r="G15190" s="3"/>
      <c r="H15190" s="11"/>
      <c r="I15190" s="12"/>
      <c r="J15190" s="3"/>
      <c r="K15190" s="3"/>
      <c r="L15190" s="3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  <c r="AA15190" s="3"/>
      <c r="AB15190" s="3"/>
      <c r="AC15190" s="3"/>
      <c r="AD15190" s="3"/>
      <c r="AE15190" s="3"/>
      <c r="AF15190" s="3"/>
      <c r="AG15190" s="3"/>
      <c r="AH15190" s="3"/>
    </row>
    <row r="15191" spans="1:34" ht="14.25" customHeight="1" x14ac:dyDescent="0.25">
      <c r="A15191" s="3"/>
      <c r="B15191" s="3"/>
      <c r="C15191" s="3"/>
      <c r="D15191" s="3"/>
      <c r="E15191" s="3"/>
      <c r="F15191" s="3"/>
      <c r="G15191" s="3"/>
      <c r="H15191" s="11"/>
      <c r="I15191" s="12"/>
      <c r="J15191" s="3"/>
      <c r="K15191" s="3"/>
      <c r="L15191" s="3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  <c r="AA15191" s="3"/>
      <c r="AB15191" s="3"/>
      <c r="AC15191" s="3"/>
      <c r="AD15191" s="3"/>
      <c r="AE15191" s="3"/>
      <c r="AF15191" s="3"/>
      <c r="AG15191" s="3"/>
      <c r="AH15191" s="3"/>
    </row>
    <row r="15192" spans="1:34" ht="14.25" customHeight="1" x14ac:dyDescent="0.25">
      <c r="A15192" s="3"/>
      <c r="B15192" s="3"/>
      <c r="C15192" s="3"/>
      <c r="D15192" s="3"/>
      <c r="E15192" s="3"/>
      <c r="F15192" s="3"/>
      <c r="G15192" s="3"/>
      <c r="H15192" s="11"/>
      <c r="I15192" s="12"/>
      <c r="J15192" s="3"/>
      <c r="K15192" s="3"/>
      <c r="L15192" s="3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  <c r="AA15192" s="3"/>
      <c r="AB15192" s="3"/>
      <c r="AC15192" s="3"/>
      <c r="AD15192" s="3"/>
      <c r="AE15192" s="3"/>
      <c r="AF15192" s="3"/>
      <c r="AG15192" s="3"/>
      <c r="AH15192" s="3"/>
    </row>
    <row r="15193" spans="1:34" ht="14.25" customHeight="1" x14ac:dyDescent="0.25">
      <c r="A15193" s="3"/>
      <c r="B15193" s="3"/>
      <c r="C15193" s="3"/>
      <c r="D15193" s="3"/>
      <c r="E15193" s="3"/>
      <c r="F15193" s="3"/>
      <c r="G15193" s="3"/>
      <c r="H15193" s="11"/>
      <c r="I15193" s="12"/>
      <c r="J15193" s="3"/>
      <c r="K15193" s="3"/>
      <c r="L15193" s="3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  <c r="AA15193" s="3"/>
      <c r="AB15193" s="3"/>
      <c r="AC15193" s="3"/>
      <c r="AD15193" s="3"/>
      <c r="AE15193" s="3"/>
      <c r="AF15193" s="3"/>
      <c r="AG15193" s="3"/>
      <c r="AH15193" s="3"/>
    </row>
    <row r="15194" spans="1:34" ht="14.25" customHeight="1" x14ac:dyDescent="0.25">
      <c r="A15194" s="3"/>
      <c r="B15194" s="3"/>
      <c r="C15194" s="3"/>
      <c r="D15194" s="3"/>
      <c r="E15194" s="3"/>
      <c r="F15194" s="3"/>
      <c r="G15194" s="3"/>
      <c r="H15194" s="11"/>
      <c r="I15194" s="12"/>
      <c r="J15194" s="3"/>
      <c r="K15194" s="3"/>
      <c r="L15194" s="3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  <c r="AA15194" s="3"/>
      <c r="AB15194" s="3"/>
      <c r="AC15194" s="3"/>
      <c r="AD15194" s="3"/>
      <c r="AE15194" s="3"/>
      <c r="AF15194" s="3"/>
      <c r="AG15194" s="3"/>
      <c r="AH15194" s="3"/>
    </row>
    <row r="15195" spans="1:34" ht="14.25" customHeight="1" x14ac:dyDescent="0.25">
      <c r="A15195" s="3"/>
      <c r="B15195" s="3"/>
      <c r="C15195" s="3"/>
      <c r="D15195" s="3"/>
      <c r="E15195" s="3"/>
      <c r="F15195" s="3"/>
      <c r="G15195" s="3"/>
      <c r="H15195" s="11"/>
      <c r="I15195" s="12"/>
      <c r="J15195" s="3"/>
      <c r="K15195" s="3"/>
      <c r="L15195" s="3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  <c r="AA15195" s="3"/>
      <c r="AB15195" s="3"/>
      <c r="AC15195" s="3"/>
      <c r="AD15195" s="3"/>
      <c r="AE15195" s="3"/>
      <c r="AF15195" s="3"/>
      <c r="AG15195" s="3"/>
      <c r="AH15195" s="3"/>
    </row>
    <row r="15196" spans="1:34" ht="14.25" customHeight="1" x14ac:dyDescent="0.25">
      <c r="A15196" s="3"/>
      <c r="B15196" s="3"/>
      <c r="C15196" s="3"/>
      <c r="D15196" s="3"/>
      <c r="E15196" s="3"/>
      <c r="F15196" s="3"/>
      <c r="G15196" s="3"/>
      <c r="H15196" s="11"/>
      <c r="I15196" s="12"/>
      <c r="J15196" s="3"/>
      <c r="K15196" s="3"/>
      <c r="L15196" s="3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  <c r="AA15196" s="3"/>
      <c r="AB15196" s="3"/>
      <c r="AC15196" s="3"/>
      <c r="AD15196" s="3"/>
      <c r="AE15196" s="3"/>
      <c r="AF15196" s="3"/>
      <c r="AG15196" s="3"/>
      <c r="AH15196" s="3"/>
    </row>
    <row r="15197" spans="1:34" ht="14.25" customHeight="1" x14ac:dyDescent="0.25">
      <c r="A15197" s="3"/>
      <c r="B15197" s="3"/>
      <c r="C15197" s="3"/>
      <c r="D15197" s="3"/>
      <c r="E15197" s="3"/>
      <c r="F15197" s="3"/>
      <c r="G15197" s="3"/>
      <c r="H15197" s="11"/>
      <c r="I15197" s="12"/>
      <c r="J15197" s="3"/>
      <c r="K15197" s="3"/>
      <c r="L15197" s="3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  <c r="AA15197" s="3"/>
      <c r="AB15197" s="3"/>
      <c r="AC15197" s="3"/>
      <c r="AD15197" s="3"/>
      <c r="AE15197" s="3"/>
      <c r="AF15197" s="3"/>
      <c r="AG15197" s="3"/>
      <c r="AH15197" s="3"/>
    </row>
    <row r="15198" spans="1:34" ht="14.25" customHeight="1" x14ac:dyDescent="0.25">
      <c r="A15198" s="3"/>
      <c r="B15198" s="3"/>
      <c r="C15198" s="3"/>
      <c r="D15198" s="3"/>
      <c r="E15198" s="3"/>
      <c r="F15198" s="3"/>
      <c r="G15198" s="3"/>
      <c r="H15198" s="11"/>
      <c r="I15198" s="12"/>
      <c r="J15198" s="3"/>
      <c r="K15198" s="3"/>
      <c r="L15198" s="3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  <c r="AA15198" s="3"/>
      <c r="AB15198" s="3"/>
      <c r="AC15198" s="3"/>
      <c r="AD15198" s="3"/>
      <c r="AE15198" s="3"/>
      <c r="AF15198" s="3"/>
      <c r="AG15198" s="3"/>
      <c r="AH15198" s="3"/>
    </row>
    <row r="15199" spans="1:34" ht="14.25" customHeight="1" x14ac:dyDescent="0.25">
      <c r="A15199" s="3"/>
      <c r="B15199" s="3"/>
      <c r="C15199" s="3"/>
      <c r="D15199" s="3"/>
      <c r="E15199" s="3"/>
      <c r="F15199" s="3"/>
      <c r="G15199" s="3"/>
      <c r="H15199" s="11"/>
      <c r="I15199" s="12"/>
      <c r="J15199" s="3"/>
      <c r="K15199" s="3"/>
      <c r="L15199" s="3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  <c r="AA15199" s="3"/>
      <c r="AB15199" s="3"/>
      <c r="AC15199" s="3"/>
      <c r="AD15199" s="3"/>
      <c r="AE15199" s="3"/>
      <c r="AF15199" s="3"/>
      <c r="AG15199" s="3"/>
      <c r="AH15199" s="3"/>
    </row>
    <row r="15200" spans="1:34" ht="14.25" customHeight="1" x14ac:dyDescent="0.25">
      <c r="A15200" s="3"/>
      <c r="B15200" s="3"/>
      <c r="C15200" s="3"/>
      <c r="D15200" s="3"/>
      <c r="E15200" s="3"/>
      <c r="F15200" s="3"/>
      <c r="G15200" s="3"/>
      <c r="H15200" s="11"/>
      <c r="I15200" s="12"/>
      <c r="J15200" s="3"/>
      <c r="K15200" s="3"/>
      <c r="L15200" s="3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  <c r="AA15200" s="3"/>
      <c r="AB15200" s="3"/>
      <c r="AC15200" s="3"/>
      <c r="AD15200" s="3"/>
      <c r="AE15200" s="3"/>
      <c r="AF15200" s="3"/>
      <c r="AG15200" s="3"/>
      <c r="AH15200" s="3"/>
    </row>
    <row r="15201" spans="1:34" ht="14.25" customHeight="1" x14ac:dyDescent="0.25">
      <c r="A15201" s="3"/>
      <c r="B15201" s="3"/>
      <c r="C15201" s="3"/>
      <c r="D15201" s="3"/>
      <c r="E15201" s="3"/>
      <c r="F15201" s="3"/>
      <c r="G15201" s="3"/>
      <c r="H15201" s="11"/>
      <c r="I15201" s="12"/>
      <c r="J15201" s="3"/>
      <c r="K15201" s="3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  <c r="AA15201" s="3"/>
      <c r="AB15201" s="3"/>
      <c r="AC15201" s="3"/>
      <c r="AD15201" s="3"/>
      <c r="AE15201" s="3"/>
      <c r="AF15201" s="3"/>
      <c r="AG15201" s="3"/>
      <c r="AH15201" s="3"/>
    </row>
    <row r="15202" spans="1:34" ht="14.25" customHeight="1" x14ac:dyDescent="0.25">
      <c r="A15202" s="3"/>
      <c r="B15202" s="3"/>
      <c r="C15202" s="3"/>
      <c r="D15202" s="3"/>
      <c r="E15202" s="3"/>
      <c r="F15202" s="3"/>
      <c r="G15202" s="3"/>
      <c r="H15202" s="11"/>
      <c r="I15202" s="12"/>
      <c r="J15202" s="3"/>
      <c r="K15202" s="3"/>
      <c r="L15202" s="3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  <c r="AA15202" s="3"/>
      <c r="AB15202" s="3"/>
      <c r="AC15202" s="3"/>
      <c r="AD15202" s="3"/>
      <c r="AE15202" s="3"/>
      <c r="AF15202" s="3"/>
      <c r="AG15202" s="3"/>
      <c r="AH15202" s="3"/>
    </row>
    <row r="15203" spans="1:34" ht="14.25" customHeight="1" x14ac:dyDescent="0.25">
      <c r="A15203" s="3"/>
      <c r="B15203" s="3"/>
      <c r="C15203" s="3"/>
      <c r="D15203" s="3"/>
      <c r="E15203" s="3"/>
      <c r="F15203" s="3"/>
      <c r="G15203" s="3"/>
      <c r="H15203" s="11"/>
      <c r="I15203" s="12"/>
      <c r="J15203" s="3"/>
      <c r="K15203" s="3"/>
      <c r="L15203" s="3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  <c r="AA15203" s="3"/>
      <c r="AB15203" s="3"/>
      <c r="AC15203" s="3"/>
      <c r="AD15203" s="3"/>
      <c r="AE15203" s="3"/>
      <c r="AF15203" s="3"/>
      <c r="AG15203" s="3"/>
      <c r="AH15203" s="3"/>
    </row>
    <row r="15204" spans="1:34" ht="14.25" customHeight="1" x14ac:dyDescent="0.25">
      <c r="A15204" s="3"/>
      <c r="B15204" s="3"/>
      <c r="C15204" s="3"/>
      <c r="D15204" s="3"/>
      <c r="E15204" s="3"/>
      <c r="F15204" s="3"/>
      <c r="G15204" s="3"/>
      <c r="H15204" s="11"/>
      <c r="I15204" s="12"/>
      <c r="J15204" s="3"/>
      <c r="K15204" s="3"/>
      <c r="L15204" s="3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  <c r="AA15204" s="3"/>
      <c r="AB15204" s="3"/>
      <c r="AC15204" s="3"/>
      <c r="AD15204" s="3"/>
      <c r="AE15204" s="3"/>
      <c r="AF15204" s="3"/>
      <c r="AG15204" s="3"/>
      <c r="AH15204" s="3"/>
    </row>
    <row r="15205" spans="1:34" ht="14.25" customHeight="1" x14ac:dyDescent="0.25">
      <c r="A15205" s="3"/>
      <c r="B15205" s="3"/>
      <c r="C15205" s="3"/>
      <c r="D15205" s="3"/>
      <c r="E15205" s="3"/>
      <c r="F15205" s="3"/>
      <c r="G15205" s="3"/>
      <c r="H15205" s="11"/>
      <c r="I15205" s="12"/>
      <c r="J15205" s="3"/>
      <c r="K15205" s="3"/>
      <c r="L15205" s="3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  <c r="AA15205" s="3"/>
      <c r="AB15205" s="3"/>
      <c r="AC15205" s="3"/>
      <c r="AD15205" s="3"/>
      <c r="AE15205" s="3"/>
      <c r="AF15205" s="3"/>
      <c r="AG15205" s="3"/>
      <c r="AH15205" s="3"/>
    </row>
    <row r="15206" spans="1:34" ht="14.25" customHeight="1" x14ac:dyDescent="0.25">
      <c r="A15206" s="3"/>
      <c r="B15206" s="3"/>
      <c r="C15206" s="3"/>
      <c r="D15206" s="3"/>
      <c r="E15206" s="3"/>
      <c r="F15206" s="3"/>
      <c r="G15206" s="3"/>
      <c r="H15206" s="11"/>
      <c r="I15206" s="12"/>
      <c r="J15206" s="3"/>
      <c r="K15206" s="3"/>
      <c r="L15206" s="3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  <c r="AA15206" s="3"/>
      <c r="AB15206" s="3"/>
      <c r="AC15206" s="3"/>
      <c r="AD15206" s="3"/>
      <c r="AE15206" s="3"/>
      <c r="AF15206" s="3"/>
      <c r="AG15206" s="3"/>
      <c r="AH15206" s="3"/>
    </row>
    <row r="15207" spans="1:34" ht="14.25" customHeight="1" x14ac:dyDescent="0.25">
      <c r="A15207" s="3"/>
      <c r="B15207" s="3"/>
      <c r="C15207" s="3"/>
      <c r="D15207" s="3"/>
      <c r="E15207" s="3"/>
      <c r="F15207" s="3"/>
      <c r="G15207" s="3"/>
      <c r="H15207" s="11"/>
      <c r="I15207" s="12"/>
      <c r="J15207" s="3"/>
      <c r="K15207" s="3"/>
      <c r="L15207" s="3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  <c r="AA15207" s="3"/>
      <c r="AB15207" s="3"/>
      <c r="AC15207" s="3"/>
      <c r="AD15207" s="3"/>
      <c r="AE15207" s="3"/>
      <c r="AF15207" s="3"/>
      <c r="AG15207" s="3"/>
      <c r="AH15207" s="3"/>
    </row>
    <row r="15208" spans="1:34" ht="14.25" customHeight="1" x14ac:dyDescent="0.25">
      <c r="A15208" s="3"/>
      <c r="B15208" s="3"/>
      <c r="C15208" s="3"/>
      <c r="D15208" s="3"/>
      <c r="E15208" s="3"/>
      <c r="F15208" s="3"/>
      <c r="G15208" s="3"/>
      <c r="H15208" s="11"/>
      <c r="I15208" s="12"/>
      <c r="J15208" s="3"/>
      <c r="K15208" s="3"/>
      <c r="L15208" s="3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  <c r="AA15208" s="3"/>
      <c r="AB15208" s="3"/>
      <c r="AC15208" s="3"/>
      <c r="AD15208" s="3"/>
      <c r="AE15208" s="3"/>
      <c r="AF15208" s="3"/>
      <c r="AG15208" s="3"/>
      <c r="AH15208" s="3"/>
    </row>
    <row r="15209" spans="1:34" ht="14.25" customHeight="1" x14ac:dyDescent="0.25">
      <c r="A15209" s="3"/>
      <c r="B15209" s="3"/>
      <c r="C15209" s="3"/>
      <c r="D15209" s="3"/>
      <c r="E15209" s="3"/>
      <c r="F15209" s="3"/>
      <c r="G15209" s="3"/>
      <c r="H15209" s="11"/>
      <c r="I15209" s="12"/>
      <c r="J15209" s="3"/>
      <c r="K15209" s="3"/>
      <c r="L15209" s="3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  <c r="AA15209" s="3"/>
      <c r="AB15209" s="3"/>
      <c r="AC15209" s="3"/>
      <c r="AD15209" s="3"/>
      <c r="AE15209" s="3"/>
      <c r="AF15209" s="3"/>
      <c r="AG15209" s="3"/>
      <c r="AH15209" s="3"/>
    </row>
    <row r="15210" spans="1:34" ht="14.25" customHeight="1" x14ac:dyDescent="0.25">
      <c r="A15210" s="3"/>
      <c r="B15210" s="3"/>
      <c r="C15210" s="3"/>
      <c r="D15210" s="3"/>
      <c r="E15210" s="3"/>
      <c r="F15210" s="3"/>
      <c r="G15210" s="3"/>
      <c r="H15210" s="11"/>
      <c r="I15210" s="12"/>
      <c r="J15210" s="3"/>
      <c r="K15210" s="3"/>
      <c r="L15210" s="3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  <c r="AA15210" s="3"/>
      <c r="AB15210" s="3"/>
      <c r="AC15210" s="3"/>
      <c r="AD15210" s="3"/>
      <c r="AE15210" s="3"/>
      <c r="AF15210" s="3"/>
      <c r="AG15210" s="3"/>
      <c r="AH15210" s="3"/>
    </row>
    <row r="15211" spans="1:34" ht="14.25" customHeight="1" x14ac:dyDescent="0.25">
      <c r="A15211" s="3"/>
      <c r="B15211" s="3"/>
      <c r="C15211" s="3"/>
      <c r="D15211" s="3"/>
      <c r="E15211" s="3"/>
      <c r="F15211" s="3"/>
      <c r="G15211" s="3"/>
      <c r="H15211" s="11"/>
      <c r="I15211" s="12"/>
      <c r="J15211" s="3"/>
      <c r="K15211" s="3"/>
      <c r="L15211" s="3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  <c r="AA15211" s="3"/>
      <c r="AB15211" s="3"/>
      <c r="AC15211" s="3"/>
      <c r="AD15211" s="3"/>
      <c r="AE15211" s="3"/>
      <c r="AF15211" s="3"/>
      <c r="AG15211" s="3"/>
      <c r="AH15211" s="3"/>
    </row>
    <row r="15212" spans="1:34" ht="14.25" customHeight="1" x14ac:dyDescent="0.25">
      <c r="A15212" s="3"/>
      <c r="B15212" s="3"/>
      <c r="C15212" s="3"/>
      <c r="D15212" s="3"/>
      <c r="E15212" s="3"/>
      <c r="F15212" s="3"/>
      <c r="G15212" s="3"/>
      <c r="H15212" s="11"/>
      <c r="I15212" s="12"/>
      <c r="J15212" s="3"/>
      <c r="K15212" s="3"/>
      <c r="L15212" s="3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  <c r="AA15212" s="3"/>
      <c r="AB15212" s="3"/>
      <c r="AC15212" s="3"/>
      <c r="AD15212" s="3"/>
      <c r="AE15212" s="3"/>
      <c r="AF15212" s="3"/>
      <c r="AG15212" s="3"/>
      <c r="AH15212" s="3"/>
    </row>
    <row r="15213" spans="1:34" ht="14.25" customHeight="1" x14ac:dyDescent="0.25">
      <c r="A15213" s="3"/>
      <c r="B15213" s="3"/>
      <c r="C15213" s="3"/>
      <c r="D15213" s="3"/>
      <c r="E15213" s="3"/>
      <c r="F15213" s="3"/>
      <c r="G15213" s="3"/>
      <c r="H15213" s="11"/>
      <c r="I15213" s="12"/>
      <c r="J15213" s="3"/>
      <c r="K15213" s="3"/>
      <c r="L15213" s="3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  <c r="AA15213" s="3"/>
      <c r="AB15213" s="3"/>
      <c r="AC15213" s="3"/>
      <c r="AD15213" s="3"/>
      <c r="AE15213" s="3"/>
      <c r="AF15213" s="3"/>
      <c r="AG15213" s="3"/>
      <c r="AH15213" s="3"/>
    </row>
    <row r="15214" spans="1:34" ht="14.25" customHeight="1" x14ac:dyDescent="0.25">
      <c r="A15214" s="3"/>
      <c r="B15214" s="3"/>
      <c r="C15214" s="3"/>
      <c r="D15214" s="3"/>
      <c r="E15214" s="3"/>
      <c r="F15214" s="3"/>
      <c r="G15214" s="3"/>
      <c r="H15214" s="11"/>
      <c r="I15214" s="12"/>
      <c r="J15214" s="3"/>
      <c r="K15214" s="3"/>
      <c r="L15214" s="3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  <c r="AA15214" s="3"/>
      <c r="AB15214" s="3"/>
      <c r="AC15214" s="3"/>
      <c r="AD15214" s="3"/>
      <c r="AE15214" s="3"/>
      <c r="AF15214" s="3"/>
      <c r="AG15214" s="3"/>
      <c r="AH15214" s="3"/>
    </row>
    <row r="15215" spans="1:34" ht="14.25" customHeight="1" x14ac:dyDescent="0.25">
      <c r="A15215" s="3"/>
      <c r="B15215" s="3"/>
      <c r="C15215" s="3"/>
      <c r="D15215" s="3"/>
      <c r="E15215" s="3"/>
      <c r="F15215" s="3"/>
      <c r="G15215" s="3"/>
      <c r="H15215" s="11"/>
      <c r="I15215" s="12"/>
      <c r="J15215" s="3"/>
      <c r="K15215" s="3"/>
      <c r="L15215" s="3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  <c r="AA15215" s="3"/>
      <c r="AB15215" s="3"/>
      <c r="AC15215" s="3"/>
      <c r="AD15215" s="3"/>
      <c r="AE15215" s="3"/>
      <c r="AF15215" s="3"/>
      <c r="AG15215" s="3"/>
      <c r="AH15215" s="3"/>
    </row>
    <row r="15216" spans="1:34" ht="14.25" customHeight="1" x14ac:dyDescent="0.25">
      <c r="A15216" s="3"/>
      <c r="B15216" s="3"/>
      <c r="C15216" s="3"/>
      <c r="D15216" s="3"/>
      <c r="E15216" s="3"/>
      <c r="F15216" s="3"/>
      <c r="G15216" s="3"/>
      <c r="H15216" s="11"/>
      <c r="I15216" s="12"/>
      <c r="J15216" s="3"/>
      <c r="K15216" s="3"/>
      <c r="L15216" s="3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  <c r="AA15216" s="3"/>
      <c r="AB15216" s="3"/>
      <c r="AC15216" s="3"/>
      <c r="AD15216" s="3"/>
      <c r="AE15216" s="3"/>
      <c r="AF15216" s="3"/>
      <c r="AG15216" s="3"/>
      <c r="AH15216" s="3"/>
    </row>
    <row r="15217" spans="1:34" ht="14.25" customHeight="1" x14ac:dyDescent="0.25">
      <c r="A15217" s="3"/>
      <c r="B15217" s="3"/>
      <c r="C15217" s="3"/>
      <c r="D15217" s="3"/>
      <c r="E15217" s="3"/>
      <c r="F15217" s="3"/>
      <c r="G15217" s="3"/>
      <c r="H15217" s="11"/>
      <c r="I15217" s="12"/>
      <c r="J15217" s="3"/>
      <c r="K15217" s="3"/>
      <c r="L15217" s="3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  <c r="AA15217" s="3"/>
      <c r="AB15217" s="3"/>
      <c r="AC15217" s="3"/>
      <c r="AD15217" s="3"/>
      <c r="AE15217" s="3"/>
      <c r="AF15217" s="3"/>
      <c r="AG15217" s="3"/>
      <c r="AH15217" s="3"/>
    </row>
    <row r="15218" spans="1:34" ht="14.25" customHeight="1" x14ac:dyDescent="0.25">
      <c r="A15218" s="3"/>
      <c r="B15218" s="3"/>
      <c r="C15218" s="3"/>
      <c r="D15218" s="3"/>
      <c r="E15218" s="3"/>
      <c r="F15218" s="3"/>
      <c r="G15218" s="3"/>
      <c r="H15218" s="11"/>
      <c r="I15218" s="12"/>
      <c r="J15218" s="3"/>
      <c r="K15218" s="3"/>
      <c r="L15218" s="3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  <c r="AA15218" s="3"/>
      <c r="AB15218" s="3"/>
      <c r="AC15218" s="3"/>
      <c r="AD15218" s="3"/>
      <c r="AE15218" s="3"/>
      <c r="AF15218" s="3"/>
      <c r="AG15218" s="3"/>
      <c r="AH15218" s="3"/>
    </row>
    <row r="15219" spans="1:34" ht="14.25" customHeight="1" x14ac:dyDescent="0.25">
      <c r="A15219" s="3"/>
      <c r="B15219" s="3"/>
      <c r="C15219" s="3"/>
      <c r="D15219" s="3"/>
      <c r="E15219" s="3"/>
      <c r="F15219" s="3"/>
      <c r="G15219" s="3"/>
      <c r="H15219" s="11"/>
      <c r="I15219" s="12"/>
      <c r="J15219" s="3"/>
      <c r="K15219" s="3"/>
      <c r="L15219" s="3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  <c r="AA15219" s="3"/>
      <c r="AB15219" s="3"/>
      <c r="AC15219" s="3"/>
      <c r="AD15219" s="3"/>
      <c r="AE15219" s="3"/>
      <c r="AF15219" s="3"/>
      <c r="AG15219" s="3"/>
      <c r="AH15219" s="3"/>
    </row>
    <row r="15220" spans="1:34" ht="14.25" customHeight="1" x14ac:dyDescent="0.25">
      <c r="A15220" s="3"/>
      <c r="B15220" s="3"/>
      <c r="C15220" s="3"/>
      <c r="D15220" s="3"/>
      <c r="E15220" s="3"/>
      <c r="F15220" s="3"/>
      <c r="G15220" s="3"/>
      <c r="H15220" s="11"/>
      <c r="I15220" s="12"/>
      <c r="J15220" s="3"/>
      <c r="K15220" s="3"/>
      <c r="L15220" s="3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  <c r="AA15220" s="3"/>
      <c r="AB15220" s="3"/>
      <c r="AC15220" s="3"/>
      <c r="AD15220" s="3"/>
      <c r="AE15220" s="3"/>
      <c r="AF15220" s="3"/>
      <c r="AG15220" s="3"/>
      <c r="AH15220" s="3"/>
    </row>
    <row r="15221" spans="1:34" ht="14.25" customHeight="1" x14ac:dyDescent="0.25">
      <c r="A15221" s="3"/>
      <c r="B15221" s="3"/>
      <c r="C15221" s="3"/>
      <c r="D15221" s="3"/>
      <c r="E15221" s="3"/>
      <c r="F15221" s="3"/>
      <c r="G15221" s="3"/>
      <c r="H15221" s="11"/>
      <c r="I15221" s="12"/>
      <c r="J15221" s="3"/>
      <c r="K15221" s="3"/>
      <c r="L15221" s="3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  <c r="AA15221" s="3"/>
      <c r="AB15221" s="3"/>
      <c r="AC15221" s="3"/>
      <c r="AD15221" s="3"/>
      <c r="AE15221" s="3"/>
      <c r="AF15221" s="3"/>
      <c r="AG15221" s="3"/>
      <c r="AH15221" s="3"/>
    </row>
    <row r="15222" spans="1:34" ht="14.25" customHeight="1" x14ac:dyDescent="0.25">
      <c r="A15222" s="3"/>
      <c r="B15222" s="3"/>
      <c r="C15222" s="3"/>
      <c r="D15222" s="3"/>
      <c r="E15222" s="3"/>
      <c r="F15222" s="3"/>
      <c r="G15222" s="3"/>
      <c r="H15222" s="11"/>
      <c r="I15222" s="12"/>
      <c r="J15222" s="3"/>
      <c r="K15222" s="3"/>
      <c r="L15222" s="3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  <c r="AA15222" s="3"/>
      <c r="AB15222" s="3"/>
      <c r="AC15222" s="3"/>
      <c r="AD15222" s="3"/>
      <c r="AE15222" s="3"/>
      <c r="AF15222" s="3"/>
      <c r="AG15222" s="3"/>
      <c r="AH15222" s="3"/>
    </row>
    <row r="15223" spans="1:34" ht="14.25" customHeight="1" x14ac:dyDescent="0.25">
      <c r="A15223" s="3"/>
      <c r="B15223" s="3"/>
      <c r="C15223" s="3"/>
      <c r="D15223" s="3"/>
      <c r="E15223" s="3"/>
      <c r="F15223" s="3"/>
      <c r="G15223" s="3"/>
      <c r="H15223" s="11"/>
      <c r="I15223" s="12"/>
      <c r="J15223" s="3"/>
      <c r="K15223" s="3"/>
      <c r="L15223" s="3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  <c r="AA15223" s="3"/>
      <c r="AB15223" s="3"/>
      <c r="AC15223" s="3"/>
      <c r="AD15223" s="3"/>
      <c r="AE15223" s="3"/>
      <c r="AF15223" s="3"/>
      <c r="AG15223" s="3"/>
      <c r="AH15223" s="3"/>
    </row>
    <row r="15224" spans="1:34" ht="14.25" customHeight="1" x14ac:dyDescent="0.25">
      <c r="A15224" s="3"/>
      <c r="B15224" s="3"/>
      <c r="C15224" s="3"/>
      <c r="D15224" s="3"/>
      <c r="E15224" s="3"/>
      <c r="F15224" s="3"/>
      <c r="G15224" s="3"/>
      <c r="H15224" s="11"/>
      <c r="I15224" s="12"/>
      <c r="J15224" s="3"/>
      <c r="K15224" s="3"/>
      <c r="L15224" s="3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  <c r="AA15224" s="3"/>
      <c r="AB15224" s="3"/>
      <c r="AC15224" s="3"/>
      <c r="AD15224" s="3"/>
      <c r="AE15224" s="3"/>
      <c r="AF15224" s="3"/>
      <c r="AG15224" s="3"/>
      <c r="AH15224" s="3"/>
    </row>
    <row r="15225" spans="1:34" ht="14.25" customHeight="1" x14ac:dyDescent="0.25">
      <c r="A15225" s="3"/>
      <c r="B15225" s="3"/>
      <c r="C15225" s="3"/>
      <c r="D15225" s="3"/>
      <c r="E15225" s="3"/>
      <c r="F15225" s="3"/>
      <c r="G15225" s="3"/>
      <c r="H15225" s="11"/>
      <c r="I15225" s="12"/>
      <c r="J15225" s="3"/>
      <c r="K15225" s="3"/>
      <c r="L15225" s="3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  <c r="AA15225" s="3"/>
      <c r="AB15225" s="3"/>
      <c r="AC15225" s="3"/>
      <c r="AD15225" s="3"/>
      <c r="AE15225" s="3"/>
      <c r="AF15225" s="3"/>
      <c r="AG15225" s="3"/>
      <c r="AH15225" s="3"/>
    </row>
    <row r="15226" spans="1:34" ht="14.25" customHeight="1" x14ac:dyDescent="0.25">
      <c r="A15226" s="3"/>
      <c r="B15226" s="3"/>
      <c r="C15226" s="3"/>
      <c r="D15226" s="3"/>
      <c r="E15226" s="3"/>
      <c r="F15226" s="3"/>
      <c r="G15226" s="3"/>
      <c r="H15226" s="11"/>
      <c r="I15226" s="12"/>
      <c r="J15226" s="3"/>
      <c r="K15226" s="3"/>
      <c r="L15226" s="3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  <c r="AA15226" s="3"/>
      <c r="AB15226" s="3"/>
      <c r="AC15226" s="3"/>
      <c r="AD15226" s="3"/>
      <c r="AE15226" s="3"/>
      <c r="AF15226" s="3"/>
      <c r="AG15226" s="3"/>
      <c r="AH15226" s="3"/>
    </row>
    <row r="15227" spans="1:34" ht="14.25" customHeight="1" x14ac:dyDescent="0.25">
      <c r="A15227" s="3"/>
      <c r="B15227" s="3"/>
      <c r="C15227" s="3"/>
      <c r="D15227" s="3"/>
      <c r="E15227" s="3"/>
      <c r="F15227" s="3"/>
      <c r="G15227" s="3"/>
      <c r="H15227" s="11"/>
      <c r="I15227" s="12"/>
      <c r="J15227" s="3"/>
      <c r="K15227" s="3"/>
      <c r="L15227" s="3"/>
      <c r="M15227" s="3"/>
      <c r="N15227" s="3"/>
      <c r="O15227" s="3"/>
      <c r="P15227" s="3"/>
      <c r="Q15227" s="3"/>
      <c r="R15227" s="3"/>
      <c r="S15227" s="3"/>
      <c r="T15227" s="3"/>
      <c r="U15227" s="3"/>
      <c r="V15227" s="3"/>
      <c r="W15227" s="3"/>
      <c r="X15227" s="3"/>
      <c r="Y15227" s="3"/>
      <c r="Z15227" s="3"/>
      <c r="AA15227" s="3"/>
      <c r="AB15227" s="3"/>
      <c r="AC15227" s="3"/>
      <c r="AD15227" s="3"/>
      <c r="AE15227" s="3"/>
      <c r="AF15227" s="3"/>
      <c r="AG15227" s="3"/>
      <c r="AH15227" s="3"/>
    </row>
    <row r="15228" spans="1:34" ht="14.25" customHeight="1" x14ac:dyDescent="0.25">
      <c r="A15228" s="3"/>
      <c r="B15228" s="3"/>
      <c r="C15228" s="3"/>
      <c r="D15228" s="3"/>
      <c r="E15228" s="3"/>
      <c r="F15228" s="3"/>
      <c r="G15228" s="3"/>
      <c r="H15228" s="11"/>
      <c r="I15228" s="12"/>
      <c r="J15228" s="3"/>
      <c r="K15228" s="3"/>
      <c r="L15228" s="3"/>
      <c r="M15228" s="3"/>
      <c r="N15228" s="3"/>
      <c r="O15228" s="3"/>
      <c r="P15228" s="3"/>
      <c r="Q15228" s="3"/>
      <c r="R15228" s="3"/>
      <c r="S15228" s="3"/>
      <c r="T15228" s="3"/>
      <c r="U15228" s="3"/>
      <c r="V15228" s="3"/>
      <c r="W15228" s="3"/>
      <c r="X15228" s="3"/>
      <c r="Y15228" s="3"/>
      <c r="Z15228" s="3"/>
      <c r="AA15228" s="3"/>
      <c r="AB15228" s="3"/>
      <c r="AC15228" s="3"/>
      <c r="AD15228" s="3"/>
      <c r="AE15228" s="3"/>
      <c r="AF15228" s="3"/>
      <c r="AG15228" s="3"/>
      <c r="AH15228" s="3"/>
    </row>
    <row r="15229" spans="1:34" ht="14.25" customHeight="1" x14ac:dyDescent="0.25">
      <c r="A15229" s="3"/>
      <c r="B15229" s="3"/>
      <c r="C15229" s="3"/>
      <c r="D15229" s="3"/>
      <c r="E15229" s="3"/>
      <c r="F15229" s="3"/>
      <c r="G15229" s="3"/>
      <c r="H15229" s="11"/>
      <c r="I15229" s="12"/>
      <c r="J15229" s="3"/>
      <c r="K15229" s="3"/>
      <c r="L15229" s="3"/>
      <c r="M15229" s="3"/>
      <c r="N15229" s="3"/>
      <c r="O15229" s="3"/>
      <c r="P15229" s="3"/>
      <c r="Q15229" s="3"/>
      <c r="R15229" s="3"/>
      <c r="S15229" s="3"/>
      <c r="T15229" s="3"/>
      <c r="U15229" s="3"/>
      <c r="V15229" s="3"/>
      <c r="W15229" s="3"/>
      <c r="X15229" s="3"/>
      <c r="Y15229" s="3"/>
      <c r="Z15229" s="3"/>
      <c r="AA15229" s="3"/>
      <c r="AB15229" s="3"/>
      <c r="AC15229" s="3"/>
      <c r="AD15229" s="3"/>
      <c r="AE15229" s="3"/>
      <c r="AF15229" s="3"/>
      <c r="AG15229" s="3"/>
      <c r="AH15229" s="3"/>
    </row>
    <row r="15230" spans="1:34" ht="14.25" customHeight="1" x14ac:dyDescent="0.25">
      <c r="A15230" s="3"/>
      <c r="B15230" s="3"/>
      <c r="C15230" s="3"/>
      <c r="D15230" s="3"/>
      <c r="E15230" s="3"/>
      <c r="F15230" s="3"/>
      <c r="G15230" s="3"/>
      <c r="H15230" s="11"/>
      <c r="I15230" s="12"/>
      <c r="J15230" s="3"/>
      <c r="K15230" s="3"/>
      <c r="L15230" s="3"/>
      <c r="M15230" s="3"/>
      <c r="N15230" s="3"/>
      <c r="O15230" s="3"/>
      <c r="P15230" s="3"/>
      <c r="Q15230" s="3"/>
      <c r="R15230" s="3"/>
      <c r="S15230" s="3"/>
      <c r="T15230" s="3"/>
      <c r="U15230" s="3"/>
      <c r="V15230" s="3"/>
      <c r="W15230" s="3"/>
      <c r="X15230" s="3"/>
      <c r="Y15230" s="3"/>
      <c r="Z15230" s="3"/>
      <c r="AA15230" s="3"/>
      <c r="AB15230" s="3"/>
      <c r="AC15230" s="3"/>
      <c r="AD15230" s="3"/>
      <c r="AE15230" s="3"/>
      <c r="AF15230" s="3"/>
      <c r="AG15230" s="3"/>
      <c r="AH15230" s="3"/>
    </row>
    <row r="15231" spans="1:34" ht="14.25" customHeight="1" x14ac:dyDescent="0.25">
      <c r="A15231" s="3"/>
      <c r="B15231" s="3"/>
      <c r="C15231" s="3"/>
      <c r="D15231" s="3"/>
      <c r="E15231" s="3"/>
      <c r="F15231" s="3"/>
      <c r="G15231" s="3"/>
      <c r="H15231" s="11"/>
      <c r="I15231" s="12"/>
      <c r="J15231" s="3"/>
      <c r="K15231" s="3"/>
      <c r="L15231" s="3"/>
      <c r="M15231" s="3"/>
      <c r="N15231" s="3"/>
      <c r="O15231" s="3"/>
      <c r="P15231" s="3"/>
      <c r="Q15231" s="3"/>
      <c r="R15231" s="3"/>
      <c r="S15231" s="3"/>
      <c r="T15231" s="3"/>
      <c r="U15231" s="3"/>
      <c r="V15231" s="3"/>
      <c r="W15231" s="3"/>
      <c r="X15231" s="3"/>
      <c r="Y15231" s="3"/>
      <c r="Z15231" s="3"/>
      <c r="AA15231" s="3"/>
      <c r="AB15231" s="3"/>
      <c r="AC15231" s="3"/>
      <c r="AD15231" s="3"/>
      <c r="AE15231" s="3"/>
      <c r="AF15231" s="3"/>
      <c r="AG15231" s="3"/>
      <c r="AH15231" s="3"/>
    </row>
    <row r="15232" spans="1:34" ht="14.25" customHeight="1" x14ac:dyDescent="0.25">
      <c r="A15232" s="3"/>
      <c r="B15232" s="3"/>
      <c r="C15232" s="3"/>
      <c r="D15232" s="3"/>
      <c r="E15232" s="3"/>
      <c r="F15232" s="3"/>
      <c r="G15232" s="3"/>
      <c r="H15232" s="11"/>
      <c r="I15232" s="12"/>
      <c r="J15232" s="3"/>
      <c r="K15232" s="3"/>
      <c r="L15232" s="3"/>
      <c r="M15232" s="3"/>
      <c r="N15232" s="3"/>
      <c r="O15232" s="3"/>
      <c r="P15232" s="3"/>
      <c r="Q15232" s="3"/>
      <c r="R15232" s="3"/>
      <c r="S15232" s="3"/>
      <c r="T15232" s="3"/>
      <c r="U15232" s="3"/>
      <c r="V15232" s="3"/>
      <c r="W15232" s="3"/>
      <c r="X15232" s="3"/>
      <c r="Y15232" s="3"/>
      <c r="Z15232" s="3"/>
      <c r="AA15232" s="3"/>
      <c r="AB15232" s="3"/>
      <c r="AC15232" s="3"/>
      <c r="AD15232" s="3"/>
      <c r="AE15232" s="3"/>
      <c r="AF15232" s="3"/>
      <c r="AG15232" s="3"/>
      <c r="AH15232" s="3"/>
    </row>
    <row r="15233" spans="1:34" ht="14.25" customHeight="1" x14ac:dyDescent="0.25">
      <c r="A15233" s="3"/>
      <c r="B15233" s="3"/>
      <c r="C15233" s="3"/>
      <c r="D15233" s="3"/>
      <c r="E15233" s="3"/>
      <c r="F15233" s="3"/>
      <c r="G15233" s="3"/>
      <c r="H15233" s="11"/>
      <c r="I15233" s="12"/>
      <c r="J15233" s="3"/>
      <c r="K15233" s="3"/>
      <c r="L15233" s="3"/>
      <c r="M15233" s="3"/>
      <c r="N15233" s="3"/>
      <c r="O15233" s="3"/>
      <c r="P15233" s="3"/>
      <c r="Q15233" s="3"/>
      <c r="R15233" s="3"/>
      <c r="S15233" s="3"/>
      <c r="T15233" s="3"/>
      <c r="U15233" s="3"/>
      <c r="V15233" s="3"/>
      <c r="W15233" s="3"/>
      <c r="X15233" s="3"/>
      <c r="Y15233" s="3"/>
      <c r="Z15233" s="3"/>
      <c r="AA15233" s="3"/>
      <c r="AB15233" s="3"/>
      <c r="AC15233" s="3"/>
      <c r="AD15233" s="3"/>
      <c r="AE15233" s="3"/>
      <c r="AF15233" s="3"/>
      <c r="AG15233" s="3"/>
      <c r="AH15233" s="3"/>
    </row>
    <row r="15234" spans="1:34" ht="14.25" customHeight="1" x14ac:dyDescent="0.25">
      <c r="A15234" s="3"/>
      <c r="B15234" s="3"/>
      <c r="C15234" s="3"/>
      <c r="D15234" s="3"/>
      <c r="E15234" s="3"/>
      <c r="F15234" s="3"/>
      <c r="G15234" s="3"/>
      <c r="H15234" s="11"/>
      <c r="I15234" s="12"/>
      <c r="J15234" s="3"/>
      <c r="K15234" s="3"/>
      <c r="L15234" s="3"/>
      <c r="M15234" s="3"/>
      <c r="N15234" s="3"/>
      <c r="O15234" s="3"/>
      <c r="P15234" s="3"/>
      <c r="Q15234" s="3"/>
      <c r="R15234" s="3"/>
      <c r="S15234" s="3"/>
      <c r="T15234" s="3"/>
      <c r="U15234" s="3"/>
      <c r="V15234" s="3"/>
      <c r="W15234" s="3"/>
      <c r="X15234" s="3"/>
      <c r="Y15234" s="3"/>
      <c r="Z15234" s="3"/>
      <c r="AA15234" s="3"/>
      <c r="AB15234" s="3"/>
      <c r="AC15234" s="3"/>
      <c r="AD15234" s="3"/>
      <c r="AE15234" s="3"/>
      <c r="AF15234" s="3"/>
      <c r="AG15234" s="3"/>
      <c r="AH15234" s="3"/>
    </row>
    <row r="15235" spans="1:34" ht="14.25" customHeight="1" x14ac:dyDescent="0.25">
      <c r="A15235" s="3"/>
      <c r="B15235" s="3"/>
      <c r="C15235" s="3"/>
      <c r="D15235" s="3"/>
      <c r="E15235" s="3"/>
      <c r="F15235" s="3"/>
      <c r="G15235" s="3"/>
      <c r="H15235" s="11"/>
      <c r="I15235" s="12"/>
      <c r="J15235" s="3"/>
      <c r="K15235" s="3"/>
      <c r="L15235" s="3"/>
      <c r="M15235" s="3"/>
      <c r="N15235" s="3"/>
      <c r="O15235" s="3"/>
      <c r="P15235" s="3"/>
      <c r="Q15235" s="3"/>
      <c r="R15235" s="3"/>
      <c r="S15235" s="3"/>
      <c r="T15235" s="3"/>
      <c r="U15235" s="3"/>
      <c r="V15235" s="3"/>
      <c r="W15235" s="3"/>
      <c r="X15235" s="3"/>
      <c r="Y15235" s="3"/>
      <c r="Z15235" s="3"/>
      <c r="AA15235" s="3"/>
      <c r="AB15235" s="3"/>
      <c r="AC15235" s="3"/>
      <c r="AD15235" s="3"/>
      <c r="AE15235" s="3"/>
      <c r="AF15235" s="3"/>
      <c r="AG15235" s="3"/>
      <c r="AH15235" s="3"/>
    </row>
    <row r="15236" spans="1:34" ht="14.25" customHeight="1" x14ac:dyDescent="0.25">
      <c r="A15236" s="3"/>
      <c r="B15236" s="3"/>
      <c r="C15236" s="3"/>
      <c r="D15236" s="3"/>
      <c r="E15236" s="3"/>
      <c r="F15236" s="3"/>
      <c r="G15236" s="3"/>
      <c r="H15236" s="11"/>
      <c r="I15236" s="12"/>
      <c r="J15236" s="3"/>
      <c r="K15236" s="3"/>
      <c r="L15236" s="3"/>
      <c r="M15236" s="3"/>
      <c r="N15236" s="3"/>
      <c r="O15236" s="3"/>
      <c r="P15236" s="3"/>
      <c r="Q15236" s="3"/>
      <c r="R15236" s="3"/>
      <c r="S15236" s="3"/>
      <c r="T15236" s="3"/>
      <c r="U15236" s="3"/>
      <c r="V15236" s="3"/>
      <c r="W15236" s="3"/>
      <c r="X15236" s="3"/>
      <c r="Y15236" s="3"/>
      <c r="Z15236" s="3"/>
      <c r="AA15236" s="3"/>
      <c r="AB15236" s="3"/>
      <c r="AC15236" s="3"/>
      <c r="AD15236" s="3"/>
      <c r="AE15236" s="3"/>
      <c r="AF15236" s="3"/>
      <c r="AG15236" s="3"/>
      <c r="AH15236" s="3"/>
    </row>
    <row r="15237" spans="1:34" ht="14.25" customHeight="1" x14ac:dyDescent="0.25">
      <c r="A15237" s="3"/>
      <c r="B15237" s="3"/>
      <c r="C15237" s="3"/>
      <c r="D15237" s="3"/>
      <c r="E15237" s="3"/>
      <c r="F15237" s="3"/>
      <c r="G15237" s="3"/>
      <c r="H15237" s="11"/>
      <c r="I15237" s="12"/>
      <c r="J15237" s="3"/>
      <c r="K15237" s="3"/>
      <c r="L15237" s="3"/>
      <c r="M15237" s="3"/>
      <c r="N15237" s="3"/>
      <c r="O15237" s="3"/>
      <c r="P15237" s="3"/>
      <c r="Q15237" s="3"/>
      <c r="R15237" s="3"/>
      <c r="S15237" s="3"/>
      <c r="T15237" s="3"/>
      <c r="U15237" s="3"/>
      <c r="V15237" s="3"/>
      <c r="W15237" s="3"/>
      <c r="X15237" s="3"/>
      <c r="Y15237" s="3"/>
      <c r="Z15237" s="3"/>
      <c r="AA15237" s="3"/>
      <c r="AB15237" s="3"/>
      <c r="AC15237" s="3"/>
      <c r="AD15237" s="3"/>
      <c r="AE15237" s="3"/>
      <c r="AF15237" s="3"/>
      <c r="AG15237" s="3"/>
      <c r="AH15237" s="3"/>
    </row>
    <row r="15238" spans="1:34" ht="14.25" customHeight="1" x14ac:dyDescent="0.25">
      <c r="A15238" s="3"/>
      <c r="B15238" s="3"/>
      <c r="C15238" s="3"/>
      <c r="D15238" s="3"/>
      <c r="E15238" s="3"/>
      <c r="F15238" s="3"/>
      <c r="G15238" s="3"/>
      <c r="H15238" s="11"/>
      <c r="I15238" s="12"/>
      <c r="J15238" s="3"/>
      <c r="K15238" s="3"/>
      <c r="L15238" s="3"/>
      <c r="M15238" s="3"/>
      <c r="N15238" s="3"/>
      <c r="O15238" s="3"/>
      <c r="P15238" s="3"/>
      <c r="Q15238" s="3"/>
      <c r="R15238" s="3"/>
      <c r="S15238" s="3"/>
      <c r="T15238" s="3"/>
      <c r="U15238" s="3"/>
      <c r="V15238" s="3"/>
      <c r="W15238" s="3"/>
      <c r="X15238" s="3"/>
      <c r="Y15238" s="3"/>
      <c r="Z15238" s="3"/>
      <c r="AA15238" s="3"/>
      <c r="AB15238" s="3"/>
      <c r="AC15238" s="3"/>
      <c r="AD15238" s="3"/>
      <c r="AE15238" s="3"/>
      <c r="AF15238" s="3"/>
      <c r="AG15238" s="3"/>
      <c r="AH15238" s="3"/>
    </row>
    <row r="15239" spans="1:34" ht="14.25" customHeight="1" x14ac:dyDescent="0.25">
      <c r="A15239" s="3"/>
      <c r="B15239" s="3"/>
      <c r="C15239" s="3"/>
      <c r="D15239" s="3"/>
      <c r="E15239" s="3"/>
      <c r="F15239" s="3"/>
      <c r="G15239" s="3"/>
      <c r="H15239" s="11"/>
      <c r="I15239" s="12"/>
      <c r="J15239" s="3"/>
      <c r="K15239" s="3"/>
      <c r="L15239" s="3"/>
      <c r="M15239" s="3"/>
      <c r="N15239" s="3"/>
      <c r="O15239" s="3"/>
      <c r="P15239" s="3"/>
      <c r="Q15239" s="3"/>
      <c r="R15239" s="3"/>
      <c r="S15239" s="3"/>
      <c r="T15239" s="3"/>
      <c r="U15239" s="3"/>
      <c r="V15239" s="3"/>
      <c r="W15239" s="3"/>
      <c r="X15239" s="3"/>
      <c r="Y15239" s="3"/>
      <c r="Z15239" s="3"/>
      <c r="AA15239" s="3"/>
      <c r="AB15239" s="3"/>
      <c r="AC15239" s="3"/>
      <c r="AD15239" s="3"/>
      <c r="AE15239" s="3"/>
      <c r="AF15239" s="3"/>
      <c r="AG15239" s="3"/>
      <c r="AH15239" s="3"/>
    </row>
    <row r="15240" spans="1:34" ht="14.25" customHeight="1" x14ac:dyDescent="0.25">
      <c r="A15240" s="3"/>
      <c r="B15240" s="3"/>
      <c r="C15240" s="3"/>
      <c r="D15240" s="3"/>
      <c r="E15240" s="3"/>
      <c r="F15240" s="3"/>
      <c r="G15240" s="3"/>
      <c r="H15240" s="11"/>
      <c r="I15240" s="12"/>
      <c r="J15240" s="3"/>
      <c r="K15240" s="3"/>
      <c r="L15240" s="3"/>
      <c r="M15240" s="3"/>
      <c r="N15240" s="3"/>
      <c r="O15240" s="3"/>
      <c r="P15240" s="3"/>
      <c r="Q15240" s="3"/>
      <c r="R15240" s="3"/>
      <c r="S15240" s="3"/>
      <c r="T15240" s="3"/>
      <c r="U15240" s="3"/>
      <c r="V15240" s="3"/>
      <c r="W15240" s="3"/>
      <c r="X15240" s="3"/>
      <c r="Y15240" s="3"/>
      <c r="Z15240" s="3"/>
      <c r="AA15240" s="3"/>
      <c r="AB15240" s="3"/>
      <c r="AC15240" s="3"/>
      <c r="AD15240" s="3"/>
      <c r="AE15240" s="3"/>
      <c r="AF15240" s="3"/>
      <c r="AG15240" s="3"/>
      <c r="AH15240" s="3"/>
    </row>
    <row r="15241" spans="1:34" ht="14.25" customHeight="1" x14ac:dyDescent="0.25">
      <c r="A15241" s="3"/>
      <c r="B15241" s="3"/>
      <c r="C15241" s="3"/>
      <c r="D15241" s="3"/>
      <c r="E15241" s="3"/>
      <c r="F15241" s="3"/>
      <c r="G15241" s="3"/>
      <c r="H15241" s="11"/>
      <c r="I15241" s="12"/>
      <c r="J15241" s="3"/>
      <c r="K15241" s="3"/>
      <c r="L15241" s="3"/>
      <c r="M15241" s="3"/>
      <c r="N15241" s="3"/>
      <c r="O15241" s="3"/>
      <c r="P15241" s="3"/>
      <c r="Q15241" s="3"/>
      <c r="R15241" s="3"/>
      <c r="S15241" s="3"/>
      <c r="T15241" s="3"/>
      <c r="U15241" s="3"/>
      <c r="V15241" s="3"/>
      <c r="W15241" s="3"/>
      <c r="X15241" s="3"/>
      <c r="Y15241" s="3"/>
      <c r="Z15241" s="3"/>
      <c r="AA15241" s="3"/>
      <c r="AB15241" s="3"/>
      <c r="AC15241" s="3"/>
      <c r="AD15241" s="3"/>
      <c r="AE15241" s="3"/>
      <c r="AF15241" s="3"/>
      <c r="AG15241" s="3"/>
      <c r="AH15241" s="3"/>
    </row>
    <row r="15242" spans="1:34" ht="14.25" customHeight="1" x14ac:dyDescent="0.25">
      <c r="A15242" s="3"/>
      <c r="B15242" s="3"/>
      <c r="C15242" s="3"/>
      <c r="D15242" s="3"/>
      <c r="E15242" s="3"/>
      <c r="F15242" s="3"/>
      <c r="G15242" s="3"/>
      <c r="H15242" s="11"/>
      <c r="I15242" s="12"/>
      <c r="J15242" s="3"/>
      <c r="K15242" s="3"/>
      <c r="L15242" s="3"/>
      <c r="M15242" s="3"/>
      <c r="N15242" s="3"/>
      <c r="O15242" s="3"/>
      <c r="P15242" s="3"/>
      <c r="Q15242" s="3"/>
      <c r="R15242" s="3"/>
      <c r="S15242" s="3"/>
      <c r="T15242" s="3"/>
      <c r="U15242" s="3"/>
      <c r="V15242" s="3"/>
      <c r="W15242" s="3"/>
      <c r="X15242" s="3"/>
      <c r="Y15242" s="3"/>
      <c r="Z15242" s="3"/>
      <c r="AA15242" s="3"/>
      <c r="AB15242" s="3"/>
      <c r="AC15242" s="3"/>
      <c r="AD15242" s="3"/>
      <c r="AE15242" s="3"/>
      <c r="AF15242" s="3"/>
      <c r="AG15242" s="3"/>
      <c r="AH15242" s="3"/>
    </row>
    <row r="15243" spans="1:34" ht="14.25" customHeight="1" x14ac:dyDescent="0.25">
      <c r="A15243" s="3"/>
      <c r="B15243" s="3"/>
      <c r="C15243" s="3"/>
      <c r="D15243" s="3"/>
      <c r="E15243" s="3"/>
      <c r="F15243" s="3"/>
      <c r="G15243" s="3"/>
      <c r="H15243" s="11"/>
      <c r="I15243" s="12"/>
      <c r="J15243" s="3"/>
      <c r="K15243" s="3"/>
      <c r="L15243" s="3"/>
      <c r="M15243" s="3"/>
      <c r="N15243" s="3"/>
      <c r="O15243" s="3"/>
      <c r="P15243" s="3"/>
      <c r="Q15243" s="3"/>
      <c r="R15243" s="3"/>
      <c r="S15243" s="3"/>
      <c r="T15243" s="3"/>
      <c r="U15243" s="3"/>
      <c r="V15243" s="3"/>
      <c r="W15243" s="3"/>
      <c r="X15243" s="3"/>
      <c r="Y15243" s="3"/>
      <c r="Z15243" s="3"/>
      <c r="AA15243" s="3"/>
      <c r="AB15243" s="3"/>
      <c r="AC15243" s="3"/>
      <c r="AD15243" s="3"/>
      <c r="AE15243" s="3"/>
      <c r="AF15243" s="3"/>
      <c r="AG15243" s="3"/>
      <c r="AH15243" s="3"/>
    </row>
    <row r="15244" spans="1:34" ht="14.25" customHeight="1" x14ac:dyDescent="0.25">
      <c r="A15244" s="3"/>
      <c r="B15244" s="3"/>
      <c r="C15244" s="3"/>
      <c r="D15244" s="3"/>
      <c r="E15244" s="3"/>
      <c r="F15244" s="3"/>
      <c r="G15244" s="3"/>
      <c r="H15244" s="11"/>
      <c r="I15244" s="12"/>
      <c r="J15244" s="3"/>
      <c r="K15244" s="3"/>
      <c r="L15244" s="3"/>
      <c r="M15244" s="3"/>
      <c r="N15244" s="3"/>
      <c r="O15244" s="3"/>
      <c r="P15244" s="3"/>
      <c r="Q15244" s="3"/>
      <c r="R15244" s="3"/>
      <c r="S15244" s="3"/>
      <c r="T15244" s="3"/>
      <c r="U15244" s="3"/>
      <c r="V15244" s="3"/>
      <c r="W15244" s="3"/>
      <c r="X15244" s="3"/>
      <c r="Y15244" s="3"/>
      <c r="Z15244" s="3"/>
      <c r="AA15244" s="3"/>
      <c r="AB15244" s="3"/>
      <c r="AC15244" s="3"/>
      <c r="AD15244" s="3"/>
      <c r="AE15244" s="3"/>
      <c r="AF15244" s="3"/>
      <c r="AG15244" s="3"/>
      <c r="AH15244" s="3"/>
    </row>
    <row r="15245" spans="1:34" ht="14.25" customHeight="1" x14ac:dyDescent="0.25">
      <c r="A15245" s="3"/>
      <c r="B15245" s="3"/>
      <c r="C15245" s="3"/>
      <c r="D15245" s="3"/>
      <c r="E15245" s="3"/>
      <c r="F15245" s="3"/>
      <c r="G15245" s="3"/>
      <c r="H15245" s="11"/>
      <c r="I15245" s="12"/>
      <c r="J15245" s="3"/>
      <c r="K15245" s="3"/>
      <c r="L15245" s="3"/>
      <c r="M15245" s="3"/>
      <c r="N15245" s="3"/>
      <c r="O15245" s="3"/>
      <c r="P15245" s="3"/>
      <c r="Q15245" s="3"/>
      <c r="R15245" s="3"/>
      <c r="S15245" s="3"/>
      <c r="T15245" s="3"/>
      <c r="U15245" s="3"/>
      <c r="V15245" s="3"/>
      <c r="W15245" s="3"/>
      <c r="X15245" s="3"/>
      <c r="Y15245" s="3"/>
      <c r="Z15245" s="3"/>
      <c r="AA15245" s="3"/>
      <c r="AB15245" s="3"/>
      <c r="AC15245" s="3"/>
      <c r="AD15245" s="3"/>
      <c r="AE15245" s="3"/>
      <c r="AF15245" s="3"/>
      <c r="AG15245" s="3"/>
      <c r="AH15245" s="3"/>
    </row>
    <row r="15246" spans="1:34" ht="14.25" customHeight="1" x14ac:dyDescent="0.25">
      <c r="A15246" s="3"/>
      <c r="B15246" s="3"/>
      <c r="C15246" s="3"/>
      <c r="D15246" s="3"/>
      <c r="E15246" s="3"/>
      <c r="F15246" s="3"/>
      <c r="G15246" s="3"/>
      <c r="H15246" s="11"/>
      <c r="I15246" s="12"/>
      <c r="J15246" s="3"/>
      <c r="K15246" s="3"/>
      <c r="L15246" s="3"/>
      <c r="M15246" s="3"/>
      <c r="N15246" s="3"/>
      <c r="O15246" s="3"/>
      <c r="P15246" s="3"/>
      <c r="Q15246" s="3"/>
      <c r="R15246" s="3"/>
      <c r="S15246" s="3"/>
      <c r="T15246" s="3"/>
      <c r="U15246" s="3"/>
      <c r="V15246" s="3"/>
      <c r="W15246" s="3"/>
      <c r="X15246" s="3"/>
      <c r="Y15246" s="3"/>
      <c r="Z15246" s="3"/>
      <c r="AA15246" s="3"/>
      <c r="AB15246" s="3"/>
      <c r="AC15246" s="3"/>
      <c r="AD15246" s="3"/>
      <c r="AE15246" s="3"/>
      <c r="AF15246" s="3"/>
      <c r="AG15246" s="3"/>
      <c r="AH15246" s="3"/>
    </row>
    <row r="15247" spans="1:34" ht="14.25" customHeight="1" x14ac:dyDescent="0.25">
      <c r="A15247" s="3"/>
      <c r="B15247" s="3"/>
      <c r="C15247" s="3"/>
      <c r="D15247" s="3"/>
      <c r="E15247" s="3"/>
      <c r="F15247" s="3"/>
      <c r="G15247" s="3"/>
      <c r="H15247" s="11"/>
      <c r="I15247" s="12"/>
      <c r="J15247" s="3"/>
      <c r="K15247" s="3"/>
      <c r="L15247" s="3"/>
      <c r="M15247" s="3"/>
      <c r="N15247" s="3"/>
      <c r="O15247" s="3"/>
      <c r="P15247" s="3"/>
      <c r="Q15247" s="3"/>
      <c r="R15247" s="3"/>
      <c r="S15247" s="3"/>
      <c r="T15247" s="3"/>
      <c r="U15247" s="3"/>
      <c r="V15247" s="3"/>
      <c r="W15247" s="3"/>
      <c r="X15247" s="3"/>
      <c r="Y15247" s="3"/>
      <c r="Z15247" s="3"/>
      <c r="AA15247" s="3"/>
      <c r="AB15247" s="3"/>
      <c r="AC15247" s="3"/>
      <c r="AD15247" s="3"/>
      <c r="AE15247" s="3"/>
      <c r="AF15247" s="3"/>
      <c r="AG15247" s="3"/>
      <c r="AH15247" s="3"/>
    </row>
    <row r="15248" spans="1:34" ht="14.25" customHeight="1" x14ac:dyDescent="0.25">
      <c r="A15248" s="3"/>
      <c r="B15248" s="3"/>
      <c r="C15248" s="3"/>
      <c r="D15248" s="3"/>
      <c r="E15248" s="3"/>
      <c r="F15248" s="3"/>
      <c r="G15248" s="3"/>
      <c r="H15248" s="11"/>
      <c r="I15248" s="12"/>
      <c r="J15248" s="3"/>
      <c r="K15248" s="3"/>
      <c r="L15248" s="3"/>
      <c r="M15248" s="3"/>
      <c r="N15248" s="3"/>
      <c r="O15248" s="3"/>
      <c r="P15248" s="3"/>
      <c r="Q15248" s="3"/>
      <c r="R15248" s="3"/>
      <c r="S15248" s="3"/>
      <c r="T15248" s="3"/>
      <c r="U15248" s="3"/>
      <c r="V15248" s="3"/>
      <c r="W15248" s="3"/>
      <c r="X15248" s="3"/>
      <c r="Y15248" s="3"/>
      <c r="Z15248" s="3"/>
      <c r="AA15248" s="3"/>
      <c r="AB15248" s="3"/>
      <c r="AC15248" s="3"/>
      <c r="AD15248" s="3"/>
      <c r="AE15248" s="3"/>
      <c r="AF15248" s="3"/>
      <c r="AG15248" s="3"/>
      <c r="AH15248" s="3"/>
    </row>
    <row r="15249" spans="1:34" ht="14.25" customHeight="1" x14ac:dyDescent="0.25">
      <c r="A15249" s="3"/>
      <c r="B15249" s="3"/>
      <c r="C15249" s="3"/>
      <c r="D15249" s="3"/>
      <c r="E15249" s="3"/>
      <c r="F15249" s="3"/>
      <c r="G15249" s="3"/>
      <c r="H15249" s="11"/>
      <c r="I15249" s="12"/>
      <c r="J15249" s="3"/>
      <c r="K15249" s="3"/>
      <c r="L15249" s="3"/>
      <c r="M15249" s="3"/>
      <c r="N15249" s="3"/>
      <c r="O15249" s="3"/>
      <c r="P15249" s="3"/>
      <c r="Q15249" s="3"/>
      <c r="R15249" s="3"/>
      <c r="S15249" s="3"/>
      <c r="T15249" s="3"/>
      <c r="U15249" s="3"/>
      <c r="V15249" s="3"/>
      <c r="W15249" s="3"/>
      <c r="X15249" s="3"/>
      <c r="Y15249" s="3"/>
      <c r="Z15249" s="3"/>
      <c r="AA15249" s="3"/>
      <c r="AB15249" s="3"/>
      <c r="AC15249" s="3"/>
      <c r="AD15249" s="3"/>
      <c r="AE15249" s="3"/>
      <c r="AF15249" s="3"/>
      <c r="AG15249" s="3"/>
      <c r="AH15249" s="3"/>
    </row>
    <row r="15250" spans="1:34" ht="14.25" customHeight="1" x14ac:dyDescent="0.25">
      <c r="A15250" s="3"/>
      <c r="B15250" s="3"/>
      <c r="C15250" s="3"/>
      <c r="D15250" s="3"/>
      <c r="E15250" s="3"/>
      <c r="F15250" s="3"/>
      <c r="G15250" s="3"/>
      <c r="H15250" s="11"/>
      <c r="I15250" s="12"/>
      <c r="J15250" s="3"/>
      <c r="K15250" s="3"/>
      <c r="L15250" s="3"/>
      <c r="M15250" s="3"/>
      <c r="N15250" s="3"/>
      <c r="O15250" s="3"/>
      <c r="P15250" s="3"/>
      <c r="Q15250" s="3"/>
      <c r="R15250" s="3"/>
      <c r="S15250" s="3"/>
      <c r="T15250" s="3"/>
      <c r="U15250" s="3"/>
      <c r="V15250" s="3"/>
      <c r="W15250" s="3"/>
      <c r="X15250" s="3"/>
      <c r="Y15250" s="3"/>
      <c r="Z15250" s="3"/>
      <c r="AA15250" s="3"/>
      <c r="AB15250" s="3"/>
      <c r="AC15250" s="3"/>
      <c r="AD15250" s="3"/>
      <c r="AE15250" s="3"/>
      <c r="AF15250" s="3"/>
      <c r="AG15250" s="3"/>
      <c r="AH15250" s="3"/>
    </row>
    <row r="15251" spans="1:34" ht="14.25" customHeight="1" x14ac:dyDescent="0.25">
      <c r="A15251" s="3"/>
      <c r="B15251" s="3"/>
      <c r="C15251" s="3"/>
      <c r="D15251" s="3"/>
      <c r="E15251" s="3"/>
      <c r="F15251" s="3"/>
      <c r="G15251" s="3"/>
      <c r="H15251" s="11"/>
      <c r="I15251" s="12"/>
      <c r="J15251" s="3"/>
      <c r="K15251" s="3"/>
      <c r="L15251" s="3"/>
      <c r="M15251" s="3"/>
      <c r="N15251" s="3"/>
      <c r="O15251" s="3"/>
      <c r="P15251" s="3"/>
      <c r="Q15251" s="3"/>
      <c r="R15251" s="3"/>
      <c r="S15251" s="3"/>
      <c r="T15251" s="3"/>
      <c r="U15251" s="3"/>
      <c r="V15251" s="3"/>
      <c r="W15251" s="3"/>
      <c r="X15251" s="3"/>
      <c r="Y15251" s="3"/>
      <c r="Z15251" s="3"/>
      <c r="AA15251" s="3"/>
      <c r="AB15251" s="3"/>
      <c r="AC15251" s="3"/>
      <c r="AD15251" s="3"/>
      <c r="AE15251" s="3"/>
      <c r="AF15251" s="3"/>
      <c r="AG15251" s="3"/>
      <c r="AH15251" s="3"/>
    </row>
    <row r="15252" spans="1:34" ht="14.25" customHeight="1" x14ac:dyDescent="0.25">
      <c r="A15252" s="3"/>
      <c r="B15252" s="3"/>
      <c r="C15252" s="3"/>
      <c r="D15252" s="3"/>
      <c r="E15252" s="3"/>
      <c r="F15252" s="3"/>
      <c r="G15252" s="3"/>
      <c r="H15252" s="11"/>
      <c r="I15252" s="12"/>
      <c r="J15252" s="3"/>
      <c r="K15252" s="3"/>
      <c r="L15252" s="3"/>
      <c r="M15252" s="3"/>
      <c r="N15252" s="3"/>
      <c r="O15252" s="3"/>
      <c r="P15252" s="3"/>
      <c r="Q15252" s="3"/>
      <c r="R15252" s="3"/>
      <c r="S15252" s="3"/>
      <c r="T15252" s="3"/>
      <c r="U15252" s="3"/>
      <c r="V15252" s="3"/>
      <c r="W15252" s="3"/>
      <c r="X15252" s="3"/>
      <c r="Y15252" s="3"/>
      <c r="Z15252" s="3"/>
      <c r="AA15252" s="3"/>
      <c r="AB15252" s="3"/>
      <c r="AC15252" s="3"/>
      <c r="AD15252" s="3"/>
      <c r="AE15252" s="3"/>
      <c r="AF15252" s="3"/>
      <c r="AG15252" s="3"/>
      <c r="AH15252" s="3"/>
    </row>
    <row r="15253" spans="1:34" ht="14.25" customHeight="1" x14ac:dyDescent="0.25">
      <c r="A15253" s="3"/>
      <c r="B15253" s="3"/>
      <c r="C15253" s="3"/>
      <c r="D15253" s="3"/>
      <c r="E15253" s="3"/>
      <c r="F15253" s="3"/>
      <c r="G15253" s="3"/>
      <c r="H15253" s="11"/>
      <c r="I15253" s="12"/>
      <c r="J15253" s="3"/>
      <c r="K15253" s="3"/>
      <c r="L15253" s="3"/>
      <c r="M15253" s="3"/>
      <c r="N15253" s="3"/>
      <c r="O15253" s="3"/>
      <c r="P15253" s="3"/>
      <c r="Q15253" s="3"/>
      <c r="R15253" s="3"/>
      <c r="S15253" s="3"/>
      <c r="T15253" s="3"/>
      <c r="U15253" s="3"/>
      <c r="V15253" s="3"/>
      <c r="W15253" s="3"/>
      <c r="X15253" s="3"/>
      <c r="Y15253" s="3"/>
      <c r="Z15253" s="3"/>
      <c r="AA15253" s="3"/>
      <c r="AB15253" s="3"/>
      <c r="AC15253" s="3"/>
      <c r="AD15253" s="3"/>
      <c r="AE15253" s="3"/>
      <c r="AF15253" s="3"/>
      <c r="AG15253" s="3"/>
      <c r="AH15253" s="3"/>
    </row>
    <row r="15254" spans="1:34" ht="14.25" customHeight="1" x14ac:dyDescent="0.25">
      <c r="A15254" s="3"/>
      <c r="B15254" s="3"/>
      <c r="C15254" s="3"/>
      <c r="D15254" s="3"/>
      <c r="E15254" s="3"/>
      <c r="F15254" s="3"/>
      <c r="G15254" s="3"/>
      <c r="H15254" s="11"/>
      <c r="I15254" s="12"/>
      <c r="J15254" s="3"/>
      <c r="K15254" s="3"/>
      <c r="L15254" s="3"/>
      <c r="M15254" s="3"/>
      <c r="N15254" s="3"/>
      <c r="O15254" s="3"/>
      <c r="P15254" s="3"/>
      <c r="Q15254" s="3"/>
      <c r="R15254" s="3"/>
      <c r="S15254" s="3"/>
      <c r="T15254" s="3"/>
      <c r="U15254" s="3"/>
      <c r="V15254" s="3"/>
      <c r="W15254" s="3"/>
      <c r="X15254" s="3"/>
      <c r="Y15254" s="3"/>
      <c r="Z15254" s="3"/>
      <c r="AA15254" s="3"/>
      <c r="AB15254" s="3"/>
      <c r="AC15254" s="3"/>
      <c r="AD15254" s="3"/>
      <c r="AE15254" s="3"/>
      <c r="AF15254" s="3"/>
      <c r="AG15254" s="3"/>
      <c r="AH15254" s="3"/>
    </row>
    <row r="15255" spans="1:34" ht="14.25" customHeight="1" x14ac:dyDescent="0.25">
      <c r="A15255" s="3"/>
      <c r="B15255" s="3"/>
      <c r="C15255" s="3"/>
      <c r="D15255" s="3"/>
      <c r="E15255" s="3"/>
      <c r="F15255" s="3"/>
      <c r="G15255" s="3"/>
      <c r="H15255" s="11"/>
      <c r="I15255" s="12"/>
      <c r="J15255" s="3"/>
      <c r="K15255" s="3"/>
      <c r="L15255" s="3"/>
      <c r="M15255" s="3"/>
      <c r="N15255" s="3"/>
      <c r="O15255" s="3"/>
      <c r="P15255" s="3"/>
      <c r="Q15255" s="3"/>
      <c r="R15255" s="3"/>
      <c r="S15255" s="3"/>
      <c r="T15255" s="3"/>
      <c r="U15255" s="3"/>
      <c r="V15255" s="3"/>
      <c r="W15255" s="3"/>
      <c r="X15255" s="3"/>
      <c r="Y15255" s="3"/>
      <c r="Z15255" s="3"/>
      <c r="AA15255" s="3"/>
      <c r="AB15255" s="3"/>
      <c r="AC15255" s="3"/>
      <c r="AD15255" s="3"/>
      <c r="AE15255" s="3"/>
      <c r="AF15255" s="3"/>
      <c r="AG15255" s="3"/>
      <c r="AH15255" s="3"/>
    </row>
    <row r="15256" spans="1:34" ht="14.25" customHeight="1" x14ac:dyDescent="0.25">
      <c r="A15256" s="3"/>
      <c r="B15256" s="3"/>
      <c r="C15256" s="3"/>
      <c r="D15256" s="3"/>
      <c r="E15256" s="3"/>
      <c r="F15256" s="3"/>
      <c r="G15256" s="3"/>
      <c r="H15256" s="11"/>
      <c r="I15256" s="12"/>
      <c r="J15256" s="3"/>
      <c r="K15256" s="3"/>
      <c r="L15256" s="3"/>
      <c r="M15256" s="3"/>
      <c r="N15256" s="3"/>
      <c r="O15256" s="3"/>
      <c r="P15256" s="3"/>
      <c r="Q15256" s="3"/>
      <c r="R15256" s="3"/>
      <c r="S15256" s="3"/>
      <c r="T15256" s="3"/>
      <c r="U15256" s="3"/>
      <c r="V15256" s="3"/>
      <c r="W15256" s="3"/>
      <c r="X15256" s="3"/>
      <c r="Y15256" s="3"/>
      <c r="Z15256" s="3"/>
      <c r="AA15256" s="3"/>
      <c r="AB15256" s="3"/>
      <c r="AC15256" s="3"/>
      <c r="AD15256" s="3"/>
      <c r="AE15256" s="3"/>
      <c r="AF15256" s="3"/>
      <c r="AG15256" s="3"/>
      <c r="AH15256" s="3"/>
    </row>
    <row r="15257" spans="1:34" ht="14.25" customHeight="1" x14ac:dyDescent="0.25">
      <c r="A15257" s="3"/>
      <c r="B15257" s="3"/>
      <c r="C15257" s="3"/>
      <c r="D15257" s="3"/>
      <c r="E15257" s="3"/>
      <c r="F15257" s="3"/>
      <c r="G15257" s="3"/>
      <c r="H15257" s="11"/>
      <c r="I15257" s="12"/>
      <c r="J15257" s="3"/>
      <c r="K15257" s="3"/>
      <c r="L15257" s="3"/>
      <c r="M15257" s="3"/>
      <c r="N15257" s="3"/>
      <c r="O15257" s="3"/>
      <c r="P15257" s="3"/>
      <c r="Q15257" s="3"/>
      <c r="R15257" s="3"/>
      <c r="S15257" s="3"/>
      <c r="T15257" s="3"/>
      <c r="U15257" s="3"/>
      <c r="V15257" s="3"/>
      <c r="W15257" s="3"/>
      <c r="X15257" s="3"/>
      <c r="Y15257" s="3"/>
      <c r="Z15257" s="3"/>
      <c r="AA15257" s="3"/>
      <c r="AB15257" s="3"/>
      <c r="AC15257" s="3"/>
      <c r="AD15257" s="3"/>
      <c r="AE15257" s="3"/>
      <c r="AF15257" s="3"/>
      <c r="AG15257" s="3"/>
      <c r="AH15257" s="3"/>
    </row>
    <row r="15258" spans="1:34" ht="14.25" customHeight="1" x14ac:dyDescent="0.25">
      <c r="A15258" s="3"/>
      <c r="B15258" s="3"/>
      <c r="C15258" s="3"/>
      <c r="D15258" s="3"/>
      <c r="E15258" s="3"/>
      <c r="F15258" s="3"/>
      <c r="G15258" s="3"/>
      <c r="H15258" s="11"/>
      <c r="I15258" s="12"/>
      <c r="J15258" s="3"/>
      <c r="K15258" s="3"/>
      <c r="L15258" s="3"/>
      <c r="M15258" s="3"/>
      <c r="N15258" s="3"/>
      <c r="O15258" s="3"/>
      <c r="P15258" s="3"/>
      <c r="Q15258" s="3"/>
      <c r="R15258" s="3"/>
      <c r="S15258" s="3"/>
      <c r="T15258" s="3"/>
      <c r="U15258" s="3"/>
      <c r="V15258" s="3"/>
      <c r="W15258" s="3"/>
      <c r="X15258" s="3"/>
      <c r="Y15258" s="3"/>
      <c r="Z15258" s="3"/>
      <c r="AA15258" s="3"/>
      <c r="AB15258" s="3"/>
      <c r="AC15258" s="3"/>
      <c r="AD15258" s="3"/>
      <c r="AE15258" s="3"/>
      <c r="AF15258" s="3"/>
      <c r="AG15258" s="3"/>
      <c r="AH15258" s="3"/>
    </row>
    <row r="15259" spans="1:34" ht="14.25" customHeight="1" x14ac:dyDescent="0.25">
      <c r="A15259" s="3"/>
      <c r="B15259" s="3"/>
      <c r="C15259" s="3"/>
      <c r="D15259" s="3"/>
      <c r="E15259" s="3"/>
      <c r="F15259" s="3"/>
      <c r="G15259" s="3"/>
      <c r="H15259" s="11"/>
      <c r="I15259" s="12"/>
      <c r="J15259" s="3"/>
      <c r="K15259" s="3"/>
      <c r="L15259" s="3"/>
      <c r="M15259" s="3"/>
      <c r="N15259" s="3"/>
      <c r="O15259" s="3"/>
      <c r="P15259" s="3"/>
      <c r="Q15259" s="3"/>
      <c r="R15259" s="3"/>
      <c r="S15259" s="3"/>
      <c r="T15259" s="3"/>
      <c r="U15259" s="3"/>
      <c r="V15259" s="3"/>
      <c r="W15259" s="3"/>
      <c r="X15259" s="3"/>
      <c r="Y15259" s="3"/>
      <c r="Z15259" s="3"/>
      <c r="AA15259" s="3"/>
      <c r="AB15259" s="3"/>
      <c r="AC15259" s="3"/>
      <c r="AD15259" s="3"/>
      <c r="AE15259" s="3"/>
      <c r="AF15259" s="3"/>
      <c r="AG15259" s="3"/>
      <c r="AH15259" s="3"/>
    </row>
    <row r="15260" spans="1:34" ht="14.25" customHeight="1" x14ac:dyDescent="0.25">
      <c r="A15260" s="3"/>
      <c r="B15260" s="3"/>
      <c r="C15260" s="3"/>
      <c r="D15260" s="3"/>
      <c r="E15260" s="3"/>
      <c r="F15260" s="3"/>
      <c r="G15260" s="3"/>
      <c r="H15260" s="11"/>
      <c r="I15260" s="12"/>
      <c r="J15260" s="3"/>
      <c r="K15260" s="3"/>
      <c r="L15260" s="3"/>
      <c r="M15260" s="3"/>
      <c r="N15260" s="3"/>
      <c r="O15260" s="3"/>
      <c r="P15260" s="3"/>
      <c r="Q15260" s="3"/>
      <c r="R15260" s="3"/>
      <c r="S15260" s="3"/>
      <c r="T15260" s="3"/>
      <c r="U15260" s="3"/>
      <c r="V15260" s="3"/>
      <c r="W15260" s="3"/>
      <c r="X15260" s="3"/>
      <c r="Y15260" s="3"/>
      <c r="Z15260" s="3"/>
      <c r="AA15260" s="3"/>
      <c r="AB15260" s="3"/>
      <c r="AC15260" s="3"/>
      <c r="AD15260" s="3"/>
      <c r="AE15260" s="3"/>
      <c r="AF15260" s="3"/>
      <c r="AG15260" s="3"/>
      <c r="AH15260" s="3"/>
    </row>
    <row r="15261" spans="1:34" ht="14.25" customHeight="1" x14ac:dyDescent="0.25">
      <c r="A15261" s="3"/>
      <c r="B15261" s="3"/>
      <c r="C15261" s="3"/>
      <c r="D15261" s="3"/>
      <c r="E15261" s="3"/>
      <c r="F15261" s="3"/>
      <c r="G15261" s="3"/>
      <c r="H15261" s="11"/>
      <c r="I15261" s="12"/>
      <c r="J15261" s="3"/>
      <c r="K15261" s="3"/>
      <c r="L15261" s="3"/>
      <c r="M15261" s="3"/>
      <c r="N15261" s="3"/>
      <c r="O15261" s="3"/>
      <c r="P15261" s="3"/>
      <c r="Q15261" s="3"/>
      <c r="R15261" s="3"/>
      <c r="S15261" s="3"/>
      <c r="T15261" s="3"/>
      <c r="U15261" s="3"/>
      <c r="V15261" s="3"/>
      <c r="W15261" s="3"/>
      <c r="X15261" s="3"/>
      <c r="Y15261" s="3"/>
      <c r="Z15261" s="3"/>
      <c r="AA15261" s="3"/>
      <c r="AB15261" s="3"/>
      <c r="AC15261" s="3"/>
      <c r="AD15261" s="3"/>
      <c r="AE15261" s="3"/>
      <c r="AF15261" s="3"/>
      <c r="AG15261" s="3"/>
      <c r="AH15261" s="3"/>
    </row>
    <row r="15262" spans="1:34" ht="14.25" customHeight="1" x14ac:dyDescent="0.25">
      <c r="A15262" s="3"/>
      <c r="B15262" s="3"/>
      <c r="C15262" s="3"/>
      <c r="D15262" s="3"/>
      <c r="E15262" s="3"/>
      <c r="F15262" s="3"/>
      <c r="G15262" s="3"/>
      <c r="H15262" s="11"/>
      <c r="I15262" s="12"/>
      <c r="J15262" s="3"/>
      <c r="K15262" s="3"/>
      <c r="L15262" s="3"/>
      <c r="M15262" s="3"/>
      <c r="N15262" s="3"/>
      <c r="O15262" s="3"/>
      <c r="P15262" s="3"/>
      <c r="Q15262" s="3"/>
      <c r="R15262" s="3"/>
      <c r="S15262" s="3"/>
      <c r="T15262" s="3"/>
      <c r="U15262" s="3"/>
      <c r="V15262" s="3"/>
      <c r="W15262" s="3"/>
      <c r="X15262" s="3"/>
      <c r="Y15262" s="3"/>
      <c r="Z15262" s="3"/>
      <c r="AA15262" s="3"/>
      <c r="AB15262" s="3"/>
      <c r="AC15262" s="3"/>
      <c r="AD15262" s="3"/>
      <c r="AE15262" s="3"/>
      <c r="AF15262" s="3"/>
      <c r="AG15262" s="3"/>
      <c r="AH15262" s="3"/>
    </row>
    <row r="15263" spans="1:34" ht="14.25" customHeight="1" x14ac:dyDescent="0.25">
      <c r="A15263" s="3"/>
      <c r="B15263" s="3"/>
      <c r="C15263" s="3"/>
      <c r="D15263" s="3"/>
      <c r="E15263" s="3"/>
      <c r="F15263" s="3"/>
      <c r="G15263" s="3"/>
      <c r="H15263" s="11"/>
      <c r="I15263" s="12"/>
      <c r="J15263" s="3"/>
      <c r="K15263" s="3"/>
      <c r="L15263" s="3"/>
      <c r="M15263" s="3"/>
      <c r="N15263" s="3"/>
      <c r="O15263" s="3"/>
      <c r="P15263" s="3"/>
      <c r="Q15263" s="3"/>
      <c r="R15263" s="3"/>
      <c r="S15263" s="3"/>
      <c r="T15263" s="3"/>
      <c r="U15263" s="3"/>
      <c r="V15263" s="3"/>
      <c r="W15263" s="3"/>
      <c r="X15263" s="3"/>
      <c r="Y15263" s="3"/>
      <c r="Z15263" s="3"/>
      <c r="AA15263" s="3"/>
      <c r="AB15263" s="3"/>
      <c r="AC15263" s="3"/>
      <c r="AD15263" s="3"/>
      <c r="AE15263" s="3"/>
      <c r="AF15263" s="3"/>
      <c r="AG15263" s="3"/>
      <c r="AH15263" s="3"/>
    </row>
    <row r="15264" spans="1:34" ht="14.25" customHeight="1" x14ac:dyDescent="0.25">
      <c r="A15264" s="3"/>
      <c r="B15264" s="3"/>
      <c r="C15264" s="3"/>
      <c r="D15264" s="3"/>
      <c r="E15264" s="3"/>
      <c r="F15264" s="3"/>
      <c r="G15264" s="3"/>
      <c r="H15264" s="11"/>
      <c r="I15264" s="12"/>
      <c r="J15264" s="3"/>
      <c r="K15264" s="3"/>
      <c r="L15264" s="3"/>
      <c r="M15264" s="3"/>
      <c r="N15264" s="3"/>
      <c r="O15264" s="3"/>
      <c r="P15264" s="3"/>
      <c r="Q15264" s="3"/>
      <c r="R15264" s="3"/>
      <c r="S15264" s="3"/>
      <c r="T15264" s="3"/>
      <c r="U15264" s="3"/>
      <c r="V15264" s="3"/>
      <c r="W15264" s="3"/>
      <c r="X15264" s="3"/>
      <c r="Y15264" s="3"/>
      <c r="Z15264" s="3"/>
      <c r="AA15264" s="3"/>
      <c r="AB15264" s="3"/>
      <c r="AC15264" s="3"/>
      <c r="AD15264" s="3"/>
      <c r="AE15264" s="3"/>
      <c r="AF15264" s="3"/>
      <c r="AG15264" s="3"/>
      <c r="AH15264" s="3"/>
    </row>
    <row r="15265" spans="1:34" ht="14.25" customHeight="1" x14ac:dyDescent="0.25">
      <c r="A15265" s="3"/>
      <c r="B15265" s="3"/>
      <c r="C15265" s="3"/>
      <c r="D15265" s="3"/>
      <c r="E15265" s="3"/>
      <c r="F15265" s="3"/>
      <c r="G15265" s="3"/>
      <c r="H15265" s="11"/>
      <c r="I15265" s="12"/>
      <c r="J15265" s="3"/>
      <c r="K15265" s="3"/>
      <c r="L15265" s="3"/>
      <c r="M15265" s="3"/>
      <c r="N15265" s="3"/>
      <c r="O15265" s="3"/>
      <c r="P15265" s="3"/>
      <c r="Q15265" s="3"/>
      <c r="R15265" s="3"/>
      <c r="S15265" s="3"/>
      <c r="T15265" s="3"/>
      <c r="U15265" s="3"/>
      <c r="V15265" s="3"/>
      <c r="W15265" s="3"/>
      <c r="X15265" s="3"/>
      <c r="Y15265" s="3"/>
      <c r="Z15265" s="3"/>
      <c r="AA15265" s="3"/>
      <c r="AB15265" s="3"/>
      <c r="AC15265" s="3"/>
      <c r="AD15265" s="3"/>
      <c r="AE15265" s="3"/>
      <c r="AF15265" s="3"/>
      <c r="AG15265" s="3"/>
      <c r="AH15265" s="3"/>
    </row>
    <row r="15266" spans="1:34" ht="14.25" customHeight="1" x14ac:dyDescent="0.25">
      <c r="A15266" s="3"/>
      <c r="B15266" s="3"/>
      <c r="C15266" s="3"/>
      <c r="D15266" s="3"/>
      <c r="E15266" s="3"/>
      <c r="F15266" s="3"/>
      <c r="G15266" s="3"/>
      <c r="H15266" s="11"/>
      <c r="I15266" s="12"/>
      <c r="J15266" s="3"/>
      <c r="K15266" s="3"/>
      <c r="L15266" s="3"/>
      <c r="M15266" s="3"/>
      <c r="N15266" s="3"/>
      <c r="O15266" s="3"/>
      <c r="P15266" s="3"/>
      <c r="Q15266" s="3"/>
      <c r="R15266" s="3"/>
      <c r="S15266" s="3"/>
      <c r="T15266" s="3"/>
      <c r="U15266" s="3"/>
      <c r="V15266" s="3"/>
      <c r="W15266" s="3"/>
      <c r="X15266" s="3"/>
      <c r="Y15266" s="3"/>
      <c r="Z15266" s="3"/>
      <c r="AA15266" s="3"/>
      <c r="AB15266" s="3"/>
      <c r="AC15266" s="3"/>
      <c r="AD15266" s="3"/>
      <c r="AE15266" s="3"/>
      <c r="AF15266" s="3"/>
      <c r="AG15266" s="3"/>
      <c r="AH15266" s="3"/>
    </row>
    <row r="15267" spans="1:34" ht="14.25" customHeight="1" x14ac:dyDescent="0.25">
      <c r="A15267" s="3"/>
      <c r="B15267" s="3"/>
      <c r="C15267" s="3"/>
      <c r="D15267" s="3"/>
      <c r="E15267" s="3"/>
      <c r="F15267" s="3"/>
      <c r="G15267" s="3"/>
      <c r="H15267" s="11"/>
      <c r="I15267" s="12"/>
      <c r="J15267" s="3"/>
      <c r="K15267" s="3"/>
      <c r="L15267" s="3"/>
      <c r="M15267" s="3"/>
      <c r="N15267" s="3"/>
      <c r="O15267" s="3"/>
      <c r="P15267" s="3"/>
      <c r="Q15267" s="3"/>
      <c r="R15267" s="3"/>
      <c r="S15267" s="3"/>
      <c r="T15267" s="3"/>
      <c r="U15267" s="3"/>
      <c r="V15267" s="3"/>
      <c r="W15267" s="3"/>
      <c r="X15267" s="3"/>
      <c r="Y15267" s="3"/>
      <c r="Z15267" s="3"/>
      <c r="AA15267" s="3"/>
      <c r="AB15267" s="3"/>
      <c r="AC15267" s="3"/>
      <c r="AD15267" s="3"/>
      <c r="AE15267" s="3"/>
      <c r="AF15267" s="3"/>
      <c r="AG15267" s="3"/>
      <c r="AH15267" s="3"/>
    </row>
    <row r="15268" spans="1:34" ht="14.25" customHeight="1" x14ac:dyDescent="0.25">
      <c r="A15268" s="3"/>
      <c r="B15268" s="3"/>
      <c r="C15268" s="3"/>
      <c r="D15268" s="3"/>
      <c r="E15268" s="3"/>
      <c r="F15268" s="3"/>
      <c r="G15268" s="3"/>
      <c r="H15268" s="11"/>
      <c r="I15268" s="12"/>
      <c r="J15268" s="3"/>
      <c r="K15268" s="3"/>
      <c r="L15268" s="3"/>
      <c r="M15268" s="3"/>
      <c r="N15268" s="3"/>
      <c r="O15268" s="3"/>
      <c r="P15268" s="3"/>
      <c r="Q15268" s="3"/>
      <c r="R15268" s="3"/>
      <c r="S15268" s="3"/>
      <c r="T15268" s="3"/>
      <c r="U15268" s="3"/>
      <c r="V15268" s="3"/>
      <c r="W15268" s="3"/>
      <c r="X15268" s="3"/>
      <c r="Y15268" s="3"/>
      <c r="Z15268" s="3"/>
      <c r="AA15268" s="3"/>
      <c r="AB15268" s="3"/>
      <c r="AC15268" s="3"/>
      <c r="AD15268" s="3"/>
      <c r="AE15268" s="3"/>
      <c r="AF15268" s="3"/>
      <c r="AG15268" s="3"/>
      <c r="AH15268" s="3"/>
    </row>
    <row r="15269" spans="1:34" ht="14.25" customHeight="1" x14ac:dyDescent="0.25">
      <c r="A15269" s="3"/>
      <c r="B15269" s="3"/>
      <c r="C15269" s="3"/>
      <c r="D15269" s="3"/>
      <c r="E15269" s="3"/>
      <c r="F15269" s="3"/>
      <c r="G15269" s="3"/>
      <c r="H15269" s="11"/>
      <c r="I15269" s="12"/>
      <c r="J15269" s="3"/>
      <c r="K15269" s="3"/>
      <c r="L15269" s="3"/>
      <c r="M15269" s="3"/>
      <c r="N15269" s="3"/>
      <c r="O15269" s="3"/>
      <c r="P15269" s="3"/>
      <c r="Q15269" s="3"/>
      <c r="R15269" s="3"/>
      <c r="S15269" s="3"/>
      <c r="T15269" s="3"/>
      <c r="U15269" s="3"/>
      <c r="V15269" s="3"/>
      <c r="W15269" s="3"/>
      <c r="X15269" s="3"/>
      <c r="Y15269" s="3"/>
      <c r="Z15269" s="3"/>
      <c r="AA15269" s="3"/>
      <c r="AB15269" s="3"/>
      <c r="AC15269" s="3"/>
      <c r="AD15269" s="3"/>
      <c r="AE15269" s="3"/>
      <c r="AF15269" s="3"/>
      <c r="AG15269" s="3"/>
      <c r="AH15269" s="3"/>
    </row>
    <row r="15270" spans="1:34" ht="14.25" customHeight="1" x14ac:dyDescent="0.25">
      <c r="A15270" s="3"/>
      <c r="B15270" s="3"/>
      <c r="C15270" s="3"/>
      <c r="D15270" s="3"/>
      <c r="E15270" s="3"/>
      <c r="F15270" s="3"/>
      <c r="G15270" s="3"/>
      <c r="H15270" s="11"/>
      <c r="I15270" s="12"/>
      <c r="J15270" s="3"/>
      <c r="K15270" s="3"/>
      <c r="L15270" s="3"/>
      <c r="M15270" s="3"/>
      <c r="N15270" s="3"/>
      <c r="O15270" s="3"/>
      <c r="P15270" s="3"/>
      <c r="Q15270" s="3"/>
      <c r="R15270" s="3"/>
      <c r="S15270" s="3"/>
      <c r="T15270" s="3"/>
      <c r="U15270" s="3"/>
      <c r="V15270" s="3"/>
      <c r="W15270" s="3"/>
      <c r="X15270" s="3"/>
      <c r="Y15270" s="3"/>
      <c r="Z15270" s="3"/>
      <c r="AA15270" s="3"/>
      <c r="AB15270" s="3"/>
      <c r="AC15270" s="3"/>
      <c r="AD15270" s="3"/>
      <c r="AE15270" s="3"/>
      <c r="AF15270" s="3"/>
      <c r="AG15270" s="3"/>
      <c r="AH15270" s="3"/>
    </row>
    <row r="15271" spans="1:34" ht="14.25" customHeight="1" x14ac:dyDescent="0.25">
      <c r="A15271" s="3"/>
      <c r="B15271" s="3"/>
      <c r="C15271" s="3"/>
      <c r="D15271" s="3"/>
      <c r="E15271" s="3"/>
      <c r="F15271" s="3"/>
      <c r="G15271" s="3"/>
      <c r="H15271" s="11"/>
      <c r="I15271" s="12"/>
      <c r="J15271" s="3"/>
      <c r="K15271" s="3"/>
      <c r="L15271" s="3"/>
      <c r="M15271" s="3"/>
      <c r="N15271" s="3"/>
      <c r="O15271" s="3"/>
      <c r="P15271" s="3"/>
      <c r="Q15271" s="3"/>
      <c r="R15271" s="3"/>
      <c r="S15271" s="3"/>
      <c r="T15271" s="3"/>
      <c r="U15271" s="3"/>
      <c r="V15271" s="3"/>
      <c r="W15271" s="3"/>
      <c r="X15271" s="3"/>
      <c r="Y15271" s="3"/>
      <c r="Z15271" s="3"/>
      <c r="AA15271" s="3"/>
      <c r="AB15271" s="3"/>
      <c r="AC15271" s="3"/>
      <c r="AD15271" s="3"/>
      <c r="AE15271" s="3"/>
      <c r="AF15271" s="3"/>
      <c r="AG15271" s="3"/>
      <c r="AH15271" s="3"/>
    </row>
    <row r="15272" spans="1:34" ht="14.25" customHeight="1" x14ac:dyDescent="0.25">
      <c r="A15272" s="3"/>
      <c r="B15272" s="3"/>
      <c r="C15272" s="3"/>
      <c r="D15272" s="3"/>
      <c r="E15272" s="3"/>
      <c r="F15272" s="3"/>
      <c r="G15272" s="3"/>
      <c r="H15272" s="11"/>
      <c r="I15272" s="12"/>
      <c r="J15272" s="3"/>
      <c r="K15272" s="3"/>
      <c r="L15272" s="3"/>
      <c r="M15272" s="3"/>
      <c r="N15272" s="3"/>
      <c r="O15272" s="3"/>
      <c r="P15272" s="3"/>
      <c r="Q15272" s="3"/>
      <c r="R15272" s="3"/>
      <c r="S15272" s="3"/>
      <c r="T15272" s="3"/>
      <c r="U15272" s="3"/>
      <c r="V15272" s="3"/>
      <c r="W15272" s="3"/>
      <c r="X15272" s="3"/>
      <c r="Y15272" s="3"/>
      <c r="Z15272" s="3"/>
      <c r="AA15272" s="3"/>
      <c r="AB15272" s="3"/>
      <c r="AC15272" s="3"/>
      <c r="AD15272" s="3"/>
      <c r="AE15272" s="3"/>
      <c r="AF15272" s="3"/>
      <c r="AG15272" s="3"/>
      <c r="AH15272" s="3"/>
    </row>
    <row r="15273" spans="1:34" ht="14.25" customHeight="1" x14ac:dyDescent="0.25">
      <c r="A15273" s="3"/>
      <c r="B15273" s="3"/>
      <c r="C15273" s="3"/>
      <c r="D15273" s="3"/>
      <c r="E15273" s="3"/>
      <c r="F15273" s="3"/>
      <c r="G15273" s="3"/>
      <c r="H15273" s="11"/>
      <c r="I15273" s="12"/>
      <c r="J15273" s="3"/>
      <c r="K15273" s="3"/>
      <c r="L15273" s="3"/>
      <c r="M15273" s="3"/>
      <c r="N15273" s="3"/>
      <c r="O15273" s="3"/>
      <c r="P15273" s="3"/>
      <c r="Q15273" s="3"/>
      <c r="R15273" s="3"/>
      <c r="S15273" s="3"/>
      <c r="T15273" s="3"/>
      <c r="U15273" s="3"/>
      <c r="V15273" s="3"/>
      <c r="W15273" s="3"/>
      <c r="X15273" s="3"/>
      <c r="Y15273" s="3"/>
      <c r="Z15273" s="3"/>
      <c r="AA15273" s="3"/>
      <c r="AB15273" s="3"/>
      <c r="AC15273" s="3"/>
      <c r="AD15273" s="3"/>
      <c r="AE15273" s="3"/>
      <c r="AF15273" s="3"/>
      <c r="AG15273" s="3"/>
      <c r="AH15273" s="3"/>
    </row>
    <row r="15274" spans="1:34" ht="14.25" customHeight="1" x14ac:dyDescent="0.25">
      <c r="A15274" s="3"/>
      <c r="B15274" s="3"/>
      <c r="C15274" s="3"/>
      <c r="D15274" s="3"/>
      <c r="E15274" s="3"/>
      <c r="F15274" s="3"/>
      <c r="G15274" s="3"/>
      <c r="H15274" s="11"/>
      <c r="I15274" s="12"/>
      <c r="J15274" s="3"/>
      <c r="K15274" s="3"/>
      <c r="L15274" s="3"/>
      <c r="M15274" s="3"/>
      <c r="N15274" s="3"/>
      <c r="O15274" s="3"/>
      <c r="P15274" s="3"/>
      <c r="Q15274" s="3"/>
      <c r="R15274" s="3"/>
      <c r="S15274" s="3"/>
      <c r="T15274" s="3"/>
      <c r="U15274" s="3"/>
      <c r="V15274" s="3"/>
      <c r="W15274" s="3"/>
      <c r="X15274" s="3"/>
      <c r="Y15274" s="3"/>
      <c r="Z15274" s="3"/>
      <c r="AA15274" s="3"/>
      <c r="AB15274" s="3"/>
      <c r="AC15274" s="3"/>
      <c r="AD15274" s="3"/>
      <c r="AE15274" s="3"/>
      <c r="AF15274" s="3"/>
      <c r="AG15274" s="3"/>
      <c r="AH15274" s="3"/>
    </row>
    <row r="15275" spans="1:34" ht="14.25" customHeight="1" x14ac:dyDescent="0.25">
      <c r="A15275" s="3"/>
      <c r="B15275" s="3"/>
      <c r="C15275" s="3"/>
      <c r="D15275" s="3"/>
      <c r="E15275" s="3"/>
      <c r="F15275" s="3"/>
      <c r="G15275" s="3"/>
      <c r="H15275" s="11"/>
      <c r="I15275" s="12"/>
      <c r="J15275" s="3"/>
      <c r="K15275" s="3"/>
      <c r="L15275" s="3"/>
      <c r="M15275" s="3"/>
      <c r="N15275" s="3"/>
      <c r="O15275" s="3"/>
      <c r="P15275" s="3"/>
      <c r="Q15275" s="3"/>
      <c r="R15275" s="3"/>
      <c r="S15275" s="3"/>
      <c r="T15275" s="3"/>
      <c r="U15275" s="3"/>
      <c r="V15275" s="3"/>
      <c r="W15275" s="3"/>
      <c r="X15275" s="3"/>
      <c r="Y15275" s="3"/>
      <c r="Z15275" s="3"/>
      <c r="AA15275" s="3"/>
      <c r="AB15275" s="3"/>
      <c r="AC15275" s="3"/>
      <c r="AD15275" s="3"/>
      <c r="AE15275" s="3"/>
      <c r="AF15275" s="3"/>
      <c r="AG15275" s="3"/>
      <c r="AH15275" s="3"/>
    </row>
    <row r="15276" spans="1:34" ht="14.25" customHeight="1" x14ac:dyDescent="0.25">
      <c r="A15276" s="3"/>
      <c r="B15276" s="3"/>
      <c r="C15276" s="3"/>
      <c r="D15276" s="3"/>
      <c r="E15276" s="3"/>
      <c r="F15276" s="3"/>
      <c r="G15276" s="3"/>
      <c r="H15276" s="11"/>
      <c r="I15276" s="12"/>
      <c r="J15276" s="3"/>
      <c r="K15276" s="3"/>
      <c r="L15276" s="3"/>
      <c r="M15276" s="3"/>
      <c r="N15276" s="3"/>
      <c r="O15276" s="3"/>
      <c r="P15276" s="3"/>
      <c r="Q15276" s="3"/>
      <c r="R15276" s="3"/>
      <c r="S15276" s="3"/>
      <c r="T15276" s="3"/>
      <c r="U15276" s="3"/>
      <c r="V15276" s="3"/>
      <c r="W15276" s="3"/>
      <c r="X15276" s="3"/>
      <c r="Y15276" s="3"/>
      <c r="Z15276" s="3"/>
      <c r="AA15276" s="3"/>
      <c r="AB15276" s="3"/>
      <c r="AC15276" s="3"/>
      <c r="AD15276" s="3"/>
      <c r="AE15276" s="3"/>
      <c r="AF15276" s="3"/>
      <c r="AG15276" s="3"/>
      <c r="AH15276" s="3"/>
    </row>
    <row r="15277" spans="1:34" ht="14.25" customHeight="1" x14ac:dyDescent="0.25">
      <c r="A15277" s="3"/>
      <c r="B15277" s="3"/>
      <c r="C15277" s="3"/>
      <c r="D15277" s="3"/>
      <c r="E15277" s="3"/>
      <c r="F15277" s="3"/>
      <c r="G15277" s="3"/>
      <c r="H15277" s="11"/>
      <c r="I15277" s="12"/>
      <c r="J15277" s="3"/>
      <c r="K15277" s="3"/>
      <c r="L15277" s="3"/>
      <c r="M15277" s="3"/>
      <c r="N15277" s="3"/>
      <c r="O15277" s="3"/>
      <c r="P15277" s="3"/>
      <c r="Q15277" s="3"/>
      <c r="R15277" s="3"/>
      <c r="S15277" s="3"/>
      <c r="T15277" s="3"/>
      <c r="U15277" s="3"/>
      <c r="V15277" s="3"/>
      <c r="W15277" s="3"/>
      <c r="X15277" s="3"/>
      <c r="Y15277" s="3"/>
      <c r="Z15277" s="3"/>
      <c r="AA15277" s="3"/>
      <c r="AB15277" s="3"/>
      <c r="AC15277" s="3"/>
      <c r="AD15277" s="3"/>
      <c r="AE15277" s="3"/>
      <c r="AF15277" s="3"/>
      <c r="AG15277" s="3"/>
      <c r="AH15277" s="3"/>
    </row>
    <row r="15278" spans="1:34" ht="14.25" customHeight="1" x14ac:dyDescent="0.25">
      <c r="A15278" s="3"/>
      <c r="B15278" s="3"/>
      <c r="C15278" s="3"/>
      <c r="D15278" s="3"/>
      <c r="E15278" s="3"/>
      <c r="F15278" s="3"/>
      <c r="G15278" s="3"/>
      <c r="H15278" s="11"/>
      <c r="I15278" s="12"/>
      <c r="J15278" s="3"/>
      <c r="K15278" s="3"/>
      <c r="L15278" s="3"/>
      <c r="M15278" s="3"/>
      <c r="N15278" s="3"/>
      <c r="O15278" s="3"/>
      <c r="P15278" s="3"/>
      <c r="Q15278" s="3"/>
      <c r="R15278" s="3"/>
      <c r="S15278" s="3"/>
      <c r="T15278" s="3"/>
      <c r="U15278" s="3"/>
      <c r="V15278" s="3"/>
      <c r="W15278" s="3"/>
      <c r="X15278" s="3"/>
      <c r="Y15278" s="3"/>
      <c r="Z15278" s="3"/>
      <c r="AA15278" s="3"/>
      <c r="AB15278" s="3"/>
      <c r="AC15278" s="3"/>
      <c r="AD15278" s="3"/>
      <c r="AE15278" s="3"/>
      <c r="AF15278" s="3"/>
      <c r="AG15278" s="3"/>
      <c r="AH15278" s="3"/>
    </row>
    <row r="15279" spans="1:34" ht="14.25" customHeight="1" x14ac:dyDescent="0.25">
      <c r="A15279" s="3"/>
      <c r="B15279" s="3"/>
      <c r="C15279" s="3"/>
      <c r="D15279" s="3"/>
      <c r="E15279" s="3"/>
      <c r="F15279" s="3"/>
      <c r="G15279" s="3"/>
      <c r="H15279" s="11"/>
      <c r="I15279" s="12"/>
      <c r="J15279" s="3"/>
      <c r="K15279" s="3"/>
      <c r="L15279" s="3"/>
      <c r="M15279" s="3"/>
      <c r="N15279" s="3"/>
      <c r="O15279" s="3"/>
      <c r="P15279" s="3"/>
      <c r="Q15279" s="3"/>
      <c r="R15279" s="3"/>
      <c r="S15279" s="3"/>
      <c r="T15279" s="3"/>
      <c r="U15279" s="3"/>
      <c r="V15279" s="3"/>
      <c r="W15279" s="3"/>
      <c r="X15279" s="3"/>
      <c r="Y15279" s="3"/>
      <c r="Z15279" s="3"/>
      <c r="AA15279" s="3"/>
      <c r="AB15279" s="3"/>
      <c r="AC15279" s="3"/>
      <c r="AD15279" s="3"/>
      <c r="AE15279" s="3"/>
      <c r="AF15279" s="3"/>
      <c r="AG15279" s="3"/>
      <c r="AH15279" s="3"/>
    </row>
    <row r="15280" spans="1:34" ht="14.25" customHeight="1" x14ac:dyDescent="0.25">
      <c r="A15280" s="3"/>
      <c r="B15280" s="3"/>
      <c r="C15280" s="3"/>
      <c r="D15280" s="3"/>
      <c r="E15280" s="3"/>
      <c r="F15280" s="3"/>
      <c r="G15280" s="3"/>
      <c r="H15280" s="11"/>
      <c r="I15280" s="12"/>
      <c r="J15280" s="3"/>
      <c r="K15280" s="3"/>
      <c r="L15280" s="3"/>
      <c r="M15280" s="3"/>
      <c r="N15280" s="3"/>
      <c r="O15280" s="3"/>
      <c r="P15280" s="3"/>
      <c r="Q15280" s="3"/>
      <c r="R15280" s="3"/>
      <c r="S15280" s="3"/>
      <c r="T15280" s="3"/>
      <c r="U15280" s="3"/>
      <c r="V15280" s="3"/>
      <c r="W15280" s="3"/>
      <c r="X15280" s="3"/>
      <c r="Y15280" s="3"/>
      <c r="Z15280" s="3"/>
      <c r="AA15280" s="3"/>
      <c r="AB15280" s="3"/>
      <c r="AC15280" s="3"/>
      <c r="AD15280" s="3"/>
      <c r="AE15280" s="3"/>
      <c r="AF15280" s="3"/>
      <c r="AG15280" s="3"/>
      <c r="AH15280" s="3"/>
    </row>
    <row r="15281" spans="1:34" ht="14.25" customHeight="1" x14ac:dyDescent="0.25">
      <c r="A15281" s="3"/>
      <c r="B15281" s="3"/>
      <c r="C15281" s="3"/>
      <c r="D15281" s="3"/>
      <c r="E15281" s="3"/>
      <c r="F15281" s="3"/>
      <c r="G15281" s="3"/>
      <c r="H15281" s="11"/>
      <c r="I15281" s="12"/>
      <c r="J15281" s="3"/>
      <c r="K15281" s="3"/>
      <c r="L15281" s="3"/>
      <c r="M15281" s="3"/>
      <c r="N15281" s="3"/>
      <c r="O15281" s="3"/>
      <c r="P15281" s="3"/>
      <c r="Q15281" s="3"/>
      <c r="R15281" s="3"/>
      <c r="S15281" s="3"/>
      <c r="T15281" s="3"/>
      <c r="U15281" s="3"/>
      <c r="V15281" s="3"/>
      <c r="W15281" s="3"/>
      <c r="X15281" s="3"/>
      <c r="Y15281" s="3"/>
      <c r="Z15281" s="3"/>
      <c r="AA15281" s="3"/>
      <c r="AB15281" s="3"/>
      <c r="AC15281" s="3"/>
      <c r="AD15281" s="3"/>
      <c r="AE15281" s="3"/>
      <c r="AF15281" s="3"/>
      <c r="AG15281" s="3"/>
      <c r="AH15281" s="3"/>
    </row>
    <row r="15282" spans="1:34" ht="14.25" customHeight="1" x14ac:dyDescent="0.25">
      <c r="A15282" s="3"/>
      <c r="B15282" s="3"/>
      <c r="C15282" s="3"/>
      <c r="D15282" s="3"/>
      <c r="E15282" s="3"/>
      <c r="F15282" s="3"/>
      <c r="G15282" s="3"/>
      <c r="H15282" s="11"/>
      <c r="I15282" s="12"/>
      <c r="J15282" s="3"/>
      <c r="K15282" s="3"/>
      <c r="L15282" s="3"/>
      <c r="M15282" s="3"/>
      <c r="N15282" s="3"/>
      <c r="O15282" s="3"/>
      <c r="P15282" s="3"/>
      <c r="Q15282" s="3"/>
      <c r="R15282" s="3"/>
      <c r="S15282" s="3"/>
      <c r="T15282" s="3"/>
      <c r="U15282" s="3"/>
      <c r="V15282" s="3"/>
      <c r="W15282" s="3"/>
      <c r="X15282" s="3"/>
      <c r="Y15282" s="3"/>
      <c r="Z15282" s="3"/>
      <c r="AA15282" s="3"/>
      <c r="AB15282" s="3"/>
      <c r="AC15282" s="3"/>
      <c r="AD15282" s="3"/>
      <c r="AE15282" s="3"/>
      <c r="AF15282" s="3"/>
      <c r="AG15282" s="3"/>
      <c r="AH15282" s="3"/>
    </row>
    <row r="15283" spans="1:34" ht="14.25" customHeight="1" x14ac:dyDescent="0.25">
      <c r="A15283" s="3"/>
      <c r="B15283" s="3"/>
      <c r="C15283" s="3"/>
      <c r="D15283" s="3"/>
      <c r="E15283" s="3"/>
      <c r="F15283" s="3"/>
      <c r="G15283" s="3"/>
      <c r="H15283" s="11"/>
      <c r="I15283" s="12"/>
      <c r="J15283" s="3"/>
      <c r="K15283" s="3"/>
      <c r="L15283" s="3"/>
      <c r="M15283" s="3"/>
      <c r="N15283" s="3"/>
      <c r="O15283" s="3"/>
      <c r="P15283" s="3"/>
      <c r="Q15283" s="3"/>
      <c r="R15283" s="3"/>
      <c r="S15283" s="3"/>
      <c r="T15283" s="3"/>
      <c r="U15283" s="3"/>
      <c r="V15283" s="3"/>
      <c r="W15283" s="3"/>
      <c r="X15283" s="3"/>
      <c r="Y15283" s="3"/>
      <c r="Z15283" s="3"/>
      <c r="AA15283" s="3"/>
      <c r="AB15283" s="3"/>
      <c r="AC15283" s="3"/>
      <c r="AD15283" s="3"/>
      <c r="AE15283" s="3"/>
      <c r="AF15283" s="3"/>
      <c r="AG15283" s="3"/>
      <c r="AH15283" s="3"/>
    </row>
    <row r="15284" spans="1:34" ht="14.25" customHeight="1" x14ac:dyDescent="0.25">
      <c r="A15284" s="3"/>
      <c r="B15284" s="3"/>
      <c r="C15284" s="3"/>
      <c r="D15284" s="3"/>
      <c r="E15284" s="3"/>
      <c r="F15284" s="3"/>
      <c r="G15284" s="3"/>
      <c r="H15284" s="11"/>
      <c r="I15284" s="12"/>
      <c r="J15284" s="3"/>
      <c r="K15284" s="3"/>
      <c r="L15284" s="3"/>
      <c r="M15284" s="3"/>
      <c r="N15284" s="3"/>
      <c r="O15284" s="3"/>
      <c r="P15284" s="3"/>
      <c r="Q15284" s="3"/>
      <c r="R15284" s="3"/>
      <c r="S15284" s="3"/>
      <c r="T15284" s="3"/>
      <c r="U15284" s="3"/>
      <c r="V15284" s="3"/>
      <c r="W15284" s="3"/>
      <c r="X15284" s="3"/>
      <c r="Y15284" s="3"/>
      <c r="Z15284" s="3"/>
      <c r="AA15284" s="3"/>
      <c r="AB15284" s="3"/>
      <c r="AC15284" s="3"/>
      <c r="AD15284" s="3"/>
      <c r="AE15284" s="3"/>
      <c r="AF15284" s="3"/>
      <c r="AG15284" s="3"/>
      <c r="AH15284" s="3"/>
    </row>
    <row r="15285" spans="1:34" ht="14.25" customHeight="1" x14ac:dyDescent="0.25">
      <c r="A15285" s="3"/>
      <c r="B15285" s="3"/>
      <c r="C15285" s="3"/>
      <c r="D15285" s="3"/>
      <c r="E15285" s="3"/>
      <c r="F15285" s="3"/>
      <c r="G15285" s="3"/>
      <c r="H15285" s="11"/>
      <c r="I15285" s="12"/>
      <c r="J15285" s="3"/>
      <c r="K15285" s="3"/>
      <c r="L15285" s="3"/>
      <c r="M15285" s="3"/>
      <c r="N15285" s="3"/>
      <c r="O15285" s="3"/>
      <c r="P15285" s="3"/>
      <c r="Q15285" s="3"/>
      <c r="R15285" s="3"/>
      <c r="S15285" s="3"/>
      <c r="T15285" s="3"/>
      <c r="U15285" s="3"/>
      <c r="V15285" s="3"/>
      <c r="W15285" s="3"/>
      <c r="X15285" s="3"/>
      <c r="Y15285" s="3"/>
      <c r="Z15285" s="3"/>
      <c r="AA15285" s="3"/>
      <c r="AB15285" s="3"/>
      <c r="AC15285" s="3"/>
      <c r="AD15285" s="3"/>
      <c r="AE15285" s="3"/>
      <c r="AF15285" s="3"/>
      <c r="AG15285" s="3"/>
      <c r="AH15285" s="3"/>
    </row>
    <row r="15286" spans="1:34" ht="14.25" customHeight="1" x14ac:dyDescent="0.25">
      <c r="A15286" s="3"/>
      <c r="B15286" s="3"/>
      <c r="C15286" s="3"/>
      <c r="D15286" s="3"/>
      <c r="E15286" s="3"/>
      <c r="F15286" s="3"/>
      <c r="G15286" s="3"/>
      <c r="H15286" s="11"/>
      <c r="I15286" s="12"/>
      <c r="J15286" s="3"/>
      <c r="K15286" s="3"/>
      <c r="L15286" s="3"/>
      <c r="M15286" s="3"/>
      <c r="N15286" s="3"/>
      <c r="O15286" s="3"/>
      <c r="P15286" s="3"/>
      <c r="Q15286" s="3"/>
      <c r="R15286" s="3"/>
      <c r="S15286" s="3"/>
      <c r="T15286" s="3"/>
      <c r="U15286" s="3"/>
      <c r="V15286" s="3"/>
      <c r="W15286" s="3"/>
      <c r="X15286" s="3"/>
      <c r="Y15286" s="3"/>
      <c r="Z15286" s="3"/>
      <c r="AA15286" s="3"/>
      <c r="AB15286" s="3"/>
      <c r="AC15286" s="3"/>
      <c r="AD15286" s="3"/>
      <c r="AE15286" s="3"/>
      <c r="AF15286" s="3"/>
      <c r="AG15286" s="3"/>
      <c r="AH15286" s="3"/>
    </row>
    <row r="15287" spans="1:34" ht="14.25" customHeight="1" x14ac:dyDescent="0.25">
      <c r="A15287" s="3"/>
      <c r="B15287" s="3"/>
      <c r="C15287" s="3"/>
      <c r="D15287" s="3"/>
      <c r="E15287" s="3"/>
      <c r="F15287" s="3"/>
      <c r="G15287" s="3"/>
      <c r="H15287" s="11"/>
      <c r="I15287" s="12"/>
      <c r="J15287" s="3"/>
      <c r="K15287" s="3"/>
      <c r="L15287" s="3"/>
      <c r="M15287" s="3"/>
      <c r="N15287" s="3"/>
      <c r="O15287" s="3"/>
      <c r="P15287" s="3"/>
      <c r="Q15287" s="3"/>
      <c r="R15287" s="3"/>
      <c r="S15287" s="3"/>
      <c r="T15287" s="3"/>
      <c r="U15287" s="3"/>
      <c r="V15287" s="3"/>
      <c r="W15287" s="3"/>
      <c r="X15287" s="3"/>
      <c r="Y15287" s="3"/>
      <c r="Z15287" s="3"/>
      <c r="AA15287" s="3"/>
      <c r="AB15287" s="3"/>
      <c r="AC15287" s="3"/>
      <c r="AD15287" s="3"/>
      <c r="AE15287" s="3"/>
      <c r="AF15287" s="3"/>
      <c r="AG15287" s="3"/>
      <c r="AH15287" s="3"/>
    </row>
    <row r="15288" spans="1:34" ht="14.25" customHeight="1" x14ac:dyDescent="0.25">
      <c r="A15288" s="3"/>
      <c r="B15288" s="3"/>
      <c r="C15288" s="3"/>
      <c r="D15288" s="3"/>
      <c r="E15288" s="3"/>
      <c r="F15288" s="3"/>
      <c r="G15288" s="3"/>
      <c r="H15288" s="11"/>
      <c r="I15288" s="12"/>
      <c r="J15288" s="3"/>
      <c r="K15288" s="3"/>
      <c r="L15288" s="3"/>
      <c r="M15288" s="3"/>
      <c r="N15288" s="3"/>
      <c r="O15288" s="3"/>
      <c r="P15288" s="3"/>
      <c r="Q15288" s="3"/>
      <c r="R15288" s="3"/>
      <c r="S15288" s="3"/>
      <c r="T15288" s="3"/>
      <c r="U15288" s="3"/>
      <c r="V15288" s="3"/>
      <c r="W15288" s="3"/>
      <c r="X15288" s="3"/>
      <c r="Y15288" s="3"/>
      <c r="Z15288" s="3"/>
      <c r="AA15288" s="3"/>
      <c r="AB15288" s="3"/>
      <c r="AC15288" s="3"/>
      <c r="AD15288" s="3"/>
      <c r="AE15288" s="3"/>
      <c r="AF15288" s="3"/>
      <c r="AG15288" s="3"/>
      <c r="AH15288" s="3"/>
    </row>
    <row r="15289" spans="1:34" ht="14.25" customHeight="1" x14ac:dyDescent="0.25">
      <c r="A15289" s="3"/>
      <c r="B15289" s="3"/>
      <c r="C15289" s="3"/>
      <c r="D15289" s="3"/>
      <c r="E15289" s="3"/>
      <c r="F15289" s="3"/>
      <c r="G15289" s="3"/>
      <c r="H15289" s="11"/>
      <c r="I15289" s="12"/>
      <c r="J15289" s="3"/>
      <c r="K15289" s="3"/>
      <c r="L15289" s="3"/>
      <c r="M15289" s="3"/>
      <c r="N15289" s="3"/>
      <c r="O15289" s="3"/>
      <c r="P15289" s="3"/>
      <c r="Q15289" s="3"/>
      <c r="R15289" s="3"/>
      <c r="S15289" s="3"/>
      <c r="T15289" s="3"/>
      <c r="U15289" s="3"/>
      <c r="V15289" s="3"/>
      <c r="W15289" s="3"/>
      <c r="X15289" s="3"/>
      <c r="Y15289" s="3"/>
      <c r="Z15289" s="3"/>
      <c r="AA15289" s="3"/>
      <c r="AB15289" s="3"/>
      <c r="AC15289" s="3"/>
      <c r="AD15289" s="3"/>
      <c r="AE15289" s="3"/>
      <c r="AF15289" s="3"/>
      <c r="AG15289" s="3"/>
      <c r="AH15289" s="3"/>
    </row>
    <row r="15290" spans="1:34" ht="14.25" customHeight="1" x14ac:dyDescent="0.25">
      <c r="A15290" s="3"/>
      <c r="B15290" s="3"/>
      <c r="C15290" s="3"/>
      <c r="D15290" s="3"/>
      <c r="E15290" s="3"/>
      <c r="F15290" s="3"/>
      <c r="G15290" s="3"/>
      <c r="H15290" s="11"/>
      <c r="I15290" s="12"/>
      <c r="J15290" s="3"/>
      <c r="K15290" s="3"/>
      <c r="L15290" s="3"/>
      <c r="M15290" s="3"/>
      <c r="N15290" s="3"/>
      <c r="O15290" s="3"/>
      <c r="P15290" s="3"/>
      <c r="Q15290" s="3"/>
      <c r="R15290" s="3"/>
      <c r="S15290" s="3"/>
      <c r="T15290" s="3"/>
      <c r="U15290" s="3"/>
      <c r="V15290" s="3"/>
      <c r="W15290" s="3"/>
      <c r="X15290" s="3"/>
      <c r="Y15290" s="3"/>
      <c r="Z15290" s="3"/>
      <c r="AA15290" s="3"/>
      <c r="AB15290" s="3"/>
      <c r="AC15290" s="3"/>
      <c r="AD15290" s="3"/>
      <c r="AE15290" s="3"/>
      <c r="AF15290" s="3"/>
      <c r="AG15290" s="3"/>
      <c r="AH15290" s="3"/>
    </row>
    <row r="15291" spans="1:34" ht="14.25" customHeight="1" x14ac:dyDescent="0.25">
      <c r="A15291" s="3"/>
      <c r="B15291" s="3"/>
      <c r="C15291" s="3"/>
      <c r="D15291" s="3"/>
      <c r="E15291" s="3"/>
      <c r="F15291" s="3"/>
      <c r="G15291" s="3"/>
      <c r="H15291" s="11"/>
      <c r="I15291" s="12"/>
      <c r="J15291" s="3"/>
      <c r="K15291" s="3"/>
      <c r="L15291" s="3"/>
      <c r="M15291" s="3"/>
      <c r="N15291" s="3"/>
      <c r="O15291" s="3"/>
      <c r="P15291" s="3"/>
      <c r="Q15291" s="3"/>
      <c r="R15291" s="3"/>
      <c r="S15291" s="3"/>
      <c r="T15291" s="3"/>
      <c r="U15291" s="3"/>
      <c r="V15291" s="3"/>
      <c r="W15291" s="3"/>
      <c r="X15291" s="3"/>
      <c r="Y15291" s="3"/>
      <c r="Z15291" s="3"/>
      <c r="AA15291" s="3"/>
      <c r="AB15291" s="3"/>
      <c r="AC15291" s="3"/>
      <c r="AD15291" s="3"/>
      <c r="AE15291" s="3"/>
      <c r="AF15291" s="3"/>
      <c r="AG15291" s="3"/>
      <c r="AH15291" s="3"/>
    </row>
    <row r="15292" spans="1:34" ht="14.25" customHeight="1" x14ac:dyDescent="0.25">
      <c r="A15292" s="3"/>
      <c r="B15292" s="3"/>
      <c r="C15292" s="3"/>
      <c r="D15292" s="3"/>
      <c r="E15292" s="3"/>
      <c r="F15292" s="3"/>
      <c r="G15292" s="3"/>
      <c r="H15292" s="11"/>
      <c r="I15292" s="12"/>
      <c r="J15292" s="3"/>
      <c r="K15292" s="3"/>
      <c r="L15292" s="3"/>
      <c r="M15292" s="3"/>
      <c r="N15292" s="3"/>
      <c r="O15292" s="3"/>
      <c r="P15292" s="3"/>
      <c r="Q15292" s="3"/>
      <c r="R15292" s="3"/>
      <c r="S15292" s="3"/>
      <c r="T15292" s="3"/>
      <c r="U15292" s="3"/>
      <c r="V15292" s="3"/>
      <c r="W15292" s="3"/>
      <c r="X15292" s="3"/>
      <c r="Y15292" s="3"/>
      <c r="Z15292" s="3"/>
      <c r="AA15292" s="3"/>
      <c r="AB15292" s="3"/>
      <c r="AC15292" s="3"/>
      <c r="AD15292" s="3"/>
      <c r="AE15292" s="3"/>
      <c r="AF15292" s="3"/>
      <c r="AG15292" s="3"/>
      <c r="AH15292" s="3"/>
    </row>
    <row r="15293" spans="1:34" ht="14.25" customHeight="1" x14ac:dyDescent="0.25">
      <c r="A15293" s="3"/>
      <c r="B15293" s="3"/>
      <c r="C15293" s="3"/>
      <c r="D15293" s="3"/>
      <c r="E15293" s="3"/>
      <c r="F15293" s="3"/>
      <c r="G15293" s="3"/>
      <c r="H15293" s="11"/>
      <c r="I15293" s="12"/>
      <c r="J15293" s="3"/>
      <c r="K15293" s="3"/>
      <c r="L15293" s="3"/>
      <c r="M15293" s="3"/>
      <c r="N15293" s="3"/>
      <c r="O15293" s="3"/>
      <c r="P15293" s="3"/>
      <c r="Q15293" s="3"/>
      <c r="R15293" s="3"/>
      <c r="S15293" s="3"/>
      <c r="T15293" s="3"/>
      <c r="U15293" s="3"/>
      <c r="V15293" s="3"/>
      <c r="W15293" s="3"/>
      <c r="X15293" s="3"/>
      <c r="Y15293" s="3"/>
      <c r="Z15293" s="3"/>
      <c r="AA15293" s="3"/>
      <c r="AB15293" s="3"/>
      <c r="AC15293" s="3"/>
      <c r="AD15293" s="3"/>
      <c r="AE15293" s="3"/>
      <c r="AF15293" s="3"/>
      <c r="AG15293" s="3"/>
      <c r="AH15293" s="3"/>
    </row>
    <row r="15294" spans="1:34" ht="14.25" customHeight="1" x14ac:dyDescent="0.25">
      <c r="A15294" s="3"/>
      <c r="B15294" s="3"/>
      <c r="C15294" s="3"/>
      <c r="D15294" s="3"/>
      <c r="E15294" s="3"/>
      <c r="F15294" s="3"/>
      <c r="G15294" s="3"/>
      <c r="H15294" s="11"/>
      <c r="I15294" s="12"/>
      <c r="J15294" s="3"/>
      <c r="K15294" s="3"/>
      <c r="L15294" s="3"/>
      <c r="M15294" s="3"/>
      <c r="N15294" s="3"/>
      <c r="O15294" s="3"/>
      <c r="P15294" s="3"/>
      <c r="Q15294" s="3"/>
      <c r="R15294" s="3"/>
      <c r="S15294" s="3"/>
      <c r="T15294" s="3"/>
      <c r="U15294" s="3"/>
      <c r="V15294" s="3"/>
      <c r="W15294" s="3"/>
      <c r="X15294" s="3"/>
      <c r="Y15294" s="3"/>
      <c r="Z15294" s="3"/>
      <c r="AA15294" s="3"/>
      <c r="AB15294" s="3"/>
      <c r="AC15294" s="3"/>
      <c r="AD15294" s="3"/>
      <c r="AE15294" s="3"/>
      <c r="AF15294" s="3"/>
      <c r="AG15294" s="3"/>
      <c r="AH15294" s="3"/>
    </row>
    <row r="15295" spans="1:34" ht="14.25" customHeight="1" x14ac:dyDescent="0.25">
      <c r="A15295" s="3"/>
      <c r="B15295" s="3"/>
      <c r="C15295" s="3"/>
      <c r="D15295" s="3"/>
      <c r="E15295" s="3"/>
      <c r="F15295" s="3"/>
      <c r="G15295" s="3"/>
      <c r="H15295" s="11"/>
      <c r="I15295" s="12"/>
      <c r="J15295" s="3"/>
      <c r="K15295" s="3"/>
      <c r="L15295" s="3"/>
      <c r="M15295" s="3"/>
      <c r="N15295" s="3"/>
      <c r="O15295" s="3"/>
      <c r="P15295" s="3"/>
      <c r="Q15295" s="3"/>
      <c r="R15295" s="3"/>
      <c r="S15295" s="3"/>
      <c r="T15295" s="3"/>
      <c r="U15295" s="3"/>
      <c r="V15295" s="3"/>
      <c r="W15295" s="3"/>
      <c r="X15295" s="3"/>
      <c r="Y15295" s="3"/>
      <c r="Z15295" s="3"/>
      <c r="AA15295" s="3"/>
      <c r="AB15295" s="3"/>
      <c r="AC15295" s="3"/>
      <c r="AD15295" s="3"/>
      <c r="AE15295" s="3"/>
      <c r="AF15295" s="3"/>
      <c r="AG15295" s="3"/>
      <c r="AH15295" s="3"/>
    </row>
    <row r="15296" spans="1:34" ht="14.25" customHeight="1" x14ac:dyDescent="0.25">
      <c r="A15296" s="3"/>
      <c r="B15296" s="3"/>
      <c r="C15296" s="3"/>
      <c r="D15296" s="3"/>
      <c r="E15296" s="3"/>
      <c r="F15296" s="3"/>
      <c r="G15296" s="3"/>
      <c r="H15296" s="11"/>
      <c r="I15296" s="12"/>
      <c r="J15296" s="3"/>
      <c r="K15296" s="3"/>
      <c r="L15296" s="3"/>
      <c r="M15296" s="3"/>
      <c r="N15296" s="3"/>
      <c r="O15296" s="3"/>
      <c r="P15296" s="3"/>
      <c r="Q15296" s="3"/>
      <c r="R15296" s="3"/>
      <c r="S15296" s="3"/>
      <c r="T15296" s="3"/>
      <c r="U15296" s="3"/>
      <c r="V15296" s="3"/>
      <c r="W15296" s="3"/>
      <c r="X15296" s="3"/>
      <c r="Y15296" s="3"/>
      <c r="Z15296" s="3"/>
      <c r="AA15296" s="3"/>
      <c r="AB15296" s="3"/>
      <c r="AC15296" s="3"/>
      <c r="AD15296" s="3"/>
      <c r="AE15296" s="3"/>
      <c r="AF15296" s="3"/>
      <c r="AG15296" s="3"/>
      <c r="AH15296" s="3"/>
    </row>
    <row r="15297" spans="1:34" ht="14.25" customHeight="1" x14ac:dyDescent="0.25">
      <c r="A15297" s="3"/>
      <c r="B15297" s="3"/>
      <c r="C15297" s="3"/>
      <c r="D15297" s="3"/>
      <c r="E15297" s="3"/>
      <c r="F15297" s="3"/>
      <c r="G15297" s="3"/>
      <c r="H15297" s="11"/>
      <c r="I15297" s="12"/>
      <c r="J15297" s="3"/>
      <c r="K15297" s="3"/>
      <c r="L15297" s="3"/>
      <c r="M15297" s="3"/>
      <c r="N15297" s="3"/>
      <c r="O15297" s="3"/>
      <c r="P15297" s="3"/>
      <c r="Q15297" s="3"/>
      <c r="R15297" s="3"/>
      <c r="S15297" s="3"/>
      <c r="T15297" s="3"/>
      <c r="U15297" s="3"/>
      <c r="V15297" s="3"/>
      <c r="W15297" s="3"/>
      <c r="X15297" s="3"/>
      <c r="Y15297" s="3"/>
      <c r="Z15297" s="3"/>
      <c r="AA15297" s="3"/>
      <c r="AB15297" s="3"/>
      <c r="AC15297" s="3"/>
      <c r="AD15297" s="3"/>
      <c r="AE15297" s="3"/>
      <c r="AF15297" s="3"/>
      <c r="AG15297" s="3"/>
      <c r="AH15297" s="3"/>
    </row>
    <row r="15298" spans="1:34" ht="14.25" customHeight="1" x14ac:dyDescent="0.25">
      <c r="A15298" s="3"/>
      <c r="B15298" s="3"/>
      <c r="C15298" s="3"/>
      <c r="D15298" s="3"/>
      <c r="E15298" s="3"/>
      <c r="F15298" s="3"/>
      <c r="G15298" s="3"/>
      <c r="H15298" s="11"/>
      <c r="I15298" s="12"/>
      <c r="J15298" s="3"/>
      <c r="K15298" s="3"/>
      <c r="L15298" s="3"/>
      <c r="M15298" s="3"/>
      <c r="N15298" s="3"/>
      <c r="O15298" s="3"/>
      <c r="P15298" s="3"/>
      <c r="Q15298" s="3"/>
      <c r="R15298" s="3"/>
      <c r="S15298" s="3"/>
      <c r="T15298" s="3"/>
      <c r="U15298" s="3"/>
      <c r="V15298" s="3"/>
      <c r="W15298" s="3"/>
      <c r="X15298" s="3"/>
      <c r="Y15298" s="3"/>
      <c r="Z15298" s="3"/>
      <c r="AA15298" s="3"/>
      <c r="AB15298" s="3"/>
      <c r="AC15298" s="3"/>
      <c r="AD15298" s="3"/>
      <c r="AE15298" s="3"/>
      <c r="AF15298" s="3"/>
      <c r="AG15298" s="3"/>
      <c r="AH15298" s="3"/>
    </row>
    <row r="15299" spans="1:34" ht="14.25" customHeight="1" x14ac:dyDescent="0.25">
      <c r="A15299" s="3"/>
      <c r="B15299" s="3"/>
      <c r="C15299" s="3"/>
      <c r="D15299" s="3"/>
      <c r="E15299" s="3"/>
      <c r="F15299" s="3"/>
      <c r="G15299" s="3"/>
      <c r="H15299" s="11"/>
      <c r="I15299" s="12"/>
      <c r="J15299" s="3"/>
      <c r="K15299" s="3"/>
      <c r="L15299" s="3"/>
      <c r="M15299" s="3"/>
      <c r="N15299" s="3"/>
      <c r="O15299" s="3"/>
      <c r="P15299" s="3"/>
      <c r="Q15299" s="3"/>
      <c r="R15299" s="3"/>
      <c r="S15299" s="3"/>
      <c r="T15299" s="3"/>
      <c r="U15299" s="3"/>
      <c r="V15299" s="3"/>
      <c r="W15299" s="3"/>
      <c r="X15299" s="3"/>
      <c r="Y15299" s="3"/>
      <c r="Z15299" s="3"/>
      <c r="AA15299" s="3"/>
      <c r="AB15299" s="3"/>
      <c r="AC15299" s="3"/>
      <c r="AD15299" s="3"/>
      <c r="AE15299" s="3"/>
      <c r="AF15299" s="3"/>
      <c r="AG15299" s="3"/>
      <c r="AH15299" s="3"/>
    </row>
    <row r="15300" spans="1:34" ht="14.25" customHeight="1" x14ac:dyDescent="0.25">
      <c r="A15300" s="3"/>
      <c r="B15300" s="3"/>
      <c r="C15300" s="3"/>
      <c r="D15300" s="3"/>
      <c r="E15300" s="3"/>
      <c r="F15300" s="3"/>
      <c r="G15300" s="3"/>
      <c r="H15300" s="11"/>
      <c r="I15300" s="12"/>
      <c r="J15300" s="3"/>
      <c r="K15300" s="3"/>
      <c r="L15300" s="3"/>
      <c r="M15300" s="3"/>
      <c r="N15300" s="3"/>
      <c r="O15300" s="3"/>
      <c r="P15300" s="3"/>
      <c r="Q15300" s="3"/>
      <c r="R15300" s="3"/>
      <c r="S15300" s="3"/>
      <c r="T15300" s="3"/>
      <c r="U15300" s="3"/>
      <c r="V15300" s="3"/>
      <c r="W15300" s="3"/>
      <c r="X15300" s="3"/>
      <c r="Y15300" s="3"/>
      <c r="Z15300" s="3"/>
      <c r="AA15300" s="3"/>
      <c r="AB15300" s="3"/>
      <c r="AC15300" s="3"/>
      <c r="AD15300" s="3"/>
      <c r="AE15300" s="3"/>
      <c r="AF15300" s="3"/>
      <c r="AG15300" s="3"/>
      <c r="AH15300" s="3"/>
    </row>
    <row r="15301" spans="1:34" ht="14.25" customHeight="1" x14ac:dyDescent="0.25">
      <c r="A15301" s="3"/>
      <c r="B15301" s="3"/>
      <c r="C15301" s="3"/>
      <c r="D15301" s="3"/>
      <c r="E15301" s="3"/>
      <c r="F15301" s="3"/>
      <c r="G15301" s="3"/>
      <c r="H15301" s="11"/>
      <c r="I15301" s="12"/>
      <c r="J15301" s="3"/>
      <c r="K15301" s="3"/>
      <c r="L15301" s="3"/>
      <c r="M15301" s="3"/>
      <c r="N15301" s="3"/>
      <c r="O15301" s="3"/>
      <c r="P15301" s="3"/>
      <c r="Q15301" s="3"/>
      <c r="R15301" s="3"/>
      <c r="S15301" s="3"/>
      <c r="T15301" s="3"/>
      <c r="U15301" s="3"/>
      <c r="V15301" s="3"/>
      <c r="W15301" s="3"/>
      <c r="X15301" s="3"/>
      <c r="Y15301" s="3"/>
      <c r="Z15301" s="3"/>
      <c r="AA15301" s="3"/>
      <c r="AB15301" s="3"/>
      <c r="AC15301" s="3"/>
      <c r="AD15301" s="3"/>
      <c r="AE15301" s="3"/>
      <c r="AF15301" s="3"/>
      <c r="AG15301" s="3"/>
      <c r="AH15301" s="3"/>
    </row>
    <row r="15302" spans="1:34" ht="14.25" customHeight="1" x14ac:dyDescent="0.25">
      <c r="A15302" s="3"/>
      <c r="B15302" s="3"/>
      <c r="C15302" s="3"/>
      <c r="D15302" s="3"/>
      <c r="E15302" s="3"/>
      <c r="F15302" s="3"/>
      <c r="G15302" s="3"/>
      <c r="H15302" s="11"/>
      <c r="I15302" s="12"/>
      <c r="J15302" s="3"/>
      <c r="K15302" s="3"/>
      <c r="L15302" s="3"/>
      <c r="M15302" s="3"/>
      <c r="N15302" s="3"/>
      <c r="O15302" s="3"/>
      <c r="P15302" s="3"/>
      <c r="Q15302" s="3"/>
      <c r="R15302" s="3"/>
      <c r="S15302" s="3"/>
      <c r="T15302" s="3"/>
      <c r="U15302" s="3"/>
      <c r="V15302" s="3"/>
      <c r="W15302" s="3"/>
      <c r="X15302" s="3"/>
      <c r="Y15302" s="3"/>
      <c r="Z15302" s="3"/>
      <c r="AA15302" s="3"/>
      <c r="AB15302" s="3"/>
      <c r="AC15302" s="3"/>
      <c r="AD15302" s="3"/>
      <c r="AE15302" s="3"/>
      <c r="AF15302" s="3"/>
      <c r="AG15302" s="3"/>
      <c r="AH15302" s="3"/>
    </row>
    <row r="15303" spans="1:34" ht="14.25" customHeight="1" x14ac:dyDescent="0.25">
      <c r="A15303" s="3"/>
      <c r="B15303" s="3"/>
      <c r="C15303" s="3"/>
      <c r="D15303" s="3"/>
      <c r="E15303" s="3"/>
      <c r="F15303" s="3"/>
      <c r="G15303" s="3"/>
      <c r="H15303" s="11"/>
      <c r="I15303" s="12"/>
      <c r="J15303" s="3"/>
      <c r="K15303" s="3"/>
      <c r="L15303" s="3"/>
      <c r="M15303" s="3"/>
      <c r="N15303" s="3"/>
      <c r="O15303" s="3"/>
      <c r="P15303" s="3"/>
      <c r="Q15303" s="3"/>
      <c r="R15303" s="3"/>
      <c r="S15303" s="3"/>
      <c r="T15303" s="3"/>
      <c r="U15303" s="3"/>
      <c r="V15303" s="3"/>
      <c r="W15303" s="3"/>
      <c r="X15303" s="3"/>
      <c r="Y15303" s="3"/>
      <c r="Z15303" s="3"/>
      <c r="AA15303" s="3"/>
      <c r="AB15303" s="3"/>
      <c r="AC15303" s="3"/>
      <c r="AD15303" s="3"/>
      <c r="AE15303" s="3"/>
      <c r="AF15303" s="3"/>
      <c r="AG15303" s="3"/>
      <c r="AH15303" s="3"/>
    </row>
    <row r="15304" spans="1:34" ht="14.25" customHeight="1" x14ac:dyDescent="0.25">
      <c r="A15304" s="3"/>
      <c r="B15304" s="3"/>
      <c r="C15304" s="3"/>
      <c r="D15304" s="3"/>
      <c r="E15304" s="3"/>
      <c r="F15304" s="3"/>
      <c r="G15304" s="3"/>
      <c r="H15304" s="11"/>
      <c r="I15304" s="12"/>
      <c r="J15304" s="3"/>
      <c r="K15304" s="3"/>
      <c r="L15304" s="3"/>
      <c r="M15304" s="3"/>
      <c r="N15304" s="3"/>
      <c r="O15304" s="3"/>
      <c r="P15304" s="3"/>
      <c r="Q15304" s="3"/>
      <c r="R15304" s="3"/>
      <c r="S15304" s="3"/>
      <c r="T15304" s="3"/>
      <c r="U15304" s="3"/>
      <c r="V15304" s="3"/>
      <c r="W15304" s="3"/>
      <c r="X15304" s="3"/>
      <c r="Y15304" s="3"/>
      <c r="Z15304" s="3"/>
      <c r="AA15304" s="3"/>
      <c r="AB15304" s="3"/>
      <c r="AC15304" s="3"/>
      <c r="AD15304" s="3"/>
      <c r="AE15304" s="3"/>
      <c r="AF15304" s="3"/>
      <c r="AG15304" s="3"/>
      <c r="AH15304" s="3"/>
    </row>
    <row r="15305" spans="1:34" ht="14.25" customHeight="1" x14ac:dyDescent="0.25">
      <c r="A15305" s="3"/>
      <c r="B15305" s="3"/>
      <c r="C15305" s="3"/>
      <c r="D15305" s="3"/>
      <c r="E15305" s="3"/>
      <c r="F15305" s="3"/>
      <c r="G15305" s="3"/>
      <c r="H15305" s="11"/>
      <c r="I15305" s="12"/>
      <c r="J15305" s="3"/>
      <c r="K15305" s="3"/>
      <c r="L15305" s="3"/>
      <c r="M15305" s="3"/>
      <c r="N15305" s="3"/>
      <c r="O15305" s="3"/>
      <c r="P15305" s="3"/>
      <c r="Q15305" s="3"/>
      <c r="R15305" s="3"/>
      <c r="S15305" s="3"/>
      <c r="T15305" s="3"/>
      <c r="U15305" s="3"/>
      <c r="V15305" s="3"/>
      <c r="W15305" s="3"/>
      <c r="X15305" s="3"/>
      <c r="Y15305" s="3"/>
      <c r="Z15305" s="3"/>
      <c r="AA15305" s="3"/>
      <c r="AB15305" s="3"/>
      <c r="AC15305" s="3"/>
      <c r="AD15305" s="3"/>
      <c r="AE15305" s="3"/>
      <c r="AF15305" s="3"/>
      <c r="AG15305" s="3"/>
      <c r="AH15305" s="3"/>
    </row>
    <row r="15306" spans="1:34" ht="14.25" customHeight="1" x14ac:dyDescent="0.25">
      <c r="A15306" s="3"/>
      <c r="B15306" s="3"/>
      <c r="C15306" s="3"/>
      <c r="D15306" s="3"/>
      <c r="E15306" s="3"/>
      <c r="F15306" s="3"/>
      <c r="G15306" s="3"/>
      <c r="H15306" s="11"/>
      <c r="I15306" s="12"/>
      <c r="J15306" s="3"/>
      <c r="K15306" s="3"/>
      <c r="L15306" s="3"/>
      <c r="M15306" s="3"/>
      <c r="N15306" s="3"/>
      <c r="O15306" s="3"/>
      <c r="P15306" s="3"/>
      <c r="Q15306" s="3"/>
      <c r="R15306" s="3"/>
      <c r="S15306" s="3"/>
      <c r="T15306" s="3"/>
      <c r="U15306" s="3"/>
      <c r="V15306" s="3"/>
      <c r="W15306" s="3"/>
      <c r="X15306" s="3"/>
      <c r="Y15306" s="3"/>
      <c r="Z15306" s="3"/>
      <c r="AA15306" s="3"/>
      <c r="AB15306" s="3"/>
      <c r="AC15306" s="3"/>
      <c r="AD15306" s="3"/>
      <c r="AE15306" s="3"/>
      <c r="AF15306" s="3"/>
      <c r="AG15306" s="3"/>
      <c r="AH15306" s="3"/>
    </row>
    <row r="15307" spans="1:34" ht="14.25" customHeight="1" x14ac:dyDescent="0.25">
      <c r="A15307" s="3"/>
      <c r="B15307" s="3"/>
      <c r="C15307" s="3"/>
      <c r="D15307" s="3"/>
      <c r="E15307" s="3"/>
      <c r="F15307" s="3"/>
      <c r="G15307" s="3"/>
      <c r="H15307" s="11"/>
      <c r="I15307" s="12"/>
      <c r="J15307" s="3"/>
      <c r="K15307" s="3"/>
      <c r="L15307" s="3"/>
      <c r="M15307" s="3"/>
      <c r="N15307" s="3"/>
      <c r="O15307" s="3"/>
      <c r="P15307" s="3"/>
      <c r="Q15307" s="3"/>
      <c r="R15307" s="3"/>
      <c r="S15307" s="3"/>
      <c r="T15307" s="3"/>
      <c r="U15307" s="3"/>
      <c r="V15307" s="3"/>
      <c r="W15307" s="3"/>
      <c r="X15307" s="3"/>
      <c r="Y15307" s="3"/>
      <c r="Z15307" s="3"/>
      <c r="AA15307" s="3"/>
      <c r="AB15307" s="3"/>
      <c r="AC15307" s="3"/>
      <c r="AD15307" s="3"/>
      <c r="AE15307" s="3"/>
      <c r="AF15307" s="3"/>
      <c r="AG15307" s="3"/>
      <c r="AH15307" s="3"/>
    </row>
    <row r="15308" spans="1:34" ht="14.25" customHeight="1" x14ac:dyDescent="0.25">
      <c r="A15308" s="3"/>
      <c r="B15308" s="3"/>
      <c r="C15308" s="3"/>
      <c r="D15308" s="3"/>
      <c r="E15308" s="3"/>
      <c r="F15308" s="3"/>
      <c r="G15308" s="3"/>
      <c r="H15308" s="11"/>
      <c r="I15308" s="12"/>
      <c r="J15308" s="3"/>
      <c r="K15308" s="3"/>
      <c r="L15308" s="3"/>
      <c r="M15308" s="3"/>
      <c r="N15308" s="3"/>
      <c r="O15308" s="3"/>
      <c r="P15308" s="3"/>
      <c r="Q15308" s="3"/>
      <c r="R15308" s="3"/>
      <c r="S15308" s="3"/>
      <c r="T15308" s="3"/>
      <c r="U15308" s="3"/>
      <c r="V15308" s="3"/>
      <c r="W15308" s="3"/>
      <c r="X15308" s="3"/>
      <c r="Y15308" s="3"/>
      <c r="Z15308" s="3"/>
      <c r="AA15308" s="3"/>
      <c r="AB15308" s="3"/>
      <c r="AC15308" s="3"/>
      <c r="AD15308" s="3"/>
      <c r="AE15308" s="3"/>
      <c r="AF15308" s="3"/>
      <c r="AG15308" s="3"/>
      <c r="AH15308" s="3"/>
    </row>
    <row r="15309" spans="1:34" ht="14.25" customHeight="1" x14ac:dyDescent="0.25">
      <c r="A15309" s="3"/>
      <c r="B15309" s="3"/>
      <c r="C15309" s="3"/>
      <c r="D15309" s="3"/>
      <c r="E15309" s="3"/>
      <c r="F15309" s="3"/>
      <c r="G15309" s="3"/>
      <c r="H15309" s="11"/>
      <c r="I15309" s="12"/>
      <c r="J15309" s="3"/>
      <c r="K15309" s="3"/>
      <c r="L15309" s="3"/>
      <c r="M15309" s="3"/>
      <c r="N15309" s="3"/>
      <c r="O15309" s="3"/>
      <c r="P15309" s="3"/>
      <c r="Q15309" s="3"/>
      <c r="R15309" s="3"/>
      <c r="S15309" s="3"/>
      <c r="T15309" s="3"/>
      <c r="U15309" s="3"/>
      <c r="V15309" s="3"/>
      <c r="W15309" s="3"/>
      <c r="X15309" s="3"/>
      <c r="Y15309" s="3"/>
      <c r="Z15309" s="3"/>
      <c r="AA15309" s="3"/>
      <c r="AB15309" s="3"/>
      <c r="AC15309" s="3"/>
      <c r="AD15309" s="3"/>
      <c r="AE15309" s="3"/>
      <c r="AF15309" s="3"/>
      <c r="AG15309" s="3"/>
      <c r="AH15309" s="3"/>
    </row>
    <row r="15310" spans="1:34" ht="14.25" customHeight="1" x14ac:dyDescent="0.25">
      <c r="A15310" s="3"/>
      <c r="B15310" s="3"/>
      <c r="C15310" s="3"/>
      <c r="D15310" s="3"/>
      <c r="E15310" s="3"/>
      <c r="F15310" s="3"/>
      <c r="G15310" s="3"/>
      <c r="H15310" s="11"/>
      <c r="I15310" s="12"/>
      <c r="J15310" s="3"/>
      <c r="K15310" s="3"/>
      <c r="L15310" s="3"/>
      <c r="M15310" s="3"/>
      <c r="N15310" s="3"/>
      <c r="O15310" s="3"/>
      <c r="P15310" s="3"/>
      <c r="Q15310" s="3"/>
      <c r="R15310" s="3"/>
      <c r="S15310" s="3"/>
      <c r="T15310" s="3"/>
      <c r="U15310" s="3"/>
      <c r="V15310" s="3"/>
      <c r="W15310" s="3"/>
      <c r="X15310" s="3"/>
      <c r="Y15310" s="3"/>
      <c r="Z15310" s="3"/>
      <c r="AA15310" s="3"/>
      <c r="AB15310" s="3"/>
      <c r="AC15310" s="3"/>
      <c r="AD15310" s="3"/>
      <c r="AE15310" s="3"/>
      <c r="AF15310" s="3"/>
      <c r="AG15310" s="3"/>
      <c r="AH15310" s="3"/>
    </row>
    <row r="15311" spans="1:34" ht="14.25" customHeight="1" x14ac:dyDescent="0.25">
      <c r="A15311" s="3"/>
      <c r="B15311" s="3"/>
      <c r="C15311" s="3"/>
      <c r="D15311" s="3"/>
      <c r="E15311" s="3"/>
      <c r="F15311" s="3"/>
      <c r="G15311" s="3"/>
      <c r="H15311" s="11"/>
      <c r="I15311" s="12"/>
      <c r="J15311" s="3"/>
      <c r="K15311" s="3"/>
      <c r="L15311" s="3"/>
      <c r="M15311" s="3"/>
      <c r="N15311" s="3"/>
      <c r="O15311" s="3"/>
      <c r="P15311" s="3"/>
      <c r="Q15311" s="3"/>
      <c r="R15311" s="3"/>
      <c r="S15311" s="3"/>
      <c r="T15311" s="3"/>
      <c r="U15311" s="3"/>
      <c r="V15311" s="3"/>
      <c r="W15311" s="3"/>
      <c r="X15311" s="3"/>
      <c r="Y15311" s="3"/>
      <c r="Z15311" s="3"/>
      <c r="AA15311" s="3"/>
      <c r="AB15311" s="3"/>
      <c r="AC15311" s="3"/>
      <c r="AD15311" s="3"/>
      <c r="AE15311" s="3"/>
      <c r="AF15311" s="3"/>
      <c r="AG15311" s="3"/>
      <c r="AH15311" s="3"/>
    </row>
    <row r="15312" spans="1:34" ht="14.25" customHeight="1" x14ac:dyDescent="0.25">
      <c r="A15312" s="3"/>
      <c r="B15312" s="3"/>
      <c r="C15312" s="3"/>
      <c r="D15312" s="3"/>
      <c r="E15312" s="3"/>
      <c r="F15312" s="3"/>
      <c r="G15312" s="3"/>
      <c r="H15312" s="11"/>
      <c r="I15312" s="12"/>
      <c r="J15312" s="3"/>
      <c r="K15312" s="3"/>
      <c r="L15312" s="3"/>
      <c r="M15312" s="3"/>
      <c r="N15312" s="3"/>
      <c r="O15312" s="3"/>
      <c r="P15312" s="3"/>
      <c r="Q15312" s="3"/>
      <c r="R15312" s="3"/>
      <c r="S15312" s="3"/>
      <c r="T15312" s="3"/>
      <c r="U15312" s="3"/>
      <c r="V15312" s="3"/>
      <c r="W15312" s="3"/>
      <c r="X15312" s="3"/>
      <c r="Y15312" s="3"/>
      <c r="Z15312" s="3"/>
      <c r="AA15312" s="3"/>
      <c r="AB15312" s="3"/>
      <c r="AC15312" s="3"/>
      <c r="AD15312" s="3"/>
      <c r="AE15312" s="3"/>
      <c r="AF15312" s="3"/>
      <c r="AG15312" s="3"/>
      <c r="AH15312" s="3"/>
    </row>
    <row r="15313" spans="1:34" ht="14.25" customHeight="1" x14ac:dyDescent="0.25">
      <c r="A15313" s="3"/>
      <c r="B15313" s="3"/>
      <c r="C15313" s="3"/>
      <c r="D15313" s="3"/>
      <c r="E15313" s="3"/>
      <c r="F15313" s="3"/>
      <c r="G15313" s="3"/>
      <c r="H15313" s="11"/>
      <c r="I15313" s="12"/>
      <c r="J15313" s="3"/>
      <c r="K15313" s="3"/>
      <c r="L15313" s="3"/>
      <c r="M15313" s="3"/>
      <c r="N15313" s="3"/>
      <c r="O15313" s="3"/>
      <c r="P15313" s="3"/>
      <c r="Q15313" s="3"/>
      <c r="R15313" s="3"/>
      <c r="S15313" s="3"/>
      <c r="T15313" s="3"/>
      <c r="U15313" s="3"/>
      <c r="V15313" s="3"/>
      <c r="W15313" s="3"/>
      <c r="X15313" s="3"/>
      <c r="Y15313" s="3"/>
      <c r="Z15313" s="3"/>
      <c r="AA15313" s="3"/>
      <c r="AB15313" s="3"/>
      <c r="AC15313" s="3"/>
      <c r="AD15313" s="3"/>
      <c r="AE15313" s="3"/>
      <c r="AF15313" s="3"/>
      <c r="AG15313" s="3"/>
      <c r="AH15313" s="3"/>
    </row>
    <row r="15314" spans="1:34" ht="14.25" customHeight="1" x14ac:dyDescent="0.25">
      <c r="A15314" s="3"/>
      <c r="B15314" s="3"/>
      <c r="C15314" s="3"/>
      <c r="D15314" s="3"/>
      <c r="E15314" s="3"/>
      <c r="F15314" s="3"/>
      <c r="G15314" s="3"/>
      <c r="H15314" s="11"/>
      <c r="I15314" s="12"/>
      <c r="J15314" s="3"/>
      <c r="K15314" s="3"/>
      <c r="L15314" s="3"/>
      <c r="M15314" s="3"/>
      <c r="N15314" s="3"/>
      <c r="O15314" s="3"/>
      <c r="P15314" s="3"/>
      <c r="Q15314" s="3"/>
      <c r="R15314" s="3"/>
      <c r="S15314" s="3"/>
      <c r="T15314" s="3"/>
      <c r="U15314" s="3"/>
      <c r="V15314" s="3"/>
      <c r="W15314" s="3"/>
      <c r="X15314" s="3"/>
      <c r="Y15314" s="3"/>
      <c r="Z15314" s="3"/>
      <c r="AA15314" s="3"/>
      <c r="AB15314" s="3"/>
      <c r="AC15314" s="3"/>
      <c r="AD15314" s="3"/>
      <c r="AE15314" s="3"/>
      <c r="AF15314" s="3"/>
      <c r="AG15314" s="3"/>
      <c r="AH15314" s="3"/>
    </row>
    <row r="15315" spans="1:34" ht="14.25" customHeight="1" x14ac:dyDescent="0.25">
      <c r="A15315" s="3"/>
      <c r="B15315" s="3"/>
      <c r="C15315" s="3"/>
      <c r="D15315" s="3"/>
      <c r="E15315" s="3"/>
      <c r="F15315" s="3"/>
      <c r="G15315" s="3"/>
      <c r="H15315" s="11"/>
      <c r="I15315" s="12"/>
      <c r="J15315" s="3"/>
      <c r="K15315" s="3"/>
      <c r="L15315" s="3"/>
      <c r="M15315" s="3"/>
      <c r="N15315" s="3"/>
      <c r="O15315" s="3"/>
      <c r="P15315" s="3"/>
      <c r="Q15315" s="3"/>
      <c r="R15315" s="3"/>
      <c r="S15315" s="3"/>
      <c r="T15315" s="3"/>
      <c r="U15315" s="3"/>
      <c r="V15315" s="3"/>
      <c r="W15315" s="3"/>
      <c r="X15315" s="3"/>
      <c r="Y15315" s="3"/>
      <c r="Z15315" s="3"/>
      <c r="AA15315" s="3"/>
      <c r="AB15315" s="3"/>
      <c r="AC15315" s="3"/>
      <c r="AD15315" s="3"/>
      <c r="AE15315" s="3"/>
      <c r="AF15315" s="3"/>
      <c r="AG15315" s="3"/>
      <c r="AH15315" s="3"/>
    </row>
    <row r="15316" spans="1:34" ht="14.25" customHeight="1" x14ac:dyDescent="0.25">
      <c r="A15316" s="3"/>
      <c r="B15316" s="3"/>
      <c r="C15316" s="3"/>
      <c r="D15316" s="3"/>
      <c r="E15316" s="3"/>
      <c r="F15316" s="3"/>
      <c r="G15316" s="3"/>
      <c r="H15316" s="11"/>
      <c r="I15316" s="12"/>
      <c r="J15316" s="3"/>
      <c r="K15316" s="3"/>
      <c r="L15316" s="3"/>
      <c r="M15316" s="3"/>
      <c r="N15316" s="3"/>
      <c r="O15316" s="3"/>
      <c r="P15316" s="3"/>
      <c r="Q15316" s="3"/>
      <c r="R15316" s="3"/>
      <c r="S15316" s="3"/>
      <c r="T15316" s="3"/>
      <c r="U15316" s="3"/>
      <c r="V15316" s="3"/>
      <c r="W15316" s="3"/>
      <c r="X15316" s="3"/>
      <c r="Y15316" s="3"/>
      <c r="Z15316" s="3"/>
      <c r="AA15316" s="3"/>
      <c r="AB15316" s="3"/>
      <c r="AC15316" s="3"/>
      <c r="AD15316" s="3"/>
      <c r="AE15316" s="3"/>
      <c r="AF15316" s="3"/>
      <c r="AG15316" s="3"/>
      <c r="AH15316" s="3"/>
    </row>
    <row r="15317" spans="1:34" ht="14.25" customHeight="1" x14ac:dyDescent="0.25">
      <c r="A15317" s="3"/>
      <c r="B15317" s="3"/>
      <c r="C15317" s="3"/>
      <c r="D15317" s="3"/>
      <c r="E15317" s="3"/>
      <c r="F15317" s="3"/>
      <c r="G15317" s="3"/>
      <c r="H15317" s="11"/>
      <c r="I15317" s="12"/>
      <c r="J15317" s="3"/>
      <c r="K15317" s="3"/>
      <c r="L15317" s="3"/>
      <c r="M15317" s="3"/>
      <c r="N15317" s="3"/>
      <c r="O15317" s="3"/>
      <c r="P15317" s="3"/>
      <c r="Q15317" s="3"/>
      <c r="R15317" s="3"/>
      <c r="S15317" s="3"/>
      <c r="T15317" s="3"/>
      <c r="U15317" s="3"/>
      <c r="V15317" s="3"/>
      <c r="W15317" s="3"/>
      <c r="X15317" s="3"/>
      <c r="Y15317" s="3"/>
      <c r="Z15317" s="3"/>
      <c r="AA15317" s="3"/>
      <c r="AB15317" s="3"/>
      <c r="AC15317" s="3"/>
      <c r="AD15317" s="3"/>
      <c r="AE15317" s="3"/>
      <c r="AF15317" s="3"/>
      <c r="AG15317" s="3"/>
      <c r="AH15317" s="3"/>
    </row>
    <row r="15318" spans="1:34" ht="14.25" customHeight="1" x14ac:dyDescent="0.25">
      <c r="A15318" s="3"/>
      <c r="B15318" s="3"/>
      <c r="C15318" s="3"/>
      <c r="D15318" s="3"/>
      <c r="E15318" s="3"/>
      <c r="F15318" s="3"/>
      <c r="G15318" s="3"/>
      <c r="H15318" s="11"/>
      <c r="I15318" s="12"/>
      <c r="J15318" s="3"/>
      <c r="K15318" s="3"/>
      <c r="L15318" s="3"/>
      <c r="M15318" s="3"/>
      <c r="N15318" s="3"/>
      <c r="O15318" s="3"/>
      <c r="P15318" s="3"/>
      <c r="Q15318" s="3"/>
      <c r="R15318" s="3"/>
      <c r="S15318" s="3"/>
      <c r="T15318" s="3"/>
      <c r="U15318" s="3"/>
      <c r="V15318" s="3"/>
      <c r="W15318" s="3"/>
      <c r="X15318" s="3"/>
      <c r="Y15318" s="3"/>
      <c r="Z15318" s="3"/>
      <c r="AA15318" s="3"/>
      <c r="AB15318" s="3"/>
      <c r="AC15318" s="3"/>
      <c r="AD15318" s="3"/>
      <c r="AE15318" s="3"/>
      <c r="AF15318" s="3"/>
      <c r="AG15318" s="3"/>
      <c r="AH15318" s="3"/>
    </row>
    <row r="15319" spans="1:34" ht="14.25" customHeight="1" x14ac:dyDescent="0.25">
      <c r="A15319" s="3"/>
      <c r="B15319" s="3"/>
      <c r="C15319" s="3"/>
      <c r="D15319" s="3"/>
      <c r="E15319" s="3"/>
      <c r="F15319" s="3"/>
      <c r="G15319" s="3"/>
      <c r="H15319" s="11"/>
      <c r="I15319" s="12"/>
      <c r="J15319" s="3"/>
      <c r="K15319" s="3"/>
      <c r="L15319" s="3"/>
      <c r="M15319" s="3"/>
      <c r="N15319" s="3"/>
      <c r="O15319" s="3"/>
      <c r="P15319" s="3"/>
      <c r="Q15319" s="3"/>
      <c r="R15319" s="3"/>
      <c r="S15319" s="3"/>
      <c r="T15319" s="3"/>
      <c r="U15319" s="3"/>
      <c r="V15319" s="3"/>
      <c r="W15319" s="3"/>
      <c r="X15319" s="3"/>
      <c r="Y15319" s="3"/>
      <c r="Z15319" s="3"/>
      <c r="AA15319" s="3"/>
      <c r="AB15319" s="3"/>
      <c r="AC15319" s="3"/>
      <c r="AD15319" s="3"/>
      <c r="AE15319" s="3"/>
      <c r="AF15319" s="3"/>
      <c r="AG15319" s="3"/>
      <c r="AH15319" s="3"/>
    </row>
    <row r="15320" spans="1:34" ht="14.25" customHeight="1" x14ac:dyDescent="0.25">
      <c r="A15320" s="3"/>
      <c r="B15320" s="3"/>
      <c r="C15320" s="3"/>
      <c r="D15320" s="3"/>
      <c r="E15320" s="3"/>
      <c r="F15320" s="3"/>
      <c r="G15320" s="3"/>
      <c r="H15320" s="11"/>
      <c r="I15320" s="12"/>
      <c r="J15320" s="3"/>
      <c r="K15320" s="3"/>
      <c r="L15320" s="3"/>
      <c r="M15320" s="3"/>
      <c r="N15320" s="3"/>
      <c r="O15320" s="3"/>
      <c r="P15320" s="3"/>
      <c r="Q15320" s="3"/>
      <c r="R15320" s="3"/>
      <c r="S15320" s="3"/>
      <c r="T15320" s="3"/>
      <c r="U15320" s="3"/>
      <c r="V15320" s="3"/>
      <c r="W15320" s="3"/>
      <c r="X15320" s="3"/>
      <c r="Y15320" s="3"/>
      <c r="Z15320" s="3"/>
      <c r="AA15320" s="3"/>
      <c r="AB15320" s="3"/>
      <c r="AC15320" s="3"/>
      <c r="AD15320" s="3"/>
      <c r="AE15320" s="3"/>
      <c r="AF15320" s="3"/>
      <c r="AG15320" s="3"/>
      <c r="AH15320" s="3"/>
    </row>
    <row r="15321" spans="1:34" ht="14.25" customHeight="1" x14ac:dyDescent="0.25">
      <c r="A15321" s="3"/>
      <c r="B15321" s="3"/>
      <c r="C15321" s="3"/>
      <c r="D15321" s="3"/>
      <c r="E15321" s="3"/>
      <c r="F15321" s="3"/>
      <c r="G15321" s="3"/>
      <c r="H15321" s="11"/>
      <c r="I15321" s="12"/>
      <c r="J15321" s="3"/>
      <c r="K15321" s="3"/>
      <c r="L15321" s="3"/>
      <c r="M15321" s="3"/>
      <c r="N15321" s="3"/>
      <c r="O15321" s="3"/>
      <c r="P15321" s="3"/>
      <c r="Q15321" s="3"/>
      <c r="R15321" s="3"/>
      <c r="S15321" s="3"/>
      <c r="T15321" s="3"/>
      <c r="U15321" s="3"/>
      <c r="V15321" s="3"/>
      <c r="W15321" s="3"/>
      <c r="X15321" s="3"/>
      <c r="Y15321" s="3"/>
      <c r="Z15321" s="3"/>
      <c r="AA15321" s="3"/>
      <c r="AB15321" s="3"/>
      <c r="AC15321" s="3"/>
      <c r="AD15321" s="3"/>
      <c r="AE15321" s="3"/>
      <c r="AF15321" s="3"/>
      <c r="AG15321" s="3"/>
      <c r="AH15321" s="3"/>
    </row>
    <row r="15322" spans="1:34" ht="14.25" customHeight="1" x14ac:dyDescent="0.25">
      <c r="A15322" s="3"/>
      <c r="B15322" s="3"/>
      <c r="C15322" s="3"/>
      <c r="D15322" s="3"/>
      <c r="E15322" s="3"/>
      <c r="F15322" s="3"/>
      <c r="G15322" s="3"/>
      <c r="H15322" s="11"/>
      <c r="I15322" s="12"/>
      <c r="J15322" s="3"/>
      <c r="K15322" s="3"/>
      <c r="L15322" s="3"/>
      <c r="M15322" s="3"/>
      <c r="N15322" s="3"/>
      <c r="O15322" s="3"/>
      <c r="P15322" s="3"/>
      <c r="Q15322" s="3"/>
      <c r="R15322" s="3"/>
      <c r="S15322" s="3"/>
      <c r="T15322" s="3"/>
      <c r="U15322" s="3"/>
      <c r="V15322" s="3"/>
      <c r="W15322" s="3"/>
      <c r="X15322" s="3"/>
      <c r="Y15322" s="3"/>
      <c r="Z15322" s="3"/>
      <c r="AA15322" s="3"/>
      <c r="AB15322" s="3"/>
      <c r="AC15322" s="3"/>
      <c r="AD15322" s="3"/>
      <c r="AE15322" s="3"/>
      <c r="AF15322" s="3"/>
      <c r="AG15322" s="3"/>
      <c r="AH15322" s="3"/>
    </row>
    <row r="15323" spans="1:34" ht="14.25" customHeight="1" x14ac:dyDescent="0.25">
      <c r="A15323" s="3"/>
      <c r="B15323" s="3"/>
      <c r="C15323" s="3"/>
      <c r="D15323" s="3"/>
      <c r="E15323" s="3"/>
      <c r="F15323" s="3"/>
      <c r="G15323" s="3"/>
      <c r="H15323" s="11"/>
      <c r="I15323" s="12"/>
      <c r="J15323" s="3"/>
      <c r="K15323" s="3"/>
      <c r="L15323" s="3"/>
      <c r="M15323" s="3"/>
      <c r="N15323" s="3"/>
      <c r="O15323" s="3"/>
      <c r="P15323" s="3"/>
      <c r="Q15323" s="3"/>
      <c r="R15323" s="3"/>
      <c r="S15323" s="3"/>
      <c r="T15323" s="3"/>
      <c r="U15323" s="3"/>
      <c r="V15323" s="3"/>
      <c r="W15323" s="3"/>
      <c r="X15323" s="3"/>
      <c r="Y15323" s="3"/>
      <c r="Z15323" s="3"/>
      <c r="AA15323" s="3"/>
      <c r="AB15323" s="3"/>
      <c r="AC15323" s="3"/>
      <c r="AD15323" s="3"/>
      <c r="AE15323" s="3"/>
      <c r="AF15323" s="3"/>
      <c r="AG15323" s="3"/>
      <c r="AH15323" s="3"/>
    </row>
    <row r="15324" spans="1:34" ht="14.25" customHeight="1" x14ac:dyDescent="0.25">
      <c r="A15324" s="3"/>
      <c r="B15324" s="3"/>
      <c r="C15324" s="3"/>
      <c r="D15324" s="3"/>
      <c r="E15324" s="3"/>
      <c r="F15324" s="3"/>
      <c r="G15324" s="3"/>
      <c r="H15324" s="11"/>
      <c r="I15324" s="12"/>
      <c r="J15324" s="3"/>
      <c r="K15324" s="3"/>
      <c r="L15324" s="3"/>
      <c r="M15324" s="3"/>
      <c r="N15324" s="3"/>
      <c r="O15324" s="3"/>
      <c r="P15324" s="3"/>
      <c r="Q15324" s="3"/>
      <c r="R15324" s="3"/>
      <c r="S15324" s="3"/>
      <c r="T15324" s="3"/>
      <c r="U15324" s="3"/>
      <c r="V15324" s="3"/>
      <c r="W15324" s="3"/>
      <c r="X15324" s="3"/>
      <c r="Y15324" s="3"/>
      <c r="Z15324" s="3"/>
      <c r="AA15324" s="3"/>
      <c r="AB15324" s="3"/>
      <c r="AC15324" s="3"/>
      <c r="AD15324" s="3"/>
      <c r="AE15324" s="3"/>
      <c r="AF15324" s="3"/>
      <c r="AG15324" s="3"/>
      <c r="AH15324" s="3"/>
    </row>
    <row r="15325" spans="1:34" ht="14.25" customHeight="1" x14ac:dyDescent="0.25">
      <c r="A15325" s="3"/>
      <c r="B15325" s="3"/>
      <c r="C15325" s="3"/>
      <c r="D15325" s="3"/>
      <c r="E15325" s="3"/>
      <c r="F15325" s="3"/>
      <c r="G15325" s="3"/>
      <c r="H15325" s="11"/>
      <c r="I15325" s="12"/>
      <c r="J15325" s="3"/>
      <c r="K15325" s="3"/>
      <c r="L15325" s="3"/>
      <c r="M15325" s="3"/>
      <c r="N15325" s="3"/>
      <c r="O15325" s="3"/>
      <c r="P15325" s="3"/>
      <c r="Q15325" s="3"/>
      <c r="R15325" s="3"/>
      <c r="S15325" s="3"/>
      <c r="T15325" s="3"/>
      <c r="U15325" s="3"/>
      <c r="V15325" s="3"/>
      <c r="W15325" s="3"/>
      <c r="X15325" s="3"/>
      <c r="Y15325" s="3"/>
      <c r="Z15325" s="3"/>
      <c r="AA15325" s="3"/>
      <c r="AB15325" s="3"/>
      <c r="AC15325" s="3"/>
      <c r="AD15325" s="3"/>
      <c r="AE15325" s="3"/>
      <c r="AF15325" s="3"/>
      <c r="AG15325" s="3"/>
      <c r="AH15325" s="3"/>
    </row>
    <row r="15326" spans="1:34" ht="14.25" customHeight="1" x14ac:dyDescent="0.25">
      <c r="A15326" s="3"/>
      <c r="B15326" s="3"/>
      <c r="C15326" s="3"/>
      <c r="D15326" s="3"/>
      <c r="E15326" s="3"/>
      <c r="F15326" s="3"/>
      <c r="G15326" s="3"/>
      <c r="H15326" s="11"/>
      <c r="I15326" s="12"/>
      <c r="J15326" s="3"/>
      <c r="K15326" s="3"/>
      <c r="L15326" s="3"/>
      <c r="M15326" s="3"/>
      <c r="N15326" s="3"/>
      <c r="O15326" s="3"/>
      <c r="P15326" s="3"/>
      <c r="Q15326" s="3"/>
      <c r="R15326" s="3"/>
      <c r="S15326" s="3"/>
      <c r="T15326" s="3"/>
      <c r="U15326" s="3"/>
      <c r="V15326" s="3"/>
      <c r="W15326" s="3"/>
      <c r="X15326" s="3"/>
      <c r="Y15326" s="3"/>
      <c r="Z15326" s="3"/>
      <c r="AA15326" s="3"/>
      <c r="AB15326" s="3"/>
      <c r="AC15326" s="3"/>
      <c r="AD15326" s="3"/>
      <c r="AE15326" s="3"/>
      <c r="AF15326" s="3"/>
      <c r="AG15326" s="3"/>
      <c r="AH15326" s="3"/>
    </row>
    <row r="15327" spans="1:34" ht="14.25" customHeight="1" x14ac:dyDescent="0.25">
      <c r="A15327" s="3"/>
      <c r="B15327" s="3"/>
      <c r="C15327" s="3"/>
      <c r="D15327" s="3"/>
      <c r="E15327" s="3"/>
      <c r="F15327" s="3"/>
      <c r="G15327" s="3"/>
      <c r="H15327" s="11"/>
      <c r="I15327" s="12"/>
      <c r="J15327" s="3"/>
      <c r="K15327" s="3"/>
      <c r="L15327" s="3"/>
      <c r="M15327" s="3"/>
      <c r="N15327" s="3"/>
      <c r="O15327" s="3"/>
      <c r="P15327" s="3"/>
      <c r="Q15327" s="3"/>
      <c r="R15327" s="3"/>
      <c r="S15327" s="3"/>
      <c r="T15327" s="3"/>
      <c r="U15327" s="3"/>
      <c r="V15327" s="3"/>
      <c r="W15327" s="3"/>
      <c r="X15327" s="3"/>
      <c r="Y15327" s="3"/>
      <c r="Z15327" s="3"/>
      <c r="AA15327" s="3"/>
      <c r="AB15327" s="3"/>
      <c r="AC15327" s="3"/>
      <c r="AD15327" s="3"/>
      <c r="AE15327" s="3"/>
      <c r="AF15327" s="3"/>
      <c r="AG15327" s="3"/>
      <c r="AH15327" s="3"/>
    </row>
    <row r="15328" spans="1:34" ht="14.25" customHeight="1" x14ac:dyDescent="0.25">
      <c r="A15328" s="3"/>
      <c r="B15328" s="3"/>
      <c r="C15328" s="3"/>
      <c r="D15328" s="3"/>
      <c r="E15328" s="3"/>
      <c r="F15328" s="3"/>
      <c r="G15328" s="3"/>
      <c r="H15328" s="11"/>
      <c r="I15328" s="12"/>
      <c r="J15328" s="3"/>
      <c r="K15328" s="3"/>
      <c r="L15328" s="3"/>
      <c r="M15328" s="3"/>
      <c r="N15328" s="3"/>
      <c r="O15328" s="3"/>
      <c r="P15328" s="3"/>
      <c r="Q15328" s="3"/>
      <c r="R15328" s="3"/>
      <c r="S15328" s="3"/>
      <c r="T15328" s="3"/>
      <c r="U15328" s="3"/>
      <c r="V15328" s="3"/>
      <c r="W15328" s="3"/>
      <c r="X15328" s="3"/>
      <c r="Y15328" s="3"/>
      <c r="Z15328" s="3"/>
      <c r="AA15328" s="3"/>
      <c r="AB15328" s="3"/>
      <c r="AC15328" s="3"/>
      <c r="AD15328" s="3"/>
      <c r="AE15328" s="3"/>
      <c r="AF15328" s="3"/>
      <c r="AG15328" s="3"/>
      <c r="AH15328" s="3"/>
    </row>
    <row r="15329" spans="1:34" ht="14.25" customHeight="1" x14ac:dyDescent="0.25">
      <c r="A15329" s="3"/>
      <c r="B15329" s="3"/>
      <c r="C15329" s="3"/>
      <c r="D15329" s="3"/>
      <c r="E15329" s="3"/>
      <c r="F15329" s="3"/>
      <c r="G15329" s="3"/>
      <c r="H15329" s="11"/>
      <c r="I15329" s="12"/>
      <c r="J15329" s="3"/>
      <c r="K15329" s="3"/>
      <c r="L15329" s="3"/>
      <c r="M15329" s="3"/>
      <c r="N15329" s="3"/>
      <c r="O15329" s="3"/>
      <c r="P15329" s="3"/>
      <c r="Q15329" s="3"/>
      <c r="R15329" s="3"/>
      <c r="S15329" s="3"/>
      <c r="T15329" s="3"/>
      <c r="U15329" s="3"/>
      <c r="V15329" s="3"/>
      <c r="W15329" s="3"/>
      <c r="X15329" s="3"/>
      <c r="Y15329" s="3"/>
      <c r="Z15329" s="3"/>
      <c r="AA15329" s="3"/>
      <c r="AB15329" s="3"/>
      <c r="AC15329" s="3"/>
      <c r="AD15329" s="3"/>
      <c r="AE15329" s="3"/>
      <c r="AF15329" s="3"/>
      <c r="AG15329" s="3"/>
      <c r="AH15329" s="3"/>
    </row>
    <row r="15330" spans="1:34" ht="14.25" customHeight="1" x14ac:dyDescent="0.25">
      <c r="A15330" s="3"/>
      <c r="B15330" s="3"/>
      <c r="C15330" s="3"/>
      <c r="D15330" s="3"/>
      <c r="E15330" s="3"/>
      <c r="F15330" s="3"/>
      <c r="G15330" s="3"/>
      <c r="H15330" s="11"/>
      <c r="I15330" s="12"/>
      <c r="J15330" s="3"/>
      <c r="K15330" s="3"/>
      <c r="L15330" s="3"/>
      <c r="M15330" s="3"/>
      <c r="N15330" s="3"/>
      <c r="O15330" s="3"/>
      <c r="P15330" s="3"/>
      <c r="Q15330" s="3"/>
      <c r="R15330" s="3"/>
      <c r="S15330" s="3"/>
      <c r="T15330" s="3"/>
      <c r="U15330" s="3"/>
      <c r="V15330" s="3"/>
      <c r="W15330" s="3"/>
      <c r="X15330" s="3"/>
      <c r="Y15330" s="3"/>
      <c r="Z15330" s="3"/>
      <c r="AA15330" s="3"/>
      <c r="AB15330" s="3"/>
      <c r="AC15330" s="3"/>
      <c r="AD15330" s="3"/>
      <c r="AE15330" s="3"/>
      <c r="AF15330" s="3"/>
      <c r="AG15330" s="3"/>
      <c r="AH15330" s="3"/>
    </row>
    <row r="15331" spans="1:34" ht="14.25" customHeight="1" x14ac:dyDescent="0.25">
      <c r="A15331" s="3"/>
      <c r="B15331" s="3"/>
      <c r="C15331" s="3"/>
      <c r="D15331" s="3"/>
      <c r="E15331" s="3"/>
      <c r="F15331" s="3"/>
      <c r="G15331" s="3"/>
      <c r="H15331" s="11"/>
      <c r="I15331" s="12"/>
      <c r="J15331" s="3"/>
      <c r="K15331" s="3"/>
      <c r="L15331" s="3"/>
      <c r="M15331" s="3"/>
      <c r="N15331" s="3"/>
      <c r="O15331" s="3"/>
      <c r="P15331" s="3"/>
      <c r="Q15331" s="3"/>
      <c r="R15331" s="3"/>
      <c r="S15331" s="3"/>
      <c r="T15331" s="3"/>
      <c r="U15331" s="3"/>
      <c r="V15331" s="3"/>
      <c r="W15331" s="3"/>
      <c r="X15331" s="3"/>
      <c r="Y15331" s="3"/>
      <c r="Z15331" s="3"/>
      <c r="AA15331" s="3"/>
      <c r="AB15331" s="3"/>
      <c r="AC15331" s="3"/>
      <c r="AD15331" s="3"/>
      <c r="AE15331" s="3"/>
      <c r="AF15331" s="3"/>
      <c r="AG15331" s="3"/>
      <c r="AH15331" s="3"/>
    </row>
    <row r="15332" spans="1:34" ht="14.25" customHeight="1" x14ac:dyDescent="0.25">
      <c r="A15332" s="3"/>
      <c r="B15332" s="3"/>
      <c r="C15332" s="3"/>
      <c r="D15332" s="3"/>
      <c r="E15332" s="3"/>
      <c r="F15332" s="3"/>
      <c r="G15332" s="3"/>
      <c r="H15332" s="11"/>
      <c r="I15332" s="12"/>
      <c r="J15332" s="3"/>
      <c r="K15332" s="3"/>
      <c r="L15332" s="3"/>
      <c r="M15332" s="3"/>
      <c r="N15332" s="3"/>
      <c r="O15332" s="3"/>
      <c r="P15332" s="3"/>
      <c r="Q15332" s="3"/>
      <c r="R15332" s="3"/>
      <c r="S15332" s="3"/>
      <c r="T15332" s="3"/>
      <c r="U15332" s="3"/>
      <c r="V15332" s="3"/>
      <c r="W15332" s="3"/>
      <c r="X15332" s="3"/>
      <c r="Y15332" s="3"/>
      <c r="Z15332" s="3"/>
      <c r="AA15332" s="3"/>
      <c r="AB15332" s="3"/>
      <c r="AC15332" s="3"/>
      <c r="AD15332" s="3"/>
      <c r="AE15332" s="3"/>
      <c r="AF15332" s="3"/>
      <c r="AG15332" s="3"/>
      <c r="AH15332" s="3"/>
    </row>
    <row r="15333" spans="1:34" ht="14.25" customHeight="1" x14ac:dyDescent="0.25">
      <c r="A15333" s="3"/>
      <c r="B15333" s="3"/>
      <c r="C15333" s="3"/>
      <c r="D15333" s="3"/>
      <c r="E15333" s="3"/>
      <c r="F15333" s="3"/>
      <c r="G15333" s="3"/>
      <c r="H15333" s="11"/>
      <c r="I15333" s="12"/>
      <c r="J15333" s="3"/>
      <c r="K15333" s="3"/>
      <c r="L15333" s="3"/>
      <c r="M15333" s="3"/>
      <c r="N15333" s="3"/>
      <c r="O15333" s="3"/>
      <c r="P15333" s="3"/>
      <c r="Q15333" s="3"/>
      <c r="R15333" s="3"/>
      <c r="S15333" s="3"/>
      <c r="T15333" s="3"/>
      <c r="U15333" s="3"/>
      <c r="V15333" s="3"/>
      <c r="W15333" s="3"/>
      <c r="X15333" s="3"/>
      <c r="Y15333" s="3"/>
      <c r="Z15333" s="3"/>
      <c r="AA15333" s="3"/>
      <c r="AB15333" s="3"/>
      <c r="AC15333" s="3"/>
      <c r="AD15333" s="3"/>
      <c r="AE15333" s="3"/>
      <c r="AF15333" s="3"/>
      <c r="AG15333" s="3"/>
      <c r="AH15333" s="3"/>
    </row>
    <row r="15334" spans="1:34" ht="14.25" customHeight="1" x14ac:dyDescent="0.25">
      <c r="A15334" s="3"/>
      <c r="B15334" s="3"/>
      <c r="C15334" s="3"/>
      <c r="D15334" s="3"/>
      <c r="E15334" s="3"/>
      <c r="F15334" s="3"/>
      <c r="G15334" s="3"/>
      <c r="H15334" s="11"/>
      <c r="I15334" s="12"/>
      <c r="J15334" s="3"/>
      <c r="K15334" s="3"/>
      <c r="L15334" s="3"/>
      <c r="M15334" s="3"/>
      <c r="N15334" s="3"/>
      <c r="O15334" s="3"/>
      <c r="P15334" s="3"/>
      <c r="Q15334" s="3"/>
      <c r="R15334" s="3"/>
      <c r="S15334" s="3"/>
      <c r="T15334" s="3"/>
      <c r="U15334" s="3"/>
      <c r="V15334" s="3"/>
      <c r="W15334" s="3"/>
      <c r="X15334" s="3"/>
      <c r="Y15334" s="3"/>
      <c r="Z15334" s="3"/>
      <c r="AA15334" s="3"/>
      <c r="AB15334" s="3"/>
      <c r="AC15334" s="3"/>
      <c r="AD15334" s="3"/>
      <c r="AE15334" s="3"/>
      <c r="AF15334" s="3"/>
      <c r="AG15334" s="3"/>
      <c r="AH15334" s="3"/>
    </row>
    <row r="15335" spans="1:34" ht="14.25" customHeight="1" x14ac:dyDescent="0.25">
      <c r="A15335" s="3"/>
      <c r="B15335" s="3"/>
      <c r="C15335" s="3"/>
      <c r="D15335" s="3"/>
      <c r="E15335" s="3"/>
      <c r="F15335" s="3"/>
      <c r="G15335" s="3"/>
      <c r="H15335" s="11"/>
      <c r="I15335" s="12"/>
      <c r="J15335" s="3"/>
      <c r="K15335" s="3"/>
      <c r="L15335" s="3"/>
      <c r="M15335" s="3"/>
      <c r="N15335" s="3"/>
      <c r="O15335" s="3"/>
      <c r="P15335" s="3"/>
      <c r="Q15335" s="3"/>
      <c r="R15335" s="3"/>
      <c r="S15335" s="3"/>
      <c r="T15335" s="3"/>
      <c r="U15335" s="3"/>
      <c r="V15335" s="3"/>
      <c r="W15335" s="3"/>
      <c r="X15335" s="3"/>
      <c r="Y15335" s="3"/>
      <c r="Z15335" s="3"/>
      <c r="AA15335" s="3"/>
      <c r="AB15335" s="3"/>
      <c r="AC15335" s="3"/>
      <c r="AD15335" s="3"/>
      <c r="AE15335" s="3"/>
      <c r="AF15335" s="3"/>
      <c r="AG15335" s="3"/>
      <c r="AH15335" s="3"/>
    </row>
    <row r="15336" spans="1:34" ht="14.25" customHeight="1" x14ac:dyDescent="0.25">
      <c r="A15336" s="3"/>
      <c r="B15336" s="3"/>
      <c r="C15336" s="3"/>
      <c r="D15336" s="3"/>
      <c r="E15336" s="3"/>
      <c r="F15336" s="3"/>
      <c r="G15336" s="3"/>
      <c r="H15336" s="11"/>
      <c r="I15336" s="12"/>
      <c r="J15336" s="3"/>
      <c r="K15336" s="3"/>
      <c r="L15336" s="3"/>
      <c r="M15336" s="3"/>
      <c r="N15336" s="3"/>
      <c r="O15336" s="3"/>
      <c r="P15336" s="3"/>
      <c r="Q15336" s="3"/>
      <c r="R15336" s="3"/>
      <c r="S15336" s="3"/>
      <c r="T15336" s="3"/>
      <c r="U15336" s="3"/>
      <c r="V15336" s="3"/>
      <c r="W15336" s="3"/>
      <c r="X15336" s="3"/>
      <c r="Y15336" s="3"/>
      <c r="Z15336" s="3"/>
      <c r="AA15336" s="3"/>
      <c r="AB15336" s="3"/>
      <c r="AC15336" s="3"/>
      <c r="AD15336" s="3"/>
      <c r="AE15336" s="3"/>
      <c r="AF15336" s="3"/>
      <c r="AG15336" s="3"/>
      <c r="AH15336" s="3"/>
    </row>
    <row r="15337" spans="1:34" ht="14.25" customHeight="1" x14ac:dyDescent="0.25">
      <c r="A15337" s="3"/>
      <c r="B15337" s="3"/>
      <c r="C15337" s="3"/>
      <c r="D15337" s="3"/>
      <c r="E15337" s="3"/>
      <c r="F15337" s="3"/>
      <c r="G15337" s="3"/>
      <c r="H15337" s="11"/>
      <c r="I15337" s="12"/>
      <c r="J15337" s="3"/>
      <c r="K15337" s="3"/>
      <c r="L15337" s="3"/>
      <c r="M15337" s="3"/>
      <c r="N15337" s="3"/>
      <c r="O15337" s="3"/>
      <c r="P15337" s="3"/>
      <c r="Q15337" s="3"/>
      <c r="R15337" s="3"/>
      <c r="S15337" s="3"/>
      <c r="T15337" s="3"/>
      <c r="U15337" s="3"/>
      <c r="V15337" s="3"/>
      <c r="W15337" s="3"/>
      <c r="X15337" s="3"/>
      <c r="Y15337" s="3"/>
      <c r="Z15337" s="3"/>
      <c r="AA15337" s="3"/>
      <c r="AB15337" s="3"/>
      <c r="AC15337" s="3"/>
      <c r="AD15337" s="3"/>
      <c r="AE15337" s="3"/>
      <c r="AF15337" s="3"/>
      <c r="AG15337" s="3"/>
      <c r="AH15337" s="3"/>
    </row>
    <row r="15338" spans="1:34" ht="14.25" customHeight="1" x14ac:dyDescent="0.25">
      <c r="A15338" s="3"/>
      <c r="B15338" s="3"/>
      <c r="C15338" s="3"/>
      <c r="D15338" s="3"/>
      <c r="E15338" s="3"/>
      <c r="F15338" s="3"/>
      <c r="G15338" s="3"/>
      <c r="H15338" s="11"/>
      <c r="I15338" s="12"/>
      <c r="J15338" s="3"/>
      <c r="K15338" s="3"/>
      <c r="L15338" s="3"/>
      <c r="M15338" s="3"/>
      <c r="N15338" s="3"/>
      <c r="O15338" s="3"/>
      <c r="P15338" s="3"/>
      <c r="Q15338" s="3"/>
      <c r="R15338" s="3"/>
      <c r="S15338" s="3"/>
      <c r="T15338" s="3"/>
      <c r="U15338" s="3"/>
      <c r="V15338" s="3"/>
      <c r="W15338" s="3"/>
      <c r="X15338" s="3"/>
      <c r="Y15338" s="3"/>
      <c r="Z15338" s="3"/>
      <c r="AA15338" s="3"/>
      <c r="AB15338" s="3"/>
      <c r="AC15338" s="3"/>
      <c r="AD15338" s="3"/>
      <c r="AE15338" s="3"/>
      <c r="AF15338" s="3"/>
      <c r="AG15338" s="3"/>
      <c r="AH15338" s="3"/>
    </row>
    <row r="15339" spans="1:34" ht="14.25" customHeight="1" x14ac:dyDescent="0.25">
      <c r="A15339" s="3"/>
      <c r="B15339" s="3"/>
      <c r="C15339" s="3"/>
      <c r="D15339" s="3"/>
      <c r="E15339" s="3"/>
      <c r="F15339" s="3"/>
      <c r="G15339" s="3"/>
      <c r="H15339" s="11"/>
      <c r="I15339" s="12"/>
      <c r="J15339" s="3"/>
      <c r="K15339" s="3"/>
      <c r="L15339" s="3"/>
      <c r="M15339" s="3"/>
      <c r="N15339" s="3"/>
      <c r="O15339" s="3"/>
      <c r="P15339" s="3"/>
      <c r="Q15339" s="3"/>
      <c r="R15339" s="3"/>
      <c r="S15339" s="3"/>
      <c r="T15339" s="3"/>
      <c r="U15339" s="3"/>
      <c r="V15339" s="3"/>
      <c r="W15339" s="3"/>
      <c r="X15339" s="3"/>
      <c r="Y15339" s="3"/>
      <c r="Z15339" s="3"/>
      <c r="AA15339" s="3"/>
      <c r="AB15339" s="3"/>
      <c r="AC15339" s="3"/>
      <c r="AD15339" s="3"/>
      <c r="AE15339" s="3"/>
      <c r="AF15339" s="3"/>
      <c r="AG15339" s="3"/>
      <c r="AH15339" s="3"/>
    </row>
    <row r="15340" spans="1:34" ht="14.25" customHeight="1" x14ac:dyDescent="0.25">
      <c r="A15340" s="3"/>
      <c r="B15340" s="3"/>
      <c r="C15340" s="3"/>
      <c r="D15340" s="3"/>
      <c r="E15340" s="3"/>
      <c r="F15340" s="3"/>
      <c r="G15340" s="3"/>
      <c r="H15340" s="11"/>
      <c r="I15340" s="12"/>
      <c r="J15340" s="3"/>
      <c r="K15340" s="3"/>
      <c r="L15340" s="3"/>
      <c r="M15340" s="3"/>
      <c r="N15340" s="3"/>
      <c r="O15340" s="3"/>
      <c r="P15340" s="3"/>
      <c r="Q15340" s="3"/>
      <c r="R15340" s="3"/>
      <c r="S15340" s="3"/>
      <c r="T15340" s="3"/>
      <c r="U15340" s="3"/>
      <c r="V15340" s="3"/>
      <c r="W15340" s="3"/>
      <c r="X15340" s="3"/>
      <c r="Y15340" s="3"/>
      <c r="Z15340" s="3"/>
      <c r="AA15340" s="3"/>
      <c r="AB15340" s="3"/>
      <c r="AC15340" s="3"/>
      <c r="AD15340" s="3"/>
      <c r="AE15340" s="3"/>
      <c r="AF15340" s="3"/>
      <c r="AG15340" s="3"/>
      <c r="AH15340" s="3"/>
    </row>
    <row r="15341" spans="1:34" ht="14.25" customHeight="1" x14ac:dyDescent="0.25">
      <c r="A15341" s="3"/>
      <c r="B15341" s="3"/>
      <c r="C15341" s="3"/>
      <c r="D15341" s="3"/>
      <c r="E15341" s="3"/>
      <c r="F15341" s="3"/>
      <c r="G15341" s="3"/>
      <c r="H15341" s="11"/>
      <c r="I15341" s="12"/>
      <c r="J15341" s="3"/>
      <c r="K15341" s="3"/>
      <c r="L15341" s="3"/>
      <c r="M15341" s="3"/>
      <c r="N15341" s="3"/>
      <c r="O15341" s="3"/>
      <c r="P15341" s="3"/>
      <c r="Q15341" s="3"/>
      <c r="R15341" s="3"/>
      <c r="S15341" s="3"/>
      <c r="T15341" s="3"/>
      <c r="U15341" s="3"/>
      <c r="V15341" s="3"/>
      <c r="W15341" s="3"/>
      <c r="X15341" s="3"/>
      <c r="Y15341" s="3"/>
      <c r="Z15341" s="3"/>
      <c r="AA15341" s="3"/>
      <c r="AB15341" s="3"/>
      <c r="AC15341" s="3"/>
      <c r="AD15341" s="3"/>
      <c r="AE15341" s="3"/>
      <c r="AF15341" s="3"/>
      <c r="AG15341" s="3"/>
      <c r="AH15341" s="3"/>
    </row>
    <row r="15342" spans="1:34" ht="14.25" customHeight="1" x14ac:dyDescent="0.25">
      <c r="A15342" s="3"/>
      <c r="B15342" s="3"/>
      <c r="C15342" s="3"/>
      <c r="D15342" s="3"/>
      <c r="E15342" s="3"/>
      <c r="F15342" s="3"/>
      <c r="G15342" s="3"/>
      <c r="H15342" s="11"/>
      <c r="I15342" s="12"/>
      <c r="J15342" s="3"/>
      <c r="K15342" s="3"/>
      <c r="L15342" s="3"/>
      <c r="M15342" s="3"/>
      <c r="N15342" s="3"/>
      <c r="O15342" s="3"/>
      <c r="P15342" s="3"/>
      <c r="Q15342" s="3"/>
      <c r="R15342" s="3"/>
      <c r="S15342" s="3"/>
      <c r="T15342" s="3"/>
      <c r="U15342" s="3"/>
      <c r="V15342" s="3"/>
      <c r="W15342" s="3"/>
      <c r="X15342" s="3"/>
      <c r="Y15342" s="3"/>
      <c r="Z15342" s="3"/>
      <c r="AA15342" s="3"/>
      <c r="AB15342" s="3"/>
      <c r="AC15342" s="3"/>
      <c r="AD15342" s="3"/>
      <c r="AE15342" s="3"/>
      <c r="AF15342" s="3"/>
      <c r="AG15342" s="3"/>
      <c r="AH15342" s="3"/>
    </row>
    <row r="15343" spans="1:34" ht="14.25" customHeight="1" x14ac:dyDescent="0.25">
      <c r="A15343" s="3"/>
      <c r="B15343" s="3"/>
      <c r="C15343" s="3"/>
      <c r="D15343" s="3"/>
      <c r="E15343" s="3"/>
      <c r="F15343" s="3"/>
      <c r="G15343" s="3"/>
      <c r="H15343" s="11"/>
      <c r="I15343" s="12"/>
      <c r="J15343" s="3"/>
      <c r="K15343" s="3"/>
      <c r="L15343" s="3"/>
      <c r="M15343" s="3"/>
      <c r="N15343" s="3"/>
      <c r="O15343" s="3"/>
      <c r="P15343" s="3"/>
      <c r="Q15343" s="3"/>
      <c r="R15343" s="3"/>
      <c r="S15343" s="3"/>
      <c r="T15343" s="3"/>
      <c r="U15343" s="3"/>
      <c r="V15343" s="3"/>
      <c r="W15343" s="3"/>
      <c r="X15343" s="3"/>
      <c r="Y15343" s="3"/>
      <c r="Z15343" s="3"/>
      <c r="AA15343" s="3"/>
      <c r="AB15343" s="3"/>
      <c r="AC15343" s="3"/>
      <c r="AD15343" s="3"/>
      <c r="AE15343" s="3"/>
      <c r="AF15343" s="3"/>
      <c r="AG15343" s="3"/>
      <c r="AH15343" s="3"/>
    </row>
    <row r="15344" spans="1:34" ht="14.25" customHeight="1" x14ac:dyDescent="0.25">
      <c r="A15344" s="3"/>
      <c r="B15344" s="3"/>
      <c r="C15344" s="3"/>
      <c r="D15344" s="3"/>
      <c r="E15344" s="3"/>
      <c r="F15344" s="3"/>
      <c r="G15344" s="3"/>
      <c r="H15344" s="11"/>
      <c r="I15344" s="12"/>
      <c r="J15344" s="3"/>
      <c r="K15344" s="3"/>
      <c r="L15344" s="3"/>
      <c r="M15344" s="3"/>
      <c r="N15344" s="3"/>
      <c r="O15344" s="3"/>
      <c r="P15344" s="3"/>
      <c r="Q15344" s="3"/>
      <c r="R15344" s="3"/>
      <c r="S15344" s="3"/>
      <c r="T15344" s="3"/>
      <c r="U15344" s="3"/>
      <c r="V15344" s="3"/>
      <c r="W15344" s="3"/>
      <c r="X15344" s="3"/>
      <c r="Y15344" s="3"/>
      <c r="Z15344" s="3"/>
      <c r="AA15344" s="3"/>
      <c r="AB15344" s="3"/>
      <c r="AC15344" s="3"/>
      <c r="AD15344" s="3"/>
      <c r="AE15344" s="3"/>
      <c r="AF15344" s="3"/>
      <c r="AG15344" s="3"/>
      <c r="AH15344" s="3"/>
    </row>
    <row r="15345" spans="1:34" ht="14.25" customHeight="1" x14ac:dyDescent="0.25">
      <c r="A15345" s="3"/>
      <c r="B15345" s="3"/>
      <c r="C15345" s="3"/>
      <c r="D15345" s="3"/>
      <c r="E15345" s="3"/>
      <c r="F15345" s="3"/>
      <c r="G15345" s="3"/>
      <c r="H15345" s="11"/>
      <c r="I15345" s="12"/>
      <c r="J15345" s="3"/>
      <c r="K15345" s="3"/>
      <c r="L15345" s="3"/>
      <c r="M15345" s="3"/>
      <c r="N15345" s="3"/>
      <c r="O15345" s="3"/>
      <c r="P15345" s="3"/>
      <c r="Q15345" s="3"/>
      <c r="R15345" s="3"/>
      <c r="S15345" s="3"/>
      <c r="T15345" s="3"/>
      <c r="U15345" s="3"/>
      <c r="V15345" s="3"/>
      <c r="W15345" s="3"/>
      <c r="X15345" s="3"/>
      <c r="Y15345" s="3"/>
      <c r="Z15345" s="3"/>
      <c r="AA15345" s="3"/>
      <c r="AB15345" s="3"/>
      <c r="AC15345" s="3"/>
      <c r="AD15345" s="3"/>
      <c r="AE15345" s="3"/>
      <c r="AF15345" s="3"/>
      <c r="AG15345" s="3"/>
      <c r="AH15345" s="3"/>
    </row>
    <row r="15346" spans="1:34" ht="14.25" customHeight="1" x14ac:dyDescent="0.25">
      <c r="A15346" s="3"/>
      <c r="B15346" s="3"/>
      <c r="C15346" s="3"/>
      <c r="D15346" s="3"/>
      <c r="E15346" s="3"/>
      <c r="F15346" s="3"/>
      <c r="G15346" s="3"/>
      <c r="H15346" s="11"/>
      <c r="I15346" s="12"/>
      <c r="J15346" s="3"/>
      <c r="K15346" s="3"/>
      <c r="L15346" s="3"/>
      <c r="M15346" s="3"/>
      <c r="N15346" s="3"/>
      <c r="O15346" s="3"/>
      <c r="P15346" s="3"/>
      <c r="Q15346" s="3"/>
      <c r="R15346" s="3"/>
      <c r="S15346" s="3"/>
      <c r="T15346" s="3"/>
      <c r="U15346" s="3"/>
      <c r="V15346" s="3"/>
      <c r="W15346" s="3"/>
      <c r="X15346" s="3"/>
      <c r="Y15346" s="3"/>
      <c r="Z15346" s="3"/>
      <c r="AA15346" s="3"/>
      <c r="AB15346" s="3"/>
      <c r="AC15346" s="3"/>
      <c r="AD15346" s="3"/>
      <c r="AE15346" s="3"/>
      <c r="AF15346" s="3"/>
      <c r="AG15346" s="3"/>
      <c r="AH15346" s="3"/>
    </row>
    <row r="15347" spans="1:34" ht="14.25" customHeight="1" x14ac:dyDescent="0.25">
      <c r="A15347" s="3"/>
      <c r="B15347" s="3"/>
      <c r="C15347" s="3"/>
      <c r="D15347" s="3"/>
      <c r="E15347" s="3"/>
      <c r="F15347" s="3"/>
      <c r="G15347" s="3"/>
      <c r="H15347" s="11"/>
      <c r="I15347" s="12"/>
      <c r="J15347" s="3"/>
      <c r="K15347" s="3"/>
      <c r="L15347" s="3"/>
      <c r="M15347" s="3"/>
      <c r="N15347" s="3"/>
      <c r="O15347" s="3"/>
      <c r="P15347" s="3"/>
      <c r="Q15347" s="3"/>
      <c r="R15347" s="3"/>
      <c r="S15347" s="3"/>
      <c r="T15347" s="3"/>
      <c r="U15347" s="3"/>
      <c r="V15347" s="3"/>
      <c r="W15347" s="3"/>
      <c r="X15347" s="3"/>
      <c r="Y15347" s="3"/>
      <c r="Z15347" s="3"/>
      <c r="AA15347" s="3"/>
      <c r="AB15347" s="3"/>
      <c r="AC15347" s="3"/>
      <c r="AD15347" s="3"/>
      <c r="AE15347" s="3"/>
      <c r="AF15347" s="3"/>
      <c r="AG15347" s="3"/>
      <c r="AH15347" s="3"/>
    </row>
    <row r="15348" spans="1:34" ht="14.25" customHeight="1" x14ac:dyDescent="0.25">
      <c r="A15348" s="3"/>
      <c r="B15348" s="3"/>
      <c r="C15348" s="3"/>
      <c r="D15348" s="3"/>
      <c r="E15348" s="3"/>
      <c r="F15348" s="3"/>
      <c r="G15348" s="3"/>
      <c r="H15348" s="11"/>
      <c r="I15348" s="12"/>
      <c r="J15348" s="3"/>
      <c r="K15348" s="3"/>
      <c r="L15348" s="3"/>
      <c r="M15348" s="3"/>
      <c r="N15348" s="3"/>
      <c r="O15348" s="3"/>
      <c r="P15348" s="3"/>
      <c r="Q15348" s="3"/>
      <c r="R15348" s="3"/>
      <c r="S15348" s="3"/>
      <c r="T15348" s="3"/>
      <c r="U15348" s="3"/>
      <c r="V15348" s="3"/>
      <c r="W15348" s="3"/>
      <c r="X15348" s="3"/>
      <c r="Y15348" s="3"/>
      <c r="Z15348" s="3"/>
      <c r="AA15348" s="3"/>
      <c r="AB15348" s="3"/>
      <c r="AC15348" s="3"/>
      <c r="AD15348" s="3"/>
      <c r="AE15348" s="3"/>
      <c r="AF15348" s="3"/>
      <c r="AG15348" s="3"/>
      <c r="AH15348" s="3"/>
    </row>
    <row r="15349" spans="1:34" ht="14.25" customHeight="1" x14ac:dyDescent="0.25">
      <c r="A15349" s="3"/>
      <c r="B15349" s="3"/>
      <c r="C15349" s="3"/>
      <c r="D15349" s="3"/>
      <c r="E15349" s="3"/>
      <c r="F15349" s="3"/>
      <c r="G15349" s="3"/>
      <c r="H15349" s="11"/>
      <c r="I15349" s="12"/>
      <c r="J15349" s="3"/>
      <c r="K15349" s="3"/>
      <c r="L15349" s="3"/>
      <c r="M15349" s="3"/>
      <c r="N15349" s="3"/>
      <c r="O15349" s="3"/>
      <c r="P15349" s="3"/>
      <c r="Q15349" s="3"/>
      <c r="R15349" s="3"/>
      <c r="S15349" s="3"/>
      <c r="T15349" s="3"/>
      <c r="U15349" s="3"/>
      <c r="V15349" s="3"/>
      <c r="W15349" s="3"/>
      <c r="X15349" s="3"/>
      <c r="Y15349" s="3"/>
      <c r="Z15349" s="3"/>
      <c r="AA15349" s="3"/>
      <c r="AB15349" s="3"/>
      <c r="AC15349" s="3"/>
      <c r="AD15349" s="3"/>
      <c r="AE15349" s="3"/>
      <c r="AF15349" s="3"/>
      <c r="AG15349" s="3"/>
      <c r="AH15349" s="3"/>
    </row>
    <row r="15350" spans="1:34" ht="14.25" customHeight="1" x14ac:dyDescent="0.25">
      <c r="A15350" s="3"/>
      <c r="B15350" s="3"/>
      <c r="C15350" s="3"/>
      <c r="D15350" s="3"/>
      <c r="E15350" s="3"/>
      <c r="F15350" s="3"/>
      <c r="G15350" s="3"/>
      <c r="H15350" s="11"/>
      <c r="I15350" s="12"/>
      <c r="J15350" s="3"/>
      <c r="K15350" s="3"/>
      <c r="L15350" s="3"/>
      <c r="M15350" s="3"/>
      <c r="N15350" s="3"/>
      <c r="O15350" s="3"/>
      <c r="P15350" s="3"/>
      <c r="Q15350" s="3"/>
      <c r="R15350" s="3"/>
      <c r="S15350" s="3"/>
      <c r="T15350" s="3"/>
      <c r="U15350" s="3"/>
      <c r="V15350" s="3"/>
      <c r="W15350" s="3"/>
      <c r="X15350" s="3"/>
      <c r="Y15350" s="3"/>
      <c r="Z15350" s="3"/>
      <c r="AA15350" s="3"/>
      <c r="AB15350" s="3"/>
      <c r="AC15350" s="3"/>
      <c r="AD15350" s="3"/>
      <c r="AE15350" s="3"/>
      <c r="AF15350" s="3"/>
      <c r="AG15350" s="3"/>
      <c r="AH15350" s="3"/>
    </row>
    <row r="15351" spans="1:34" ht="14.25" customHeight="1" x14ac:dyDescent="0.25">
      <c r="A15351" s="3"/>
      <c r="B15351" s="3"/>
      <c r="C15351" s="3"/>
      <c r="D15351" s="3"/>
      <c r="E15351" s="3"/>
      <c r="F15351" s="3"/>
      <c r="G15351" s="3"/>
      <c r="H15351" s="11"/>
      <c r="I15351" s="12"/>
      <c r="J15351" s="3"/>
      <c r="K15351" s="3"/>
      <c r="L15351" s="3"/>
      <c r="M15351" s="3"/>
      <c r="N15351" s="3"/>
      <c r="O15351" s="3"/>
      <c r="P15351" s="3"/>
      <c r="Q15351" s="3"/>
      <c r="R15351" s="3"/>
      <c r="S15351" s="3"/>
      <c r="T15351" s="3"/>
      <c r="U15351" s="3"/>
      <c r="V15351" s="3"/>
      <c r="W15351" s="3"/>
      <c r="X15351" s="3"/>
      <c r="Y15351" s="3"/>
      <c r="Z15351" s="3"/>
      <c r="AA15351" s="3"/>
      <c r="AB15351" s="3"/>
      <c r="AC15351" s="3"/>
      <c r="AD15351" s="3"/>
      <c r="AE15351" s="3"/>
      <c r="AF15351" s="3"/>
      <c r="AG15351" s="3"/>
      <c r="AH15351" s="3"/>
    </row>
    <row r="15352" spans="1:34" ht="14.25" customHeight="1" x14ac:dyDescent="0.25">
      <c r="A15352" s="3"/>
      <c r="B15352" s="3"/>
      <c r="C15352" s="3"/>
      <c r="D15352" s="3"/>
      <c r="E15352" s="3"/>
      <c r="F15352" s="3"/>
      <c r="G15352" s="3"/>
      <c r="H15352" s="11"/>
      <c r="I15352" s="12"/>
      <c r="J15352" s="3"/>
      <c r="K15352" s="3"/>
      <c r="L15352" s="3"/>
      <c r="M15352" s="3"/>
      <c r="N15352" s="3"/>
      <c r="O15352" s="3"/>
      <c r="P15352" s="3"/>
      <c r="Q15352" s="3"/>
      <c r="R15352" s="3"/>
      <c r="S15352" s="3"/>
      <c r="T15352" s="3"/>
      <c r="U15352" s="3"/>
      <c r="V15352" s="3"/>
      <c r="W15352" s="3"/>
      <c r="X15352" s="3"/>
      <c r="Y15352" s="3"/>
      <c r="Z15352" s="3"/>
      <c r="AA15352" s="3"/>
      <c r="AB15352" s="3"/>
      <c r="AC15352" s="3"/>
      <c r="AD15352" s="3"/>
      <c r="AE15352" s="3"/>
      <c r="AF15352" s="3"/>
      <c r="AG15352" s="3"/>
      <c r="AH15352" s="3"/>
    </row>
    <row r="15353" spans="1:34" ht="14.25" customHeight="1" x14ac:dyDescent="0.25">
      <c r="A15353" s="3"/>
      <c r="B15353" s="3"/>
      <c r="C15353" s="3"/>
      <c r="D15353" s="3"/>
      <c r="E15353" s="3"/>
      <c r="F15353" s="3"/>
      <c r="G15353" s="3"/>
      <c r="H15353" s="11"/>
      <c r="I15353" s="12"/>
      <c r="J15353" s="3"/>
      <c r="K15353" s="3"/>
      <c r="L15353" s="3"/>
      <c r="M15353" s="3"/>
      <c r="N15353" s="3"/>
      <c r="O15353" s="3"/>
      <c r="P15353" s="3"/>
      <c r="Q15353" s="3"/>
      <c r="R15353" s="3"/>
      <c r="S15353" s="3"/>
      <c r="T15353" s="3"/>
      <c r="U15353" s="3"/>
      <c r="V15353" s="3"/>
      <c r="W15353" s="3"/>
      <c r="X15353" s="3"/>
      <c r="Y15353" s="3"/>
      <c r="Z15353" s="3"/>
      <c r="AA15353" s="3"/>
      <c r="AB15353" s="3"/>
      <c r="AC15353" s="3"/>
      <c r="AD15353" s="3"/>
      <c r="AE15353" s="3"/>
      <c r="AF15353" s="3"/>
      <c r="AG15353" s="3"/>
      <c r="AH15353" s="3"/>
    </row>
    <row r="15354" spans="1:34" ht="14.25" customHeight="1" x14ac:dyDescent="0.25">
      <c r="A15354" s="3"/>
      <c r="B15354" s="3"/>
      <c r="C15354" s="3"/>
      <c r="D15354" s="3"/>
      <c r="E15354" s="3"/>
      <c r="F15354" s="3"/>
      <c r="G15354" s="3"/>
      <c r="H15354" s="11"/>
      <c r="I15354" s="12"/>
      <c r="J15354" s="3"/>
      <c r="K15354" s="3"/>
      <c r="L15354" s="3"/>
      <c r="M15354" s="3"/>
      <c r="N15354" s="3"/>
      <c r="O15354" s="3"/>
      <c r="P15354" s="3"/>
      <c r="Q15354" s="3"/>
      <c r="R15354" s="3"/>
      <c r="S15354" s="3"/>
      <c r="T15354" s="3"/>
      <c r="U15354" s="3"/>
      <c r="V15354" s="3"/>
      <c r="W15354" s="3"/>
      <c r="X15354" s="3"/>
      <c r="Y15354" s="3"/>
      <c r="Z15354" s="3"/>
      <c r="AA15354" s="3"/>
      <c r="AB15354" s="3"/>
      <c r="AC15354" s="3"/>
      <c r="AD15354" s="3"/>
      <c r="AE15354" s="3"/>
      <c r="AF15354" s="3"/>
      <c r="AG15354" s="3"/>
      <c r="AH15354" s="3"/>
    </row>
    <row r="15355" spans="1:34" ht="14.25" customHeight="1" x14ac:dyDescent="0.25">
      <c r="A15355" s="3"/>
      <c r="B15355" s="3"/>
      <c r="C15355" s="3"/>
      <c r="D15355" s="3"/>
      <c r="E15355" s="3"/>
      <c r="F15355" s="3"/>
      <c r="G15355" s="3"/>
      <c r="H15355" s="11"/>
      <c r="I15355" s="12"/>
      <c r="J15355" s="3"/>
      <c r="K15355" s="3"/>
      <c r="L15355" s="3"/>
      <c r="M15355" s="3"/>
      <c r="N15355" s="3"/>
      <c r="O15355" s="3"/>
      <c r="P15355" s="3"/>
      <c r="Q15355" s="3"/>
      <c r="R15355" s="3"/>
      <c r="S15355" s="3"/>
      <c r="T15355" s="3"/>
      <c r="U15355" s="3"/>
      <c r="V15355" s="3"/>
      <c r="W15355" s="3"/>
      <c r="X15355" s="3"/>
      <c r="Y15355" s="3"/>
      <c r="Z15355" s="3"/>
      <c r="AA15355" s="3"/>
      <c r="AB15355" s="3"/>
      <c r="AC15355" s="3"/>
      <c r="AD15355" s="3"/>
      <c r="AE15355" s="3"/>
      <c r="AF15355" s="3"/>
      <c r="AG15355" s="3"/>
      <c r="AH15355" s="3"/>
    </row>
    <row r="15356" spans="1:34" ht="14.25" customHeight="1" x14ac:dyDescent="0.25">
      <c r="A15356" s="3"/>
      <c r="B15356" s="3"/>
      <c r="C15356" s="3"/>
      <c r="D15356" s="3"/>
      <c r="E15356" s="3"/>
      <c r="F15356" s="3"/>
      <c r="G15356" s="3"/>
      <c r="H15356" s="11"/>
      <c r="I15356" s="12"/>
      <c r="J15356" s="3"/>
      <c r="K15356" s="3"/>
      <c r="L15356" s="3"/>
      <c r="M15356" s="3"/>
      <c r="N15356" s="3"/>
      <c r="O15356" s="3"/>
      <c r="P15356" s="3"/>
      <c r="Q15356" s="3"/>
      <c r="R15356" s="3"/>
      <c r="S15356" s="3"/>
      <c r="T15356" s="3"/>
      <c r="U15356" s="3"/>
      <c r="V15356" s="3"/>
      <c r="W15356" s="3"/>
      <c r="X15356" s="3"/>
      <c r="Y15356" s="3"/>
      <c r="Z15356" s="3"/>
      <c r="AA15356" s="3"/>
      <c r="AB15356" s="3"/>
      <c r="AC15356" s="3"/>
      <c r="AD15356" s="3"/>
      <c r="AE15356" s="3"/>
      <c r="AF15356" s="3"/>
      <c r="AG15356" s="3"/>
      <c r="AH15356" s="3"/>
    </row>
    <row r="15357" spans="1:34" ht="14.25" customHeight="1" x14ac:dyDescent="0.25">
      <c r="A15357" s="3"/>
      <c r="B15357" s="3"/>
      <c r="C15357" s="3"/>
      <c r="D15357" s="3"/>
      <c r="E15357" s="3"/>
      <c r="F15357" s="3"/>
      <c r="G15357" s="3"/>
      <c r="H15357" s="11"/>
      <c r="I15357" s="12"/>
      <c r="J15357" s="3"/>
      <c r="K15357" s="3"/>
      <c r="L15357" s="3"/>
      <c r="M15357" s="3"/>
      <c r="N15357" s="3"/>
      <c r="O15357" s="3"/>
      <c r="P15357" s="3"/>
      <c r="Q15357" s="3"/>
      <c r="R15357" s="3"/>
      <c r="S15357" s="3"/>
      <c r="T15357" s="3"/>
      <c r="U15357" s="3"/>
      <c r="V15357" s="3"/>
      <c r="W15357" s="3"/>
      <c r="X15357" s="3"/>
      <c r="Y15357" s="3"/>
      <c r="Z15357" s="3"/>
      <c r="AA15357" s="3"/>
      <c r="AB15357" s="3"/>
      <c r="AC15357" s="3"/>
      <c r="AD15357" s="3"/>
      <c r="AE15357" s="3"/>
      <c r="AF15357" s="3"/>
      <c r="AG15357" s="3"/>
      <c r="AH15357" s="3"/>
    </row>
    <row r="15358" spans="1:34" ht="14.25" customHeight="1" x14ac:dyDescent="0.25">
      <c r="A15358" s="3"/>
      <c r="B15358" s="3"/>
      <c r="C15358" s="3"/>
      <c r="D15358" s="3"/>
      <c r="E15358" s="3"/>
      <c r="F15358" s="3"/>
      <c r="G15358" s="3"/>
      <c r="H15358" s="11"/>
      <c r="I15358" s="12"/>
      <c r="J15358" s="3"/>
      <c r="K15358" s="3"/>
      <c r="L15358" s="3"/>
      <c r="M15358" s="3"/>
      <c r="N15358" s="3"/>
      <c r="O15358" s="3"/>
      <c r="P15358" s="3"/>
      <c r="Q15358" s="3"/>
      <c r="R15358" s="3"/>
      <c r="S15358" s="3"/>
      <c r="T15358" s="3"/>
      <c r="U15358" s="3"/>
      <c r="V15358" s="3"/>
      <c r="W15358" s="3"/>
      <c r="X15358" s="3"/>
      <c r="Y15358" s="3"/>
      <c r="Z15358" s="3"/>
      <c r="AA15358" s="3"/>
      <c r="AB15358" s="3"/>
      <c r="AC15358" s="3"/>
      <c r="AD15358" s="3"/>
      <c r="AE15358" s="3"/>
      <c r="AF15358" s="3"/>
      <c r="AG15358" s="3"/>
      <c r="AH15358" s="3"/>
    </row>
    <row r="15359" spans="1:34" ht="14.25" customHeight="1" x14ac:dyDescent="0.25">
      <c r="A15359" s="3"/>
      <c r="B15359" s="3"/>
      <c r="C15359" s="3"/>
      <c r="D15359" s="3"/>
      <c r="E15359" s="3"/>
      <c r="F15359" s="3"/>
      <c r="G15359" s="3"/>
      <c r="H15359" s="11"/>
      <c r="I15359" s="12"/>
      <c r="J15359" s="3"/>
      <c r="K15359" s="3"/>
      <c r="L15359" s="3"/>
      <c r="M15359" s="3"/>
      <c r="N15359" s="3"/>
      <c r="O15359" s="3"/>
      <c r="P15359" s="3"/>
      <c r="Q15359" s="3"/>
      <c r="R15359" s="3"/>
      <c r="S15359" s="3"/>
      <c r="T15359" s="3"/>
      <c r="U15359" s="3"/>
      <c r="V15359" s="3"/>
      <c r="W15359" s="3"/>
      <c r="X15359" s="3"/>
      <c r="Y15359" s="3"/>
      <c r="Z15359" s="3"/>
      <c r="AA15359" s="3"/>
      <c r="AB15359" s="3"/>
      <c r="AC15359" s="3"/>
      <c r="AD15359" s="3"/>
      <c r="AE15359" s="3"/>
      <c r="AF15359" s="3"/>
      <c r="AG15359" s="3"/>
      <c r="AH15359" s="3"/>
    </row>
    <row r="15360" spans="1:34" ht="14.25" customHeight="1" x14ac:dyDescent="0.25">
      <c r="A15360" s="3"/>
      <c r="B15360" s="3"/>
      <c r="C15360" s="3"/>
      <c r="D15360" s="3"/>
      <c r="E15360" s="3"/>
      <c r="F15360" s="3"/>
      <c r="G15360" s="3"/>
      <c r="H15360" s="11"/>
      <c r="I15360" s="12"/>
      <c r="J15360" s="3"/>
      <c r="K15360" s="3"/>
      <c r="L15360" s="3"/>
      <c r="M15360" s="3"/>
      <c r="N15360" s="3"/>
      <c r="O15360" s="3"/>
      <c r="P15360" s="3"/>
      <c r="Q15360" s="3"/>
      <c r="R15360" s="3"/>
      <c r="S15360" s="3"/>
      <c r="T15360" s="3"/>
      <c r="U15360" s="3"/>
      <c r="V15360" s="3"/>
      <c r="W15360" s="3"/>
      <c r="X15360" s="3"/>
      <c r="Y15360" s="3"/>
      <c r="Z15360" s="3"/>
      <c r="AA15360" s="3"/>
      <c r="AB15360" s="3"/>
      <c r="AC15360" s="3"/>
      <c r="AD15360" s="3"/>
      <c r="AE15360" s="3"/>
      <c r="AF15360" s="3"/>
      <c r="AG15360" s="3"/>
      <c r="AH15360" s="3"/>
    </row>
    <row r="15361" spans="1:34" ht="14.25" customHeight="1" x14ac:dyDescent="0.25">
      <c r="A15361" s="3"/>
      <c r="B15361" s="3"/>
      <c r="C15361" s="3"/>
      <c r="D15361" s="3"/>
      <c r="E15361" s="3"/>
      <c r="F15361" s="3"/>
      <c r="G15361" s="3"/>
      <c r="H15361" s="11"/>
      <c r="I15361" s="12"/>
      <c r="J15361" s="3"/>
      <c r="K15361" s="3"/>
      <c r="L15361" s="3"/>
      <c r="M15361" s="3"/>
      <c r="N15361" s="3"/>
      <c r="O15361" s="3"/>
      <c r="P15361" s="3"/>
      <c r="Q15361" s="3"/>
      <c r="R15361" s="3"/>
      <c r="S15361" s="3"/>
      <c r="T15361" s="3"/>
      <c r="U15361" s="3"/>
      <c r="V15361" s="3"/>
      <c r="W15361" s="3"/>
      <c r="X15361" s="3"/>
      <c r="Y15361" s="3"/>
      <c r="Z15361" s="3"/>
      <c r="AA15361" s="3"/>
      <c r="AB15361" s="3"/>
      <c r="AC15361" s="3"/>
      <c r="AD15361" s="3"/>
      <c r="AE15361" s="3"/>
      <c r="AF15361" s="3"/>
      <c r="AG15361" s="3"/>
      <c r="AH15361" s="3"/>
    </row>
    <row r="15362" spans="1:34" ht="14.25" customHeight="1" x14ac:dyDescent="0.25">
      <c r="A15362" s="3"/>
      <c r="B15362" s="3"/>
      <c r="C15362" s="3"/>
      <c r="D15362" s="3"/>
      <c r="E15362" s="3"/>
      <c r="F15362" s="3"/>
      <c r="G15362" s="3"/>
      <c r="H15362" s="11"/>
      <c r="I15362" s="12"/>
      <c r="J15362" s="3"/>
      <c r="K15362" s="3"/>
      <c r="L15362" s="3"/>
      <c r="M15362" s="3"/>
      <c r="N15362" s="3"/>
      <c r="O15362" s="3"/>
      <c r="P15362" s="3"/>
      <c r="Q15362" s="3"/>
      <c r="R15362" s="3"/>
      <c r="S15362" s="3"/>
      <c r="T15362" s="3"/>
      <c r="U15362" s="3"/>
      <c r="V15362" s="3"/>
      <c r="W15362" s="3"/>
      <c r="X15362" s="3"/>
      <c r="Y15362" s="3"/>
      <c r="Z15362" s="3"/>
      <c r="AA15362" s="3"/>
      <c r="AB15362" s="3"/>
      <c r="AC15362" s="3"/>
      <c r="AD15362" s="3"/>
      <c r="AE15362" s="3"/>
      <c r="AF15362" s="3"/>
      <c r="AG15362" s="3"/>
      <c r="AH15362" s="3"/>
    </row>
    <row r="15363" spans="1:34" ht="14.25" customHeight="1" x14ac:dyDescent="0.25">
      <c r="A15363" s="3"/>
      <c r="B15363" s="3"/>
      <c r="C15363" s="3"/>
      <c r="D15363" s="3"/>
      <c r="E15363" s="3"/>
      <c r="F15363" s="3"/>
      <c r="G15363" s="3"/>
      <c r="H15363" s="11"/>
      <c r="I15363" s="12"/>
      <c r="J15363" s="3"/>
      <c r="K15363" s="3"/>
      <c r="L15363" s="3"/>
      <c r="M15363" s="3"/>
      <c r="N15363" s="3"/>
      <c r="O15363" s="3"/>
      <c r="P15363" s="3"/>
      <c r="Q15363" s="3"/>
      <c r="R15363" s="3"/>
      <c r="S15363" s="3"/>
      <c r="T15363" s="3"/>
      <c r="U15363" s="3"/>
      <c r="V15363" s="3"/>
      <c r="W15363" s="3"/>
      <c r="X15363" s="3"/>
      <c r="Y15363" s="3"/>
      <c r="Z15363" s="3"/>
      <c r="AA15363" s="3"/>
      <c r="AB15363" s="3"/>
      <c r="AC15363" s="3"/>
      <c r="AD15363" s="3"/>
      <c r="AE15363" s="3"/>
      <c r="AF15363" s="3"/>
      <c r="AG15363" s="3"/>
      <c r="AH15363" s="3"/>
    </row>
    <row r="15364" spans="1:34" ht="14.25" customHeight="1" x14ac:dyDescent="0.25">
      <c r="A15364" s="3"/>
      <c r="B15364" s="3"/>
      <c r="C15364" s="3"/>
      <c r="D15364" s="3"/>
      <c r="E15364" s="3"/>
      <c r="F15364" s="3"/>
      <c r="G15364" s="3"/>
      <c r="H15364" s="11"/>
      <c r="I15364" s="12"/>
      <c r="J15364" s="3"/>
      <c r="K15364" s="3"/>
      <c r="L15364" s="3"/>
      <c r="M15364" s="3"/>
      <c r="N15364" s="3"/>
      <c r="O15364" s="3"/>
      <c r="P15364" s="3"/>
      <c r="Q15364" s="3"/>
      <c r="R15364" s="3"/>
      <c r="S15364" s="3"/>
      <c r="T15364" s="3"/>
      <c r="U15364" s="3"/>
      <c r="V15364" s="3"/>
      <c r="W15364" s="3"/>
      <c r="X15364" s="3"/>
      <c r="Y15364" s="3"/>
      <c r="Z15364" s="3"/>
      <c r="AA15364" s="3"/>
      <c r="AB15364" s="3"/>
      <c r="AC15364" s="3"/>
      <c r="AD15364" s="3"/>
      <c r="AE15364" s="3"/>
      <c r="AF15364" s="3"/>
      <c r="AG15364" s="3"/>
      <c r="AH15364" s="3"/>
    </row>
    <row r="15365" spans="1:34" ht="14.25" customHeight="1" x14ac:dyDescent="0.25">
      <c r="A15365" s="3"/>
      <c r="B15365" s="3"/>
      <c r="C15365" s="3"/>
      <c r="D15365" s="3"/>
      <c r="E15365" s="3"/>
      <c r="F15365" s="3"/>
      <c r="G15365" s="3"/>
      <c r="H15365" s="11"/>
      <c r="I15365" s="12"/>
      <c r="J15365" s="3"/>
      <c r="K15365" s="3"/>
      <c r="L15365" s="3"/>
      <c r="M15365" s="3"/>
      <c r="N15365" s="3"/>
      <c r="O15365" s="3"/>
      <c r="P15365" s="3"/>
      <c r="Q15365" s="3"/>
      <c r="R15365" s="3"/>
      <c r="S15365" s="3"/>
      <c r="T15365" s="3"/>
      <c r="U15365" s="3"/>
      <c r="V15365" s="3"/>
      <c r="W15365" s="3"/>
      <c r="X15365" s="3"/>
      <c r="Y15365" s="3"/>
      <c r="Z15365" s="3"/>
      <c r="AA15365" s="3"/>
      <c r="AB15365" s="3"/>
      <c r="AC15365" s="3"/>
      <c r="AD15365" s="3"/>
      <c r="AE15365" s="3"/>
      <c r="AF15365" s="3"/>
      <c r="AG15365" s="3"/>
      <c r="AH15365" s="3"/>
    </row>
    <row r="15366" spans="1:34" ht="14.25" customHeight="1" x14ac:dyDescent="0.25">
      <c r="A15366" s="3"/>
      <c r="B15366" s="3"/>
      <c r="C15366" s="3"/>
      <c r="D15366" s="3"/>
      <c r="E15366" s="3"/>
      <c r="F15366" s="3"/>
      <c r="G15366" s="3"/>
      <c r="H15366" s="11"/>
      <c r="I15366" s="12"/>
      <c r="J15366" s="3"/>
      <c r="K15366" s="3"/>
      <c r="L15366" s="3"/>
      <c r="M15366" s="3"/>
      <c r="N15366" s="3"/>
      <c r="O15366" s="3"/>
      <c r="P15366" s="3"/>
      <c r="Q15366" s="3"/>
      <c r="R15366" s="3"/>
      <c r="S15366" s="3"/>
      <c r="T15366" s="3"/>
      <c r="U15366" s="3"/>
      <c r="V15366" s="3"/>
      <c r="W15366" s="3"/>
      <c r="X15366" s="3"/>
      <c r="Y15366" s="3"/>
      <c r="Z15366" s="3"/>
      <c r="AA15366" s="3"/>
      <c r="AB15366" s="3"/>
      <c r="AC15366" s="3"/>
      <c r="AD15366" s="3"/>
      <c r="AE15366" s="3"/>
      <c r="AF15366" s="3"/>
      <c r="AG15366" s="3"/>
      <c r="AH15366" s="3"/>
    </row>
    <row r="15367" spans="1:34" ht="14.25" customHeight="1" x14ac:dyDescent="0.25">
      <c r="A15367" s="3"/>
      <c r="B15367" s="3"/>
      <c r="C15367" s="3"/>
      <c r="D15367" s="3"/>
      <c r="E15367" s="3"/>
      <c r="F15367" s="3"/>
      <c r="G15367" s="3"/>
      <c r="H15367" s="11"/>
      <c r="I15367" s="12"/>
      <c r="J15367" s="3"/>
      <c r="K15367" s="3"/>
      <c r="L15367" s="3"/>
      <c r="M15367" s="3"/>
      <c r="N15367" s="3"/>
      <c r="O15367" s="3"/>
      <c r="P15367" s="3"/>
      <c r="Q15367" s="3"/>
      <c r="R15367" s="3"/>
      <c r="S15367" s="3"/>
      <c r="T15367" s="3"/>
      <c r="U15367" s="3"/>
      <c r="V15367" s="3"/>
      <c r="W15367" s="3"/>
      <c r="X15367" s="3"/>
      <c r="Y15367" s="3"/>
      <c r="Z15367" s="3"/>
      <c r="AA15367" s="3"/>
      <c r="AB15367" s="3"/>
      <c r="AC15367" s="3"/>
      <c r="AD15367" s="3"/>
      <c r="AE15367" s="3"/>
      <c r="AF15367" s="3"/>
      <c r="AG15367" s="3"/>
      <c r="AH15367" s="3"/>
    </row>
    <row r="15368" spans="1:34" ht="14.25" customHeight="1" x14ac:dyDescent="0.25">
      <c r="A15368" s="3"/>
      <c r="B15368" s="3"/>
      <c r="C15368" s="3"/>
      <c r="D15368" s="3"/>
      <c r="E15368" s="3"/>
      <c r="F15368" s="3"/>
      <c r="G15368" s="3"/>
      <c r="H15368" s="11"/>
      <c r="I15368" s="12"/>
      <c r="J15368" s="3"/>
      <c r="K15368" s="3"/>
      <c r="L15368" s="3"/>
      <c r="M15368" s="3"/>
      <c r="N15368" s="3"/>
      <c r="O15368" s="3"/>
      <c r="P15368" s="3"/>
      <c r="Q15368" s="3"/>
      <c r="R15368" s="3"/>
      <c r="S15368" s="3"/>
      <c r="T15368" s="3"/>
      <c r="U15368" s="3"/>
      <c r="V15368" s="3"/>
      <c r="W15368" s="3"/>
      <c r="X15368" s="3"/>
      <c r="Y15368" s="3"/>
      <c r="Z15368" s="3"/>
      <c r="AA15368" s="3"/>
      <c r="AB15368" s="3"/>
      <c r="AC15368" s="3"/>
      <c r="AD15368" s="3"/>
      <c r="AE15368" s="3"/>
      <c r="AF15368" s="3"/>
      <c r="AG15368" s="3"/>
      <c r="AH15368" s="3"/>
    </row>
    <row r="15369" spans="1:34" ht="14.25" customHeight="1" x14ac:dyDescent="0.25">
      <c r="A15369" s="3"/>
      <c r="B15369" s="3"/>
      <c r="C15369" s="3"/>
      <c r="D15369" s="3"/>
      <c r="E15369" s="3"/>
      <c r="F15369" s="3"/>
      <c r="G15369" s="3"/>
      <c r="H15369" s="11"/>
      <c r="I15369" s="12"/>
      <c r="J15369" s="3"/>
      <c r="K15369" s="3"/>
      <c r="L15369" s="3"/>
      <c r="M15369" s="3"/>
      <c r="N15369" s="3"/>
      <c r="O15369" s="3"/>
      <c r="P15369" s="3"/>
      <c r="Q15369" s="3"/>
      <c r="R15369" s="3"/>
      <c r="S15369" s="3"/>
      <c r="T15369" s="3"/>
      <c r="U15369" s="3"/>
      <c r="V15369" s="3"/>
      <c r="W15369" s="3"/>
      <c r="X15369" s="3"/>
      <c r="Y15369" s="3"/>
      <c r="Z15369" s="3"/>
      <c r="AA15369" s="3"/>
      <c r="AB15369" s="3"/>
      <c r="AC15369" s="3"/>
      <c r="AD15369" s="3"/>
      <c r="AE15369" s="3"/>
      <c r="AF15369" s="3"/>
      <c r="AG15369" s="3"/>
      <c r="AH15369" s="3"/>
    </row>
    <row r="15370" spans="1:34" ht="14.25" customHeight="1" x14ac:dyDescent="0.25">
      <c r="A15370" s="3"/>
      <c r="B15370" s="3"/>
      <c r="C15370" s="3"/>
      <c r="D15370" s="3"/>
      <c r="E15370" s="3"/>
      <c r="F15370" s="3"/>
      <c r="G15370" s="3"/>
      <c r="H15370" s="11"/>
      <c r="I15370" s="12"/>
      <c r="J15370" s="3"/>
      <c r="K15370" s="3"/>
      <c r="L15370" s="3"/>
      <c r="M15370" s="3"/>
      <c r="N15370" s="3"/>
      <c r="O15370" s="3"/>
      <c r="P15370" s="3"/>
      <c r="Q15370" s="3"/>
      <c r="R15370" s="3"/>
      <c r="S15370" s="3"/>
      <c r="T15370" s="3"/>
      <c r="U15370" s="3"/>
      <c r="V15370" s="3"/>
      <c r="W15370" s="3"/>
      <c r="X15370" s="3"/>
      <c r="Y15370" s="3"/>
      <c r="Z15370" s="3"/>
      <c r="AA15370" s="3"/>
      <c r="AB15370" s="3"/>
      <c r="AC15370" s="3"/>
      <c r="AD15370" s="3"/>
      <c r="AE15370" s="3"/>
      <c r="AF15370" s="3"/>
      <c r="AG15370" s="3"/>
      <c r="AH15370" s="3"/>
    </row>
    <row r="15371" spans="1:34" ht="14.25" customHeight="1" x14ac:dyDescent="0.25">
      <c r="A15371" s="3"/>
      <c r="B15371" s="3"/>
      <c r="C15371" s="3"/>
      <c r="D15371" s="3"/>
      <c r="E15371" s="3"/>
      <c r="F15371" s="3"/>
      <c r="G15371" s="3"/>
      <c r="H15371" s="11"/>
      <c r="I15371" s="12"/>
      <c r="J15371" s="3"/>
      <c r="K15371" s="3"/>
      <c r="L15371" s="3"/>
      <c r="M15371" s="3"/>
      <c r="N15371" s="3"/>
      <c r="O15371" s="3"/>
      <c r="P15371" s="3"/>
      <c r="Q15371" s="3"/>
      <c r="R15371" s="3"/>
      <c r="S15371" s="3"/>
      <c r="T15371" s="3"/>
      <c r="U15371" s="3"/>
      <c r="V15371" s="3"/>
      <c r="W15371" s="3"/>
      <c r="X15371" s="3"/>
      <c r="Y15371" s="3"/>
      <c r="Z15371" s="3"/>
      <c r="AA15371" s="3"/>
      <c r="AB15371" s="3"/>
      <c r="AC15371" s="3"/>
      <c r="AD15371" s="3"/>
      <c r="AE15371" s="3"/>
      <c r="AF15371" s="3"/>
      <c r="AG15371" s="3"/>
      <c r="AH15371" s="3"/>
    </row>
    <row r="15372" spans="1:34" ht="14.25" customHeight="1" x14ac:dyDescent="0.25">
      <c r="A15372" s="3"/>
      <c r="B15372" s="3"/>
      <c r="C15372" s="3"/>
      <c r="D15372" s="3"/>
      <c r="E15372" s="3"/>
      <c r="F15372" s="3"/>
      <c r="G15372" s="3"/>
      <c r="H15372" s="11"/>
      <c r="I15372" s="12"/>
      <c r="J15372" s="3"/>
      <c r="K15372" s="3"/>
      <c r="L15372" s="3"/>
      <c r="M15372" s="3"/>
      <c r="N15372" s="3"/>
      <c r="O15372" s="3"/>
      <c r="P15372" s="3"/>
      <c r="Q15372" s="3"/>
      <c r="R15372" s="3"/>
      <c r="S15372" s="3"/>
      <c r="T15372" s="3"/>
      <c r="U15372" s="3"/>
      <c r="V15372" s="3"/>
      <c r="W15372" s="3"/>
      <c r="X15372" s="3"/>
      <c r="Y15372" s="3"/>
      <c r="Z15372" s="3"/>
      <c r="AA15372" s="3"/>
      <c r="AB15372" s="3"/>
      <c r="AC15372" s="3"/>
      <c r="AD15372" s="3"/>
      <c r="AE15372" s="3"/>
      <c r="AF15372" s="3"/>
      <c r="AG15372" s="3"/>
      <c r="AH15372" s="3"/>
    </row>
    <row r="15373" spans="1:34" ht="14.25" customHeight="1" x14ac:dyDescent="0.25">
      <c r="A15373" s="3"/>
      <c r="B15373" s="3"/>
      <c r="C15373" s="3"/>
      <c r="D15373" s="3"/>
      <c r="E15373" s="3"/>
      <c r="F15373" s="3"/>
      <c r="G15373" s="3"/>
      <c r="H15373" s="11"/>
      <c r="I15373" s="12"/>
      <c r="J15373" s="3"/>
      <c r="K15373" s="3"/>
      <c r="L15373" s="3"/>
      <c r="M15373" s="3"/>
      <c r="N15373" s="3"/>
      <c r="O15373" s="3"/>
      <c r="P15373" s="3"/>
      <c r="Q15373" s="3"/>
      <c r="R15373" s="3"/>
      <c r="S15373" s="3"/>
      <c r="T15373" s="3"/>
      <c r="U15373" s="3"/>
      <c r="V15373" s="3"/>
      <c r="W15373" s="3"/>
      <c r="X15373" s="3"/>
      <c r="Y15373" s="3"/>
      <c r="Z15373" s="3"/>
      <c r="AA15373" s="3"/>
      <c r="AB15373" s="3"/>
      <c r="AC15373" s="3"/>
      <c r="AD15373" s="3"/>
      <c r="AE15373" s="3"/>
      <c r="AF15373" s="3"/>
      <c r="AG15373" s="3"/>
      <c r="AH15373" s="3"/>
    </row>
    <row r="15374" spans="1:34" ht="14.25" customHeight="1" x14ac:dyDescent="0.25">
      <c r="A15374" s="3"/>
      <c r="B15374" s="3"/>
      <c r="C15374" s="3"/>
      <c r="D15374" s="3"/>
      <c r="E15374" s="3"/>
      <c r="F15374" s="3"/>
      <c r="G15374" s="3"/>
      <c r="H15374" s="11"/>
      <c r="I15374" s="12"/>
      <c r="J15374" s="3"/>
      <c r="K15374" s="3"/>
      <c r="L15374" s="3"/>
      <c r="M15374" s="3"/>
      <c r="N15374" s="3"/>
      <c r="O15374" s="3"/>
      <c r="P15374" s="3"/>
      <c r="Q15374" s="3"/>
      <c r="R15374" s="3"/>
      <c r="S15374" s="3"/>
      <c r="T15374" s="3"/>
      <c r="U15374" s="3"/>
      <c r="V15374" s="3"/>
      <c r="W15374" s="3"/>
      <c r="X15374" s="3"/>
      <c r="Y15374" s="3"/>
      <c r="Z15374" s="3"/>
      <c r="AA15374" s="3"/>
      <c r="AB15374" s="3"/>
      <c r="AC15374" s="3"/>
      <c r="AD15374" s="3"/>
      <c r="AE15374" s="3"/>
      <c r="AF15374" s="3"/>
      <c r="AG15374" s="3"/>
      <c r="AH15374" s="3"/>
    </row>
    <row r="15375" spans="1:34" ht="14.25" customHeight="1" x14ac:dyDescent="0.25">
      <c r="A15375" s="3"/>
      <c r="B15375" s="3"/>
      <c r="C15375" s="3"/>
      <c r="D15375" s="3"/>
      <c r="E15375" s="3"/>
      <c r="F15375" s="3"/>
      <c r="G15375" s="3"/>
      <c r="H15375" s="11"/>
      <c r="I15375" s="12"/>
      <c r="J15375" s="3"/>
      <c r="K15375" s="3"/>
      <c r="L15375" s="3"/>
      <c r="M15375" s="3"/>
      <c r="N15375" s="3"/>
      <c r="O15375" s="3"/>
      <c r="P15375" s="3"/>
      <c r="Q15375" s="3"/>
      <c r="R15375" s="3"/>
      <c r="S15375" s="3"/>
      <c r="T15375" s="3"/>
      <c r="U15375" s="3"/>
      <c r="V15375" s="3"/>
      <c r="W15375" s="3"/>
      <c r="X15375" s="3"/>
      <c r="Y15375" s="3"/>
      <c r="Z15375" s="3"/>
      <c r="AA15375" s="3"/>
      <c r="AB15375" s="3"/>
      <c r="AC15375" s="3"/>
      <c r="AD15375" s="3"/>
      <c r="AE15375" s="3"/>
      <c r="AF15375" s="3"/>
      <c r="AG15375" s="3"/>
      <c r="AH15375" s="3"/>
    </row>
    <row r="15376" spans="1:34" ht="14.25" customHeight="1" x14ac:dyDescent="0.25">
      <c r="A15376" s="3"/>
      <c r="B15376" s="3"/>
      <c r="C15376" s="3"/>
      <c r="D15376" s="3"/>
      <c r="E15376" s="3"/>
      <c r="F15376" s="3"/>
      <c r="G15376" s="3"/>
      <c r="H15376" s="11"/>
      <c r="I15376" s="12"/>
      <c r="J15376" s="3"/>
      <c r="K15376" s="3"/>
      <c r="L15376" s="3"/>
      <c r="M15376" s="3"/>
      <c r="N15376" s="3"/>
      <c r="O15376" s="3"/>
      <c r="P15376" s="3"/>
      <c r="Q15376" s="3"/>
      <c r="R15376" s="3"/>
      <c r="S15376" s="3"/>
      <c r="T15376" s="3"/>
      <c r="U15376" s="3"/>
      <c r="V15376" s="3"/>
      <c r="W15376" s="3"/>
      <c r="X15376" s="3"/>
      <c r="Y15376" s="3"/>
      <c r="Z15376" s="3"/>
      <c r="AA15376" s="3"/>
      <c r="AB15376" s="3"/>
      <c r="AC15376" s="3"/>
      <c r="AD15376" s="3"/>
      <c r="AE15376" s="3"/>
      <c r="AF15376" s="3"/>
      <c r="AG15376" s="3"/>
      <c r="AH15376" s="3"/>
    </row>
    <row r="15377" spans="1:34" ht="14.25" customHeight="1" x14ac:dyDescent="0.25">
      <c r="A15377" s="3"/>
      <c r="B15377" s="3"/>
      <c r="C15377" s="3"/>
      <c r="D15377" s="3"/>
      <c r="E15377" s="3"/>
      <c r="F15377" s="3"/>
      <c r="G15377" s="3"/>
      <c r="H15377" s="11"/>
      <c r="I15377" s="12"/>
      <c r="J15377" s="3"/>
      <c r="K15377" s="3"/>
      <c r="L15377" s="3"/>
      <c r="M15377" s="3"/>
      <c r="N15377" s="3"/>
      <c r="O15377" s="3"/>
      <c r="P15377" s="3"/>
      <c r="Q15377" s="3"/>
      <c r="R15377" s="3"/>
      <c r="S15377" s="3"/>
      <c r="T15377" s="3"/>
      <c r="U15377" s="3"/>
      <c r="V15377" s="3"/>
      <c r="W15377" s="3"/>
      <c r="X15377" s="3"/>
      <c r="Y15377" s="3"/>
      <c r="Z15377" s="3"/>
      <c r="AA15377" s="3"/>
      <c r="AB15377" s="3"/>
      <c r="AC15377" s="3"/>
      <c r="AD15377" s="3"/>
      <c r="AE15377" s="3"/>
      <c r="AF15377" s="3"/>
      <c r="AG15377" s="3"/>
      <c r="AH15377" s="3"/>
    </row>
    <row r="15378" spans="1:34" ht="14.25" customHeight="1" x14ac:dyDescent="0.25">
      <c r="A15378" s="3"/>
      <c r="B15378" s="3"/>
      <c r="C15378" s="3"/>
      <c r="D15378" s="3"/>
      <c r="E15378" s="3"/>
      <c r="F15378" s="3"/>
      <c r="G15378" s="3"/>
      <c r="H15378" s="11"/>
      <c r="I15378" s="12"/>
      <c r="J15378" s="3"/>
      <c r="K15378" s="3"/>
      <c r="L15378" s="3"/>
      <c r="M15378" s="3"/>
      <c r="N15378" s="3"/>
      <c r="O15378" s="3"/>
      <c r="P15378" s="3"/>
      <c r="Q15378" s="3"/>
      <c r="R15378" s="3"/>
      <c r="S15378" s="3"/>
      <c r="T15378" s="3"/>
      <c r="U15378" s="3"/>
      <c r="V15378" s="3"/>
      <c r="W15378" s="3"/>
      <c r="X15378" s="3"/>
      <c r="Y15378" s="3"/>
      <c r="Z15378" s="3"/>
      <c r="AA15378" s="3"/>
      <c r="AB15378" s="3"/>
      <c r="AC15378" s="3"/>
      <c r="AD15378" s="3"/>
      <c r="AE15378" s="3"/>
      <c r="AF15378" s="3"/>
      <c r="AG15378" s="3"/>
      <c r="AH15378" s="3"/>
    </row>
    <row r="15379" spans="1:34" ht="14.25" customHeight="1" x14ac:dyDescent="0.25">
      <c r="A15379" s="3"/>
      <c r="B15379" s="3"/>
      <c r="C15379" s="3"/>
      <c r="D15379" s="3"/>
      <c r="E15379" s="3"/>
      <c r="F15379" s="3"/>
      <c r="G15379" s="3"/>
      <c r="H15379" s="11"/>
      <c r="I15379" s="12"/>
      <c r="J15379" s="3"/>
      <c r="K15379" s="3"/>
      <c r="L15379" s="3"/>
      <c r="M15379" s="3"/>
      <c r="N15379" s="3"/>
      <c r="O15379" s="3"/>
      <c r="P15379" s="3"/>
      <c r="Q15379" s="3"/>
      <c r="R15379" s="3"/>
      <c r="S15379" s="3"/>
      <c r="T15379" s="3"/>
      <c r="U15379" s="3"/>
      <c r="V15379" s="3"/>
      <c r="W15379" s="3"/>
      <c r="X15379" s="3"/>
      <c r="Y15379" s="3"/>
      <c r="Z15379" s="3"/>
      <c r="AA15379" s="3"/>
      <c r="AB15379" s="3"/>
      <c r="AC15379" s="3"/>
      <c r="AD15379" s="3"/>
      <c r="AE15379" s="3"/>
      <c r="AF15379" s="3"/>
      <c r="AG15379" s="3"/>
      <c r="AH15379" s="3"/>
    </row>
    <row r="15380" spans="1:34" ht="14.25" customHeight="1" x14ac:dyDescent="0.25">
      <c r="A15380" s="3"/>
      <c r="B15380" s="3"/>
      <c r="C15380" s="3"/>
      <c r="D15380" s="3"/>
      <c r="E15380" s="3"/>
      <c r="F15380" s="3"/>
      <c r="G15380" s="3"/>
      <c r="H15380" s="11"/>
      <c r="I15380" s="12"/>
      <c r="J15380" s="3"/>
      <c r="K15380" s="3"/>
      <c r="L15380" s="3"/>
      <c r="M15380" s="3"/>
      <c r="N15380" s="3"/>
      <c r="O15380" s="3"/>
      <c r="P15380" s="3"/>
      <c r="Q15380" s="3"/>
      <c r="R15380" s="3"/>
      <c r="S15380" s="3"/>
      <c r="T15380" s="3"/>
      <c r="U15380" s="3"/>
      <c r="V15380" s="3"/>
      <c r="W15380" s="3"/>
      <c r="X15380" s="3"/>
      <c r="Y15380" s="3"/>
      <c r="Z15380" s="3"/>
      <c r="AA15380" s="3"/>
      <c r="AB15380" s="3"/>
      <c r="AC15380" s="3"/>
      <c r="AD15380" s="3"/>
      <c r="AE15380" s="3"/>
      <c r="AF15380" s="3"/>
      <c r="AG15380" s="3"/>
      <c r="AH15380" s="3"/>
    </row>
    <row r="15381" spans="1:34" ht="14.25" customHeight="1" x14ac:dyDescent="0.25">
      <c r="A15381" s="3"/>
      <c r="B15381" s="3"/>
      <c r="C15381" s="3"/>
      <c r="D15381" s="3"/>
      <c r="E15381" s="3"/>
      <c r="F15381" s="3"/>
      <c r="G15381" s="3"/>
      <c r="H15381" s="11"/>
      <c r="I15381" s="12"/>
      <c r="J15381" s="3"/>
      <c r="K15381" s="3"/>
      <c r="L15381" s="3"/>
      <c r="M15381" s="3"/>
      <c r="N15381" s="3"/>
      <c r="O15381" s="3"/>
      <c r="P15381" s="3"/>
      <c r="Q15381" s="3"/>
      <c r="R15381" s="3"/>
      <c r="S15381" s="3"/>
      <c r="T15381" s="3"/>
      <c r="U15381" s="3"/>
      <c r="V15381" s="3"/>
      <c r="W15381" s="3"/>
      <c r="X15381" s="3"/>
      <c r="Y15381" s="3"/>
      <c r="Z15381" s="3"/>
      <c r="AA15381" s="3"/>
      <c r="AB15381" s="3"/>
      <c r="AC15381" s="3"/>
      <c r="AD15381" s="3"/>
      <c r="AE15381" s="3"/>
      <c r="AF15381" s="3"/>
      <c r="AG15381" s="3"/>
      <c r="AH15381" s="3"/>
    </row>
    <row r="15382" spans="1:34" ht="14.25" customHeight="1" x14ac:dyDescent="0.25">
      <c r="A15382" s="3"/>
      <c r="B15382" s="3"/>
      <c r="C15382" s="3"/>
      <c r="D15382" s="3"/>
      <c r="E15382" s="3"/>
      <c r="F15382" s="3"/>
      <c r="G15382" s="3"/>
      <c r="H15382" s="11"/>
      <c r="I15382" s="12"/>
      <c r="J15382" s="3"/>
      <c r="K15382" s="3"/>
      <c r="L15382" s="3"/>
      <c r="M15382" s="3"/>
      <c r="N15382" s="3"/>
      <c r="O15382" s="3"/>
      <c r="P15382" s="3"/>
      <c r="Q15382" s="3"/>
      <c r="R15382" s="3"/>
      <c r="S15382" s="3"/>
      <c r="T15382" s="3"/>
      <c r="U15382" s="3"/>
      <c r="V15382" s="3"/>
      <c r="W15382" s="3"/>
      <c r="X15382" s="3"/>
      <c r="Y15382" s="3"/>
      <c r="Z15382" s="3"/>
      <c r="AA15382" s="3"/>
      <c r="AB15382" s="3"/>
      <c r="AC15382" s="3"/>
      <c r="AD15382" s="3"/>
      <c r="AE15382" s="3"/>
      <c r="AF15382" s="3"/>
      <c r="AG15382" s="3"/>
      <c r="AH15382" s="3"/>
    </row>
    <row r="15383" spans="1:34" ht="14.25" customHeight="1" x14ac:dyDescent="0.25">
      <c r="A15383" s="3"/>
      <c r="B15383" s="3"/>
      <c r="C15383" s="3"/>
      <c r="D15383" s="3"/>
      <c r="E15383" s="3"/>
      <c r="F15383" s="3"/>
      <c r="G15383" s="3"/>
      <c r="H15383" s="11"/>
      <c r="I15383" s="12"/>
      <c r="J15383" s="3"/>
      <c r="K15383" s="3"/>
      <c r="L15383" s="3"/>
      <c r="M15383" s="3"/>
      <c r="N15383" s="3"/>
      <c r="O15383" s="3"/>
      <c r="P15383" s="3"/>
      <c r="Q15383" s="3"/>
      <c r="R15383" s="3"/>
      <c r="S15383" s="3"/>
      <c r="T15383" s="3"/>
      <c r="U15383" s="3"/>
      <c r="V15383" s="3"/>
      <c r="W15383" s="3"/>
      <c r="X15383" s="3"/>
      <c r="Y15383" s="3"/>
      <c r="Z15383" s="3"/>
      <c r="AA15383" s="3"/>
      <c r="AB15383" s="3"/>
      <c r="AC15383" s="3"/>
      <c r="AD15383" s="3"/>
      <c r="AE15383" s="3"/>
      <c r="AF15383" s="3"/>
      <c r="AG15383" s="3"/>
      <c r="AH15383" s="3"/>
    </row>
    <row r="15384" spans="1:34" ht="14.25" customHeight="1" x14ac:dyDescent="0.25">
      <c r="A15384" s="3"/>
      <c r="B15384" s="3"/>
      <c r="C15384" s="3"/>
      <c r="D15384" s="3"/>
      <c r="E15384" s="3"/>
      <c r="F15384" s="3"/>
      <c r="G15384" s="3"/>
      <c r="H15384" s="11"/>
      <c r="I15384" s="12"/>
      <c r="J15384" s="3"/>
      <c r="K15384" s="3"/>
      <c r="L15384" s="3"/>
      <c r="M15384" s="3"/>
      <c r="N15384" s="3"/>
      <c r="O15384" s="3"/>
      <c r="P15384" s="3"/>
      <c r="Q15384" s="3"/>
      <c r="R15384" s="3"/>
      <c r="S15384" s="3"/>
      <c r="T15384" s="3"/>
      <c r="U15384" s="3"/>
      <c r="V15384" s="3"/>
      <c r="W15384" s="3"/>
      <c r="X15384" s="3"/>
      <c r="Y15384" s="3"/>
      <c r="Z15384" s="3"/>
      <c r="AA15384" s="3"/>
      <c r="AB15384" s="3"/>
      <c r="AC15384" s="3"/>
      <c r="AD15384" s="3"/>
      <c r="AE15384" s="3"/>
      <c r="AF15384" s="3"/>
      <c r="AG15384" s="3"/>
      <c r="AH15384" s="3"/>
    </row>
    <row r="15385" spans="1:34" ht="14.25" customHeight="1" x14ac:dyDescent="0.25">
      <c r="A15385" s="3"/>
      <c r="B15385" s="3"/>
      <c r="C15385" s="3"/>
      <c r="D15385" s="3"/>
      <c r="E15385" s="3"/>
      <c r="F15385" s="3"/>
      <c r="G15385" s="3"/>
      <c r="H15385" s="11"/>
      <c r="I15385" s="12"/>
      <c r="J15385" s="3"/>
      <c r="K15385" s="3"/>
      <c r="L15385" s="3"/>
      <c r="M15385" s="3"/>
      <c r="N15385" s="3"/>
      <c r="O15385" s="3"/>
      <c r="P15385" s="3"/>
      <c r="Q15385" s="3"/>
      <c r="R15385" s="3"/>
      <c r="S15385" s="3"/>
      <c r="T15385" s="3"/>
      <c r="U15385" s="3"/>
      <c r="V15385" s="3"/>
      <c r="W15385" s="3"/>
      <c r="X15385" s="3"/>
      <c r="Y15385" s="3"/>
      <c r="Z15385" s="3"/>
      <c r="AA15385" s="3"/>
      <c r="AB15385" s="3"/>
      <c r="AC15385" s="3"/>
      <c r="AD15385" s="3"/>
      <c r="AE15385" s="3"/>
      <c r="AF15385" s="3"/>
      <c r="AG15385" s="3"/>
      <c r="AH15385" s="3"/>
    </row>
    <row r="15386" spans="1:34" ht="14.25" customHeight="1" x14ac:dyDescent="0.25">
      <c r="A15386" s="3"/>
      <c r="B15386" s="3"/>
      <c r="C15386" s="3"/>
      <c r="D15386" s="3"/>
      <c r="E15386" s="3"/>
      <c r="F15386" s="3"/>
      <c r="G15386" s="3"/>
      <c r="H15386" s="11"/>
      <c r="I15386" s="12"/>
      <c r="J15386" s="3"/>
      <c r="K15386" s="3"/>
      <c r="L15386" s="3"/>
      <c r="M15386" s="3"/>
      <c r="N15386" s="3"/>
      <c r="O15386" s="3"/>
      <c r="P15386" s="3"/>
      <c r="Q15386" s="3"/>
      <c r="R15386" s="3"/>
      <c r="S15386" s="3"/>
      <c r="T15386" s="3"/>
      <c r="U15386" s="3"/>
      <c r="V15386" s="3"/>
      <c r="W15386" s="3"/>
      <c r="X15386" s="3"/>
      <c r="Y15386" s="3"/>
      <c r="Z15386" s="3"/>
      <c r="AA15386" s="3"/>
      <c r="AB15386" s="3"/>
      <c r="AC15386" s="3"/>
      <c r="AD15386" s="3"/>
      <c r="AE15386" s="3"/>
      <c r="AF15386" s="3"/>
      <c r="AG15386" s="3"/>
      <c r="AH15386" s="3"/>
    </row>
    <row r="15387" spans="1:34" ht="14.25" customHeight="1" x14ac:dyDescent="0.25">
      <c r="A15387" s="3"/>
      <c r="B15387" s="3"/>
      <c r="C15387" s="3"/>
      <c r="D15387" s="3"/>
      <c r="E15387" s="3"/>
      <c r="F15387" s="3"/>
      <c r="G15387" s="3"/>
      <c r="H15387" s="11"/>
      <c r="I15387" s="12"/>
      <c r="J15387" s="3"/>
      <c r="K15387" s="3"/>
      <c r="L15387" s="3"/>
      <c r="M15387" s="3"/>
      <c r="N15387" s="3"/>
      <c r="O15387" s="3"/>
      <c r="P15387" s="3"/>
      <c r="Q15387" s="3"/>
      <c r="R15387" s="3"/>
      <c r="S15387" s="3"/>
      <c r="T15387" s="3"/>
      <c r="U15387" s="3"/>
      <c r="V15387" s="3"/>
      <c r="W15387" s="3"/>
      <c r="X15387" s="3"/>
      <c r="Y15387" s="3"/>
      <c r="Z15387" s="3"/>
      <c r="AA15387" s="3"/>
      <c r="AB15387" s="3"/>
      <c r="AC15387" s="3"/>
      <c r="AD15387" s="3"/>
      <c r="AE15387" s="3"/>
      <c r="AF15387" s="3"/>
      <c r="AG15387" s="3"/>
      <c r="AH15387" s="3"/>
    </row>
    <row r="15388" spans="1:34" ht="14.25" customHeight="1" x14ac:dyDescent="0.25">
      <c r="A15388" s="3"/>
      <c r="B15388" s="3"/>
      <c r="C15388" s="3"/>
      <c r="D15388" s="3"/>
      <c r="E15388" s="3"/>
      <c r="F15388" s="3"/>
      <c r="G15388" s="3"/>
      <c r="H15388" s="11"/>
      <c r="I15388" s="12"/>
      <c r="J15388" s="3"/>
      <c r="K15388" s="3"/>
      <c r="L15388" s="3"/>
      <c r="M15388" s="3"/>
      <c r="N15388" s="3"/>
      <c r="O15388" s="3"/>
      <c r="P15388" s="3"/>
      <c r="Q15388" s="3"/>
      <c r="R15388" s="3"/>
      <c r="S15388" s="3"/>
      <c r="T15388" s="3"/>
      <c r="U15388" s="3"/>
      <c r="V15388" s="3"/>
      <c r="W15388" s="3"/>
      <c r="X15388" s="3"/>
      <c r="Y15388" s="3"/>
      <c r="Z15388" s="3"/>
      <c r="AA15388" s="3"/>
      <c r="AB15388" s="3"/>
      <c r="AC15388" s="3"/>
      <c r="AD15388" s="3"/>
      <c r="AE15388" s="3"/>
      <c r="AF15388" s="3"/>
      <c r="AG15388" s="3"/>
      <c r="AH15388" s="3"/>
    </row>
    <row r="15389" spans="1:34" ht="14.25" customHeight="1" x14ac:dyDescent="0.25">
      <c r="A15389" s="3"/>
      <c r="B15389" s="3"/>
      <c r="C15389" s="3"/>
      <c r="D15389" s="3"/>
      <c r="E15389" s="3"/>
      <c r="F15389" s="3"/>
      <c r="G15389" s="3"/>
      <c r="H15389" s="11"/>
      <c r="I15389" s="12"/>
      <c r="J15389" s="3"/>
      <c r="K15389" s="3"/>
      <c r="L15389" s="3"/>
      <c r="M15389" s="3"/>
      <c r="N15389" s="3"/>
      <c r="O15389" s="3"/>
      <c r="P15389" s="3"/>
      <c r="Q15389" s="3"/>
      <c r="R15389" s="3"/>
      <c r="S15389" s="3"/>
      <c r="T15389" s="3"/>
      <c r="U15389" s="3"/>
      <c r="V15389" s="3"/>
      <c r="W15389" s="3"/>
      <c r="X15389" s="3"/>
      <c r="Y15389" s="3"/>
      <c r="Z15389" s="3"/>
      <c r="AA15389" s="3"/>
      <c r="AB15389" s="3"/>
      <c r="AC15389" s="3"/>
      <c r="AD15389" s="3"/>
      <c r="AE15389" s="3"/>
      <c r="AF15389" s="3"/>
      <c r="AG15389" s="3"/>
      <c r="AH15389" s="3"/>
    </row>
    <row r="15390" spans="1:34" ht="14.25" customHeight="1" x14ac:dyDescent="0.25">
      <c r="A15390" s="3"/>
      <c r="B15390" s="3"/>
      <c r="C15390" s="3"/>
      <c r="D15390" s="3"/>
      <c r="E15390" s="3"/>
      <c r="F15390" s="3"/>
      <c r="G15390" s="3"/>
      <c r="H15390" s="11"/>
      <c r="I15390" s="12"/>
      <c r="J15390" s="3"/>
      <c r="K15390" s="3"/>
      <c r="L15390" s="3"/>
      <c r="M15390" s="3"/>
      <c r="N15390" s="3"/>
      <c r="O15390" s="3"/>
      <c r="P15390" s="3"/>
      <c r="Q15390" s="3"/>
      <c r="R15390" s="3"/>
      <c r="S15390" s="3"/>
      <c r="T15390" s="3"/>
      <c r="U15390" s="3"/>
      <c r="V15390" s="3"/>
      <c r="W15390" s="3"/>
      <c r="X15390" s="3"/>
      <c r="Y15390" s="3"/>
      <c r="Z15390" s="3"/>
      <c r="AA15390" s="3"/>
      <c r="AB15390" s="3"/>
      <c r="AC15390" s="3"/>
      <c r="AD15390" s="3"/>
      <c r="AE15390" s="3"/>
      <c r="AF15390" s="3"/>
      <c r="AG15390" s="3"/>
      <c r="AH15390" s="3"/>
    </row>
    <row r="15391" spans="1:34" ht="14.25" customHeight="1" x14ac:dyDescent="0.25">
      <c r="A15391" s="3"/>
      <c r="B15391" s="3"/>
      <c r="C15391" s="3"/>
      <c r="D15391" s="3"/>
      <c r="E15391" s="3"/>
      <c r="F15391" s="3"/>
      <c r="G15391" s="3"/>
      <c r="H15391" s="11"/>
      <c r="I15391" s="12"/>
      <c r="J15391" s="3"/>
      <c r="K15391" s="3"/>
      <c r="L15391" s="3"/>
      <c r="M15391" s="3"/>
      <c r="N15391" s="3"/>
      <c r="O15391" s="3"/>
      <c r="P15391" s="3"/>
      <c r="Q15391" s="3"/>
      <c r="R15391" s="3"/>
      <c r="S15391" s="3"/>
      <c r="T15391" s="3"/>
      <c r="U15391" s="3"/>
      <c r="V15391" s="3"/>
      <c r="W15391" s="3"/>
      <c r="X15391" s="3"/>
      <c r="Y15391" s="3"/>
      <c r="Z15391" s="3"/>
      <c r="AA15391" s="3"/>
      <c r="AB15391" s="3"/>
      <c r="AC15391" s="3"/>
      <c r="AD15391" s="3"/>
      <c r="AE15391" s="3"/>
      <c r="AF15391" s="3"/>
      <c r="AG15391" s="3"/>
      <c r="AH15391" s="3"/>
    </row>
    <row r="15392" spans="1:34" ht="14.25" customHeight="1" x14ac:dyDescent="0.25">
      <c r="A15392" s="3"/>
      <c r="B15392" s="3"/>
      <c r="C15392" s="3"/>
      <c r="D15392" s="3"/>
      <c r="E15392" s="3"/>
      <c r="F15392" s="3"/>
      <c r="G15392" s="3"/>
      <c r="H15392" s="11"/>
      <c r="I15392" s="12"/>
      <c r="J15392" s="3"/>
      <c r="K15392" s="3"/>
      <c r="L15392" s="3"/>
      <c r="M15392" s="3"/>
      <c r="N15392" s="3"/>
      <c r="O15392" s="3"/>
      <c r="P15392" s="3"/>
      <c r="Q15392" s="3"/>
      <c r="R15392" s="3"/>
      <c r="S15392" s="3"/>
      <c r="T15392" s="3"/>
      <c r="U15392" s="3"/>
      <c r="V15392" s="3"/>
      <c r="W15392" s="3"/>
      <c r="X15392" s="3"/>
      <c r="Y15392" s="3"/>
      <c r="Z15392" s="3"/>
      <c r="AA15392" s="3"/>
      <c r="AB15392" s="3"/>
      <c r="AC15392" s="3"/>
      <c r="AD15392" s="3"/>
      <c r="AE15392" s="3"/>
      <c r="AF15392" s="3"/>
      <c r="AG15392" s="3"/>
      <c r="AH15392" s="3"/>
    </row>
    <row r="15393" spans="1:34" ht="14.25" customHeight="1" x14ac:dyDescent="0.25">
      <c r="A15393" s="3"/>
      <c r="B15393" s="3"/>
      <c r="C15393" s="3"/>
      <c r="D15393" s="3"/>
      <c r="E15393" s="3"/>
      <c r="F15393" s="3"/>
      <c r="G15393" s="3"/>
      <c r="H15393" s="11"/>
      <c r="I15393" s="12"/>
      <c r="J15393" s="3"/>
      <c r="K15393" s="3"/>
      <c r="L15393" s="3"/>
      <c r="M15393" s="3"/>
      <c r="N15393" s="3"/>
      <c r="O15393" s="3"/>
      <c r="P15393" s="3"/>
      <c r="Q15393" s="3"/>
      <c r="R15393" s="3"/>
      <c r="S15393" s="3"/>
      <c r="T15393" s="3"/>
      <c r="U15393" s="3"/>
      <c r="V15393" s="3"/>
      <c r="W15393" s="3"/>
      <c r="X15393" s="3"/>
      <c r="Y15393" s="3"/>
      <c r="Z15393" s="3"/>
      <c r="AA15393" s="3"/>
      <c r="AB15393" s="3"/>
      <c r="AC15393" s="3"/>
      <c r="AD15393" s="3"/>
      <c r="AE15393" s="3"/>
      <c r="AF15393" s="3"/>
      <c r="AG15393" s="3"/>
      <c r="AH15393" s="3"/>
    </row>
    <row r="15394" spans="1:34" ht="14.25" customHeight="1" x14ac:dyDescent="0.25">
      <c r="A15394" s="3"/>
      <c r="B15394" s="3"/>
      <c r="C15394" s="3"/>
      <c r="D15394" s="3"/>
      <c r="E15394" s="3"/>
      <c r="F15394" s="3"/>
      <c r="G15394" s="3"/>
      <c r="H15394" s="11"/>
      <c r="I15394" s="12"/>
      <c r="J15394" s="3"/>
      <c r="K15394" s="3"/>
      <c r="L15394" s="3"/>
      <c r="M15394" s="3"/>
      <c r="N15394" s="3"/>
      <c r="O15394" s="3"/>
      <c r="P15394" s="3"/>
      <c r="Q15394" s="3"/>
      <c r="R15394" s="3"/>
      <c r="S15394" s="3"/>
      <c r="T15394" s="3"/>
      <c r="U15394" s="3"/>
      <c r="V15394" s="3"/>
      <c r="W15394" s="3"/>
      <c r="X15394" s="3"/>
      <c r="Y15394" s="3"/>
      <c r="Z15394" s="3"/>
      <c r="AA15394" s="3"/>
      <c r="AB15394" s="3"/>
      <c r="AC15394" s="3"/>
      <c r="AD15394" s="3"/>
      <c r="AE15394" s="3"/>
      <c r="AF15394" s="3"/>
      <c r="AG15394" s="3"/>
      <c r="AH15394" s="3"/>
    </row>
    <row r="15395" spans="1:34" ht="14.25" customHeight="1" x14ac:dyDescent="0.25">
      <c r="A15395" s="3"/>
      <c r="B15395" s="3"/>
      <c r="C15395" s="3"/>
      <c r="D15395" s="3"/>
      <c r="E15395" s="3"/>
      <c r="F15395" s="3"/>
      <c r="G15395" s="3"/>
      <c r="H15395" s="11"/>
      <c r="I15395" s="12"/>
      <c r="J15395" s="3"/>
      <c r="K15395" s="3"/>
      <c r="L15395" s="3"/>
      <c r="M15395" s="3"/>
      <c r="N15395" s="3"/>
      <c r="O15395" s="3"/>
      <c r="P15395" s="3"/>
      <c r="Q15395" s="3"/>
      <c r="R15395" s="3"/>
      <c r="S15395" s="3"/>
      <c r="T15395" s="3"/>
      <c r="U15395" s="3"/>
      <c r="V15395" s="3"/>
      <c r="W15395" s="3"/>
      <c r="X15395" s="3"/>
      <c r="Y15395" s="3"/>
      <c r="Z15395" s="3"/>
      <c r="AA15395" s="3"/>
      <c r="AB15395" s="3"/>
      <c r="AC15395" s="3"/>
      <c r="AD15395" s="3"/>
      <c r="AE15395" s="3"/>
      <c r="AF15395" s="3"/>
      <c r="AG15395" s="3"/>
      <c r="AH15395" s="3"/>
    </row>
    <row r="15396" spans="1:34" ht="14.25" customHeight="1" x14ac:dyDescent="0.25">
      <c r="A15396" s="3"/>
      <c r="B15396" s="3"/>
      <c r="C15396" s="3"/>
      <c r="D15396" s="3"/>
      <c r="E15396" s="3"/>
      <c r="F15396" s="3"/>
      <c r="G15396" s="3"/>
      <c r="H15396" s="11"/>
      <c r="I15396" s="12"/>
      <c r="J15396" s="3"/>
      <c r="K15396" s="3"/>
      <c r="L15396" s="3"/>
      <c r="M15396" s="3"/>
      <c r="N15396" s="3"/>
      <c r="O15396" s="3"/>
      <c r="P15396" s="3"/>
      <c r="Q15396" s="3"/>
      <c r="R15396" s="3"/>
      <c r="S15396" s="3"/>
      <c r="T15396" s="3"/>
      <c r="U15396" s="3"/>
      <c r="V15396" s="3"/>
      <c r="W15396" s="3"/>
      <c r="X15396" s="3"/>
      <c r="Y15396" s="3"/>
      <c r="Z15396" s="3"/>
      <c r="AA15396" s="3"/>
      <c r="AB15396" s="3"/>
      <c r="AC15396" s="3"/>
      <c r="AD15396" s="3"/>
      <c r="AE15396" s="3"/>
      <c r="AF15396" s="3"/>
      <c r="AG15396" s="3"/>
      <c r="AH15396" s="3"/>
    </row>
    <row r="15397" spans="1:34" ht="14.25" customHeight="1" x14ac:dyDescent="0.25">
      <c r="A15397" s="3"/>
      <c r="B15397" s="3"/>
      <c r="C15397" s="3"/>
      <c r="D15397" s="3"/>
      <c r="E15397" s="3"/>
      <c r="F15397" s="3"/>
      <c r="G15397" s="3"/>
      <c r="H15397" s="11"/>
      <c r="I15397" s="12"/>
      <c r="J15397" s="3"/>
      <c r="K15397" s="3"/>
      <c r="L15397" s="3"/>
      <c r="M15397" s="3"/>
      <c r="N15397" s="3"/>
      <c r="O15397" s="3"/>
      <c r="P15397" s="3"/>
      <c r="Q15397" s="3"/>
      <c r="R15397" s="3"/>
      <c r="S15397" s="3"/>
      <c r="T15397" s="3"/>
      <c r="U15397" s="3"/>
      <c r="V15397" s="3"/>
      <c r="W15397" s="3"/>
      <c r="X15397" s="3"/>
      <c r="Y15397" s="3"/>
      <c r="Z15397" s="3"/>
      <c r="AA15397" s="3"/>
      <c r="AB15397" s="3"/>
      <c r="AC15397" s="3"/>
      <c r="AD15397" s="3"/>
      <c r="AE15397" s="3"/>
      <c r="AF15397" s="3"/>
      <c r="AG15397" s="3"/>
      <c r="AH15397" s="3"/>
    </row>
    <row r="15398" spans="1:34" ht="14.25" customHeight="1" x14ac:dyDescent="0.25">
      <c r="A15398" s="3"/>
      <c r="B15398" s="3"/>
      <c r="C15398" s="3"/>
      <c r="D15398" s="3"/>
      <c r="E15398" s="3"/>
      <c r="F15398" s="3"/>
      <c r="G15398" s="3"/>
      <c r="H15398" s="11"/>
      <c r="I15398" s="12"/>
      <c r="J15398" s="3"/>
      <c r="K15398" s="3"/>
      <c r="L15398" s="3"/>
      <c r="M15398" s="3"/>
      <c r="N15398" s="3"/>
      <c r="O15398" s="3"/>
      <c r="P15398" s="3"/>
      <c r="Q15398" s="3"/>
      <c r="R15398" s="3"/>
      <c r="S15398" s="3"/>
      <c r="T15398" s="3"/>
      <c r="U15398" s="3"/>
      <c r="V15398" s="3"/>
      <c r="W15398" s="3"/>
      <c r="X15398" s="3"/>
      <c r="Y15398" s="3"/>
      <c r="Z15398" s="3"/>
      <c r="AA15398" s="3"/>
      <c r="AB15398" s="3"/>
      <c r="AC15398" s="3"/>
      <c r="AD15398" s="3"/>
      <c r="AE15398" s="3"/>
      <c r="AF15398" s="3"/>
      <c r="AG15398" s="3"/>
      <c r="AH15398" s="3"/>
    </row>
    <row r="15399" spans="1:34" ht="14.25" customHeight="1" x14ac:dyDescent="0.25">
      <c r="A15399" s="3"/>
      <c r="B15399" s="3"/>
      <c r="C15399" s="3"/>
      <c r="D15399" s="3"/>
      <c r="E15399" s="3"/>
      <c r="F15399" s="3"/>
      <c r="G15399" s="3"/>
      <c r="H15399" s="11"/>
      <c r="I15399" s="12"/>
      <c r="J15399" s="3"/>
      <c r="K15399" s="3"/>
      <c r="L15399" s="3"/>
      <c r="M15399" s="3"/>
      <c r="N15399" s="3"/>
      <c r="O15399" s="3"/>
      <c r="P15399" s="3"/>
      <c r="Q15399" s="3"/>
      <c r="R15399" s="3"/>
      <c r="S15399" s="3"/>
      <c r="T15399" s="3"/>
      <c r="U15399" s="3"/>
      <c r="V15399" s="3"/>
      <c r="W15399" s="3"/>
      <c r="X15399" s="3"/>
      <c r="Y15399" s="3"/>
      <c r="Z15399" s="3"/>
      <c r="AA15399" s="3"/>
      <c r="AB15399" s="3"/>
      <c r="AC15399" s="3"/>
      <c r="AD15399" s="3"/>
      <c r="AE15399" s="3"/>
      <c r="AF15399" s="3"/>
      <c r="AG15399" s="3"/>
      <c r="AH15399" s="3"/>
    </row>
    <row r="15400" spans="1:34" ht="14.25" customHeight="1" x14ac:dyDescent="0.25">
      <c r="A15400" s="3"/>
      <c r="B15400" s="3"/>
      <c r="C15400" s="3"/>
      <c r="D15400" s="3"/>
      <c r="E15400" s="3"/>
      <c r="F15400" s="3"/>
      <c r="G15400" s="3"/>
      <c r="H15400" s="11"/>
      <c r="I15400" s="12"/>
      <c r="J15400" s="3"/>
      <c r="K15400" s="3"/>
      <c r="L15400" s="3"/>
      <c r="M15400" s="3"/>
      <c r="N15400" s="3"/>
      <c r="O15400" s="3"/>
      <c r="P15400" s="3"/>
      <c r="Q15400" s="3"/>
      <c r="R15400" s="3"/>
      <c r="S15400" s="3"/>
      <c r="T15400" s="3"/>
      <c r="U15400" s="3"/>
      <c r="V15400" s="3"/>
      <c r="W15400" s="3"/>
      <c r="X15400" s="3"/>
      <c r="Y15400" s="3"/>
      <c r="Z15400" s="3"/>
      <c r="AA15400" s="3"/>
      <c r="AB15400" s="3"/>
      <c r="AC15400" s="3"/>
      <c r="AD15400" s="3"/>
      <c r="AE15400" s="3"/>
      <c r="AF15400" s="3"/>
      <c r="AG15400" s="3"/>
      <c r="AH15400" s="3"/>
    </row>
    <row r="15401" spans="1:34" ht="14.25" customHeight="1" x14ac:dyDescent="0.25">
      <c r="A15401" s="3"/>
      <c r="B15401" s="3"/>
      <c r="C15401" s="3"/>
      <c r="D15401" s="3"/>
      <c r="E15401" s="3"/>
      <c r="F15401" s="3"/>
      <c r="G15401" s="3"/>
      <c r="H15401" s="11"/>
      <c r="I15401" s="12"/>
      <c r="J15401" s="3"/>
      <c r="K15401" s="3"/>
      <c r="L15401" s="3"/>
      <c r="M15401" s="3"/>
      <c r="N15401" s="3"/>
      <c r="O15401" s="3"/>
      <c r="P15401" s="3"/>
      <c r="Q15401" s="3"/>
      <c r="R15401" s="3"/>
      <c r="S15401" s="3"/>
      <c r="T15401" s="3"/>
      <c r="U15401" s="3"/>
      <c r="V15401" s="3"/>
      <c r="W15401" s="3"/>
      <c r="X15401" s="3"/>
      <c r="Y15401" s="3"/>
      <c r="Z15401" s="3"/>
      <c r="AA15401" s="3"/>
      <c r="AB15401" s="3"/>
      <c r="AC15401" s="3"/>
      <c r="AD15401" s="3"/>
      <c r="AE15401" s="3"/>
      <c r="AF15401" s="3"/>
      <c r="AG15401" s="3"/>
      <c r="AH15401" s="3"/>
    </row>
    <row r="15402" spans="1:34" ht="14.25" customHeight="1" x14ac:dyDescent="0.25">
      <c r="A15402" s="3"/>
      <c r="B15402" s="3"/>
      <c r="C15402" s="3"/>
      <c r="D15402" s="3"/>
      <c r="E15402" s="3"/>
      <c r="F15402" s="3"/>
      <c r="G15402" s="3"/>
      <c r="H15402" s="11"/>
      <c r="I15402" s="12"/>
      <c r="J15402" s="3"/>
      <c r="K15402" s="3"/>
      <c r="L15402" s="3"/>
      <c r="M15402" s="3"/>
      <c r="N15402" s="3"/>
      <c r="O15402" s="3"/>
      <c r="P15402" s="3"/>
      <c r="Q15402" s="3"/>
      <c r="R15402" s="3"/>
      <c r="S15402" s="3"/>
      <c r="T15402" s="3"/>
      <c r="U15402" s="3"/>
      <c r="V15402" s="3"/>
      <c r="W15402" s="3"/>
      <c r="X15402" s="3"/>
      <c r="Y15402" s="3"/>
      <c r="Z15402" s="3"/>
      <c r="AA15402" s="3"/>
      <c r="AB15402" s="3"/>
      <c r="AC15402" s="3"/>
      <c r="AD15402" s="3"/>
      <c r="AE15402" s="3"/>
      <c r="AF15402" s="3"/>
      <c r="AG15402" s="3"/>
      <c r="AH15402" s="3"/>
    </row>
    <row r="15403" spans="1:34" ht="14.25" customHeight="1" x14ac:dyDescent="0.25">
      <c r="A15403" s="3"/>
      <c r="B15403" s="3"/>
      <c r="C15403" s="3"/>
      <c r="D15403" s="3"/>
      <c r="E15403" s="3"/>
      <c r="F15403" s="3"/>
      <c r="G15403" s="3"/>
      <c r="H15403" s="11"/>
      <c r="I15403" s="12"/>
      <c r="J15403" s="3"/>
      <c r="K15403" s="3"/>
      <c r="L15403" s="3"/>
      <c r="M15403" s="3"/>
      <c r="N15403" s="3"/>
      <c r="O15403" s="3"/>
      <c r="P15403" s="3"/>
      <c r="Q15403" s="3"/>
      <c r="R15403" s="3"/>
      <c r="S15403" s="3"/>
      <c r="T15403" s="3"/>
      <c r="U15403" s="3"/>
      <c r="V15403" s="3"/>
      <c r="W15403" s="3"/>
      <c r="X15403" s="3"/>
      <c r="Y15403" s="3"/>
      <c r="Z15403" s="3"/>
      <c r="AA15403" s="3"/>
      <c r="AB15403" s="3"/>
      <c r="AC15403" s="3"/>
      <c r="AD15403" s="3"/>
      <c r="AE15403" s="3"/>
      <c r="AF15403" s="3"/>
      <c r="AG15403" s="3"/>
      <c r="AH15403" s="3"/>
    </row>
    <row r="15404" spans="1:34" ht="14.25" customHeight="1" x14ac:dyDescent="0.25">
      <c r="A15404" s="3"/>
      <c r="B15404" s="3"/>
      <c r="C15404" s="3"/>
      <c r="D15404" s="3"/>
      <c r="E15404" s="3"/>
      <c r="F15404" s="3"/>
      <c r="G15404" s="3"/>
      <c r="H15404" s="11"/>
      <c r="I15404" s="12"/>
      <c r="J15404" s="3"/>
      <c r="K15404" s="3"/>
      <c r="L15404" s="3"/>
      <c r="M15404" s="3"/>
      <c r="N15404" s="3"/>
      <c r="O15404" s="3"/>
      <c r="P15404" s="3"/>
      <c r="Q15404" s="3"/>
      <c r="R15404" s="3"/>
      <c r="S15404" s="3"/>
      <c r="T15404" s="3"/>
      <c r="U15404" s="3"/>
      <c r="V15404" s="3"/>
      <c r="W15404" s="3"/>
      <c r="X15404" s="3"/>
      <c r="Y15404" s="3"/>
      <c r="Z15404" s="3"/>
      <c r="AA15404" s="3"/>
      <c r="AB15404" s="3"/>
      <c r="AC15404" s="3"/>
      <c r="AD15404" s="3"/>
      <c r="AE15404" s="3"/>
      <c r="AF15404" s="3"/>
      <c r="AG15404" s="3"/>
      <c r="AH15404" s="3"/>
    </row>
    <row r="15405" spans="1:34" ht="14.25" customHeight="1" x14ac:dyDescent="0.25">
      <c r="A15405" s="3"/>
      <c r="B15405" s="3"/>
      <c r="C15405" s="3"/>
      <c r="D15405" s="3"/>
      <c r="E15405" s="3"/>
      <c r="F15405" s="3"/>
      <c r="G15405" s="3"/>
      <c r="H15405" s="11"/>
      <c r="I15405" s="12"/>
      <c r="J15405" s="3"/>
      <c r="K15405" s="3"/>
      <c r="L15405" s="3"/>
      <c r="M15405" s="3"/>
      <c r="N15405" s="3"/>
      <c r="O15405" s="3"/>
      <c r="P15405" s="3"/>
      <c r="Q15405" s="3"/>
      <c r="R15405" s="3"/>
      <c r="S15405" s="3"/>
      <c r="T15405" s="3"/>
      <c r="U15405" s="3"/>
      <c r="V15405" s="3"/>
      <c r="W15405" s="3"/>
      <c r="X15405" s="3"/>
      <c r="Y15405" s="3"/>
      <c r="Z15405" s="3"/>
      <c r="AA15405" s="3"/>
      <c r="AB15405" s="3"/>
      <c r="AC15405" s="3"/>
      <c r="AD15405" s="3"/>
      <c r="AE15405" s="3"/>
      <c r="AF15405" s="3"/>
      <c r="AG15405" s="3"/>
      <c r="AH15405" s="3"/>
    </row>
    <row r="15406" spans="1:34" ht="14.25" customHeight="1" x14ac:dyDescent="0.25">
      <c r="A15406" s="3"/>
      <c r="B15406" s="3"/>
      <c r="C15406" s="3"/>
      <c r="D15406" s="3"/>
      <c r="E15406" s="3"/>
      <c r="F15406" s="3"/>
      <c r="G15406" s="3"/>
      <c r="H15406" s="11"/>
      <c r="I15406" s="12"/>
      <c r="J15406" s="3"/>
      <c r="K15406" s="3"/>
      <c r="L15406" s="3"/>
      <c r="M15406" s="3"/>
      <c r="N15406" s="3"/>
      <c r="O15406" s="3"/>
      <c r="P15406" s="3"/>
      <c r="Q15406" s="3"/>
      <c r="R15406" s="3"/>
      <c r="S15406" s="3"/>
      <c r="T15406" s="3"/>
      <c r="U15406" s="3"/>
      <c r="V15406" s="3"/>
      <c r="W15406" s="3"/>
      <c r="X15406" s="3"/>
      <c r="Y15406" s="3"/>
      <c r="Z15406" s="3"/>
      <c r="AA15406" s="3"/>
      <c r="AB15406" s="3"/>
      <c r="AC15406" s="3"/>
      <c r="AD15406" s="3"/>
      <c r="AE15406" s="3"/>
      <c r="AF15406" s="3"/>
      <c r="AG15406" s="3"/>
      <c r="AH15406" s="3"/>
    </row>
    <row r="15407" spans="1:34" ht="14.25" customHeight="1" x14ac:dyDescent="0.25">
      <c r="A15407" s="3"/>
      <c r="B15407" s="3"/>
      <c r="C15407" s="3"/>
      <c r="D15407" s="3"/>
      <c r="E15407" s="3"/>
      <c r="F15407" s="3"/>
      <c r="G15407" s="3"/>
      <c r="H15407" s="11"/>
      <c r="I15407" s="12"/>
      <c r="J15407" s="3"/>
      <c r="K15407" s="3"/>
      <c r="L15407" s="3"/>
      <c r="M15407" s="3"/>
      <c r="N15407" s="3"/>
      <c r="O15407" s="3"/>
      <c r="P15407" s="3"/>
      <c r="Q15407" s="3"/>
      <c r="R15407" s="3"/>
      <c r="S15407" s="3"/>
      <c r="T15407" s="3"/>
      <c r="U15407" s="3"/>
      <c r="V15407" s="3"/>
      <c r="W15407" s="3"/>
      <c r="X15407" s="3"/>
      <c r="Y15407" s="3"/>
      <c r="Z15407" s="3"/>
      <c r="AA15407" s="3"/>
      <c r="AB15407" s="3"/>
      <c r="AC15407" s="3"/>
      <c r="AD15407" s="3"/>
      <c r="AE15407" s="3"/>
      <c r="AF15407" s="3"/>
      <c r="AG15407" s="3"/>
      <c r="AH15407" s="3"/>
    </row>
    <row r="15408" spans="1:34" ht="14.25" customHeight="1" x14ac:dyDescent="0.25">
      <c r="A15408" s="3"/>
      <c r="B15408" s="3"/>
      <c r="C15408" s="3"/>
      <c r="D15408" s="3"/>
      <c r="E15408" s="3"/>
      <c r="F15408" s="3"/>
      <c r="G15408" s="3"/>
      <c r="H15408" s="11"/>
      <c r="I15408" s="12"/>
      <c r="J15408" s="3"/>
      <c r="K15408" s="3"/>
      <c r="L15408" s="3"/>
      <c r="M15408" s="3"/>
      <c r="N15408" s="3"/>
      <c r="O15408" s="3"/>
      <c r="P15408" s="3"/>
      <c r="Q15408" s="3"/>
      <c r="R15408" s="3"/>
      <c r="S15408" s="3"/>
      <c r="T15408" s="3"/>
      <c r="U15408" s="3"/>
      <c r="V15408" s="3"/>
      <c r="W15408" s="3"/>
      <c r="X15408" s="3"/>
      <c r="Y15408" s="3"/>
      <c r="Z15408" s="3"/>
      <c r="AA15408" s="3"/>
      <c r="AB15408" s="3"/>
      <c r="AC15408" s="3"/>
      <c r="AD15408" s="3"/>
      <c r="AE15408" s="3"/>
      <c r="AF15408" s="3"/>
      <c r="AG15408" s="3"/>
      <c r="AH15408" s="3"/>
    </row>
    <row r="15409" spans="1:34" ht="14.25" customHeight="1" x14ac:dyDescent="0.25">
      <c r="A15409" s="3"/>
      <c r="B15409" s="3"/>
      <c r="C15409" s="3"/>
      <c r="D15409" s="3"/>
      <c r="E15409" s="3"/>
      <c r="F15409" s="3"/>
      <c r="G15409" s="3"/>
      <c r="H15409" s="11"/>
      <c r="I15409" s="12"/>
      <c r="J15409" s="3"/>
      <c r="K15409" s="3"/>
      <c r="L15409" s="3"/>
      <c r="M15409" s="3"/>
      <c r="N15409" s="3"/>
      <c r="O15409" s="3"/>
      <c r="P15409" s="3"/>
      <c r="Q15409" s="3"/>
      <c r="R15409" s="3"/>
      <c r="S15409" s="3"/>
      <c r="T15409" s="3"/>
      <c r="U15409" s="3"/>
      <c r="V15409" s="3"/>
      <c r="W15409" s="3"/>
      <c r="X15409" s="3"/>
      <c r="Y15409" s="3"/>
      <c r="Z15409" s="3"/>
      <c r="AA15409" s="3"/>
      <c r="AB15409" s="3"/>
      <c r="AC15409" s="3"/>
      <c r="AD15409" s="3"/>
      <c r="AE15409" s="3"/>
      <c r="AF15409" s="3"/>
      <c r="AG15409" s="3"/>
      <c r="AH15409" s="3"/>
    </row>
    <row r="15410" spans="1:34" ht="14.25" customHeight="1" x14ac:dyDescent="0.25">
      <c r="A15410" s="3"/>
      <c r="B15410" s="3"/>
      <c r="C15410" s="3"/>
      <c r="D15410" s="3"/>
      <c r="E15410" s="3"/>
      <c r="F15410" s="3"/>
      <c r="G15410" s="3"/>
      <c r="H15410" s="11"/>
      <c r="I15410" s="12"/>
      <c r="J15410" s="3"/>
      <c r="K15410" s="3"/>
      <c r="L15410" s="3"/>
      <c r="M15410" s="3"/>
      <c r="N15410" s="3"/>
      <c r="O15410" s="3"/>
      <c r="P15410" s="3"/>
      <c r="Q15410" s="3"/>
      <c r="R15410" s="3"/>
      <c r="S15410" s="3"/>
      <c r="T15410" s="3"/>
      <c r="U15410" s="3"/>
      <c r="V15410" s="3"/>
      <c r="W15410" s="3"/>
      <c r="X15410" s="3"/>
      <c r="Y15410" s="3"/>
      <c r="Z15410" s="3"/>
      <c r="AA15410" s="3"/>
      <c r="AB15410" s="3"/>
      <c r="AC15410" s="3"/>
      <c r="AD15410" s="3"/>
      <c r="AE15410" s="3"/>
      <c r="AF15410" s="3"/>
      <c r="AG15410" s="3"/>
      <c r="AH15410" s="3"/>
    </row>
    <row r="15411" spans="1:34" ht="14.25" customHeight="1" x14ac:dyDescent="0.25">
      <c r="A15411" s="3"/>
      <c r="B15411" s="3"/>
      <c r="C15411" s="3"/>
      <c r="D15411" s="3"/>
      <c r="E15411" s="3"/>
      <c r="F15411" s="3"/>
      <c r="G15411" s="3"/>
      <c r="H15411" s="11"/>
      <c r="I15411" s="12"/>
      <c r="J15411" s="3"/>
      <c r="K15411" s="3"/>
      <c r="L15411" s="3"/>
      <c r="M15411" s="3"/>
      <c r="N15411" s="3"/>
      <c r="O15411" s="3"/>
      <c r="P15411" s="3"/>
      <c r="Q15411" s="3"/>
      <c r="R15411" s="3"/>
      <c r="S15411" s="3"/>
      <c r="T15411" s="3"/>
      <c r="U15411" s="3"/>
      <c r="V15411" s="3"/>
      <c r="W15411" s="3"/>
      <c r="X15411" s="3"/>
      <c r="Y15411" s="3"/>
      <c r="Z15411" s="3"/>
      <c r="AA15411" s="3"/>
      <c r="AB15411" s="3"/>
      <c r="AC15411" s="3"/>
      <c r="AD15411" s="3"/>
      <c r="AE15411" s="3"/>
      <c r="AF15411" s="3"/>
      <c r="AG15411" s="3"/>
      <c r="AH15411" s="3"/>
    </row>
    <row r="15412" spans="1:34" ht="14.25" customHeight="1" x14ac:dyDescent="0.25">
      <c r="A15412" s="3"/>
      <c r="B15412" s="3"/>
      <c r="C15412" s="3"/>
      <c r="D15412" s="3"/>
      <c r="E15412" s="3"/>
      <c r="F15412" s="3"/>
      <c r="G15412" s="3"/>
      <c r="H15412" s="11"/>
      <c r="I15412" s="12"/>
      <c r="J15412" s="3"/>
      <c r="K15412" s="3"/>
      <c r="L15412" s="3"/>
      <c r="M15412" s="3"/>
      <c r="N15412" s="3"/>
      <c r="O15412" s="3"/>
      <c r="P15412" s="3"/>
      <c r="Q15412" s="3"/>
      <c r="R15412" s="3"/>
      <c r="S15412" s="3"/>
      <c r="T15412" s="3"/>
      <c r="U15412" s="3"/>
      <c r="V15412" s="3"/>
      <c r="W15412" s="3"/>
      <c r="X15412" s="3"/>
      <c r="Y15412" s="3"/>
      <c r="Z15412" s="3"/>
      <c r="AA15412" s="3"/>
      <c r="AB15412" s="3"/>
      <c r="AC15412" s="3"/>
      <c r="AD15412" s="3"/>
      <c r="AE15412" s="3"/>
      <c r="AF15412" s="3"/>
      <c r="AG15412" s="3"/>
      <c r="AH15412" s="3"/>
    </row>
    <row r="15413" spans="1:34" ht="14.25" customHeight="1" x14ac:dyDescent="0.25">
      <c r="A15413" s="3"/>
      <c r="B15413" s="3"/>
      <c r="C15413" s="3"/>
      <c r="D15413" s="3"/>
      <c r="E15413" s="3"/>
      <c r="F15413" s="3"/>
      <c r="G15413" s="3"/>
      <c r="H15413" s="11"/>
      <c r="I15413" s="12"/>
      <c r="J15413" s="3"/>
      <c r="K15413" s="3"/>
      <c r="L15413" s="3"/>
      <c r="M15413" s="3"/>
      <c r="N15413" s="3"/>
      <c r="O15413" s="3"/>
      <c r="P15413" s="3"/>
      <c r="Q15413" s="3"/>
      <c r="R15413" s="3"/>
      <c r="S15413" s="3"/>
      <c r="T15413" s="3"/>
      <c r="U15413" s="3"/>
      <c r="V15413" s="3"/>
      <c r="W15413" s="3"/>
      <c r="X15413" s="3"/>
      <c r="Y15413" s="3"/>
      <c r="Z15413" s="3"/>
      <c r="AA15413" s="3"/>
      <c r="AB15413" s="3"/>
      <c r="AC15413" s="3"/>
      <c r="AD15413" s="3"/>
      <c r="AE15413" s="3"/>
      <c r="AF15413" s="3"/>
      <c r="AG15413" s="3"/>
      <c r="AH15413" s="3"/>
    </row>
    <row r="15414" spans="1:34" ht="14.25" customHeight="1" x14ac:dyDescent="0.25">
      <c r="A15414" s="3"/>
      <c r="B15414" s="3"/>
      <c r="C15414" s="3"/>
      <c r="D15414" s="3"/>
      <c r="E15414" s="3"/>
      <c r="F15414" s="3"/>
      <c r="G15414" s="3"/>
      <c r="H15414" s="11"/>
      <c r="I15414" s="12"/>
      <c r="J15414" s="3"/>
      <c r="K15414" s="3"/>
      <c r="L15414" s="3"/>
      <c r="M15414" s="3"/>
      <c r="N15414" s="3"/>
      <c r="O15414" s="3"/>
      <c r="P15414" s="3"/>
      <c r="Q15414" s="3"/>
      <c r="R15414" s="3"/>
      <c r="S15414" s="3"/>
      <c r="T15414" s="3"/>
      <c r="U15414" s="3"/>
      <c r="V15414" s="3"/>
      <c r="W15414" s="3"/>
      <c r="X15414" s="3"/>
      <c r="Y15414" s="3"/>
      <c r="Z15414" s="3"/>
      <c r="AA15414" s="3"/>
      <c r="AB15414" s="3"/>
      <c r="AC15414" s="3"/>
      <c r="AD15414" s="3"/>
      <c r="AE15414" s="3"/>
      <c r="AF15414" s="3"/>
      <c r="AG15414" s="3"/>
      <c r="AH15414" s="3"/>
    </row>
    <row r="15415" spans="1:34" ht="14.25" customHeight="1" x14ac:dyDescent="0.25">
      <c r="A15415" s="3"/>
      <c r="B15415" s="3"/>
      <c r="C15415" s="3"/>
      <c r="D15415" s="3"/>
      <c r="E15415" s="3"/>
      <c r="F15415" s="3"/>
      <c r="G15415" s="3"/>
      <c r="H15415" s="11"/>
      <c r="I15415" s="12"/>
      <c r="J15415" s="3"/>
      <c r="K15415" s="3"/>
      <c r="L15415" s="3"/>
      <c r="M15415" s="3"/>
      <c r="N15415" s="3"/>
      <c r="O15415" s="3"/>
      <c r="P15415" s="3"/>
      <c r="Q15415" s="3"/>
      <c r="R15415" s="3"/>
      <c r="S15415" s="3"/>
      <c r="T15415" s="3"/>
      <c r="U15415" s="3"/>
      <c r="V15415" s="3"/>
      <c r="W15415" s="3"/>
      <c r="X15415" s="3"/>
      <c r="Y15415" s="3"/>
      <c r="Z15415" s="3"/>
      <c r="AA15415" s="3"/>
      <c r="AB15415" s="3"/>
      <c r="AC15415" s="3"/>
      <c r="AD15415" s="3"/>
      <c r="AE15415" s="3"/>
      <c r="AF15415" s="3"/>
      <c r="AG15415" s="3"/>
      <c r="AH15415" s="3"/>
    </row>
    <row r="15416" spans="1:34" ht="14.25" customHeight="1" x14ac:dyDescent="0.25">
      <c r="A15416" s="3"/>
      <c r="B15416" s="3"/>
      <c r="C15416" s="3"/>
      <c r="D15416" s="3"/>
      <c r="E15416" s="3"/>
      <c r="F15416" s="3"/>
      <c r="G15416" s="3"/>
      <c r="H15416" s="11"/>
      <c r="I15416" s="12"/>
      <c r="J15416" s="3"/>
      <c r="K15416" s="3"/>
      <c r="L15416" s="3"/>
      <c r="M15416" s="3"/>
      <c r="N15416" s="3"/>
      <c r="O15416" s="3"/>
      <c r="P15416" s="3"/>
      <c r="Q15416" s="3"/>
      <c r="R15416" s="3"/>
      <c r="S15416" s="3"/>
      <c r="T15416" s="3"/>
      <c r="U15416" s="3"/>
      <c r="V15416" s="3"/>
      <c r="W15416" s="3"/>
      <c r="X15416" s="3"/>
      <c r="Y15416" s="3"/>
      <c r="Z15416" s="3"/>
      <c r="AA15416" s="3"/>
      <c r="AB15416" s="3"/>
      <c r="AC15416" s="3"/>
      <c r="AD15416" s="3"/>
      <c r="AE15416" s="3"/>
      <c r="AF15416" s="3"/>
      <c r="AG15416" s="3"/>
      <c r="AH15416" s="3"/>
    </row>
    <row r="15417" spans="1:34" ht="14.25" customHeight="1" x14ac:dyDescent="0.25">
      <c r="A15417" s="3"/>
      <c r="B15417" s="3"/>
      <c r="C15417" s="3"/>
      <c r="D15417" s="3"/>
      <c r="E15417" s="3"/>
      <c r="F15417" s="3"/>
      <c r="G15417" s="3"/>
      <c r="H15417" s="11"/>
      <c r="I15417" s="12"/>
      <c r="J15417" s="3"/>
      <c r="K15417" s="3"/>
      <c r="L15417" s="3"/>
      <c r="M15417" s="3"/>
      <c r="N15417" s="3"/>
      <c r="O15417" s="3"/>
      <c r="P15417" s="3"/>
      <c r="Q15417" s="3"/>
      <c r="R15417" s="3"/>
      <c r="S15417" s="3"/>
      <c r="T15417" s="3"/>
      <c r="U15417" s="3"/>
      <c r="V15417" s="3"/>
      <c r="W15417" s="3"/>
      <c r="X15417" s="3"/>
      <c r="Y15417" s="3"/>
      <c r="Z15417" s="3"/>
      <c r="AA15417" s="3"/>
      <c r="AB15417" s="3"/>
      <c r="AC15417" s="3"/>
      <c r="AD15417" s="3"/>
      <c r="AE15417" s="3"/>
      <c r="AF15417" s="3"/>
      <c r="AG15417" s="3"/>
      <c r="AH15417" s="3"/>
    </row>
    <row r="15418" spans="1:34" ht="14.25" customHeight="1" x14ac:dyDescent="0.25">
      <c r="A15418" s="3"/>
      <c r="B15418" s="3"/>
      <c r="C15418" s="3"/>
      <c r="D15418" s="3"/>
      <c r="E15418" s="3"/>
      <c r="F15418" s="3"/>
      <c r="G15418" s="3"/>
      <c r="H15418" s="11"/>
      <c r="I15418" s="12"/>
      <c r="J15418" s="3"/>
      <c r="K15418" s="3"/>
      <c r="L15418" s="3"/>
      <c r="M15418" s="3"/>
      <c r="N15418" s="3"/>
      <c r="O15418" s="3"/>
      <c r="P15418" s="3"/>
      <c r="Q15418" s="3"/>
      <c r="R15418" s="3"/>
      <c r="S15418" s="3"/>
      <c r="T15418" s="3"/>
      <c r="U15418" s="3"/>
      <c r="V15418" s="3"/>
      <c r="W15418" s="3"/>
      <c r="X15418" s="3"/>
      <c r="Y15418" s="3"/>
      <c r="Z15418" s="3"/>
      <c r="AA15418" s="3"/>
      <c r="AB15418" s="3"/>
      <c r="AC15418" s="3"/>
      <c r="AD15418" s="3"/>
      <c r="AE15418" s="3"/>
      <c r="AF15418" s="3"/>
      <c r="AG15418" s="3"/>
      <c r="AH15418" s="3"/>
    </row>
    <row r="15419" spans="1:34" ht="14.25" customHeight="1" x14ac:dyDescent="0.25">
      <c r="A15419" s="3"/>
      <c r="B15419" s="3"/>
      <c r="C15419" s="3"/>
      <c r="D15419" s="3"/>
      <c r="E15419" s="3"/>
      <c r="F15419" s="3"/>
      <c r="G15419" s="3"/>
      <c r="H15419" s="11"/>
      <c r="I15419" s="12"/>
      <c r="J15419" s="3"/>
      <c r="K15419" s="3"/>
      <c r="L15419" s="3"/>
      <c r="M15419" s="3"/>
      <c r="N15419" s="3"/>
      <c r="O15419" s="3"/>
      <c r="P15419" s="3"/>
      <c r="Q15419" s="3"/>
      <c r="R15419" s="3"/>
      <c r="S15419" s="3"/>
      <c r="T15419" s="3"/>
      <c r="U15419" s="3"/>
      <c r="V15419" s="3"/>
      <c r="W15419" s="3"/>
      <c r="X15419" s="3"/>
      <c r="Y15419" s="3"/>
      <c r="Z15419" s="3"/>
      <c r="AA15419" s="3"/>
      <c r="AB15419" s="3"/>
      <c r="AC15419" s="3"/>
      <c r="AD15419" s="3"/>
      <c r="AE15419" s="3"/>
      <c r="AF15419" s="3"/>
      <c r="AG15419" s="3"/>
      <c r="AH15419" s="3"/>
    </row>
    <row r="15420" spans="1:34" ht="14.25" customHeight="1" x14ac:dyDescent="0.25">
      <c r="A15420" s="3"/>
      <c r="B15420" s="3"/>
      <c r="C15420" s="3"/>
      <c r="D15420" s="3"/>
      <c r="E15420" s="3"/>
      <c r="F15420" s="3"/>
      <c r="G15420" s="3"/>
      <c r="H15420" s="11"/>
      <c r="I15420" s="12"/>
      <c r="J15420" s="3"/>
      <c r="K15420" s="3"/>
      <c r="L15420" s="3"/>
      <c r="M15420" s="3"/>
      <c r="N15420" s="3"/>
      <c r="O15420" s="3"/>
      <c r="P15420" s="3"/>
      <c r="Q15420" s="3"/>
      <c r="R15420" s="3"/>
      <c r="S15420" s="3"/>
      <c r="T15420" s="3"/>
      <c r="U15420" s="3"/>
      <c r="V15420" s="3"/>
      <c r="W15420" s="3"/>
      <c r="X15420" s="3"/>
      <c r="Y15420" s="3"/>
      <c r="Z15420" s="3"/>
      <c r="AA15420" s="3"/>
      <c r="AB15420" s="3"/>
      <c r="AC15420" s="3"/>
      <c r="AD15420" s="3"/>
      <c r="AE15420" s="3"/>
      <c r="AF15420" s="3"/>
      <c r="AG15420" s="3"/>
      <c r="AH15420" s="3"/>
    </row>
    <row r="15421" spans="1:34" ht="14.25" customHeight="1" x14ac:dyDescent="0.25">
      <c r="A15421" s="3"/>
      <c r="B15421" s="3"/>
      <c r="C15421" s="3"/>
      <c r="D15421" s="3"/>
      <c r="E15421" s="3"/>
      <c r="F15421" s="3"/>
      <c r="G15421" s="3"/>
      <c r="H15421" s="11"/>
      <c r="I15421" s="12"/>
      <c r="J15421" s="3"/>
      <c r="K15421" s="3"/>
      <c r="L15421" s="3"/>
      <c r="M15421" s="3"/>
      <c r="N15421" s="3"/>
      <c r="O15421" s="3"/>
      <c r="P15421" s="3"/>
      <c r="Q15421" s="3"/>
      <c r="R15421" s="3"/>
      <c r="S15421" s="3"/>
      <c r="T15421" s="3"/>
      <c r="U15421" s="3"/>
      <c r="V15421" s="3"/>
      <c r="W15421" s="3"/>
      <c r="X15421" s="3"/>
      <c r="Y15421" s="3"/>
      <c r="Z15421" s="3"/>
      <c r="AA15421" s="3"/>
      <c r="AB15421" s="3"/>
      <c r="AC15421" s="3"/>
      <c r="AD15421" s="3"/>
      <c r="AE15421" s="3"/>
      <c r="AF15421" s="3"/>
      <c r="AG15421" s="3"/>
      <c r="AH15421" s="3"/>
    </row>
    <row r="15422" spans="1:34" ht="14.25" customHeight="1" x14ac:dyDescent="0.25">
      <c r="A15422" s="3"/>
      <c r="B15422" s="3"/>
      <c r="C15422" s="3"/>
      <c r="D15422" s="3"/>
      <c r="E15422" s="3"/>
      <c r="F15422" s="3"/>
      <c r="G15422" s="3"/>
      <c r="H15422" s="11"/>
      <c r="I15422" s="12"/>
      <c r="J15422" s="3"/>
      <c r="K15422" s="3"/>
      <c r="L15422" s="3"/>
      <c r="M15422" s="3"/>
      <c r="N15422" s="3"/>
      <c r="O15422" s="3"/>
      <c r="P15422" s="3"/>
      <c r="Q15422" s="3"/>
      <c r="R15422" s="3"/>
      <c r="S15422" s="3"/>
      <c r="T15422" s="3"/>
      <c r="U15422" s="3"/>
      <c r="V15422" s="3"/>
      <c r="W15422" s="3"/>
      <c r="X15422" s="3"/>
      <c r="Y15422" s="3"/>
      <c r="Z15422" s="3"/>
      <c r="AA15422" s="3"/>
      <c r="AB15422" s="3"/>
      <c r="AC15422" s="3"/>
      <c r="AD15422" s="3"/>
      <c r="AE15422" s="3"/>
      <c r="AF15422" s="3"/>
      <c r="AG15422" s="3"/>
      <c r="AH15422" s="3"/>
    </row>
    <row r="15423" spans="1:34" ht="14.25" customHeight="1" x14ac:dyDescent="0.25">
      <c r="A15423" s="3"/>
      <c r="B15423" s="3"/>
      <c r="C15423" s="3"/>
      <c r="D15423" s="3"/>
      <c r="E15423" s="3"/>
      <c r="F15423" s="3"/>
      <c r="G15423" s="3"/>
      <c r="H15423" s="11"/>
      <c r="I15423" s="12"/>
      <c r="J15423" s="3"/>
      <c r="K15423" s="3"/>
      <c r="L15423" s="3"/>
      <c r="M15423" s="3"/>
      <c r="N15423" s="3"/>
      <c r="O15423" s="3"/>
      <c r="P15423" s="3"/>
      <c r="Q15423" s="3"/>
      <c r="R15423" s="3"/>
      <c r="S15423" s="3"/>
      <c r="T15423" s="3"/>
      <c r="U15423" s="3"/>
      <c r="V15423" s="3"/>
      <c r="W15423" s="3"/>
      <c r="X15423" s="3"/>
      <c r="Y15423" s="3"/>
      <c r="Z15423" s="3"/>
      <c r="AA15423" s="3"/>
      <c r="AB15423" s="3"/>
      <c r="AC15423" s="3"/>
      <c r="AD15423" s="3"/>
      <c r="AE15423" s="3"/>
      <c r="AF15423" s="3"/>
      <c r="AG15423" s="3"/>
      <c r="AH15423" s="3"/>
    </row>
    <row r="15424" spans="1:34" ht="14.25" customHeight="1" x14ac:dyDescent="0.25">
      <c r="A15424" s="3"/>
      <c r="B15424" s="3"/>
      <c r="C15424" s="3"/>
      <c r="D15424" s="3"/>
      <c r="E15424" s="3"/>
      <c r="F15424" s="3"/>
      <c r="G15424" s="3"/>
      <c r="H15424" s="11"/>
      <c r="I15424" s="12"/>
      <c r="J15424" s="3"/>
      <c r="K15424" s="3"/>
      <c r="L15424" s="3"/>
      <c r="M15424" s="3"/>
      <c r="N15424" s="3"/>
      <c r="O15424" s="3"/>
      <c r="P15424" s="3"/>
      <c r="Q15424" s="3"/>
      <c r="R15424" s="3"/>
      <c r="S15424" s="3"/>
      <c r="T15424" s="3"/>
      <c r="U15424" s="3"/>
      <c r="V15424" s="3"/>
      <c r="W15424" s="3"/>
      <c r="X15424" s="3"/>
      <c r="Y15424" s="3"/>
      <c r="Z15424" s="3"/>
      <c r="AA15424" s="3"/>
      <c r="AB15424" s="3"/>
      <c r="AC15424" s="3"/>
      <c r="AD15424" s="3"/>
      <c r="AE15424" s="3"/>
      <c r="AF15424" s="3"/>
      <c r="AG15424" s="3"/>
      <c r="AH15424" s="3"/>
    </row>
    <row r="15425" spans="1:34" ht="14.25" customHeight="1" x14ac:dyDescent="0.25">
      <c r="A15425" s="3"/>
      <c r="B15425" s="3"/>
      <c r="C15425" s="3"/>
      <c r="D15425" s="3"/>
      <c r="E15425" s="3"/>
      <c r="F15425" s="3"/>
      <c r="G15425" s="3"/>
      <c r="H15425" s="11"/>
      <c r="I15425" s="12"/>
      <c r="J15425" s="3"/>
      <c r="K15425" s="3"/>
      <c r="L15425" s="3"/>
      <c r="M15425" s="3"/>
      <c r="N15425" s="3"/>
      <c r="O15425" s="3"/>
      <c r="P15425" s="3"/>
      <c r="Q15425" s="3"/>
      <c r="R15425" s="3"/>
      <c r="S15425" s="3"/>
      <c r="T15425" s="3"/>
      <c r="U15425" s="3"/>
      <c r="V15425" s="3"/>
      <c r="W15425" s="3"/>
      <c r="X15425" s="3"/>
      <c r="Y15425" s="3"/>
      <c r="Z15425" s="3"/>
      <c r="AA15425" s="3"/>
      <c r="AB15425" s="3"/>
      <c r="AC15425" s="3"/>
      <c r="AD15425" s="3"/>
      <c r="AE15425" s="3"/>
      <c r="AF15425" s="3"/>
      <c r="AG15425" s="3"/>
      <c r="AH15425" s="3"/>
    </row>
    <row r="15426" spans="1:34" ht="14.25" customHeight="1" x14ac:dyDescent="0.25">
      <c r="A15426" s="3"/>
      <c r="B15426" s="3"/>
      <c r="C15426" s="3"/>
      <c r="D15426" s="3"/>
      <c r="E15426" s="3"/>
      <c r="F15426" s="3"/>
      <c r="G15426" s="3"/>
      <c r="H15426" s="11"/>
      <c r="I15426" s="12"/>
      <c r="J15426" s="3"/>
      <c r="K15426" s="3"/>
      <c r="L15426" s="3"/>
      <c r="M15426" s="3"/>
      <c r="N15426" s="3"/>
      <c r="O15426" s="3"/>
      <c r="P15426" s="3"/>
      <c r="Q15426" s="3"/>
      <c r="R15426" s="3"/>
      <c r="S15426" s="3"/>
      <c r="T15426" s="3"/>
      <c r="U15426" s="3"/>
      <c r="V15426" s="3"/>
      <c r="W15426" s="3"/>
      <c r="X15426" s="3"/>
      <c r="Y15426" s="3"/>
      <c r="Z15426" s="3"/>
      <c r="AA15426" s="3"/>
      <c r="AB15426" s="3"/>
      <c r="AC15426" s="3"/>
      <c r="AD15426" s="3"/>
      <c r="AE15426" s="3"/>
      <c r="AF15426" s="3"/>
      <c r="AG15426" s="3"/>
      <c r="AH15426" s="3"/>
    </row>
    <row r="15427" spans="1:34" ht="14.25" customHeight="1" x14ac:dyDescent="0.25">
      <c r="A15427" s="3"/>
      <c r="B15427" s="3"/>
      <c r="C15427" s="3"/>
      <c r="D15427" s="3"/>
      <c r="E15427" s="3"/>
      <c r="F15427" s="3"/>
      <c r="G15427" s="3"/>
      <c r="H15427" s="11"/>
      <c r="I15427" s="12"/>
      <c r="J15427" s="3"/>
      <c r="K15427" s="3"/>
      <c r="L15427" s="3"/>
      <c r="M15427" s="3"/>
      <c r="N15427" s="3"/>
      <c r="O15427" s="3"/>
      <c r="P15427" s="3"/>
      <c r="Q15427" s="3"/>
      <c r="R15427" s="3"/>
      <c r="S15427" s="3"/>
      <c r="T15427" s="3"/>
      <c r="U15427" s="3"/>
      <c r="V15427" s="3"/>
      <c r="W15427" s="3"/>
      <c r="X15427" s="3"/>
      <c r="Y15427" s="3"/>
      <c r="Z15427" s="3"/>
      <c r="AA15427" s="3"/>
      <c r="AB15427" s="3"/>
      <c r="AC15427" s="3"/>
      <c r="AD15427" s="3"/>
      <c r="AE15427" s="3"/>
      <c r="AF15427" s="3"/>
      <c r="AG15427" s="3"/>
      <c r="AH15427" s="3"/>
    </row>
    <row r="15428" spans="1:34" ht="14.25" customHeight="1" x14ac:dyDescent="0.25">
      <c r="A15428" s="3"/>
      <c r="B15428" s="3"/>
      <c r="C15428" s="3"/>
      <c r="D15428" s="3"/>
      <c r="E15428" s="3"/>
      <c r="F15428" s="3"/>
      <c r="G15428" s="3"/>
      <c r="H15428" s="11"/>
      <c r="I15428" s="12"/>
      <c r="J15428" s="3"/>
      <c r="K15428" s="3"/>
      <c r="L15428" s="3"/>
      <c r="M15428" s="3"/>
      <c r="N15428" s="3"/>
      <c r="O15428" s="3"/>
      <c r="P15428" s="3"/>
      <c r="Q15428" s="3"/>
      <c r="R15428" s="3"/>
      <c r="S15428" s="3"/>
      <c r="T15428" s="3"/>
      <c r="U15428" s="3"/>
      <c r="V15428" s="3"/>
      <c r="W15428" s="3"/>
      <c r="X15428" s="3"/>
      <c r="Y15428" s="3"/>
      <c r="Z15428" s="3"/>
      <c r="AA15428" s="3"/>
      <c r="AB15428" s="3"/>
      <c r="AC15428" s="3"/>
      <c r="AD15428" s="3"/>
      <c r="AE15428" s="3"/>
      <c r="AF15428" s="3"/>
      <c r="AG15428" s="3"/>
      <c r="AH15428" s="3"/>
    </row>
    <row r="15429" spans="1:34" ht="14.25" customHeight="1" x14ac:dyDescent="0.25">
      <c r="A15429" s="3"/>
      <c r="B15429" s="3"/>
      <c r="C15429" s="3"/>
      <c r="D15429" s="3"/>
      <c r="E15429" s="3"/>
      <c r="F15429" s="3"/>
      <c r="G15429" s="3"/>
      <c r="H15429" s="11"/>
      <c r="I15429" s="12"/>
      <c r="J15429" s="3"/>
      <c r="K15429" s="3"/>
      <c r="L15429" s="3"/>
      <c r="M15429" s="3"/>
      <c r="N15429" s="3"/>
      <c r="O15429" s="3"/>
      <c r="P15429" s="3"/>
      <c r="Q15429" s="3"/>
      <c r="R15429" s="3"/>
      <c r="S15429" s="3"/>
      <c r="T15429" s="3"/>
      <c r="U15429" s="3"/>
      <c r="V15429" s="3"/>
      <c r="W15429" s="3"/>
      <c r="X15429" s="3"/>
      <c r="Y15429" s="3"/>
      <c r="Z15429" s="3"/>
      <c r="AA15429" s="3"/>
      <c r="AB15429" s="3"/>
      <c r="AC15429" s="3"/>
      <c r="AD15429" s="3"/>
      <c r="AE15429" s="3"/>
      <c r="AF15429" s="3"/>
      <c r="AG15429" s="3"/>
      <c r="AH15429" s="3"/>
    </row>
    <row r="15430" spans="1:34" ht="14.25" customHeight="1" x14ac:dyDescent="0.25">
      <c r="A15430" s="3"/>
      <c r="B15430" s="3"/>
      <c r="C15430" s="3"/>
      <c r="D15430" s="3"/>
      <c r="E15430" s="3"/>
      <c r="F15430" s="3"/>
      <c r="G15430" s="3"/>
      <c r="H15430" s="11"/>
      <c r="I15430" s="12"/>
      <c r="J15430" s="3"/>
      <c r="K15430" s="3"/>
      <c r="L15430" s="3"/>
      <c r="M15430" s="3"/>
      <c r="N15430" s="3"/>
      <c r="O15430" s="3"/>
      <c r="P15430" s="3"/>
      <c r="Q15430" s="3"/>
      <c r="R15430" s="3"/>
      <c r="S15430" s="3"/>
      <c r="T15430" s="3"/>
      <c r="U15430" s="3"/>
      <c r="V15430" s="3"/>
      <c r="W15430" s="3"/>
      <c r="X15430" s="3"/>
      <c r="Y15430" s="3"/>
      <c r="Z15430" s="3"/>
      <c r="AA15430" s="3"/>
      <c r="AB15430" s="3"/>
      <c r="AC15430" s="3"/>
      <c r="AD15430" s="3"/>
      <c r="AE15430" s="3"/>
      <c r="AF15430" s="3"/>
      <c r="AG15430" s="3"/>
      <c r="AH15430" s="3"/>
    </row>
    <row r="15431" spans="1:34" ht="14.25" customHeight="1" x14ac:dyDescent="0.25">
      <c r="A15431" s="3"/>
      <c r="B15431" s="3"/>
      <c r="C15431" s="3"/>
      <c r="D15431" s="3"/>
      <c r="E15431" s="3"/>
      <c r="F15431" s="3"/>
      <c r="G15431" s="3"/>
      <c r="H15431" s="11"/>
      <c r="I15431" s="12"/>
      <c r="J15431" s="3"/>
      <c r="K15431" s="3"/>
      <c r="L15431" s="3"/>
      <c r="M15431" s="3"/>
      <c r="N15431" s="3"/>
      <c r="O15431" s="3"/>
      <c r="P15431" s="3"/>
      <c r="Q15431" s="3"/>
      <c r="R15431" s="3"/>
      <c r="S15431" s="3"/>
      <c r="T15431" s="3"/>
      <c r="U15431" s="3"/>
      <c r="V15431" s="3"/>
      <c r="W15431" s="3"/>
      <c r="X15431" s="3"/>
      <c r="Y15431" s="3"/>
      <c r="Z15431" s="3"/>
      <c r="AA15431" s="3"/>
      <c r="AB15431" s="3"/>
      <c r="AC15431" s="3"/>
      <c r="AD15431" s="3"/>
      <c r="AE15431" s="3"/>
      <c r="AF15431" s="3"/>
      <c r="AG15431" s="3"/>
      <c r="AH15431" s="3"/>
    </row>
    <row r="15432" spans="1:34" ht="14.25" customHeight="1" x14ac:dyDescent="0.25">
      <c r="A15432" s="3"/>
      <c r="B15432" s="3"/>
      <c r="C15432" s="3"/>
      <c r="D15432" s="3"/>
      <c r="E15432" s="3"/>
      <c r="F15432" s="3"/>
      <c r="G15432" s="3"/>
      <c r="H15432" s="11"/>
      <c r="I15432" s="12"/>
      <c r="J15432" s="3"/>
      <c r="K15432" s="3"/>
      <c r="L15432" s="3"/>
      <c r="M15432" s="3"/>
      <c r="N15432" s="3"/>
      <c r="O15432" s="3"/>
      <c r="P15432" s="3"/>
      <c r="Q15432" s="3"/>
      <c r="R15432" s="3"/>
      <c r="S15432" s="3"/>
      <c r="T15432" s="3"/>
      <c r="U15432" s="3"/>
      <c r="V15432" s="3"/>
      <c r="W15432" s="3"/>
      <c r="X15432" s="3"/>
      <c r="Y15432" s="3"/>
      <c r="Z15432" s="3"/>
      <c r="AA15432" s="3"/>
      <c r="AB15432" s="3"/>
      <c r="AC15432" s="3"/>
      <c r="AD15432" s="3"/>
      <c r="AE15432" s="3"/>
      <c r="AF15432" s="3"/>
      <c r="AG15432" s="3"/>
      <c r="AH15432" s="3"/>
    </row>
    <row r="15433" spans="1:34" ht="14.25" customHeight="1" x14ac:dyDescent="0.25">
      <c r="A15433" s="3"/>
      <c r="B15433" s="3"/>
      <c r="C15433" s="3"/>
      <c r="D15433" s="3"/>
      <c r="E15433" s="3"/>
      <c r="F15433" s="3"/>
      <c r="G15433" s="3"/>
      <c r="H15433" s="11"/>
      <c r="I15433" s="12"/>
      <c r="J15433" s="3"/>
      <c r="K15433" s="3"/>
      <c r="L15433" s="3"/>
      <c r="M15433" s="3"/>
      <c r="N15433" s="3"/>
      <c r="O15433" s="3"/>
      <c r="P15433" s="3"/>
      <c r="Q15433" s="3"/>
      <c r="R15433" s="3"/>
      <c r="S15433" s="3"/>
      <c r="T15433" s="3"/>
      <c r="U15433" s="3"/>
      <c r="V15433" s="3"/>
      <c r="W15433" s="3"/>
      <c r="X15433" s="3"/>
      <c r="Y15433" s="3"/>
      <c r="Z15433" s="3"/>
      <c r="AA15433" s="3"/>
      <c r="AB15433" s="3"/>
      <c r="AC15433" s="3"/>
      <c r="AD15433" s="3"/>
      <c r="AE15433" s="3"/>
      <c r="AF15433" s="3"/>
      <c r="AG15433" s="3"/>
      <c r="AH15433" s="3"/>
    </row>
    <row r="15434" spans="1:34" ht="14.25" customHeight="1" x14ac:dyDescent="0.25">
      <c r="A15434" s="3"/>
      <c r="B15434" s="3"/>
      <c r="C15434" s="3"/>
      <c r="D15434" s="3"/>
      <c r="E15434" s="3"/>
      <c r="F15434" s="3"/>
      <c r="G15434" s="3"/>
      <c r="H15434" s="11"/>
      <c r="I15434" s="12"/>
      <c r="J15434" s="3"/>
      <c r="K15434" s="3"/>
      <c r="L15434" s="3"/>
      <c r="M15434" s="3"/>
      <c r="N15434" s="3"/>
      <c r="O15434" s="3"/>
      <c r="P15434" s="3"/>
      <c r="Q15434" s="3"/>
      <c r="R15434" s="3"/>
      <c r="S15434" s="3"/>
      <c r="T15434" s="3"/>
      <c r="U15434" s="3"/>
      <c r="V15434" s="3"/>
      <c r="W15434" s="3"/>
      <c r="X15434" s="3"/>
      <c r="Y15434" s="3"/>
      <c r="Z15434" s="3"/>
      <c r="AA15434" s="3"/>
      <c r="AB15434" s="3"/>
      <c r="AC15434" s="3"/>
      <c r="AD15434" s="3"/>
      <c r="AE15434" s="3"/>
      <c r="AF15434" s="3"/>
      <c r="AG15434" s="3"/>
      <c r="AH15434" s="3"/>
    </row>
    <row r="15435" spans="1:34" ht="14.25" customHeight="1" x14ac:dyDescent="0.25">
      <c r="A15435" s="3"/>
      <c r="B15435" s="3"/>
      <c r="C15435" s="3"/>
      <c r="D15435" s="3"/>
      <c r="E15435" s="3"/>
      <c r="F15435" s="3"/>
      <c r="G15435" s="3"/>
      <c r="H15435" s="11"/>
      <c r="I15435" s="12"/>
      <c r="J15435" s="3"/>
      <c r="K15435" s="3"/>
      <c r="L15435" s="3"/>
      <c r="M15435" s="3"/>
      <c r="N15435" s="3"/>
      <c r="O15435" s="3"/>
      <c r="P15435" s="3"/>
      <c r="Q15435" s="3"/>
      <c r="R15435" s="3"/>
      <c r="S15435" s="3"/>
      <c r="T15435" s="3"/>
      <c r="U15435" s="3"/>
      <c r="V15435" s="3"/>
      <c r="W15435" s="3"/>
      <c r="X15435" s="3"/>
      <c r="Y15435" s="3"/>
      <c r="Z15435" s="3"/>
      <c r="AA15435" s="3"/>
      <c r="AB15435" s="3"/>
      <c r="AC15435" s="3"/>
      <c r="AD15435" s="3"/>
      <c r="AE15435" s="3"/>
      <c r="AF15435" s="3"/>
      <c r="AG15435" s="3"/>
      <c r="AH15435" s="3"/>
    </row>
    <row r="15436" spans="1:34" ht="14.25" customHeight="1" x14ac:dyDescent="0.25">
      <c r="A15436" s="3"/>
      <c r="B15436" s="3"/>
      <c r="C15436" s="3"/>
      <c r="D15436" s="3"/>
      <c r="E15436" s="3"/>
      <c r="F15436" s="3"/>
      <c r="G15436" s="3"/>
      <c r="H15436" s="11"/>
      <c r="I15436" s="12"/>
      <c r="J15436" s="3"/>
      <c r="K15436" s="3"/>
      <c r="L15436" s="3"/>
      <c r="M15436" s="3"/>
      <c r="N15436" s="3"/>
      <c r="O15436" s="3"/>
      <c r="P15436" s="3"/>
      <c r="Q15436" s="3"/>
      <c r="R15436" s="3"/>
      <c r="S15436" s="3"/>
      <c r="T15436" s="3"/>
      <c r="U15436" s="3"/>
      <c r="V15436" s="3"/>
      <c r="W15436" s="3"/>
      <c r="X15436" s="3"/>
      <c r="Y15436" s="3"/>
      <c r="Z15436" s="3"/>
      <c r="AA15436" s="3"/>
      <c r="AB15436" s="3"/>
      <c r="AC15436" s="3"/>
      <c r="AD15436" s="3"/>
      <c r="AE15436" s="3"/>
      <c r="AF15436" s="3"/>
      <c r="AG15436" s="3"/>
      <c r="AH15436" s="3"/>
    </row>
    <row r="15437" spans="1:34" ht="14.25" customHeight="1" x14ac:dyDescent="0.25">
      <c r="A15437" s="3"/>
      <c r="B15437" s="3"/>
      <c r="C15437" s="3"/>
      <c r="D15437" s="3"/>
      <c r="E15437" s="3"/>
      <c r="F15437" s="3"/>
      <c r="G15437" s="3"/>
      <c r="H15437" s="11"/>
      <c r="I15437" s="12"/>
      <c r="J15437" s="3"/>
      <c r="K15437" s="3"/>
      <c r="L15437" s="3"/>
      <c r="M15437" s="3"/>
      <c r="N15437" s="3"/>
      <c r="O15437" s="3"/>
      <c r="P15437" s="3"/>
      <c r="Q15437" s="3"/>
      <c r="R15437" s="3"/>
      <c r="S15437" s="3"/>
      <c r="T15437" s="3"/>
      <c r="U15437" s="3"/>
      <c r="V15437" s="3"/>
      <c r="W15437" s="3"/>
      <c r="X15437" s="3"/>
      <c r="Y15437" s="3"/>
      <c r="Z15437" s="3"/>
      <c r="AA15437" s="3"/>
      <c r="AB15437" s="3"/>
      <c r="AC15437" s="3"/>
      <c r="AD15437" s="3"/>
      <c r="AE15437" s="3"/>
      <c r="AF15437" s="3"/>
      <c r="AG15437" s="3"/>
      <c r="AH15437" s="3"/>
    </row>
    <row r="15438" spans="1:34" ht="14.25" customHeight="1" x14ac:dyDescent="0.25">
      <c r="A15438" s="3"/>
      <c r="B15438" s="3"/>
      <c r="C15438" s="3"/>
      <c r="D15438" s="3"/>
      <c r="E15438" s="3"/>
      <c r="F15438" s="3"/>
      <c r="G15438" s="3"/>
      <c r="H15438" s="11"/>
      <c r="I15438" s="12"/>
      <c r="J15438" s="3"/>
      <c r="K15438" s="3"/>
      <c r="L15438" s="3"/>
      <c r="M15438" s="3"/>
      <c r="N15438" s="3"/>
      <c r="O15438" s="3"/>
      <c r="P15438" s="3"/>
      <c r="Q15438" s="3"/>
      <c r="R15438" s="3"/>
      <c r="S15438" s="3"/>
      <c r="T15438" s="3"/>
      <c r="U15438" s="3"/>
      <c r="V15438" s="3"/>
      <c r="W15438" s="3"/>
      <c r="X15438" s="3"/>
      <c r="Y15438" s="3"/>
      <c r="Z15438" s="3"/>
      <c r="AA15438" s="3"/>
      <c r="AB15438" s="3"/>
      <c r="AC15438" s="3"/>
      <c r="AD15438" s="3"/>
      <c r="AE15438" s="3"/>
      <c r="AF15438" s="3"/>
      <c r="AG15438" s="3"/>
      <c r="AH15438" s="3"/>
    </row>
    <row r="15439" spans="1:34" ht="14.25" customHeight="1" x14ac:dyDescent="0.25">
      <c r="A15439" s="3"/>
      <c r="B15439" s="3"/>
      <c r="C15439" s="3"/>
      <c r="D15439" s="3"/>
      <c r="E15439" s="3"/>
      <c r="F15439" s="3"/>
      <c r="G15439" s="3"/>
      <c r="H15439" s="11"/>
      <c r="I15439" s="12"/>
      <c r="J15439" s="3"/>
      <c r="K15439" s="3"/>
      <c r="L15439" s="3"/>
      <c r="M15439" s="3"/>
      <c r="N15439" s="3"/>
      <c r="O15439" s="3"/>
      <c r="P15439" s="3"/>
      <c r="Q15439" s="3"/>
      <c r="R15439" s="3"/>
      <c r="S15439" s="3"/>
      <c r="T15439" s="3"/>
      <c r="U15439" s="3"/>
      <c r="V15439" s="3"/>
      <c r="W15439" s="3"/>
      <c r="X15439" s="3"/>
      <c r="Y15439" s="3"/>
      <c r="Z15439" s="3"/>
      <c r="AA15439" s="3"/>
      <c r="AB15439" s="3"/>
      <c r="AC15439" s="3"/>
      <c r="AD15439" s="3"/>
      <c r="AE15439" s="3"/>
      <c r="AF15439" s="3"/>
      <c r="AG15439" s="3"/>
      <c r="AH15439" s="3"/>
    </row>
    <row r="15440" spans="1:34" ht="14.25" customHeight="1" x14ac:dyDescent="0.25">
      <c r="A15440" s="3"/>
      <c r="B15440" s="3"/>
      <c r="C15440" s="3"/>
      <c r="D15440" s="3"/>
      <c r="E15440" s="3"/>
      <c r="F15440" s="3"/>
      <c r="G15440" s="3"/>
      <c r="H15440" s="11"/>
      <c r="I15440" s="12"/>
      <c r="J15440" s="3"/>
      <c r="K15440" s="3"/>
      <c r="L15440" s="3"/>
      <c r="M15440" s="3"/>
      <c r="N15440" s="3"/>
      <c r="O15440" s="3"/>
      <c r="P15440" s="3"/>
      <c r="Q15440" s="3"/>
      <c r="R15440" s="3"/>
      <c r="S15440" s="3"/>
      <c r="T15440" s="3"/>
      <c r="U15440" s="3"/>
      <c r="V15440" s="3"/>
      <c r="W15440" s="3"/>
      <c r="X15440" s="3"/>
      <c r="Y15440" s="3"/>
      <c r="Z15440" s="3"/>
      <c r="AA15440" s="3"/>
      <c r="AB15440" s="3"/>
      <c r="AC15440" s="3"/>
      <c r="AD15440" s="3"/>
      <c r="AE15440" s="3"/>
      <c r="AF15440" s="3"/>
      <c r="AG15440" s="3"/>
      <c r="AH15440" s="3"/>
    </row>
    <row r="15441" spans="1:34" ht="14.25" customHeight="1" x14ac:dyDescent="0.25">
      <c r="A15441" s="3"/>
      <c r="B15441" s="3"/>
      <c r="C15441" s="3"/>
      <c r="D15441" s="3"/>
      <c r="E15441" s="3"/>
      <c r="F15441" s="3"/>
      <c r="G15441" s="3"/>
      <c r="H15441" s="11"/>
      <c r="I15441" s="12"/>
      <c r="J15441" s="3"/>
      <c r="K15441" s="3"/>
      <c r="L15441" s="3"/>
      <c r="M15441" s="3"/>
      <c r="N15441" s="3"/>
      <c r="O15441" s="3"/>
      <c r="P15441" s="3"/>
      <c r="Q15441" s="3"/>
      <c r="R15441" s="3"/>
      <c r="S15441" s="3"/>
      <c r="T15441" s="3"/>
      <c r="U15441" s="3"/>
      <c r="V15441" s="3"/>
      <c r="W15441" s="3"/>
      <c r="X15441" s="3"/>
      <c r="Y15441" s="3"/>
      <c r="Z15441" s="3"/>
      <c r="AA15441" s="3"/>
      <c r="AB15441" s="3"/>
      <c r="AC15441" s="3"/>
      <c r="AD15441" s="3"/>
      <c r="AE15441" s="3"/>
      <c r="AF15441" s="3"/>
      <c r="AG15441" s="3"/>
      <c r="AH15441" s="3"/>
    </row>
    <row r="15442" spans="1:34" ht="14.25" customHeight="1" x14ac:dyDescent="0.25">
      <c r="A15442" s="3"/>
      <c r="B15442" s="3"/>
      <c r="C15442" s="3"/>
      <c r="D15442" s="3"/>
      <c r="E15442" s="3"/>
      <c r="F15442" s="3"/>
      <c r="G15442" s="3"/>
      <c r="H15442" s="11"/>
      <c r="I15442" s="12"/>
      <c r="J15442" s="3"/>
      <c r="K15442" s="3"/>
      <c r="L15442" s="3"/>
      <c r="M15442" s="3"/>
      <c r="N15442" s="3"/>
      <c r="O15442" s="3"/>
      <c r="P15442" s="3"/>
      <c r="Q15442" s="3"/>
      <c r="R15442" s="3"/>
      <c r="S15442" s="3"/>
      <c r="T15442" s="3"/>
      <c r="U15442" s="3"/>
      <c r="V15442" s="3"/>
      <c r="W15442" s="3"/>
      <c r="X15442" s="3"/>
      <c r="Y15442" s="3"/>
      <c r="Z15442" s="3"/>
      <c r="AA15442" s="3"/>
      <c r="AB15442" s="3"/>
      <c r="AC15442" s="3"/>
      <c r="AD15442" s="3"/>
      <c r="AE15442" s="3"/>
      <c r="AF15442" s="3"/>
      <c r="AG15442" s="3"/>
      <c r="AH15442" s="3"/>
    </row>
    <row r="15443" spans="1:34" ht="14.25" customHeight="1" x14ac:dyDescent="0.25">
      <c r="A15443" s="3"/>
      <c r="B15443" s="3"/>
      <c r="C15443" s="3"/>
      <c r="D15443" s="3"/>
      <c r="E15443" s="3"/>
      <c r="F15443" s="3"/>
      <c r="G15443" s="3"/>
      <c r="H15443" s="11"/>
      <c r="I15443" s="12"/>
      <c r="J15443" s="3"/>
      <c r="K15443" s="3"/>
      <c r="L15443" s="3"/>
      <c r="M15443" s="3"/>
      <c r="N15443" s="3"/>
      <c r="O15443" s="3"/>
      <c r="P15443" s="3"/>
      <c r="Q15443" s="3"/>
      <c r="R15443" s="3"/>
      <c r="S15443" s="3"/>
      <c r="T15443" s="3"/>
      <c r="U15443" s="3"/>
      <c r="V15443" s="3"/>
      <c r="W15443" s="3"/>
      <c r="X15443" s="3"/>
      <c r="Y15443" s="3"/>
      <c r="Z15443" s="3"/>
      <c r="AA15443" s="3"/>
      <c r="AB15443" s="3"/>
      <c r="AC15443" s="3"/>
      <c r="AD15443" s="3"/>
      <c r="AE15443" s="3"/>
      <c r="AF15443" s="3"/>
      <c r="AG15443" s="3"/>
      <c r="AH15443" s="3"/>
    </row>
    <row r="15444" spans="1:34" ht="14.25" customHeight="1" x14ac:dyDescent="0.25">
      <c r="A15444" s="3"/>
      <c r="B15444" s="3"/>
      <c r="C15444" s="3"/>
      <c r="D15444" s="3"/>
      <c r="E15444" s="3"/>
      <c r="F15444" s="3"/>
      <c r="G15444" s="3"/>
      <c r="H15444" s="11"/>
      <c r="I15444" s="12"/>
      <c r="J15444" s="3"/>
      <c r="K15444" s="3"/>
      <c r="L15444" s="3"/>
      <c r="M15444" s="3"/>
      <c r="N15444" s="3"/>
      <c r="O15444" s="3"/>
      <c r="P15444" s="3"/>
      <c r="Q15444" s="3"/>
      <c r="R15444" s="3"/>
      <c r="S15444" s="3"/>
      <c r="T15444" s="3"/>
      <c r="U15444" s="3"/>
      <c r="V15444" s="3"/>
      <c r="W15444" s="3"/>
      <c r="X15444" s="3"/>
      <c r="Y15444" s="3"/>
      <c r="Z15444" s="3"/>
      <c r="AA15444" s="3"/>
      <c r="AB15444" s="3"/>
      <c r="AC15444" s="3"/>
      <c r="AD15444" s="3"/>
      <c r="AE15444" s="3"/>
      <c r="AF15444" s="3"/>
      <c r="AG15444" s="3"/>
      <c r="AH15444" s="3"/>
    </row>
    <row r="15445" spans="1:34" ht="14.25" customHeight="1" x14ac:dyDescent="0.25">
      <c r="A15445" s="3"/>
      <c r="B15445" s="3"/>
      <c r="C15445" s="3"/>
      <c r="D15445" s="3"/>
      <c r="E15445" s="3"/>
      <c r="F15445" s="3"/>
      <c r="G15445" s="3"/>
      <c r="H15445" s="11"/>
      <c r="I15445" s="12"/>
      <c r="J15445" s="3"/>
      <c r="K15445" s="3"/>
      <c r="L15445" s="3"/>
      <c r="M15445" s="3"/>
      <c r="N15445" s="3"/>
      <c r="O15445" s="3"/>
      <c r="P15445" s="3"/>
      <c r="Q15445" s="3"/>
      <c r="R15445" s="3"/>
      <c r="S15445" s="3"/>
      <c r="T15445" s="3"/>
      <c r="U15445" s="3"/>
      <c r="V15445" s="3"/>
      <c r="W15445" s="3"/>
      <c r="X15445" s="3"/>
      <c r="Y15445" s="3"/>
      <c r="Z15445" s="3"/>
      <c r="AA15445" s="3"/>
      <c r="AB15445" s="3"/>
      <c r="AC15445" s="3"/>
      <c r="AD15445" s="3"/>
      <c r="AE15445" s="3"/>
      <c r="AF15445" s="3"/>
      <c r="AG15445" s="3"/>
      <c r="AH15445" s="3"/>
    </row>
    <row r="15446" spans="1:34" ht="14.25" customHeight="1" x14ac:dyDescent="0.25">
      <c r="A15446" s="3"/>
      <c r="B15446" s="3"/>
      <c r="C15446" s="3"/>
      <c r="D15446" s="3"/>
      <c r="E15446" s="3"/>
      <c r="F15446" s="3"/>
      <c r="G15446" s="3"/>
      <c r="H15446" s="11"/>
      <c r="I15446" s="12"/>
      <c r="J15446" s="3"/>
      <c r="K15446" s="3"/>
      <c r="L15446" s="3"/>
      <c r="M15446" s="3"/>
      <c r="N15446" s="3"/>
      <c r="O15446" s="3"/>
      <c r="P15446" s="3"/>
      <c r="Q15446" s="3"/>
      <c r="R15446" s="3"/>
      <c r="S15446" s="3"/>
      <c r="T15446" s="3"/>
      <c r="U15446" s="3"/>
      <c r="V15446" s="3"/>
      <c r="W15446" s="3"/>
      <c r="X15446" s="3"/>
      <c r="Y15446" s="3"/>
      <c r="Z15446" s="3"/>
      <c r="AA15446" s="3"/>
      <c r="AB15446" s="3"/>
      <c r="AC15446" s="3"/>
      <c r="AD15446" s="3"/>
      <c r="AE15446" s="3"/>
      <c r="AF15446" s="3"/>
      <c r="AG15446" s="3"/>
      <c r="AH15446" s="3"/>
    </row>
    <row r="15447" spans="1:34" ht="14.25" customHeight="1" x14ac:dyDescent="0.25">
      <c r="A15447" s="3"/>
      <c r="B15447" s="3"/>
      <c r="C15447" s="3"/>
      <c r="D15447" s="3"/>
      <c r="E15447" s="3"/>
      <c r="F15447" s="3"/>
      <c r="G15447" s="3"/>
      <c r="H15447" s="11"/>
      <c r="I15447" s="12"/>
      <c r="J15447" s="3"/>
      <c r="K15447" s="3"/>
      <c r="L15447" s="3"/>
      <c r="M15447" s="3"/>
      <c r="N15447" s="3"/>
      <c r="O15447" s="3"/>
      <c r="P15447" s="3"/>
      <c r="Q15447" s="3"/>
      <c r="R15447" s="3"/>
      <c r="S15447" s="3"/>
      <c r="T15447" s="3"/>
      <c r="U15447" s="3"/>
      <c r="V15447" s="3"/>
      <c r="W15447" s="3"/>
      <c r="X15447" s="3"/>
      <c r="Y15447" s="3"/>
      <c r="Z15447" s="3"/>
      <c r="AA15447" s="3"/>
      <c r="AB15447" s="3"/>
      <c r="AC15447" s="3"/>
      <c r="AD15447" s="3"/>
      <c r="AE15447" s="3"/>
      <c r="AF15447" s="3"/>
      <c r="AG15447" s="3"/>
      <c r="AH15447" s="3"/>
    </row>
    <row r="15448" spans="1:34" ht="14.25" customHeight="1" x14ac:dyDescent="0.25">
      <c r="A15448" s="3"/>
      <c r="B15448" s="3"/>
      <c r="C15448" s="3"/>
      <c r="D15448" s="3"/>
      <c r="E15448" s="3"/>
      <c r="F15448" s="3"/>
      <c r="G15448" s="3"/>
      <c r="H15448" s="11"/>
      <c r="I15448" s="12"/>
      <c r="J15448" s="3"/>
      <c r="K15448" s="3"/>
      <c r="L15448" s="3"/>
      <c r="M15448" s="3"/>
      <c r="N15448" s="3"/>
      <c r="O15448" s="3"/>
      <c r="P15448" s="3"/>
      <c r="Q15448" s="3"/>
      <c r="R15448" s="3"/>
      <c r="S15448" s="3"/>
      <c r="T15448" s="3"/>
      <c r="U15448" s="3"/>
      <c r="V15448" s="3"/>
      <c r="W15448" s="3"/>
      <c r="X15448" s="3"/>
      <c r="Y15448" s="3"/>
      <c r="Z15448" s="3"/>
      <c r="AA15448" s="3"/>
      <c r="AB15448" s="3"/>
      <c r="AC15448" s="3"/>
      <c r="AD15448" s="3"/>
      <c r="AE15448" s="3"/>
      <c r="AF15448" s="3"/>
      <c r="AG15448" s="3"/>
      <c r="AH15448" s="3"/>
    </row>
    <row r="15449" spans="1:34" ht="14.25" customHeight="1" x14ac:dyDescent="0.25">
      <c r="A15449" s="3"/>
      <c r="B15449" s="3"/>
      <c r="C15449" s="3"/>
      <c r="D15449" s="3"/>
      <c r="E15449" s="3"/>
      <c r="F15449" s="3"/>
      <c r="G15449" s="3"/>
      <c r="H15449" s="11"/>
      <c r="I15449" s="12"/>
      <c r="J15449" s="3"/>
      <c r="K15449" s="3"/>
      <c r="L15449" s="3"/>
      <c r="M15449" s="3"/>
      <c r="N15449" s="3"/>
      <c r="O15449" s="3"/>
      <c r="P15449" s="3"/>
      <c r="Q15449" s="3"/>
      <c r="R15449" s="3"/>
      <c r="S15449" s="3"/>
      <c r="T15449" s="3"/>
      <c r="U15449" s="3"/>
      <c r="V15449" s="3"/>
      <c r="W15449" s="3"/>
      <c r="X15449" s="3"/>
      <c r="Y15449" s="3"/>
      <c r="Z15449" s="3"/>
      <c r="AA15449" s="3"/>
      <c r="AB15449" s="3"/>
      <c r="AC15449" s="3"/>
      <c r="AD15449" s="3"/>
      <c r="AE15449" s="3"/>
      <c r="AF15449" s="3"/>
      <c r="AG15449" s="3"/>
      <c r="AH15449" s="3"/>
    </row>
    <row r="15450" spans="1:34" ht="14.25" customHeight="1" x14ac:dyDescent="0.25">
      <c r="A15450" s="3"/>
      <c r="B15450" s="3"/>
      <c r="C15450" s="3"/>
      <c r="D15450" s="3"/>
      <c r="E15450" s="3"/>
      <c r="F15450" s="3"/>
      <c r="G15450" s="3"/>
      <c r="H15450" s="11"/>
      <c r="I15450" s="12"/>
      <c r="J15450" s="3"/>
      <c r="K15450" s="3"/>
      <c r="L15450" s="3"/>
      <c r="M15450" s="3"/>
      <c r="N15450" s="3"/>
      <c r="O15450" s="3"/>
      <c r="P15450" s="3"/>
      <c r="Q15450" s="3"/>
      <c r="R15450" s="3"/>
      <c r="S15450" s="3"/>
      <c r="T15450" s="3"/>
      <c r="U15450" s="3"/>
      <c r="V15450" s="3"/>
      <c r="W15450" s="3"/>
      <c r="X15450" s="3"/>
      <c r="Y15450" s="3"/>
      <c r="Z15450" s="3"/>
      <c r="AA15450" s="3"/>
      <c r="AB15450" s="3"/>
      <c r="AC15450" s="3"/>
      <c r="AD15450" s="3"/>
      <c r="AE15450" s="3"/>
      <c r="AF15450" s="3"/>
      <c r="AG15450" s="3"/>
      <c r="AH15450" s="3"/>
    </row>
    <row r="15451" spans="1:34" ht="14.25" customHeight="1" x14ac:dyDescent="0.25">
      <c r="A15451" s="3"/>
      <c r="B15451" s="3"/>
      <c r="C15451" s="3"/>
      <c r="D15451" s="3"/>
      <c r="E15451" s="3"/>
      <c r="F15451" s="3"/>
      <c r="G15451" s="3"/>
      <c r="H15451" s="11"/>
      <c r="I15451" s="12"/>
      <c r="J15451" s="3"/>
      <c r="K15451" s="3"/>
      <c r="L15451" s="3"/>
      <c r="M15451" s="3"/>
      <c r="N15451" s="3"/>
      <c r="O15451" s="3"/>
      <c r="P15451" s="3"/>
      <c r="Q15451" s="3"/>
      <c r="R15451" s="3"/>
      <c r="S15451" s="3"/>
      <c r="T15451" s="3"/>
      <c r="U15451" s="3"/>
      <c r="V15451" s="3"/>
      <c r="W15451" s="3"/>
      <c r="X15451" s="3"/>
      <c r="Y15451" s="3"/>
      <c r="Z15451" s="3"/>
      <c r="AA15451" s="3"/>
      <c r="AB15451" s="3"/>
      <c r="AC15451" s="3"/>
      <c r="AD15451" s="3"/>
      <c r="AE15451" s="3"/>
      <c r="AF15451" s="3"/>
      <c r="AG15451" s="3"/>
      <c r="AH15451" s="3"/>
    </row>
    <row r="15452" spans="1:34" ht="14.25" customHeight="1" x14ac:dyDescent="0.25">
      <c r="A15452" s="3"/>
      <c r="B15452" s="3"/>
      <c r="C15452" s="3"/>
      <c r="D15452" s="3"/>
      <c r="E15452" s="3"/>
      <c r="F15452" s="3"/>
      <c r="G15452" s="3"/>
      <c r="H15452" s="11"/>
      <c r="I15452" s="12"/>
      <c r="J15452" s="3"/>
      <c r="K15452" s="3"/>
      <c r="L15452" s="3"/>
      <c r="M15452" s="3"/>
      <c r="N15452" s="3"/>
      <c r="O15452" s="3"/>
      <c r="P15452" s="3"/>
      <c r="Q15452" s="3"/>
      <c r="R15452" s="3"/>
      <c r="S15452" s="3"/>
      <c r="T15452" s="3"/>
      <c r="U15452" s="3"/>
      <c r="V15452" s="3"/>
      <c r="W15452" s="3"/>
      <c r="X15452" s="3"/>
      <c r="Y15452" s="3"/>
      <c r="Z15452" s="3"/>
      <c r="AA15452" s="3"/>
      <c r="AB15452" s="3"/>
      <c r="AC15452" s="3"/>
      <c r="AD15452" s="3"/>
      <c r="AE15452" s="3"/>
      <c r="AF15452" s="3"/>
      <c r="AG15452" s="3"/>
      <c r="AH15452" s="3"/>
    </row>
    <row r="15453" spans="1:34" ht="14.25" customHeight="1" x14ac:dyDescent="0.25">
      <c r="A15453" s="3"/>
      <c r="B15453" s="3"/>
      <c r="C15453" s="3"/>
      <c r="D15453" s="3"/>
      <c r="E15453" s="3"/>
      <c r="F15453" s="3"/>
      <c r="G15453" s="3"/>
      <c r="H15453" s="11"/>
      <c r="I15453" s="12"/>
      <c r="J15453" s="3"/>
      <c r="K15453" s="3"/>
      <c r="L15453" s="3"/>
      <c r="M15453" s="3"/>
      <c r="N15453" s="3"/>
      <c r="O15453" s="3"/>
      <c r="P15453" s="3"/>
      <c r="Q15453" s="3"/>
      <c r="R15453" s="3"/>
      <c r="S15453" s="3"/>
      <c r="T15453" s="3"/>
      <c r="U15453" s="3"/>
      <c r="V15453" s="3"/>
      <c r="W15453" s="3"/>
      <c r="X15453" s="3"/>
      <c r="Y15453" s="3"/>
      <c r="Z15453" s="3"/>
      <c r="AA15453" s="3"/>
      <c r="AB15453" s="3"/>
      <c r="AC15453" s="3"/>
      <c r="AD15453" s="3"/>
      <c r="AE15453" s="3"/>
      <c r="AF15453" s="3"/>
      <c r="AG15453" s="3"/>
      <c r="AH15453" s="3"/>
    </row>
    <row r="15454" spans="1:34" ht="14.25" customHeight="1" x14ac:dyDescent="0.25">
      <c r="A15454" s="3"/>
      <c r="B15454" s="3"/>
      <c r="C15454" s="3"/>
      <c r="D15454" s="3"/>
      <c r="E15454" s="3"/>
      <c r="F15454" s="3"/>
      <c r="G15454" s="3"/>
      <c r="H15454" s="11"/>
      <c r="I15454" s="12"/>
      <c r="J15454" s="3"/>
      <c r="K15454" s="3"/>
      <c r="L15454" s="3"/>
      <c r="M15454" s="3"/>
      <c r="N15454" s="3"/>
      <c r="O15454" s="3"/>
      <c r="P15454" s="3"/>
      <c r="Q15454" s="3"/>
      <c r="R15454" s="3"/>
      <c r="S15454" s="3"/>
      <c r="T15454" s="3"/>
      <c r="U15454" s="3"/>
      <c r="V15454" s="3"/>
      <c r="W15454" s="3"/>
      <c r="X15454" s="3"/>
      <c r="Y15454" s="3"/>
      <c r="Z15454" s="3"/>
      <c r="AA15454" s="3"/>
      <c r="AB15454" s="3"/>
      <c r="AC15454" s="3"/>
      <c r="AD15454" s="3"/>
      <c r="AE15454" s="3"/>
      <c r="AF15454" s="3"/>
      <c r="AG15454" s="3"/>
      <c r="AH15454" s="3"/>
    </row>
    <row r="15455" spans="1:34" ht="14.25" customHeight="1" x14ac:dyDescent="0.25">
      <c r="A15455" s="3"/>
      <c r="B15455" s="3"/>
      <c r="C15455" s="3"/>
      <c r="D15455" s="3"/>
      <c r="E15455" s="3"/>
      <c r="F15455" s="3"/>
      <c r="G15455" s="3"/>
      <c r="H15455" s="11"/>
      <c r="I15455" s="12"/>
      <c r="J15455" s="3"/>
      <c r="K15455" s="3"/>
      <c r="L15455" s="3"/>
      <c r="M15455" s="3"/>
      <c r="N15455" s="3"/>
      <c r="O15455" s="3"/>
      <c r="P15455" s="3"/>
      <c r="Q15455" s="3"/>
      <c r="R15455" s="3"/>
      <c r="S15455" s="3"/>
      <c r="T15455" s="3"/>
      <c r="U15455" s="3"/>
      <c r="V15455" s="3"/>
      <c r="W15455" s="3"/>
      <c r="X15455" s="3"/>
      <c r="Y15455" s="3"/>
      <c r="Z15455" s="3"/>
      <c r="AA15455" s="3"/>
      <c r="AB15455" s="3"/>
      <c r="AC15455" s="3"/>
      <c r="AD15455" s="3"/>
      <c r="AE15455" s="3"/>
      <c r="AF15455" s="3"/>
      <c r="AG15455" s="3"/>
      <c r="AH15455" s="3"/>
    </row>
    <row r="15456" spans="1:34" ht="14.25" customHeight="1" x14ac:dyDescent="0.25">
      <c r="A15456" s="3"/>
      <c r="B15456" s="3"/>
      <c r="C15456" s="3"/>
      <c r="D15456" s="3"/>
      <c r="E15456" s="3"/>
      <c r="F15456" s="3"/>
      <c r="G15456" s="3"/>
      <c r="H15456" s="11"/>
      <c r="I15456" s="12"/>
      <c r="J15456" s="3"/>
      <c r="K15456" s="3"/>
      <c r="L15456" s="3"/>
      <c r="M15456" s="3"/>
      <c r="N15456" s="3"/>
      <c r="O15456" s="3"/>
      <c r="P15456" s="3"/>
      <c r="Q15456" s="3"/>
      <c r="R15456" s="3"/>
      <c r="S15456" s="3"/>
      <c r="T15456" s="3"/>
      <c r="U15456" s="3"/>
      <c r="V15456" s="3"/>
      <c r="W15456" s="3"/>
      <c r="X15456" s="3"/>
      <c r="Y15456" s="3"/>
      <c r="Z15456" s="3"/>
      <c r="AA15456" s="3"/>
      <c r="AB15456" s="3"/>
      <c r="AC15456" s="3"/>
      <c r="AD15456" s="3"/>
      <c r="AE15456" s="3"/>
      <c r="AF15456" s="3"/>
      <c r="AG15456" s="3"/>
      <c r="AH15456" s="3"/>
    </row>
    <row r="15457" spans="1:34" ht="14.25" customHeight="1" x14ac:dyDescent="0.25">
      <c r="A15457" s="3"/>
      <c r="B15457" s="3"/>
      <c r="C15457" s="3"/>
      <c r="D15457" s="3"/>
      <c r="E15457" s="3"/>
      <c r="F15457" s="3"/>
      <c r="G15457" s="3"/>
      <c r="H15457" s="11"/>
      <c r="I15457" s="12"/>
      <c r="J15457" s="3"/>
      <c r="K15457" s="3"/>
      <c r="L15457" s="3"/>
      <c r="M15457" s="3"/>
      <c r="N15457" s="3"/>
      <c r="O15457" s="3"/>
      <c r="P15457" s="3"/>
      <c r="Q15457" s="3"/>
      <c r="R15457" s="3"/>
      <c r="S15457" s="3"/>
      <c r="T15457" s="3"/>
      <c r="U15457" s="3"/>
      <c r="V15457" s="3"/>
      <c r="W15457" s="3"/>
      <c r="X15457" s="3"/>
      <c r="Y15457" s="3"/>
      <c r="Z15457" s="3"/>
      <c r="AA15457" s="3"/>
      <c r="AB15457" s="3"/>
      <c r="AC15457" s="3"/>
      <c r="AD15457" s="3"/>
      <c r="AE15457" s="3"/>
      <c r="AF15457" s="3"/>
      <c r="AG15457" s="3"/>
      <c r="AH15457" s="3"/>
    </row>
    <row r="15458" spans="1:34" ht="14.25" customHeight="1" x14ac:dyDescent="0.25">
      <c r="A15458" s="3"/>
      <c r="B15458" s="3"/>
      <c r="C15458" s="3"/>
      <c r="D15458" s="3"/>
      <c r="E15458" s="3"/>
      <c r="F15458" s="3"/>
      <c r="G15458" s="3"/>
      <c r="H15458" s="11"/>
      <c r="I15458" s="12"/>
      <c r="J15458" s="3"/>
      <c r="K15458" s="3"/>
      <c r="L15458" s="3"/>
      <c r="M15458" s="3"/>
      <c r="N15458" s="3"/>
      <c r="O15458" s="3"/>
      <c r="P15458" s="3"/>
      <c r="Q15458" s="3"/>
      <c r="R15458" s="3"/>
      <c r="S15458" s="3"/>
      <c r="T15458" s="3"/>
      <c r="U15458" s="3"/>
      <c r="V15458" s="3"/>
      <c r="W15458" s="3"/>
      <c r="X15458" s="3"/>
      <c r="Y15458" s="3"/>
      <c r="Z15458" s="3"/>
      <c r="AA15458" s="3"/>
      <c r="AB15458" s="3"/>
      <c r="AC15458" s="3"/>
      <c r="AD15458" s="3"/>
      <c r="AE15458" s="3"/>
      <c r="AF15458" s="3"/>
      <c r="AG15458" s="3"/>
      <c r="AH15458" s="3"/>
    </row>
    <row r="15459" spans="1:34" ht="14.25" customHeight="1" x14ac:dyDescent="0.25">
      <c r="A15459" s="3"/>
      <c r="B15459" s="3"/>
      <c r="C15459" s="3"/>
      <c r="D15459" s="3"/>
      <c r="E15459" s="3"/>
      <c r="F15459" s="3"/>
      <c r="G15459" s="3"/>
      <c r="H15459" s="11"/>
      <c r="I15459" s="12"/>
      <c r="J15459" s="3"/>
      <c r="K15459" s="3"/>
      <c r="L15459" s="3"/>
      <c r="M15459" s="3"/>
      <c r="N15459" s="3"/>
      <c r="O15459" s="3"/>
      <c r="P15459" s="3"/>
      <c r="Q15459" s="3"/>
      <c r="R15459" s="3"/>
      <c r="S15459" s="3"/>
      <c r="T15459" s="3"/>
      <c r="U15459" s="3"/>
      <c r="V15459" s="3"/>
      <c r="W15459" s="3"/>
      <c r="X15459" s="3"/>
      <c r="Y15459" s="3"/>
      <c r="Z15459" s="3"/>
      <c r="AA15459" s="3"/>
      <c r="AB15459" s="3"/>
      <c r="AC15459" s="3"/>
      <c r="AD15459" s="3"/>
      <c r="AE15459" s="3"/>
      <c r="AF15459" s="3"/>
      <c r="AG15459" s="3"/>
      <c r="AH15459" s="3"/>
    </row>
    <row r="15460" spans="1:34" ht="14.25" customHeight="1" x14ac:dyDescent="0.25">
      <c r="A15460" s="3"/>
      <c r="B15460" s="3"/>
      <c r="C15460" s="3"/>
      <c r="D15460" s="3"/>
      <c r="E15460" s="3"/>
      <c r="F15460" s="3"/>
      <c r="G15460" s="3"/>
      <c r="H15460" s="11"/>
      <c r="I15460" s="12"/>
      <c r="J15460" s="3"/>
      <c r="K15460" s="3"/>
      <c r="L15460" s="3"/>
      <c r="M15460" s="3"/>
      <c r="N15460" s="3"/>
      <c r="O15460" s="3"/>
      <c r="P15460" s="3"/>
      <c r="Q15460" s="3"/>
      <c r="R15460" s="3"/>
      <c r="S15460" s="3"/>
      <c r="T15460" s="3"/>
      <c r="U15460" s="3"/>
      <c r="V15460" s="3"/>
      <c r="W15460" s="3"/>
      <c r="X15460" s="3"/>
      <c r="Y15460" s="3"/>
      <c r="Z15460" s="3"/>
      <c r="AA15460" s="3"/>
      <c r="AB15460" s="3"/>
      <c r="AC15460" s="3"/>
      <c r="AD15460" s="3"/>
      <c r="AE15460" s="3"/>
      <c r="AF15460" s="3"/>
      <c r="AG15460" s="3"/>
      <c r="AH15460" s="3"/>
    </row>
    <row r="15461" spans="1:34" ht="14.25" customHeight="1" x14ac:dyDescent="0.25">
      <c r="A15461" s="3"/>
      <c r="B15461" s="3"/>
      <c r="C15461" s="3"/>
      <c r="D15461" s="3"/>
      <c r="E15461" s="3"/>
      <c r="F15461" s="3"/>
      <c r="G15461" s="3"/>
      <c r="H15461" s="11"/>
      <c r="I15461" s="12"/>
      <c r="J15461" s="3"/>
      <c r="K15461" s="3"/>
      <c r="L15461" s="3"/>
      <c r="M15461" s="3"/>
      <c r="N15461" s="3"/>
      <c r="O15461" s="3"/>
      <c r="P15461" s="3"/>
      <c r="Q15461" s="3"/>
      <c r="R15461" s="3"/>
      <c r="S15461" s="3"/>
      <c r="T15461" s="3"/>
      <c r="U15461" s="3"/>
      <c r="V15461" s="3"/>
      <c r="W15461" s="3"/>
      <c r="X15461" s="3"/>
      <c r="Y15461" s="3"/>
      <c r="Z15461" s="3"/>
      <c r="AA15461" s="3"/>
      <c r="AB15461" s="3"/>
      <c r="AC15461" s="3"/>
      <c r="AD15461" s="3"/>
      <c r="AE15461" s="3"/>
      <c r="AF15461" s="3"/>
      <c r="AG15461" s="3"/>
      <c r="AH15461" s="3"/>
    </row>
    <row r="15462" spans="1:34" ht="14.25" customHeight="1" x14ac:dyDescent="0.25">
      <c r="A15462" s="3"/>
      <c r="B15462" s="3"/>
      <c r="C15462" s="3"/>
      <c r="D15462" s="3"/>
      <c r="E15462" s="3"/>
      <c r="F15462" s="3"/>
      <c r="G15462" s="3"/>
      <c r="H15462" s="11"/>
      <c r="I15462" s="12"/>
      <c r="J15462" s="3"/>
      <c r="K15462" s="3"/>
      <c r="L15462" s="3"/>
      <c r="M15462" s="3"/>
      <c r="N15462" s="3"/>
      <c r="O15462" s="3"/>
      <c r="P15462" s="3"/>
      <c r="Q15462" s="3"/>
      <c r="R15462" s="3"/>
      <c r="S15462" s="3"/>
      <c r="T15462" s="3"/>
      <c r="U15462" s="3"/>
      <c r="V15462" s="3"/>
      <c r="W15462" s="3"/>
      <c r="X15462" s="3"/>
      <c r="Y15462" s="3"/>
      <c r="Z15462" s="3"/>
      <c r="AA15462" s="3"/>
      <c r="AB15462" s="3"/>
      <c r="AC15462" s="3"/>
      <c r="AD15462" s="3"/>
      <c r="AE15462" s="3"/>
      <c r="AF15462" s="3"/>
      <c r="AG15462" s="3"/>
      <c r="AH15462" s="3"/>
    </row>
    <row r="15463" spans="1:34" ht="14.25" customHeight="1" x14ac:dyDescent="0.25">
      <c r="A15463" s="3"/>
      <c r="B15463" s="3"/>
      <c r="C15463" s="3"/>
      <c r="D15463" s="3"/>
      <c r="E15463" s="3"/>
      <c r="F15463" s="3"/>
      <c r="G15463" s="3"/>
      <c r="H15463" s="11"/>
      <c r="I15463" s="12"/>
      <c r="J15463" s="3"/>
      <c r="K15463" s="3"/>
      <c r="L15463" s="3"/>
      <c r="M15463" s="3"/>
      <c r="N15463" s="3"/>
      <c r="O15463" s="3"/>
      <c r="P15463" s="3"/>
      <c r="Q15463" s="3"/>
      <c r="R15463" s="3"/>
      <c r="S15463" s="3"/>
      <c r="T15463" s="3"/>
      <c r="U15463" s="3"/>
      <c r="V15463" s="3"/>
      <c r="W15463" s="3"/>
      <c r="X15463" s="3"/>
      <c r="Y15463" s="3"/>
      <c r="Z15463" s="3"/>
      <c r="AA15463" s="3"/>
      <c r="AB15463" s="3"/>
      <c r="AC15463" s="3"/>
      <c r="AD15463" s="3"/>
      <c r="AE15463" s="3"/>
      <c r="AF15463" s="3"/>
      <c r="AG15463" s="3"/>
      <c r="AH15463" s="3"/>
    </row>
    <row r="15464" spans="1:34" ht="14.25" customHeight="1" x14ac:dyDescent="0.25">
      <c r="A15464" s="3"/>
      <c r="B15464" s="3"/>
      <c r="C15464" s="3"/>
      <c r="D15464" s="3"/>
      <c r="E15464" s="3"/>
      <c r="F15464" s="3"/>
      <c r="G15464" s="3"/>
      <c r="H15464" s="11"/>
      <c r="I15464" s="12"/>
      <c r="J15464" s="3"/>
      <c r="K15464" s="3"/>
      <c r="L15464" s="3"/>
      <c r="M15464" s="3"/>
      <c r="N15464" s="3"/>
      <c r="O15464" s="3"/>
      <c r="P15464" s="3"/>
      <c r="Q15464" s="3"/>
      <c r="R15464" s="3"/>
      <c r="S15464" s="3"/>
      <c r="T15464" s="3"/>
      <c r="U15464" s="3"/>
      <c r="V15464" s="3"/>
      <c r="W15464" s="3"/>
      <c r="X15464" s="3"/>
      <c r="Y15464" s="3"/>
      <c r="Z15464" s="3"/>
      <c r="AA15464" s="3"/>
      <c r="AB15464" s="3"/>
      <c r="AC15464" s="3"/>
      <c r="AD15464" s="3"/>
      <c r="AE15464" s="3"/>
      <c r="AF15464" s="3"/>
      <c r="AG15464" s="3"/>
      <c r="AH15464" s="3"/>
    </row>
    <row r="15465" spans="1:34" ht="14.25" customHeight="1" x14ac:dyDescent="0.25">
      <c r="A15465" s="3"/>
      <c r="B15465" s="3"/>
      <c r="C15465" s="3"/>
      <c r="D15465" s="3"/>
      <c r="E15465" s="3"/>
      <c r="F15465" s="3"/>
      <c r="G15465" s="3"/>
      <c r="H15465" s="11"/>
      <c r="I15465" s="12"/>
      <c r="J15465" s="3"/>
      <c r="K15465" s="3"/>
      <c r="L15465" s="3"/>
      <c r="M15465" s="3"/>
      <c r="N15465" s="3"/>
      <c r="O15465" s="3"/>
      <c r="P15465" s="3"/>
      <c r="Q15465" s="3"/>
      <c r="R15465" s="3"/>
      <c r="S15465" s="3"/>
      <c r="T15465" s="3"/>
      <c r="U15465" s="3"/>
      <c r="V15465" s="3"/>
      <c r="W15465" s="3"/>
      <c r="X15465" s="3"/>
      <c r="Y15465" s="3"/>
      <c r="Z15465" s="3"/>
      <c r="AA15465" s="3"/>
      <c r="AB15465" s="3"/>
      <c r="AC15465" s="3"/>
      <c r="AD15465" s="3"/>
      <c r="AE15465" s="3"/>
      <c r="AF15465" s="3"/>
      <c r="AG15465" s="3"/>
      <c r="AH15465" s="3"/>
    </row>
    <row r="15466" spans="1:34" ht="14.25" customHeight="1" x14ac:dyDescent="0.25">
      <c r="A15466" s="3"/>
      <c r="B15466" s="3"/>
      <c r="C15466" s="3"/>
      <c r="D15466" s="3"/>
      <c r="E15466" s="3"/>
      <c r="F15466" s="3"/>
      <c r="G15466" s="3"/>
      <c r="H15466" s="11"/>
      <c r="I15466" s="12"/>
      <c r="J15466" s="3"/>
      <c r="K15466" s="3"/>
      <c r="L15466" s="3"/>
      <c r="M15466" s="3"/>
      <c r="N15466" s="3"/>
      <c r="O15466" s="3"/>
      <c r="P15466" s="3"/>
      <c r="Q15466" s="3"/>
      <c r="R15466" s="3"/>
      <c r="S15466" s="3"/>
      <c r="T15466" s="3"/>
      <c r="U15466" s="3"/>
      <c r="V15466" s="3"/>
      <c r="W15466" s="3"/>
      <c r="X15466" s="3"/>
      <c r="Y15466" s="3"/>
      <c r="Z15466" s="3"/>
      <c r="AA15466" s="3"/>
      <c r="AB15466" s="3"/>
      <c r="AC15466" s="3"/>
      <c r="AD15466" s="3"/>
      <c r="AE15466" s="3"/>
      <c r="AF15466" s="3"/>
      <c r="AG15466" s="3"/>
      <c r="AH15466" s="3"/>
    </row>
    <row r="15467" spans="1:34" ht="14.25" customHeight="1" x14ac:dyDescent="0.25">
      <c r="A15467" s="3"/>
      <c r="B15467" s="3"/>
      <c r="C15467" s="3"/>
      <c r="D15467" s="3"/>
      <c r="E15467" s="3"/>
      <c r="F15467" s="3"/>
      <c r="G15467" s="3"/>
      <c r="H15467" s="11"/>
      <c r="I15467" s="12"/>
      <c r="J15467" s="3"/>
      <c r="K15467" s="3"/>
      <c r="L15467" s="3"/>
      <c r="M15467" s="3"/>
      <c r="N15467" s="3"/>
      <c r="O15467" s="3"/>
      <c r="P15467" s="3"/>
      <c r="Q15467" s="3"/>
      <c r="R15467" s="3"/>
      <c r="S15467" s="3"/>
      <c r="T15467" s="3"/>
      <c r="U15467" s="3"/>
      <c r="V15467" s="3"/>
      <c r="W15467" s="3"/>
      <c r="X15467" s="3"/>
      <c r="Y15467" s="3"/>
      <c r="Z15467" s="3"/>
      <c r="AA15467" s="3"/>
      <c r="AB15467" s="3"/>
      <c r="AC15467" s="3"/>
      <c r="AD15467" s="3"/>
      <c r="AE15467" s="3"/>
      <c r="AF15467" s="3"/>
      <c r="AG15467" s="3"/>
      <c r="AH15467" s="3"/>
    </row>
    <row r="15468" spans="1:34" ht="14.25" customHeight="1" x14ac:dyDescent="0.25">
      <c r="A15468" s="3"/>
      <c r="B15468" s="3"/>
      <c r="C15468" s="3"/>
      <c r="D15468" s="3"/>
      <c r="E15468" s="3"/>
      <c r="F15468" s="3"/>
      <c r="G15468" s="3"/>
      <c r="H15468" s="11"/>
      <c r="I15468" s="12"/>
      <c r="J15468" s="3"/>
      <c r="K15468" s="3"/>
      <c r="L15468" s="3"/>
      <c r="M15468" s="3"/>
      <c r="N15468" s="3"/>
      <c r="O15468" s="3"/>
      <c r="P15468" s="3"/>
      <c r="Q15468" s="3"/>
      <c r="R15468" s="3"/>
      <c r="S15468" s="3"/>
      <c r="T15468" s="3"/>
      <c r="U15468" s="3"/>
      <c r="V15468" s="3"/>
      <c r="W15468" s="3"/>
      <c r="X15468" s="3"/>
      <c r="Y15468" s="3"/>
      <c r="Z15468" s="3"/>
      <c r="AA15468" s="3"/>
      <c r="AB15468" s="3"/>
      <c r="AC15468" s="3"/>
      <c r="AD15468" s="3"/>
      <c r="AE15468" s="3"/>
      <c r="AF15468" s="3"/>
      <c r="AG15468" s="3"/>
      <c r="AH15468" s="3"/>
    </row>
    <row r="15469" spans="1:34" ht="14.25" customHeight="1" x14ac:dyDescent="0.25">
      <c r="A15469" s="3"/>
      <c r="B15469" s="3"/>
      <c r="C15469" s="3"/>
      <c r="D15469" s="3"/>
      <c r="E15469" s="3"/>
      <c r="F15469" s="3"/>
      <c r="G15469" s="3"/>
      <c r="H15469" s="11"/>
      <c r="I15469" s="12"/>
      <c r="J15469" s="3"/>
      <c r="K15469" s="3"/>
      <c r="L15469" s="3"/>
      <c r="M15469" s="3"/>
      <c r="N15469" s="3"/>
      <c r="O15469" s="3"/>
      <c r="P15469" s="3"/>
      <c r="Q15469" s="3"/>
      <c r="R15469" s="3"/>
      <c r="S15469" s="3"/>
      <c r="T15469" s="3"/>
      <c r="U15469" s="3"/>
      <c r="V15469" s="3"/>
      <c r="W15469" s="3"/>
      <c r="X15469" s="3"/>
      <c r="Y15469" s="3"/>
      <c r="Z15469" s="3"/>
      <c r="AA15469" s="3"/>
      <c r="AB15469" s="3"/>
      <c r="AC15469" s="3"/>
      <c r="AD15469" s="3"/>
      <c r="AE15469" s="3"/>
      <c r="AF15469" s="3"/>
      <c r="AG15469" s="3"/>
      <c r="AH15469" s="3"/>
    </row>
    <row r="15470" spans="1:34" ht="14.25" customHeight="1" x14ac:dyDescent="0.25">
      <c r="A15470" s="3"/>
      <c r="B15470" s="3"/>
      <c r="C15470" s="3"/>
      <c r="D15470" s="3"/>
      <c r="E15470" s="3"/>
      <c r="F15470" s="3"/>
      <c r="G15470" s="3"/>
      <c r="H15470" s="11"/>
      <c r="I15470" s="12"/>
      <c r="J15470" s="3"/>
      <c r="K15470" s="3"/>
      <c r="L15470" s="3"/>
      <c r="M15470" s="3"/>
      <c r="N15470" s="3"/>
      <c r="O15470" s="3"/>
      <c r="P15470" s="3"/>
      <c r="Q15470" s="3"/>
      <c r="R15470" s="3"/>
      <c r="S15470" s="3"/>
      <c r="T15470" s="3"/>
      <c r="U15470" s="3"/>
      <c r="V15470" s="3"/>
      <c r="W15470" s="3"/>
      <c r="X15470" s="3"/>
      <c r="Y15470" s="3"/>
      <c r="Z15470" s="3"/>
      <c r="AA15470" s="3"/>
      <c r="AB15470" s="3"/>
      <c r="AC15470" s="3"/>
      <c r="AD15470" s="3"/>
      <c r="AE15470" s="3"/>
      <c r="AF15470" s="3"/>
      <c r="AG15470" s="3"/>
      <c r="AH15470" s="3"/>
    </row>
    <row r="15471" spans="1:34" ht="14.25" customHeight="1" x14ac:dyDescent="0.25">
      <c r="A15471" s="3"/>
      <c r="B15471" s="3"/>
      <c r="C15471" s="3"/>
      <c r="D15471" s="3"/>
      <c r="E15471" s="3"/>
      <c r="F15471" s="3"/>
      <c r="G15471" s="3"/>
      <c r="H15471" s="11"/>
      <c r="I15471" s="12"/>
      <c r="J15471" s="3"/>
      <c r="K15471" s="3"/>
      <c r="L15471" s="3"/>
      <c r="M15471" s="3"/>
      <c r="N15471" s="3"/>
      <c r="O15471" s="3"/>
      <c r="P15471" s="3"/>
      <c r="Q15471" s="3"/>
      <c r="R15471" s="3"/>
      <c r="S15471" s="3"/>
      <c r="T15471" s="3"/>
      <c r="U15471" s="3"/>
      <c r="V15471" s="3"/>
      <c r="W15471" s="3"/>
      <c r="X15471" s="3"/>
      <c r="Y15471" s="3"/>
      <c r="Z15471" s="3"/>
      <c r="AA15471" s="3"/>
      <c r="AB15471" s="3"/>
      <c r="AC15471" s="3"/>
      <c r="AD15471" s="3"/>
      <c r="AE15471" s="3"/>
      <c r="AF15471" s="3"/>
      <c r="AG15471" s="3"/>
      <c r="AH15471" s="3"/>
    </row>
    <row r="15472" spans="1:34" ht="14.25" customHeight="1" x14ac:dyDescent="0.25">
      <c r="A15472" s="3"/>
      <c r="B15472" s="3"/>
      <c r="C15472" s="3"/>
      <c r="D15472" s="3"/>
      <c r="E15472" s="3"/>
      <c r="F15472" s="3"/>
      <c r="G15472" s="3"/>
      <c r="H15472" s="11"/>
      <c r="I15472" s="12"/>
      <c r="J15472" s="3"/>
      <c r="K15472" s="3"/>
      <c r="L15472" s="3"/>
      <c r="M15472" s="3"/>
      <c r="N15472" s="3"/>
      <c r="O15472" s="3"/>
      <c r="P15472" s="3"/>
      <c r="Q15472" s="3"/>
      <c r="R15472" s="3"/>
      <c r="S15472" s="3"/>
      <c r="T15472" s="3"/>
      <c r="U15472" s="3"/>
      <c r="V15472" s="3"/>
      <c r="W15472" s="3"/>
      <c r="X15472" s="3"/>
      <c r="Y15472" s="3"/>
      <c r="Z15472" s="3"/>
      <c r="AA15472" s="3"/>
      <c r="AB15472" s="3"/>
      <c r="AC15472" s="3"/>
      <c r="AD15472" s="3"/>
      <c r="AE15472" s="3"/>
      <c r="AF15472" s="3"/>
      <c r="AG15472" s="3"/>
      <c r="AH15472" s="3"/>
    </row>
    <row r="15473" spans="1:34" ht="14.25" customHeight="1" x14ac:dyDescent="0.25">
      <c r="A15473" s="3"/>
      <c r="B15473" s="3"/>
      <c r="C15473" s="3"/>
      <c r="D15473" s="3"/>
      <c r="E15473" s="3"/>
      <c r="F15473" s="3"/>
      <c r="G15473" s="3"/>
      <c r="H15473" s="11"/>
      <c r="I15473" s="12"/>
      <c r="J15473" s="3"/>
      <c r="K15473" s="3"/>
      <c r="L15473" s="3"/>
      <c r="M15473" s="3"/>
      <c r="N15473" s="3"/>
      <c r="O15473" s="3"/>
      <c r="P15473" s="3"/>
      <c r="Q15473" s="3"/>
      <c r="R15473" s="3"/>
      <c r="S15473" s="3"/>
      <c r="T15473" s="3"/>
      <c r="U15473" s="3"/>
      <c r="V15473" s="3"/>
      <c r="W15473" s="3"/>
      <c r="X15473" s="3"/>
      <c r="Y15473" s="3"/>
      <c r="Z15473" s="3"/>
      <c r="AA15473" s="3"/>
      <c r="AB15473" s="3"/>
      <c r="AC15473" s="3"/>
      <c r="AD15473" s="3"/>
      <c r="AE15473" s="3"/>
      <c r="AF15473" s="3"/>
      <c r="AG15473" s="3"/>
      <c r="AH15473" s="3"/>
    </row>
    <row r="15474" spans="1:34" ht="14.25" customHeight="1" x14ac:dyDescent="0.25">
      <c r="A15474" s="3"/>
      <c r="B15474" s="3"/>
      <c r="C15474" s="3"/>
      <c r="D15474" s="3"/>
      <c r="E15474" s="3"/>
      <c r="F15474" s="3"/>
      <c r="G15474" s="3"/>
      <c r="H15474" s="11"/>
      <c r="I15474" s="12"/>
      <c r="J15474" s="3"/>
      <c r="K15474" s="3"/>
      <c r="L15474" s="3"/>
      <c r="M15474" s="3"/>
      <c r="N15474" s="3"/>
      <c r="O15474" s="3"/>
      <c r="P15474" s="3"/>
      <c r="Q15474" s="3"/>
      <c r="R15474" s="3"/>
      <c r="S15474" s="3"/>
      <c r="T15474" s="3"/>
      <c r="U15474" s="3"/>
      <c r="V15474" s="3"/>
      <c r="W15474" s="3"/>
      <c r="X15474" s="3"/>
      <c r="Y15474" s="3"/>
      <c r="Z15474" s="3"/>
      <c r="AA15474" s="3"/>
      <c r="AB15474" s="3"/>
      <c r="AC15474" s="3"/>
      <c r="AD15474" s="3"/>
      <c r="AE15474" s="3"/>
      <c r="AF15474" s="3"/>
      <c r="AG15474" s="3"/>
      <c r="AH15474" s="3"/>
    </row>
    <row r="15475" spans="1:34" ht="14.25" customHeight="1" x14ac:dyDescent="0.25">
      <c r="A15475" s="3"/>
      <c r="B15475" s="3"/>
      <c r="C15475" s="3"/>
      <c r="D15475" s="3"/>
      <c r="E15475" s="3"/>
      <c r="F15475" s="3"/>
      <c r="G15475" s="3"/>
      <c r="H15475" s="11"/>
      <c r="I15475" s="12"/>
      <c r="J15475" s="3"/>
      <c r="K15475" s="3"/>
      <c r="L15475" s="3"/>
      <c r="M15475" s="3"/>
      <c r="N15475" s="3"/>
      <c r="O15475" s="3"/>
      <c r="P15475" s="3"/>
      <c r="Q15475" s="3"/>
      <c r="R15475" s="3"/>
      <c r="S15475" s="3"/>
      <c r="T15475" s="3"/>
      <c r="U15475" s="3"/>
      <c r="V15475" s="3"/>
      <c r="W15475" s="3"/>
      <c r="X15475" s="3"/>
      <c r="Y15475" s="3"/>
      <c r="Z15475" s="3"/>
      <c r="AA15475" s="3"/>
      <c r="AB15475" s="3"/>
      <c r="AC15475" s="3"/>
      <c r="AD15475" s="3"/>
      <c r="AE15475" s="3"/>
      <c r="AF15475" s="3"/>
      <c r="AG15475" s="3"/>
      <c r="AH15475" s="3"/>
    </row>
    <row r="15476" spans="1:34" ht="14.25" customHeight="1" x14ac:dyDescent="0.25">
      <c r="A15476" s="3"/>
      <c r="B15476" s="3"/>
      <c r="C15476" s="3"/>
      <c r="D15476" s="3"/>
      <c r="E15476" s="3"/>
      <c r="F15476" s="3"/>
      <c r="G15476" s="3"/>
      <c r="H15476" s="11"/>
      <c r="I15476" s="12"/>
      <c r="J15476" s="3"/>
      <c r="K15476" s="3"/>
      <c r="L15476" s="3"/>
      <c r="M15476" s="3"/>
      <c r="N15476" s="3"/>
      <c r="O15476" s="3"/>
      <c r="P15476" s="3"/>
      <c r="Q15476" s="3"/>
      <c r="R15476" s="3"/>
      <c r="S15476" s="3"/>
      <c r="T15476" s="3"/>
      <c r="U15476" s="3"/>
      <c r="V15476" s="3"/>
      <c r="W15476" s="3"/>
      <c r="X15476" s="3"/>
      <c r="Y15476" s="3"/>
      <c r="Z15476" s="3"/>
      <c r="AA15476" s="3"/>
      <c r="AB15476" s="3"/>
      <c r="AC15476" s="3"/>
      <c r="AD15476" s="3"/>
      <c r="AE15476" s="3"/>
      <c r="AF15476" s="3"/>
      <c r="AG15476" s="3"/>
      <c r="AH15476" s="3"/>
    </row>
    <row r="15477" spans="1:34" ht="14.25" customHeight="1" x14ac:dyDescent="0.25">
      <c r="A15477" s="3"/>
      <c r="B15477" s="3"/>
      <c r="C15477" s="3"/>
      <c r="D15477" s="3"/>
      <c r="E15477" s="3"/>
      <c r="F15477" s="3"/>
      <c r="G15477" s="3"/>
      <c r="H15477" s="11"/>
      <c r="I15477" s="12"/>
      <c r="J15477" s="17"/>
      <c r="K15477" s="17"/>
      <c r="L15477" s="17"/>
      <c r="M15477" s="17"/>
      <c r="N15477" s="17"/>
      <c r="O15477" s="3"/>
      <c r="P15477" s="3"/>
      <c r="Q15477" s="3"/>
      <c r="R15477" s="3"/>
      <c r="S15477" s="3"/>
      <c r="T15477" s="3"/>
      <c r="U15477" s="3"/>
      <c r="V15477" s="3"/>
      <c r="W15477" s="3"/>
      <c r="X15477" s="3"/>
      <c r="Y15477" s="3"/>
      <c r="Z15477" s="3"/>
      <c r="AA15477" s="3"/>
      <c r="AB15477" s="3"/>
      <c r="AC15477" s="3"/>
      <c r="AD15477" s="3"/>
      <c r="AE15477" s="3"/>
      <c r="AF15477" s="3"/>
      <c r="AG15477" s="3"/>
      <c r="AH15477" s="3"/>
    </row>
    <row r="15478" spans="1:34" ht="14.25" customHeight="1" x14ac:dyDescent="0.25">
      <c r="A15478" s="3"/>
      <c r="B15478" s="3"/>
      <c r="C15478" s="3"/>
      <c r="D15478" s="3"/>
      <c r="E15478" s="3"/>
      <c r="F15478" s="3"/>
      <c r="G15478" s="3"/>
      <c r="H15478" s="11"/>
      <c r="I15478" s="12"/>
      <c r="J15478" s="17"/>
      <c r="K15478" s="17"/>
      <c r="L15478" s="17"/>
      <c r="M15478" s="17"/>
      <c r="N15478" s="17"/>
      <c r="O15478" s="3"/>
      <c r="P15478" s="3"/>
      <c r="Q15478" s="3"/>
      <c r="R15478" s="3"/>
      <c r="S15478" s="3"/>
      <c r="T15478" s="3"/>
      <c r="U15478" s="3"/>
      <c r="V15478" s="3"/>
      <c r="W15478" s="3"/>
      <c r="X15478" s="3"/>
      <c r="Y15478" s="3"/>
      <c r="Z15478" s="3"/>
      <c r="AA15478" s="3"/>
      <c r="AB15478" s="3"/>
      <c r="AC15478" s="3"/>
      <c r="AD15478" s="3"/>
      <c r="AE15478" s="3"/>
      <c r="AF15478" s="3"/>
      <c r="AG15478" s="3"/>
      <c r="AH15478" s="3"/>
    </row>
    <row r="15479" spans="1:34" ht="14.25" customHeight="1" x14ac:dyDescent="0.25">
      <c r="A15479" s="3"/>
      <c r="B15479" s="3"/>
      <c r="C15479" s="3"/>
      <c r="D15479" s="3"/>
      <c r="E15479" s="3"/>
      <c r="F15479" s="3"/>
      <c r="G15479" s="3"/>
      <c r="H15479" s="11"/>
      <c r="I15479" s="12"/>
      <c r="J15479" s="17"/>
      <c r="K15479" s="17"/>
      <c r="L15479" s="17"/>
      <c r="M15479" s="17"/>
      <c r="N15479" s="17"/>
      <c r="O15479" s="3"/>
      <c r="P15479" s="3"/>
      <c r="Q15479" s="3"/>
      <c r="R15479" s="3"/>
      <c r="S15479" s="3"/>
      <c r="T15479" s="3"/>
      <c r="U15479" s="3"/>
      <c r="V15479" s="3"/>
      <c r="W15479" s="3"/>
      <c r="X15479" s="3"/>
      <c r="Y15479" s="3"/>
      <c r="Z15479" s="3"/>
      <c r="AA15479" s="3"/>
      <c r="AB15479" s="3"/>
      <c r="AC15479" s="3"/>
      <c r="AD15479" s="3"/>
      <c r="AE15479" s="3"/>
      <c r="AF15479" s="3"/>
      <c r="AG15479" s="3"/>
      <c r="AH15479" s="3"/>
    </row>
    <row r="15480" spans="1:34" ht="14.25" customHeight="1" x14ac:dyDescent="0.25">
      <c r="A15480" s="3"/>
      <c r="B15480" s="3"/>
      <c r="C15480" s="3"/>
      <c r="D15480" s="3"/>
      <c r="E15480" s="3"/>
      <c r="F15480" s="3"/>
      <c r="G15480" s="3"/>
      <c r="H15480" s="11"/>
      <c r="I15480" s="12"/>
      <c r="J15480" s="3"/>
      <c r="K15480" s="3"/>
      <c r="L15480" s="3"/>
      <c r="M15480" s="3"/>
      <c r="N15480" s="3"/>
      <c r="O15480" s="3"/>
      <c r="P15480" s="3"/>
      <c r="Q15480" s="3"/>
      <c r="R15480" s="3"/>
      <c r="S15480" s="3"/>
      <c r="T15480" s="3"/>
      <c r="U15480" s="3"/>
      <c r="V15480" s="3"/>
      <c r="W15480" s="3"/>
      <c r="X15480" s="3"/>
      <c r="Y15480" s="3"/>
      <c r="Z15480" s="3"/>
      <c r="AA15480" s="3"/>
      <c r="AB15480" s="3"/>
      <c r="AC15480" s="3"/>
      <c r="AD15480" s="3"/>
      <c r="AE15480" s="3"/>
      <c r="AF15480" s="3"/>
      <c r="AG15480" s="3"/>
      <c r="AH15480" s="3"/>
    </row>
    <row r="15481" spans="1:34" ht="14.25" customHeight="1" x14ac:dyDescent="0.25">
      <c r="A15481" s="3"/>
      <c r="B15481" s="3"/>
      <c r="C15481" s="3"/>
      <c r="D15481" s="3"/>
      <c r="E15481" s="3"/>
      <c r="F15481" s="3"/>
      <c r="G15481" s="3"/>
      <c r="H15481" s="11"/>
      <c r="I15481" s="12"/>
      <c r="J15481" s="3"/>
      <c r="K15481" s="3"/>
      <c r="L15481" s="3"/>
      <c r="M15481" s="3"/>
      <c r="N15481" s="3"/>
      <c r="O15481" s="3"/>
      <c r="P15481" s="3"/>
      <c r="Q15481" s="3"/>
      <c r="R15481" s="3"/>
      <c r="S15481" s="3"/>
      <c r="T15481" s="3"/>
      <c r="U15481" s="3"/>
      <c r="V15481" s="3"/>
      <c r="W15481" s="3"/>
      <c r="X15481" s="3"/>
      <c r="Y15481" s="3"/>
      <c r="Z15481" s="3"/>
      <c r="AA15481" s="3"/>
      <c r="AB15481" s="3"/>
      <c r="AC15481" s="3"/>
      <c r="AD15481" s="3"/>
      <c r="AE15481" s="3"/>
      <c r="AF15481" s="3"/>
      <c r="AG15481" s="3"/>
      <c r="AH15481" s="3"/>
    </row>
    <row r="15482" spans="1:34" ht="14.25" customHeight="1" x14ac:dyDescent="0.25">
      <c r="A15482" s="3"/>
      <c r="B15482" s="3"/>
      <c r="C15482" s="3"/>
      <c r="D15482" s="3"/>
      <c r="E15482" s="3"/>
      <c r="F15482" s="3"/>
      <c r="G15482" s="3"/>
      <c r="H15482" s="11"/>
      <c r="I15482" s="12"/>
      <c r="J15482" s="3"/>
      <c r="K15482" s="3"/>
      <c r="L15482" s="3"/>
      <c r="M15482" s="3"/>
      <c r="N15482" s="3"/>
      <c r="O15482" s="3"/>
      <c r="P15482" s="3"/>
      <c r="Q15482" s="3"/>
      <c r="R15482" s="3"/>
      <c r="S15482" s="3"/>
      <c r="T15482" s="3"/>
      <c r="U15482" s="3"/>
      <c r="V15482" s="3"/>
      <c r="W15482" s="3"/>
      <c r="X15482" s="3"/>
      <c r="Y15482" s="3"/>
      <c r="Z15482" s="3"/>
      <c r="AA15482" s="3"/>
      <c r="AB15482" s="3"/>
      <c r="AC15482" s="3"/>
      <c r="AD15482" s="3"/>
      <c r="AE15482" s="3"/>
      <c r="AF15482" s="3"/>
      <c r="AG15482" s="3"/>
      <c r="AH15482" s="3"/>
    </row>
    <row r="15483" spans="1:34" ht="14.25" customHeight="1" x14ac:dyDescent="0.25">
      <c r="A15483" s="3"/>
      <c r="B15483" s="3"/>
      <c r="C15483" s="3"/>
      <c r="D15483" s="3"/>
      <c r="E15483" s="3"/>
      <c r="F15483" s="3"/>
      <c r="G15483" s="3"/>
      <c r="H15483" s="11"/>
      <c r="I15483" s="12"/>
      <c r="J15483" s="3"/>
      <c r="K15483" s="3"/>
      <c r="L15483" s="3"/>
      <c r="M15483" s="3"/>
      <c r="N15483" s="3"/>
      <c r="O15483" s="3"/>
      <c r="P15483" s="3"/>
      <c r="Q15483" s="3"/>
      <c r="R15483" s="3"/>
      <c r="S15483" s="3"/>
      <c r="T15483" s="3"/>
      <c r="U15483" s="3"/>
      <c r="V15483" s="3"/>
      <c r="W15483" s="3"/>
      <c r="X15483" s="3"/>
      <c r="Y15483" s="3"/>
      <c r="Z15483" s="3"/>
      <c r="AA15483" s="3"/>
      <c r="AB15483" s="3"/>
      <c r="AC15483" s="3"/>
      <c r="AD15483" s="3"/>
      <c r="AE15483" s="3"/>
      <c r="AF15483" s="3"/>
      <c r="AG15483" s="3"/>
      <c r="AH15483" s="3"/>
    </row>
    <row r="15484" spans="1:34" ht="14.25" customHeight="1" x14ac:dyDescent="0.25">
      <c r="A15484" s="3"/>
      <c r="B15484" s="3"/>
      <c r="C15484" s="3"/>
      <c r="D15484" s="3"/>
      <c r="E15484" s="3"/>
      <c r="F15484" s="3"/>
      <c r="G15484" s="3"/>
      <c r="H15484" s="11"/>
      <c r="I15484" s="12"/>
      <c r="J15484" s="3"/>
      <c r="K15484" s="3"/>
      <c r="L15484" s="3"/>
      <c r="M15484" s="3"/>
      <c r="N15484" s="3"/>
      <c r="O15484" s="3"/>
      <c r="P15484" s="3"/>
      <c r="Q15484" s="3"/>
      <c r="R15484" s="3"/>
      <c r="S15484" s="3"/>
      <c r="T15484" s="3"/>
      <c r="U15484" s="3"/>
      <c r="V15484" s="3"/>
      <c r="W15484" s="3"/>
      <c r="X15484" s="3"/>
      <c r="Y15484" s="3"/>
      <c r="Z15484" s="3"/>
      <c r="AA15484" s="3"/>
      <c r="AB15484" s="3"/>
      <c r="AC15484" s="3"/>
      <c r="AD15484" s="3"/>
      <c r="AE15484" s="3"/>
      <c r="AF15484" s="3"/>
      <c r="AG15484" s="3"/>
      <c r="AH15484" s="3"/>
    </row>
    <row r="15485" spans="1:34" ht="14.25" customHeight="1" x14ac:dyDescent="0.25">
      <c r="A15485" s="3"/>
      <c r="B15485" s="3"/>
      <c r="C15485" s="3"/>
      <c r="D15485" s="3"/>
      <c r="E15485" s="3"/>
      <c r="F15485" s="3"/>
      <c r="G15485" s="3"/>
      <c r="H15485" s="11"/>
      <c r="I15485" s="12"/>
      <c r="J15485" s="3"/>
      <c r="K15485" s="3"/>
      <c r="L15485" s="3"/>
      <c r="M15485" s="3"/>
      <c r="N15485" s="3"/>
      <c r="O15485" s="3"/>
      <c r="P15485" s="3"/>
      <c r="Q15485" s="3"/>
      <c r="R15485" s="3"/>
      <c r="S15485" s="3"/>
      <c r="T15485" s="3"/>
      <c r="U15485" s="3"/>
      <c r="V15485" s="3"/>
      <c r="W15485" s="3"/>
      <c r="X15485" s="3"/>
      <c r="Y15485" s="3"/>
      <c r="Z15485" s="3"/>
      <c r="AA15485" s="3"/>
      <c r="AB15485" s="3"/>
      <c r="AC15485" s="3"/>
      <c r="AD15485" s="3"/>
      <c r="AE15485" s="3"/>
      <c r="AF15485" s="3"/>
      <c r="AG15485" s="3"/>
      <c r="AH15485" s="3"/>
    </row>
    <row r="15486" spans="1:34" ht="14.25" customHeight="1" x14ac:dyDescent="0.25">
      <c r="A15486" s="3"/>
      <c r="B15486" s="3"/>
      <c r="C15486" s="3"/>
      <c r="D15486" s="3"/>
      <c r="E15486" s="3"/>
      <c r="F15486" s="3"/>
      <c r="G15486" s="3"/>
      <c r="H15486" s="11"/>
      <c r="I15486" s="12"/>
      <c r="J15486" s="3"/>
      <c r="K15486" s="3"/>
      <c r="L15486" s="3"/>
      <c r="M15486" s="3"/>
      <c r="N15486" s="3"/>
      <c r="O15486" s="3"/>
      <c r="P15486" s="3"/>
      <c r="Q15486" s="3"/>
      <c r="R15486" s="3"/>
      <c r="S15486" s="3"/>
      <c r="T15486" s="3"/>
      <c r="U15486" s="3"/>
      <c r="V15486" s="3"/>
      <c r="W15486" s="3"/>
      <c r="X15486" s="3"/>
      <c r="Y15486" s="3"/>
      <c r="Z15486" s="3"/>
      <c r="AA15486" s="3"/>
      <c r="AB15486" s="3"/>
      <c r="AC15486" s="3"/>
      <c r="AD15486" s="3"/>
      <c r="AE15486" s="3"/>
      <c r="AF15486" s="3"/>
      <c r="AG15486" s="3"/>
      <c r="AH15486" s="3"/>
    </row>
    <row r="15487" spans="1:34" ht="14.25" customHeight="1" x14ac:dyDescent="0.25">
      <c r="A15487" s="3"/>
      <c r="B15487" s="3"/>
      <c r="C15487" s="3"/>
      <c r="D15487" s="3"/>
      <c r="E15487" s="3"/>
      <c r="F15487" s="3"/>
      <c r="G15487" s="3"/>
      <c r="H15487" s="11"/>
      <c r="I15487" s="12"/>
      <c r="J15487" s="3"/>
      <c r="K15487" s="3"/>
      <c r="L15487" s="3"/>
      <c r="M15487" s="3"/>
      <c r="N15487" s="3"/>
      <c r="O15487" s="3"/>
      <c r="P15487" s="3"/>
      <c r="Q15487" s="3"/>
      <c r="R15487" s="3"/>
      <c r="S15487" s="3"/>
      <c r="T15487" s="3"/>
      <c r="U15487" s="3"/>
      <c r="V15487" s="3"/>
      <c r="W15487" s="3"/>
      <c r="X15487" s="3"/>
      <c r="Y15487" s="3"/>
      <c r="Z15487" s="3"/>
      <c r="AA15487" s="3"/>
      <c r="AB15487" s="3"/>
      <c r="AC15487" s="3"/>
      <c r="AD15487" s="3"/>
      <c r="AE15487" s="3"/>
      <c r="AF15487" s="3"/>
      <c r="AG15487" s="3"/>
      <c r="AH15487" s="3"/>
    </row>
    <row r="15488" spans="1:34" ht="14.25" customHeight="1" x14ac:dyDescent="0.25">
      <c r="A15488" s="3"/>
      <c r="B15488" s="3"/>
      <c r="C15488" s="3"/>
      <c r="D15488" s="3"/>
      <c r="E15488" s="3"/>
      <c r="F15488" s="3"/>
      <c r="G15488" s="3"/>
      <c r="H15488" s="11"/>
      <c r="I15488" s="12"/>
      <c r="J15488" s="3"/>
      <c r="K15488" s="3"/>
      <c r="L15488" s="3"/>
      <c r="M15488" s="3"/>
      <c r="N15488" s="3"/>
      <c r="O15488" s="3"/>
      <c r="P15488" s="3"/>
      <c r="Q15488" s="3"/>
      <c r="R15488" s="3"/>
      <c r="S15488" s="3"/>
      <c r="T15488" s="3"/>
      <c r="U15488" s="3"/>
      <c r="V15488" s="3"/>
      <c r="W15488" s="3"/>
      <c r="X15488" s="3"/>
      <c r="Y15488" s="3"/>
      <c r="Z15488" s="3"/>
      <c r="AA15488" s="3"/>
      <c r="AB15488" s="3"/>
      <c r="AC15488" s="3"/>
      <c r="AD15488" s="3"/>
      <c r="AE15488" s="3"/>
      <c r="AF15488" s="3"/>
      <c r="AG15488" s="3"/>
      <c r="AH15488" s="3"/>
    </row>
    <row r="15489" spans="1:34" ht="14.25" customHeight="1" x14ac:dyDescent="0.25">
      <c r="A15489" s="3"/>
      <c r="B15489" s="3"/>
      <c r="C15489" s="3"/>
      <c r="D15489" s="3"/>
      <c r="E15489" s="3"/>
      <c r="F15489" s="3"/>
      <c r="G15489" s="3"/>
      <c r="H15489" s="11"/>
      <c r="I15489" s="12"/>
      <c r="J15489" s="3"/>
      <c r="K15489" s="3"/>
      <c r="L15489" s="3"/>
      <c r="M15489" s="3"/>
      <c r="N15489" s="3"/>
      <c r="O15489" s="3"/>
      <c r="P15489" s="3"/>
      <c r="Q15489" s="3"/>
      <c r="R15489" s="3"/>
      <c r="S15489" s="3"/>
      <c r="T15489" s="3"/>
      <c r="U15489" s="3"/>
      <c r="V15489" s="3"/>
      <c r="W15489" s="3"/>
      <c r="X15489" s="3"/>
      <c r="Y15489" s="3"/>
      <c r="Z15489" s="3"/>
      <c r="AA15489" s="3"/>
      <c r="AB15489" s="3"/>
      <c r="AC15489" s="3"/>
      <c r="AD15489" s="3"/>
      <c r="AE15489" s="3"/>
      <c r="AF15489" s="3"/>
      <c r="AG15489" s="3"/>
      <c r="AH15489" s="3"/>
    </row>
    <row r="15490" spans="1:34" ht="14.25" customHeight="1" x14ac:dyDescent="0.25">
      <c r="A15490" s="3"/>
      <c r="B15490" s="3"/>
      <c r="C15490" s="3"/>
      <c r="D15490" s="3"/>
      <c r="E15490" s="3"/>
      <c r="F15490" s="3"/>
      <c r="G15490" s="3"/>
      <c r="H15490" s="11"/>
      <c r="I15490" s="12"/>
      <c r="J15490" s="3"/>
      <c r="K15490" s="3"/>
      <c r="L15490" s="3"/>
      <c r="M15490" s="3"/>
      <c r="N15490" s="3"/>
      <c r="O15490" s="3"/>
      <c r="P15490" s="3"/>
      <c r="Q15490" s="3"/>
      <c r="R15490" s="3"/>
      <c r="S15490" s="3"/>
      <c r="T15490" s="3"/>
      <c r="U15490" s="3"/>
      <c r="V15490" s="3"/>
      <c r="W15490" s="3"/>
      <c r="X15490" s="3"/>
      <c r="Y15490" s="3"/>
      <c r="Z15490" s="3"/>
      <c r="AA15490" s="3"/>
      <c r="AB15490" s="3"/>
      <c r="AC15490" s="3"/>
      <c r="AD15490" s="3"/>
      <c r="AE15490" s="3"/>
      <c r="AF15490" s="3"/>
      <c r="AG15490" s="3"/>
      <c r="AH15490" s="3"/>
    </row>
    <row r="15491" spans="1:34" ht="14.25" customHeight="1" x14ac:dyDescent="0.25">
      <c r="A15491" s="3"/>
      <c r="B15491" s="3"/>
      <c r="C15491" s="3"/>
      <c r="D15491" s="3"/>
      <c r="E15491" s="3"/>
      <c r="F15491" s="3"/>
      <c r="G15491" s="3"/>
      <c r="H15491" s="11"/>
      <c r="I15491" s="12"/>
      <c r="J15491" s="3"/>
      <c r="K15491" s="3"/>
      <c r="L15491" s="3"/>
      <c r="M15491" s="3"/>
      <c r="N15491" s="3"/>
      <c r="O15491" s="3"/>
      <c r="P15491" s="3"/>
      <c r="Q15491" s="3"/>
      <c r="R15491" s="3"/>
      <c r="S15491" s="3"/>
      <c r="T15491" s="3"/>
      <c r="U15491" s="3"/>
      <c r="V15491" s="3"/>
      <c r="W15491" s="3"/>
      <c r="X15491" s="3"/>
      <c r="Y15491" s="3"/>
      <c r="Z15491" s="3"/>
      <c r="AA15491" s="3"/>
      <c r="AB15491" s="3"/>
      <c r="AC15491" s="3"/>
      <c r="AD15491" s="3"/>
      <c r="AE15491" s="3"/>
      <c r="AF15491" s="3"/>
      <c r="AG15491" s="3"/>
      <c r="AH15491" s="3"/>
    </row>
    <row r="15492" spans="1:34" ht="14.25" customHeight="1" x14ac:dyDescent="0.25">
      <c r="A15492" s="3"/>
      <c r="B15492" s="3"/>
      <c r="C15492" s="3"/>
      <c r="D15492" s="3"/>
      <c r="E15492" s="3"/>
      <c r="F15492" s="3"/>
      <c r="G15492" s="3"/>
      <c r="H15492" s="11"/>
      <c r="I15492" s="12"/>
      <c r="J15492" s="3"/>
      <c r="K15492" s="3"/>
      <c r="L15492" s="3"/>
      <c r="M15492" s="3"/>
      <c r="N15492" s="3"/>
      <c r="O15492" s="3"/>
      <c r="P15492" s="3"/>
      <c r="Q15492" s="3"/>
      <c r="R15492" s="3"/>
      <c r="S15492" s="3"/>
      <c r="T15492" s="3"/>
      <c r="U15492" s="3"/>
      <c r="V15492" s="3"/>
      <c r="W15492" s="3"/>
      <c r="X15492" s="3"/>
      <c r="Y15492" s="3"/>
      <c r="Z15492" s="3"/>
      <c r="AA15492" s="3"/>
      <c r="AB15492" s="3"/>
      <c r="AC15492" s="3"/>
      <c r="AD15492" s="3"/>
      <c r="AE15492" s="3"/>
      <c r="AF15492" s="3"/>
      <c r="AG15492" s="3"/>
      <c r="AH15492" s="3"/>
    </row>
    <row r="15493" spans="1:34" ht="14.25" customHeight="1" x14ac:dyDescent="0.25">
      <c r="A15493" s="3"/>
      <c r="B15493" s="3"/>
      <c r="C15493" s="3"/>
      <c r="D15493" s="3"/>
      <c r="E15493" s="3"/>
      <c r="F15493" s="3"/>
      <c r="G15493" s="3"/>
      <c r="H15493" s="11"/>
      <c r="I15493" s="12"/>
      <c r="J15493" s="3"/>
      <c r="K15493" s="3"/>
      <c r="L15493" s="3"/>
      <c r="M15493" s="3"/>
      <c r="N15493" s="3"/>
      <c r="O15493" s="3"/>
      <c r="P15493" s="3"/>
      <c r="Q15493" s="3"/>
      <c r="R15493" s="3"/>
      <c r="S15493" s="3"/>
      <c r="T15493" s="3"/>
      <c r="U15493" s="3"/>
      <c r="V15493" s="3"/>
      <c r="W15493" s="3"/>
      <c r="X15493" s="3"/>
      <c r="Y15493" s="3"/>
      <c r="Z15493" s="3"/>
      <c r="AA15493" s="3"/>
      <c r="AB15493" s="3"/>
      <c r="AC15493" s="3"/>
      <c r="AD15493" s="3"/>
      <c r="AE15493" s="3"/>
      <c r="AF15493" s="3"/>
      <c r="AG15493" s="3"/>
      <c r="AH15493" s="3"/>
    </row>
    <row r="15494" spans="1:34" ht="14.25" customHeight="1" x14ac:dyDescent="0.25">
      <c r="A15494" s="3"/>
      <c r="B15494" s="3"/>
      <c r="C15494" s="3"/>
      <c r="D15494" s="3"/>
      <c r="E15494" s="3"/>
      <c r="F15494" s="3"/>
      <c r="G15494" s="3"/>
      <c r="H15494" s="11"/>
      <c r="I15494" s="12"/>
      <c r="J15494" s="3"/>
      <c r="K15494" s="3"/>
      <c r="L15494" s="3"/>
      <c r="M15494" s="3"/>
      <c r="N15494" s="3"/>
      <c r="O15494" s="3"/>
      <c r="P15494" s="3"/>
      <c r="Q15494" s="3"/>
      <c r="R15494" s="3"/>
      <c r="S15494" s="3"/>
      <c r="T15494" s="3"/>
      <c r="U15494" s="3"/>
      <c r="V15494" s="3"/>
      <c r="W15494" s="3"/>
      <c r="X15494" s="3"/>
      <c r="Y15494" s="3"/>
      <c r="Z15494" s="3"/>
      <c r="AA15494" s="3"/>
      <c r="AB15494" s="3"/>
      <c r="AC15494" s="3"/>
      <c r="AD15494" s="3"/>
      <c r="AE15494" s="3"/>
      <c r="AF15494" s="3"/>
      <c r="AG15494" s="3"/>
      <c r="AH15494" s="3"/>
    </row>
    <row r="15495" spans="1:34" ht="14.25" customHeight="1" x14ac:dyDescent="0.25">
      <c r="A15495" s="3"/>
      <c r="B15495" s="3"/>
      <c r="C15495" s="3"/>
      <c r="D15495" s="3"/>
      <c r="E15495" s="3"/>
      <c r="F15495" s="3"/>
      <c r="G15495" s="3"/>
      <c r="H15495" s="11"/>
      <c r="I15495" s="12"/>
      <c r="J15495" s="3"/>
      <c r="K15495" s="3"/>
      <c r="L15495" s="3"/>
      <c r="M15495" s="3"/>
      <c r="N15495" s="3"/>
      <c r="O15495" s="3"/>
      <c r="P15495" s="3"/>
      <c r="Q15495" s="3"/>
      <c r="R15495" s="3"/>
      <c r="S15495" s="3"/>
      <c r="T15495" s="3"/>
      <c r="U15495" s="3"/>
      <c r="V15495" s="3"/>
      <c r="W15495" s="3"/>
      <c r="X15495" s="3"/>
      <c r="Y15495" s="3"/>
      <c r="Z15495" s="3"/>
      <c r="AA15495" s="3"/>
      <c r="AB15495" s="3"/>
      <c r="AC15495" s="3"/>
      <c r="AD15495" s="3"/>
      <c r="AE15495" s="3"/>
      <c r="AF15495" s="3"/>
      <c r="AG15495" s="3"/>
      <c r="AH15495" s="3"/>
    </row>
    <row r="15496" spans="1:34" ht="14.25" customHeight="1" x14ac:dyDescent="0.25">
      <c r="A15496" s="3"/>
      <c r="B15496" s="3"/>
      <c r="C15496" s="3"/>
      <c r="D15496" s="3"/>
      <c r="E15496" s="3"/>
      <c r="F15496" s="3"/>
      <c r="G15496" s="3"/>
      <c r="H15496" s="11"/>
      <c r="I15496" s="12"/>
      <c r="J15496" s="3"/>
      <c r="K15496" s="3"/>
      <c r="L15496" s="3"/>
      <c r="M15496" s="3"/>
      <c r="N15496" s="3"/>
      <c r="O15496" s="3"/>
      <c r="P15496" s="3"/>
      <c r="Q15496" s="3"/>
      <c r="R15496" s="3"/>
      <c r="S15496" s="3"/>
      <c r="T15496" s="3"/>
      <c r="U15496" s="3"/>
      <c r="V15496" s="3"/>
      <c r="W15496" s="3"/>
      <c r="X15496" s="3"/>
      <c r="Y15496" s="3"/>
      <c r="Z15496" s="3"/>
      <c r="AA15496" s="3"/>
      <c r="AB15496" s="3"/>
      <c r="AC15496" s="3"/>
      <c r="AD15496" s="3"/>
      <c r="AE15496" s="3"/>
      <c r="AF15496" s="3"/>
      <c r="AG15496" s="3"/>
      <c r="AH15496" s="3"/>
    </row>
    <row r="15497" spans="1:34" ht="14.25" customHeight="1" x14ac:dyDescent="0.25">
      <c r="A15497" s="3"/>
      <c r="B15497" s="3"/>
      <c r="C15497" s="3"/>
      <c r="D15497" s="3"/>
      <c r="E15497" s="3"/>
      <c r="F15497" s="3"/>
      <c r="G15497" s="3"/>
      <c r="H15497" s="11"/>
      <c r="I15497" s="12"/>
      <c r="J15497" s="3"/>
      <c r="K15497" s="3"/>
      <c r="L15497" s="3"/>
      <c r="M15497" s="3"/>
      <c r="N15497" s="3"/>
      <c r="O15497" s="3"/>
      <c r="P15497" s="3"/>
      <c r="Q15497" s="3"/>
      <c r="R15497" s="3"/>
      <c r="S15497" s="3"/>
      <c r="T15497" s="3"/>
      <c r="U15497" s="3"/>
      <c r="V15497" s="3"/>
      <c r="W15497" s="3"/>
      <c r="X15497" s="3"/>
      <c r="Y15497" s="3"/>
      <c r="Z15497" s="3"/>
      <c r="AA15497" s="3"/>
      <c r="AB15497" s="3"/>
      <c r="AC15497" s="3"/>
      <c r="AD15497" s="3"/>
      <c r="AE15497" s="3"/>
      <c r="AF15497" s="3"/>
      <c r="AG15497" s="3"/>
      <c r="AH15497" s="3"/>
    </row>
    <row r="15498" spans="1:34" ht="14.25" customHeight="1" x14ac:dyDescent="0.25">
      <c r="A15498" s="3"/>
      <c r="B15498" s="3"/>
      <c r="C15498" s="3"/>
      <c r="D15498" s="3"/>
      <c r="E15498" s="3"/>
      <c r="F15498" s="3"/>
      <c r="G15498" s="3"/>
      <c r="H15498" s="11"/>
      <c r="I15498" s="12"/>
      <c r="J15498" s="3"/>
      <c r="K15498" s="3"/>
      <c r="L15498" s="3"/>
      <c r="M15498" s="3"/>
      <c r="N15498" s="3"/>
      <c r="O15498" s="3"/>
      <c r="P15498" s="3"/>
      <c r="Q15498" s="3"/>
      <c r="R15498" s="3"/>
      <c r="S15498" s="3"/>
      <c r="T15498" s="3"/>
      <c r="U15498" s="3"/>
      <c r="V15498" s="3"/>
      <c r="W15498" s="3"/>
      <c r="X15498" s="3"/>
      <c r="Y15498" s="3"/>
      <c r="Z15498" s="3"/>
      <c r="AA15498" s="3"/>
      <c r="AB15498" s="3"/>
      <c r="AC15498" s="3"/>
      <c r="AD15498" s="3"/>
      <c r="AE15498" s="3"/>
      <c r="AF15498" s="3"/>
      <c r="AG15498" s="3"/>
      <c r="AH15498" s="3"/>
    </row>
    <row r="15499" spans="1:34" ht="14.25" customHeight="1" x14ac:dyDescent="0.25">
      <c r="A15499" s="3"/>
      <c r="B15499" s="3"/>
      <c r="C15499" s="3"/>
      <c r="D15499" s="3"/>
      <c r="E15499" s="3"/>
      <c r="F15499" s="3"/>
      <c r="G15499" s="3"/>
      <c r="H15499" s="11"/>
      <c r="I15499" s="12"/>
      <c r="J15499" s="3"/>
      <c r="K15499" s="3"/>
      <c r="L15499" s="3"/>
      <c r="M15499" s="3"/>
      <c r="N15499" s="3"/>
      <c r="O15499" s="3"/>
      <c r="P15499" s="3"/>
      <c r="Q15499" s="3"/>
      <c r="R15499" s="3"/>
      <c r="S15499" s="3"/>
      <c r="T15499" s="3"/>
      <c r="U15499" s="3"/>
      <c r="V15499" s="3"/>
      <c r="W15499" s="3"/>
      <c r="X15499" s="3"/>
      <c r="Y15499" s="3"/>
      <c r="Z15499" s="3"/>
      <c r="AA15499" s="3"/>
      <c r="AB15499" s="3"/>
      <c r="AC15499" s="3"/>
      <c r="AD15499" s="3"/>
      <c r="AE15499" s="3"/>
      <c r="AF15499" s="3"/>
      <c r="AG15499" s="3"/>
      <c r="AH15499" s="3"/>
    </row>
    <row r="15500" spans="1:34" ht="14.25" customHeight="1" x14ac:dyDescent="0.25">
      <c r="A15500" s="3"/>
      <c r="B15500" s="3"/>
      <c r="C15500" s="3"/>
      <c r="D15500" s="3"/>
      <c r="E15500" s="3"/>
      <c r="F15500" s="3"/>
      <c r="G15500" s="3"/>
      <c r="H15500" s="11"/>
      <c r="I15500" s="12"/>
      <c r="J15500" s="3"/>
      <c r="K15500" s="3"/>
      <c r="L15500" s="3"/>
      <c r="M15500" s="3"/>
      <c r="N15500" s="3"/>
      <c r="O15500" s="3"/>
      <c r="P15500" s="3"/>
      <c r="Q15500" s="3"/>
      <c r="R15500" s="3"/>
      <c r="S15500" s="3"/>
      <c r="T15500" s="3"/>
      <c r="U15500" s="3"/>
      <c r="V15500" s="3"/>
      <c r="W15500" s="3"/>
      <c r="X15500" s="3"/>
      <c r="Y15500" s="3"/>
      <c r="Z15500" s="3"/>
      <c r="AA15500" s="3"/>
      <c r="AB15500" s="3"/>
      <c r="AC15500" s="3"/>
      <c r="AD15500" s="3"/>
      <c r="AE15500" s="3"/>
      <c r="AF15500" s="3"/>
      <c r="AG15500" s="3"/>
      <c r="AH15500" s="3"/>
    </row>
    <row r="15501" spans="1:34" ht="14.25" customHeight="1" x14ac:dyDescent="0.25">
      <c r="A15501" s="3"/>
      <c r="B15501" s="3"/>
      <c r="C15501" s="3"/>
      <c r="D15501" s="3"/>
      <c r="E15501" s="3"/>
      <c r="F15501" s="3"/>
      <c r="G15501" s="3"/>
      <c r="H15501" s="11"/>
      <c r="I15501" s="12"/>
      <c r="J15501" s="3"/>
      <c r="K15501" s="3"/>
      <c r="L15501" s="3"/>
      <c r="M15501" s="3"/>
      <c r="N15501" s="3"/>
      <c r="O15501" s="3"/>
      <c r="P15501" s="3"/>
      <c r="Q15501" s="3"/>
      <c r="R15501" s="3"/>
      <c r="S15501" s="3"/>
      <c r="T15501" s="3"/>
      <c r="U15501" s="3"/>
      <c r="V15501" s="3"/>
      <c r="W15501" s="3"/>
      <c r="X15501" s="3"/>
      <c r="Y15501" s="3"/>
      <c r="Z15501" s="3"/>
      <c r="AA15501" s="3"/>
      <c r="AB15501" s="3"/>
      <c r="AC15501" s="3"/>
      <c r="AD15501" s="3"/>
      <c r="AE15501" s="3"/>
      <c r="AF15501" s="3"/>
      <c r="AG15501" s="3"/>
      <c r="AH15501" s="3"/>
    </row>
    <row r="15502" spans="1:34" ht="14.25" customHeight="1" x14ac:dyDescent="0.25">
      <c r="A15502" s="3"/>
      <c r="B15502" s="3"/>
      <c r="C15502" s="3"/>
      <c r="D15502" s="3"/>
      <c r="E15502" s="3"/>
      <c r="F15502" s="3"/>
      <c r="G15502" s="3"/>
      <c r="H15502" s="11"/>
      <c r="I15502" s="12"/>
      <c r="J15502" s="3"/>
      <c r="K15502" s="3"/>
      <c r="L15502" s="3"/>
      <c r="M15502" s="3"/>
      <c r="N15502" s="3"/>
      <c r="O15502" s="3"/>
      <c r="P15502" s="3"/>
      <c r="Q15502" s="3"/>
      <c r="R15502" s="3"/>
      <c r="S15502" s="3"/>
      <c r="T15502" s="3"/>
      <c r="U15502" s="3"/>
      <c r="V15502" s="3"/>
      <c r="W15502" s="3"/>
      <c r="X15502" s="3"/>
      <c r="Y15502" s="3"/>
      <c r="Z15502" s="3"/>
      <c r="AA15502" s="3"/>
      <c r="AB15502" s="3"/>
      <c r="AC15502" s="3"/>
      <c r="AD15502" s="3"/>
      <c r="AE15502" s="3"/>
      <c r="AF15502" s="3"/>
      <c r="AG15502" s="3"/>
      <c r="AH15502" s="3"/>
    </row>
    <row r="15503" spans="1:34" ht="14.25" customHeight="1" x14ac:dyDescent="0.25">
      <c r="A15503" s="3"/>
      <c r="B15503" s="3"/>
      <c r="C15503" s="3"/>
      <c r="D15503" s="3"/>
      <c r="E15503" s="3"/>
      <c r="F15503" s="3"/>
      <c r="G15503" s="3"/>
      <c r="H15503" s="11"/>
      <c r="I15503" s="12"/>
      <c r="J15503" s="3"/>
      <c r="K15503" s="3"/>
      <c r="L15503" s="3"/>
      <c r="M15503" s="3"/>
      <c r="N15503" s="3"/>
      <c r="O15503" s="3"/>
      <c r="P15503" s="3"/>
      <c r="Q15503" s="3"/>
      <c r="R15503" s="3"/>
      <c r="S15503" s="3"/>
      <c r="T15503" s="3"/>
      <c r="U15503" s="3"/>
      <c r="V15503" s="3"/>
      <c r="W15503" s="3"/>
      <c r="X15503" s="3"/>
      <c r="Y15503" s="3"/>
      <c r="Z15503" s="3"/>
      <c r="AA15503" s="3"/>
      <c r="AB15503" s="3"/>
      <c r="AC15503" s="3"/>
      <c r="AD15503" s="3"/>
      <c r="AE15503" s="3"/>
      <c r="AF15503" s="3"/>
      <c r="AG15503" s="3"/>
      <c r="AH15503" s="3"/>
    </row>
    <row r="15504" spans="1:34" ht="14.25" customHeight="1" x14ac:dyDescent="0.25">
      <c r="A15504" s="3"/>
      <c r="B15504" s="3"/>
      <c r="C15504" s="3"/>
      <c r="D15504" s="3"/>
      <c r="E15504" s="3"/>
      <c r="F15504" s="3"/>
      <c r="G15504" s="3"/>
      <c r="H15504" s="11"/>
      <c r="I15504" s="12"/>
      <c r="J15504" s="3"/>
      <c r="K15504" s="3"/>
      <c r="L15504" s="3"/>
      <c r="M15504" s="3"/>
      <c r="N15504" s="3"/>
      <c r="O15504" s="3"/>
      <c r="P15504" s="3"/>
      <c r="Q15504" s="3"/>
      <c r="R15504" s="3"/>
      <c r="S15504" s="3"/>
      <c r="T15504" s="3"/>
      <c r="U15504" s="3"/>
      <c r="V15504" s="3"/>
      <c r="W15504" s="3"/>
      <c r="X15504" s="3"/>
      <c r="Y15504" s="3"/>
      <c r="Z15504" s="3"/>
      <c r="AA15504" s="3"/>
      <c r="AB15504" s="3"/>
      <c r="AC15504" s="3"/>
      <c r="AD15504" s="3"/>
      <c r="AE15504" s="3"/>
      <c r="AF15504" s="3"/>
      <c r="AG15504" s="3"/>
      <c r="AH15504" s="3"/>
    </row>
    <row r="15505" spans="1:34" ht="14.25" customHeight="1" x14ac:dyDescent="0.25">
      <c r="A15505" s="3"/>
      <c r="B15505" s="3"/>
      <c r="C15505" s="3"/>
      <c r="D15505" s="3"/>
      <c r="E15505" s="3"/>
      <c r="F15505" s="3"/>
      <c r="G15505" s="3"/>
      <c r="H15505" s="11"/>
      <c r="I15505" s="12"/>
      <c r="J15505" s="3"/>
      <c r="K15505" s="3"/>
      <c r="L15505" s="3"/>
      <c r="M15505" s="3"/>
      <c r="N15505" s="3"/>
      <c r="O15505" s="3"/>
      <c r="P15505" s="3"/>
      <c r="Q15505" s="3"/>
      <c r="R15505" s="3"/>
      <c r="S15505" s="3"/>
      <c r="T15505" s="3"/>
      <c r="U15505" s="3"/>
      <c r="V15505" s="3"/>
      <c r="W15505" s="3"/>
      <c r="X15505" s="3"/>
      <c r="Y15505" s="3"/>
      <c r="Z15505" s="3"/>
      <c r="AA15505" s="3"/>
      <c r="AB15505" s="3"/>
      <c r="AC15505" s="3"/>
      <c r="AD15505" s="3"/>
      <c r="AE15505" s="3"/>
      <c r="AF15505" s="3"/>
      <c r="AG15505" s="3"/>
      <c r="AH15505" s="3"/>
    </row>
    <row r="15506" spans="1:34" ht="14.25" customHeight="1" x14ac:dyDescent="0.25">
      <c r="A15506" s="3"/>
      <c r="B15506" s="3"/>
      <c r="C15506" s="3"/>
      <c r="D15506" s="3"/>
      <c r="E15506" s="3"/>
      <c r="F15506" s="3"/>
      <c r="G15506" s="3"/>
      <c r="H15506" s="11"/>
      <c r="I15506" s="12"/>
      <c r="J15506" s="3"/>
      <c r="K15506" s="3"/>
      <c r="L15506" s="3"/>
      <c r="M15506" s="3"/>
      <c r="N15506" s="3"/>
      <c r="O15506" s="3"/>
      <c r="P15506" s="3"/>
      <c r="Q15506" s="3"/>
      <c r="R15506" s="3"/>
      <c r="S15506" s="3"/>
      <c r="T15506" s="3"/>
      <c r="U15506" s="3"/>
      <c r="V15506" s="3"/>
      <c r="W15506" s="3"/>
      <c r="X15506" s="3"/>
      <c r="Y15506" s="3"/>
      <c r="Z15506" s="3"/>
      <c r="AA15506" s="3"/>
      <c r="AB15506" s="3"/>
      <c r="AC15506" s="3"/>
      <c r="AD15506" s="3"/>
      <c r="AE15506" s="3"/>
      <c r="AF15506" s="3"/>
      <c r="AG15506" s="3"/>
      <c r="AH15506" s="3"/>
    </row>
    <row r="15507" spans="1:34" ht="14.25" customHeight="1" x14ac:dyDescent="0.25">
      <c r="A15507" s="3"/>
      <c r="B15507" s="3"/>
      <c r="C15507" s="3"/>
      <c r="D15507" s="3"/>
      <c r="E15507" s="3"/>
      <c r="F15507" s="3"/>
      <c r="G15507" s="3"/>
      <c r="H15507" s="11"/>
      <c r="I15507" s="12"/>
      <c r="J15507" s="3"/>
      <c r="K15507" s="3"/>
      <c r="L15507" s="3"/>
      <c r="M15507" s="3"/>
      <c r="N15507" s="3"/>
      <c r="O15507" s="3"/>
      <c r="P15507" s="3"/>
      <c r="Q15507" s="3"/>
      <c r="R15507" s="3"/>
      <c r="S15507" s="3"/>
      <c r="T15507" s="3"/>
      <c r="U15507" s="3"/>
      <c r="V15507" s="3"/>
      <c r="W15507" s="3"/>
      <c r="X15507" s="3"/>
      <c r="Y15507" s="3"/>
      <c r="Z15507" s="3"/>
      <c r="AA15507" s="3"/>
      <c r="AB15507" s="3"/>
      <c r="AC15507" s="3"/>
      <c r="AD15507" s="3"/>
      <c r="AE15507" s="3"/>
      <c r="AF15507" s="3"/>
      <c r="AG15507" s="3"/>
      <c r="AH15507" s="3"/>
    </row>
    <row r="15508" spans="1:34" ht="14.25" customHeight="1" x14ac:dyDescent="0.25">
      <c r="A15508" s="3"/>
      <c r="B15508" s="3"/>
      <c r="C15508" s="3"/>
      <c r="D15508" s="3"/>
      <c r="E15508" s="3"/>
      <c r="F15508" s="3"/>
      <c r="G15508" s="3"/>
      <c r="H15508" s="11"/>
      <c r="I15508" s="12"/>
      <c r="J15508" s="3"/>
      <c r="K15508" s="3"/>
      <c r="L15508" s="3"/>
      <c r="M15508" s="3"/>
      <c r="N15508" s="3"/>
      <c r="O15508" s="3"/>
      <c r="P15508" s="3"/>
      <c r="Q15508" s="3"/>
      <c r="R15508" s="3"/>
      <c r="S15508" s="3"/>
      <c r="T15508" s="3"/>
      <c r="U15508" s="3"/>
      <c r="V15508" s="3"/>
      <c r="W15508" s="3"/>
      <c r="X15508" s="3"/>
      <c r="Y15508" s="3"/>
      <c r="Z15508" s="3"/>
      <c r="AA15508" s="3"/>
      <c r="AB15508" s="3"/>
      <c r="AC15508" s="3"/>
      <c r="AD15508" s="3"/>
      <c r="AE15508" s="3"/>
      <c r="AF15508" s="3"/>
      <c r="AG15508" s="3"/>
      <c r="AH15508" s="3"/>
    </row>
    <row r="15509" spans="1:34" ht="14.25" customHeight="1" x14ac:dyDescent="0.25">
      <c r="A15509" s="3"/>
      <c r="B15509" s="3"/>
      <c r="C15509" s="3"/>
      <c r="D15509" s="3"/>
      <c r="E15509" s="3"/>
      <c r="F15509" s="3"/>
      <c r="G15509" s="3"/>
      <c r="H15509" s="11"/>
      <c r="I15509" s="12"/>
      <c r="J15509" s="3"/>
      <c r="K15509" s="3"/>
      <c r="L15509" s="3"/>
      <c r="M15509" s="3"/>
      <c r="N15509" s="3"/>
      <c r="O15509" s="3"/>
      <c r="P15509" s="3"/>
      <c r="Q15509" s="3"/>
      <c r="R15509" s="3"/>
      <c r="S15509" s="3"/>
      <c r="T15509" s="3"/>
      <c r="U15509" s="3"/>
      <c r="V15509" s="3"/>
      <c r="W15509" s="3"/>
      <c r="X15509" s="3"/>
      <c r="Y15509" s="3"/>
      <c r="Z15509" s="3"/>
      <c r="AA15509" s="3"/>
      <c r="AB15509" s="3"/>
      <c r="AC15509" s="3"/>
      <c r="AD15509" s="3"/>
      <c r="AE15509" s="3"/>
      <c r="AF15509" s="3"/>
      <c r="AG15509" s="3"/>
      <c r="AH15509" s="3"/>
    </row>
    <row r="15510" spans="1:34" ht="14.25" customHeight="1" x14ac:dyDescent="0.25">
      <c r="A15510" s="3"/>
      <c r="B15510" s="3"/>
      <c r="C15510" s="3"/>
      <c r="D15510" s="3"/>
      <c r="E15510" s="3"/>
      <c r="F15510" s="3"/>
      <c r="G15510" s="3"/>
      <c r="H15510" s="11"/>
      <c r="I15510" s="12"/>
      <c r="J15510" s="3"/>
      <c r="K15510" s="3"/>
      <c r="L15510" s="3"/>
      <c r="M15510" s="3"/>
      <c r="N15510" s="3"/>
      <c r="O15510" s="3"/>
      <c r="P15510" s="3"/>
      <c r="Q15510" s="3"/>
      <c r="R15510" s="3"/>
      <c r="S15510" s="3"/>
      <c r="T15510" s="3"/>
      <c r="U15510" s="3"/>
      <c r="V15510" s="3"/>
      <c r="W15510" s="3"/>
      <c r="X15510" s="3"/>
      <c r="Y15510" s="3"/>
      <c r="Z15510" s="3"/>
      <c r="AA15510" s="3"/>
      <c r="AB15510" s="3"/>
      <c r="AC15510" s="3"/>
      <c r="AD15510" s="3"/>
      <c r="AE15510" s="3"/>
      <c r="AF15510" s="3"/>
      <c r="AG15510" s="3"/>
      <c r="AH15510" s="3"/>
    </row>
    <row r="15511" spans="1:34" ht="14.25" customHeight="1" x14ac:dyDescent="0.25">
      <c r="A15511" s="3"/>
      <c r="B15511" s="3"/>
      <c r="C15511" s="3"/>
      <c r="D15511" s="3"/>
      <c r="E15511" s="3"/>
      <c r="F15511" s="3"/>
      <c r="G15511" s="3"/>
      <c r="H15511" s="11"/>
      <c r="I15511" s="12"/>
      <c r="J15511" s="3"/>
      <c r="K15511" s="3"/>
      <c r="L15511" s="3"/>
      <c r="M15511" s="3"/>
      <c r="N15511" s="3"/>
      <c r="O15511" s="3"/>
      <c r="P15511" s="3"/>
      <c r="Q15511" s="3"/>
      <c r="R15511" s="3"/>
      <c r="S15511" s="3"/>
      <c r="T15511" s="3"/>
      <c r="U15511" s="3"/>
      <c r="V15511" s="3"/>
      <c r="W15511" s="3"/>
      <c r="X15511" s="3"/>
      <c r="Y15511" s="3"/>
      <c r="Z15511" s="3"/>
      <c r="AA15511" s="3"/>
      <c r="AB15511" s="3"/>
      <c r="AC15511" s="3"/>
      <c r="AD15511" s="3"/>
      <c r="AE15511" s="3"/>
      <c r="AF15511" s="3"/>
      <c r="AG15511" s="3"/>
      <c r="AH15511" s="3"/>
    </row>
    <row r="15512" spans="1:34" ht="14.25" customHeight="1" x14ac:dyDescent="0.25">
      <c r="A15512" s="3"/>
      <c r="B15512" s="3"/>
      <c r="C15512" s="3"/>
      <c r="D15512" s="3"/>
      <c r="E15512" s="3"/>
      <c r="F15512" s="3"/>
      <c r="G15512" s="3"/>
      <c r="H15512" s="11"/>
      <c r="I15512" s="12"/>
      <c r="J15512" s="3"/>
      <c r="K15512" s="3"/>
      <c r="L15512" s="3"/>
      <c r="M15512" s="3"/>
      <c r="N15512" s="3"/>
      <c r="O15512" s="3"/>
      <c r="P15512" s="3"/>
      <c r="Q15512" s="3"/>
      <c r="R15512" s="3"/>
      <c r="S15512" s="3"/>
      <c r="T15512" s="3"/>
      <c r="U15512" s="3"/>
      <c r="V15512" s="3"/>
      <c r="W15512" s="3"/>
      <c r="X15512" s="3"/>
      <c r="Y15512" s="3"/>
      <c r="Z15512" s="3"/>
      <c r="AA15512" s="3"/>
      <c r="AB15512" s="3"/>
      <c r="AC15512" s="3"/>
      <c r="AD15512" s="3"/>
      <c r="AE15512" s="3"/>
      <c r="AF15512" s="3"/>
      <c r="AG15512" s="3"/>
      <c r="AH15512" s="3"/>
    </row>
    <row r="15513" spans="1:34" ht="14.25" customHeight="1" x14ac:dyDescent="0.25">
      <c r="A15513" s="3"/>
      <c r="B15513" s="3"/>
      <c r="C15513" s="3"/>
      <c r="D15513" s="3"/>
      <c r="E15513" s="3"/>
      <c r="F15513" s="3"/>
      <c r="G15513" s="3"/>
      <c r="H15513" s="11"/>
      <c r="I15513" s="12"/>
      <c r="J15513" s="3"/>
      <c r="K15513" s="3"/>
      <c r="L15513" s="3"/>
      <c r="M15513" s="3"/>
      <c r="N15513" s="3"/>
      <c r="O15513" s="3"/>
      <c r="P15513" s="3"/>
      <c r="Q15513" s="3"/>
      <c r="R15513" s="3"/>
      <c r="S15513" s="3"/>
      <c r="T15513" s="3"/>
      <c r="U15513" s="3"/>
      <c r="V15513" s="3"/>
      <c r="W15513" s="3"/>
      <c r="X15513" s="3"/>
      <c r="Y15513" s="3"/>
      <c r="Z15513" s="3"/>
      <c r="AA15513" s="3"/>
      <c r="AB15513" s="3"/>
      <c r="AC15513" s="3"/>
      <c r="AD15513" s="3"/>
      <c r="AE15513" s="3"/>
      <c r="AF15513" s="3"/>
      <c r="AG15513" s="3"/>
      <c r="AH15513" s="3"/>
    </row>
    <row r="15514" spans="1:34" ht="14.25" customHeight="1" x14ac:dyDescent="0.25">
      <c r="A15514" s="3"/>
      <c r="B15514" s="3"/>
      <c r="C15514" s="3"/>
      <c r="D15514" s="3"/>
      <c r="E15514" s="3"/>
      <c r="F15514" s="3"/>
      <c r="G15514" s="3"/>
      <c r="H15514" s="11"/>
      <c r="I15514" s="12"/>
      <c r="J15514" s="3"/>
      <c r="K15514" s="3"/>
      <c r="L15514" s="3"/>
      <c r="M15514" s="3"/>
      <c r="N15514" s="3"/>
      <c r="O15514" s="3"/>
      <c r="P15514" s="3"/>
      <c r="Q15514" s="3"/>
      <c r="R15514" s="3"/>
      <c r="S15514" s="3"/>
      <c r="T15514" s="3"/>
      <c r="U15514" s="3"/>
      <c r="V15514" s="3"/>
      <c r="W15514" s="3"/>
      <c r="X15514" s="3"/>
      <c r="Y15514" s="3"/>
      <c r="Z15514" s="3"/>
      <c r="AA15514" s="3"/>
      <c r="AB15514" s="3"/>
      <c r="AC15514" s="3"/>
      <c r="AD15514" s="3"/>
      <c r="AE15514" s="3"/>
      <c r="AF15514" s="3"/>
      <c r="AG15514" s="3"/>
      <c r="AH15514" s="3"/>
    </row>
    <row r="15515" spans="1:34" ht="14.25" customHeight="1" x14ac:dyDescent="0.25">
      <c r="A15515" s="3"/>
      <c r="B15515" s="3"/>
      <c r="C15515" s="3"/>
      <c r="D15515" s="3"/>
      <c r="E15515" s="3"/>
      <c r="F15515" s="3"/>
      <c r="G15515" s="3"/>
      <c r="H15515" s="11"/>
      <c r="I15515" s="12"/>
      <c r="J15515" s="3"/>
      <c r="K15515" s="3"/>
      <c r="L15515" s="3"/>
      <c r="M15515" s="3"/>
      <c r="N15515" s="3"/>
      <c r="O15515" s="3"/>
      <c r="P15515" s="3"/>
      <c r="Q15515" s="3"/>
      <c r="R15515" s="3"/>
      <c r="S15515" s="3"/>
      <c r="T15515" s="3"/>
      <c r="U15515" s="3"/>
      <c r="V15515" s="3"/>
      <c r="W15515" s="3"/>
      <c r="X15515" s="3"/>
      <c r="Y15515" s="3"/>
      <c r="Z15515" s="3"/>
      <c r="AA15515" s="3"/>
      <c r="AB15515" s="3"/>
      <c r="AC15515" s="3"/>
      <c r="AD15515" s="3"/>
      <c r="AE15515" s="3"/>
      <c r="AF15515" s="3"/>
      <c r="AG15515" s="3"/>
      <c r="AH15515" s="3"/>
    </row>
    <row r="15516" spans="1:34" ht="14.25" customHeight="1" x14ac:dyDescent="0.25">
      <c r="A15516" s="3"/>
      <c r="B15516" s="3"/>
      <c r="C15516" s="3"/>
      <c r="D15516" s="3"/>
      <c r="E15516" s="3"/>
      <c r="F15516" s="3"/>
      <c r="G15516" s="3"/>
      <c r="H15516" s="11"/>
      <c r="I15516" s="12"/>
      <c r="J15516" s="3"/>
      <c r="K15516" s="3"/>
      <c r="L15516" s="3"/>
      <c r="M15516" s="3"/>
      <c r="N15516" s="3"/>
      <c r="O15516" s="3"/>
      <c r="P15516" s="3"/>
      <c r="Q15516" s="3"/>
      <c r="R15516" s="3"/>
      <c r="S15516" s="3"/>
      <c r="T15516" s="3"/>
      <c r="U15516" s="3"/>
      <c r="V15516" s="3"/>
      <c r="W15516" s="3"/>
      <c r="X15516" s="3"/>
      <c r="Y15516" s="3"/>
      <c r="Z15516" s="3"/>
      <c r="AA15516" s="3"/>
      <c r="AB15516" s="3"/>
      <c r="AC15516" s="3"/>
      <c r="AD15516" s="3"/>
      <c r="AE15516" s="3"/>
      <c r="AF15516" s="3"/>
      <c r="AG15516" s="3"/>
      <c r="AH15516" s="3"/>
    </row>
    <row r="15517" spans="1:34" ht="14.25" customHeight="1" x14ac:dyDescent="0.25">
      <c r="A15517" s="3"/>
      <c r="B15517" s="3"/>
      <c r="C15517" s="3"/>
      <c r="D15517" s="3"/>
      <c r="E15517" s="3"/>
      <c r="F15517" s="3"/>
      <c r="G15517" s="3"/>
      <c r="H15517" s="11"/>
      <c r="I15517" s="12"/>
      <c r="J15517" s="3"/>
      <c r="K15517" s="3"/>
      <c r="L15517" s="3"/>
      <c r="M15517" s="3"/>
      <c r="N15517" s="3"/>
      <c r="O15517" s="3"/>
      <c r="P15517" s="3"/>
      <c r="Q15517" s="3"/>
      <c r="R15517" s="3"/>
      <c r="S15517" s="3"/>
      <c r="T15517" s="3"/>
      <c r="U15517" s="3"/>
      <c r="V15517" s="3"/>
      <c r="W15517" s="3"/>
      <c r="X15517" s="3"/>
      <c r="Y15517" s="3"/>
      <c r="Z15517" s="3"/>
      <c r="AA15517" s="3"/>
      <c r="AB15517" s="3"/>
      <c r="AC15517" s="3"/>
      <c r="AD15517" s="3"/>
      <c r="AE15517" s="3"/>
      <c r="AF15517" s="3"/>
      <c r="AG15517" s="3"/>
      <c r="AH15517" s="3"/>
    </row>
    <row r="15518" spans="1:34" ht="14.25" customHeight="1" x14ac:dyDescent="0.25">
      <c r="A15518" s="3"/>
      <c r="B15518" s="3"/>
      <c r="C15518" s="3"/>
      <c r="D15518" s="3"/>
      <c r="E15518" s="3"/>
      <c r="F15518" s="3"/>
      <c r="G15518" s="3"/>
      <c r="H15518" s="11"/>
      <c r="I15518" s="12"/>
      <c r="J15518" s="3"/>
      <c r="K15518" s="3"/>
      <c r="L15518" s="3"/>
      <c r="M15518" s="3"/>
      <c r="N15518" s="3"/>
      <c r="O15518" s="3"/>
      <c r="P15518" s="3"/>
      <c r="Q15518" s="3"/>
      <c r="R15518" s="3"/>
      <c r="S15518" s="3"/>
      <c r="T15518" s="3"/>
      <c r="U15518" s="3"/>
      <c r="V15518" s="3"/>
      <c r="W15518" s="3"/>
      <c r="X15518" s="3"/>
      <c r="Y15518" s="3"/>
      <c r="Z15518" s="3"/>
      <c r="AA15518" s="3"/>
      <c r="AB15518" s="3"/>
      <c r="AC15518" s="3"/>
      <c r="AD15518" s="3"/>
      <c r="AE15518" s="3"/>
      <c r="AF15518" s="3"/>
      <c r="AG15518" s="3"/>
      <c r="AH15518" s="3"/>
    </row>
    <row r="15519" spans="1:34" ht="14.25" customHeight="1" x14ac:dyDescent="0.25">
      <c r="A15519" s="3"/>
      <c r="B15519" s="3"/>
      <c r="C15519" s="3"/>
      <c r="D15519" s="3"/>
      <c r="E15519" s="3"/>
      <c r="F15519" s="3"/>
      <c r="G15519" s="3"/>
      <c r="H15519" s="11"/>
      <c r="I15519" s="12"/>
      <c r="J15519" s="3"/>
      <c r="K15519" s="3"/>
      <c r="L15519" s="3"/>
      <c r="M15519" s="3"/>
      <c r="N15519" s="3"/>
      <c r="O15519" s="3"/>
      <c r="P15519" s="3"/>
      <c r="Q15519" s="3"/>
      <c r="R15519" s="3"/>
      <c r="S15519" s="3"/>
      <c r="T15519" s="3"/>
      <c r="U15519" s="3"/>
      <c r="V15519" s="3"/>
      <c r="W15519" s="3"/>
      <c r="X15519" s="3"/>
      <c r="Y15519" s="3"/>
      <c r="Z15519" s="3"/>
      <c r="AA15519" s="3"/>
      <c r="AB15519" s="3"/>
      <c r="AC15519" s="3"/>
      <c r="AD15519" s="3"/>
      <c r="AE15519" s="3"/>
      <c r="AF15519" s="3"/>
      <c r="AG15519" s="3"/>
      <c r="AH15519" s="3"/>
    </row>
    <row r="15520" spans="1:34" ht="14.25" customHeight="1" x14ac:dyDescent="0.25">
      <c r="A15520" s="3"/>
      <c r="B15520" s="3"/>
      <c r="C15520" s="3"/>
      <c r="D15520" s="3"/>
      <c r="E15520" s="3"/>
      <c r="F15520" s="3"/>
      <c r="G15520" s="3"/>
      <c r="H15520" s="11"/>
      <c r="I15520" s="12"/>
      <c r="J15520" s="3"/>
      <c r="K15520" s="3"/>
      <c r="L15520" s="3"/>
      <c r="M15520" s="3"/>
      <c r="N15520" s="3"/>
      <c r="O15520" s="3"/>
      <c r="P15520" s="3"/>
      <c r="Q15520" s="3"/>
      <c r="R15520" s="3"/>
      <c r="S15520" s="3"/>
      <c r="T15520" s="3"/>
      <c r="U15520" s="3"/>
      <c r="V15520" s="3"/>
      <c r="W15520" s="3"/>
      <c r="X15520" s="3"/>
      <c r="Y15520" s="3"/>
      <c r="Z15520" s="3"/>
      <c r="AA15520" s="3"/>
      <c r="AB15520" s="3"/>
      <c r="AC15520" s="3"/>
      <c r="AD15520" s="3"/>
      <c r="AE15520" s="3"/>
      <c r="AF15520" s="3"/>
      <c r="AG15520" s="3"/>
      <c r="AH15520" s="3"/>
    </row>
    <row r="15521" spans="1:34" ht="14.25" customHeight="1" x14ac:dyDescent="0.25">
      <c r="A15521" s="3"/>
      <c r="B15521" s="3"/>
      <c r="C15521" s="3"/>
      <c r="D15521" s="3"/>
      <c r="E15521" s="3"/>
      <c r="F15521" s="3"/>
      <c r="G15521" s="3"/>
      <c r="H15521" s="11"/>
      <c r="I15521" s="12"/>
      <c r="J15521" s="3"/>
      <c r="K15521" s="3"/>
      <c r="L15521" s="3"/>
      <c r="M15521" s="3"/>
      <c r="N15521" s="3"/>
      <c r="O15521" s="3"/>
      <c r="P15521" s="3"/>
      <c r="Q15521" s="3"/>
      <c r="R15521" s="3"/>
      <c r="S15521" s="3"/>
      <c r="T15521" s="3"/>
      <c r="U15521" s="3"/>
      <c r="V15521" s="3"/>
      <c r="W15521" s="3"/>
      <c r="X15521" s="3"/>
      <c r="Y15521" s="3"/>
      <c r="Z15521" s="3"/>
      <c r="AA15521" s="3"/>
      <c r="AB15521" s="3"/>
      <c r="AC15521" s="3"/>
      <c r="AD15521" s="3"/>
      <c r="AE15521" s="3"/>
      <c r="AF15521" s="3"/>
      <c r="AG15521" s="3"/>
      <c r="AH15521" s="3"/>
    </row>
    <row r="15522" spans="1:34" ht="14.25" customHeight="1" x14ac:dyDescent="0.25">
      <c r="A15522" s="3"/>
      <c r="B15522" s="3"/>
      <c r="C15522" s="3"/>
      <c r="D15522" s="3"/>
      <c r="E15522" s="3"/>
      <c r="F15522" s="3"/>
      <c r="G15522" s="3"/>
      <c r="H15522" s="11"/>
      <c r="I15522" s="12"/>
      <c r="J15522" s="3"/>
      <c r="K15522" s="3"/>
      <c r="L15522" s="3"/>
      <c r="M15522" s="3"/>
      <c r="N15522" s="3"/>
      <c r="O15522" s="3"/>
      <c r="P15522" s="3"/>
      <c r="Q15522" s="3"/>
      <c r="R15522" s="3"/>
      <c r="S15522" s="3"/>
      <c r="T15522" s="3"/>
      <c r="U15522" s="3"/>
      <c r="V15522" s="3"/>
      <c r="W15522" s="3"/>
      <c r="X15522" s="3"/>
      <c r="Y15522" s="3"/>
      <c r="Z15522" s="3"/>
      <c r="AA15522" s="3"/>
      <c r="AB15522" s="3"/>
      <c r="AC15522" s="3"/>
      <c r="AD15522" s="3"/>
      <c r="AE15522" s="3"/>
      <c r="AF15522" s="3"/>
      <c r="AG15522" s="3"/>
      <c r="AH15522" s="3"/>
    </row>
    <row r="15523" spans="1:34" ht="14.25" customHeight="1" x14ac:dyDescent="0.25">
      <c r="A15523" s="3"/>
      <c r="B15523" s="3"/>
      <c r="C15523" s="3"/>
      <c r="D15523" s="3"/>
      <c r="E15523" s="3"/>
      <c r="F15523" s="3"/>
      <c r="G15523" s="3"/>
      <c r="H15523" s="11"/>
      <c r="I15523" s="12"/>
      <c r="J15523" s="3"/>
      <c r="K15523" s="3"/>
      <c r="L15523" s="3"/>
      <c r="M15523" s="3"/>
      <c r="N15523" s="3"/>
      <c r="O15523" s="3"/>
      <c r="P15523" s="3"/>
      <c r="Q15523" s="3"/>
      <c r="R15523" s="3"/>
      <c r="S15523" s="3"/>
      <c r="T15523" s="3"/>
      <c r="U15523" s="3"/>
      <c r="V15523" s="3"/>
      <c r="W15523" s="3"/>
      <c r="X15523" s="3"/>
      <c r="Y15523" s="3"/>
      <c r="Z15523" s="3"/>
      <c r="AA15523" s="3"/>
      <c r="AB15523" s="3"/>
      <c r="AC15523" s="3"/>
      <c r="AD15523" s="3"/>
      <c r="AE15523" s="3"/>
      <c r="AF15523" s="3"/>
      <c r="AG15523" s="3"/>
      <c r="AH15523" s="3"/>
    </row>
    <row r="15524" spans="1:34" ht="14.25" customHeight="1" x14ac:dyDescent="0.25">
      <c r="A15524" s="3"/>
      <c r="B15524" s="3"/>
      <c r="C15524" s="3"/>
      <c r="D15524" s="3"/>
      <c r="E15524" s="3"/>
      <c r="F15524" s="3"/>
      <c r="G15524" s="3"/>
      <c r="H15524" s="11"/>
      <c r="I15524" s="12"/>
      <c r="J15524" s="3"/>
      <c r="K15524" s="3"/>
      <c r="L15524" s="3"/>
      <c r="M15524" s="3"/>
      <c r="N15524" s="3"/>
      <c r="O15524" s="3"/>
      <c r="P15524" s="3"/>
      <c r="Q15524" s="3"/>
      <c r="R15524" s="3"/>
      <c r="S15524" s="3"/>
      <c r="T15524" s="3"/>
      <c r="U15524" s="3"/>
      <c r="V15524" s="3"/>
      <c r="W15524" s="3"/>
      <c r="X15524" s="3"/>
      <c r="Y15524" s="3"/>
      <c r="Z15524" s="3"/>
      <c r="AA15524" s="3"/>
      <c r="AB15524" s="3"/>
      <c r="AC15524" s="3"/>
      <c r="AD15524" s="3"/>
      <c r="AE15524" s="3"/>
      <c r="AF15524" s="3"/>
      <c r="AG15524" s="3"/>
      <c r="AH15524" s="3"/>
    </row>
    <row r="15525" spans="1:34" ht="14.25" customHeight="1" x14ac:dyDescent="0.25">
      <c r="A15525" s="3"/>
      <c r="B15525" s="3"/>
      <c r="C15525" s="3"/>
      <c r="D15525" s="3"/>
      <c r="E15525" s="3"/>
      <c r="F15525" s="3"/>
      <c r="G15525" s="3"/>
      <c r="H15525" s="11"/>
      <c r="I15525" s="12"/>
      <c r="J15525" s="3"/>
      <c r="K15525" s="3"/>
      <c r="L15525" s="3"/>
      <c r="M15525" s="3"/>
      <c r="N15525" s="3"/>
      <c r="O15525" s="3"/>
      <c r="P15525" s="3"/>
      <c r="Q15525" s="3"/>
      <c r="R15525" s="3"/>
      <c r="S15525" s="3"/>
      <c r="T15525" s="3"/>
      <c r="U15525" s="3"/>
      <c r="V15525" s="3"/>
      <c r="W15525" s="3"/>
      <c r="X15525" s="3"/>
      <c r="Y15525" s="3"/>
      <c r="Z15525" s="3"/>
      <c r="AA15525" s="3"/>
      <c r="AB15525" s="3"/>
      <c r="AC15525" s="3"/>
      <c r="AD15525" s="3"/>
      <c r="AE15525" s="3"/>
      <c r="AF15525" s="3"/>
      <c r="AG15525" s="3"/>
      <c r="AH15525" s="3"/>
    </row>
    <row r="15526" spans="1:34" ht="14.25" customHeight="1" x14ac:dyDescent="0.25">
      <c r="A15526" s="3"/>
      <c r="B15526" s="3"/>
      <c r="C15526" s="3"/>
      <c r="D15526" s="3"/>
      <c r="E15526" s="3"/>
      <c r="F15526" s="3"/>
      <c r="G15526" s="3"/>
      <c r="H15526" s="11"/>
      <c r="I15526" s="12"/>
      <c r="J15526" s="3"/>
      <c r="K15526" s="3"/>
      <c r="L15526" s="3"/>
      <c r="M15526" s="3"/>
      <c r="N15526" s="3"/>
      <c r="O15526" s="3"/>
      <c r="P15526" s="3"/>
      <c r="Q15526" s="3"/>
      <c r="R15526" s="3"/>
      <c r="S15526" s="3"/>
      <c r="T15526" s="3"/>
      <c r="U15526" s="3"/>
      <c r="V15526" s="3"/>
      <c r="W15526" s="3"/>
      <c r="X15526" s="3"/>
      <c r="Y15526" s="3"/>
      <c r="Z15526" s="3"/>
      <c r="AA15526" s="3"/>
      <c r="AB15526" s="3"/>
      <c r="AC15526" s="3"/>
      <c r="AD15526" s="3"/>
      <c r="AE15526" s="3"/>
      <c r="AF15526" s="3"/>
      <c r="AG15526" s="3"/>
      <c r="AH15526" s="3"/>
    </row>
    <row r="15527" spans="1:34" ht="14.25" customHeight="1" x14ac:dyDescent="0.25">
      <c r="A15527" s="3"/>
      <c r="B15527" s="3"/>
      <c r="C15527" s="3"/>
      <c r="D15527" s="3"/>
      <c r="E15527" s="3"/>
      <c r="F15527" s="3"/>
      <c r="G15527" s="3"/>
      <c r="H15527" s="11"/>
      <c r="I15527" s="12"/>
      <c r="J15527" s="3"/>
      <c r="K15527" s="3"/>
      <c r="L15527" s="3"/>
      <c r="M15527" s="3"/>
      <c r="N15527" s="3"/>
      <c r="O15527" s="3"/>
      <c r="P15527" s="3"/>
      <c r="Q15527" s="3"/>
      <c r="R15527" s="3"/>
      <c r="S15527" s="3"/>
      <c r="T15527" s="3"/>
      <c r="U15527" s="3"/>
      <c r="V15527" s="3"/>
      <c r="W15527" s="3"/>
      <c r="X15527" s="3"/>
      <c r="Y15527" s="3"/>
      <c r="Z15527" s="3"/>
      <c r="AA15527" s="3"/>
      <c r="AB15527" s="3"/>
      <c r="AC15527" s="3"/>
      <c r="AD15527" s="3"/>
      <c r="AE15527" s="3"/>
      <c r="AF15527" s="3"/>
      <c r="AG15527" s="3"/>
      <c r="AH15527" s="3"/>
    </row>
    <row r="15528" spans="1:34" ht="14.25" customHeight="1" x14ac:dyDescent="0.25">
      <c r="A15528" s="3"/>
      <c r="B15528" s="3"/>
      <c r="C15528" s="3"/>
      <c r="D15528" s="3"/>
      <c r="E15528" s="3"/>
      <c r="F15528" s="3"/>
      <c r="G15528" s="3"/>
      <c r="H15528" s="11"/>
      <c r="I15528" s="12"/>
      <c r="J15528" s="3"/>
      <c r="K15528" s="3"/>
      <c r="L15528" s="3"/>
      <c r="M15528" s="3"/>
      <c r="N15528" s="3"/>
      <c r="O15528" s="3"/>
      <c r="P15528" s="3"/>
      <c r="Q15528" s="3"/>
      <c r="R15528" s="3"/>
      <c r="S15528" s="3"/>
      <c r="T15528" s="3"/>
      <c r="U15528" s="3"/>
      <c r="V15528" s="3"/>
      <c r="W15528" s="3"/>
      <c r="X15528" s="3"/>
      <c r="Y15528" s="3"/>
      <c r="Z15528" s="3"/>
      <c r="AA15528" s="3"/>
      <c r="AB15528" s="3"/>
      <c r="AC15528" s="3"/>
      <c r="AD15528" s="3"/>
      <c r="AE15528" s="3"/>
      <c r="AF15528" s="3"/>
      <c r="AG15528" s="3"/>
      <c r="AH15528" s="3"/>
    </row>
    <row r="15529" spans="1:34" ht="14.25" customHeight="1" x14ac:dyDescent="0.25">
      <c r="A15529" s="3"/>
      <c r="B15529" s="3"/>
      <c r="C15529" s="3"/>
      <c r="D15529" s="3"/>
      <c r="E15529" s="3"/>
      <c r="F15529" s="3"/>
      <c r="G15529" s="3"/>
      <c r="H15529" s="11"/>
      <c r="I15529" s="12"/>
      <c r="J15529" s="3"/>
      <c r="K15529" s="3"/>
      <c r="L15529" s="3"/>
      <c r="M15529" s="3"/>
      <c r="N15529" s="3"/>
      <c r="O15529" s="3"/>
      <c r="P15529" s="3"/>
      <c r="Q15529" s="3"/>
      <c r="R15529" s="3"/>
      <c r="S15529" s="3"/>
      <c r="T15529" s="3"/>
      <c r="U15529" s="3"/>
      <c r="V15529" s="3"/>
      <c r="W15529" s="3"/>
      <c r="X15529" s="3"/>
      <c r="Y15529" s="3"/>
      <c r="Z15529" s="3"/>
      <c r="AA15529" s="3"/>
      <c r="AB15529" s="3"/>
      <c r="AC15529" s="3"/>
      <c r="AD15529" s="3"/>
      <c r="AE15529" s="3"/>
      <c r="AF15529" s="3"/>
      <c r="AG15529" s="3"/>
      <c r="AH15529" s="3"/>
    </row>
    <row r="15530" spans="1:34" ht="14.25" customHeight="1" x14ac:dyDescent="0.25">
      <c r="A15530" s="3"/>
      <c r="B15530" s="3"/>
      <c r="C15530" s="3"/>
      <c r="D15530" s="3"/>
      <c r="E15530" s="3"/>
      <c r="F15530" s="3"/>
      <c r="G15530" s="3"/>
      <c r="H15530" s="11"/>
      <c r="I15530" s="12"/>
      <c r="J15530" s="3"/>
      <c r="K15530" s="3"/>
      <c r="L15530" s="3"/>
      <c r="M15530" s="3"/>
      <c r="N15530" s="3"/>
      <c r="O15530" s="3"/>
      <c r="P15530" s="3"/>
      <c r="Q15530" s="3"/>
      <c r="R15530" s="3"/>
      <c r="S15530" s="3"/>
      <c r="T15530" s="3"/>
      <c r="U15530" s="3"/>
      <c r="V15530" s="3"/>
      <c r="W15530" s="3"/>
      <c r="X15530" s="3"/>
      <c r="Y15530" s="3"/>
      <c r="Z15530" s="3"/>
      <c r="AA15530" s="3"/>
      <c r="AB15530" s="3"/>
      <c r="AC15530" s="3"/>
      <c r="AD15530" s="3"/>
      <c r="AE15530" s="3"/>
      <c r="AF15530" s="3"/>
      <c r="AG15530" s="3"/>
      <c r="AH15530" s="3"/>
    </row>
    <row r="15531" spans="1:34" ht="14.25" customHeight="1" x14ac:dyDescent="0.25">
      <c r="A15531" s="3"/>
      <c r="B15531" s="3"/>
      <c r="C15531" s="3"/>
      <c r="D15531" s="3"/>
      <c r="E15531" s="3"/>
      <c r="F15531" s="3"/>
      <c r="G15531" s="3"/>
      <c r="H15531" s="11"/>
      <c r="I15531" s="12"/>
      <c r="J15531" s="3"/>
      <c r="K15531" s="3"/>
      <c r="L15531" s="3"/>
      <c r="M15531" s="3"/>
      <c r="N15531" s="3"/>
      <c r="O15531" s="3"/>
      <c r="P15531" s="3"/>
      <c r="Q15531" s="3"/>
      <c r="R15531" s="3"/>
      <c r="S15531" s="3"/>
      <c r="T15531" s="3"/>
      <c r="U15531" s="3"/>
      <c r="V15531" s="3"/>
      <c r="W15531" s="3"/>
      <c r="X15531" s="3"/>
      <c r="Y15531" s="3"/>
      <c r="Z15531" s="3"/>
      <c r="AA15531" s="3"/>
      <c r="AB15531" s="3"/>
      <c r="AC15531" s="3"/>
      <c r="AD15531" s="3"/>
      <c r="AE15531" s="3"/>
      <c r="AF15531" s="3"/>
      <c r="AG15531" s="3"/>
      <c r="AH15531" s="3"/>
    </row>
    <row r="15532" spans="1:34" ht="14.25" customHeight="1" x14ac:dyDescent="0.25">
      <c r="A15532" s="3"/>
      <c r="B15532" s="3"/>
      <c r="C15532" s="3"/>
      <c r="D15532" s="3"/>
      <c r="E15532" s="3"/>
      <c r="F15532" s="3"/>
      <c r="G15532" s="3"/>
      <c r="H15532" s="11"/>
      <c r="I15532" s="12"/>
      <c r="J15532" s="3"/>
      <c r="K15532" s="3"/>
      <c r="L15532" s="3"/>
      <c r="M15532" s="3"/>
      <c r="N15532" s="3"/>
      <c r="O15532" s="3"/>
      <c r="P15532" s="3"/>
      <c r="Q15532" s="3"/>
      <c r="R15532" s="3"/>
      <c r="S15532" s="3"/>
      <c r="T15532" s="3"/>
      <c r="U15532" s="3"/>
      <c r="V15532" s="3"/>
      <c r="W15532" s="3"/>
      <c r="X15532" s="3"/>
      <c r="Y15532" s="3"/>
      <c r="Z15532" s="3"/>
      <c r="AA15532" s="3"/>
      <c r="AB15532" s="3"/>
      <c r="AC15532" s="3"/>
      <c r="AD15532" s="3"/>
      <c r="AE15532" s="3"/>
      <c r="AF15532" s="3"/>
      <c r="AG15532" s="3"/>
      <c r="AH15532" s="3"/>
    </row>
    <row r="15533" spans="1:34" ht="14.25" customHeight="1" x14ac:dyDescent="0.25">
      <c r="A15533" s="3"/>
      <c r="B15533" s="3"/>
      <c r="C15533" s="3"/>
      <c r="D15533" s="3"/>
      <c r="E15533" s="3"/>
      <c r="F15533" s="3"/>
      <c r="G15533" s="3"/>
      <c r="H15533" s="11"/>
      <c r="I15533" s="12"/>
      <c r="J15533" s="3"/>
      <c r="K15533" s="3"/>
      <c r="L15533" s="3"/>
      <c r="M15533" s="3"/>
      <c r="N15533" s="3"/>
      <c r="O15533" s="3"/>
      <c r="P15533" s="3"/>
      <c r="Q15533" s="3"/>
      <c r="R15533" s="3"/>
      <c r="S15533" s="3"/>
      <c r="T15533" s="3"/>
      <c r="U15533" s="3"/>
      <c r="V15533" s="3"/>
      <c r="W15533" s="3"/>
      <c r="X15533" s="3"/>
      <c r="Y15533" s="3"/>
      <c r="Z15533" s="3"/>
      <c r="AA15533" s="3"/>
      <c r="AB15533" s="3"/>
      <c r="AC15533" s="3"/>
      <c r="AD15533" s="3"/>
      <c r="AE15533" s="3"/>
      <c r="AF15533" s="3"/>
      <c r="AG15533" s="3"/>
      <c r="AH15533" s="3"/>
    </row>
    <row r="15534" spans="1:34" ht="14.25" customHeight="1" x14ac:dyDescent="0.25">
      <c r="A15534" s="3"/>
      <c r="B15534" s="3"/>
      <c r="C15534" s="3"/>
      <c r="D15534" s="3"/>
      <c r="E15534" s="3"/>
      <c r="F15534" s="3"/>
      <c r="G15534" s="3"/>
      <c r="H15534" s="11"/>
      <c r="I15534" s="12"/>
      <c r="J15534" s="3"/>
      <c r="K15534" s="3"/>
      <c r="L15534" s="3"/>
      <c r="M15534" s="3"/>
      <c r="N15534" s="3"/>
      <c r="O15534" s="3"/>
      <c r="P15534" s="3"/>
      <c r="Q15534" s="3"/>
      <c r="R15534" s="3"/>
      <c r="S15534" s="3"/>
      <c r="T15534" s="3"/>
      <c r="U15534" s="3"/>
      <c r="V15534" s="3"/>
      <c r="W15534" s="3"/>
      <c r="X15534" s="3"/>
      <c r="Y15534" s="3"/>
      <c r="Z15534" s="3"/>
      <c r="AA15534" s="3"/>
      <c r="AB15534" s="3"/>
      <c r="AC15534" s="3"/>
      <c r="AD15534" s="3"/>
      <c r="AE15534" s="3"/>
      <c r="AF15534" s="3"/>
      <c r="AG15534" s="3"/>
      <c r="AH15534" s="3"/>
    </row>
    <row r="15535" spans="1:34" ht="14.25" customHeight="1" x14ac:dyDescent="0.25">
      <c r="A15535" s="3"/>
      <c r="B15535" s="3"/>
      <c r="C15535" s="3"/>
      <c r="D15535" s="3"/>
      <c r="E15535" s="3"/>
      <c r="F15535" s="3"/>
      <c r="G15535" s="3"/>
      <c r="H15535" s="11"/>
      <c r="I15535" s="12"/>
      <c r="J15535" s="3"/>
      <c r="K15535" s="3"/>
      <c r="L15535" s="3"/>
      <c r="M15535" s="3"/>
      <c r="N15535" s="3"/>
      <c r="O15535" s="3"/>
      <c r="P15535" s="3"/>
      <c r="Q15535" s="3"/>
      <c r="R15535" s="3"/>
      <c r="S15535" s="3"/>
      <c r="T15535" s="3"/>
      <c r="U15535" s="3"/>
      <c r="V15535" s="3"/>
      <c r="W15535" s="3"/>
      <c r="X15535" s="3"/>
      <c r="Y15535" s="3"/>
      <c r="Z15535" s="3"/>
      <c r="AA15535" s="3"/>
      <c r="AB15535" s="3"/>
      <c r="AC15535" s="3"/>
      <c r="AD15535" s="3"/>
      <c r="AE15535" s="3"/>
      <c r="AF15535" s="3"/>
      <c r="AG15535" s="3"/>
      <c r="AH15535" s="3"/>
    </row>
    <row r="15536" spans="1:34" ht="14.25" customHeight="1" x14ac:dyDescent="0.25">
      <c r="A15536" s="3"/>
      <c r="B15536" s="3"/>
      <c r="C15536" s="3"/>
      <c r="D15536" s="3"/>
      <c r="E15536" s="3"/>
      <c r="F15536" s="3"/>
      <c r="G15536" s="3"/>
      <c r="H15536" s="11"/>
      <c r="I15536" s="12"/>
      <c r="J15536" s="3"/>
      <c r="K15536" s="3"/>
      <c r="L15536" s="3"/>
      <c r="M15536" s="3"/>
      <c r="N15536" s="3"/>
      <c r="O15536" s="3"/>
      <c r="P15536" s="3"/>
      <c r="Q15536" s="3"/>
      <c r="R15536" s="3"/>
      <c r="S15536" s="3"/>
      <c r="T15536" s="3"/>
      <c r="U15536" s="3"/>
      <c r="V15536" s="3"/>
      <c r="W15536" s="3"/>
      <c r="X15536" s="3"/>
      <c r="Y15536" s="3"/>
      <c r="Z15536" s="3"/>
      <c r="AA15536" s="3"/>
      <c r="AB15536" s="3"/>
      <c r="AC15536" s="3"/>
      <c r="AD15536" s="3"/>
      <c r="AE15536" s="3"/>
      <c r="AF15536" s="3"/>
      <c r="AG15536" s="3"/>
      <c r="AH15536" s="3"/>
    </row>
    <row r="15537" spans="1:34" ht="14.25" customHeight="1" x14ac:dyDescent="0.25">
      <c r="A15537" s="3"/>
      <c r="B15537" s="3"/>
      <c r="C15537" s="3"/>
      <c r="D15537" s="3"/>
      <c r="E15537" s="3"/>
      <c r="F15537" s="3"/>
      <c r="G15537" s="3"/>
      <c r="H15537" s="11"/>
      <c r="I15537" s="12"/>
      <c r="J15537" s="3"/>
      <c r="K15537" s="3"/>
      <c r="L15537" s="3"/>
      <c r="M15537" s="3"/>
      <c r="N15537" s="3"/>
      <c r="O15537" s="3"/>
      <c r="P15537" s="3"/>
      <c r="Q15537" s="3"/>
      <c r="R15537" s="3"/>
      <c r="S15537" s="3"/>
      <c r="T15537" s="3"/>
      <c r="U15537" s="3"/>
      <c r="V15537" s="3"/>
      <c r="W15537" s="3"/>
      <c r="X15537" s="3"/>
      <c r="Y15537" s="3"/>
      <c r="Z15537" s="3"/>
      <c r="AA15537" s="3"/>
      <c r="AB15537" s="3"/>
      <c r="AC15537" s="3"/>
      <c r="AD15537" s="3"/>
      <c r="AE15537" s="3"/>
      <c r="AF15537" s="3"/>
      <c r="AG15537" s="3"/>
      <c r="AH15537" s="3"/>
    </row>
    <row r="15538" spans="1:34" ht="14.25" customHeight="1" x14ac:dyDescent="0.25">
      <c r="A15538" s="3"/>
      <c r="B15538" s="3"/>
      <c r="C15538" s="3"/>
      <c r="D15538" s="3"/>
      <c r="E15538" s="3"/>
      <c r="F15538" s="3"/>
      <c r="G15538" s="3"/>
      <c r="H15538" s="11"/>
      <c r="I15538" s="12"/>
      <c r="J15538" s="3"/>
      <c r="K15538" s="3"/>
      <c r="L15538" s="3"/>
      <c r="M15538" s="3"/>
      <c r="N15538" s="3"/>
      <c r="O15538" s="3"/>
      <c r="P15538" s="3"/>
      <c r="Q15538" s="3"/>
      <c r="R15538" s="3"/>
      <c r="S15538" s="3"/>
      <c r="T15538" s="3"/>
      <c r="U15538" s="3"/>
      <c r="V15538" s="3"/>
      <c r="W15538" s="3"/>
      <c r="X15538" s="3"/>
      <c r="Y15538" s="3"/>
      <c r="Z15538" s="3"/>
      <c r="AA15538" s="3"/>
      <c r="AB15538" s="3"/>
      <c r="AC15538" s="3"/>
      <c r="AD15538" s="3"/>
      <c r="AE15538" s="3"/>
      <c r="AF15538" s="3"/>
      <c r="AG15538" s="3"/>
      <c r="AH15538" s="3"/>
    </row>
    <row r="15539" spans="1:34" ht="14.25" customHeight="1" x14ac:dyDescent="0.25">
      <c r="A15539" s="3"/>
      <c r="B15539" s="3"/>
      <c r="C15539" s="3"/>
      <c r="D15539" s="3"/>
      <c r="E15539" s="3"/>
      <c r="F15539" s="3"/>
      <c r="G15539" s="3"/>
      <c r="H15539" s="11"/>
      <c r="I15539" s="12"/>
      <c r="J15539" s="3"/>
      <c r="K15539" s="3"/>
      <c r="L15539" s="3"/>
      <c r="M15539" s="3"/>
      <c r="N15539" s="3"/>
      <c r="O15539" s="3"/>
      <c r="P15539" s="3"/>
      <c r="Q15539" s="3"/>
      <c r="R15539" s="3"/>
      <c r="S15539" s="3"/>
      <c r="T15539" s="3"/>
      <c r="U15539" s="3"/>
      <c r="V15539" s="3"/>
      <c r="W15539" s="3"/>
      <c r="X15539" s="3"/>
      <c r="Y15539" s="3"/>
      <c r="Z15539" s="3"/>
      <c r="AA15539" s="3"/>
      <c r="AB15539" s="3"/>
      <c r="AC15539" s="3"/>
      <c r="AD15539" s="3"/>
      <c r="AE15539" s="3"/>
      <c r="AF15539" s="3"/>
      <c r="AG15539" s="3"/>
      <c r="AH15539" s="3"/>
    </row>
    <row r="15540" spans="1:34" ht="14.25" customHeight="1" x14ac:dyDescent="0.25">
      <c r="A15540" s="3"/>
      <c r="B15540" s="3"/>
      <c r="C15540" s="3"/>
      <c r="D15540" s="3"/>
      <c r="E15540" s="3"/>
      <c r="F15540" s="3"/>
      <c r="G15540" s="3"/>
      <c r="H15540" s="11"/>
      <c r="I15540" s="12"/>
      <c r="J15540" s="3"/>
      <c r="K15540" s="3"/>
      <c r="L15540" s="3"/>
      <c r="M15540" s="3"/>
      <c r="N15540" s="3"/>
      <c r="O15540" s="3"/>
      <c r="P15540" s="3"/>
      <c r="Q15540" s="3"/>
      <c r="R15540" s="3"/>
      <c r="S15540" s="3"/>
      <c r="T15540" s="3"/>
      <c r="U15540" s="3"/>
      <c r="V15540" s="3"/>
      <c r="W15540" s="3"/>
      <c r="X15540" s="3"/>
      <c r="Y15540" s="3"/>
      <c r="Z15540" s="3"/>
      <c r="AA15540" s="3"/>
      <c r="AB15540" s="3"/>
      <c r="AC15540" s="3"/>
      <c r="AD15540" s="3"/>
      <c r="AE15540" s="3"/>
      <c r="AF15540" s="3"/>
      <c r="AG15540" s="3"/>
      <c r="AH15540" s="3"/>
    </row>
    <row r="15541" spans="1:34" ht="14.25" customHeight="1" x14ac:dyDescent="0.25">
      <c r="A15541" s="3"/>
      <c r="B15541" s="3"/>
      <c r="C15541" s="3"/>
      <c r="D15541" s="3"/>
      <c r="E15541" s="3"/>
      <c r="F15541" s="3"/>
      <c r="G15541" s="3"/>
      <c r="H15541" s="11"/>
      <c r="I15541" s="12"/>
      <c r="J15541" s="3"/>
      <c r="K15541" s="3"/>
      <c r="L15541" s="3"/>
      <c r="M15541" s="3"/>
      <c r="N15541" s="3"/>
      <c r="O15541" s="3"/>
      <c r="P15541" s="3"/>
      <c r="Q15541" s="3"/>
      <c r="R15541" s="3"/>
      <c r="S15541" s="3"/>
      <c r="T15541" s="3"/>
      <c r="U15541" s="3"/>
      <c r="V15541" s="3"/>
      <c r="W15541" s="3"/>
      <c r="X15541" s="3"/>
      <c r="Y15541" s="3"/>
      <c r="Z15541" s="3"/>
      <c r="AA15541" s="3"/>
      <c r="AB15541" s="3"/>
      <c r="AC15541" s="3"/>
      <c r="AD15541" s="3"/>
      <c r="AE15541" s="3"/>
      <c r="AF15541" s="3"/>
      <c r="AG15541" s="3"/>
      <c r="AH15541" s="3"/>
    </row>
    <row r="15542" spans="1:34" ht="14.25" customHeight="1" x14ac:dyDescent="0.25">
      <c r="A15542" s="3"/>
      <c r="B15542" s="3"/>
      <c r="C15542" s="3"/>
      <c r="D15542" s="3"/>
      <c r="E15542" s="3"/>
      <c r="F15542" s="3"/>
      <c r="G15542" s="3"/>
      <c r="H15542" s="11"/>
      <c r="I15542" s="12"/>
      <c r="J15542" s="3"/>
      <c r="K15542" s="3"/>
      <c r="L15542" s="3"/>
      <c r="M15542" s="3"/>
      <c r="N15542" s="3"/>
      <c r="O15542" s="3"/>
      <c r="P15542" s="3"/>
      <c r="Q15542" s="3"/>
      <c r="R15542" s="3"/>
      <c r="S15542" s="3"/>
      <c r="T15542" s="3"/>
      <c r="U15542" s="3"/>
      <c r="V15542" s="3"/>
      <c r="W15542" s="3"/>
      <c r="X15542" s="3"/>
      <c r="Y15542" s="3"/>
      <c r="Z15542" s="3"/>
      <c r="AA15542" s="3"/>
      <c r="AB15542" s="3"/>
      <c r="AC15542" s="3"/>
      <c r="AD15542" s="3"/>
      <c r="AE15542" s="3"/>
      <c r="AF15542" s="3"/>
      <c r="AG15542" s="3"/>
      <c r="AH15542" s="3"/>
    </row>
    <row r="15543" spans="1:34" ht="14.25" customHeight="1" x14ac:dyDescent="0.25">
      <c r="A15543" s="3"/>
      <c r="B15543" s="3"/>
      <c r="C15543" s="3"/>
      <c r="D15543" s="3"/>
      <c r="E15543" s="3"/>
      <c r="F15543" s="3"/>
      <c r="G15543" s="3"/>
      <c r="H15543" s="11"/>
      <c r="I15543" s="12"/>
      <c r="J15543" s="3"/>
      <c r="K15543" s="3"/>
      <c r="L15543" s="3"/>
      <c r="M15543" s="3"/>
      <c r="N15543" s="3"/>
      <c r="O15543" s="3"/>
      <c r="P15543" s="3"/>
      <c r="Q15543" s="3"/>
      <c r="R15543" s="3"/>
      <c r="S15543" s="3"/>
      <c r="T15543" s="3"/>
      <c r="U15543" s="3"/>
      <c r="V15543" s="3"/>
      <c r="W15543" s="3"/>
      <c r="X15543" s="3"/>
      <c r="Y15543" s="3"/>
      <c r="Z15543" s="3"/>
      <c r="AA15543" s="3"/>
      <c r="AB15543" s="3"/>
      <c r="AC15543" s="3"/>
      <c r="AD15543" s="3"/>
      <c r="AE15543" s="3"/>
      <c r="AF15543" s="3"/>
      <c r="AG15543" s="3"/>
      <c r="AH15543" s="3"/>
    </row>
    <row r="15544" spans="1:34" ht="14.25" customHeight="1" x14ac:dyDescent="0.25">
      <c r="A15544" s="3"/>
      <c r="B15544" s="3"/>
      <c r="C15544" s="3"/>
      <c r="D15544" s="3"/>
      <c r="E15544" s="3"/>
      <c r="F15544" s="3"/>
      <c r="G15544" s="3"/>
      <c r="H15544" s="11"/>
      <c r="I15544" s="12"/>
      <c r="J15544" s="3"/>
      <c r="K15544" s="3"/>
      <c r="L15544" s="3"/>
      <c r="M15544" s="3"/>
      <c r="N15544" s="3"/>
      <c r="O15544" s="3"/>
      <c r="P15544" s="3"/>
      <c r="Q15544" s="3"/>
      <c r="R15544" s="3"/>
      <c r="S15544" s="3"/>
      <c r="T15544" s="3"/>
      <c r="U15544" s="3"/>
      <c r="V15544" s="3"/>
      <c r="W15544" s="3"/>
      <c r="X15544" s="3"/>
      <c r="Y15544" s="3"/>
      <c r="Z15544" s="3"/>
      <c r="AA15544" s="3"/>
      <c r="AB15544" s="3"/>
      <c r="AC15544" s="3"/>
      <c r="AD15544" s="3"/>
      <c r="AE15544" s="3"/>
      <c r="AF15544" s="3"/>
      <c r="AG15544" s="3"/>
      <c r="AH15544" s="3"/>
    </row>
    <row r="15545" spans="1:34" ht="14.25" customHeight="1" x14ac:dyDescent="0.25">
      <c r="A15545" s="3"/>
      <c r="B15545" s="3"/>
      <c r="C15545" s="3"/>
      <c r="D15545" s="3"/>
      <c r="E15545" s="3"/>
      <c r="F15545" s="3"/>
      <c r="G15545" s="3"/>
      <c r="H15545" s="11"/>
      <c r="I15545" s="12"/>
      <c r="J15545" s="3"/>
      <c r="K15545" s="3"/>
      <c r="L15545" s="3"/>
      <c r="M15545" s="3"/>
      <c r="N15545" s="3"/>
      <c r="O15545" s="3"/>
      <c r="P15545" s="3"/>
      <c r="Q15545" s="3"/>
      <c r="R15545" s="3"/>
      <c r="S15545" s="3"/>
      <c r="T15545" s="3"/>
      <c r="U15545" s="3"/>
      <c r="V15545" s="3"/>
      <c r="W15545" s="3"/>
      <c r="X15545" s="3"/>
      <c r="Y15545" s="3"/>
      <c r="Z15545" s="3"/>
      <c r="AA15545" s="3"/>
      <c r="AB15545" s="3"/>
      <c r="AC15545" s="3"/>
      <c r="AD15545" s="3"/>
      <c r="AE15545" s="3"/>
      <c r="AF15545" s="3"/>
      <c r="AG15545" s="3"/>
      <c r="AH15545" s="3"/>
    </row>
    <row r="15546" spans="1:34" ht="14.25" customHeight="1" x14ac:dyDescent="0.25">
      <c r="A15546" s="3"/>
      <c r="B15546" s="3"/>
      <c r="C15546" s="3"/>
      <c r="D15546" s="3"/>
      <c r="E15546" s="3"/>
      <c r="F15546" s="3"/>
      <c r="G15546" s="3"/>
      <c r="H15546" s="11"/>
      <c r="I15546" s="12"/>
      <c r="J15546" s="3"/>
      <c r="K15546" s="3"/>
      <c r="L15546" s="3"/>
      <c r="M15546" s="3"/>
      <c r="N15546" s="3"/>
      <c r="O15546" s="3"/>
      <c r="P15546" s="3"/>
      <c r="Q15546" s="3"/>
      <c r="R15546" s="3"/>
      <c r="S15546" s="3"/>
      <c r="T15546" s="3"/>
      <c r="U15546" s="3"/>
      <c r="V15546" s="3"/>
      <c r="W15546" s="3"/>
      <c r="X15546" s="3"/>
      <c r="Y15546" s="3"/>
      <c r="Z15546" s="3"/>
      <c r="AA15546" s="3"/>
      <c r="AB15546" s="3"/>
      <c r="AC15546" s="3"/>
      <c r="AD15546" s="3"/>
      <c r="AE15546" s="3"/>
      <c r="AF15546" s="3"/>
      <c r="AG15546" s="3"/>
      <c r="AH15546" s="3"/>
    </row>
    <row r="15547" spans="1:34" ht="14.25" customHeight="1" x14ac:dyDescent="0.25">
      <c r="A15547" s="3"/>
      <c r="B15547" s="3"/>
      <c r="C15547" s="3"/>
      <c r="D15547" s="3"/>
      <c r="E15547" s="3"/>
      <c r="F15547" s="3"/>
      <c r="G15547" s="3"/>
      <c r="H15547" s="11"/>
      <c r="I15547" s="12"/>
      <c r="J15547" s="3"/>
      <c r="K15547" s="3"/>
      <c r="L15547" s="3"/>
      <c r="M15547" s="3"/>
      <c r="N15547" s="3"/>
      <c r="O15547" s="3"/>
      <c r="P15547" s="3"/>
      <c r="Q15547" s="3"/>
      <c r="R15547" s="3"/>
      <c r="S15547" s="3"/>
      <c r="T15547" s="3"/>
      <c r="U15547" s="3"/>
      <c r="V15547" s="3"/>
      <c r="W15547" s="3"/>
      <c r="X15547" s="3"/>
      <c r="Y15547" s="3"/>
      <c r="Z15547" s="3"/>
      <c r="AA15547" s="3"/>
      <c r="AB15547" s="3"/>
      <c r="AC15547" s="3"/>
      <c r="AD15547" s="3"/>
      <c r="AE15547" s="3"/>
      <c r="AF15547" s="3"/>
      <c r="AG15547" s="3"/>
      <c r="AH15547" s="3"/>
    </row>
    <row r="15548" spans="1:34" ht="14.25" customHeight="1" x14ac:dyDescent="0.25">
      <c r="A15548" s="3"/>
      <c r="B15548" s="3"/>
      <c r="C15548" s="3"/>
      <c r="D15548" s="3"/>
      <c r="E15548" s="3"/>
      <c r="F15548" s="3"/>
      <c r="G15548" s="3"/>
      <c r="H15548" s="11"/>
      <c r="I15548" s="12"/>
      <c r="J15548" s="3"/>
      <c r="K15548" s="3"/>
      <c r="L15548" s="3"/>
      <c r="M15548" s="3"/>
      <c r="N15548" s="3"/>
      <c r="O15548" s="3"/>
      <c r="P15548" s="3"/>
      <c r="Q15548" s="3"/>
      <c r="R15548" s="3"/>
      <c r="S15548" s="3"/>
      <c r="T15548" s="3"/>
      <c r="U15548" s="3"/>
      <c r="V15548" s="3"/>
      <c r="W15548" s="3"/>
      <c r="X15548" s="3"/>
      <c r="Y15548" s="3"/>
      <c r="Z15548" s="3"/>
      <c r="AA15548" s="3"/>
      <c r="AB15548" s="3"/>
      <c r="AC15548" s="3"/>
      <c r="AD15548" s="3"/>
      <c r="AE15548" s="3"/>
      <c r="AF15548" s="3"/>
      <c r="AG15548" s="3"/>
      <c r="AH15548" s="3"/>
    </row>
    <row r="15549" spans="1:34" ht="14.25" customHeight="1" x14ac:dyDescent="0.25">
      <c r="A15549" s="3"/>
      <c r="B15549" s="3"/>
      <c r="C15549" s="3"/>
      <c r="D15549" s="3"/>
      <c r="E15549" s="3"/>
      <c r="F15549" s="3"/>
      <c r="G15549" s="3"/>
      <c r="H15549" s="11"/>
      <c r="I15549" s="12"/>
      <c r="J15549" s="3"/>
      <c r="K15549" s="3"/>
      <c r="L15549" s="3"/>
      <c r="M15549" s="3"/>
      <c r="N15549" s="3"/>
      <c r="O15549" s="3"/>
      <c r="P15549" s="3"/>
      <c r="Q15549" s="3"/>
      <c r="R15549" s="3"/>
      <c r="S15549" s="3"/>
      <c r="T15549" s="3"/>
      <c r="U15549" s="3"/>
      <c r="V15549" s="3"/>
      <c r="W15549" s="3"/>
      <c r="X15549" s="3"/>
      <c r="Y15549" s="3"/>
      <c r="Z15549" s="3"/>
      <c r="AA15549" s="3"/>
      <c r="AB15549" s="3"/>
      <c r="AC15549" s="3"/>
      <c r="AD15549" s="3"/>
      <c r="AE15549" s="3"/>
      <c r="AF15549" s="3"/>
      <c r="AG15549" s="3"/>
      <c r="AH15549" s="3"/>
    </row>
    <row r="15550" spans="1:34" ht="14.25" customHeight="1" x14ac:dyDescent="0.25">
      <c r="A15550" s="3"/>
      <c r="B15550" s="3"/>
      <c r="C15550" s="3"/>
      <c r="D15550" s="3"/>
      <c r="E15550" s="3"/>
      <c r="F15550" s="3"/>
      <c r="G15550" s="3"/>
      <c r="H15550" s="11"/>
      <c r="I15550" s="12"/>
      <c r="J15550" s="3"/>
      <c r="K15550" s="3"/>
      <c r="L15550" s="3"/>
      <c r="M15550" s="3"/>
      <c r="N15550" s="3"/>
      <c r="O15550" s="3"/>
      <c r="P15550" s="3"/>
      <c r="Q15550" s="3"/>
      <c r="R15550" s="3"/>
      <c r="S15550" s="3"/>
      <c r="T15550" s="3"/>
      <c r="U15550" s="3"/>
      <c r="V15550" s="3"/>
      <c r="W15550" s="3"/>
      <c r="X15550" s="3"/>
      <c r="Y15550" s="3"/>
      <c r="Z15550" s="3"/>
      <c r="AA15550" s="3"/>
      <c r="AB15550" s="3"/>
      <c r="AC15550" s="3"/>
      <c r="AD15550" s="3"/>
      <c r="AE15550" s="3"/>
      <c r="AF15550" s="3"/>
      <c r="AG15550" s="3"/>
      <c r="AH15550" s="3"/>
    </row>
    <row r="15551" spans="1:34" ht="15" customHeight="1" x14ac:dyDescent="0.25">
      <c r="A15551" s="3"/>
      <c r="B15551" s="3"/>
      <c r="C15551" s="3"/>
      <c r="D15551" s="3"/>
      <c r="E15551" s="3"/>
      <c r="F15551" s="3"/>
      <c r="G15551" s="3"/>
      <c r="H15551" s="11"/>
      <c r="I15551" s="12"/>
      <c r="J15551" s="3"/>
      <c r="K15551" s="3"/>
      <c r="L15551" s="3"/>
      <c r="M15551" s="3"/>
      <c r="N15551" s="3"/>
      <c r="O15551" s="3"/>
      <c r="P15551" s="3"/>
      <c r="Q15551" s="3"/>
      <c r="R15551" s="3"/>
      <c r="S15551" s="3"/>
      <c r="T15551" s="3"/>
      <c r="U15551" s="3"/>
      <c r="V15551" s="3"/>
      <c r="W15551" s="3"/>
      <c r="X15551" s="3"/>
      <c r="Y15551" s="3"/>
      <c r="Z15551" s="3"/>
      <c r="AA15551" s="3"/>
      <c r="AB15551" s="3"/>
      <c r="AC15551" s="3"/>
      <c r="AD15551" s="3"/>
      <c r="AE15551" s="3"/>
      <c r="AF15551" s="3"/>
      <c r="AG15551" s="3"/>
      <c r="AH15551" s="3"/>
    </row>
    <row r="15552" spans="1:34" ht="15" customHeight="1" x14ac:dyDescent="0.25">
      <c r="A15552" s="3"/>
      <c r="B15552" s="3"/>
      <c r="C15552" s="3"/>
      <c r="D15552" s="3"/>
      <c r="E15552" s="3"/>
      <c r="F15552" s="3"/>
      <c r="G15552" s="3"/>
      <c r="H15552" s="11"/>
      <c r="I15552" s="12"/>
      <c r="J15552" s="3"/>
      <c r="K15552" s="3"/>
      <c r="L15552" s="3"/>
      <c r="M15552" s="3"/>
      <c r="N15552" s="3"/>
      <c r="O15552" s="3"/>
      <c r="P15552" s="3"/>
      <c r="Q15552" s="3"/>
      <c r="R15552" s="3"/>
      <c r="S15552" s="3"/>
      <c r="T15552" s="3"/>
      <c r="U15552" s="3"/>
      <c r="V15552" s="3"/>
      <c r="W15552" s="3"/>
      <c r="X15552" s="3"/>
      <c r="Y15552" s="3"/>
      <c r="Z15552" s="3"/>
      <c r="AA15552" s="3"/>
      <c r="AB15552" s="3"/>
      <c r="AC15552" s="3"/>
      <c r="AD15552" s="3"/>
      <c r="AE15552" s="3"/>
      <c r="AF15552" s="3"/>
      <c r="AG15552" s="3"/>
      <c r="AH15552" s="3"/>
    </row>
    <row r="15553" spans="1:34" ht="15" customHeight="1" x14ac:dyDescent="0.25">
      <c r="A15553" s="3"/>
      <c r="B15553" s="3"/>
      <c r="C15553" s="3"/>
      <c r="D15553" s="3"/>
      <c r="E15553" s="3"/>
      <c r="F15553" s="3"/>
      <c r="G15553" s="3"/>
      <c r="H15553" s="11"/>
      <c r="I15553" s="12"/>
      <c r="J15553" s="3"/>
      <c r="K15553" s="3"/>
      <c r="L15553" s="3"/>
      <c r="M15553" s="3"/>
      <c r="N15553" s="3"/>
      <c r="O15553" s="3"/>
      <c r="P15553" s="3"/>
      <c r="Q15553" s="3"/>
      <c r="R15553" s="3"/>
      <c r="S15553" s="3"/>
      <c r="T15553" s="3"/>
      <c r="U15553" s="3"/>
      <c r="V15553" s="3"/>
      <c r="W15553" s="3"/>
      <c r="X15553" s="3"/>
      <c r="Y15553" s="3"/>
      <c r="Z15553" s="3"/>
      <c r="AA15553" s="3"/>
      <c r="AB15553" s="3"/>
      <c r="AC15553" s="3"/>
      <c r="AD15553" s="3"/>
      <c r="AE15553" s="3"/>
      <c r="AF15553" s="3"/>
      <c r="AG15553" s="3"/>
      <c r="AH15553" s="3"/>
    </row>
    <row r="15554" spans="1:34" ht="15" customHeight="1" x14ac:dyDescent="0.25">
      <c r="A15554" s="3"/>
      <c r="B15554" s="3"/>
      <c r="C15554" s="3"/>
      <c r="D15554" s="3"/>
      <c r="E15554" s="3"/>
      <c r="F15554" s="3"/>
      <c r="G15554" s="3"/>
      <c r="H15554" s="11"/>
      <c r="I15554" s="12"/>
      <c r="J15554" s="3"/>
      <c r="K15554" s="3"/>
      <c r="L15554" s="3"/>
      <c r="M15554" s="3"/>
      <c r="N15554" s="3"/>
      <c r="O15554" s="3"/>
      <c r="P15554" s="3"/>
      <c r="Q15554" s="3"/>
      <c r="R15554" s="3"/>
      <c r="S15554" s="3"/>
      <c r="T15554" s="3"/>
      <c r="U15554" s="3"/>
      <c r="V15554" s="3"/>
      <c r="W15554" s="3"/>
      <c r="X15554" s="3"/>
      <c r="Y15554" s="3"/>
      <c r="Z15554" s="3"/>
      <c r="AA15554" s="3"/>
      <c r="AB15554" s="3"/>
      <c r="AC15554" s="3"/>
      <c r="AD15554" s="3"/>
      <c r="AE15554" s="3"/>
      <c r="AF15554" s="3"/>
      <c r="AG15554" s="3"/>
      <c r="AH15554" s="3"/>
    </row>
    <row r="15555" spans="1:34" ht="15" customHeight="1" x14ac:dyDescent="0.25">
      <c r="A15555" s="3"/>
      <c r="B15555" s="3"/>
      <c r="C15555" s="3"/>
      <c r="D15555" s="3"/>
      <c r="E15555" s="3"/>
      <c r="F15555" s="3"/>
      <c r="G15555" s="3"/>
      <c r="H15555" s="11"/>
      <c r="I15555" s="12"/>
      <c r="J15555" s="3"/>
      <c r="K15555" s="3"/>
      <c r="L15555" s="3"/>
      <c r="M15555" s="3"/>
      <c r="N15555" s="3"/>
      <c r="O15555" s="3"/>
      <c r="P15555" s="3"/>
      <c r="Q15555" s="3"/>
      <c r="R15555" s="3"/>
      <c r="S15555" s="3"/>
      <c r="T15555" s="3"/>
      <c r="U15555" s="3"/>
      <c r="V15555" s="3"/>
      <c r="W15555" s="3"/>
      <c r="X15555" s="3"/>
      <c r="Y15555" s="3"/>
      <c r="Z15555" s="3"/>
      <c r="AA15555" s="3"/>
      <c r="AB15555" s="3"/>
      <c r="AC15555" s="3"/>
      <c r="AD15555" s="3"/>
      <c r="AE15555" s="3"/>
      <c r="AF15555" s="3"/>
      <c r="AG15555" s="3"/>
      <c r="AH15555" s="3"/>
    </row>
    <row r="15556" spans="1:34" ht="15" customHeight="1" x14ac:dyDescent="0.25">
      <c r="A15556" s="3"/>
      <c r="B15556" s="3"/>
      <c r="C15556" s="3"/>
      <c r="D15556" s="3"/>
      <c r="E15556" s="3"/>
      <c r="F15556" s="3"/>
      <c r="G15556" s="3"/>
      <c r="H15556" s="11"/>
      <c r="I15556" s="12"/>
      <c r="J15556" s="3"/>
      <c r="K15556" s="3"/>
      <c r="L15556" s="3"/>
      <c r="M15556" s="3"/>
      <c r="N15556" s="3"/>
      <c r="O15556" s="3"/>
      <c r="P15556" s="3"/>
      <c r="Q15556" s="3"/>
      <c r="R15556" s="3"/>
      <c r="S15556" s="3"/>
      <c r="T15556" s="3"/>
      <c r="U15556" s="3"/>
      <c r="V15556" s="3"/>
      <c r="W15556" s="3"/>
      <c r="X15556" s="3"/>
      <c r="Y15556" s="3"/>
      <c r="Z15556" s="3"/>
      <c r="AA15556" s="3"/>
      <c r="AB15556" s="3"/>
      <c r="AC15556" s="3"/>
      <c r="AD15556" s="3"/>
      <c r="AE15556" s="3"/>
      <c r="AF15556" s="3"/>
      <c r="AG15556" s="3"/>
      <c r="AH15556" s="3"/>
    </row>
    <row r="15557" spans="1:34" ht="15" customHeight="1" x14ac:dyDescent="0.25">
      <c r="A15557" s="3"/>
      <c r="B15557" s="3"/>
      <c r="C15557" s="3"/>
      <c r="D15557" s="3"/>
      <c r="E15557" s="3"/>
      <c r="F15557" s="3"/>
      <c r="G15557" s="3"/>
      <c r="H15557" s="11"/>
      <c r="I15557" s="12"/>
      <c r="J15557" s="3"/>
      <c r="K15557" s="3"/>
      <c r="L15557" s="3"/>
      <c r="M15557" s="3"/>
      <c r="N15557" s="3"/>
      <c r="O15557" s="3"/>
      <c r="P15557" s="3"/>
      <c r="Q15557" s="3"/>
      <c r="R15557" s="3"/>
      <c r="S15557" s="3"/>
      <c r="T15557" s="3"/>
      <c r="U15557" s="3"/>
      <c r="V15557" s="3"/>
      <c r="W15557" s="3"/>
      <c r="X15557" s="3"/>
      <c r="Y15557" s="3"/>
      <c r="Z15557" s="3"/>
      <c r="AA15557" s="3"/>
      <c r="AB15557" s="3"/>
      <c r="AC15557" s="3"/>
      <c r="AD15557" s="3"/>
      <c r="AE15557" s="3"/>
      <c r="AF15557" s="3"/>
      <c r="AG15557" s="3"/>
      <c r="AH15557" s="3"/>
    </row>
    <row r="15558" spans="1:34" ht="15" customHeight="1" x14ac:dyDescent="0.25">
      <c r="A15558" s="3"/>
      <c r="B15558" s="3"/>
      <c r="C15558" s="3"/>
      <c r="D15558" s="3"/>
      <c r="E15558" s="3"/>
      <c r="F15558" s="3"/>
      <c r="G15558" s="3"/>
      <c r="H15558" s="11"/>
      <c r="I15558" s="12"/>
      <c r="J15558" s="3"/>
      <c r="K15558" s="3"/>
      <c r="L15558" s="3"/>
      <c r="M15558" s="3"/>
      <c r="N15558" s="3"/>
      <c r="O15558" s="3"/>
      <c r="P15558" s="3"/>
      <c r="Q15558" s="3"/>
      <c r="R15558" s="3"/>
      <c r="S15558" s="3"/>
      <c r="T15558" s="3"/>
      <c r="U15558" s="3"/>
      <c r="V15558" s="3"/>
      <c r="W15558" s="3"/>
      <c r="X15558" s="3"/>
      <c r="Y15558" s="3"/>
      <c r="Z15558" s="3"/>
      <c r="AA15558" s="3"/>
      <c r="AB15558" s="3"/>
      <c r="AC15558" s="3"/>
      <c r="AD15558" s="3"/>
      <c r="AE15558" s="3"/>
      <c r="AF15558" s="3"/>
      <c r="AG15558" s="3"/>
      <c r="AH15558" s="3"/>
    </row>
    <row r="15559" spans="1:34" ht="15" customHeight="1" x14ac:dyDescent="0.25">
      <c r="A15559" s="3"/>
      <c r="B15559" s="3"/>
      <c r="C15559" s="3"/>
      <c r="D15559" s="3"/>
      <c r="E15559" s="3"/>
      <c r="F15559" s="3"/>
      <c r="G15559" s="3"/>
      <c r="H15559" s="11"/>
      <c r="I15559" s="12"/>
      <c r="J15559" s="3"/>
      <c r="K15559" s="3"/>
      <c r="L15559" s="3"/>
      <c r="M15559" s="3"/>
      <c r="N15559" s="3"/>
      <c r="O15559" s="3"/>
      <c r="P15559" s="3"/>
      <c r="Q15559" s="3"/>
      <c r="R15559" s="3"/>
      <c r="S15559" s="3"/>
      <c r="T15559" s="3"/>
      <c r="U15559" s="3"/>
      <c r="V15559" s="3"/>
      <c r="W15559" s="3"/>
      <c r="X15559" s="3"/>
      <c r="Y15559" s="3"/>
      <c r="Z15559" s="3"/>
      <c r="AA15559" s="3"/>
      <c r="AB15559" s="3"/>
      <c r="AC15559" s="3"/>
      <c r="AD15559" s="3"/>
      <c r="AE15559" s="3"/>
      <c r="AF15559" s="3"/>
      <c r="AG15559" s="3"/>
      <c r="AH15559" s="3"/>
    </row>
    <row r="15560" spans="1:34" ht="15" customHeight="1" x14ac:dyDescent="0.25">
      <c r="A15560" s="3"/>
      <c r="B15560" s="3"/>
      <c r="C15560" s="3"/>
      <c r="D15560" s="3"/>
      <c r="E15560" s="3"/>
      <c r="F15560" s="3"/>
      <c r="G15560" s="3"/>
      <c r="H15560" s="11"/>
      <c r="I15560" s="12"/>
      <c r="J15560" s="3"/>
      <c r="K15560" s="3"/>
      <c r="L15560" s="3"/>
      <c r="M15560" s="3"/>
      <c r="N15560" s="3"/>
      <c r="O15560" s="3"/>
      <c r="P15560" s="3"/>
      <c r="Q15560" s="3"/>
      <c r="R15560" s="3"/>
      <c r="S15560" s="3"/>
      <c r="T15560" s="3"/>
      <c r="U15560" s="3"/>
      <c r="V15560" s="3"/>
      <c r="W15560" s="3"/>
      <c r="X15560" s="3"/>
      <c r="Y15560" s="3"/>
      <c r="Z15560" s="3"/>
      <c r="AA15560" s="3"/>
      <c r="AB15560" s="3"/>
      <c r="AC15560" s="3"/>
      <c r="AD15560" s="3"/>
      <c r="AE15560" s="3"/>
      <c r="AF15560" s="3"/>
      <c r="AG15560" s="3"/>
      <c r="AH15560" s="3"/>
    </row>
    <row r="15561" spans="1:34" ht="15" customHeight="1" x14ac:dyDescent="0.25">
      <c r="A15561" s="3"/>
      <c r="B15561" s="3"/>
      <c r="C15561" s="3"/>
      <c r="D15561" s="3"/>
      <c r="E15561" s="3"/>
      <c r="F15561" s="3"/>
      <c r="G15561" s="3"/>
      <c r="H15561" s="11"/>
      <c r="I15561" s="12"/>
      <c r="J15561" s="3"/>
      <c r="K15561" s="3"/>
      <c r="L15561" s="3"/>
      <c r="M15561" s="3"/>
      <c r="N15561" s="3"/>
      <c r="O15561" s="3"/>
      <c r="P15561" s="3"/>
      <c r="Q15561" s="3"/>
      <c r="R15561" s="3"/>
      <c r="S15561" s="3"/>
      <c r="T15561" s="3"/>
      <c r="U15561" s="3"/>
      <c r="V15561" s="3"/>
      <c r="W15561" s="3"/>
      <c r="X15561" s="3"/>
      <c r="Y15561" s="3"/>
      <c r="Z15561" s="3"/>
      <c r="AA15561" s="3"/>
      <c r="AB15561" s="3"/>
      <c r="AC15561" s="3"/>
      <c r="AD15561" s="3"/>
      <c r="AE15561" s="3"/>
      <c r="AF15561" s="3"/>
      <c r="AG15561" s="3"/>
      <c r="AH15561" s="3"/>
    </row>
    <row r="15562" spans="1:34" ht="15" customHeight="1" x14ac:dyDescent="0.25">
      <c r="A15562" s="3"/>
      <c r="B15562" s="3"/>
      <c r="C15562" s="3"/>
      <c r="D15562" s="3"/>
      <c r="E15562" s="3"/>
      <c r="F15562" s="3"/>
      <c r="G15562" s="3"/>
      <c r="H15562" s="11"/>
      <c r="I15562" s="12"/>
      <c r="J15562" s="3"/>
      <c r="K15562" s="3"/>
      <c r="L15562" s="3"/>
      <c r="M15562" s="3"/>
      <c r="N15562" s="3"/>
      <c r="O15562" s="3"/>
      <c r="P15562" s="3"/>
      <c r="Q15562" s="3"/>
      <c r="R15562" s="3"/>
      <c r="S15562" s="3"/>
      <c r="T15562" s="3"/>
      <c r="U15562" s="3"/>
      <c r="V15562" s="3"/>
      <c r="W15562" s="3"/>
      <c r="X15562" s="3"/>
      <c r="Y15562" s="3"/>
      <c r="Z15562" s="3"/>
      <c r="AA15562" s="3"/>
      <c r="AB15562" s="3"/>
      <c r="AC15562" s="3"/>
      <c r="AD15562" s="3"/>
      <c r="AE15562" s="3"/>
      <c r="AF15562" s="3"/>
      <c r="AG15562" s="3"/>
      <c r="AH15562" s="3"/>
    </row>
    <row r="15563" spans="1:34" ht="15" customHeight="1" x14ac:dyDescent="0.25">
      <c r="A15563" s="3"/>
      <c r="B15563" s="3"/>
      <c r="C15563" s="3"/>
      <c r="D15563" s="3"/>
      <c r="E15563" s="3"/>
      <c r="F15563" s="3"/>
      <c r="G15563" s="3"/>
      <c r="H15563" s="11"/>
      <c r="I15563" s="12"/>
      <c r="J15563" s="3"/>
      <c r="K15563" s="3"/>
      <c r="L15563" s="3"/>
      <c r="M15563" s="3"/>
      <c r="N15563" s="3"/>
      <c r="O15563" s="3"/>
      <c r="P15563" s="3"/>
      <c r="Q15563" s="3"/>
      <c r="R15563" s="3"/>
      <c r="S15563" s="3"/>
      <c r="T15563" s="3"/>
      <c r="U15563" s="3"/>
      <c r="V15563" s="3"/>
      <c r="W15563" s="3"/>
      <c r="X15563" s="3"/>
      <c r="Y15563" s="3"/>
      <c r="Z15563" s="3"/>
      <c r="AA15563" s="3"/>
      <c r="AB15563" s="3"/>
      <c r="AC15563" s="3"/>
      <c r="AD15563" s="3"/>
      <c r="AE15563" s="3"/>
      <c r="AF15563" s="3"/>
      <c r="AG15563" s="3"/>
      <c r="AH15563" s="3"/>
    </row>
    <row r="15564" spans="1:34" ht="15" customHeight="1" x14ac:dyDescent="0.25">
      <c r="A15564" s="3"/>
      <c r="B15564" s="3"/>
      <c r="C15564" s="3"/>
      <c r="D15564" s="3"/>
      <c r="E15564" s="3"/>
      <c r="F15564" s="3"/>
      <c r="G15564" s="3"/>
      <c r="H15564" s="11"/>
      <c r="I15564" s="12"/>
      <c r="J15564" s="3"/>
      <c r="K15564" s="3"/>
      <c r="L15564" s="3"/>
      <c r="M15564" s="3"/>
      <c r="N15564" s="3"/>
      <c r="O15564" s="3"/>
      <c r="P15564" s="3"/>
      <c r="Q15564" s="3"/>
      <c r="R15564" s="3"/>
      <c r="S15564" s="3"/>
      <c r="T15564" s="3"/>
      <c r="U15564" s="3"/>
      <c r="V15564" s="3"/>
      <c r="W15564" s="3"/>
      <c r="X15564" s="3"/>
      <c r="Y15564" s="3"/>
      <c r="Z15564" s="3"/>
      <c r="AA15564" s="3"/>
      <c r="AB15564" s="3"/>
      <c r="AC15564" s="3"/>
      <c r="AD15564" s="3"/>
      <c r="AE15564" s="3"/>
      <c r="AF15564" s="3"/>
      <c r="AG15564" s="3"/>
      <c r="AH15564" s="3"/>
    </row>
    <row r="15565" spans="1:34" ht="15" customHeight="1" x14ac:dyDescent="0.25">
      <c r="A15565" s="3"/>
      <c r="B15565" s="3"/>
      <c r="C15565" s="3"/>
      <c r="D15565" s="3"/>
      <c r="E15565" s="3"/>
      <c r="F15565" s="3"/>
      <c r="G15565" s="3"/>
      <c r="H15565" s="11"/>
      <c r="I15565" s="12"/>
      <c r="J15565" s="3"/>
      <c r="K15565" s="3"/>
      <c r="L15565" s="3"/>
      <c r="M15565" s="3"/>
      <c r="N15565" s="3"/>
      <c r="O15565" s="3"/>
      <c r="P15565" s="3"/>
      <c r="Q15565" s="3"/>
      <c r="R15565" s="3"/>
      <c r="S15565" s="3"/>
      <c r="T15565" s="3"/>
      <c r="U15565" s="3"/>
      <c r="V15565" s="3"/>
      <c r="W15565" s="3"/>
      <c r="X15565" s="3"/>
      <c r="Y15565" s="3"/>
      <c r="Z15565" s="3"/>
      <c r="AA15565" s="3"/>
      <c r="AB15565" s="3"/>
      <c r="AC15565" s="3"/>
      <c r="AD15565" s="3"/>
      <c r="AE15565" s="3"/>
      <c r="AF15565" s="3"/>
      <c r="AG15565" s="3"/>
      <c r="AH15565" s="3"/>
    </row>
    <row r="15566" spans="1:34" ht="15" customHeight="1" x14ac:dyDescent="0.25">
      <c r="A15566" s="3"/>
      <c r="B15566" s="3"/>
      <c r="C15566" s="3"/>
      <c r="D15566" s="3"/>
      <c r="E15566" s="3"/>
      <c r="F15566" s="3"/>
      <c r="G15566" s="3"/>
      <c r="H15566" s="11"/>
      <c r="I15566" s="12"/>
      <c r="J15566" s="3"/>
      <c r="K15566" s="3"/>
      <c r="L15566" s="3"/>
      <c r="M15566" s="3"/>
      <c r="N15566" s="3"/>
      <c r="O15566" s="3"/>
      <c r="P15566" s="3"/>
      <c r="Q15566" s="3"/>
      <c r="R15566" s="3"/>
      <c r="S15566" s="3"/>
      <c r="T15566" s="3"/>
      <c r="U15566" s="3"/>
      <c r="V15566" s="3"/>
      <c r="W15566" s="3"/>
      <c r="X15566" s="3"/>
      <c r="Y15566" s="3"/>
      <c r="Z15566" s="3"/>
      <c r="AA15566" s="3"/>
      <c r="AB15566" s="3"/>
      <c r="AC15566" s="3"/>
      <c r="AD15566" s="3"/>
      <c r="AE15566" s="3"/>
      <c r="AF15566" s="3"/>
      <c r="AG15566" s="3"/>
      <c r="AH15566" s="3"/>
    </row>
    <row r="15567" spans="1:34" ht="15" customHeight="1" x14ac:dyDescent="0.25">
      <c r="A15567" s="3"/>
      <c r="B15567" s="3"/>
      <c r="C15567" s="3"/>
      <c r="D15567" s="3"/>
      <c r="E15567" s="3"/>
      <c r="F15567" s="3"/>
      <c r="G15567" s="3"/>
      <c r="H15567" s="11"/>
      <c r="I15567" s="12"/>
      <c r="J15567" s="3"/>
      <c r="K15567" s="3"/>
      <c r="L15567" s="3"/>
      <c r="M15567" s="3"/>
      <c r="N15567" s="3"/>
      <c r="O15567" s="3"/>
      <c r="P15567" s="3"/>
      <c r="Q15567" s="3"/>
      <c r="R15567" s="3"/>
      <c r="S15567" s="3"/>
      <c r="T15567" s="3"/>
      <c r="U15567" s="3"/>
      <c r="V15567" s="3"/>
      <c r="W15567" s="3"/>
      <c r="X15567" s="3"/>
      <c r="Y15567" s="3"/>
      <c r="Z15567" s="3"/>
      <c r="AA15567" s="3"/>
      <c r="AB15567" s="3"/>
      <c r="AC15567" s="3"/>
      <c r="AD15567" s="3"/>
      <c r="AE15567" s="3"/>
      <c r="AF15567" s="3"/>
      <c r="AG15567" s="3"/>
      <c r="AH15567" s="3"/>
    </row>
    <row r="15568" spans="1:34" ht="15" customHeight="1" x14ac:dyDescent="0.25">
      <c r="A15568" s="3"/>
      <c r="B15568" s="3"/>
      <c r="C15568" s="3"/>
      <c r="D15568" s="3"/>
      <c r="E15568" s="3"/>
      <c r="F15568" s="3"/>
      <c r="G15568" s="3"/>
      <c r="H15568" s="11"/>
      <c r="I15568" s="12"/>
      <c r="J15568" s="3"/>
      <c r="K15568" s="3"/>
      <c r="L15568" s="3"/>
      <c r="M15568" s="3"/>
      <c r="N15568" s="3"/>
      <c r="O15568" s="3"/>
      <c r="P15568" s="3"/>
      <c r="Q15568" s="3"/>
      <c r="R15568" s="3"/>
      <c r="S15568" s="3"/>
      <c r="T15568" s="3"/>
      <c r="U15568" s="3"/>
      <c r="V15568" s="3"/>
      <c r="W15568" s="3"/>
      <c r="X15568" s="3"/>
      <c r="Y15568" s="3"/>
      <c r="Z15568" s="3"/>
      <c r="AA15568" s="3"/>
      <c r="AB15568" s="3"/>
      <c r="AC15568" s="3"/>
      <c r="AD15568" s="3"/>
      <c r="AE15568" s="3"/>
      <c r="AF15568" s="3"/>
      <c r="AG15568" s="3"/>
      <c r="AH15568" s="3"/>
    </row>
    <row r="15569" spans="1:34" ht="15" customHeight="1" x14ac:dyDescent="0.25">
      <c r="A15569" s="3"/>
      <c r="B15569" s="3"/>
      <c r="C15569" s="3"/>
      <c r="D15569" s="3"/>
      <c r="E15569" s="3"/>
      <c r="F15569" s="3"/>
      <c r="G15569" s="3"/>
      <c r="H15569" s="11"/>
      <c r="I15569" s="12"/>
      <c r="J15569" s="3"/>
      <c r="K15569" s="3"/>
      <c r="L15569" s="3"/>
      <c r="M15569" s="3"/>
      <c r="N15569" s="3"/>
      <c r="O15569" s="3"/>
      <c r="P15569" s="3"/>
      <c r="Q15569" s="3"/>
      <c r="R15569" s="3"/>
      <c r="S15569" s="3"/>
      <c r="T15569" s="3"/>
      <c r="U15569" s="3"/>
      <c r="V15569" s="3"/>
      <c r="W15569" s="3"/>
      <c r="X15569" s="3"/>
      <c r="Y15569" s="3"/>
      <c r="Z15569" s="3"/>
      <c r="AA15569" s="3"/>
      <c r="AB15569" s="3"/>
      <c r="AC15569" s="3"/>
      <c r="AD15569" s="3"/>
      <c r="AE15569" s="3"/>
      <c r="AF15569" s="3"/>
      <c r="AG15569" s="3"/>
      <c r="AH15569" s="3"/>
    </row>
    <row r="15570" spans="1:34" ht="15" customHeight="1" x14ac:dyDescent="0.25">
      <c r="A15570" s="3"/>
      <c r="B15570" s="3"/>
      <c r="C15570" s="3"/>
      <c r="D15570" s="3"/>
      <c r="E15570" s="3"/>
      <c r="F15570" s="3"/>
      <c r="G15570" s="3"/>
      <c r="H15570" s="11"/>
      <c r="I15570" s="12"/>
      <c r="J15570" s="3"/>
      <c r="K15570" s="3"/>
      <c r="L15570" s="3"/>
      <c r="M15570" s="3"/>
      <c r="N15570" s="3"/>
      <c r="O15570" s="3"/>
      <c r="P15570" s="3"/>
      <c r="Q15570" s="3"/>
      <c r="R15570" s="3"/>
      <c r="S15570" s="3"/>
      <c r="T15570" s="3"/>
      <c r="U15570" s="3"/>
      <c r="V15570" s="3"/>
      <c r="W15570" s="3"/>
      <c r="X15570" s="3"/>
      <c r="Y15570" s="3"/>
      <c r="Z15570" s="3"/>
      <c r="AA15570" s="3"/>
      <c r="AB15570" s="3"/>
      <c r="AC15570" s="3"/>
      <c r="AD15570" s="3"/>
      <c r="AE15570" s="3"/>
      <c r="AF15570" s="3"/>
      <c r="AG15570" s="3"/>
      <c r="AH15570" s="3"/>
    </row>
    <row r="15571" spans="1:34" ht="15" customHeight="1" x14ac:dyDescent="0.25">
      <c r="A15571" s="3"/>
      <c r="B15571" s="3"/>
      <c r="C15571" s="3"/>
      <c r="D15571" s="3"/>
      <c r="E15571" s="3"/>
      <c r="F15571" s="3"/>
      <c r="G15571" s="3"/>
      <c r="H15571" s="11"/>
      <c r="I15571" s="12"/>
      <c r="J15571" s="3"/>
      <c r="K15571" s="3"/>
      <c r="L15571" s="3"/>
      <c r="M15571" s="3"/>
      <c r="N15571" s="3"/>
      <c r="O15571" s="3"/>
      <c r="P15571" s="3"/>
      <c r="Q15571" s="3"/>
      <c r="R15571" s="3"/>
      <c r="S15571" s="3"/>
      <c r="T15571" s="3"/>
      <c r="U15571" s="3"/>
      <c r="V15571" s="3"/>
      <c r="W15571" s="3"/>
      <c r="X15571" s="3"/>
      <c r="Y15571" s="3"/>
      <c r="Z15571" s="3"/>
      <c r="AA15571" s="3"/>
      <c r="AB15571" s="3"/>
      <c r="AC15571" s="3"/>
      <c r="AD15571" s="3"/>
      <c r="AE15571" s="3"/>
      <c r="AF15571" s="3"/>
      <c r="AG15571" s="3"/>
      <c r="AH15571" s="3"/>
    </row>
    <row r="15572" spans="1:34" ht="15" customHeight="1" x14ac:dyDescent="0.25">
      <c r="A15572" s="3"/>
      <c r="B15572" s="3"/>
      <c r="C15572" s="3"/>
      <c r="D15572" s="3"/>
      <c r="E15572" s="3"/>
      <c r="F15572" s="3"/>
      <c r="G15572" s="3"/>
      <c r="H15572" s="11"/>
      <c r="I15572" s="12"/>
      <c r="J15572" s="3"/>
      <c r="K15572" s="3"/>
      <c r="L15572" s="3"/>
      <c r="M15572" s="3"/>
      <c r="N15572" s="3"/>
      <c r="O15572" s="3"/>
      <c r="P15572" s="3"/>
      <c r="Q15572" s="3"/>
      <c r="R15572" s="3"/>
      <c r="S15572" s="3"/>
      <c r="T15572" s="3"/>
      <c r="U15572" s="3"/>
      <c r="V15572" s="3"/>
      <c r="W15572" s="3"/>
      <c r="X15572" s="3"/>
      <c r="Y15572" s="3"/>
      <c r="Z15572" s="3"/>
      <c r="AA15572" s="3"/>
      <c r="AB15572" s="3"/>
      <c r="AC15572" s="3"/>
      <c r="AD15572" s="3"/>
      <c r="AE15572" s="3"/>
      <c r="AF15572" s="3"/>
      <c r="AG15572" s="3"/>
      <c r="AH15572" s="3"/>
    </row>
    <row r="15573" spans="1:34" ht="15" customHeight="1" x14ac:dyDescent="0.25">
      <c r="A15573" s="3"/>
      <c r="B15573" s="3"/>
      <c r="C15573" s="3"/>
      <c r="D15573" s="3"/>
      <c r="E15573" s="3"/>
      <c r="F15573" s="3"/>
      <c r="G15573" s="3"/>
      <c r="H15573" s="11"/>
      <c r="I15573" s="12"/>
      <c r="J15573" s="3"/>
      <c r="K15573" s="3"/>
      <c r="L15573" s="3"/>
      <c r="M15573" s="3"/>
      <c r="N15573" s="3"/>
      <c r="O15573" s="3"/>
      <c r="P15573" s="3"/>
      <c r="Q15573" s="3"/>
      <c r="R15573" s="3"/>
      <c r="S15573" s="3"/>
      <c r="T15573" s="3"/>
      <c r="U15573" s="3"/>
      <c r="V15573" s="3"/>
      <c r="W15573" s="3"/>
      <c r="X15573" s="3"/>
      <c r="Y15573" s="3"/>
      <c r="Z15573" s="3"/>
      <c r="AA15573" s="3"/>
      <c r="AB15573" s="3"/>
      <c r="AC15573" s="3"/>
      <c r="AD15573" s="3"/>
      <c r="AE15573" s="3"/>
      <c r="AF15573" s="3"/>
      <c r="AG15573" s="3"/>
      <c r="AH15573" s="3"/>
    </row>
    <row r="15574" spans="1:34" ht="15" customHeight="1" x14ac:dyDescent="0.25">
      <c r="A15574" s="3"/>
      <c r="B15574" s="3"/>
      <c r="C15574" s="3"/>
      <c r="D15574" s="3"/>
      <c r="E15574" s="3"/>
      <c r="F15574" s="3"/>
      <c r="G15574" s="3"/>
      <c r="H15574" s="11"/>
      <c r="I15574" s="12"/>
      <c r="J15574" s="3"/>
      <c r="K15574" s="3"/>
      <c r="L15574" s="3"/>
      <c r="M15574" s="3"/>
      <c r="N15574" s="3"/>
      <c r="O15574" s="3"/>
      <c r="P15574" s="3"/>
      <c r="Q15574" s="3"/>
      <c r="R15574" s="3"/>
      <c r="S15574" s="3"/>
      <c r="T15574" s="3"/>
      <c r="U15574" s="3"/>
      <c r="V15574" s="3"/>
      <c r="W15574" s="3"/>
      <c r="X15574" s="3"/>
      <c r="Y15574" s="3"/>
      <c r="Z15574" s="3"/>
      <c r="AA15574" s="3"/>
      <c r="AB15574" s="3"/>
      <c r="AC15574" s="3"/>
      <c r="AD15574" s="3"/>
      <c r="AE15574" s="3"/>
      <c r="AF15574" s="3"/>
      <c r="AG15574" s="3"/>
      <c r="AH15574" s="3"/>
    </row>
    <row r="15575" spans="1:34" ht="15" customHeight="1" x14ac:dyDescent="0.25">
      <c r="A15575" s="3"/>
      <c r="B15575" s="3"/>
      <c r="C15575" s="3"/>
      <c r="D15575" s="3"/>
      <c r="E15575" s="3"/>
      <c r="F15575" s="3"/>
      <c r="G15575" s="3"/>
      <c r="H15575" s="11"/>
      <c r="I15575" s="12"/>
      <c r="J15575" s="3"/>
      <c r="K15575" s="3"/>
      <c r="L15575" s="3"/>
      <c r="M15575" s="3"/>
      <c r="N15575" s="3"/>
      <c r="O15575" s="3"/>
      <c r="P15575" s="3"/>
      <c r="Q15575" s="3"/>
      <c r="R15575" s="3"/>
      <c r="S15575" s="3"/>
      <c r="T15575" s="3"/>
      <c r="U15575" s="3"/>
      <c r="V15575" s="3"/>
      <c r="W15575" s="3"/>
      <c r="X15575" s="3"/>
      <c r="Y15575" s="3"/>
      <c r="Z15575" s="3"/>
      <c r="AA15575" s="3"/>
      <c r="AB15575" s="3"/>
      <c r="AC15575" s="3"/>
      <c r="AD15575" s="3"/>
      <c r="AE15575" s="3"/>
      <c r="AF15575" s="3"/>
      <c r="AG15575" s="3"/>
      <c r="AH15575" s="3"/>
    </row>
    <row r="15576" spans="1:34" ht="15" customHeight="1" x14ac:dyDescent="0.25">
      <c r="A15576" s="3"/>
      <c r="B15576" s="3"/>
      <c r="C15576" s="3"/>
      <c r="D15576" s="3"/>
      <c r="E15576" s="3"/>
      <c r="F15576" s="3"/>
      <c r="G15576" s="3"/>
      <c r="H15576" s="11"/>
      <c r="I15576" s="12"/>
      <c r="J15576" s="3"/>
      <c r="K15576" s="3"/>
      <c r="L15576" s="3"/>
      <c r="M15576" s="3"/>
      <c r="N15576" s="3"/>
      <c r="O15576" s="3"/>
      <c r="P15576" s="3"/>
      <c r="Q15576" s="3"/>
      <c r="R15576" s="3"/>
      <c r="S15576" s="3"/>
      <c r="T15576" s="3"/>
      <c r="U15576" s="3"/>
      <c r="V15576" s="3"/>
      <c r="W15576" s="3"/>
      <c r="X15576" s="3"/>
      <c r="Y15576" s="3"/>
      <c r="Z15576" s="3"/>
      <c r="AA15576" s="3"/>
      <c r="AB15576" s="3"/>
      <c r="AC15576" s="3"/>
      <c r="AD15576" s="3"/>
      <c r="AE15576" s="3"/>
      <c r="AF15576" s="3"/>
      <c r="AG15576" s="3"/>
      <c r="AH15576" s="3"/>
    </row>
    <row r="15577" spans="1:34" ht="15" customHeight="1" x14ac:dyDescent="0.25">
      <c r="A15577" s="3"/>
      <c r="B15577" s="3"/>
      <c r="C15577" s="3"/>
      <c r="D15577" s="3"/>
      <c r="E15577" s="3"/>
      <c r="F15577" s="3"/>
      <c r="G15577" s="3"/>
      <c r="H15577" s="11"/>
      <c r="I15577" s="12"/>
      <c r="J15577" s="3"/>
      <c r="K15577" s="3"/>
      <c r="L15577" s="3"/>
      <c r="M15577" s="3"/>
      <c r="N15577" s="3"/>
      <c r="O15577" s="3"/>
      <c r="P15577" s="3"/>
      <c r="Q15577" s="3"/>
      <c r="R15577" s="3"/>
      <c r="S15577" s="3"/>
      <c r="T15577" s="3"/>
      <c r="U15577" s="3"/>
      <c r="V15577" s="3"/>
      <c r="W15577" s="3"/>
      <c r="X15577" s="3"/>
      <c r="Y15577" s="3"/>
      <c r="Z15577" s="3"/>
      <c r="AA15577" s="3"/>
      <c r="AB15577" s="3"/>
      <c r="AC15577" s="3"/>
      <c r="AD15577" s="3"/>
      <c r="AE15577" s="3"/>
      <c r="AF15577" s="3"/>
      <c r="AG15577" s="3"/>
      <c r="AH15577" s="3"/>
    </row>
    <row r="15578" spans="1:34" ht="15" customHeight="1" x14ac:dyDescent="0.25">
      <c r="A15578" s="3"/>
      <c r="B15578" s="3"/>
      <c r="C15578" s="3"/>
      <c r="D15578" s="3"/>
      <c r="E15578" s="3"/>
      <c r="F15578" s="3"/>
      <c r="G15578" s="3"/>
      <c r="H15578" s="11"/>
      <c r="I15578" s="12"/>
      <c r="J15578" s="3"/>
      <c r="K15578" s="3"/>
      <c r="L15578" s="3"/>
      <c r="M15578" s="3"/>
      <c r="N15578" s="3"/>
      <c r="O15578" s="3"/>
      <c r="P15578" s="3"/>
      <c r="Q15578" s="3"/>
      <c r="R15578" s="3"/>
      <c r="S15578" s="3"/>
      <c r="T15578" s="3"/>
      <c r="U15578" s="3"/>
      <c r="V15578" s="3"/>
      <c r="W15578" s="3"/>
      <c r="X15578" s="3"/>
      <c r="Y15578" s="3"/>
      <c r="Z15578" s="3"/>
      <c r="AA15578" s="3"/>
      <c r="AB15578" s="3"/>
      <c r="AC15578" s="3"/>
      <c r="AD15578" s="3"/>
      <c r="AE15578" s="3"/>
      <c r="AF15578" s="3"/>
      <c r="AG15578" s="3"/>
      <c r="AH15578" s="3"/>
    </row>
    <row r="15579" spans="1:34" ht="15" customHeight="1" x14ac:dyDescent="0.25">
      <c r="A15579" s="3"/>
      <c r="B15579" s="3"/>
      <c r="C15579" s="3"/>
      <c r="D15579" s="3"/>
      <c r="E15579" s="3"/>
      <c r="F15579" s="3"/>
      <c r="G15579" s="3"/>
      <c r="H15579" s="11"/>
      <c r="I15579" s="12"/>
      <c r="J15579" s="3"/>
      <c r="K15579" s="3"/>
      <c r="L15579" s="3"/>
      <c r="M15579" s="3"/>
      <c r="N15579" s="3"/>
      <c r="O15579" s="3"/>
      <c r="P15579" s="3"/>
      <c r="Q15579" s="3"/>
      <c r="R15579" s="3"/>
      <c r="S15579" s="3"/>
      <c r="T15579" s="3"/>
      <c r="U15579" s="3"/>
      <c r="V15579" s="3"/>
      <c r="W15579" s="3"/>
      <c r="X15579" s="3"/>
      <c r="Y15579" s="3"/>
      <c r="Z15579" s="3"/>
      <c r="AA15579" s="3"/>
      <c r="AB15579" s="3"/>
      <c r="AC15579" s="3"/>
      <c r="AD15579" s="3"/>
      <c r="AE15579" s="3"/>
      <c r="AF15579" s="3"/>
      <c r="AG15579" s="3"/>
      <c r="AH15579" s="3"/>
    </row>
    <row r="15580" spans="1:34" ht="15" customHeight="1" x14ac:dyDescent="0.25">
      <c r="A15580" s="3"/>
      <c r="B15580" s="3"/>
      <c r="C15580" s="3"/>
      <c r="D15580" s="3"/>
      <c r="E15580" s="3"/>
      <c r="F15580" s="3"/>
      <c r="G15580" s="3"/>
      <c r="H15580" s="11"/>
      <c r="I15580" s="12"/>
      <c r="J15580" s="3"/>
      <c r="K15580" s="3"/>
      <c r="L15580" s="3"/>
      <c r="M15580" s="3"/>
      <c r="N15580" s="3"/>
      <c r="O15580" s="3"/>
      <c r="P15580" s="3"/>
      <c r="Q15580" s="3"/>
      <c r="R15580" s="3"/>
      <c r="S15580" s="3"/>
      <c r="T15580" s="3"/>
      <c r="U15580" s="3"/>
      <c r="V15580" s="3"/>
      <c r="W15580" s="3"/>
      <c r="X15580" s="3"/>
      <c r="Y15580" s="3"/>
      <c r="Z15580" s="3"/>
      <c r="AA15580" s="3"/>
      <c r="AB15580" s="3"/>
      <c r="AC15580" s="3"/>
      <c r="AD15580" s="3"/>
      <c r="AE15580" s="3"/>
      <c r="AF15580" s="3"/>
      <c r="AG15580" s="3"/>
      <c r="AH15580" s="3"/>
    </row>
    <row r="15581" spans="1:34" ht="15" customHeight="1" x14ac:dyDescent="0.25">
      <c r="A15581" s="3"/>
      <c r="B15581" s="3"/>
      <c r="C15581" s="3"/>
      <c r="D15581" s="3"/>
      <c r="E15581" s="3"/>
      <c r="F15581" s="3"/>
      <c r="G15581" s="3"/>
      <c r="H15581" s="11"/>
      <c r="I15581" s="12"/>
      <c r="J15581" s="3"/>
      <c r="K15581" s="3"/>
      <c r="L15581" s="3"/>
      <c r="M15581" s="3"/>
      <c r="N15581" s="3"/>
      <c r="O15581" s="3"/>
      <c r="P15581" s="3"/>
      <c r="Q15581" s="3"/>
      <c r="R15581" s="3"/>
      <c r="S15581" s="3"/>
      <c r="T15581" s="3"/>
      <c r="U15581" s="3"/>
      <c r="V15581" s="3"/>
      <c r="W15581" s="3"/>
      <c r="X15581" s="3"/>
      <c r="Y15581" s="3"/>
      <c r="Z15581" s="3"/>
      <c r="AA15581" s="3"/>
      <c r="AB15581" s="3"/>
      <c r="AC15581" s="3"/>
      <c r="AD15581" s="3"/>
      <c r="AE15581" s="3"/>
      <c r="AF15581" s="3"/>
      <c r="AG15581" s="3"/>
      <c r="AH15581" s="3"/>
    </row>
    <row r="15582" spans="1:34" ht="15" customHeight="1" x14ac:dyDescent="0.25">
      <c r="A15582" s="3"/>
      <c r="B15582" s="3"/>
      <c r="C15582" s="3"/>
      <c r="D15582" s="3"/>
      <c r="E15582" s="3"/>
      <c r="F15582" s="3"/>
      <c r="G15582" s="3"/>
      <c r="H15582" s="11"/>
      <c r="I15582" s="12"/>
      <c r="J15582" s="3"/>
      <c r="K15582" s="3"/>
      <c r="L15582" s="3"/>
      <c r="M15582" s="3"/>
      <c r="N15582" s="3"/>
      <c r="O15582" s="3"/>
      <c r="P15582" s="3"/>
      <c r="Q15582" s="3"/>
      <c r="R15582" s="3"/>
      <c r="S15582" s="3"/>
      <c r="T15582" s="3"/>
      <c r="U15582" s="3"/>
      <c r="V15582" s="3"/>
      <c r="W15582" s="3"/>
      <c r="X15582" s="3"/>
      <c r="Y15582" s="3"/>
      <c r="Z15582" s="3"/>
      <c r="AA15582" s="3"/>
      <c r="AB15582" s="3"/>
      <c r="AC15582" s="3"/>
      <c r="AD15582" s="3"/>
      <c r="AE15582" s="3"/>
      <c r="AF15582" s="3"/>
      <c r="AG15582" s="3"/>
      <c r="AH15582" s="3"/>
    </row>
    <row r="15583" spans="1:34" ht="15" customHeight="1" x14ac:dyDescent="0.25">
      <c r="A15583" s="3"/>
      <c r="B15583" s="3"/>
      <c r="C15583" s="3"/>
      <c r="D15583" s="3"/>
      <c r="E15583" s="3"/>
      <c r="F15583" s="3"/>
      <c r="G15583" s="3"/>
      <c r="H15583" s="11"/>
      <c r="I15583" s="12"/>
      <c r="J15583" s="3"/>
      <c r="K15583" s="3"/>
      <c r="L15583" s="3"/>
      <c r="M15583" s="3"/>
      <c r="N15583" s="3"/>
      <c r="O15583" s="3"/>
      <c r="P15583" s="3"/>
      <c r="Q15583" s="3"/>
      <c r="R15583" s="3"/>
      <c r="S15583" s="3"/>
      <c r="T15583" s="3"/>
      <c r="U15583" s="3"/>
      <c r="V15583" s="3"/>
      <c r="W15583" s="3"/>
      <c r="X15583" s="3"/>
      <c r="Y15583" s="3"/>
      <c r="Z15583" s="3"/>
      <c r="AA15583" s="3"/>
      <c r="AB15583" s="3"/>
      <c r="AC15583" s="3"/>
      <c r="AD15583" s="3"/>
      <c r="AE15583" s="3"/>
      <c r="AF15583" s="3"/>
      <c r="AG15583" s="3"/>
      <c r="AH15583" s="3"/>
    </row>
    <row r="15584" spans="1:34" ht="15" customHeight="1" x14ac:dyDescent="0.25">
      <c r="A15584" s="3"/>
      <c r="B15584" s="3"/>
      <c r="C15584" s="3"/>
      <c r="D15584" s="3"/>
      <c r="E15584" s="3"/>
      <c r="F15584" s="3"/>
      <c r="G15584" s="3"/>
      <c r="H15584" s="11"/>
      <c r="I15584" s="12"/>
      <c r="J15584" s="3"/>
      <c r="K15584" s="3"/>
      <c r="L15584" s="3"/>
      <c r="M15584" s="3"/>
      <c r="N15584" s="3"/>
      <c r="O15584" s="3"/>
      <c r="P15584" s="3"/>
      <c r="Q15584" s="3"/>
      <c r="R15584" s="3"/>
      <c r="S15584" s="3"/>
      <c r="T15584" s="3"/>
      <c r="U15584" s="3"/>
      <c r="V15584" s="3"/>
      <c r="W15584" s="3"/>
      <c r="X15584" s="3"/>
      <c r="Y15584" s="3"/>
      <c r="Z15584" s="3"/>
      <c r="AA15584" s="3"/>
      <c r="AB15584" s="3"/>
      <c r="AC15584" s="3"/>
      <c r="AD15584" s="3"/>
      <c r="AE15584" s="3"/>
      <c r="AF15584" s="3"/>
      <c r="AG15584" s="3"/>
      <c r="AH15584" s="3"/>
    </row>
    <row r="15585" spans="1:34" ht="15" customHeight="1" x14ac:dyDescent="0.25">
      <c r="A15585" s="3"/>
      <c r="B15585" s="3"/>
      <c r="C15585" s="3"/>
      <c r="D15585" s="3"/>
      <c r="E15585" s="3"/>
      <c r="F15585" s="3"/>
      <c r="G15585" s="3"/>
      <c r="H15585" s="11"/>
      <c r="I15585" s="12"/>
      <c r="J15585" s="3"/>
      <c r="K15585" s="3"/>
      <c r="L15585" s="3"/>
      <c r="M15585" s="3"/>
      <c r="N15585" s="3"/>
      <c r="O15585" s="3"/>
      <c r="P15585" s="3"/>
      <c r="Q15585" s="3"/>
      <c r="R15585" s="3"/>
      <c r="S15585" s="3"/>
      <c r="T15585" s="3"/>
      <c r="U15585" s="3"/>
      <c r="V15585" s="3"/>
      <c r="W15585" s="3"/>
      <c r="X15585" s="3"/>
      <c r="Y15585" s="3"/>
      <c r="Z15585" s="3"/>
      <c r="AA15585" s="3"/>
      <c r="AB15585" s="3"/>
      <c r="AC15585" s="3"/>
      <c r="AD15585" s="3"/>
      <c r="AE15585" s="3"/>
      <c r="AF15585" s="3"/>
      <c r="AG15585" s="3"/>
      <c r="AH15585" s="3"/>
    </row>
    <row r="15586" spans="1:34" ht="15" customHeight="1" x14ac:dyDescent="0.25">
      <c r="A15586" s="3"/>
      <c r="B15586" s="3"/>
      <c r="C15586" s="3"/>
      <c r="D15586" s="3"/>
      <c r="E15586" s="3"/>
      <c r="F15586" s="3"/>
      <c r="G15586" s="3"/>
      <c r="H15586" s="11"/>
      <c r="I15586" s="12"/>
      <c r="J15586" s="3"/>
      <c r="K15586" s="3"/>
      <c r="L15586" s="3"/>
      <c r="M15586" s="3"/>
      <c r="N15586" s="3"/>
      <c r="O15586" s="3"/>
      <c r="P15586" s="3"/>
      <c r="Q15586" s="3"/>
      <c r="R15586" s="3"/>
      <c r="S15586" s="3"/>
      <c r="T15586" s="3"/>
      <c r="U15586" s="3"/>
      <c r="V15586" s="3"/>
      <c r="W15586" s="3"/>
      <c r="X15586" s="3"/>
      <c r="Y15586" s="3"/>
      <c r="Z15586" s="3"/>
      <c r="AA15586" s="3"/>
      <c r="AB15586" s="3"/>
      <c r="AC15586" s="3"/>
      <c r="AD15586" s="3"/>
      <c r="AE15586" s="3"/>
      <c r="AF15586" s="3"/>
      <c r="AG15586" s="3"/>
      <c r="AH15586" s="3"/>
    </row>
    <row r="15587" spans="1:34" ht="15" customHeight="1" x14ac:dyDescent="0.25">
      <c r="A15587" s="3"/>
      <c r="B15587" s="3"/>
      <c r="C15587" s="3"/>
      <c r="D15587" s="3"/>
      <c r="E15587" s="3"/>
      <c r="F15587" s="3"/>
      <c r="G15587" s="3"/>
      <c r="H15587" s="11"/>
      <c r="I15587" s="12"/>
      <c r="J15587" s="3"/>
      <c r="K15587" s="3"/>
      <c r="L15587" s="3"/>
      <c r="M15587" s="3"/>
      <c r="N15587" s="3"/>
      <c r="O15587" s="3"/>
      <c r="P15587" s="3"/>
      <c r="Q15587" s="3"/>
      <c r="R15587" s="3"/>
      <c r="S15587" s="3"/>
      <c r="T15587" s="3"/>
      <c r="U15587" s="3"/>
      <c r="V15587" s="3"/>
      <c r="W15587" s="3"/>
      <c r="X15587" s="3"/>
      <c r="Y15587" s="3"/>
      <c r="Z15587" s="3"/>
      <c r="AA15587" s="3"/>
      <c r="AB15587" s="3"/>
      <c r="AC15587" s="3"/>
      <c r="AD15587" s="3"/>
      <c r="AE15587" s="3"/>
      <c r="AF15587" s="3"/>
      <c r="AG15587" s="3"/>
      <c r="AH15587" s="3"/>
    </row>
    <row r="15588" spans="1:34" ht="15" customHeight="1" x14ac:dyDescent="0.25">
      <c r="A15588" s="3"/>
      <c r="B15588" s="3"/>
      <c r="C15588" s="3"/>
      <c r="D15588" s="3"/>
      <c r="E15588" s="3"/>
      <c r="F15588" s="3"/>
      <c r="G15588" s="3"/>
      <c r="H15588" s="11"/>
      <c r="I15588" s="12"/>
      <c r="J15588" s="3"/>
      <c r="K15588" s="3"/>
      <c r="L15588" s="3"/>
      <c r="M15588" s="3"/>
      <c r="N15588" s="3"/>
      <c r="O15588" s="3"/>
      <c r="P15588" s="3"/>
      <c r="Q15588" s="3"/>
      <c r="R15588" s="3"/>
      <c r="S15588" s="3"/>
      <c r="T15588" s="3"/>
      <c r="U15588" s="3"/>
      <c r="V15588" s="3"/>
      <c r="W15588" s="3"/>
      <c r="X15588" s="3"/>
      <c r="Y15588" s="3"/>
      <c r="Z15588" s="3"/>
      <c r="AA15588" s="3"/>
      <c r="AB15588" s="3"/>
      <c r="AC15588" s="3"/>
      <c r="AD15588" s="3"/>
      <c r="AE15588" s="3"/>
      <c r="AF15588" s="3"/>
      <c r="AG15588" s="3"/>
      <c r="AH15588" s="3"/>
    </row>
    <row r="15589" spans="1:34" ht="15" customHeight="1" x14ac:dyDescent="0.25">
      <c r="A15589" s="3"/>
      <c r="B15589" s="3"/>
      <c r="C15589" s="3"/>
      <c r="D15589" s="3"/>
      <c r="E15589" s="3"/>
      <c r="F15589" s="3"/>
      <c r="G15589" s="3"/>
      <c r="H15589" s="11"/>
      <c r="I15589" s="12"/>
      <c r="J15589" s="3"/>
      <c r="K15589" s="3"/>
      <c r="L15589" s="3"/>
      <c r="M15589" s="3"/>
      <c r="N15589" s="3"/>
      <c r="O15589" s="3"/>
      <c r="P15589" s="3"/>
      <c r="Q15589" s="3"/>
      <c r="R15589" s="3"/>
      <c r="S15589" s="3"/>
      <c r="T15589" s="3"/>
      <c r="U15589" s="3"/>
      <c r="V15589" s="3"/>
      <c r="W15589" s="3"/>
      <c r="X15589" s="3"/>
      <c r="Y15589" s="3"/>
      <c r="Z15589" s="3"/>
      <c r="AA15589" s="3"/>
      <c r="AB15589" s="3"/>
      <c r="AC15589" s="3"/>
      <c r="AD15589" s="3"/>
      <c r="AE15589" s="3"/>
      <c r="AF15589" s="3"/>
      <c r="AG15589" s="3"/>
      <c r="AH15589" s="3"/>
    </row>
    <row r="15590" spans="1:34" ht="15" customHeight="1" x14ac:dyDescent="0.25">
      <c r="A15590" s="3"/>
      <c r="B15590" s="3"/>
      <c r="C15590" s="3"/>
      <c r="D15590" s="3"/>
      <c r="E15590" s="3"/>
      <c r="F15590" s="3"/>
      <c r="G15590" s="3"/>
      <c r="H15590" s="11"/>
      <c r="I15590" s="12"/>
      <c r="J15590" s="3"/>
      <c r="K15590" s="3"/>
      <c r="L15590" s="3"/>
      <c r="M15590" s="3"/>
      <c r="N15590" s="3"/>
      <c r="O15590" s="3"/>
      <c r="P15590" s="3"/>
      <c r="Q15590" s="3"/>
      <c r="R15590" s="3"/>
      <c r="S15590" s="3"/>
      <c r="T15590" s="3"/>
      <c r="U15590" s="3"/>
      <c r="V15590" s="3"/>
      <c r="W15590" s="3"/>
      <c r="X15590" s="3"/>
      <c r="Y15590" s="3"/>
      <c r="Z15590" s="3"/>
      <c r="AA15590" s="3"/>
      <c r="AB15590" s="3"/>
      <c r="AC15590" s="3"/>
      <c r="AD15590" s="3"/>
      <c r="AE15590" s="3"/>
      <c r="AF15590" s="3"/>
      <c r="AG15590" s="3"/>
      <c r="AH15590" s="3"/>
    </row>
    <row r="15591" spans="1:34" ht="15" customHeight="1" x14ac:dyDescent="0.25">
      <c r="A15591" s="3"/>
      <c r="B15591" s="3"/>
      <c r="C15591" s="3"/>
      <c r="D15591" s="3"/>
      <c r="E15591" s="3"/>
      <c r="F15591" s="3"/>
      <c r="G15591" s="3"/>
      <c r="H15591" s="11"/>
      <c r="I15591" s="12"/>
      <c r="J15591" s="3"/>
      <c r="K15591" s="3"/>
      <c r="L15591" s="3"/>
      <c r="M15591" s="3"/>
      <c r="N15591" s="3"/>
      <c r="O15591" s="3"/>
      <c r="P15591" s="3"/>
      <c r="Q15591" s="3"/>
      <c r="R15591" s="3"/>
      <c r="S15591" s="3"/>
      <c r="T15591" s="3"/>
      <c r="U15591" s="3"/>
      <c r="V15591" s="3"/>
      <c r="W15591" s="3"/>
      <c r="X15591" s="3"/>
      <c r="Y15591" s="3"/>
      <c r="Z15591" s="3"/>
      <c r="AA15591" s="3"/>
      <c r="AB15591" s="3"/>
      <c r="AC15591" s="3"/>
      <c r="AD15591" s="3"/>
      <c r="AE15591" s="3"/>
      <c r="AF15591" s="3"/>
      <c r="AG15591" s="3"/>
      <c r="AH15591" s="3"/>
    </row>
    <row r="15592" spans="1:34" ht="15" customHeight="1" x14ac:dyDescent="0.25">
      <c r="A15592" s="3"/>
      <c r="B15592" s="3"/>
      <c r="C15592" s="3"/>
      <c r="D15592" s="3"/>
      <c r="E15592" s="3"/>
      <c r="F15592" s="3"/>
      <c r="G15592" s="3"/>
      <c r="H15592" s="11"/>
      <c r="I15592" s="12"/>
      <c r="J15592" s="3"/>
      <c r="K15592" s="3"/>
      <c r="L15592" s="3"/>
      <c r="M15592" s="3"/>
      <c r="N15592" s="3"/>
      <c r="O15592" s="3"/>
      <c r="P15592" s="3"/>
      <c r="Q15592" s="3"/>
      <c r="R15592" s="3"/>
      <c r="S15592" s="3"/>
      <c r="T15592" s="3"/>
      <c r="U15592" s="3"/>
      <c r="V15592" s="3"/>
      <c r="W15592" s="3"/>
      <c r="X15592" s="3"/>
      <c r="Y15592" s="3"/>
      <c r="Z15592" s="3"/>
      <c r="AA15592" s="3"/>
      <c r="AB15592" s="3"/>
      <c r="AC15592" s="3"/>
      <c r="AD15592" s="3"/>
      <c r="AE15592" s="3"/>
      <c r="AF15592" s="3"/>
      <c r="AG15592" s="3"/>
      <c r="AH15592" s="3"/>
    </row>
    <row r="15593" spans="1:34" ht="15" customHeight="1" x14ac:dyDescent="0.25">
      <c r="A15593" s="3"/>
      <c r="B15593" s="3"/>
      <c r="C15593" s="3"/>
      <c r="D15593" s="3"/>
      <c r="E15593" s="3"/>
      <c r="F15593" s="3"/>
      <c r="G15593" s="3"/>
      <c r="H15593" s="11"/>
      <c r="I15593" s="12"/>
      <c r="J15593" s="3"/>
      <c r="K15593" s="3"/>
      <c r="L15593" s="3"/>
      <c r="M15593" s="3"/>
      <c r="N15593" s="3"/>
      <c r="O15593" s="3"/>
      <c r="P15593" s="3"/>
      <c r="Q15593" s="3"/>
      <c r="R15593" s="3"/>
      <c r="S15593" s="3"/>
      <c r="T15593" s="3"/>
      <c r="U15593" s="3"/>
      <c r="V15593" s="3"/>
      <c r="W15593" s="3"/>
      <c r="X15593" s="3"/>
      <c r="Y15593" s="3"/>
      <c r="Z15593" s="3"/>
      <c r="AA15593" s="3"/>
      <c r="AB15593" s="3"/>
      <c r="AC15593" s="3"/>
      <c r="AD15593" s="3"/>
      <c r="AE15593" s="3"/>
      <c r="AF15593" s="3"/>
      <c r="AG15593" s="3"/>
      <c r="AH15593" s="3"/>
    </row>
    <row r="15594" spans="1:34" ht="15" customHeight="1" x14ac:dyDescent="0.25">
      <c r="A15594" s="3"/>
      <c r="B15594" s="3"/>
      <c r="C15594" s="3"/>
      <c r="D15594" s="3"/>
      <c r="E15594" s="3"/>
      <c r="F15594" s="3"/>
      <c r="G15594" s="3"/>
      <c r="H15594" s="11"/>
      <c r="I15594" s="12"/>
      <c r="J15594" s="3"/>
      <c r="K15594" s="3"/>
      <c r="L15594" s="3"/>
      <c r="M15594" s="3"/>
      <c r="N15594" s="3"/>
      <c r="O15594" s="3"/>
      <c r="P15594" s="3"/>
      <c r="Q15594" s="3"/>
      <c r="R15594" s="3"/>
      <c r="S15594" s="3"/>
      <c r="T15594" s="3"/>
      <c r="U15594" s="3"/>
      <c r="V15594" s="3"/>
      <c r="W15594" s="3"/>
      <c r="X15594" s="3"/>
      <c r="Y15594" s="3"/>
      <c r="Z15594" s="3"/>
      <c r="AA15594" s="3"/>
      <c r="AB15594" s="3"/>
      <c r="AC15594" s="3"/>
      <c r="AD15594" s="3"/>
      <c r="AE15594" s="3"/>
      <c r="AF15594" s="3"/>
      <c r="AG15594" s="3"/>
      <c r="AH15594" s="3"/>
    </row>
    <row r="15595" spans="1:34" ht="15" customHeight="1" x14ac:dyDescent="0.25">
      <c r="A15595" s="3"/>
      <c r="B15595" s="3"/>
      <c r="C15595" s="3"/>
      <c r="D15595" s="3"/>
      <c r="E15595" s="3"/>
      <c r="F15595" s="3"/>
      <c r="G15595" s="3"/>
      <c r="H15595" s="11"/>
      <c r="I15595" s="12"/>
      <c r="J15595" s="3"/>
      <c r="K15595" s="3"/>
      <c r="L15595" s="3"/>
      <c r="M15595" s="3"/>
      <c r="N15595" s="3"/>
      <c r="O15595" s="3"/>
      <c r="P15595" s="3"/>
      <c r="Q15595" s="3"/>
      <c r="R15595" s="3"/>
      <c r="S15595" s="3"/>
      <c r="T15595" s="3"/>
      <c r="U15595" s="3"/>
      <c r="V15595" s="3"/>
      <c r="W15595" s="3"/>
      <c r="X15595" s="3"/>
      <c r="Y15595" s="3"/>
      <c r="Z15595" s="3"/>
      <c r="AA15595" s="3"/>
      <c r="AB15595" s="3"/>
      <c r="AC15595" s="3"/>
      <c r="AD15595" s="3"/>
      <c r="AE15595" s="3"/>
      <c r="AF15595" s="3"/>
      <c r="AG15595" s="3"/>
      <c r="AH15595" s="3"/>
    </row>
    <row r="15596" spans="1:34" ht="15" customHeight="1" x14ac:dyDescent="0.25">
      <c r="A15596" s="3"/>
      <c r="B15596" s="3"/>
      <c r="C15596" s="3"/>
      <c r="D15596" s="3"/>
      <c r="E15596" s="3"/>
      <c r="F15596" s="3"/>
      <c r="G15596" s="3"/>
      <c r="H15596" s="11"/>
      <c r="I15596" s="12"/>
      <c r="J15596" s="3"/>
      <c r="K15596" s="3"/>
      <c r="L15596" s="3"/>
      <c r="M15596" s="3"/>
      <c r="N15596" s="3"/>
      <c r="O15596" s="3"/>
      <c r="P15596" s="3"/>
      <c r="Q15596" s="3"/>
      <c r="R15596" s="3"/>
      <c r="S15596" s="3"/>
      <c r="T15596" s="3"/>
      <c r="U15596" s="3"/>
      <c r="V15596" s="3"/>
      <c r="W15596" s="3"/>
      <c r="X15596" s="3"/>
      <c r="Y15596" s="3"/>
      <c r="Z15596" s="3"/>
      <c r="AA15596" s="3"/>
      <c r="AB15596" s="3"/>
      <c r="AC15596" s="3"/>
      <c r="AD15596" s="3"/>
      <c r="AE15596" s="3"/>
      <c r="AF15596" s="3"/>
      <c r="AG15596" s="3"/>
      <c r="AH15596" s="3"/>
    </row>
    <row r="15597" spans="1:34" ht="15" customHeight="1" x14ac:dyDescent="0.25">
      <c r="A15597" s="3"/>
      <c r="B15597" s="3"/>
      <c r="C15597" s="3"/>
      <c r="D15597" s="3"/>
      <c r="E15597" s="3"/>
      <c r="F15597" s="3"/>
      <c r="G15597" s="3"/>
      <c r="H15597" s="11"/>
      <c r="I15597" s="12"/>
      <c r="J15597" s="3"/>
      <c r="K15597" s="3"/>
      <c r="L15597" s="3"/>
      <c r="M15597" s="3"/>
      <c r="N15597" s="3"/>
      <c r="O15597" s="3"/>
      <c r="P15597" s="3"/>
      <c r="Q15597" s="3"/>
      <c r="R15597" s="3"/>
      <c r="S15597" s="3"/>
      <c r="T15597" s="3"/>
      <c r="U15597" s="3"/>
      <c r="V15597" s="3"/>
      <c r="W15597" s="3"/>
      <c r="X15597" s="3"/>
      <c r="Y15597" s="3"/>
      <c r="Z15597" s="3"/>
      <c r="AA15597" s="3"/>
      <c r="AB15597" s="3"/>
      <c r="AC15597" s="3"/>
      <c r="AD15597" s="3"/>
      <c r="AE15597" s="3"/>
      <c r="AF15597" s="3"/>
      <c r="AG15597" s="3"/>
      <c r="AH15597" s="3"/>
    </row>
    <row r="15598" spans="1:34" ht="15" customHeight="1" x14ac:dyDescent="0.25">
      <c r="A15598" s="3"/>
      <c r="B15598" s="3"/>
      <c r="C15598" s="3"/>
      <c r="D15598" s="3"/>
      <c r="E15598" s="3"/>
      <c r="F15598" s="3"/>
      <c r="G15598" s="3"/>
      <c r="H15598" s="11"/>
      <c r="I15598" s="12"/>
      <c r="J15598" s="3"/>
      <c r="K15598" s="3"/>
      <c r="L15598" s="3"/>
      <c r="M15598" s="3"/>
      <c r="N15598" s="3"/>
      <c r="O15598" s="3"/>
      <c r="P15598" s="3"/>
      <c r="Q15598" s="3"/>
      <c r="R15598" s="3"/>
      <c r="S15598" s="3"/>
      <c r="T15598" s="3"/>
      <c r="U15598" s="3"/>
      <c r="V15598" s="3"/>
      <c r="W15598" s="3"/>
      <c r="X15598" s="3"/>
      <c r="Y15598" s="3"/>
      <c r="Z15598" s="3"/>
      <c r="AA15598" s="3"/>
      <c r="AB15598" s="3"/>
      <c r="AC15598" s="3"/>
      <c r="AD15598" s="3"/>
      <c r="AE15598" s="3"/>
      <c r="AF15598" s="3"/>
      <c r="AG15598" s="3"/>
      <c r="AH15598" s="3"/>
    </row>
    <row r="15599" spans="1:34" ht="15" customHeight="1" x14ac:dyDescent="0.25">
      <c r="A15599" s="3"/>
      <c r="B15599" s="3"/>
      <c r="C15599" s="3"/>
      <c r="D15599" s="3"/>
      <c r="E15599" s="3"/>
      <c r="F15599" s="3"/>
      <c r="G15599" s="3"/>
      <c r="H15599" s="11"/>
      <c r="I15599" s="12"/>
      <c r="J15599" s="3"/>
      <c r="K15599" s="3"/>
      <c r="L15599" s="3"/>
      <c r="M15599" s="3"/>
      <c r="N15599" s="3"/>
      <c r="O15599" s="3"/>
      <c r="P15599" s="3"/>
      <c r="Q15599" s="3"/>
      <c r="R15599" s="3"/>
      <c r="S15599" s="3"/>
      <c r="T15599" s="3"/>
      <c r="U15599" s="3"/>
      <c r="V15599" s="3"/>
      <c r="W15599" s="3"/>
      <c r="X15599" s="3"/>
      <c r="Y15599" s="3"/>
      <c r="Z15599" s="3"/>
      <c r="AA15599" s="3"/>
      <c r="AB15599" s="3"/>
      <c r="AC15599" s="3"/>
      <c r="AD15599" s="3"/>
      <c r="AE15599" s="3"/>
      <c r="AF15599" s="3"/>
      <c r="AG15599" s="3"/>
      <c r="AH15599" s="3"/>
    </row>
    <row r="15600" spans="1:34" ht="15" customHeight="1" x14ac:dyDescent="0.25">
      <c r="A15600" s="3"/>
      <c r="B15600" s="3"/>
      <c r="C15600" s="3"/>
      <c r="D15600" s="3"/>
      <c r="E15600" s="3"/>
      <c r="F15600" s="3"/>
      <c r="G15600" s="3"/>
      <c r="H15600" s="11"/>
      <c r="I15600" s="12"/>
      <c r="J15600" s="3"/>
      <c r="K15600" s="3"/>
      <c r="L15600" s="3"/>
      <c r="M15600" s="3"/>
      <c r="N15600" s="3"/>
      <c r="O15600" s="3"/>
      <c r="P15600" s="3"/>
      <c r="Q15600" s="3"/>
      <c r="R15600" s="3"/>
      <c r="S15600" s="3"/>
      <c r="T15600" s="3"/>
      <c r="U15600" s="3"/>
      <c r="V15600" s="3"/>
      <c r="W15600" s="3"/>
      <c r="X15600" s="3"/>
      <c r="Y15600" s="3"/>
      <c r="Z15600" s="3"/>
      <c r="AA15600" s="3"/>
      <c r="AB15600" s="3"/>
      <c r="AC15600" s="3"/>
      <c r="AD15600" s="3"/>
      <c r="AE15600" s="3"/>
      <c r="AF15600" s="3"/>
      <c r="AG15600" s="3"/>
      <c r="AH15600" s="3"/>
    </row>
    <row r="15601" spans="1:34" ht="15" customHeight="1" x14ac:dyDescent="0.25">
      <c r="A15601" s="3"/>
      <c r="B15601" s="3"/>
      <c r="C15601" s="3"/>
      <c r="D15601" s="3"/>
      <c r="E15601" s="3"/>
      <c r="F15601" s="3"/>
      <c r="G15601" s="3"/>
      <c r="H15601" s="11"/>
      <c r="I15601" s="12"/>
      <c r="J15601" s="3"/>
      <c r="K15601" s="3"/>
      <c r="L15601" s="3"/>
      <c r="M15601" s="3"/>
      <c r="N15601" s="3"/>
      <c r="O15601" s="3"/>
      <c r="P15601" s="3"/>
      <c r="Q15601" s="3"/>
      <c r="R15601" s="3"/>
      <c r="S15601" s="3"/>
      <c r="T15601" s="3"/>
      <c r="U15601" s="3"/>
      <c r="V15601" s="3"/>
      <c r="W15601" s="3"/>
      <c r="X15601" s="3"/>
      <c r="Y15601" s="3"/>
      <c r="Z15601" s="3"/>
      <c r="AA15601" s="3"/>
      <c r="AB15601" s="3"/>
      <c r="AC15601" s="3"/>
      <c r="AD15601" s="3"/>
      <c r="AE15601" s="3"/>
      <c r="AF15601" s="3"/>
      <c r="AG15601" s="3"/>
      <c r="AH15601" s="3"/>
    </row>
    <row r="15602" spans="1:34" ht="15" customHeight="1" x14ac:dyDescent="0.25">
      <c r="A15602" s="3"/>
      <c r="B15602" s="3"/>
      <c r="C15602" s="3"/>
      <c r="D15602" s="3"/>
      <c r="E15602" s="3"/>
      <c r="F15602" s="3"/>
      <c r="G15602" s="3"/>
      <c r="H15602" s="11"/>
      <c r="I15602" s="12"/>
      <c r="J15602" s="3"/>
      <c r="K15602" s="3"/>
      <c r="L15602" s="3"/>
      <c r="M15602" s="3"/>
      <c r="N15602" s="3"/>
      <c r="O15602" s="3"/>
      <c r="P15602" s="3"/>
      <c r="Q15602" s="3"/>
      <c r="R15602" s="3"/>
      <c r="S15602" s="3"/>
      <c r="T15602" s="3"/>
      <c r="U15602" s="3"/>
      <c r="V15602" s="3"/>
      <c r="W15602" s="3"/>
      <c r="X15602" s="3"/>
      <c r="Y15602" s="3"/>
      <c r="Z15602" s="3"/>
      <c r="AA15602" s="3"/>
      <c r="AB15602" s="3"/>
      <c r="AC15602" s="3"/>
      <c r="AD15602" s="3"/>
      <c r="AE15602" s="3"/>
      <c r="AF15602" s="3"/>
      <c r="AG15602" s="3"/>
      <c r="AH15602" s="3"/>
    </row>
    <row r="15603" spans="1:34" ht="15" customHeight="1" x14ac:dyDescent="0.25">
      <c r="A15603" s="3"/>
      <c r="B15603" s="3"/>
      <c r="C15603" s="3"/>
      <c r="D15603" s="3"/>
      <c r="E15603" s="3"/>
      <c r="F15603" s="3"/>
      <c r="G15603" s="3"/>
      <c r="H15603" s="11"/>
      <c r="I15603" s="12"/>
      <c r="J15603" s="3"/>
      <c r="K15603" s="3"/>
      <c r="L15603" s="3"/>
      <c r="M15603" s="3"/>
      <c r="N15603" s="3"/>
      <c r="O15603" s="3"/>
      <c r="P15603" s="3"/>
      <c r="Q15603" s="3"/>
      <c r="R15603" s="3"/>
      <c r="S15603" s="3"/>
      <c r="T15603" s="3"/>
      <c r="U15603" s="3"/>
      <c r="V15603" s="3"/>
      <c r="W15603" s="3"/>
      <c r="X15603" s="3"/>
      <c r="Y15603" s="3"/>
      <c r="Z15603" s="3"/>
      <c r="AA15603" s="3"/>
      <c r="AB15603" s="3"/>
      <c r="AC15603" s="3"/>
      <c r="AD15603" s="3"/>
      <c r="AE15603" s="3"/>
      <c r="AF15603" s="3"/>
      <c r="AG15603" s="3"/>
      <c r="AH15603" s="3"/>
    </row>
    <row r="15604" spans="1:34" ht="15" customHeight="1" x14ac:dyDescent="0.25">
      <c r="A15604" s="3"/>
      <c r="B15604" s="3"/>
      <c r="C15604" s="3"/>
      <c r="D15604" s="3"/>
      <c r="E15604" s="3"/>
      <c r="F15604" s="3"/>
      <c r="G15604" s="3"/>
      <c r="H15604" s="11"/>
      <c r="I15604" s="12"/>
      <c r="J15604" s="3"/>
      <c r="K15604" s="3"/>
      <c r="L15604" s="3"/>
      <c r="M15604" s="3"/>
      <c r="N15604" s="3"/>
      <c r="O15604" s="3"/>
      <c r="P15604" s="3"/>
      <c r="Q15604" s="3"/>
      <c r="R15604" s="3"/>
      <c r="S15604" s="3"/>
      <c r="T15604" s="3"/>
      <c r="U15604" s="3"/>
      <c r="V15604" s="3"/>
      <c r="W15604" s="3"/>
      <c r="X15604" s="3"/>
      <c r="Y15604" s="3"/>
      <c r="Z15604" s="3"/>
      <c r="AA15604" s="3"/>
      <c r="AB15604" s="3"/>
      <c r="AC15604" s="3"/>
      <c r="AD15604" s="3"/>
      <c r="AE15604" s="3"/>
      <c r="AF15604" s="3"/>
      <c r="AG15604" s="3"/>
      <c r="AH15604" s="3"/>
    </row>
    <row r="15605" spans="1:34" ht="15" customHeight="1" x14ac:dyDescent="0.25">
      <c r="A15605" s="3"/>
      <c r="B15605" s="3"/>
      <c r="C15605" s="3"/>
      <c r="D15605" s="3"/>
      <c r="E15605" s="3"/>
      <c r="F15605" s="3"/>
      <c r="G15605" s="3"/>
      <c r="H15605" s="11"/>
      <c r="I15605" s="12"/>
      <c r="J15605" s="3"/>
      <c r="K15605" s="3"/>
      <c r="L15605" s="3"/>
      <c r="M15605" s="3"/>
      <c r="N15605" s="3"/>
      <c r="O15605" s="3"/>
      <c r="P15605" s="3"/>
      <c r="Q15605" s="3"/>
      <c r="R15605" s="3"/>
      <c r="S15605" s="3"/>
      <c r="T15605" s="3"/>
      <c r="U15605" s="3"/>
      <c r="V15605" s="3"/>
      <c r="W15605" s="3"/>
      <c r="X15605" s="3"/>
      <c r="Y15605" s="3"/>
      <c r="Z15605" s="3"/>
      <c r="AA15605" s="3"/>
      <c r="AB15605" s="3"/>
      <c r="AC15605" s="3"/>
      <c r="AD15605" s="3"/>
      <c r="AE15605" s="3"/>
      <c r="AF15605" s="3"/>
      <c r="AG15605" s="3"/>
      <c r="AH15605" s="3"/>
    </row>
    <row r="15606" spans="1:34" ht="15" customHeight="1" x14ac:dyDescent="0.25">
      <c r="A15606" s="3"/>
      <c r="B15606" s="3"/>
      <c r="C15606" s="3"/>
      <c r="D15606" s="3"/>
      <c r="E15606" s="3"/>
      <c r="F15606" s="3"/>
      <c r="G15606" s="3"/>
      <c r="H15606" s="11"/>
      <c r="I15606" s="12"/>
      <c r="J15606" s="3"/>
      <c r="K15606" s="3"/>
      <c r="L15606" s="3"/>
      <c r="M15606" s="3"/>
      <c r="N15606" s="3"/>
      <c r="O15606" s="3"/>
      <c r="P15606" s="3"/>
      <c r="Q15606" s="3"/>
      <c r="R15606" s="3"/>
      <c r="S15606" s="3"/>
      <c r="T15606" s="3"/>
      <c r="U15606" s="3"/>
      <c r="V15606" s="3"/>
      <c r="W15606" s="3"/>
      <c r="X15606" s="3"/>
      <c r="Y15606" s="3"/>
      <c r="Z15606" s="3"/>
      <c r="AA15606" s="3"/>
      <c r="AB15606" s="3"/>
      <c r="AC15606" s="3"/>
      <c r="AD15606" s="3"/>
      <c r="AE15606" s="3"/>
      <c r="AF15606" s="3"/>
      <c r="AG15606" s="3"/>
      <c r="AH15606" s="3"/>
    </row>
    <row r="15607" spans="1:34" ht="15" customHeight="1" x14ac:dyDescent="0.25">
      <c r="A15607" s="3"/>
      <c r="B15607" s="3"/>
      <c r="C15607" s="3"/>
      <c r="D15607" s="3"/>
      <c r="E15607" s="3"/>
      <c r="F15607" s="3"/>
      <c r="G15607" s="3"/>
      <c r="H15607" s="11"/>
      <c r="I15607" s="12"/>
      <c r="J15607" s="3"/>
      <c r="K15607" s="3"/>
      <c r="L15607" s="3"/>
      <c r="M15607" s="3"/>
      <c r="N15607" s="3"/>
      <c r="O15607" s="3"/>
      <c r="P15607" s="3"/>
      <c r="Q15607" s="3"/>
      <c r="R15607" s="3"/>
      <c r="S15607" s="3"/>
      <c r="T15607" s="3"/>
      <c r="U15607" s="3"/>
      <c r="V15607" s="3"/>
      <c r="W15607" s="3"/>
      <c r="X15607" s="3"/>
      <c r="Y15607" s="3"/>
      <c r="Z15607" s="3"/>
      <c r="AA15607" s="3"/>
      <c r="AB15607" s="3"/>
      <c r="AC15607" s="3"/>
      <c r="AD15607" s="3"/>
      <c r="AE15607" s="3"/>
      <c r="AF15607" s="3"/>
      <c r="AG15607" s="3"/>
      <c r="AH15607" s="3"/>
    </row>
    <row r="15608" spans="1:34" ht="15" customHeight="1" x14ac:dyDescent="0.25">
      <c r="A15608" s="3"/>
      <c r="B15608" s="3"/>
      <c r="C15608" s="3"/>
      <c r="D15608" s="3"/>
      <c r="E15608" s="3"/>
      <c r="F15608" s="3"/>
      <c r="G15608" s="3"/>
      <c r="H15608" s="11"/>
      <c r="I15608" s="12"/>
      <c r="J15608" s="3"/>
      <c r="K15608" s="3"/>
      <c r="L15608" s="3"/>
      <c r="M15608" s="3"/>
      <c r="N15608" s="3"/>
      <c r="O15608" s="3"/>
      <c r="P15608" s="3"/>
      <c r="Q15608" s="3"/>
      <c r="R15608" s="3"/>
      <c r="S15608" s="3"/>
      <c r="T15608" s="3"/>
      <c r="U15608" s="3"/>
      <c r="V15608" s="3"/>
      <c r="W15608" s="3"/>
      <c r="X15608" s="3"/>
      <c r="Y15608" s="3"/>
      <c r="Z15608" s="3"/>
      <c r="AA15608" s="3"/>
      <c r="AB15608" s="3"/>
      <c r="AC15608" s="3"/>
      <c r="AD15608" s="3"/>
      <c r="AE15608" s="3"/>
      <c r="AF15608" s="3"/>
      <c r="AG15608" s="3"/>
      <c r="AH15608" s="3"/>
    </row>
    <row r="15609" spans="1:34" ht="15" customHeight="1" x14ac:dyDescent="0.25">
      <c r="A15609" s="3"/>
      <c r="B15609" s="3"/>
      <c r="C15609" s="3"/>
      <c r="D15609" s="3"/>
      <c r="E15609" s="3"/>
      <c r="F15609" s="3"/>
      <c r="G15609" s="3"/>
      <c r="H15609" s="11"/>
      <c r="I15609" s="12"/>
      <c r="J15609" s="3"/>
      <c r="K15609" s="3"/>
      <c r="L15609" s="3"/>
      <c r="M15609" s="3"/>
      <c r="N15609" s="3"/>
      <c r="O15609" s="3"/>
      <c r="P15609" s="3"/>
      <c r="Q15609" s="3"/>
      <c r="R15609" s="3"/>
      <c r="S15609" s="3"/>
      <c r="T15609" s="3"/>
      <c r="U15609" s="3"/>
      <c r="V15609" s="3"/>
      <c r="W15609" s="3"/>
      <c r="X15609" s="3"/>
      <c r="Y15609" s="3"/>
      <c r="Z15609" s="3"/>
      <c r="AA15609" s="3"/>
      <c r="AB15609" s="3"/>
      <c r="AC15609" s="3"/>
      <c r="AD15609" s="3"/>
      <c r="AE15609" s="3"/>
      <c r="AF15609" s="3"/>
      <c r="AG15609" s="3"/>
      <c r="AH15609" s="3"/>
    </row>
    <row r="15610" spans="1:34" ht="15" customHeight="1" x14ac:dyDescent="0.25">
      <c r="A15610" s="3"/>
      <c r="B15610" s="3"/>
      <c r="C15610" s="3"/>
      <c r="D15610" s="3"/>
      <c r="E15610" s="3"/>
      <c r="F15610" s="3"/>
      <c r="G15610" s="3"/>
      <c r="H15610" s="11"/>
      <c r="I15610" s="12"/>
      <c r="J15610" s="3"/>
      <c r="K15610" s="3"/>
      <c r="L15610" s="3"/>
      <c r="M15610" s="3"/>
      <c r="N15610" s="3"/>
      <c r="O15610" s="3"/>
      <c r="P15610" s="3"/>
      <c r="Q15610" s="3"/>
      <c r="R15610" s="3"/>
      <c r="S15610" s="3"/>
      <c r="T15610" s="3"/>
      <c r="U15610" s="3"/>
      <c r="V15610" s="3"/>
      <c r="W15610" s="3"/>
      <c r="X15610" s="3"/>
      <c r="Y15610" s="3"/>
      <c r="Z15610" s="3"/>
      <c r="AA15610" s="3"/>
      <c r="AB15610" s="3"/>
      <c r="AC15610" s="3"/>
      <c r="AD15610" s="3"/>
      <c r="AE15610" s="3"/>
      <c r="AF15610" s="3"/>
      <c r="AG15610" s="3"/>
      <c r="AH15610" s="3"/>
    </row>
    <row r="15611" spans="1:34" ht="15" customHeight="1" x14ac:dyDescent="0.25">
      <c r="A15611" s="3"/>
      <c r="B15611" s="3"/>
      <c r="C15611" s="3"/>
      <c r="D15611" s="3"/>
      <c r="E15611" s="3"/>
      <c r="F15611" s="3"/>
      <c r="G15611" s="3"/>
      <c r="H15611" s="11"/>
      <c r="I15611" s="12"/>
      <c r="J15611" s="3"/>
      <c r="K15611" s="3"/>
      <c r="L15611" s="3"/>
      <c r="M15611" s="3"/>
      <c r="N15611" s="3"/>
      <c r="O15611" s="3"/>
      <c r="P15611" s="3"/>
      <c r="Q15611" s="3"/>
      <c r="R15611" s="3"/>
      <c r="S15611" s="3"/>
      <c r="T15611" s="3"/>
      <c r="U15611" s="3"/>
      <c r="V15611" s="3"/>
      <c r="W15611" s="3"/>
      <c r="X15611" s="3"/>
      <c r="Y15611" s="3"/>
      <c r="Z15611" s="3"/>
      <c r="AA15611" s="3"/>
      <c r="AB15611" s="3"/>
      <c r="AC15611" s="3"/>
      <c r="AD15611" s="3"/>
      <c r="AE15611" s="3"/>
      <c r="AF15611" s="3"/>
      <c r="AG15611" s="3"/>
      <c r="AH15611" s="3"/>
    </row>
    <row r="15612" spans="1:34" ht="15" customHeight="1" x14ac:dyDescent="0.25">
      <c r="A15612" s="3"/>
      <c r="B15612" s="3"/>
      <c r="C15612" s="3"/>
      <c r="D15612" s="3"/>
      <c r="E15612" s="3"/>
      <c r="F15612" s="3"/>
      <c r="G15612" s="3"/>
      <c r="H15612" s="11"/>
      <c r="I15612" s="12"/>
      <c r="J15612" s="3"/>
      <c r="K15612" s="3"/>
      <c r="L15612" s="3"/>
      <c r="M15612" s="3"/>
      <c r="N15612" s="3"/>
      <c r="O15612" s="3"/>
      <c r="P15612" s="3"/>
      <c r="Q15612" s="3"/>
      <c r="R15612" s="3"/>
      <c r="S15612" s="3"/>
      <c r="T15612" s="3"/>
      <c r="U15612" s="3"/>
      <c r="V15612" s="3"/>
      <c r="W15612" s="3"/>
      <c r="X15612" s="3"/>
      <c r="Y15612" s="3"/>
      <c r="Z15612" s="3"/>
      <c r="AA15612" s="3"/>
      <c r="AB15612" s="3"/>
      <c r="AC15612" s="3"/>
      <c r="AD15612" s="3"/>
      <c r="AE15612" s="3"/>
      <c r="AF15612" s="3"/>
      <c r="AG15612" s="3"/>
      <c r="AH15612" s="3"/>
    </row>
    <row r="15613" spans="1:34" ht="15" customHeight="1" x14ac:dyDescent="0.25">
      <c r="A15613" s="3"/>
      <c r="B15613" s="3"/>
      <c r="C15613" s="3"/>
      <c r="D15613" s="3"/>
      <c r="E15613" s="3"/>
      <c r="F15613" s="3"/>
      <c r="G15613" s="3"/>
      <c r="H15613" s="11"/>
      <c r="I15613" s="12"/>
      <c r="J15613" s="3"/>
      <c r="K15613" s="3"/>
      <c r="L15613" s="3"/>
      <c r="M15613" s="3"/>
      <c r="N15613" s="3"/>
      <c r="O15613" s="3"/>
      <c r="P15613" s="3"/>
      <c r="Q15613" s="3"/>
      <c r="R15613" s="3"/>
      <c r="S15613" s="3"/>
      <c r="T15613" s="3"/>
      <c r="U15613" s="3"/>
      <c r="V15613" s="3"/>
      <c r="W15613" s="3"/>
      <c r="X15613" s="3"/>
      <c r="Y15613" s="3"/>
      <c r="Z15613" s="3"/>
      <c r="AA15613" s="3"/>
      <c r="AB15613" s="3"/>
      <c r="AC15613" s="3"/>
      <c r="AD15613" s="3"/>
      <c r="AE15613" s="3"/>
      <c r="AF15613" s="3"/>
      <c r="AG15613" s="3"/>
      <c r="AH15613" s="3"/>
    </row>
    <row r="15614" spans="1:34" ht="15" customHeight="1" x14ac:dyDescent="0.25">
      <c r="A15614" s="3"/>
      <c r="B15614" s="3"/>
      <c r="C15614" s="3"/>
      <c r="D15614" s="3"/>
      <c r="E15614" s="3"/>
      <c r="F15614" s="3"/>
      <c r="G15614" s="3"/>
      <c r="H15614" s="11"/>
      <c r="I15614" s="12"/>
      <c r="J15614" s="3"/>
      <c r="K15614" s="3"/>
      <c r="L15614" s="3"/>
      <c r="M15614" s="3"/>
      <c r="N15614" s="3"/>
      <c r="O15614" s="3"/>
      <c r="P15614" s="3"/>
      <c r="Q15614" s="3"/>
      <c r="R15614" s="3"/>
      <c r="S15614" s="3"/>
      <c r="T15614" s="3"/>
      <c r="U15614" s="3"/>
      <c r="V15614" s="3"/>
      <c r="W15614" s="3"/>
      <c r="X15614" s="3"/>
      <c r="Y15614" s="3"/>
      <c r="Z15614" s="3"/>
      <c r="AA15614" s="3"/>
      <c r="AB15614" s="3"/>
      <c r="AC15614" s="3"/>
      <c r="AD15614" s="3"/>
      <c r="AE15614" s="3"/>
      <c r="AF15614" s="3"/>
      <c r="AG15614" s="3"/>
      <c r="AH15614" s="3"/>
    </row>
    <row r="15615" spans="1:34" ht="15" customHeight="1" x14ac:dyDescent="0.25">
      <c r="A15615" s="3"/>
      <c r="B15615" s="3"/>
      <c r="C15615" s="3"/>
      <c r="D15615" s="3"/>
      <c r="E15615" s="3"/>
      <c r="F15615" s="3"/>
      <c r="G15615" s="3"/>
      <c r="H15615" s="11"/>
      <c r="I15615" s="12"/>
      <c r="J15615" s="3"/>
      <c r="K15615" s="3"/>
      <c r="L15615" s="3"/>
      <c r="M15615" s="3"/>
      <c r="N15615" s="3"/>
      <c r="O15615" s="3"/>
      <c r="P15615" s="3"/>
      <c r="Q15615" s="3"/>
      <c r="R15615" s="3"/>
      <c r="S15615" s="3"/>
      <c r="T15615" s="3"/>
      <c r="U15615" s="3"/>
      <c r="V15615" s="3"/>
      <c r="W15615" s="3"/>
      <c r="X15615" s="3"/>
      <c r="Y15615" s="3"/>
      <c r="Z15615" s="3"/>
      <c r="AA15615" s="3"/>
      <c r="AB15615" s="3"/>
      <c r="AC15615" s="3"/>
      <c r="AD15615" s="3"/>
      <c r="AE15615" s="3"/>
      <c r="AF15615" s="3"/>
      <c r="AG15615" s="3"/>
      <c r="AH15615" s="3"/>
    </row>
    <row r="15616" spans="1:34" ht="15" customHeight="1" x14ac:dyDescent="0.25">
      <c r="A15616" s="3"/>
      <c r="B15616" s="3"/>
      <c r="C15616" s="3"/>
      <c r="D15616" s="3"/>
      <c r="E15616" s="3"/>
      <c r="F15616" s="3"/>
      <c r="G15616" s="3"/>
      <c r="H15616" s="11"/>
      <c r="I15616" s="12"/>
      <c r="J15616" s="3"/>
      <c r="K15616" s="3"/>
      <c r="L15616" s="3"/>
      <c r="M15616" s="3"/>
      <c r="N15616" s="3"/>
      <c r="O15616" s="3"/>
      <c r="P15616" s="3"/>
      <c r="Q15616" s="3"/>
      <c r="R15616" s="3"/>
      <c r="S15616" s="3"/>
      <c r="T15616" s="3"/>
      <c r="U15616" s="3"/>
      <c r="V15616" s="3"/>
      <c r="W15616" s="3"/>
      <c r="X15616" s="3"/>
      <c r="Y15616" s="3"/>
      <c r="Z15616" s="3"/>
      <c r="AA15616" s="3"/>
      <c r="AB15616" s="3"/>
      <c r="AC15616" s="3"/>
      <c r="AD15616" s="3"/>
      <c r="AE15616" s="3"/>
      <c r="AF15616" s="3"/>
      <c r="AG15616" s="3"/>
      <c r="AH15616" s="3"/>
    </row>
    <row r="15617" spans="1:34" ht="15" customHeight="1" x14ac:dyDescent="0.25">
      <c r="A15617" s="3"/>
      <c r="B15617" s="3"/>
      <c r="C15617" s="3"/>
      <c r="D15617" s="3"/>
      <c r="E15617" s="3"/>
      <c r="F15617" s="3"/>
      <c r="G15617" s="3"/>
      <c r="H15617" s="11"/>
      <c r="I15617" s="12"/>
      <c r="J15617" s="3"/>
      <c r="K15617" s="3"/>
      <c r="L15617" s="3"/>
      <c r="M15617" s="3"/>
      <c r="N15617" s="3"/>
      <c r="O15617" s="3"/>
      <c r="P15617" s="3"/>
      <c r="Q15617" s="3"/>
      <c r="R15617" s="3"/>
      <c r="S15617" s="3"/>
      <c r="T15617" s="3"/>
      <c r="U15617" s="3"/>
      <c r="V15617" s="3"/>
      <c r="W15617" s="3"/>
      <c r="X15617" s="3"/>
      <c r="Y15617" s="3"/>
      <c r="Z15617" s="3"/>
      <c r="AA15617" s="3"/>
      <c r="AB15617" s="3"/>
      <c r="AC15617" s="3"/>
      <c r="AD15617" s="3"/>
      <c r="AE15617" s="3"/>
      <c r="AF15617" s="3"/>
      <c r="AG15617" s="3"/>
      <c r="AH15617" s="3"/>
    </row>
    <row r="15618" spans="1:34" ht="15" customHeight="1" x14ac:dyDescent="0.25">
      <c r="A15618" s="3"/>
      <c r="B15618" s="3"/>
      <c r="C15618" s="3"/>
      <c r="D15618" s="3"/>
      <c r="E15618" s="3"/>
      <c r="F15618" s="3"/>
      <c r="G15618" s="3"/>
      <c r="H15618" s="11"/>
      <c r="I15618" s="12"/>
      <c r="J15618" s="3"/>
      <c r="K15618" s="3"/>
      <c r="L15618" s="3"/>
      <c r="M15618" s="3"/>
      <c r="N15618" s="3"/>
      <c r="O15618" s="3"/>
      <c r="P15618" s="3"/>
      <c r="Q15618" s="3"/>
      <c r="R15618" s="3"/>
      <c r="S15618" s="3"/>
      <c r="T15618" s="3"/>
      <c r="U15618" s="3"/>
      <c r="V15618" s="3"/>
      <c r="W15618" s="3"/>
      <c r="X15618" s="3"/>
      <c r="Y15618" s="3"/>
      <c r="Z15618" s="3"/>
      <c r="AA15618" s="3"/>
      <c r="AB15618" s="3"/>
      <c r="AC15618" s="3"/>
      <c r="AD15618" s="3"/>
      <c r="AE15618" s="3"/>
      <c r="AF15618" s="3"/>
      <c r="AG15618" s="3"/>
      <c r="AH15618" s="3"/>
    </row>
    <row r="15619" spans="1:34" ht="15" customHeight="1" x14ac:dyDescent="0.25">
      <c r="A15619" s="3"/>
      <c r="B15619" s="3"/>
      <c r="C15619" s="3"/>
      <c r="D15619" s="3"/>
      <c r="E15619" s="3"/>
      <c r="F15619" s="3"/>
      <c r="G15619" s="3"/>
      <c r="H15619" s="11"/>
      <c r="I15619" s="12"/>
      <c r="J15619" s="3"/>
      <c r="K15619" s="3"/>
      <c r="L15619" s="3"/>
      <c r="M15619" s="3"/>
      <c r="N15619" s="3"/>
      <c r="O15619" s="3"/>
      <c r="P15619" s="3"/>
      <c r="Q15619" s="3"/>
      <c r="R15619" s="3"/>
      <c r="S15619" s="3"/>
      <c r="T15619" s="3"/>
      <c r="U15619" s="3"/>
      <c r="V15619" s="3"/>
      <c r="W15619" s="3"/>
      <c r="X15619" s="3"/>
      <c r="Y15619" s="3"/>
      <c r="Z15619" s="3"/>
      <c r="AA15619" s="3"/>
      <c r="AB15619" s="3"/>
      <c r="AC15619" s="3"/>
      <c r="AD15619" s="3"/>
      <c r="AE15619" s="3"/>
      <c r="AF15619" s="3"/>
      <c r="AG15619" s="3"/>
      <c r="AH15619" s="3"/>
    </row>
    <row r="15620" spans="1:34" ht="15" customHeight="1" x14ac:dyDescent="0.25">
      <c r="A15620" s="3"/>
      <c r="B15620" s="3"/>
      <c r="C15620" s="3"/>
      <c r="D15620" s="3"/>
      <c r="E15620" s="3"/>
      <c r="F15620" s="3"/>
      <c r="G15620" s="3"/>
      <c r="H15620" s="11"/>
      <c r="I15620" s="12"/>
      <c r="J15620" s="3"/>
      <c r="K15620" s="3"/>
      <c r="L15620" s="3"/>
      <c r="M15620" s="3"/>
      <c r="N15620" s="3"/>
      <c r="O15620" s="3"/>
      <c r="P15620" s="3"/>
      <c r="Q15620" s="3"/>
      <c r="R15620" s="3"/>
      <c r="S15620" s="3"/>
      <c r="T15620" s="3"/>
      <c r="U15620" s="3"/>
      <c r="V15620" s="3"/>
      <c r="W15620" s="3"/>
      <c r="X15620" s="3"/>
      <c r="Y15620" s="3"/>
      <c r="Z15620" s="3"/>
      <c r="AA15620" s="3"/>
      <c r="AB15620" s="3"/>
      <c r="AC15620" s="3"/>
      <c r="AD15620" s="3"/>
      <c r="AE15620" s="3"/>
      <c r="AF15620" s="3"/>
      <c r="AG15620" s="3"/>
      <c r="AH15620" s="3"/>
    </row>
    <row r="15621" spans="1:34" ht="15" customHeight="1" x14ac:dyDescent="0.25">
      <c r="A15621" s="3"/>
      <c r="B15621" s="3"/>
      <c r="C15621" s="3"/>
      <c r="D15621" s="3"/>
      <c r="E15621" s="3"/>
      <c r="F15621" s="3"/>
      <c r="G15621" s="3"/>
      <c r="H15621" s="11"/>
      <c r="I15621" s="12"/>
      <c r="J15621" s="3"/>
      <c r="K15621" s="3"/>
      <c r="L15621" s="3"/>
      <c r="M15621" s="3"/>
      <c r="N15621" s="3"/>
      <c r="O15621" s="3"/>
      <c r="P15621" s="3"/>
      <c r="Q15621" s="3"/>
      <c r="R15621" s="3"/>
      <c r="S15621" s="3"/>
      <c r="T15621" s="3"/>
      <c r="U15621" s="3"/>
      <c r="V15621" s="3"/>
      <c r="W15621" s="3"/>
      <c r="X15621" s="3"/>
      <c r="Y15621" s="3"/>
      <c r="Z15621" s="3"/>
      <c r="AA15621" s="3"/>
      <c r="AB15621" s="3"/>
      <c r="AC15621" s="3"/>
      <c r="AD15621" s="3"/>
      <c r="AE15621" s="3"/>
      <c r="AF15621" s="3"/>
      <c r="AG15621" s="3"/>
      <c r="AH15621" s="3"/>
    </row>
    <row r="15622" spans="1:34" ht="15" customHeight="1" x14ac:dyDescent="0.25">
      <c r="A15622" s="3"/>
      <c r="B15622" s="3"/>
      <c r="C15622" s="3"/>
      <c r="D15622" s="3"/>
      <c r="E15622" s="3"/>
      <c r="F15622" s="3"/>
      <c r="G15622" s="3"/>
      <c r="H15622" s="11"/>
      <c r="I15622" s="12"/>
      <c r="J15622" s="3"/>
      <c r="K15622" s="3"/>
      <c r="L15622" s="3"/>
      <c r="M15622" s="3"/>
      <c r="N15622" s="3"/>
      <c r="O15622" s="3"/>
      <c r="P15622" s="3"/>
      <c r="Q15622" s="3"/>
      <c r="R15622" s="3"/>
      <c r="S15622" s="3"/>
      <c r="T15622" s="3"/>
      <c r="U15622" s="3"/>
      <c r="V15622" s="3"/>
      <c r="W15622" s="3"/>
      <c r="X15622" s="3"/>
      <c r="Y15622" s="3"/>
      <c r="Z15622" s="3"/>
      <c r="AA15622" s="3"/>
      <c r="AB15622" s="3"/>
      <c r="AC15622" s="3"/>
      <c r="AD15622" s="3"/>
      <c r="AE15622" s="3"/>
      <c r="AF15622" s="3"/>
      <c r="AG15622" s="3"/>
      <c r="AH15622" s="3"/>
    </row>
    <row r="15623" spans="1:34" ht="15" customHeight="1" x14ac:dyDescent="0.25">
      <c r="A15623" s="3"/>
      <c r="B15623" s="3"/>
      <c r="C15623" s="3"/>
      <c r="D15623" s="3"/>
      <c r="E15623" s="3"/>
      <c r="F15623" s="3"/>
      <c r="G15623" s="3"/>
      <c r="H15623" s="11"/>
      <c r="I15623" s="12"/>
      <c r="J15623" s="3"/>
      <c r="K15623" s="3"/>
      <c r="L15623" s="3"/>
      <c r="M15623" s="3"/>
      <c r="N15623" s="3"/>
      <c r="O15623" s="3"/>
      <c r="P15623" s="3"/>
      <c r="Q15623" s="3"/>
      <c r="R15623" s="3"/>
      <c r="S15623" s="3"/>
      <c r="T15623" s="3"/>
      <c r="U15623" s="3"/>
      <c r="V15623" s="3"/>
      <c r="W15623" s="3"/>
      <c r="X15623" s="3"/>
      <c r="Y15623" s="3"/>
      <c r="Z15623" s="3"/>
      <c r="AA15623" s="3"/>
      <c r="AB15623" s="3"/>
      <c r="AC15623" s="3"/>
      <c r="AD15623" s="3"/>
      <c r="AE15623" s="3"/>
      <c r="AF15623" s="3"/>
      <c r="AG15623" s="3"/>
      <c r="AH15623" s="3"/>
    </row>
    <row r="15624" spans="1:34" ht="15" customHeight="1" x14ac:dyDescent="0.25">
      <c r="A15624" s="3"/>
      <c r="B15624" s="3"/>
      <c r="C15624" s="3"/>
      <c r="D15624" s="3"/>
      <c r="E15624" s="3"/>
      <c r="F15624" s="3"/>
      <c r="G15624" s="3"/>
      <c r="H15624" s="11"/>
      <c r="I15624" s="12"/>
      <c r="J15624" s="3"/>
      <c r="K15624" s="3"/>
      <c r="L15624" s="3"/>
      <c r="M15624" s="3"/>
      <c r="N15624" s="3"/>
      <c r="O15624" s="3"/>
      <c r="P15624" s="3"/>
      <c r="Q15624" s="3"/>
      <c r="R15624" s="3"/>
      <c r="S15624" s="3"/>
      <c r="T15624" s="3"/>
      <c r="U15624" s="3"/>
      <c r="V15624" s="3"/>
      <c r="W15624" s="3"/>
      <c r="X15624" s="3"/>
      <c r="Y15624" s="3"/>
      <c r="Z15624" s="3"/>
      <c r="AA15624" s="3"/>
      <c r="AB15624" s="3"/>
      <c r="AC15624" s="3"/>
      <c r="AD15624" s="3"/>
      <c r="AE15624" s="3"/>
      <c r="AF15624" s="3"/>
      <c r="AG15624" s="3"/>
      <c r="AH15624" s="3"/>
    </row>
    <row r="15625" spans="1:34" ht="15" customHeight="1" x14ac:dyDescent="0.25">
      <c r="A15625" s="3"/>
      <c r="B15625" s="3"/>
      <c r="C15625" s="3"/>
      <c r="D15625" s="3"/>
      <c r="E15625" s="3"/>
      <c r="F15625" s="3"/>
      <c r="G15625" s="3"/>
      <c r="H15625" s="11"/>
      <c r="I15625" s="12"/>
      <c r="J15625" s="3"/>
      <c r="K15625" s="3"/>
      <c r="L15625" s="3"/>
      <c r="M15625" s="3"/>
      <c r="N15625" s="3"/>
      <c r="O15625" s="3"/>
      <c r="P15625" s="3"/>
      <c r="Q15625" s="3"/>
      <c r="R15625" s="3"/>
      <c r="S15625" s="3"/>
      <c r="T15625" s="3"/>
      <c r="U15625" s="3"/>
      <c r="V15625" s="3"/>
      <c r="W15625" s="3"/>
      <c r="X15625" s="3"/>
      <c r="Y15625" s="3"/>
      <c r="Z15625" s="3"/>
      <c r="AA15625" s="3"/>
      <c r="AB15625" s="3"/>
      <c r="AC15625" s="3"/>
      <c r="AD15625" s="3"/>
      <c r="AE15625" s="3"/>
      <c r="AF15625" s="3"/>
      <c r="AG15625" s="3"/>
      <c r="AH15625" s="3"/>
    </row>
    <row r="15626" spans="1:34" ht="15" customHeight="1" x14ac:dyDescent="0.25">
      <c r="A15626" s="3"/>
      <c r="B15626" s="3"/>
      <c r="C15626" s="3"/>
      <c r="D15626" s="3"/>
      <c r="E15626" s="3"/>
      <c r="F15626" s="3"/>
      <c r="G15626" s="3"/>
      <c r="H15626" s="11"/>
      <c r="I15626" s="12"/>
      <c r="J15626" s="3"/>
      <c r="K15626" s="3"/>
      <c r="L15626" s="3"/>
      <c r="M15626" s="3"/>
      <c r="N15626" s="3"/>
      <c r="O15626" s="3"/>
      <c r="P15626" s="3"/>
      <c r="Q15626" s="3"/>
      <c r="R15626" s="3"/>
      <c r="S15626" s="3"/>
      <c r="T15626" s="3"/>
      <c r="U15626" s="3"/>
      <c r="V15626" s="3"/>
      <c r="W15626" s="3"/>
      <c r="X15626" s="3"/>
      <c r="Y15626" s="3"/>
      <c r="Z15626" s="3"/>
      <c r="AA15626" s="3"/>
      <c r="AB15626" s="3"/>
      <c r="AC15626" s="3"/>
      <c r="AD15626" s="3"/>
      <c r="AE15626" s="3"/>
      <c r="AF15626" s="3"/>
      <c r="AG15626" s="3"/>
      <c r="AH15626" s="3"/>
    </row>
    <row r="15627" spans="1:34" ht="15" customHeight="1" x14ac:dyDescent="0.25">
      <c r="A15627" s="3"/>
      <c r="B15627" s="3"/>
      <c r="C15627" s="3"/>
      <c r="D15627" s="3"/>
      <c r="E15627" s="3"/>
      <c r="F15627" s="3"/>
      <c r="G15627" s="3"/>
      <c r="H15627" s="11"/>
      <c r="I15627" s="12"/>
      <c r="J15627" s="3"/>
      <c r="K15627" s="3"/>
      <c r="L15627" s="3"/>
      <c r="M15627" s="3"/>
      <c r="N15627" s="3"/>
      <c r="O15627" s="3"/>
      <c r="P15627" s="3"/>
      <c r="Q15627" s="3"/>
      <c r="R15627" s="3"/>
      <c r="S15627" s="3"/>
      <c r="T15627" s="3"/>
      <c r="U15627" s="3"/>
      <c r="V15627" s="3"/>
      <c r="W15627" s="3"/>
      <c r="X15627" s="3"/>
      <c r="Y15627" s="3"/>
      <c r="Z15627" s="3"/>
      <c r="AA15627" s="3"/>
      <c r="AB15627" s="3"/>
      <c r="AC15627" s="3"/>
      <c r="AD15627" s="3"/>
      <c r="AE15627" s="3"/>
      <c r="AF15627" s="3"/>
      <c r="AG15627" s="3"/>
      <c r="AH15627" s="3"/>
    </row>
    <row r="15628" spans="1:34" ht="15" customHeight="1" x14ac:dyDescent="0.25">
      <c r="A15628" s="3"/>
      <c r="B15628" s="3"/>
      <c r="C15628" s="3"/>
      <c r="D15628" s="3"/>
      <c r="E15628" s="3"/>
      <c r="F15628" s="3"/>
      <c r="G15628" s="3"/>
      <c r="H15628" s="11"/>
      <c r="I15628" s="12"/>
      <c r="J15628" s="3"/>
      <c r="K15628" s="3"/>
      <c r="L15628" s="3"/>
      <c r="M15628" s="3"/>
      <c r="N15628" s="3"/>
      <c r="O15628" s="3"/>
      <c r="P15628" s="3"/>
      <c r="Q15628" s="3"/>
      <c r="R15628" s="3"/>
      <c r="S15628" s="3"/>
      <c r="T15628" s="3"/>
      <c r="U15628" s="3"/>
      <c r="V15628" s="3"/>
      <c r="W15628" s="3"/>
      <c r="X15628" s="3"/>
      <c r="Y15628" s="3"/>
      <c r="Z15628" s="3"/>
      <c r="AA15628" s="3"/>
      <c r="AB15628" s="3"/>
      <c r="AC15628" s="3"/>
      <c r="AD15628" s="3"/>
      <c r="AE15628" s="3"/>
      <c r="AF15628" s="3"/>
      <c r="AG15628" s="3"/>
      <c r="AH15628" s="3"/>
    </row>
    <row r="15629" spans="1:34" ht="15" customHeight="1" x14ac:dyDescent="0.25">
      <c r="A15629" s="3"/>
      <c r="B15629" s="3"/>
      <c r="C15629" s="3"/>
      <c r="D15629" s="3"/>
      <c r="E15629" s="3"/>
      <c r="F15629" s="3"/>
      <c r="G15629" s="3"/>
      <c r="H15629" s="11"/>
      <c r="I15629" s="12"/>
      <c r="J15629" s="3"/>
      <c r="K15629" s="3"/>
      <c r="L15629" s="3"/>
      <c r="M15629" s="3"/>
      <c r="N15629" s="3"/>
      <c r="O15629" s="3"/>
      <c r="P15629" s="3"/>
      <c r="Q15629" s="3"/>
      <c r="R15629" s="3"/>
      <c r="S15629" s="3"/>
      <c r="T15629" s="3"/>
      <c r="U15629" s="3"/>
      <c r="V15629" s="3"/>
      <c r="W15629" s="3"/>
      <c r="X15629" s="3"/>
      <c r="Y15629" s="3"/>
      <c r="Z15629" s="3"/>
      <c r="AA15629" s="3"/>
      <c r="AB15629" s="3"/>
      <c r="AC15629" s="3"/>
      <c r="AD15629" s="3"/>
      <c r="AE15629" s="3"/>
      <c r="AF15629" s="3"/>
      <c r="AG15629" s="3"/>
      <c r="AH15629" s="3"/>
    </row>
    <row r="15630" spans="1:34" ht="15" customHeight="1" x14ac:dyDescent="0.25">
      <c r="A15630" s="3"/>
      <c r="B15630" s="3"/>
      <c r="C15630" s="3"/>
      <c r="D15630" s="3"/>
      <c r="E15630" s="3"/>
      <c r="F15630" s="3"/>
      <c r="G15630" s="3"/>
      <c r="H15630" s="11"/>
      <c r="I15630" s="12"/>
      <c r="J15630" s="3"/>
      <c r="K15630" s="3"/>
      <c r="L15630" s="3"/>
      <c r="M15630" s="3"/>
      <c r="N15630" s="3"/>
      <c r="O15630" s="3"/>
      <c r="P15630" s="3"/>
      <c r="Q15630" s="3"/>
      <c r="R15630" s="3"/>
      <c r="S15630" s="3"/>
      <c r="T15630" s="3"/>
      <c r="U15630" s="3"/>
      <c r="V15630" s="3"/>
      <c r="W15630" s="3"/>
      <c r="X15630" s="3"/>
      <c r="Y15630" s="3"/>
      <c r="Z15630" s="3"/>
      <c r="AA15630" s="3"/>
      <c r="AB15630" s="3"/>
      <c r="AC15630" s="3"/>
      <c r="AD15630" s="3"/>
      <c r="AE15630" s="3"/>
      <c r="AF15630" s="3"/>
      <c r="AG15630" s="3"/>
      <c r="AH15630" s="3"/>
    </row>
    <row r="15631" spans="1:34" ht="15" customHeight="1" x14ac:dyDescent="0.25">
      <c r="A15631" s="3"/>
      <c r="B15631" s="3"/>
      <c r="C15631" s="3"/>
      <c r="D15631" s="3"/>
      <c r="E15631" s="3"/>
      <c r="F15631" s="3"/>
      <c r="G15631" s="3"/>
      <c r="H15631" s="11"/>
      <c r="I15631" s="12"/>
      <c r="J15631" s="3"/>
      <c r="K15631" s="3"/>
      <c r="L15631" s="3"/>
      <c r="M15631" s="3"/>
      <c r="N15631" s="3"/>
      <c r="O15631" s="3"/>
      <c r="P15631" s="3"/>
      <c r="Q15631" s="3"/>
      <c r="R15631" s="3"/>
      <c r="S15631" s="3"/>
      <c r="T15631" s="3"/>
      <c r="U15631" s="3"/>
      <c r="V15631" s="3"/>
      <c r="W15631" s="3"/>
      <c r="X15631" s="3"/>
      <c r="Y15631" s="3"/>
      <c r="Z15631" s="3"/>
      <c r="AA15631" s="3"/>
      <c r="AB15631" s="3"/>
      <c r="AC15631" s="3"/>
      <c r="AD15631" s="3"/>
      <c r="AE15631" s="3"/>
      <c r="AF15631" s="3"/>
      <c r="AG15631" s="3"/>
      <c r="AH15631" s="3"/>
    </row>
    <row r="15632" spans="1:34" ht="15" customHeight="1" x14ac:dyDescent="0.25">
      <c r="A15632" s="3"/>
      <c r="B15632" s="3"/>
      <c r="C15632" s="3"/>
      <c r="D15632" s="3"/>
      <c r="E15632" s="3"/>
      <c r="F15632" s="3"/>
      <c r="G15632" s="3"/>
      <c r="H15632" s="11"/>
      <c r="I15632" s="12"/>
      <c r="J15632" s="3"/>
      <c r="K15632" s="3"/>
      <c r="L15632" s="3"/>
      <c r="M15632" s="3"/>
      <c r="N15632" s="3"/>
      <c r="O15632" s="3"/>
      <c r="P15632" s="3"/>
      <c r="Q15632" s="3"/>
      <c r="R15632" s="3"/>
      <c r="S15632" s="3"/>
      <c r="T15632" s="3"/>
      <c r="U15632" s="3"/>
      <c r="V15632" s="3"/>
      <c r="W15632" s="3"/>
      <c r="X15632" s="3"/>
      <c r="Y15632" s="3"/>
      <c r="Z15632" s="3"/>
      <c r="AA15632" s="3"/>
      <c r="AB15632" s="3"/>
      <c r="AC15632" s="3"/>
      <c r="AD15632" s="3"/>
      <c r="AE15632" s="3"/>
      <c r="AF15632" s="3"/>
      <c r="AG15632" s="3"/>
      <c r="AH15632" s="3"/>
    </row>
    <row r="15633" spans="1:34" ht="15" customHeight="1" x14ac:dyDescent="0.25">
      <c r="A15633" s="3"/>
      <c r="B15633" s="3"/>
      <c r="C15633" s="3"/>
      <c r="D15633" s="3"/>
      <c r="E15633" s="3"/>
      <c r="F15633" s="3"/>
      <c r="G15633" s="3"/>
      <c r="H15633" s="11"/>
      <c r="I15633" s="12"/>
      <c r="J15633" s="3"/>
      <c r="K15633" s="3"/>
      <c r="L15633" s="3"/>
      <c r="M15633" s="3"/>
      <c r="N15633" s="3"/>
      <c r="O15633" s="3"/>
      <c r="P15633" s="3"/>
      <c r="Q15633" s="3"/>
      <c r="R15633" s="3"/>
      <c r="S15633" s="3"/>
      <c r="T15633" s="3"/>
      <c r="U15633" s="3"/>
      <c r="V15633" s="3"/>
      <c r="W15633" s="3"/>
      <c r="X15633" s="3"/>
      <c r="Y15633" s="3"/>
      <c r="Z15633" s="3"/>
      <c r="AA15633" s="3"/>
      <c r="AB15633" s="3"/>
      <c r="AC15633" s="3"/>
      <c r="AD15633" s="3"/>
      <c r="AE15633" s="3"/>
      <c r="AF15633" s="3"/>
      <c r="AG15633" s="3"/>
      <c r="AH15633" s="3"/>
    </row>
    <row r="15634" spans="1:34" ht="15" customHeight="1" x14ac:dyDescent="0.25">
      <c r="A15634" s="3"/>
      <c r="B15634" s="3"/>
      <c r="C15634" s="3"/>
      <c r="D15634" s="3"/>
      <c r="E15634" s="3"/>
      <c r="F15634" s="3"/>
      <c r="G15634" s="3"/>
      <c r="H15634" s="11"/>
      <c r="I15634" s="12"/>
      <c r="J15634" s="3"/>
      <c r="K15634" s="3"/>
      <c r="L15634" s="3"/>
      <c r="M15634" s="3"/>
      <c r="N15634" s="3"/>
      <c r="O15634" s="3"/>
      <c r="P15634" s="3"/>
      <c r="Q15634" s="3"/>
      <c r="R15634" s="3"/>
      <c r="S15634" s="3"/>
      <c r="T15634" s="3"/>
      <c r="U15634" s="3"/>
      <c r="V15634" s="3"/>
      <c r="W15634" s="3"/>
      <c r="X15634" s="3"/>
      <c r="Y15634" s="3"/>
      <c r="Z15634" s="3"/>
      <c r="AA15634" s="3"/>
      <c r="AB15634" s="3"/>
      <c r="AC15634" s="3"/>
      <c r="AD15634" s="3"/>
      <c r="AE15634" s="3"/>
      <c r="AF15634" s="3"/>
      <c r="AG15634" s="3"/>
      <c r="AH15634" s="3"/>
    </row>
    <row r="15635" spans="1:34" ht="15" customHeight="1" x14ac:dyDescent="0.25">
      <c r="A15635" s="3"/>
      <c r="B15635" s="3"/>
      <c r="C15635" s="3"/>
      <c r="D15635" s="3"/>
      <c r="E15635" s="3"/>
      <c r="F15635" s="3"/>
      <c r="G15635" s="3"/>
      <c r="H15635" s="11"/>
      <c r="I15635" s="12"/>
      <c r="J15635" s="3"/>
      <c r="K15635" s="3"/>
      <c r="L15635" s="3"/>
      <c r="M15635" s="3"/>
      <c r="N15635" s="3"/>
      <c r="O15635" s="3"/>
      <c r="P15635" s="3"/>
      <c r="Q15635" s="3"/>
      <c r="R15635" s="3"/>
      <c r="S15635" s="3"/>
      <c r="T15635" s="3"/>
      <c r="U15635" s="3"/>
      <c r="V15635" s="3"/>
      <c r="W15635" s="3"/>
      <c r="X15635" s="3"/>
      <c r="Y15635" s="3"/>
      <c r="Z15635" s="3"/>
      <c r="AA15635" s="3"/>
      <c r="AB15635" s="3"/>
      <c r="AC15635" s="3"/>
      <c r="AD15635" s="3"/>
      <c r="AE15635" s="3"/>
      <c r="AF15635" s="3"/>
      <c r="AG15635" s="3"/>
      <c r="AH15635" s="3"/>
    </row>
    <row r="15636" spans="1:34" ht="15" customHeight="1" x14ac:dyDescent="0.25">
      <c r="A15636" s="3"/>
      <c r="B15636" s="3"/>
      <c r="C15636" s="3"/>
      <c r="D15636" s="3"/>
      <c r="E15636" s="3"/>
      <c r="F15636" s="3"/>
      <c r="G15636" s="3"/>
      <c r="H15636" s="11"/>
      <c r="I15636" s="12"/>
      <c r="J15636" s="3"/>
      <c r="K15636" s="3"/>
      <c r="L15636" s="3"/>
      <c r="M15636" s="3"/>
      <c r="N15636" s="3"/>
      <c r="O15636" s="3"/>
      <c r="P15636" s="3"/>
      <c r="Q15636" s="3"/>
      <c r="R15636" s="3"/>
      <c r="S15636" s="3"/>
      <c r="T15636" s="3"/>
      <c r="U15636" s="3"/>
      <c r="V15636" s="3"/>
      <c r="W15636" s="3"/>
      <c r="X15636" s="3"/>
      <c r="Y15636" s="3"/>
      <c r="Z15636" s="3"/>
      <c r="AA15636" s="3"/>
      <c r="AB15636" s="3"/>
      <c r="AC15636" s="3"/>
      <c r="AD15636" s="3"/>
      <c r="AE15636" s="3"/>
      <c r="AF15636" s="3"/>
      <c r="AG15636" s="3"/>
      <c r="AH15636" s="3"/>
    </row>
    <row r="15637" spans="1:34" ht="15" customHeight="1" x14ac:dyDescent="0.25">
      <c r="A15637" s="3"/>
      <c r="B15637" s="3"/>
      <c r="C15637" s="3"/>
      <c r="D15637" s="3"/>
      <c r="E15637" s="3"/>
      <c r="F15637" s="3"/>
      <c r="G15637" s="3"/>
      <c r="H15637" s="11"/>
      <c r="I15637" s="12"/>
      <c r="J15637" s="3"/>
      <c r="K15637" s="3"/>
      <c r="L15637" s="3"/>
      <c r="M15637" s="3"/>
      <c r="N15637" s="3"/>
      <c r="O15637" s="3"/>
      <c r="P15637" s="3"/>
      <c r="Q15637" s="3"/>
      <c r="R15637" s="3"/>
      <c r="S15637" s="3"/>
      <c r="T15637" s="3"/>
      <c r="U15637" s="3"/>
      <c r="V15637" s="3"/>
      <c r="W15637" s="3"/>
      <c r="X15637" s="3"/>
      <c r="Y15637" s="3"/>
      <c r="Z15637" s="3"/>
      <c r="AA15637" s="3"/>
      <c r="AB15637" s="3"/>
      <c r="AC15637" s="3"/>
      <c r="AD15637" s="3"/>
      <c r="AE15637" s="3"/>
      <c r="AF15637" s="3"/>
      <c r="AG15637" s="3"/>
      <c r="AH15637" s="3"/>
    </row>
    <row r="15638" spans="1:34" ht="15" customHeight="1" x14ac:dyDescent="0.25">
      <c r="A15638" s="3"/>
      <c r="B15638" s="3"/>
      <c r="C15638" s="3"/>
      <c r="D15638" s="3"/>
      <c r="E15638" s="3"/>
      <c r="F15638" s="3"/>
      <c r="G15638" s="3"/>
      <c r="H15638" s="11"/>
      <c r="I15638" s="12"/>
      <c r="J15638" s="3"/>
      <c r="K15638" s="3"/>
      <c r="L15638" s="3"/>
      <c r="M15638" s="3"/>
      <c r="N15638" s="3"/>
      <c r="O15638" s="3"/>
      <c r="P15638" s="3"/>
      <c r="Q15638" s="3"/>
      <c r="R15638" s="3"/>
      <c r="S15638" s="3"/>
      <c r="T15638" s="3"/>
      <c r="U15638" s="3"/>
      <c r="V15638" s="3"/>
      <c r="W15638" s="3"/>
      <c r="X15638" s="3"/>
      <c r="Y15638" s="3"/>
      <c r="Z15638" s="3"/>
      <c r="AA15638" s="3"/>
      <c r="AB15638" s="3"/>
      <c r="AC15638" s="3"/>
      <c r="AD15638" s="3"/>
      <c r="AE15638" s="3"/>
      <c r="AF15638" s="3"/>
      <c r="AG15638" s="3"/>
      <c r="AH15638" s="3"/>
    </row>
    <row r="15639" spans="1:34" ht="15" customHeight="1" x14ac:dyDescent="0.25">
      <c r="A15639" s="3"/>
      <c r="B15639" s="3"/>
      <c r="C15639" s="3"/>
      <c r="D15639" s="3"/>
      <c r="E15639" s="3"/>
      <c r="F15639" s="3"/>
      <c r="G15639" s="3"/>
      <c r="H15639" s="11"/>
      <c r="I15639" s="12"/>
      <c r="J15639" s="3"/>
      <c r="K15639" s="3"/>
      <c r="L15639" s="3"/>
      <c r="M15639" s="3"/>
      <c r="N15639" s="3"/>
      <c r="O15639" s="3"/>
      <c r="P15639" s="3"/>
      <c r="Q15639" s="3"/>
      <c r="R15639" s="3"/>
      <c r="S15639" s="3"/>
      <c r="T15639" s="3"/>
      <c r="U15639" s="3"/>
      <c r="V15639" s="3"/>
      <c r="W15639" s="3"/>
      <c r="X15639" s="3"/>
      <c r="Y15639" s="3"/>
      <c r="Z15639" s="3"/>
      <c r="AA15639" s="3"/>
      <c r="AB15639" s="3"/>
      <c r="AC15639" s="3"/>
      <c r="AD15639" s="3"/>
      <c r="AE15639" s="3"/>
      <c r="AF15639" s="3"/>
      <c r="AG15639" s="3"/>
      <c r="AH15639" s="3"/>
    </row>
    <row r="15640" spans="1:34" ht="15" customHeight="1" x14ac:dyDescent="0.25">
      <c r="A15640" s="3"/>
      <c r="B15640" s="3"/>
      <c r="C15640" s="3"/>
      <c r="D15640" s="3"/>
      <c r="E15640" s="3"/>
      <c r="F15640" s="3"/>
      <c r="G15640" s="3"/>
      <c r="H15640" s="11"/>
      <c r="I15640" s="12"/>
      <c r="J15640" s="3"/>
      <c r="K15640" s="3"/>
      <c r="L15640" s="3"/>
      <c r="M15640" s="3"/>
      <c r="N15640" s="3"/>
      <c r="O15640" s="3"/>
      <c r="P15640" s="3"/>
      <c r="Q15640" s="3"/>
      <c r="R15640" s="3"/>
      <c r="S15640" s="3"/>
      <c r="T15640" s="3"/>
      <c r="U15640" s="3"/>
      <c r="V15640" s="3"/>
      <c r="W15640" s="3"/>
      <c r="X15640" s="3"/>
      <c r="Y15640" s="3"/>
      <c r="Z15640" s="3"/>
      <c r="AA15640" s="3"/>
      <c r="AB15640" s="3"/>
      <c r="AC15640" s="3"/>
      <c r="AD15640" s="3"/>
      <c r="AE15640" s="3"/>
      <c r="AF15640" s="3"/>
      <c r="AG15640" s="3"/>
      <c r="AH15640" s="3"/>
    </row>
    <row r="15641" spans="1:34" ht="15" customHeight="1" x14ac:dyDescent="0.25">
      <c r="A15641" s="3"/>
      <c r="B15641" s="3"/>
      <c r="C15641" s="3"/>
      <c r="D15641" s="3"/>
      <c r="E15641" s="3"/>
      <c r="F15641" s="3"/>
      <c r="G15641" s="3"/>
      <c r="H15641" s="11"/>
      <c r="I15641" s="12"/>
      <c r="J15641" s="3"/>
      <c r="K15641" s="3"/>
      <c r="L15641" s="3"/>
      <c r="M15641" s="3"/>
      <c r="N15641" s="3"/>
      <c r="O15641" s="3"/>
      <c r="P15641" s="3"/>
      <c r="Q15641" s="3"/>
      <c r="R15641" s="3"/>
      <c r="S15641" s="3"/>
      <c r="T15641" s="3"/>
      <c r="U15641" s="3"/>
      <c r="V15641" s="3"/>
      <c r="W15641" s="3"/>
      <c r="X15641" s="3"/>
      <c r="Y15641" s="3"/>
      <c r="Z15641" s="3"/>
      <c r="AA15641" s="3"/>
      <c r="AB15641" s="3"/>
      <c r="AC15641" s="3"/>
      <c r="AD15641" s="3"/>
      <c r="AE15641" s="3"/>
      <c r="AF15641" s="3"/>
      <c r="AG15641" s="3"/>
      <c r="AH15641" s="3"/>
    </row>
    <row r="15642" spans="1:34" ht="15" customHeight="1" x14ac:dyDescent="0.25">
      <c r="A15642" s="3"/>
      <c r="B15642" s="3"/>
      <c r="C15642" s="3"/>
      <c r="D15642" s="3"/>
      <c r="E15642" s="3"/>
      <c r="F15642" s="3"/>
      <c r="G15642" s="3"/>
      <c r="H15642" s="11"/>
      <c r="I15642" s="12"/>
      <c r="J15642" s="3"/>
      <c r="K15642" s="3"/>
      <c r="L15642" s="3"/>
      <c r="M15642" s="3"/>
      <c r="N15642" s="3"/>
      <c r="O15642" s="3"/>
      <c r="P15642" s="3"/>
      <c r="Q15642" s="3"/>
      <c r="R15642" s="3"/>
      <c r="S15642" s="3"/>
      <c r="T15642" s="3"/>
      <c r="U15642" s="3"/>
      <c r="V15642" s="3"/>
      <c r="W15642" s="3"/>
      <c r="X15642" s="3"/>
      <c r="Y15642" s="3"/>
      <c r="Z15642" s="3"/>
      <c r="AA15642" s="3"/>
      <c r="AB15642" s="3"/>
      <c r="AC15642" s="3"/>
      <c r="AD15642" s="3"/>
      <c r="AE15642" s="3"/>
      <c r="AF15642" s="3"/>
      <c r="AG15642" s="3"/>
      <c r="AH15642" s="3"/>
    </row>
    <row r="15643" spans="1:34" ht="15" customHeight="1" x14ac:dyDescent="0.25">
      <c r="A15643" s="3"/>
      <c r="B15643" s="3"/>
      <c r="C15643" s="3"/>
      <c r="D15643" s="3"/>
      <c r="E15643" s="3"/>
      <c r="F15643" s="3"/>
      <c r="G15643" s="3"/>
      <c r="H15643" s="11"/>
      <c r="I15643" s="12"/>
      <c r="J15643" s="3"/>
      <c r="K15643" s="3"/>
      <c r="L15643" s="3"/>
      <c r="M15643" s="3"/>
      <c r="N15643" s="3"/>
      <c r="O15643" s="3"/>
      <c r="P15643" s="3"/>
      <c r="Q15643" s="3"/>
      <c r="R15643" s="3"/>
      <c r="S15643" s="3"/>
      <c r="T15643" s="3"/>
      <c r="U15643" s="3"/>
      <c r="V15643" s="3"/>
      <c r="W15643" s="3"/>
      <c r="X15643" s="3"/>
      <c r="Y15643" s="3"/>
      <c r="Z15643" s="3"/>
      <c r="AA15643" s="3"/>
      <c r="AB15643" s="3"/>
      <c r="AC15643" s="3"/>
      <c r="AD15643" s="3"/>
      <c r="AE15643" s="3"/>
      <c r="AF15643" s="3"/>
      <c r="AG15643" s="3"/>
      <c r="AH15643" s="3"/>
    </row>
    <row r="15644" spans="1:34" ht="15" customHeight="1" x14ac:dyDescent="0.25">
      <c r="A15644" s="3"/>
      <c r="B15644" s="3"/>
      <c r="C15644" s="3"/>
      <c r="D15644" s="3"/>
      <c r="E15644" s="3"/>
      <c r="F15644" s="3"/>
      <c r="G15644" s="3"/>
      <c r="H15644" s="11"/>
      <c r="I15644" s="12"/>
      <c r="J15644" s="3"/>
      <c r="K15644" s="3"/>
      <c r="L15644" s="3"/>
      <c r="M15644" s="3"/>
      <c r="N15644" s="3"/>
      <c r="O15644" s="3"/>
      <c r="P15644" s="3"/>
      <c r="Q15644" s="3"/>
      <c r="R15644" s="3"/>
      <c r="S15644" s="3"/>
      <c r="T15644" s="3"/>
      <c r="U15644" s="3"/>
      <c r="V15644" s="3"/>
      <c r="W15644" s="3"/>
      <c r="X15644" s="3"/>
      <c r="Y15644" s="3"/>
      <c r="Z15644" s="3"/>
      <c r="AA15644" s="3"/>
      <c r="AB15644" s="3"/>
      <c r="AC15644" s="3"/>
      <c r="AD15644" s="3"/>
      <c r="AE15644" s="3"/>
      <c r="AF15644" s="3"/>
      <c r="AG15644" s="3"/>
      <c r="AH15644" s="3"/>
    </row>
    <row r="15645" spans="1:34" ht="15" customHeight="1" x14ac:dyDescent="0.25">
      <c r="A15645" s="3"/>
      <c r="B15645" s="3"/>
      <c r="C15645" s="3"/>
      <c r="D15645" s="3"/>
      <c r="E15645" s="3"/>
      <c r="F15645" s="3"/>
      <c r="G15645" s="3"/>
      <c r="H15645" s="11"/>
      <c r="I15645" s="12"/>
      <c r="J15645" s="3"/>
      <c r="K15645" s="3"/>
      <c r="L15645" s="3"/>
      <c r="M15645" s="3"/>
      <c r="N15645" s="3"/>
      <c r="O15645" s="3"/>
      <c r="P15645" s="3"/>
      <c r="Q15645" s="3"/>
      <c r="R15645" s="3"/>
      <c r="S15645" s="3"/>
      <c r="T15645" s="3"/>
      <c r="U15645" s="3"/>
      <c r="V15645" s="3"/>
      <c r="W15645" s="3"/>
      <c r="X15645" s="3"/>
      <c r="Y15645" s="3"/>
      <c r="Z15645" s="3"/>
      <c r="AA15645" s="3"/>
      <c r="AB15645" s="3"/>
      <c r="AC15645" s="3"/>
      <c r="AD15645" s="3"/>
      <c r="AE15645" s="3"/>
      <c r="AF15645" s="3"/>
      <c r="AG15645" s="3"/>
      <c r="AH15645" s="3"/>
    </row>
    <row r="15646" spans="1:34" ht="15" customHeight="1" x14ac:dyDescent="0.25">
      <c r="A15646" s="3"/>
      <c r="B15646" s="3"/>
      <c r="C15646" s="3"/>
      <c r="D15646" s="3"/>
      <c r="E15646" s="3"/>
      <c r="F15646" s="3"/>
      <c r="G15646" s="3"/>
      <c r="H15646" s="11"/>
      <c r="I15646" s="12"/>
      <c r="J15646" s="3"/>
      <c r="K15646" s="3"/>
      <c r="L15646" s="3"/>
      <c r="M15646" s="3"/>
      <c r="N15646" s="3"/>
      <c r="O15646" s="3"/>
      <c r="P15646" s="3"/>
      <c r="Q15646" s="3"/>
      <c r="R15646" s="3"/>
      <c r="S15646" s="3"/>
      <c r="T15646" s="3"/>
      <c r="U15646" s="3"/>
      <c r="V15646" s="3"/>
      <c r="W15646" s="3"/>
      <c r="X15646" s="3"/>
      <c r="Y15646" s="3"/>
      <c r="Z15646" s="3"/>
      <c r="AA15646" s="3"/>
      <c r="AB15646" s="3"/>
      <c r="AC15646" s="3"/>
      <c r="AD15646" s="3"/>
      <c r="AE15646" s="3"/>
      <c r="AF15646" s="3"/>
      <c r="AG15646" s="3"/>
      <c r="AH15646" s="3"/>
    </row>
    <row r="15647" spans="1:34" ht="15" customHeight="1" x14ac:dyDescent="0.25">
      <c r="A15647" s="3"/>
      <c r="B15647" s="3"/>
      <c r="C15647" s="3"/>
      <c r="D15647" s="3"/>
      <c r="E15647" s="3"/>
      <c r="F15647" s="3"/>
      <c r="G15647" s="3"/>
      <c r="H15647" s="11"/>
      <c r="I15647" s="12"/>
      <c r="J15647" s="3"/>
      <c r="K15647" s="3"/>
      <c r="L15647" s="3"/>
      <c r="M15647" s="3"/>
      <c r="N15647" s="3"/>
      <c r="O15647" s="3"/>
      <c r="P15647" s="3"/>
      <c r="Q15647" s="3"/>
      <c r="R15647" s="3"/>
      <c r="S15647" s="3"/>
      <c r="T15647" s="3"/>
      <c r="U15647" s="3"/>
      <c r="V15647" s="3"/>
      <c r="W15647" s="3"/>
      <c r="X15647" s="3"/>
      <c r="Y15647" s="3"/>
      <c r="Z15647" s="3"/>
      <c r="AA15647" s="3"/>
      <c r="AB15647" s="3"/>
      <c r="AC15647" s="3"/>
      <c r="AD15647" s="3"/>
      <c r="AE15647" s="3"/>
      <c r="AF15647" s="3"/>
      <c r="AG15647" s="3"/>
      <c r="AH15647" s="3"/>
    </row>
    <row r="15648" spans="1:34" ht="15" customHeight="1" x14ac:dyDescent="0.25">
      <c r="A15648" s="3"/>
      <c r="B15648" s="3"/>
      <c r="C15648" s="3"/>
      <c r="D15648" s="3"/>
      <c r="E15648" s="3"/>
      <c r="F15648" s="3"/>
      <c r="G15648" s="3"/>
      <c r="H15648" s="11"/>
      <c r="I15648" s="12"/>
      <c r="J15648" s="3"/>
      <c r="K15648" s="3"/>
      <c r="L15648" s="3"/>
      <c r="M15648" s="3"/>
      <c r="N15648" s="3"/>
      <c r="O15648" s="3"/>
      <c r="P15648" s="3"/>
      <c r="Q15648" s="3"/>
      <c r="R15648" s="3"/>
      <c r="S15648" s="3"/>
      <c r="T15648" s="3"/>
      <c r="U15648" s="3"/>
      <c r="V15648" s="3"/>
      <c r="W15648" s="3"/>
      <c r="X15648" s="3"/>
      <c r="Y15648" s="3"/>
      <c r="Z15648" s="3"/>
      <c r="AA15648" s="3"/>
      <c r="AB15648" s="3"/>
      <c r="AC15648" s="3"/>
      <c r="AD15648" s="3"/>
      <c r="AE15648" s="3"/>
      <c r="AF15648" s="3"/>
      <c r="AG15648" s="3"/>
      <c r="AH15648" s="3"/>
    </row>
    <row r="15649" spans="1:34" ht="15" customHeight="1" x14ac:dyDescent="0.25">
      <c r="A15649" s="3"/>
      <c r="B15649" s="3"/>
      <c r="C15649" s="3"/>
      <c r="D15649" s="3"/>
      <c r="E15649" s="3"/>
      <c r="F15649" s="3"/>
      <c r="G15649" s="3"/>
      <c r="H15649" s="11"/>
      <c r="I15649" s="12"/>
      <c r="J15649" s="3"/>
      <c r="K15649" s="3"/>
      <c r="L15649" s="3"/>
      <c r="M15649" s="3"/>
      <c r="N15649" s="3"/>
      <c r="O15649" s="3"/>
      <c r="P15649" s="3"/>
      <c r="Q15649" s="3"/>
      <c r="R15649" s="3"/>
      <c r="S15649" s="3"/>
      <c r="T15649" s="3"/>
      <c r="U15649" s="3"/>
      <c r="V15649" s="3"/>
      <c r="W15649" s="3"/>
      <c r="X15649" s="3"/>
      <c r="Y15649" s="3"/>
      <c r="Z15649" s="3"/>
      <c r="AA15649" s="3"/>
      <c r="AB15649" s="3"/>
      <c r="AC15649" s="3"/>
      <c r="AD15649" s="3"/>
      <c r="AE15649" s="3"/>
      <c r="AF15649" s="3"/>
      <c r="AG15649" s="3"/>
      <c r="AH15649" s="3"/>
    </row>
    <row r="15650" spans="1:34" ht="15" customHeight="1" x14ac:dyDescent="0.25">
      <c r="A15650" s="3"/>
      <c r="B15650" s="3"/>
      <c r="C15650" s="3"/>
      <c r="D15650" s="3"/>
      <c r="E15650" s="3"/>
      <c r="F15650" s="3"/>
      <c r="G15650" s="3"/>
      <c r="H15650" s="11"/>
      <c r="I15650" s="12"/>
      <c r="J15650" s="3"/>
      <c r="K15650" s="3"/>
      <c r="L15650" s="3"/>
      <c r="M15650" s="3"/>
      <c r="N15650" s="3"/>
      <c r="O15650" s="3"/>
      <c r="P15650" s="3"/>
      <c r="Q15650" s="3"/>
      <c r="R15650" s="3"/>
      <c r="S15650" s="3"/>
      <c r="T15650" s="3"/>
      <c r="U15650" s="3"/>
      <c r="V15650" s="3"/>
      <c r="W15650" s="3"/>
      <c r="X15650" s="3"/>
      <c r="Y15650" s="3"/>
      <c r="Z15650" s="3"/>
      <c r="AA15650" s="3"/>
      <c r="AB15650" s="3"/>
      <c r="AC15650" s="3"/>
      <c r="AD15650" s="3"/>
      <c r="AE15650" s="3"/>
      <c r="AF15650" s="3"/>
      <c r="AG15650" s="3"/>
      <c r="AH15650" s="3"/>
    </row>
    <row r="15651" spans="1:34" ht="15" customHeight="1" x14ac:dyDescent="0.25">
      <c r="A15651" s="3"/>
      <c r="B15651" s="3"/>
      <c r="C15651" s="3"/>
      <c r="D15651" s="3"/>
      <c r="E15651" s="3"/>
      <c r="F15651" s="3"/>
      <c r="G15651" s="3"/>
      <c r="H15651" s="11"/>
      <c r="I15651" s="12"/>
      <c r="J15651" s="3"/>
      <c r="K15651" s="3"/>
      <c r="L15651" s="3"/>
      <c r="M15651" s="3"/>
      <c r="N15651" s="3"/>
      <c r="O15651" s="3"/>
      <c r="P15651" s="3"/>
      <c r="Q15651" s="3"/>
      <c r="R15651" s="3"/>
      <c r="S15651" s="3"/>
      <c r="T15651" s="3"/>
      <c r="U15651" s="3"/>
      <c r="V15651" s="3"/>
      <c r="W15651" s="3"/>
      <c r="X15651" s="3"/>
      <c r="Y15651" s="3"/>
      <c r="Z15651" s="3"/>
      <c r="AA15651" s="3"/>
      <c r="AB15651" s="3"/>
      <c r="AC15651" s="3"/>
      <c r="AD15651" s="3"/>
      <c r="AE15651" s="3"/>
      <c r="AF15651" s="3"/>
      <c r="AG15651" s="3"/>
      <c r="AH15651" s="3"/>
    </row>
    <row r="15652" spans="1:34" ht="15" customHeight="1" x14ac:dyDescent="0.25">
      <c r="A15652" s="3"/>
      <c r="B15652" s="3"/>
      <c r="C15652" s="3"/>
      <c r="D15652" s="3"/>
      <c r="E15652" s="3"/>
      <c r="F15652" s="3"/>
      <c r="G15652" s="3"/>
      <c r="H15652" s="11"/>
      <c r="I15652" s="12"/>
      <c r="J15652" s="3"/>
      <c r="K15652" s="3"/>
      <c r="L15652" s="3"/>
      <c r="M15652" s="3"/>
      <c r="N15652" s="3"/>
      <c r="O15652" s="3"/>
      <c r="P15652" s="3"/>
      <c r="Q15652" s="3"/>
      <c r="R15652" s="3"/>
      <c r="S15652" s="3"/>
      <c r="T15652" s="3"/>
      <c r="U15652" s="3"/>
      <c r="V15652" s="3"/>
      <c r="W15652" s="3"/>
      <c r="X15652" s="3"/>
      <c r="Y15652" s="3"/>
      <c r="Z15652" s="3"/>
      <c r="AA15652" s="3"/>
      <c r="AB15652" s="3"/>
      <c r="AC15652" s="3"/>
      <c r="AD15652" s="3"/>
      <c r="AE15652" s="3"/>
      <c r="AF15652" s="3"/>
      <c r="AG15652" s="3"/>
      <c r="AH15652" s="3"/>
    </row>
    <row r="15653" spans="1:34" ht="15" customHeight="1" x14ac:dyDescent="0.25">
      <c r="A15653" s="3"/>
      <c r="B15653" s="3"/>
      <c r="C15653" s="3"/>
      <c r="D15653" s="3"/>
      <c r="E15653" s="3"/>
      <c r="F15653" s="3"/>
      <c r="G15653" s="3"/>
      <c r="H15653" s="11"/>
      <c r="I15653" s="12"/>
      <c r="J15653" s="3"/>
      <c r="K15653" s="3"/>
      <c r="L15653" s="3"/>
      <c r="M15653" s="3"/>
      <c r="N15653" s="3"/>
      <c r="O15653" s="3"/>
      <c r="P15653" s="3"/>
      <c r="Q15653" s="3"/>
      <c r="R15653" s="3"/>
      <c r="S15653" s="3"/>
      <c r="T15653" s="3"/>
      <c r="U15653" s="3"/>
      <c r="V15653" s="3"/>
      <c r="W15653" s="3"/>
      <c r="X15653" s="3"/>
      <c r="Y15653" s="3"/>
      <c r="Z15653" s="3"/>
      <c r="AA15653" s="3"/>
      <c r="AB15653" s="3"/>
      <c r="AC15653" s="3"/>
      <c r="AD15653" s="3"/>
      <c r="AE15653" s="3"/>
      <c r="AF15653" s="3"/>
      <c r="AG15653" s="3"/>
      <c r="AH15653" s="3"/>
    </row>
    <row r="15654" spans="1:34" ht="15" customHeight="1" x14ac:dyDescent="0.25">
      <c r="A15654" s="3"/>
      <c r="B15654" s="3"/>
      <c r="C15654" s="3"/>
      <c r="D15654" s="3"/>
      <c r="E15654" s="3"/>
      <c r="F15654" s="3"/>
      <c r="G15654" s="3"/>
      <c r="H15654" s="11"/>
      <c r="I15654" s="12"/>
      <c r="J15654" s="3"/>
      <c r="K15654" s="3"/>
      <c r="L15654" s="3"/>
      <c r="M15654" s="3"/>
      <c r="N15654" s="3"/>
      <c r="O15654" s="3"/>
      <c r="P15654" s="3"/>
      <c r="Q15654" s="3"/>
      <c r="R15654" s="3"/>
      <c r="S15654" s="3"/>
      <c r="T15654" s="3"/>
      <c r="U15654" s="3"/>
      <c r="V15654" s="3"/>
      <c r="W15654" s="3"/>
      <c r="X15654" s="3"/>
      <c r="Y15654" s="3"/>
      <c r="Z15654" s="3"/>
      <c r="AA15654" s="3"/>
      <c r="AB15654" s="3"/>
      <c r="AC15654" s="3"/>
      <c r="AD15654" s="3"/>
      <c r="AE15654" s="3"/>
      <c r="AF15654" s="3"/>
      <c r="AG15654" s="3"/>
      <c r="AH15654" s="3"/>
    </row>
    <row r="15655" spans="1:34" ht="15" customHeight="1" x14ac:dyDescent="0.25">
      <c r="A15655" s="3"/>
      <c r="B15655" s="3"/>
      <c r="C15655" s="3"/>
      <c r="D15655" s="3"/>
      <c r="E15655" s="3"/>
      <c r="F15655" s="3"/>
      <c r="G15655" s="3"/>
      <c r="H15655" s="11"/>
      <c r="I15655" s="12"/>
      <c r="J15655" s="3"/>
      <c r="K15655" s="3"/>
      <c r="L15655" s="3"/>
      <c r="M15655" s="3"/>
      <c r="N15655" s="3"/>
      <c r="O15655" s="3"/>
      <c r="P15655" s="3"/>
      <c r="Q15655" s="3"/>
      <c r="R15655" s="3"/>
      <c r="S15655" s="3"/>
      <c r="T15655" s="3"/>
      <c r="U15655" s="3"/>
      <c r="V15655" s="3"/>
      <c r="W15655" s="3"/>
      <c r="X15655" s="3"/>
      <c r="Y15655" s="3"/>
      <c r="Z15655" s="3"/>
      <c r="AA15655" s="3"/>
      <c r="AB15655" s="3"/>
      <c r="AC15655" s="3"/>
      <c r="AD15655" s="3"/>
      <c r="AE15655" s="3"/>
      <c r="AF15655" s="3"/>
      <c r="AG15655" s="3"/>
      <c r="AH15655" s="3"/>
    </row>
    <row r="15656" spans="1:34" ht="15" customHeight="1" x14ac:dyDescent="0.25">
      <c r="A15656" s="3"/>
      <c r="B15656" s="3"/>
      <c r="C15656" s="3"/>
      <c r="D15656" s="3"/>
      <c r="E15656" s="3"/>
      <c r="F15656" s="3"/>
      <c r="G15656" s="3"/>
      <c r="H15656" s="11"/>
      <c r="I15656" s="12"/>
      <c r="J15656" s="3"/>
      <c r="K15656" s="3"/>
      <c r="L15656" s="3"/>
      <c r="M15656" s="3"/>
      <c r="N15656" s="3"/>
      <c r="O15656" s="3"/>
      <c r="P15656" s="3"/>
      <c r="Q15656" s="3"/>
      <c r="R15656" s="3"/>
      <c r="S15656" s="3"/>
      <c r="T15656" s="3"/>
      <c r="U15656" s="3"/>
      <c r="V15656" s="3"/>
      <c r="W15656" s="3"/>
      <c r="X15656" s="3"/>
      <c r="Y15656" s="3"/>
      <c r="Z15656" s="3"/>
      <c r="AA15656" s="3"/>
      <c r="AB15656" s="3"/>
      <c r="AC15656" s="3"/>
      <c r="AD15656" s="3"/>
      <c r="AE15656" s="3"/>
      <c r="AF15656" s="3"/>
      <c r="AG15656" s="3"/>
      <c r="AH15656" s="3"/>
    </row>
    <row r="15657" spans="1:34" ht="15" customHeight="1" x14ac:dyDescent="0.25">
      <c r="A15657" s="3"/>
      <c r="B15657" s="3"/>
      <c r="C15657" s="3"/>
      <c r="D15657" s="3"/>
      <c r="E15657" s="3"/>
      <c r="F15657" s="3"/>
      <c r="G15657" s="3"/>
      <c r="H15657" s="11"/>
      <c r="I15657" s="12"/>
      <c r="J15657" s="3"/>
      <c r="K15657" s="3"/>
      <c r="L15657" s="3"/>
      <c r="M15657" s="3"/>
      <c r="N15657" s="3"/>
      <c r="O15657" s="3"/>
      <c r="P15657" s="3"/>
      <c r="Q15657" s="3"/>
      <c r="R15657" s="3"/>
      <c r="S15657" s="3"/>
      <c r="T15657" s="3"/>
      <c r="U15657" s="3"/>
      <c r="V15657" s="3"/>
      <c r="W15657" s="3"/>
      <c r="X15657" s="3"/>
      <c r="Y15657" s="3"/>
      <c r="Z15657" s="3"/>
      <c r="AA15657" s="3"/>
      <c r="AB15657" s="3"/>
      <c r="AC15657" s="3"/>
      <c r="AD15657" s="3"/>
      <c r="AE15657" s="3"/>
      <c r="AF15657" s="3"/>
      <c r="AG15657" s="3"/>
      <c r="AH15657" s="3"/>
    </row>
    <row r="15658" spans="1:34" ht="15" customHeight="1" x14ac:dyDescent="0.25">
      <c r="A15658" s="3"/>
      <c r="B15658" s="3"/>
      <c r="C15658" s="3"/>
      <c r="D15658" s="3"/>
      <c r="E15658" s="3"/>
      <c r="F15658" s="3"/>
      <c r="G15658" s="3"/>
      <c r="H15658" s="11"/>
      <c r="I15658" s="12"/>
      <c r="J15658" s="3"/>
      <c r="K15658" s="3"/>
      <c r="L15658" s="3"/>
      <c r="M15658" s="3"/>
      <c r="N15658" s="3"/>
      <c r="O15658" s="3"/>
      <c r="P15658" s="3"/>
      <c r="Q15658" s="3"/>
      <c r="R15658" s="3"/>
      <c r="S15658" s="3"/>
      <c r="T15658" s="3"/>
      <c r="U15658" s="3"/>
      <c r="V15658" s="3"/>
      <c r="W15658" s="3"/>
      <c r="X15658" s="3"/>
      <c r="Y15658" s="3"/>
      <c r="Z15658" s="3"/>
      <c r="AA15658" s="3"/>
      <c r="AB15658" s="3"/>
      <c r="AC15658" s="3"/>
      <c r="AD15658" s="3"/>
      <c r="AE15658" s="3"/>
      <c r="AF15658" s="3"/>
      <c r="AG15658" s="3"/>
      <c r="AH15658" s="3"/>
    </row>
    <row r="15659" spans="1:34" ht="15" customHeight="1" x14ac:dyDescent="0.25">
      <c r="A15659" s="3"/>
      <c r="B15659" s="3"/>
      <c r="C15659" s="3"/>
      <c r="D15659" s="3"/>
      <c r="E15659" s="3"/>
      <c r="F15659" s="3"/>
      <c r="G15659" s="3"/>
      <c r="H15659" s="11"/>
      <c r="I15659" s="12"/>
      <c r="J15659" s="3"/>
      <c r="K15659" s="3"/>
      <c r="L15659" s="3"/>
      <c r="M15659" s="3"/>
      <c r="N15659" s="3"/>
      <c r="O15659" s="3"/>
      <c r="P15659" s="3"/>
      <c r="Q15659" s="3"/>
      <c r="R15659" s="3"/>
      <c r="S15659" s="3"/>
      <c r="T15659" s="3"/>
      <c r="U15659" s="3"/>
      <c r="V15659" s="3"/>
      <c r="W15659" s="3"/>
      <c r="X15659" s="3"/>
      <c r="Y15659" s="3"/>
      <c r="Z15659" s="3"/>
      <c r="AA15659" s="3"/>
      <c r="AB15659" s="3"/>
      <c r="AC15659" s="3"/>
      <c r="AD15659" s="3"/>
      <c r="AE15659" s="3"/>
      <c r="AF15659" s="3"/>
      <c r="AG15659" s="3"/>
      <c r="AH15659" s="3"/>
    </row>
    <row r="15660" spans="1:34" ht="15" customHeight="1" x14ac:dyDescent="0.25">
      <c r="A15660" s="3"/>
      <c r="B15660" s="3"/>
      <c r="C15660" s="3"/>
      <c r="D15660" s="3"/>
      <c r="E15660" s="3"/>
      <c r="F15660" s="3"/>
      <c r="G15660" s="3"/>
      <c r="H15660" s="11"/>
      <c r="I15660" s="12"/>
      <c r="J15660" s="3"/>
      <c r="K15660" s="3"/>
      <c r="L15660" s="3"/>
      <c r="M15660" s="3"/>
      <c r="N15660" s="3"/>
      <c r="O15660" s="3"/>
      <c r="P15660" s="3"/>
      <c r="Q15660" s="3"/>
      <c r="R15660" s="3"/>
      <c r="S15660" s="3"/>
      <c r="T15660" s="3"/>
      <c r="U15660" s="3"/>
      <c r="V15660" s="3"/>
      <c r="W15660" s="3"/>
      <c r="X15660" s="3"/>
      <c r="Y15660" s="3"/>
      <c r="Z15660" s="3"/>
      <c r="AA15660" s="3"/>
      <c r="AB15660" s="3"/>
      <c r="AC15660" s="3"/>
      <c r="AD15660" s="3"/>
      <c r="AE15660" s="3"/>
      <c r="AF15660" s="3"/>
      <c r="AG15660" s="3"/>
      <c r="AH15660" s="3"/>
    </row>
    <row r="15661" spans="1:34" ht="15" customHeight="1" x14ac:dyDescent="0.25">
      <c r="A15661" s="3"/>
      <c r="B15661" s="3"/>
      <c r="C15661" s="3"/>
      <c r="D15661" s="3"/>
      <c r="E15661" s="3"/>
      <c r="F15661" s="3"/>
      <c r="G15661" s="3"/>
      <c r="H15661" s="11"/>
      <c r="I15661" s="12"/>
      <c r="J15661" s="3"/>
      <c r="K15661" s="3"/>
      <c r="L15661" s="3"/>
      <c r="M15661" s="3"/>
      <c r="N15661" s="3"/>
      <c r="O15661" s="3"/>
      <c r="P15661" s="3"/>
      <c r="Q15661" s="3"/>
      <c r="R15661" s="3"/>
      <c r="S15661" s="3"/>
      <c r="T15661" s="3"/>
      <c r="U15661" s="3"/>
      <c r="V15661" s="3"/>
      <c r="W15661" s="3"/>
      <c r="X15661" s="3"/>
      <c r="Y15661" s="3"/>
      <c r="Z15661" s="3"/>
      <c r="AA15661" s="3"/>
      <c r="AB15661" s="3"/>
      <c r="AC15661" s="3"/>
      <c r="AD15661" s="3"/>
      <c r="AE15661" s="3"/>
      <c r="AF15661" s="3"/>
      <c r="AG15661" s="3"/>
      <c r="AH15661" s="3"/>
    </row>
    <row r="15662" spans="1:34" ht="15" customHeight="1" x14ac:dyDescent="0.25">
      <c r="A15662" s="3"/>
      <c r="B15662" s="3"/>
      <c r="C15662" s="3"/>
      <c r="D15662" s="3"/>
      <c r="E15662" s="3"/>
      <c r="F15662" s="3"/>
      <c r="G15662" s="3"/>
      <c r="H15662" s="11"/>
      <c r="I15662" s="12"/>
      <c r="J15662" s="3"/>
      <c r="K15662" s="3"/>
      <c r="L15662" s="3"/>
      <c r="M15662" s="3"/>
      <c r="N15662" s="3"/>
      <c r="O15662" s="3"/>
      <c r="P15662" s="3"/>
      <c r="Q15662" s="3"/>
      <c r="R15662" s="3"/>
      <c r="S15662" s="3"/>
      <c r="T15662" s="3"/>
      <c r="U15662" s="3"/>
      <c r="V15662" s="3"/>
      <c r="W15662" s="3"/>
      <c r="X15662" s="3"/>
      <c r="Y15662" s="3"/>
      <c r="Z15662" s="3"/>
      <c r="AA15662" s="3"/>
      <c r="AB15662" s="3"/>
      <c r="AC15662" s="3"/>
      <c r="AD15662" s="3"/>
      <c r="AE15662" s="3"/>
      <c r="AF15662" s="3"/>
      <c r="AG15662" s="3"/>
      <c r="AH15662" s="3"/>
    </row>
    <row r="15663" spans="1:34" ht="15" customHeight="1" x14ac:dyDescent="0.25">
      <c r="A15663" s="3"/>
      <c r="B15663" s="3"/>
      <c r="C15663" s="3"/>
      <c r="D15663" s="3"/>
      <c r="E15663" s="3"/>
      <c r="F15663" s="3"/>
      <c r="G15663" s="3"/>
      <c r="H15663" s="11"/>
      <c r="I15663" s="12"/>
      <c r="J15663" s="3"/>
      <c r="K15663" s="3"/>
      <c r="L15663" s="3"/>
      <c r="M15663" s="3"/>
      <c r="N15663" s="3"/>
      <c r="O15663" s="3"/>
      <c r="P15663" s="3"/>
      <c r="Q15663" s="3"/>
      <c r="R15663" s="3"/>
      <c r="S15663" s="3"/>
      <c r="T15663" s="3"/>
      <c r="U15663" s="3"/>
      <c r="V15663" s="3"/>
      <c r="W15663" s="3"/>
      <c r="X15663" s="3"/>
      <c r="Y15663" s="3"/>
      <c r="Z15663" s="3"/>
      <c r="AA15663" s="3"/>
      <c r="AB15663" s="3"/>
      <c r="AC15663" s="3"/>
      <c r="AD15663" s="3"/>
      <c r="AE15663" s="3"/>
      <c r="AF15663" s="3"/>
      <c r="AG15663" s="3"/>
      <c r="AH15663" s="3"/>
    </row>
    <row r="15664" spans="1:34" ht="15" customHeight="1" x14ac:dyDescent="0.25">
      <c r="A15664" s="3"/>
      <c r="B15664" s="3"/>
      <c r="C15664" s="3"/>
      <c r="D15664" s="3"/>
      <c r="E15664" s="3"/>
      <c r="F15664" s="3"/>
      <c r="G15664" s="3"/>
      <c r="H15664" s="11"/>
      <c r="I15664" s="12"/>
      <c r="J15664" s="3"/>
      <c r="K15664" s="3"/>
      <c r="L15664" s="3"/>
      <c r="M15664" s="3"/>
      <c r="N15664" s="3"/>
      <c r="O15664" s="3"/>
      <c r="P15664" s="3"/>
      <c r="Q15664" s="3"/>
      <c r="R15664" s="3"/>
      <c r="S15664" s="3"/>
      <c r="T15664" s="3"/>
      <c r="U15664" s="3"/>
      <c r="V15664" s="3"/>
      <c r="W15664" s="3"/>
      <c r="X15664" s="3"/>
      <c r="Y15664" s="3"/>
      <c r="Z15664" s="3"/>
      <c r="AA15664" s="3"/>
      <c r="AB15664" s="3"/>
      <c r="AC15664" s="3"/>
      <c r="AD15664" s="3"/>
      <c r="AE15664" s="3"/>
      <c r="AF15664" s="3"/>
      <c r="AG15664" s="3"/>
      <c r="AH15664" s="3"/>
    </row>
    <row r="15665" spans="1:34" ht="15" customHeight="1" x14ac:dyDescent="0.25">
      <c r="A15665" s="3"/>
      <c r="B15665" s="3"/>
      <c r="C15665" s="3"/>
      <c r="D15665" s="3"/>
      <c r="E15665" s="3"/>
      <c r="F15665" s="3"/>
      <c r="G15665" s="3"/>
      <c r="H15665" s="11"/>
      <c r="I15665" s="12"/>
      <c r="J15665" s="3"/>
      <c r="K15665" s="3"/>
      <c r="L15665" s="3"/>
      <c r="M15665" s="3"/>
      <c r="N15665" s="3"/>
      <c r="O15665" s="3"/>
      <c r="P15665" s="3"/>
      <c r="Q15665" s="3"/>
      <c r="R15665" s="3"/>
      <c r="S15665" s="3"/>
      <c r="T15665" s="3"/>
      <c r="U15665" s="3"/>
      <c r="V15665" s="3"/>
      <c r="W15665" s="3"/>
      <c r="X15665" s="3"/>
      <c r="Y15665" s="3"/>
      <c r="Z15665" s="3"/>
      <c r="AA15665" s="3"/>
      <c r="AB15665" s="3"/>
      <c r="AC15665" s="3"/>
      <c r="AD15665" s="3"/>
      <c r="AE15665" s="3"/>
      <c r="AF15665" s="3"/>
      <c r="AG15665" s="3"/>
      <c r="AH15665" s="3"/>
    </row>
    <row r="15666" spans="1:34" ht="15" customHeight="1" x14ac:dyDescent="0.25">
      <c r="A15666" s="3"/>
      <c r="B15666" s="3"/>
      <c r="C15666" s="3"/>
      <c r="D15666" s="3"/>
      <c r="E15666" s="3"/>
      <c r="F15666" s="3"/>
      <c r="G15666" s="3"/>
      <c r="H15666" s="11"/>
      <c r="I15666" s="12"/>
      <c r="J15666" s="3"/>
      <c r="K15666" s="3"/>
      <c r="L15666" s="3"/>
      <c r="M15666" s="3"/>
      <c r="N15666" s="3"/>
      <c r="O15666" s="3"/>
      <c r="P15666" s="3"/>
      <c r="Q15666" s="3"/>
      <c r="R15666" s="3"/>
      <c r="S15666" s="3"/>
      <c r="T15666" s="3"/>
      <c r="U15666" s="3"/>
      <c r="V15666" s="3"/>
      <c r="W15666" s="3"/>
      <c r="X15666" s="3"/>
      <c r="Y15666" s="3"/>
      <c r="Z15666" s="3"/>
      <c r="AA15666" s="3"/>
      <c r="AB15666" s="3"/>
      <c r="AC15666" s="3"/>
      <c r="AD15666" s="3"/>
      <c r="AE15666" s="3"/>
      <c r="AF15666" s="3"/>
      <c r="AG15666" s="3"/>
      <c r="AH15666" s="3"/>
    </row>
    <row r="15667" spans="1:34" ht="15" customHeight="1" x14ac:dyDescent="0.25">
      <c r="A15667" s="3"/>
      <c r="B15667" s="3"/>
      <c r="C15667" s="3"/>
      <c r="D15667" s="3"/>
      <c r="E15667" s="3"/>
      <c r="F15667" s="3"/>
      <c r="G15667" s="3"/>
      <c r="H15667" s="11"/>
      <c r="I15667" s="12"/>
      <c r="J15667" s="3"/>
      <c r="K15667" s="3"/>
      <c r="L15667" s="3"/>
      <c r="M15667" s="3"/>
      <c r="N15667" s="3"/>
      <c r="O15667" s="3"/>
      <c r="P15667" s="3"/>
      <c r="Q15667" s="3"/>
      <c r="R15667" s="3"/>
      <c r="S15667" s="3"/>
      <c r="T15667" s="3"/>
      <c r="U15667" s="3"/>
      <c r="V15667" s="3"/>
      <c r="W15667" s="3"/>
      <c r="X15667" s="3"/>
      <c r="Y15667" s="3"/>
      <c r="Z15667" s="3"/>
      <c r="AA15667" s="3"/>
      <c r="AB15667" s="3"/>
      <c r="AC15667" s="3"/>
      <c r="AD15667" s="3"/>
      <c r="AE15667" s="3"/>
      <c r="AF15667" s="3"/>
      <c r="AG15667" s="3"/>
      <c r="AH15667" s="3"/>
    </row>
    <row r="15668" spans="1:34" ht="15" customHeight="1" x14ac:dyDescent="0.25">
      <c r="A15668" s="3"/>
      <c r="B15668" s="3"/>
      <c r="C15668" s="3"/>
      <c r="D15668" s="3"/>
      <c r="E15668" s="3"/>
      <c r="F15668" s="3"/>
      <c r="G15668" s="3"/>
      <c r="H15668" s="11"/>
      <c r="I15668" s="12"/>
      <c r="J15668" s="3"/>
      <c r="K15668" s="3"/>
      <c r="L15668" s="3"/>
      <c r="M15668" s="3"/>
      <c r="N15668" s="3"/>
      <c r="O15668" s="3"/>
      <c r="P15668" s="3"/>
      <c r="Q15668" s="3"/>
      <c r="R15668" s="3"/>
      <c r="S15668" s="3"/>
      <c r="T15668" s="3"/>
      <c r="U15668" s="3"/>
      <c r="V15668" s="3"/>
      <c r="W15668" s="3"/>
      <c r="X15668" s="3"/>
      <c r="Y15668" s="3"/>
      <c r="Z15668" s="3"/>
      <c r="AA15668" s="3"/>
      <c r="AB15668" s="3"/>
      <c r="AC15668" s="3"/>
      <c r="AD15668" s="3"/>
      <c r="AE15668" s="3"/>
      <c r="AF15668" s="3"/>
      <c r="AG15668" s="3"/>
      <c r="AH15668" s="3"/>
    </row>
    <row r="15669" spans="1:34" ht="15" customHeight="1" x14ac:dyDescent="0.25">
      <c r="A15669" s="3"/>
      <c r="B15669" s="3"/>
      <c r="C15669" s="3"/>
      <c r="D15669" s="3"/>
      <c r="E15669" s="3"/>
      <c r="F15669" s="3"/>
      <c r="G15669" s="3"/>
      <c r="H15669" s="11"/>
      <c r="I15669" s="12"/>
      <c r="J15669" s="3"/>
      <c r="K15669" s="3"/>
      <c r="L15669" s="3"/>
      <c r="M15669" s="3"/>
      <c r="N15669" s="3"/>
      <c r="O15669" s="3"/>
      <c r="P15669" s="3"/>
      <c r="Q15669" s="3"/>
      <c r="R15669" s="3"/>
      <c r="S15669" s="3"/>
      <c r="T15669" s="3"/>
      <c r="U15669" s="3"/>
      <c r="V15669" s="3"/>
      <c r="W15669" s="3"/>
      <c r="X15669" s="3"/>
      <c r="Y15669" s="3"/>
      <c r="Z15669" s="3"/>
      <c r="AA15669" s="3"/>
      <c r="AB15669" s="3"/>
      <c r="AC15669" s="3"/>
      <c r="AD15669" s="3"/>
      <c r="AE15669" s="3"/>
      <c r="AF15669" s="3"/>
      <c r="AG15669" s="3"/>
      <c r="AH15669" s="3"/>
    </row>
    <row r="15670" spans="1:34" ht="15" customHeight="1" x14ac:dyDescent="0.25">
      <c r="A15670" s="3"/>
      <c r="B15670" s="3"/>
      <c r="C15670" s="3"/>
      <c r="D15670" s="3"/>
      <c r="E15670" s="3"/>
      <c r="F15670" s="3"/>
      <c r="G15670" s="3"/>
      <c r="H15670" s="11"/>
      <c r="I15670" s="12"/>
      <c r="J15670" s="3"/>
      <c r="K15670" s="3"/>
      <c r="L15670" s="3"/>
      <c r="M15670" s="3"/>
      <c r="N15670" s="3"/>
      <c r="O15670" s="3"/>
      <c r="P15670" s="3"/>
      <c r="Q15670" s="3"/>
      <c r="R15670" s="3"/>
      <c r="S15670" s="3"/>
      <c r="T15670" s="3"/>
      <c r="U15670" s="3"/>
      <c r="V15670" s="3"/>
      <c r="W15670" s="3"/>
      <c r="X15670" s="3"/>
      <c r="Y15670" s="3"/>
      <c r="Z15670" s="3"/>
      <c r="AA15670" s="3"/>
      <c r="AB15670" s="3"/>
      <c r="AC15670" s="3"/>
      <c r="AD15670" s="3"/>
      <c r="AE15670" s="3"/>
      <c r="AF15670" s="3"/>
      <c r="AG15670" s="3"/>
      <c r="AH15670" s="3"/>
    </row>
    <row r="15671" spans="1:34" ht="15" customHeight="1" x14ac:dyDescent="0.25">
      <c r="A15671" s="3"/>
      <c r="B15671" s="3"/>
      <c r="C15671" s="3"/>
      <c r="D15671" s="3"/>
      <c r="E15671" s="3"/>
      <c r="F15671" s="3"/>
      <c r="G15671" s="3"/>
      <c r="H15671" s="11"/>
      <c r="I15671" s="12"/>
      <c r="J15671" s="3"/>
      <c r="K15671" s="3"/>
      <c r="L15671" s="3"/>
      <c r="M15671" s="3"/>
      <c r="N15671" s="3"/>
      <c r="O15671" s="3"/>
      <c r="P15671" s="3"/>
      <c r="Q15671" s="3"/>
      <c r="R15671" s="3"/>
      <c r="S15671" s="3"/>
      <c r="T15671" s="3"/>
      <c r="U15671" s="3"/>
      <c r="V15671" s="3"/>
      <c r="W15671" s="3"/>
      <c r="X15671" s="3"/>
      <c r="Y15671" s="3"/>
      <c r="Z15671" s="3"/>
      <c r="AA15671" s="3"/>
      <c r="AB15671" s="3"/>
      <c r="AC15671" s="3"/>
      <c r="AD15671" s="3"/>
      <c r="AE15671" s="3"/>
      <c r="AF15671" s="3"/>
      <c r="AG15671" s="3"/>
      <c r="AH15671" s="3"/>
    </row>
    <row r="15672" spans="1:34" ht="15" customHeight="1" x14ac:dyDescent="0.25">
      <c r="A15672" s="3"/>
      <c r="B15672" s="3"/>
      <c r="C15672" s="3"/>
      <c r="D15672" s="3"/>
      <c r="E15672" s="3"/>
      <c r="F15672" s="3"/>
      <c r="G15672" s="3"/>
      <c r="H15672" s="11"/>
      <c r="I15672" s="12"/>
      <c r="J15672" s="3"/>
      <c r="K15672" s="3"/>
      <c r="L15672" s="3"/>
      <c r="M15672" s="3"/>
      <c r="N15672" s="3"/>
      <c r="O15672" s="3"/>
      <c r="P15672" s="3"/>
      <c r="Q15672" s="3"/>
      <c r="R15672" s="3"/>
      <c r="S15672" s="3"/>
      <c r="T15672" s="3"/>
      <c r="U15672" s="3"/>
      <c r="V15672" s="3"/>
      <c r="W15672" s="3"/>
      <c r="X15672" s="3"/>
      <c r="Y15672" s="3"/>
      <c r="Z15672" s="3"/>
      <c r="AA15672" s="3"/>
      <c r="AB15672" s="3"/>
      <c r="AC15672" s="3"/>
      <c r="AD15672" s="3"/>
      <c r="AE15672" s="3"/>
      <c r="AF15672" s="3"/>
      <c r="AG15672" s="3"/>
      <c r="AH15672" s="3"/>
    </row>
    <row r="15673" spans="1:34" ht="15" customHeight="1" x14ac:dyDescent="0.25">
      <c r="A15673" s="3"/>
      <c r="B15673" s="3"/>
      <c r="C15673" s="3"/>
      <c r="D15673" s="3"/>
      <c r="E15673" s="3"/>
      <c r="F15673" s="3"/>
      <c r="G15673" s="3"/>
      <c r="H15673" s="11"/>
      <c r="I15673" s="12"/>
      <c r="J15673" s="3"/>
      <c r="K15673" s="3"/>
      <c r="L15673" s="3"/>
      <c r="M15673" s="3"/>
      <c r="N15673" s="3"/>
      <c r="O15673" s="3"/>
      <c r="P15673" s="3"/>
      <c r="Q15673" s="3"/>
      <c r="R15673" s="3"/>
      <c r="S15673" s="3"/>
      <c r="T15673" s="3"/>
      <c r="U15673" s="3"/>
      <c r="V15673" s="3"/>
      <c r="W15673" s="3"/>
      <c r="X15673" s="3"/>
      <c r="Y15673" s="3"/>
      <c r="Z15673" s="3"/>
      <c r="AA15673" s="3"/>
      <c r="AB15673" s="3"/>
      <c r="AC15673" s="3"/>
      <c r="AD15673" s="3"/>
      <c r="AE15673" s="3"/>
      <c r="AF15673" s="3"/>
      <c r="AG15673" s="3"/>
      <c r="AH15673" s="3"/>
    </row>
    <row r="15674" spans="1:34" ht="15" customHeight="1" x14ac:dyDescent="0.25">
      <c r="A15674" s="3"/>
      <c r="B15674" s="3"/>
      <c r="C15674" s="3"/>
      <c r="D15674" s="3"/>
      <c r="E15674" s="3"/>
      <c r="F15674" s="3"/>
      <c r="G15674" s="3"/>
      <c r="H15674" s="11"/>
      <c r="I15674" s="12"/>
      <c r="J15674" s="3"/>
      <c r="K15674" s="3"/>
      <c r="L15674" s="3"/>
      <c r="M15674" s="3"/>
      <c r="N15674" s="3"/>
      <c r="O15674" s="3"/>
      <c r="P15674" s="3"/>
      <c r="Q15674" s="3"/>
      <c r="R15674" s="3"/>
      <c r="S15674" s="3"/>
      <c r="T15674" s="3"/>
      <c r="U15674" s="3"/>
      <c r="V15674" s="3"/>
      <c r="W15674" s="3"/>
      <c r="X15674" s="3"/>
      <c r="Y15674" s="3"/>
      <c r="Z15674" s="3"/>
      <c r="AA15674" s="3"/>
      <c r="AB15674" s="3"/>
      <c r="AC15674" s="3"/>
      <c r="AD15674" s="3"/>
      <c r="AE15674" s="3"/>
      <c r="AF15674" s="3"/>
      <c r="AG15674" s="3"/>
      <c r="AH15674" s="3"/>
    </row>
    <row r="15675" spans="1:34" ht="15" customHeight="1" x14ac:dyDescent="0.25">
      <c r="A15675" s="3"/>
      <c r="B15675" s="3"/>
      <c r="C15675" s="3"/>
      <c r="D15675" s="3"/>
      <c r="E15675" s="3"/>
      <c r="F15675" s="3"/>
      <c r="G15675" s="3"/>
      <c r="H15675" s="11"/>
      <c r="I15675" s="12"/>
      <c r="J15675" s="3"/>
      <c r="K15675" s="3"/>
      <c r="L15675" s="3"/>
      <c r="M15675" s="3"/>
      <c r="N15675" s="3"/>
      <c r="O15675" s="3"/>
      <c r="P15675" s="3"/>
      <c r="Q15675" s="3"/>
      <c r="R15675" s="3"/>
      <c r="S15675" s="3"/>
      <c r="T15675" s="3"/>
      <c r="U15675" s="3"/>
      <c r="V15675" s="3"/>
      <c r="W15675" s="3"/>
      <c r="X15675" s="3"/>
      <c r="Y15675" s="3"/>
      <c r="Z15675" s="3"/>
      <c r="AA15675" s="3"/>
      <c r="AB15675" s="3"/>
      <c r="AC15675" s="3"/>
      <c r="AD15675" s="3"/>
      <c r="AE15675" s="3"/>
      <c r="AF15675" s="3"/>
      <c r="AG15675" s="3"/>
      <c r="AH15675" s="3"/>
    </row>
    <row r="15676" spans="1:34" ht="14.25" customHeight="1" x14ac:dyDescent="0.25">
      <c r="A15676" s="3"/>
      <c r="B15676" s="3"/>
      <c r="C15676" s="3"/>
      <c r="D15676" s="3"/>
      <c r="E15676" s="3"/>
      <c r="F15676" s="3"/>
      <c r="G15676" s="3"/>
      <c r="H15676" s="11"/>
      <c r="I15676" s="12"/>
      <c r="J15676" s="3"/>
      <c r="K15676" s="3"/>
      <c r="L15676" s="3"/>
      <c r="M15676" s="3"/>
      <c r="N15676" s="3"/>
      <c r="O15676" s="3"/>
      <c r="P15676" s="3"/>
      <c r="Q15676" s="3"/>
      <c r="R15676" s="3"/>
      <c r="S15676" s="3"/>
      <c r="T15676" s="3"/>
      <c r="U15676" s="3"/>
      <c r="V15676" s="3"/>
      <c r="W15676" s="3"/>
      <c r="X15676" s="3"/>
      <c r="Y15676" s="3"/>
      <c r="Z15676" s="3"/>
      <c r="AA15676" s="3"/>
      <c r="AB15676" s="3"/>
      <c r="AC15676" s="3"/>
      <c r="AD15676" s="3"/>
      <c r="AE15676" s="3"/>
      <c r="AF15676" s="3"/>
      <c r="AG15676" s="3"/>
      <c r="AH15676" s="3"/>
    </row>
    <row r="15677" spans="1:34" ht="14.25" customHeight="1" x14ac:dyDescent="0.25">
      <c r="A15677" s="3"/>
      <c r="B15677" s="3"/>
      <c r="C15677" s="3"/>
      <c r="D15677" s="3"/>
      <c r="E15677" s="3"/>
      <c r="F15677" s="3"/>
      <c r="G15677" s="3"/>
      <c r="H15677" s="11"/>
      <c r="I15677" s="12"/>
      <c r="J15677" s="3"/>
      <c r="K15677" s="3"/>
      <c r="L15677" s="3"/>
      <c r="M15677" s="3"/>
      <c r="N15677" s="3"/>
      <c r="O15677" s="3"/>
      <c r="P15677" s="3"/>
      <c r="Q15677" s="3"/>
      <c r="R15677" s="3"/>
      <c r="S15677" s="3"/>
      <c r="T15677" s="3"/>
      <c r="U15677" s="3"/>
      <c r="V15677" s="3"/>
      <c r="W15677" s="3"/>
      <c r="X15677" s="3"/>
      <c r="Y15677" s="3"/>
      <c r="Z15677" s="3"/>
      <c r="AA15677" s="3"/>
      <c r="AB15677" s="3"/>
      <c r="AC15677" s="3"/>
      <c r="AD15677" s="3"/>
      <c r="AE15677" s="3"/>
      <c r="AF15677" s="3"/>
      <c r="AG15677" s="3"/>
      <c r="AH15677" s="3"/>
    </row>
    <row r="15678" spans="1:34" ht="14.25" customHeight="1" x14ac:dyDescent="0.25">
      <c r="A15678" s="3"/>
      <c r="B15678" s="3"/>
      <c r="C15678" s="3"/>
      <c r="D15678" s="3"/>
      <c r="E15678" s="3"/>
      <c r="F15678" s="3"/>
      <c r="G15678" s="3"/>
      <c r="H15678" s="11"/>
      <c r="I15678" s="12"/>
      <c r="J15678" s="3"/>
      <c r="K15678" s="3"/>
      <c r="L15678" s="3"/>
      <c r="M15678" s="3"/>
      <c r="N15678" s="3"/>
      <c r="O15678" s="3"/>
      <c r="P15678" s="3"/>
      <c r="Q15678" s="3"/>
      <c r="R15678" s="3"/>
      <c r="S15678" s="3"/>
      <c r="T15678" s="3"/>
      <c r="U15678" s="3"/>
      <c r="V15678" s="3"/>
      <c r="W15678" s="3"/>
      <c r="X15678" s="3"/>
      <c r="Y15678" s="3"/>
      <c r="Z15678" s="3"/>
      <c r="AA15678" s="3"/>
      <c r="AB15678" s="3"/>
      <c r="AC15678" s="3"/>
      <c r="AD15678" s="3"/>
      <c r="AE15678" s="3"/>
      <c r="AF15678" s="3"/>
      <c r="AG15678" s="3"/>
      <c r="AH15678" s="3"/>
    </row>
    <row r="15679" spans="1:34" ht="14.25" customHeight="1" x14ac:dyDescent="0.25">
      <c r="A15679" s="3"/>
      <c r="B15679" s="3"/>
      <c r="C15679" s="3"/>
      <c r="D15679" s="3"/>
      <c r="E15679" s="3"/>
      <c r="F15679" s="3"/>
      <c r="G15679" s="3"/>
      <c r="H15679" s="11"/>
      <c r="I15679" s="12"/>
      <c r="J15679" s="3"/>
      <c r="K15679" s="3"/>
      <c r="L15679" s="3"/>
      <c r="M15679" s="3"/>
      <c r="N15679" s="3"/>
      <c r="O15679" s="3"/>
      <c r="P15679" s="3"/>
      <c r="Q15679" s="3"/>
      <c r="R15679" s="3"/>
      <c r="S15679" s="3"/>
      <c r="T15679" s="3"/>
      <c r="U15679" s="3"/>
      <c r="V15679" s="3"/>
      <c r="W15679" s="3"/>
      <c r="X15679" s="3"/>
      <c r="Y15679" s="3"/>
      <c r="Z15679" s="3"/>
      <c r="AA15679" s="3"/>
      <c r="AB15679" s="3"/>
      <c r="AC15679" s="3"/>
      <c r="AD15679" s="3"/>
      <c r="AE15679" s="3"/>
      <c r="AF15679" s="3"/>
      <c r="AG15679" s="3"/>
      <c r="AH15679" s="3"/>
    </row>
    <row r="15680" spans="1:34" ht="14.25" customHeight="1" x14ac:dyDescent="0.25">
      <c r="A15680" s="3"/>
      <c r="B15680" s="3"/>
      <c r="C15680" s="3"/>
      <c r="D15680" s="3"/>
      <c r="E15680" s="3"/>
      <c r="F15680" s="3"/>
      <c r="G15680" s="3"/>
      <c r="H15680" s="11"/>
      <c r="I15680" s="12"/>
      <c r="J15680" s="3"/>
      <c r="K15680" s="3"/>
      <c r="L15680" s="3"/>
      <c r="M15680" s="3"/>
      <c r="N15680" s="3"/>
      <c r="O15680" s="3"/>
      <c r="P15680" s="3"/>
      <c r="Q15680" s="3"/>
      <c r="R15680" s="3"/>
      <c r="S15680" s="3"/>
      <c r="T15680" s="3"/>
      <c r="U15680" s="3"/>
      <c r="V15680" s="3"/>
      <c r="W15680" s="3"/>
      <c r="X15680" s="3"/>
      <c r="Y15680" s="3"/>
      <c r="Z15680" s="3"/>
      <c r="AA15680" s="3"/>
      <c r="AB15680" s="3"/>
      <c r="AC15680" s="3"/>
      <c r="AD15680" s="3"/>
      <c r="AE15680" s="3"/>
      <c r="AF15680" s="3"/>
      <c r="AG15680" s="3"/>
      <c r="AH15680" s="3"/>
    </row>
    <row r="15681" spans="1:34" ht="14.25" customHeight="1" x14ac:dyDescent="0.25">
      <c r="A15681" s="3"/>
      <c r="B15681" s="3"/>
      <c r="C15681" s="3"/>
      <c r="D15681" s="3"/>
      <c r="E15681" s="3"/>
      <c r="F15681" s="3"/>
      <c r="G15681" s="3"/>
      <c r="H15681" s="11"/>
      <c r="I15681" s="12"/>
      <c r="J15681" s="3"/>
      <c r="K15681" s="3"/>
      <c r="L15681" s="3"/>
      <c r="M15681" s="3"/>
      <c r="N15681" s="3"/>
      <c r="O15681" s="3"/>
      <c r="P15681" s="3"/>
      <c r="Q15681" s="3"/>
      <c r="R15681" s="3"/>
      <c r="S15681" s="3"/>
      <c r="T15681" s="3"/>
      <c r="U15681" s="3"/>
      <c r="V15681" s="3"/>
      <c r="W15681" s="3"/>
      <c r="X15681" s="3"/>
      <c r="Y15681" s="3"/>
      <c r="Z15681" s="3"/>
      <c r="AA15681" s="3"/>
      <c r="AB15681" s="3"/>
      <c r="AC15681" s="3"/>
      <c r="AD15681" s="3"/>
      <c r="AE15681" s="3"/>
      <c r="AF15681" s="3"/>
      <c r="AG15681" s="3"/>
      <c r="AH15681" s="3"/>
    </row>
    <row r="15682" spans="1:34" ht="14.25" customHeight="1" x14ac:dyDescent="0.25">
      <c r="A15682" s="3"/>
      <c r="B15682" s="3"/>
      <c r="C15682" s="3"/>
      <c r="D15682" s="3"/>
      <c r="E15682" s="3"/>
      <c r="F15682" s="3"/>
      <c r="G15682" s="3"/>
      <c r="H15682" s="11"/>
      <c r="I15682" s="12"/>
      <c r="J15682" s="3"/>
      <c r="K15682" s="3"/>
      <c r="L15682" s="3"/>
      <c r="M15682" s="3"/>
      <c r="N15682" s="3"/>
      <c r="O15682" s="3"/>
      <c r="P15682" s="3"/>
      <c r="Q15682" s="3"/>
      <c r="R15682" s="3"/>
      <c r="S15682" s="3"/>
      <c r="T15682" s="3"/>
      <c r="U15682" s="3"/>
      <c r="V15682" s="3"/>
      <c r="W15682" s="3"/>
      <c r="X15682" s="3"/>
      <c r="Y15682" s="3"/>
      <c r="Z15682" s="3"/>
      <c r="AA15682" s="3"/>
      <c r="AB15682" s="3"/>
      <c r="AC15682" s="3"/>
      <c r="AD15682" s="3"/>
      <c r="AE15682" s="3"/>
      <c r="AF15682" s="3"/>
      <c r="AG15682" s="3"/>
      <c r="AH15682" s="3"/>
    </row>
    <row r="15683" spans="1:34" ht="14.25" customHeight="1" x14ac:dyDescent="0.25">
      <c r="A15683" s="3"/>
      <c r="B15683" s="3"/>
      <c r="C15683" s="3"/>
      <c r="D15683" s="3"/>
      <c r="E15683" s="3"/>
      <c r="F15683" s="3"/>
      <c r="G15683" s="3"/>
      <c r="H15683" s="11"/>
      <c r="I15683" s="12"/>
      <c r="J15683" s="3"/>
      <c r="K15683" s="3"/>
      <c r="L15683" s="3"/>
      <c r="M15683" s="3"/>
      <c r="N15683" s="3"/>
      <c r="O15683" s="3"/>
      <c r="P15683" s="3"/>
      <c r="Q15683" s="3"/>
      <c r="R15683" s="3"/>
      <c r="S15683" s="3"/>
      <c r="T15683" s="3"/>
      <c r="U15683" s="3"/>
      <c r="V15683" s="3"/>
      <c r="W15683" s="3"/>
      <c r="X15683" s="3"/>
      <c r="Y15683" s="3"/>
      <c r="Z15683" s="3"/>
      <c r="AA15683" s="3"/>
      <c r="AB15683" s="3"/>
      <c r="AC15683" s="3"/>
      <c r="AD15683" s="3"/>
      <c r="AE15683" s="3"/>
      <c r="AF15683" s="3"/>
      <c r="AG15683" s="3"/>
      <c r="AH15683" s="3"/>
    </row>
    <row r="15684" spans="1:34" ht="14.25" customHeight="1" x14ac:dyDescent="0.25">
      <c r="A15684" s="3"/>
      <c r="B15684" s="3"/>
      <c r="C15684" s="3"/>
      <c r="D15684" s="3"/>
      <c r="E15684" s="3"/>
      <c r="F15684" s="3"/>
      <c r="G15684" s="3"/>
      <c r="H15684" s="11"/>
      <c r="I15684" s="12"/>
      <c r="J15684" s="3"/>
      <c r="K15684" s="3"/>
      <c r="L15684" s="3"/>
      <c r="M15684" s="3"/>
      <c r="N15684" s="3"/>
      <c r="O15684" s="3"/>
      <c r="P15684" s="3"/>
      <c r="Q15684" s="3"/>
      <c r="R15684" s="3"/>
      <c r="S15684" s="3"/>
      <c r="T15684" s="3"/>
      <c r="U15684" s="3"/>
      <c r="V15684" s="3"/>
      <c r="W15684" s="3"/>
      <c r="X15684" s="3"/>
      <c r="Y15684" s="3"/>
      <c r="Z15684" s="3"/>
      <c r="AA15684" s="3"/>
      <c r="AB15684" s="3"/>
      <c r="AC15684" s="3"/>
      <c r="AD15684" s="3"/>
      <c r="AE15684" s="3"/>
      <c r="AF15684" s="3"/>
      <c r="AG15684" s="3"/>
      <c r="AH15684" s="3"/>
    </row>
    <row r="15685" spans="1:34" ht="14.25" customHeight="1" x14ac:dyDescent="0.25">
      <c r="A15685" s="3"/>
      <c r="B15685" s="3"/>
      <c r="C15685" s="3"/>
      <c r="D15685" s="3"/>
      <c r="E15685" s="3"/>
      <c r="F15685" s="3"/>
      <c r="G15685" s="3"/>
      <c r="H15685" s="11"/>
      <c r="I15685" s="12"/>
      <c r="J15685" s="3"/>
      <c r="K15685" s="3"/>
      <c r="L15685" s="3"/>
      <c r="M15685" s="3"/>
      <c r="N15685" s="3"/>
      <c r="O15685" s="3"/>
      <c r="P15685" s="3"/>
      <c r="Q15685" s="3"/>
      <c r="R15685" s="3"/>
      <c r="S15685" s="3"/>
      <c r="T15685" s="3"/>
      <c r="U15685" s="3"/>
      <c r="V15685" s="3"/>
      <c r="W15685" s="3"/>
      <c r="X15685" s="3"/>
      <c r="Y15685" s="3"/>
      <c r="Z15685" s="3"/>
      <c r="AA15685" s="3"/>
      <c r="AB15685" s="3"/>
      <c r="AC15685" s="3"/>
      <c r="AD15685" s="3"/>
      <c r="AE15685" s="3"/>
      <c r="AF15685" s="3"/>
      <c r="AG15685" s="3"/>
      <c r="AH15685" s="3"/>
    </row>
    <row r="15686" spans="1:34" ht="14.25" customHeight="1" x14ac:dyDescent="0.25">
      <c r="A15686" s="3"/>
      <c r="B15686" s="3"/>
      <c r="C15686" s="3"/>
      <c r="D15686" s="3"/>
      <c r="E15686" s="3"/>
      <c r="F15686" s="3"/>
      <c r="G15686" s="3"/>
      <c r="H15686" s="11"/>
      <c r="I15686" s="12"/>
      <c r="J15686" s="3"/>
      <c r="K15686" s="3"/>
      <c r="L15686" s="3"/>
      <c r="M15686" s="3"/>
      <c r="N15686" s="3"/>
      <c r="O15686" s="3"/>
      <c r="P15686" s="3"/>
      <c r="Q15686" s="3"/>
      <c r="R15686" s="3"/>
      <c r="S15686" s="3"/>
      <c r="T15686" s="3"/>
      <c r="U15686" s="3"/>
      <c r="V15686" s="3"/>
      <c r="W15686" s="3"/>
      <c r="X15686" s="3"/>
      <c r="Y15686" s="3"/>
      <c r="Z15686" s="3"/>
      <c r="AA15686" s="3"/>
      <c r="AB15686" s="3"/>
      <c r="AC15686" s="3"/>
      <c r="AD15686" s="3"/>
      <c r="AE15686" s="3"/>
      <c r="AF15686" s="3"/>
      <c r="AG15686" s="3"/>
      <c r="AH15686" s="3"/>
    </row>
    <row r="15687" spans="1:34" ht="14.25" customHeight="1" x14ac:dyDescent="0.25">
      <c r="A15687" s="3"/>
      <c r="B15687" s="3"/>
      <c r="C15687" s="3"/>
      <c r="D15687" s="3"/>
      <c r="E15687" s="3"/>
      <c r="F15687" s="3"/>
      <c r="G15687" s="3"/>
      <c r="H15687" s="11"/>
      <c r="I15687" s="12"/>
      <c r="J15687" s="3"/>
      <c r="K15687" s="3"/>
      <c r="L15687" s="3"/>
      <c r="M15687" s="3"/>
      <c r="N15687" s="3"/>
      <c r="O15687" s="3"/>
      <c r="P15687" s="3"/>
      <c r="Q15687" s="3"/>
      <c r="R15687" s="3"/>
      <c r="S15687" s="3"/>
      <c r="T15687" s="3"/>
      <c r="U15687" s="3"/>
      <c r="V15687" s="3"/>
      <c r="W15687" s="3"/>
      <c r="X15687" s="3"/>
      <c r="Y15687" s="3"/>
      <c r="Z15687" s="3"/>
      <c r="AA15687" s="3"/>
      <c r="AB15687" s="3"/>
      <c r="AC15687" s="3"/>
      <c r="AD15687" s="3"/>
      <c r="AE15687" s="3"/>
      <c r="AF15687" s="3"/>
      <c r="AG15687" s="3"/>
      <c r="AH15687" s="3"/>
    </row>
    <row r="15688" spans="1:34" ht="14.25" customHeight="1" x14ac:dyDescent="0.25">
      <c r="A15688" s="3"/>
      <c r="B15688" s="3"/>
      <c r="C15688" s="3"/>
      <c r="D15688" s="3"/>
      <c r="E15688" s="3"/>
      <c r="F15688" s="3"/>
      <c r="G15688" s="3"/>
      <c r="H15688" s="11"/>
      <c r="I15688" s="12"/>
      <c r="J15688" s="3"/>
      <c r="K15688" s="3"/>
      <c r="L15688" s="3"/>
      <c r="M15688" s="3"/>
      <c r="N15688" s="3"/>
      <c r="O15688" s="3"/>
      <c r="P15688" s="3"/>
      <c r="Q15688" s="3"/>
      <c r="R15688" s="3"/>
      <c r="S15688" s="3"/>
      <c r="T15688" s="3"/>
      <c r="U15688" s="3"/>
      <c r="V15688" s="3"/>
      <c r="W15688" s="3"/>
      <c r="X15688" s="3"/>
      <c r="Y15688" s="3"/>
      <c r="Z15688" s="3"/>
      <c r="AA15688" s="3"/>
      <c r="AB15688" s="3"/>
      <c r="AC15688" s="3"/>
      <c r="AD15688" s="3"/>
      <c r="AE15688" s="3"/>
      <c r="AF15688" s="3"/>
      <c r="AG15688" s="3"/>
      <c r="AH15688" s="3"/>
    </row>
    <row r="15689" spans="1:34" ht="14.25" customHeight="1" x14ac:dyDescent="0.25">
      <c r="A15689" s="3"/>
      <c r="B15689" s="3"/>
      <c r="C15689" s="3"/>
      <c r="D15689" s="3"/>
      <c r="E15689" s="3"/>
      <c r="F15689" s="3"/>
      <c r="G15689" s="3"/>
      <c r="H15689" s="11"/>
      <c r="I15689" s="12"/>
      <c r="J15689" s="3"/>
      <c r="K15689" s="3"/>
      <c r="L15689" s="3"/>
      <c r="M15689" s="3"/>
      <c r="N15689" s="3"/>
      <c r="O15689" s="3"/>
      <c r="P15689" s="3"/>
      <c r="Q15689" s="3"/>
      <c r="R15689" s="3"/>
      <c r="S15689" s="3"/>
      <c r="T15689" s="3"/>
      <c r="U15689" s="3"/>
      <c r="V15689" s="3"/>
      <c r="W15689" s="3"/>
      <c r="X15689" s="3"/>
      <c r="Y15689" s="3"/>
      <c r="Z15689" s="3"/>
      <c r="AA15689" s="3"/>
      <c r="AB15689" s="3"/>
      <c r="AC15689" s="3"/>
      <c r="AD15689" s="3"/>
      <c r="AE15689" s="3"/>
      <c r="AF15689" s="3"/>
      <c r="AG15689" s="3"/>
      <c r="AH15689" s="3"/>
    </row>
    <row r="15690" spans="1:34" ht="14.25" customHeight="1" x14ac:dyDescent="0.25">
      <c r="A15690" s="3"/>
      <c r="B15690" s="3"/>
      <c r="C15690" s="3"/>
      <c r="D15690" s="3"/>
      <c r="E15690" s="3"/>
      <c r="F15690" s="3"/>
      <c r="G15690" s="3"/>
      <c r="H15690" s="11"/>
      <c r="I15690" s="12"/>
      <c r="J15690" s="3"/>
      <c r="K15690" s="3"/>
      <c r="L15690" s="3"/>
      <c r="M15690" s="3"/>
      <c r="N15690" s="3"/>
      <c r="O15690" s="3"/>
      <c r="P15690" s="3"/>
      <c r="Q15690" s="3"/>
      <c r="R15690" s="3"/>
      <c r="S15690" s="3"/>
      <c r="T15690" s="3"/>
      <c r="U15690" s="3"/>
      <c r="V15690" s="3"/>
      <c r="W15690" s="3"/>
      <c r="X15690" s="3"/>
      <c r="Y15690" s="3"/>
      <c r="Z15690" s="3"/>
      <c r="AA15690" s="3"/>
      <c r="AB15690" s="3"/>
      <c r="AC15690" s="3"/>
      <c r="AD15690" s="3"/>
      <c r="AE15690" s="3"/>
      <c r="AF15690" s="3"/>
      <c r="AG15690" s="3"/>
      <c r="AH15690" s="3"/>
    </row>
    <row r="15691" spans="1:34" ht="14.25" customHeight="1" x14ac:dyDescent="0.25">
      <c r="A15691" s="3"/>
      <c r="B15691" s="3"/>
      <c r="C15691" s="3"/>
      <c r="D15691" s="3"/>
      <c r="E15691" s="3"/>
      <c r="F15691" s="3"/>
      <c r="G15691" s="3"/>
      <c r="H15691" s="11"/>
      <c r="I15691" s="12"/>
      <c r="J15691" s="3"/>
      <c r="K15691" s="3"/>
      <c r="L15691" s="3"/>
      <c r="M15691" s="3"/>
      <c r="N15691" s="3"/>
      <c r="O15691" s="3"/>
      <c r="P15691" s="3"/>
      <c r="Q15691" s="3"/>
      <c r="R15691" s="3"/>
      <c r="S15691" s="3"/>
      <c r="T15691" s="3"/>
      <c r="U15691" s="3"/>
      <c r="V15691" s="3"/>
      <c r="W15691" s="3"/>
      <c r="X15691" s="3"/>
      <c r="Y15691" s="3"/>
      <c r="Z15691" s="3"/>
      <c r="AA15691" s="3"/>
      <c r="AB15691" s="3"/>
      <c r="AC15691" s="3"/>
      <c r="AD15691" s="3"/>
      <c r="AE15691" s="3"/>
      <c r="AF15691" s="3"/>
      <c r="AG15691" s="3"/>
      <c r="AH15691" s="3"/>
    </row>
    <row r="15692" spans="1:34" ht="14.25" customHeight="1" x14ac:dyDescent="0.25">
      <c r="A15692" s="3"/>
      <c r="B15692" s="3"/>
      <c r="C15692" s="3"/>
      <c r="D15692" s="3"/>
      <c r="E15692" s="3"/>
      <c r="F15692" s="3"/>
      <c r="G15692" s="3"/>
      <c r="H15692" s="11"/>
      <c r="I15692" s="12"/>
      <c r="J15692" s="3"/>
      <c r="K15692" s="3"/>
      <c r="L15692" s="3"/>
      <c r="M15692" s="3"/>
      <c r="N15692" s="3"/>
      <c r="O15692" s="3"/>
      <c r="P15692" s="3"/>
      <c r="Q15692" s="3"/>
      <c r="R15692" s="3"/>
      <c r="S15692" s="3"/>
      <c r="T15692" s="3"/>
      <c r="U15692" s="3"/>
      <c r="V15692" s="3"/>
      <c r="W15692" s="3"/>
      <c r="X15692" s="3"/>
      <c r="Y15692" s="3"/>
      <c r="Z15692" s="3"/>
      <c r="AA15692" s="3"/>
      <c r="AB15692" s="3"/>
      <c r="AC15692" s="3"/>
      <c r="AD15692" s="3"/>
      <c r="AE15692" s="3"/>
      <c r="AF15692" s="3"/>
      <c r="AG15692" s="3"/>
      <c r="AH15692" s="3"/>
    </row>
    <row r="15693" spans="1:34" ht="14.25" customHeight="1" x14ac:dyDescent="0.25">
      <c r="A15693" s="3"/>
      <c r="B15693" s="3"/>
      <c r="C15693" s="3"/>
      <c r="D15693" s="3"/>
      <c r="E15693" s="3"/>
      <c r="F15693" s="3"/>
      <c r="G15693" s="3"/>
      <c r="H15693" s="11"/>
      <c r="I15693" s="12"/>
      <c r="J15693" s="3"/>
      <c r="K15693" s="3"/>
      <c r="L15693" s="3"/>
      <c r="M15693" s="3"/>
      <c r="N15693" s="3"/>
      <c r="O15693" s="3"/>
      <c r="P15693" s="3"/>
      <c r="Q15693" s="3"/>
      <c r="R15693" s="3"/>
      <c r="S15693" s="3"/>
      <c r="T15693" s="3"/>
      <c r="U15693" s="3"/>
      <c r="V15693" s="3"/>
      <c r="W15693" s="3"/>
      <c r="X15693" s="3"/>
      <c r="Y15693" s="3"/>
      <c r="Z15693" s="3"/>
      <c r="AA15693" s="3"/>
      <c r="AB15693" s="3"/>
      <c r="AC15693" s="3"/>
      <c r="AD15693" s="3"/>
      <c r="AE15693" s="3"/>
      <c r="AF15693" s="3"/>
      <c r="AG15693" s="3"/>
      <c r="AH15693" s="3"/>
    </row>
    <row r="15694" spans="1:34" ht="14.25" customHeight="1" x14ac:dyDescent="0.25">
      <c r="A15694" s="3"/>
      <c r="B15694" s="3"/>
      <c r="C15694" s="3"/>
      <c r="D15694" s="3"/>
      <c r="E15694" s="3"/>
      <c r="F15694" s="3"/>
      <c r="G15694" s="3"/>
      <c r="H15694" s="11"/>
      <c r="I15694" s="12"/>
      <c r="J15694" s="3"/>
      <c r="K15694" s="3"/>
      <c r="L15694" s="3"/>
      <c r="M15694" s="3"/>
      <c r="N15694" s="3"/>
      <c r="O15694" s="3"/>
      <c r="P15694" s="3"/>
      <c r="Q15694" s="3"/>
      <c r="R15694" s="3"/>
      <c r="S15694" s="3"/>
      <c r="T15694" s="3"/>
      <c r="U15694" s="3"/>
      <c r="V15694" s="3"/>
      <c r="W15694" s="3"/>
      <c r="X15694" s="3"/>
      <c r="Y15694" s="3"/>
      <c r="Z15694" s="3"/>
      <c r="AA15694" s="3"/>
      <c r="AB15694" s="3"/>
      <c r="AC15694" s="3"/>
      <c r="AD15694" s="3"/>
      <c r="AE15694" s="3"/>
      <c r="AF15694" s="3"/>
      <c r="AG15694" s="3"/>
      <c r="AH15694" s="3"/>
    </row>
    <row r="15695" spans="1:34" ht="14.25" customHeight="1" x14ac:dyDescent="0.25">
      <c r="A15695" s="3"/>
      <c r="B15695" s="3"/>
      <c r="C15695" s="3"/>
      <c r="D15695" s="3"/>
      <c r="E15695" s="3"/>
      <c r="F15695" s="3"/>
      <c r="G15695" s="3"/>
      <c r="H15695" s="11"/>
      <c r="I15695" s="12"/>
      <c r="J15695" s="3"/>
      <c r="K15695" s="3"/>
      <c r="L15695" s="3"/>
      <c r="M15695" s="3"/>
      <c r="N15695" s="3"/>
      <c r="O15695" s="3"/>
      <c r="P15695" s="3"/>
      <c r="Q15695" s="3"/>
      <c r="R15695" s="3"/>
      <c r="S15695" s="3"/>
      <c r="T15695" s="3"/>
      <c r="U15695" s="3"/>
      <c r="V15695" s="3"/>
      <c r="W15695" s="3"/>
      <c r="X15695" s="3"/>
      <c r="Y15695" s="3"/>
      <c r="Z15695" s="3"/>
      <c r="AA15695" s="3"/>
      <c r="AB15695" s="3"/>
      <c r="AC15695" s="3"/>
      <c r="AD15695" s="3"/>
      <c r="AE15695" s="3"/>
      <c r="AF15695" s="3"/>
      <c r="AG15695" s="3"/>
      <c r="AH15695" s="3"/>
    </row>
    <row r="15696" spans="1:34" ht="14.25" customHeight="1" x14ac:dyDescent="0.25">
      <c r="A15696" s="3"/>
      <c r="B15696" s="3"/>
      <c r="C15696" s="3"/>
      <c r="D15696" s="3"/>
      <c r="E15696" s="3"/>
      <c r="F15696" s="3"/>
      <c r="G15696" s="3"/>
      <c r="H15696" s="11"/>
      <c r="I15696" s="12"/>
      <c r="J15696" s="3"/>
      <c r="K15696" s="3"/>
      <c r="L15696" s="3"/>
      <c r="M15696" s="3"/>
      <c r="N15696" s="3"/>
      <c r="O15696" s="3"/>
      <c r="P15696" s="3"/>
      <c r="Q15696" s="3"/>
      <c r="R15696" s="3"/>
      <c r="S15696" s="3"/>
      <c r="T15696" s="3"/>
      <c r="U15696" s="3"/>
      <c r="V15696" s="3"/>
      <c r="W15696" s="3"/>
      <c r="X15696" s="3"/>
      <c r="Y15696" s="3"/>
      <c r="Z15696" s="3"/>
      <c r="AA15696" s="3"/>
      <c r="AB15696" s="3"/>
      <c r="AC15696" s="3"/>
      <c r="AD15696" s="3"/>
      <c r="AE15696" s="3"/>
      <c r="AF15696" s="3"/>
      <c r="AG15696" s="3"/>
      <c r="AH15696" s="3"/>
    </row>
    <row r="15697" spans="1:34" ht="14.25" customHeight="1" x14ac:dyDescent="0.25">
      <c r="A15697" s="3"/>
      <c r="B15697" s="3"/>
      <c r="C15697" s="3"/>
      <c r="D15697" s="3"/>
      <c r="E15697" s="3"/>
      <c r="F15697" s="3"/>
      <c r="G15697" s="3"/>
      <c r="H15697" s="11"/>
      <c r="I15697" s="12"/>
      <c r="J15697" s="3"/>
      <c r="K15697" s="3"/>
      <c r="L15697" s="3"/>
      <c r="M15697" s="3"/>
      <c r="N15697" s="3"/>
      <c r="O15697" s="3"/>
      <c r="P15697" s="3"/>
      <c r="Q15697" s="3"/>
      <c r="R15697" s="3"/>
      <c r="S15697" s="3"/>
      <c r="T15697" s="3"/>
      <c r="U15697" s="3"/>
      <c r="V15697" s="3"/>
      <c r="W15697" s="3"/>
      <c r="X15697" s="3"/>
      <c r="Y15697" s="3"/>
      <c r="Z15697" s="3"/>
      <c r="AA15697" s="3"/>
      <c r="AB15697" s="3"/>
      <c r="AC15697" s="3"/>
      <c r="AD15697" s="3"/>
      <c r="AE15697" s="3"/>
      <c r="AF15697" s="3"/>
      <c r="AG15697" s="3"/>
      <c r="AH15697" s="3"/>
    </row>
    <row r="15698" spans="1:34" ht="14.25" customHeight="1" x14ac:dyDescent="0.25">
      <c r="A15698" s="3"/>
      <c r="B15698" s="3"/>
      <c r="C15698" s="3"/>
      <c r="D15698" s="3"/>
      <c r="E15698" s="3"/>
      <c r="F15698" s="3"/>
      <c r="G15698" s="3"/>
      <c r="H15698" s="11"/>
      <c r="I15698" s="12"/>
      <c r="J15698" s="3"/>
      <c r="K15698" s="3"/>
      <c r="L15698" s="3"/>
      <c r="M15698" s="3"/>
      <c r="N15698" s="3"/>
      <c r="O15698" s="3"/>
      <c r="P15698" s="3"/>
      <c r="Q15698" s="3"/>
      <c r="R15698" s="3"/>
      <c r="S15698" s="3"/>
      <c r="T15698" s="3"/>
      <c r="U15698" s="3"/>
      <c r="V15698" s="3"/>
      <c r="W15698" s="3"/>
      <c r="X15698" s="3"/>
      <c r="Y15698" s="3"/>
      <c r="Z15698" s="3"/>
      <c r="AA15698" s="3"/>
      <c r="AB15698" s="3"/>
      <c r="AC15698" s="3"/>
      <c r="AD15698" s="3"/>
      <c r="AE15698" s="3"/>
      <c r="AF15698" s="3"/>
      <c r="AG15698" s="3"/>
      <c r="AH15698" s="3"/>
    </row>
    <row r="15699" spans="1:34" ht="14.25" customHeight="1" x14ac:dyDescent="0.25">
      <c r="A15699" s="3"/>
      <c r="B15699" s="3"/>
      <c r="C15699" s="3"/>
      <c r="D15699" s="3"/>
      <c r="E15699" s="3"/>
      <c r="F15699" s="3"/>
      <c r="G15699" s="3"/>
      <c r="H15699" s="11"/>
      <c r="I15699" s="12"/>
      <c r="J15699" s="3"/>
      <c r="K15699" s="3"/>
      <c r="L15699" s="3"/>
      <c r="M15699" s="3"/>
      <c r="N15699" s="3"/>
      <c r="O15699" s="3"/>
      <c r="P15699" s="3"/>
      <c r="Q15699" s="3"/>
      <c r="R15699" s="3"/>
      <c r="S15699" s="3"/>
      <c r="T15699" s="3"/>
      <c r="U15699" s="3"/>
      <c r="V15699" s="3"/>
      <c r="W15699" s="3"/>
      <c r="X15699" s="3"/>
      <c r="Y15699" s="3"/>
      <c r="Z15699" s="3"/>
      <c r="AA15699" s="3"/>
      <c r="AB15699" s="3"/>
      <c r="AC15699" s="3"/>
      <c r="AD15699" s="3"/>
      <c r="AE15699" s="3"/>
      <c r="AF15699" s="3"/>
      <c r="AG15699" s="3"/>
      <c r="AH15699" s="3"/>
    </row>
    <row r="15700" spans="1:34" ht="14.25" customHeight="1" x14ac:dyDescent="0.25">
      <c r="A15700" s="3"/>
      <c r="B15700" s="3"/>
      <c r="C15700" s="3"/>
      <c r="D15700" s="3"/>
      <c r="E15700" s="3"/>
      <c r="F15700" s="3"/>
      <c r="G15700" s="3"/>
      <c r="H15700" s="11"/>
      <c r="I15700" s="12"/>
      <c r="J15700" s="3"/>
      <c r="K15700" s="3"/>
      <c r="L15700" s="3"/>
      <c r="M15700" s="3"/>
      <c r="N15700" s="3"/>
      <c r="O15700" s="3"/>
      <c r="P15700" s="3"/>
      <c r="Q15700" s="3"/>
      <c r="R15700" s="3"/>
      <c r="S15700" s="3"/>
      <c r="T15700" s="3"/>
      <c r="U15700" s="3"/>
      <c r="V15700" s="3"/>
      <c r="W15700" s="3"/>
      <c r="X15700" s="3"/>
      <c r="Y15700" s="3"/>
      <c r="Z15700" s="3"/>
      <c r="AA15700" s="3"/>
      <c r="AB15700" s="3"/>
      <c r="AC15700" s="3"/>
      <c r="AD15700" s="3"/>
      <c r="AE15700" s="3"/>
      <c r="AF15700" s="3"/>
      <c r="AG15700" s="3"/>
      <c r="AH15700" s="3"/>
    </row>
    <row r="15701" spans="1:34" ht="14.25" customHeight="1" x14ac:dyDescent="0.25">
      <c r="A15701" s="3"/>
      <c r="B15701" s="3"/>
      <c r="C15701" s="3"/>
      <c r="D15701" s="3"/>
      <c r="E15701" s="3"/>
      <c r="F15701" s="3"/>
      <c r="G15701" s="3"/>
      <c r="H15701" s="11"/>
      <c r="I15701" s="12"/>
      <c r="J15701" s="3"/>
      <c r="K15701" s="3"/>
      <c r="L15701" s="3"/>
      <c r="M15701" s="3"/>
      <c r="N15701" s="3"/>
      <c r="O15701" s="3"/>
      <c r="P15701" s="3"/>
      <c r="Q15701" s="3"/>
      <c r="R15701" s="3"/>
      <c r="S15701" s="3"/>
      <c r="T15701" s="3"/>
      <c r="U15701" s="3"/>
      <c r="V15701" s="3"/>
      <c r="W15701" s="3"/>
      <c r="X15701" s="3"/>
      <c r="Y15701" s="3"/>
      <c r="Z15701" s="3"/>
      <c r="AA15701" s="3"/>
      <c r="AB15701" s="3"/>
      <c r="AC15701" s="3"/>
      <c r="AD15701" s="3"/>
      <c r="AE15701" s="3"/>
      <c r="AF15701" s="3"/>
      <c r="AG15701" s="3"/>
      <c r="AH15701" s="3"/>
    </row>
    <row r="15702" spans="1:34" ht="14.25" customHeight="1" x14ac:dyDescent="0.25">
      <c r="A15702" s="3"/>
      <c r="B15702" s="3"/>
      <c r="C15702" s="3"/>
      <c r="D15702" s="3"/>
      <c r="E15702" s="3"/>
      <c r="F15702" s="3"/>
      <c r="G15702" s="3"/>
      <c r="H15702" s="11"/>
      <c r="I15702" s="12"/>
      <c r="J15702" s="3"/>
      <c r="K15702" s="3"/>
      <c r="L15702" s="3"/>
      <c r="M15702" s="3"/>
      <c r="N15702" s="3"/>
      <c r="O15702" s="3"/>
      <c r="P15702" s="3"/>
      <c r="Q15702" s="3"/>
      <c r="R15702" s="3"/>
      <c r="S15702" s="3"/>
      <c r="T15702" s="3"/>
      <c r="U15702" s="3"/>
      <c r="V15702" s="3"/>
      <c r="W15702" s="3"/>
      <c r="X15702" s="3"/>
      <c r="Y15702" s="3"/>
      <c r="Z15702" s="3"/>
      <c r="AA15702" s="3"/>
      <c r="AB15702" s="3"/>
      <c r="AC15702" s="3"/>
      <c r="AD15702" s="3"/>
      <c r="AE15702" s="3"/>
      <c r="AF15702" s="3"/>
      <c r="AG15702" s="3"/>
      <c r="AH15702" s="3"/>
    </row>
    <row r="15703" spans="1:34" ht="14.25" customHeight="1" x14ac:dyDescent="0.25">
      <c r="A15703" s="3"/>
      <c r="B15703" s="3"/>
      <c r="C15703" s="3"/>
      <c r="D15703" s="3"/>
      <c r="E15703" s="3"/>
      <c r="F15703" s="3"/>
      <c r="G15703" s="3"/>
      <c r="H15703" s="11"/>
      <c r="I15703" s="12"/>
      <c r="J15703" s="3"/>
      <c r="K15703" s="3"/>
      <c r="L15703" s="3"/>
      <c r="M15703" s="3"/>
      <c r="N15703" s="3"/>
      <c r="O15703" s="3"/>
      <c r="P15703" s="3"/>
      <c r="Q15703" s="3"/>
      <c r="R15703" s="3"/>
      <c r="S15703" s="3"/>
      <c r="T15703" s="3"/>
      <c r="U15703" s="3"/>
      <c r="V15703" s="3"/>
      <c r="W15703" s="3"/>
      <c r="X15703" s="3"/>
      <c r="Y15703" s="3"/>
      <c r="Z15703" s="3"/>
      <c r="AA15703" s="3"/>
      <c r="AB15703" s="3"/>
      <c r="AC15703" s="3"/>
      <c r="AD15703" s="3"/>
      <c r="AE15703" s="3"/>
      <c r="AF15703" s="3"/>
      <c r="AG15703" s="3"/>
      <c r="AH15703" s="3"/>
    </row>
    <row r="15704" spans="1:34" ht="14.25" customHeight="1" x14ac:dyDescent="0.25">
      <c r="A15704" s="3"/>
      <c r="B15704" s="3"/>
      <c r="C15704" s="3"/>
      <c r="D15704" s="3"/>
      <c r="E15704" s="3"/>
      <c r="F15704" s="3"/>
      <c r="G15704" s="3"/>
      <c r="H15704" s="11"/>
      <c r="I15704" s="12"/>
      <c r="J15704" s="3"/>
      <c r="K15704" s="3"/>
      <c r="L15704" s="3"/>
      <c r="M15704" s="3"/>
      <c r="N15704" s="3"/>
      <c r="O15704" s="3"/>
      <c r="P15704" s="3"/>
      <c r="Q15704" s="3"/>
      <c r="R15704" s="3"/>
      <c r="S15704" s="3"/>
      <c r="T15704" s="3"/>
      <c r="U15704" s="3"/>
      <c r="V15704" s="3"/>
      <c r="W15704" s="3"/>
      <c r="X15704" s="3"/>
      <c r="Y15704" s="3"/>
      <c r="Z15704" s="3"/>
      <c r="AA15704" s="3"/>
      <c r="AB15704" s="3"/>
      <c r="AC15704" s="3"/>
      <c r="AD15704" s="3"/>
      <c r="AE15704" s="3"/>
      <c r="AF15704" s="3"/>
      <c r="AG15704" s="3"/>
      <c r="AH15704" s="3"/>
    </row>
    <row r="15705" spans="1:34" ht="14.25" customHeight="1" x14ac:dyDescent="0.25">
      <c r="A15705" s="3"/>
      <c r="B15705" s="3"/>
      <c r="C15705" s="3"/>
      <c r="D15705" s="3"/>
      <c r="E15705" s="3"/>
      <c r="F15705" s="3"/>
      <c r="G15705" s="3"/>
      <c r="H15705" s="11"/>
      <c r="I15705" s="12"/>
      <c r="J15705" s="3"/>
      <c r="K15705" s="3"/>
      <c r="L15705" s="3"/>
      <c r="M15705" s="3"/>
      <c r="N15705" s="3"/>
      <c r="O15705" s="3"/>
      <c r="P15705" s="3"/>
      <c r="Q15705" s="3"/>
      <c r="R15705" s="3"/>
      <c r="S15705" s="3"/>
      <c r="T15705" s="3"/>
      <c r="U15705" s="3"/>
      <c r="V15705" s="3"/>
      <c r="W15705" s="3"/>
      <c r="X15705" s="3"/>
      <c r="Y15705" s="3"/>
      <c r="Z15705" s="3"/>
      <c r="AA15705" s="3"/>
      <c r="AB15705" s="3"/>
      <c r="AC15705" s="3"/>
      <c r="AD15705" s="3"/>
      <c r="AE15705" s="3"/>
      <c r="AF15705" s="3"/>
      <c r="AG15705" s="3"/>
      <c r="AH15705" s="3"/>
    </row>
    <row r="15706" spans="1:34" ht="14.25" customHeight="1" x14ac:dyDescent="0.25">
      <c r="A15706" s="3"/>
      <c r="B15706" s="3"/>
      <c r="C15706" s="3"/>
      <c r="D15706" s="3"/>
      <c r="E15706" s="3"/>
      <c r="F15706" s="3"/>
      <c r="G15706" s="3"/>
      <c r="H15706" s="11"/>
      <c r="I15706" s="12"/>
      <c r="J15706" s="3"/>
      <c r="K15706" s="3"/>
      <c r="L15706" s="3"/>
      <c r="M15706" s="3"/>
      <c r="N15706" s="3"/>
      <c r="O15706" s="3"/>
      <c r="P15706" s="3"/>
      <c r="Q15706" s="3"/>
      <c r="R15706" s="3"/>
      <c r="S15706" s="3"/>
      <c r="T15706" s="3"/>
      <c r="U15706" s="3"/>
      <c r="V15706" s="3"/>
      <c r="W15706" s="3"/>
      <c r="X15706" s="3"/>
      <c r="Y15706" s="3"/>
      <c r="Z15706" s="3"/>
      <c r="AA15706" s="3"/>
      <c r="AB15706" s="3"/>
      <c r="AC15706" s="3"/>
      <c r="AD15706" s="3"/>
      <c r="AE15706" s="3"/>
      <c r="AF15706" s="3"/>
      <c r="AG15706" s="3"/>
      <c r="AH15706" s="3"/>
    </row>
    <row r="15707" spans="1:34" ht="14.25" customHeight="1" x14ac:dyDescent="0.25">
      <c r="A15707" s="3"/>
      <c r="B15707" s="3"/>
      <c r="C15707" s="3"/>
      <c r="D15707" s="3"/>
      <c r="E15707" s="3"/>
      <c r="F15707" s="3"/>
      <c r="G15707" s="3"/>
      <c r="H15707" s="11"/>
      <c r="I15707" s="12"/>
      <c r="J15707" s="3"/>
      <c r="K15707" s="3"/>
      <c r="L15707" s="3"/>
      <c r="M15707" s="3"/>
      <c r="N15707" s="3"/>
      <c r="O15707" s="3"/>
      <c r="P15707" s="3"/>
      <c r="Q15707" s="3"/>
      <c r="R15707" s="3"/>
      <c r="S15707" s="3"/>
      <c r="T15707" s="3"/>
      <c r="U15707" s="3"/>
      <c r="V15707" s="3"/>
      <c r="W15707" s="3"/>
      <c r="X15707" s="3"/>
      <c r="Y15707" s="3"/>
      <c r="Z15707" s="3"/>
      <c r="AA15707" s="3"/>
      <c r="AB15707" s="3"/>
      <c r="AC15707" s="3"/>
      <c r="AD15707" s="3"/>
      <c r="AE15707" s="3"/>
      <c r="AF15707" s="3"/>
      <c r="AG15707" s="3"/>
      <c r="AH15707" s="3"/>
    </row>
    <row r="15708" spans="1:34" ht="14.25" customHeight="1" x14ac:dyDescent="0.25">
      <c r="A15708" s="3"/>
      <c r="B15708" s="3"/>
      <c r="C15708" s="3"/>
      <c r="D15708" s="3"/>
      <c r="E15708" s="3"/>
      <c r="F15708" s="3"/>
      <c r="G15708" s="3"/>
      <c r="H15708" s="11"/>
      <c r="I15708" s="12"/>
      <c r="J15708" s="3"/>
      <c r="K15708" s="3"/>
      <c r="L15708" s="3"/>
      <c r="M15708" s="3"/>
      <c r="N15708" s="3"/>
      <c r="O15708" s="3"/>
      <c r="P15708" s="3"/>
      <c r="Q15708" s="3"/>
      <c r="R15708" s="3"/>
      <c r="S15708" s="3"/>
      <c r="T15708" s="3"/>
      <c r="U15708" s="3"/>
      <c r="V15708" s="3"/>
      <c r="W15708" s="3"/>
      <c r="X15708" s="3"/>
      <c r="Y15708" s="3"/>
      <c r="Z15708" s="3"/>
      <c r="AA15708" s="3"/>
      <c r="AB15708" s="3"/>
      <c r="AC15708" s="3"/>
      <c r="AD15708" s="3"/>
      <c r="AE15708" s="3"/>
      <c r="AF15708" s="3"/>
      <c r="AG15708" s="3"/>
      <c r="AH15708" s="3"/>
    </row>
    <row r="15709" spans="1:34" ht="14.25" customHeight="1" x14ac:dyDescent="0.25">
      <c r="A15709" s="3"/>
      <c r="B15709" s="3"/>
      <c r="C15709" s="3"/>
      <c r="D15709" s="3"/>
      <c r="E15709" s="3"/>
      <c r="F15709" s="3"/>
      <c r="G15709" s="3"/>
      <c r="H15709" s="11"/>
      <c r="I15709" s="12"/>
      <c r="J15709" s="3"/>
      <c r="K15709" s="3"/>
      <c r="L15709" s="3"/>
      <c r="M15709" s="3"/>
      <c r="N15709" s="3"/>
      <c r="O15709" s="3"/>
      <c r="P15709" s="3"/>
      <c r="Q15709" s="3"/>
      <c r="R15709" s="3"/>
      <c r="S15709" s="3"/>
      <c r="T15709" s="3"/>
      <c r="U15709" s="3"/>
      <c r="V15709" s="3"/>
      <c r="W15709" s="3"/>
      <c r="X15709" s="3"/>
      <c r="Y15709" s="3"/>
      <c r="Z15709" s="3"/>
      <c r="AA15709" s="3"/>
      <c r="AB15709" s="3"/>
      <c r="AC15709" s="3"/>
      <c r="AD15709" s="3"/>
      <c r="AE15709" s="3"/>
      <c r="AF15709" s="3"/>
      <c r="AG15709" s="3"/>
      <c r="AH15709" s="3"/>
    </row>
    <row r="15710" spans="1:34" ht="14.25" customHeight="1" x14ac:dyDescent="0.25">
      <c r="A15710" s="3"/>
      <c r="B15710" s="3"/>
      <c r="C15710" s="3"/>
      <c r="D15710" s="3"/>
      <c r="E15710" s="3"/>
      <c r="F15710" s="3"/>
      <c r="G15710" s="3"/>
      <c r="H15710" s="11"/>
      <c r="I15710" s="12"/>
      <c r="J15710" s="3"/>
      <c r="K15710" s="3"/>
      <c r="L15710" s="3"/>
      <c r="M15710" s="3"/>
      <c r="N15710" s="3"/>
      <c r="O15710" s="3"/>
      <c r="P15710" s="3"/>
      <c r="Q15710" s="3"/>
      <c r="R15710" s="3"/>
      <c r="S15710" s="3"/>
      <c r="T15710" s="3"/>
      <c r="U15710" s="3"/>
      <c r="V15710" s="3"/>
      <c r="W15710" s="3"/>
      <c r="X15710" s="3"/>
      <c r="Y15710" s="3"/>
      <c r="Z15710" s="3"/>
      <c r="AA15710" s="3"/>
      <c r="AB15710" s="3"/>
      <c r="AC15710" s="3"/>
      <c r="AD15710" s="3"/>
      <c r="AE15710" s="3"/>
      <c r="AF15710" s="3"/>
      <c r="AG15710" s="3"/>
      <c r="AH15710" s="3"/>
    </row>
    <row r="15711" spans="1:34" ht="14.25" customHeight="1" x14ac:dyDescent="0.25">
      <c r="A15711" s="3"/>
      <c r="B15711" s="3"/>
      <c r="C15711" s="3"/>
      <c r="D15711" s="3"/>
      <c r="E15711" s="3"/>
      <c r="F15711" s="3"/>
      <c r="G15711" s="3"/>
      <c r="H15711" s="11"/>
      <c r="I15711" s="12"/>
      <c r="J15711" s="3"/>
      <c r="K15711" s="3"/>
      <c r="L15711" s="3"/>
      <c r="M15711" s="3"/>
      <c r="N15711" s="3"/>
      <c r="O15711" s="3"/>
      <c r="P15711" s="3"/>
      <c r="Q15711" s="3"/>
      <c r="R15711" s="3"/>
      <c r="S15711" s="3"/>
      <c r="T15711" s="3"/>
      <c r="U15711" s="3"/>
      <c r="V15711" s="3"/>
      <c r="W15711" s="3"/>
      <c r="X15711" s="3"/>
      <c r="Y15711" s="3"/>
      <c r="Z15711" s="3"/>
      <c r="AA15711" s="3"/>
      <c r="AB15711" s="3"/>
      <c r="AC15711" s="3"/>
      <c r="AD15711" s="3"/>
      <c r="AE15711" s="3"/>
      <c r="AF15711" s="3"/>
      <c r="AG15711" s="3"/>
      <c r="AH15711" s="3"/>
    </row>
    <row r="15712" spans="1:34" ht="14.25" customHeight="1" x14ac:dyDescent="0.25">
      <c r="A15712" s="3"/>
      <c r="B15712" s="3"/>
      <c r="C15712" s="3"/>
      <c r="D15712" s="3"/>
      <c r="E15712" s="3"/>
      <c r="F15712" s="3"/>
      <c r="G15712" s="3"/>
      <c r="H15712" s="11"/>
      <c r="I15712" s="12"/>
      <c r="J15712" s="3"/>
      <c r="K15712" s="3"/>
      <c r="L15712" s="3"/>
      <c r="M15712" s="3"/>
      <c r="N15712" s="3"/>
      <c r="O15712" s="3"/>
      <c r="P15712" s="3"/>
      <c r="Q15712" s="3"/>
      <c r="R15712" s="3"/>
      <c r="S15712" s="3"/>
      <c r="T15712" s="3"/>
      <c r="U15712" s="3"/>
      <c r="V15712" s="3"/>
      <c r="W15712" s="3"/>
      <c r="X15712" s="3"/>
      <c r="Y15712" s="3"/>
      <c r="Z15712" s="3"/>
      <c r="AA15712" s="3"/>
      <c r="AB15712" s="3"/>
      <c r="AC15712" s="3"/>
      <c r="AD15712" s="3"/>
      <c r="AE15712" s="3"/>
      <c r="AF15712" s="3"/>
      <c r="AG15712" s="3"/>
      <c r="AH15712" s="3"/>
    </row>
    <row r="15713" spans="1:34" ht="14.25" customHeight="1" x14ac:dyDescent="0.25">
      <c r="A15713" s="3"/>
      <c r="B15713" s="3"/>
      <c r="C15713" s="3"/>
      <c r="D15713" s="3"/>
      <c r="E15713" s="3"/>
      <c r="F15713" s="3"/>
      <c r="G15713" s="3"/>
      <c r="H15713" s="11"/>
      <c r="I15713" s="12"/>
      <c r="J15713" s="3"/>
      <c r="K15713" s="3"/>
      <c r="L15713" s="3"/>
      <c r="M15713" s="3"/>
      <c r="N15713" s="3"/>
      <c r="O15713" s="3"/>
      <c r="P15713" s="3"/>
      <c r="Q15713" s="3"/>
      <c r="R15713" s="3"/>
      <c r="S15713" s="3"/>
      <c r="T15713" s="3"/>
      <c r="U15713" s="3"/>
      <c r="V15713" s="3"/>
      <c r="W15713" s="3"/>
      <c r="X15713" s="3"/>
      <c r="Y15713" s="3"/>
      <c r="Z15713" s="3"/>
      <c r="AA15713" s="3"/>
      <c r="AB15713" s="3"/>
      <c r="AC15713" s="3"/>
      <c r="AD15713" s="3"/>
      <c r="AE15713" s="3"/>
      <c r="AF15713" s="3"/>
      <c r="AG15713" s="3"/>
      <c r="AH15713" s="3"/>
    </row>
    <row r="15714" spans="1:34" ht="14.25" customHeight="1" x14ac:dyDescent="0.25">
      <c r="A15714" s="3"/>
      <c r="B15714" s="3"/>
      <c r="C15714" s="3"/>
      <c r="D15714" s="3"/>
      <c r="E15714" s="3"/>
      <c r="F15714" s="3"/>
      <c r="G15714" s="3"/>
      <c r="H15714" s="11"/>
      <c r="I15714" s="12"/>
      <c r="J15714" s="3"/>
      <c r="K15714" s="3"/>
      <c r="L15714" s="3"/>
      <c r="M15714" s="3"/>
      <c r="N15714" s="3"/>
      <c r="O15714" s="3"/>
      <c r="P15714" s="3"/>
      <c r="Q15714" s="3"/>
      <c r="R15714" s="3"/>
      <c r="S15714" s="3"/>
      <c r="T15714" s="3"/>
      <c r="U15714" s="3"/>
      <c r="V15714" s="3"/>
      <c r="W15714" s="3"/>
      <c r="X15714" s="3"/>
      <c r="Y15714" s="3"/>
      <c r="Z15714" s="3"/>
      <c r="AA15714" s="3"/>
      <c r="AB15714" s="3"/>
      <c r="AC15714" s="3"/>
      <c r="AD15714" s="3"/>
      <c r="AE15714" s="3"/>
      <c r="AF15714" s="3"/>
      <c r="AG15714" s="3"/>
      <c r="AH15714" s="3"/>
    </row>
    <row r="15715" spans="1:34" ht="14.25" customHeight="1" x14ac:dyDescent="0.25">
      <c r="A15715" s="3"/>
      <c r="B15715" s="3"/>
      <c r="C15715" s="3"/>
      <c r="D15715" s="3"/>
      <c r="E15715" s="3"/>
      <c r="F15715" s="3"/>
      <c r="G15715" s="3"/>
      <c r="H15715" s="11"/>
      <c r="I15715" s="12"/>
      <c r="J15715" s="3"/>
      <c r="K15715" s="3"/>
      <c r="L15715" s="3"/>
      <c r="M15715" s="3"/>
      <c r="N15715" s="3"/>
      <c r="O15715" s="3"/>
      <c r="P15715" s="3"/>
      <c r="Q15715" s="3"/>
      <c r="R15715" s="3"/>
      <c r="S15715" s="3"/>
      <c r="T15715" s="3"/>
      <c r="U15715" s="3"/>
      <c r="V15715" s="3"/>
      <c r="W15715" s="3"/>
      <c r="X15715" s="3"/>
      <c r="Y15715" s="3"/>
      <c r="Z15715" s="3"/>
      <c r="AA15715" s="3"/>
      <c r="AB15715" s="3"/>
      <c r="AC15715" s="3"/>
      <c r="AD15715" s="3"/>
      <c r="AE15715" s="3"/>
      <c r="AF15715" s="3"/>
      <c r="AG15715" s="3"/>
      <c r="AH15715" s="3"/>
    </row>
    <row r="15716" spans="1:34" ht="14.25" customHeight="1" x14ac:dyDescent="0.25">
      <c r="A15716" s="3"/>
      <c r="B15716" s="3"/>
      <c r="C15716" s="3"/>
      <c r="D15716" s="3"/>
      <c r="E15716" s="3"/>
      <c r="F15716" s="3"/>
      <c r="G15716" s="3"/>
      <c r="H15716" s="11"/>
      <c r="I15716" s="12"/>
      <c r="J15716" s="3"/>
      <c r="K15716" s="3"/>
      <c r="L15716" s="3"/>
      <c r="M15716" s="3"/>
      <c r="N15716" s="3"/>
      <c r="O15716" s="3"/>
      <c r="P15716" s="3"/>
      <c r="Q15716" s="3"/>
      <c r="R15716" s="3"/>
      <c r="S15716" s="3"/>
      <c r="T15716" s="3"/>
      <c r="U15716" s="3"/>
      <c r="V15716" s="3"/>
      <c r="W15716" s="3"/>
      <c r="X15716" s="3"/>
      <c r="Y15716" s="3"/>
      <c r="Z15716" s="3"/>
      <c r="AA15716" s="3"/>
      <c r="AB15716" s="3"/>
      <c r="AC15716" s="3"/>
      <c r="AD15716" s="3"/>
      <c r="AE15716" s="3"/>
      <c r="AF15716" s="3"/>
      <c r="AG15716" s="3"/>
      <c r="AH15716" s="3"/>
    </row>
    <row r="15717" spans="1:34" ht="14.25" customHeight="1" x14ac:dyDescent="0.25">
      <c r="A15717" s="3"/>
      <c r="B15717" s="3"/>
      <c r="C15717" s="3"/>
      <c r="D15717" s="3"/>
      <c r="E15717" s="3"/>
      <c r="F15717" s="3"/>
      <c r="G15717" s="3"/>
      <c r="H15717" s="11"/>
      <c r="I15717" s="12"/>
      <c r="J15717" s="3"/>
      <c r="K15717" s="3"/>
      <c r="L15717" s="3"/>
      <c r="M15717" s="3"/>
      <c r="N15717" s="3"/>
      <c r="O15717" s="3"/>
      <c r="P15717" s="3"/>
      <c r="Q15717" s="3"/>
      <c r="R15717" s="3"/>
      <c r="S15717" s="3"/>
      <c r="T15717" s="3"/>
      <c r="U15717" s="3"/>
      <c r="V15717" s="3"/>
      <c r="W15717" s="3"/>
      <c r="X15717" s="3"/>
      <c r="Y15717" s="3"/>
      <c r="Z15717" s="3"/>
      <c r="AA15717" s="3"/>
      <c r="AB15717" s="3"/>
      <c r="AC15717" s="3"/>
      <c r="AD15717" s="3"/>
      <c r="AE15717" s="3"/>
      <c r="AF15717" s="3"/>
      <c r="AG15717" s="3"/>
      <c r="AH15717" s="3"/>
    </row>
    <row r="15718" spans="1:34" ht="14.25" customHeight="1" x14ac:dyDescent="0.25">
      <c r="A15718" s="3"/>
      <c r="B15718" s="3"/>
      <c r="C15718" s="3"/>
      <c r="D15718" s="3"/>
      <c r="E15718" s="3"/>
      <c r="F15718" s="3"/>
      <c r="G15718" s="3"/>
      <c r="H15718" s="11"/>
      <c r="I15718" s="12"/>
      <c r="J15718" s="3"/>
      <c r="K15718" s="3"/>
      <c r="L15718" s="3"/>
      <c r="M15718" s="3"/>
      <c r="N15718" s="3"/>
      <c r="O15718" s="3"/>
      <c r="P15718" s="3"/>
      <c r="Q15718" s="3"/>
      <c r="R15718" s="3"/>
      <c r="S15718" s="3"/>
      <c r="T15718" s="3"/>
      <c r="U15718" s="3"/>
      <c r="V15718" s="3"/>
      <c r="W15718" s="3"/>
      <c r="X15718" s="3"/>
      <c r="Y15718" s="3"/>
      <c r="Z15718" s="3"/>
      <c r="AA15718" s="3"/>
      <c r="AB15718" s="3"/>
      <c r="AC15718" s="3"/>
      <c r="AD15718" s="3"/>
      <c r="AE15718" s="3"/>
      <c r="AF15718" s="3"/>
      <c r="AG15718" s="3"/>
      <c r="AH15718" s="3"/>
    </row>
    <row r="15719" spans="1:34" ht="14.25" customHeight="1" x14ac:dyDescent="0.25">
      <c r="A15719" s="3"/>
      <c r="B15719" s="3"/>
      <c r="C15719" s="3"/>
      <c r="D15719" s="3"/>
      <c r="E15719" s="3"/>
      <c r="F15719" s="3"/>
      <c r="G15719" s="3"/>
      <c r="H15719" s="11"/>
      <c r="I15719" s="12"/>
      <c r="J15719" s="3"/>
      <c r="K15719" s="3"/>
      <c r="L15719" s="3"/>
      <c r="M15719" s="3"/>
      <c r="N15719" s="3"/>
      <c r="O15719" s="3"/>
      <c r="P15719" s="3"/>
      <c r="Q15719" s="3"/>
      <c r="R15719" s="3"/>
      <c r="S15719" s="3"/>
      <c r="T15719" s="3"/>
      <c r="U15719" s="3"/>
      <c r="V15719" s="3"/>
      <c r="W15719" s="3"/>
      <c r="X15719" s="3"/>
      <c r="Y15719" s="3"/>
      <c r="Z15719" s="3"/>
      <c r="AA15719" s="3"/>
      <c r="AB15719" s="3"/>
      <c r="AC15719" s="3"/>
      <c r="AD15719" s="3"/>
      <c r="AE15719" s="3"/>
      <c r="AF15719" s="3"/>
      <c r="AG15719" s="3"/>
      <c r="AH15719" s="3"/>
    </row>
    <row r="15720" spans="1:34" ht="14.25" customHeight="1" x14ac:dyDescent="0.25">
      <c r="A15720" s="3"/>
      <c r="B15720" s="3"/>
      <c r="C15720" s="3"/>
      <c r="D15720" s="3"/>
      <c r="E15720" s="3"/>
      <c r="F15720" s="3"/>
      <c r="G15720" s="3"/>
      <c r="H15720" s="11"/>
      <c r="I15720" s="12"/>
      <c r="J15720" s="3"/>
      <c r="K15720" s="3"/>
      <c r="L15720" s="3"/>
      <c r="M15720" s="3"/>
      <c r="N15720" s="3"/>
      <c r="O15720" s="3"/>
      <c r="P15720" s="3"/>
      <c r="Q15720" s="3"/>
      <c r="R15720" s="3"/>
      <c r="S15720" s="3"/>
      <c r="T15720" s="3"/>
      <c r="U15720" s="3"/>
      <c r="V15720" s="3"/>
      <c r="W15720" s="3"/>
      <c r="X15720" s="3"/>
      <c r="Y15720" s="3"/>
      <c r="Z15720" s="3"/>
      <c r="AA15720" s="3"/>
      <c r="AB15720" s="3"/>
      <c r="AC15720" s="3"/>
      <c r="AD15720" s="3"/>
      <c r="AE15720" s="3"/>
      <c r="AF15720" s="3"/>
      <c r="AG15720" s="3"/>
      <c r="AH15720" s="3"/>
    </row>
    <row r="15721" spans="1:34" ht="14.25" customHeight="1" x14ac:dyDescent="0.25">
      <c r="A15721" s="3"/>
      <c r="B15721" s="3"/>
      <c r="C15721" s="3"/>
      <c r="D15721" s="3"/>
      <c r="E15721" s="3"/>
      <c r="F15721" s="3"/>
      <c r="G15721" s="3"/>
      <c r="H15721" s="11"/>
      <c r="I15721" s="12"/>
      <c r="J15721" s="3"/>
      <c r="K15721" s="3"/>
      <c r="L15721" s="3"/>
      <c r="M15721" s="3"/>
      <c r="N15721" s="3"/>
      <c r="O15721" s="3"/>
      <c r="P15721" s="3"/>
      <c r="Q15721" s="3"/>
      <c r="R15721" s="3"/>
      <c r="S15721" s="3"/>
      <c r="T15721" s="3"/>
      <c r="U15721" s="3"/>
      <c r="V15721" s="3"/>
      <c r="W15721" s="3"/>
      <c r="X15721" s="3"/>
      <c r="Y15721" s="3"/>
      <c r="Z15721" s="3"/>
      <c r="AA15721" s="3"/>
      <c r="AB15721" s="3"/>
      <c r="AC15721" s="3"/>
      <c r="AD15721" s="3"/>
      <c r="AE15721" s="3"/>
      <c r="AF15721" s="3"/>
      <c r="AG15721" s="3"/>
      <c r="AH15721" s="3"/>
    </row>
    <row r="15722" spans="1:34" ht="14.25" customHeight="1" x14ac:dyDescent="0.25">
      <c r="A15722" s="3"/>
      <c r="B15722" s="3"/>
      <c r="C15722" s="3"/>
      <c r="D15722" s="3"/>
      <c r="E15722" s="3"/>
      <c r="F15722" s="3"/>
      <c r="G15722" s="3"/>
      <c r="H15722" s="11"/>
      <c r="I15722" s="12"/>
      <c r="J15722" s="3"/>
      <c r="K15722" s="3"/>
      <c r="L15722" s="3"/>
      <c r="M15722" s="3"/>
      <c r="N15722" s="3"/>
      <c r="O15722" s="3"/>
      <c r="P15722" s="3"/>
      <c r="Q15722" s="3"/>
      <c r="R15722" s="3"/>
      <c r="S15722" s="3"/>
      <c r="T15722" s="3"/>
      <c r="U15722" s="3"/>
      <c r="V15722" s="3"/>
      <c r="W15722" s="3"/>
      <c r="X15722" s="3"/>
      <c r="Y15722" s="3"/>
      <c r="Z15722" s="3"/>
      <c r="AA15722" s="3"/>
      <c r="AB15722" s="3"/>
      <c r="AC15722" s="3"/>
      <c r="AD15722" s="3"/>
      <c r="AE15722" s="3"/>
      <c r="AF15722" s="3"/>
      <c r="AG15722" s="3"/>
      <c r="AH15722" s="3"/>
    </row>
    <row r="15723" spans="1:34" ht="14.25" customHeight="1" x14ac:dyDescent="0.25">
      <c r="A15723" s="3"/>
      <c r="B15723" s="3"/>
      <c r="C15723" s="3"/>
      <c r="D15723" s="3"/>
      <c r="E15723" s="3"/>
      <c r="F15723" s="3"/>
      <c r="G15723" s="3"/>
      <c r="H15723" s="11"/>
      <c r="I15723" s="12"/>
      <c r="J15723" s="3"/>
      <c r="K15723" s="3"/>
      <c r="L15723" s="3"/>
      <c r="M15723" s="3"/>
      <c r="N15723" s="3"/>
      <c r="O15723" s="3"/>
      <c r="P15723" s="3"/>
      <c r="Q15723" s="3"/>
      <c r="R15723" s="3"/>
      <c r="S15723" s="3"/>
      <c r="T15723" s="3"/>
      <c r="U15723" s="3"/>
      <c r="V15723" s="3"/>
      <c r="W15723" s="3"/>
      <c r="X15723" s="3"/>
      <c r="Y15723" s="3"/>
      <c r="Z15723" s="3"/>
      <c r="AA15723" s="3"/>
      <c r="AB15723" s="3"/>
      <c r="AC15723" s="3"/>
      <c r="AD15723" s="3"/>
      <c r="AE15723" s="3"/>
      <c r="AF15723" s="3"/>
      <c r="AG15723" s="3"/>
      <c r="AH15723" s="3"/>
    </row>
    <row r="15724" spans="1:34" ht="14.25" customHeight="1" x14ac:dyDescent="0.25">
      <c r="A15724" s="3"/>
      <c r="B15724" s="3"/>
      <c r="C15724" s="3"/>
      <c r="D15724" s="3"/>
      <c r="E15724" s="3"/>
      <c r="F15724" s="3"/>
      <c r="G15724" s="3"/>
      <c r="H15724" s="11"/>
      <c r="I15724" s="12"/>
      <c r="J15724" s="3"/>
      <c r="K15724" s="3"/>
      <c r="L15724" s="3"/>
      <c r="M15724" s="3"/>
      <c r="N15724" s="3"/>
      <c r="O15724" s="3"/>
      <c r="P15724" s="3"/>
      <c r="Q15724" s="3"/>
      <c r="R15724" s="3"/>
      <c r="S15724" s="3"/>
      <c r="T15724" s="3"/>
      <c r="U15724" s="3"/>
      <c r="V15724" s="3"/>
      <c r="W15724" s="3"/>
      <c r="X15724" s="3"/>
      <c r="Y15724" s="3"/>
      <c r="Z15724" s="3"/>
      <c r="AA15724" s="3"/>
      <c r="AB15724" s="3"/>
      <c r="AC15724" s="3"/>
      <c r="AD15724" s="3"/>
      <c r="AE15724" s="3"/>
      <c r="AF15724" s="3"/>
      <c r="AG15724" s="3"/>
      <c r="AH15724" s="3"/>
    </row>
    <row r="15725" spans="1:34" ht="14.25" customHeight="1" x14ac:dyDescent="0.25">
      <c r="A15725" s="3"/>
      <c r="B15725" s="3"/>
      <c r="C15725" s="3"/>
      <c r="D15725" s="3"/>
      <c r="E15725" s="3"/>
      <c r="F15725" s="3"/>
      <c r="G15725" s="3"/>
      <c r="H15725" s="11"/>
      <c r="I15725" s="12"/>
      <c r="J15725" s="3"/>
      <c r="K15725" s="3"/>
      <c r="L15725" s="3"/>
      <c r="M15725" s="3"/>
      <c r="N15725" s="3"/>
      <c r="O15725" s="3"/>
      <c r="P15725" s="3"/>
      <c r="Q15725" s="3"/>
      <c r="R15725" s="3"/>
      <c r="S15725" s="3"/>
      <c r="T15725" s="3"/>
      <c r="U15725" s="3"/>
      <c r="V15725" s="3"/>
      <c r="W15725" s="3"/>
      <c r="X15725" s="3"/>
      <c r="Y15725" s="3"/>
      <c r="Z15725" s="3"/>
      <c r="AA15725" s="3"/>
      <c r="AB15725" s="3"/>
      <c r="AC15725" s="3"/>
      <c r="AD15725" s="3"/>
      <c r="AE15725" s="3"/>
      <c r="AF15725" s="3"/>
      <c r="AG15725" s="3"/>
      <c r="AH15725" s="3"/>
    </row>
    <row r="15726" spans="1:34" ht="14.25" customHeight="1" x14ac:dyDescent="0.25">
      <c r="A15726" s="3"/>
      <c r="B15726" s="3"/>
      <c r="C15726" s="3"/>
      <c r="D15726" s="3"/>
      <c r="E15726" s="3"/>
      <c r="F15726" s="3"/>
      <c r="G15726" s="3"/>
      <c r="H15726" s="11"/>
      <c r="I15726" s="12"/>
      <c r="J15726" s="3"/>
      <c r="K15726" s="3"/>
      <c r="L15726" s="3"/>
      <c r="M15726" s="3"/>
      <c r="N15726" s="3"/>
      <c r="O15726" s="3"/>
      <c r="P15726" s="3"/>
      <c r="Q15726" s="3"/>
      <c r="R15726" s="3"/>
      <c r="S15726" s="3"/>
      <c r="T15726" s="3"/>
      <c r="U15726" s="3"/>
      <c r="V15726" s="3"/>
      <c r="W15726" s="3"/>
      <c r="X15726" s="3"/>
      <c r="Y15726" s="3"/>
      <c r="Z15726" s="3"/>
      <c r="AA15726" s="3"/>
      <c r="AB15726" s="3"/>
      <c r="AC15726" s="3"/>
      <c r="AD15726" s="3"/>
      <c r="AE15726" s="3"/>
      <c r="AF15726" s="3"/>
      <c r="AG15726" s="3"/>
      <c r="AH15726" s="3"/>
    </row>
    <row r="15727" spans="1:34" ht="14.25" customHeight="1" x14ac:dyDescent="0.25">
      <c r="A15727" s="3"/>
      <c r="B15727" s="3"/>
      <c r="C15727" s="3"/>
      <c r="D15727" s="3"/>
      <c r="E15727" s="3"/>
      <c r="F15727" s="3"/>
      <c r="G15727" s="3"/>
      <c r="H15727" s="11"/>
      <c r="I15727" s="12"/>
      <c r="J15727" s="3"/>
      <c r="K15727" s="3"/>
      <c r="L15727" s="3"/>
      <c r="M15727" s="3"/>
      <c r="N15727" s="3"/>
      <c r="O15727" s="3"/>
      <c r="P15727" s="3"/>
      <c r="Q15727" s="3"/>
      <c r="R15727" s="3"/>
      <c r="S15727" s="3"/>
      <c r="T15727" s="3"/>
      <c r="U15727" s="3"/>
      <c r="V15727" s="3"/>
      <c r="W15727" s="3"/>
      <c r="X15727" s="3"/>
      <c r="Y15727" s="3"/>
      <c r="Z15727" s="3"/>
      <c r="AA15727" s="3"/>
      <c r="AB15727" s="3"/>
      <c r="AC15727" s="3"/>
      <c r="AD15727" s="3"/>
      <c r="AE15727" s="3"/>
      <c r="AF15727" s="3"/>
      <c r="AG15727" s="3"/>
      <c r="AH15727" s="3"/>
    </row>
    <row r="15728" spans="1:34" ht="14.25" customHeight="1" x14ac:dyDescent="0.25">
      <c r="A15728" s="3"/>
      <c r="B15728" s="3"/>
      <c r="C15728" s="3"/>
      <c r="D15728" s="3"/>
      <c r="E15728" s="3"/>
      <c r="F15728" s="3"/>
      <c r="G15728" s="3"/>
      <c r="H15728" s="11"/>
      <c r="I15728" s="12"/>
      <c r="J15728" s="3"/>
      <c r="K15728" s="3"/>
      <c r="L15728" s="3"/>
      <c r="M15728" s="3"/>
      <c r="N15728" s="3"/>
      <c r="O15728" s="3"/>
      <c r="P15728" s="3"/>
      <c r="Q15728" s="3"/>
      <c r="R15728" s="3"/>
      <c r="S15728" s="3"/>
      <c r="T15728" s="3"/>
      <c r="U15728" s="3"/>
      <c r="V15728" s="3"/>
      <c r="W15728" s="3"/>
      <c r="X15728" s="3"/>
      <c r="Y15728" s="3"/>
      <c r="Z15728" s="3"/>
      <c r="AA15728" s="3"/>
      <c r="AB15728" s="3"/>
      <c r="AC15728" s="3"/>
      <c r="AD15728" s="3"/>
      <c r="AE15728" s="3"/>
      <c r="AF15728" s="3"/>
      <c r="AG15728" s="3"/>
      <c r="AH15728" s="3"/>
    </row>
    <row r="15729" spans="1:34" ht="14.25" customHeight="1" x14ac:dyDescent="0.25">
      <c r="A15729" s="3"/>
      <c r="B15729" s="3"/>
      <c r="C15729" s="3"/>
      <c r="D15729" s="3"/>
      <c r="E15729" s="3"/>
      <c r="F15729" s="3"/>
      <c r="G15729" s="3"/>
      <c r="H15729" s="11"/>
      <c r="I15729" s="12"/>
      <c r="J15729" s="3"/>
      <c r="K15729" s="3"/>
      <c r="L15729" s="3"/>
      <c r="M15729" s="3"/>
      <c r="N15729" s="3"/>
      <c r="O15729" s="3"/>
      <c r="P15729" s="3"/>
      <c r="Q15729" s="3"/>
      <c r="R15729" s="3"/>
      <c r="S15729" s="3"/>
      <c r="T15729" s="3"/>
      <c r="U15729" s="3"/>
      <c r="V15729" s="3"/>
      <c r="W15729" s="3"/>
      <c r="X15729" s="3"/>
      <c r="Y15729" s="3"/>
      <c r="Z15729" s="3"/>
      <c r="AA15729" s="3"/>
      <c r="AB15729" s="3"/>
      <c r="AC15729" s="3"/>
      <c r="AD15729" s="3"/>
      <c r="AE15729" s="3"/>
      <c r="AF15729" s="3"/>
      <c r="AG15729" s="3"/>
      <c r="AH15729" s="3"/>
    </row>
    <row r="15730" spans="1:34" ht="14.25" customHeight="1" x14ac:dyDescent="0.25">
      <c r="A15730" s="3"/>
      <c r="B15730" s="3"/>
      <c r="C15730" s="3"/>
      <c r="D15730" s="3"/>
      <c r="E15730" s="3"/>
      <c r="F15730" s="3"/>
      <c r="G15730" s="3"/>
      <c r="H15730" s="11"/>
      <c r="I15730" s="12"/>
      <c r="J15730" s="3"/>
      <c r="K15730" s="3"/>
      <c r="L15730" s="3"/>
      <c r="M15730" s="3"/>
      <c r="N15730" s="3"/>
      <c r="O15730" s="3"/>
      <c r="P15730" s="3"/>
      <c r="Q15730" s="3"/>
      <c r="R15730" s="3"/>
      <c r="S15730" s="3"/>
      <c r="T15730" s="3"/>
      <c r="U15730" s="3"/>
      <c r="V15730" s="3"/>
      <c r="W15730" s="3"/>
      <c r="X15730" s="3"/>
      <c r="Y15730" s="3"/>
      <c r="Z15730" s="3"/>
      <c r="AA15730" s="3"/>
      <c r="AB15730" s="3"/>
      <c r="AC15730" s="3"/>
      <c r="AD15730" s="3"/>
      <c r="AE15730" s="3"/>
      <c r="AF15730" s="3"/>
      <c r="AG15730" s="3"/>
      <c r="AH15730" s="3"/>
    </row>
    <row r="15731" spans="1:34" ht="14.25" customHeight="1" x14ac:dyDescent="0.25">
      <c r="A15731" s="3"/>
      <c r="B15731" s="3"/>
      <c r="C15731" s="3"/>
      <c r="D15731" s="3"/>
      <c r="E15731" s="3"/>
      <c r="F15731" s="3"/>
      <c r="G15731" s="3"/>
      <c r="H15731" s="11"/>
      <c r="I15731" s="12"/>
      <c r="J15731" s="3"/>
      <c r="K15731" s="3"/>
      <c r="L15731" s="3"/>
      <c r="M15731" s="3"/>
      <c r="N15731" s="3"/>
      <c r="O15731" s="3"/>
      <c r="P15731" s="3"/>
      <c r="Q15731" s="3"/>
      <c r="R15731" s="3"/>
      <c r="S15731" s="3"/>
      <c r="T15731" s="3"/>
      <c r="U15731" s="3"/>
      <c r="V15731" s="3"/>
      <c r="W15731" s="3"/>
      <c r="X15731" s="3"/>
      <c r="Y15731" s="3"/>
      <c r="Z15731" s="3"/>
      <c r="AA15731" s="3"/>
      <c r="AB15731" s="3"/>
      <c r="AC15731" s="3"/>
      <c r="AD15731" s="3"/>
      <c r="AE15731" s="3"/>
      <c r="AF15731" s="3"/>
      <c r="AG15731" s="3"/>
      <c r="AH15731" s="3"/>
    </row>
    <row r="15732" spans="1:34" ht="14.25" customHeight="1" x14ac:dyDescent="0.25">
      <c r="A15732" s="3"/>
      <c r="B15732" s="3"/>
      <c r="C15732" s="3"/>
      <c r="D15732" s="3"/>
      <c r="E15732" s="3"/>
      <c r="F15732" s="3"/>
      <c r="G15732" s="3"/>
      <c r="H15732" s="11"/>
      <c r="I15732" s="12"/>
      <c r="J15732" s="3"/>
      <c r="K15732" s="3"/>
      <c r="L15732" s="3"/>
      <c r="M15732" s="3"/>
      <c r="N15732" s="3"/>
      <c r="O15732" s="3"/>
      <c r="P15732" s="3"/>
      <c r="Q15732" s="3"/>
      <c r="R15732" s="3"/>
      <c r="S15732" s="3"/>
      <c r="T15732" s="3"/>
      <c r="U15732" s="3"/>
      <c r="V15732" s="3"/>
      <c r="W15732" s="3"/>
      <c r="X15732" s="3"/>
      <c r="Y15732" s="3"/>
      <c r="Z15732" s="3"/>
      <c r="AA15732" s="3"/>
      <c r="AB15732" s="3"/>
      <c r="AC15732" s="3"/>
      <c r="AD15732" s="3"/>
      <c r="AE15732" s="3"/>
      <c r="AF15732" s="3"/>
      <c r="AG15732" s="3"/>
      <c r="AH15732" s="3"/>
    </row>
    <row r="15733" spans="1:34" ht="14.25" customHeight="1" x14ac:dyDescent="0.25">
      <c r="A15733" s="3"/>
      <c r="B15733" s="3"/>
      <c r="C15733" s="3"/>
      <c r="D15733" s="3"/>
      <c r="E15733" s="3"/>
      <c r="F15733" s="3"/>
      <c r="G15733" s="3"/>
      <c r="H15733" s="11"/>
      <c r="I15733" s="12"/>
      <c r="J15733" s="3"/>
      <c r="K15733" s="3"/>
      <c r="L15733" s="3"/>
      <c r="M15733" s="3"/>
      <c r="N15733" s="3"/>
      <c r="O15733" s="3"/>
      <c r="P15733" s="3"/>
      <c r="Q15733" s="3"/>
      <c r="R15733" s="3"/>
      <c r="S15733" s="3"/>
      <c r="T15733" s="3"/>
      <c r="U15733" s="3"/>
      <c r="V15733" s="3"/>
      <c r="W15733" s="3"/>
      <c r="X15733" s="3"/>
      <c r="Y15733" s="3"/>
      <c r="Z15733" s="3"/>
      <c r="AA15733" s="3"/>
      <c r="AB15733" s="3"/>
      <c r="AC15733" s="3"/>
      <c r="AD15733" s="3"/>
      <c r="AE15733" s="3"/>
      <c r="AF15733" s="3"/>
      <c r="AG15733" s="3"/>
      <c r="AH15733" s="3"/>
    </row>
    <row r="15734" spans="1:34" ht="14.25" customHeight="1" x14ac:dyDescent="0.25">
      <c r="A15734" s="3"/>
      <c r="B15734" s="3"/>
      <c r="C15734" s="3"/>
      <c r="D15734" s="3"/>
      <c r="E15734" s="3"/>
      <c r="F15734" s="3"/>
      <c r="G15734" s="3"/>
      <c r="H15734" s="11"/>
      <c r="I15734" s="12"/>
      <c r="J15734" s="3"/>
      <c r="K15734" s="3"/>
      <c r="L15734" s="3"/>
      <c r="M15734" s="3"/>
      <c r="N15734" s="3"/>
      <c r="O15734" s="3"/>
      <c r="P15734" s="3"/>
      <c r="Q15734" s="3"/>
      <c r="R15734" s="3"/>
      <c r="S15734" s="3"/>
      <c r="T15734" s="3"/>
      <c r="U15734" s="3"/>
      <c r="V15734" s="3"/>
      <c r="W15734" s="3"/>
      <c r="X15734" s="3"/>
      <c r="Y15734" s="3"/>
      <c r="Z15734" s="3"/>
      <c r="AA15734" s="3"/>
      <c r="AB15734" s="3"/>
      <c r="AC15734" s="3"/>
      <c r="AD15734" s="3"/>
      <c r="AE15734" s="3"/>
      <c r="AF15734" s="3"/>
      <c r="AG15734" s="3"/>
      <c r="AH15734" s="3"/>
    </row>
    <row r="15735" spans="1:34" ht="14.25" customHeight="1" x14ac:dyDescent="0.25">
      <c r="A15735" s="3"/>
      <c r="B15735" s="3"/>
      <c r="C15735" s="3"/>
      <c r="D15735" s="3"/>
      <c r="E15735" s="3"/>
      <c r="F15735" s="3"/>
      <c r="G15735" s="3"/>
      <c r="H15735" s="11"/>
      <c r="I15735" s="12"/>
      <c r="J15735" s="3"/>
      <c r="K15735" s="3"/>
      <c r="L15735" s="3"/>
      <c r="M15735" s="3"/>
      <c r="N15735" s="3"/>
      <c r="O15735" s="3"/>
      <c r="P15735" s="3"/>
      <c r="Q15735" s="3"/>
      <c r="R15735" s="3"/>
      <c r="S15735" s="3"/>
      <c r="T15735" s="3"/>
      <c r="U15735" s="3"/>
      <c r="V15735" s="3"/>
      <c r="W15735" s="3"/>
      <c r="X15735" s="3"/>
      <c r="Y15735" s="3"/>
      <c r="Z15735" s="3"/>
      <c r="AA15735" s="3"/>
      <c r="AB15735" s="3"/>
      <c r="AC15735" s="3"/>
      <c r="AD15735" s="3"/>
      <c r="AE15735" s="3"/>
      <c r="AF15735" s="3"/>
      <c r="AG15735" s="3"/>
      <c r="AH15735" s="3"/>
    </row>
    <row r="15736" spans="1:34" ht="14.25" customHeight="1" x14ac:dyDescent="0.25">
      <c r="A15736" s="3"/>
      <c r="B15736" s="3"/>
      <c r="C15736" s="3"/>
      <c r="D15736" s="3"/>
      <c r="E15736" s="3"/>
      <c r="F15736" s="3"/>
      <c r="G15736" s="3"/>
      <c r="H15736" s="11"/>
      <c r="I15736" s="12"/>
      <c r="J15736" s="3"/>
      <c r="K15736" s="3"/>
      <c r="L15736" s="3"/>
      <c r="M15736" s="3"/>
      <c r="N15736" s="3"/>
      <c r="O15736" s="3"/>
      <c r="P15736" s="3"/>
      <c r="Q15736" s="3"/>
      <c r="R15736" s="3"/>
      <c r="S15736" s="3"/>
      <c r="T15736" s="3"/>
      <c r="U15736" s="3"/>
      <c r="V15736" s="3"/>
      <c r="W15736" s="3"/>
      <c r="X15736" s="3"/>
      <c r="Y15736" s="3"/>
      <c r="Z15736" s="3"/>
      <c r="AA15736" s="3"/>
      <c r="AB15736" s="3"/>
      <c r="AC15736" s="3"/>
      <c r="AD15736" s="3"/>
      <c r="AE15736" s="3"/>
      <c r="AF15736" s="3"/>
      <c r="AG15736" s="3"/>
      <c r="AH15736" s="3"/>
    </row>
    <row r="15737" spans="1:34" ht="14.25" customHeight="1" x14ac:dyDescent="0.25">
      <c r="A15737" s="3"/>
      <c r="B15737" s="3"/>
      <c r="C15737" s="3"/>
      <c r="D15737" s="3"/>
      <c r="E15737" s="3"/>
      <c r="F15737" s="3"/>
      <c r="G15737" s="3"/>
      <c r="H15737" s="11"/>
      <c r="I15737" s="12"/>
      <c r="J15737" s="3"/>
      <c r="K15737" s="3"/>
      <c r="L15737" s="3"/>
      <c r="M15737" s="3"/>
      <c r="N15737" s="3"/>
      <c r="O15737" s="3"/>
      <c r="P15737" s="3"/>
      <c r="Q15737" s="3"/>
      <c r="R15737" s="3"/>
      <c r="S15737" s="3"/>
      <c r="T15737" s="3"/>
      <c r="U15737" s="3"/>
      <c r="V15737" s="3"/>
      <c r="W15737" s="3"/>
      <c r="X15737" s="3"/>
      <c r="Y15737" s="3"/>
      <c r="Z15737" s="3"/>
      <c r="AA15737" s="3"/>
      <c r="AB15737" s="3"/>
      <c r="AC15737" s="3"/>
      <c r="AD15737" s="3"/>
      <c r="AE15737" s="3"/>
      <c r="AF15737" s="3"/>
      <c r="AG15737" s="3"/>
      <c r="AH15737" s="3"/>
    </row>
    <row r="15738" spans="1:34" ht="14.25" customHeight="1" x14ac:dyDescent="0.25">
      <c r="A15738" s="3"/>
      <c r="B15738" s="3"/>
      <c r="C15738" s="3"/>
      <c r="D15738" s="3"/>
      <c r="E15738" s="3"/>
      <c r="F15738" s="3"/>
      <c r="G15738" s="3"/>
      <c r="H15738" s="11"/>
      <c r="I15738" s="12"/>
      <c r="J15738" s="3"/>
      <c r="K15738" s="3"/>
      <c r="L15738" s="3"/>
      <c r="M15738" s="3"/>
      <c r="N15738" s="3"/>
      <c r="O15738" s="3"/>
      <c r="P15738" s="3"/>
      <c r="Q15738" s="3"/>
      <c r="R15738" s="3"/>
      <c r="S15738" s="3"/>
      <c r="T15738" s="3"/>
      <c r="U15738" s="3"/>
      <c r="V15738" s="3"/>
      <c r="W15738" s="3"/>
      <c r="X15738" s="3"/>
      <c r="Y15738" s="3"/>
      <c r="Z15738" s="3"/>
      <c r="AA15738" s="3"/>
      <c r="AB15738" s="3"/>
      <c r="AC15738" s="3"/>
      <c r="AD15738" s="3"/>
      <c r="AE15738" s="3"/>
      <c r="AF15738" s="3"/>
      <c r="AG15738" s="3"/>
      <c r="AH15738" s="3"/>
    </row>
    <row r="15739" spans="1:34" ht="14.25" customHeight="1" x14ac:dyDescent="0.25">
      <c r="A15739" s="3"/>
      <c r="B15739" s="3"/>
      <c r="C15739" s="3"/>
      <c r="D15739" s="3"/>
      <c r="E15739" s="3"/>
      <c r="F15739" s="3"/>
      <c r="G15739" s="3"/>
      <c r="H15739" s="11"/>
      <c r="I15739" s="12"/>
      <c r="J15739" s="3"/>
      <c r="K15739" s="3"/>
      <c r="L15739" s="3"/>
      <c r="M15739" s="3"/>
      <c r="N15739" s="3"/>
      <c r="O15739" s="3"/>
      <c r="P15739" s="3"/>
      <c r="Q15739" s="3"/>
      <c r="R15739" s="3"/>
      <c r="S15739" s="3"/>
      <c r="T15739" s="3"/>
      <c r="U15739" s="3"/>
      <c r="V15739" s="3"/>
      <c r="W15739" s="3"/>
      <c r="X15739" s="3"/>
      <c r="Y15739" s="3"/>
      <c r="Z15739" s="3"/>
      <c r="AA15739" s="3"/>
      <c r="AB15739" s="3"/>
      <c r="AC15739" s="3"/>
      <c r="AD15739" s="3"/>
      <c r="AE15739" s="3"/>
      <c r="AF15739" s="3"/>
      <c r="AG15739" s="3"/>
      <c r="AH15739" s="3"/>
    </row>
    <row r="15740" spans="1:34" ht="14.25" customHeight="1" x14ac:dyDescent="0.25">
      <c r="A15740" s="3"/>
      <c r="B15740" s="3"/>
      <c r="C15740" s="3"/>
      <c r="D15740" s="3"/>
      <c r="E15740" s="3"/>
      <c r="F15740" s="3"/>
      <c r="G15740" s="3"/>
      <c r="H15740" s="11"/>
      <c r="I15740" s="12"/>
      <c r="J15740" s="3"/>
      <c r="K15740" s="3"/>
      <c r="L15740" s="3"/>
      <c r="M15740" s="3"/>
      <c r="N15740" s="3"/>
      <c r="O15740" s="3"/>
      <c r="P15740" s="3"/>
      <c r="Q15740" s="3"/>
      <c r="R15740" s="3"/>
      <c r="S15740" s="3"/>
      <c r="T15740" s="3"/>
      <c r="U15740" s="3"/>
      <c r="V15740" s="3"/>
      <c r="W15740" s="3"/>
      <c r="X15740" s="3"/>
      <c r="Y15740" s="3"/>
      <c r="Z15740" s="3"/>
      <c r="AA15740" s="3"/>
      <c r="AB15740" s="3"/>
      <c r="AC15740" s="3"/>
      <c r="AD15740" s="3"/>
      <c r="AE15740" s="3"/>
      <c r="AF15740" s="3"/>
      <c r="AG15740" s="3"/>
      <c r="AH15740" s="3"/>
    </row>
    <row r="15741" spans="1:34" ht="14.25" customHeight="1" x14ac:dyDescent="0.25">
      <c r="A15741" s="3"/>
      <c r="B15741" s="3"/>
      <c r="C15741" s="3"/>
      <c r="D15741" s="3"/>
      <c r="E15741" s="3"/>
      <c r="F15741" s="3"/>
      <c r="G15741" s="3"/>
      <c r="H15741" s="11"/>
      <c r="I15741" s="12"/>
      <c r="J15741" s="3"/>
      <c r="K15741" s="3"/>
      <c r="L15741" s="3"/>
      <c r="M15741" s="3"/>
      <c r="N15741" s="3"/>
      <c r="O15741" s="3"/>
      <c r="P15741" s="3"/>
      <c r="Q15741" s="3"/>
      <c r="R15741" s="3"/>
      <c r="S15741" s="3"/>
      <c r="T15741" s="3"/>
      <c r="U15741" s="3"/>
      <c r="V15741" s="3"/>
      <c r="W15741" s="3"/>
      <c r="X15741" s="3"/>
      <c r="Y15741" s="3"/>
      <c r="Z15741" s="3"/>
      <c r="AA15741" s="3"/>
      <c r="AB15741" s="3"/>
      <c r="AC15741" s="3"/>
      <c r="AD15741" s="3"/>
      <c r="AE15741" s="3"/>
      <c r="AF15741" s="3"/>
      <c r="AG15741" s="15"/>
      <c r="AH15741" s="3"/>
    </row>
    <row r="15742" spans="1:34" ht="14.25" customHeight="1" x14ac:dyDescent="0.25">
      <c r="A15742" s="3"/>
      <c r="B15742" s="3"/>
      <c r="C15742" s="3"/>
      <c r="D15742" s="3"/>
      <c r="E15742" s="3"/>
      <c r="F15742" s="3"/>
      <c r="G15742" s="3"/>
      <c r="H15742" s="11"/>
      <c r="I15742" s="12"/>
      <c r="J15742" s="3"/>
      <c r="K15742" s="3"/>
      <c r="L15742" s="3"/>
      <c r="M15742" s="3"/>
      <c r="N15742" s="3"/>
      <c r="O15742" s="3"/>
      <c r="P15742" s="3"/>
      <c r="Q15742" s="3"/>
      <c r="R15742" s="3"/>
      <c r="S15742" s="3"/>
      <c r="T15742" s="3"/>
      <c r="U15742" s="3"/>
      <c r="V15742" s="3"/>
      <c r="W15742" s="3"/>
      <c r="X15742" s="3"/>
      <c r="Y15742" s="3"/>
      <c r="Z15742" s="3"/>
      <c r="AA15742" s="3"/>
      <c r="AB15742" s="3"/>
      <c r="AC15742" s="3"/>
      <c r="AD15742" s="3"/>
      <c r="AE15742" s="3"/>
      <c r="AF15742" s="3"/>
      <c r="AG15742" s="3"/>
      <c r="AH15742" s="3"/>
    </row>
    <row r="15743" spans="1:34" ht="14.25" customHeight="1" x14ac:dyDescent="0.25">
      <c r="A15743" s="3"/>
      <c r="B15743" s="3"/>
      <c r="C15743" s="3"/>
      <c r="D15743" s="3"/>
      <c r="E15743" s="3"/>
      <c r="F15743" s="3"/>
      <c r="G15743" s="3"/>
      <c r="H15743" s="11"/>
      <c r="I15743" s="12"/>
      <c r="J15743" s="3"/>
      <c r="K15743" s="3"/>
      <c r="L15743" s="3"/>
      <c r="M15743" s="3"/>
      <c r="N15743" s="3"/>
      <c r="O15743" s="3"/>
      <c r="P15743" s="3"/>
      <c r="Q15743" s="3"/>
      <c r="R15743" s="3"/>
      <c r="S15743" s="3"/>
      <c r="T15743" s="3"/>
      <c r="U15743" s="3"/>
      <c r="V15743" s="3"/>
      <c r="W15743" s="3"/>
      <c r="X15743" s="3"/>
      <c r="Y15743" s="3"/>
      <c r="Z15743" s="3"/>
      <c r="AA15743" s="3"/>
      <c r="AB15743" s="3"/>
      <c r="AC15743" s="3"/>
      <c r="AD15743" s="3"/>
      <c r="AE15743" s="3"/>
      <c r="AF15743" s="3"/>
      <c r="AG15743" s="3"/>
      <c r="AH15743" s="3"/>
    </row>
    <row r="15744" spans="1:34" ht="14.25" customHeight="1" x14ac:dyDescent="0.25">
      <c r="A15744" s="3"/>
      <c r="B15744" s="3"/>
      <c r="C15744" s="3"/>
      <c r="D15744" s="3"/>
      <c r="E15744" s="3"/>
      <c r="F15744" s="3"/>
      <c r="G15744" s="3"/>
      <c r="H15744" s="11"/>
      <c r="I15744" s="12"/>
      <c r="J15744" s="3"/>
      <c r="K15744" s="3"/>
      <c r="L15744" s="3"/>
      <c r="M15744" s="3"/>
      <c r="N15744" s="3"/>
      <c r="O15744" s="3"/>
      <c r="P15744" s="3"/>
      <c r="Q15744" s="3"/>
      <c r="R15744" s="3"/>
      <c r="S15744" s="3"/>
      <c r="T15744" s="3"/>
      <c r="U15744" s="3"/>
      <c r="V15744" s="3"/>
      <c r="W15744" s="3"/>
      <c r="X15744" s="3"/>
      <c r="Y15744" s="3"/>
      <c r="Z15744" s="3"/>
      <c r="AA15744" s="3"/>
      <c r="AB15744" s="3"/>
      <c r="AC15744" s="3"/>
      <c r="AD15744" s="3"/>
      <c r="AE15744" s="3"/>
      <c r="AF15744" s="3"/>
      <c r="AG15744" s="3"/>
      <c r="AH15744" s="3"/>
    </row>
    <row r="15745" spans="1:34" ht="14.25" customHeight="1" x14ac:dyDescent="0.25">
      <c r="A15745" s="3"/>
      <c r="B15745" s="3"/>
      <c r="C15745" s="3"/>
      <c r="D15745" s="3"/>
      <c r="E15745" s="3"/>
      <c r="F15745" s="3"/>
      <c r="G15745" s="3"/>
      <c r="H15745" s="11"/>
      <c r="I15745" s="12"/>
      <c r="J15745" s="3"/>
      <c r="K15745" s="3"/>
      <c r="L15745" s="3"/>
      <c r="M15745" s="3"/>
      <c r="N15745" s="3"/>
      <c r="O15745" s="3"/>
      <c r="P15745" s="3"/>
      <c r="Q15745" s="3"/>
      <c r="R15745" s="3"/>
      <c r="S15745" s="3"/>
      <c r="T15745" s="3"/>
      <c r="U15745" s="3"/>
      <c r="V15745" s="3"/>
      <c r="W15745" s="3"/>
      <c r="X15745" s="3"/>
      <c r="Y15745" s="3"/>
      <c r="Z15745" s="3"/>
      <c r="AA15745" s="3"/>
      <c r="AB15745" s="3"/>
      <c r="AC15745" s="3"/>
      <c r="AD15745" s="3"/>
      <c r="AE15745" s="3"/>
      <c r="AF15745" s="3"/>
      <c r="AG15745" s="3"/>
      <c r="AH15745" s="3"/>
    </row>
    <row r="15746" spans="1:34" ht="14.25" customHeight="1" x14ac:dyDescent="0.25">
      <c r="A15746" s="3"/>
      <c r="B15746" s="3"/>
      <c r="C15746" s="3"/>
      <c r="D15746" s="3"/>
      <c r="E15746" s="3"/>
      <c r="F15746" s="3"/>
      <c r="G15746" s="3"/>
      <c r="H15746" s="11"/>
      <c r="I15746" s="12"/>
      <c r="J15746" s="3"/>
      <c r="K15746" s="3"/>
      <c r="L15746" s="3"/>
      <c r="M15746" s="3"/>
      <c r="N15746" s="3"/>
      <c r="O15746" s="3"/>
      <c r="P15746" s="3"/>
      <c r="Q15746" s="3"/>
      <c r="R15746" s="3"/>
      <c r="S15746" s="3"/>
      <c r="T15746" s="3"/>
      <c r="U15746" s="3"/>
      <c r="V15746" s="3"/>
      <c r="W15746" s="3"/>
      <c r="X15746" s="3"/>
      <c r="Y15746" s="3"/>
      <c r="Z15746" s="3"/>
      <c r="AA15746" s="3"/>
      <c r="AB15746" s="3"/>
      <c r="AC15746" s="3"/>
      <c r="AD15746" s="3"/>
      <c r="AE15746" s="3"/>
      <c r="AF15746" s="3"/>
      <c r="AG15746" s="3"/>
      <c r="AH15746" s="3"/>
    </row>
    <row r="15747" spans="1:34" ht="14.25" customHeight="1" x14ac:dyDescent="0.25">
      <c r="A15747" s="3"/>
      <c r="B15747" s="3"/>
      <c r="C15747" s="3"/>
      <c r="D15747" s="3"/>
      <c r="E15747" s="3"/>
      <c r="F15747" s="3"/>
      <c r="G15747" s="3"/>
      <c r="H15747" s="11"/>
      <c r="I15747" s="12"/>
      <c r="J15747" s="3"/>
      <c r="K15747" s="3"/>
      <c r="L15747" s="3"/>
      <c r="M15747" s="3"/>
      <c r="N15747" s="3"/>
      <c r="O15747" s="3"/>
      <c r="P15747" s="3"/>
      <c r="Q15747" s="3"/>
      <c r="R15747" s="3"/>
      <c r="S15747" s="3"/>
      <c r="T15747" s="3"/>
      <c r="U15747" s="3"/>
      <c r="V15747" s="3"/>
      <c r="W15747" s="3"/>
      <c r="X15747" s="3"/>
      <c r="Y15747" s="3"/>
      <c r="Z15747" s="3"/>
      <c r="AA15747" s="3"/>
      <c r="AB15747" s="3"/>
      <c r="AC15747" s="3"/>
      <c r="AD15747" s="3"/>
      <c r="AE15747" s="3"/>
      <c r="AF15747" s="3"/>
      <c r="AG15747" s="3"/>
      <c r="AH15747" s="3"/>
    </row>
    <row r="15748" spans="1:34" ht="14.25" customHeight="1" x14ac:dyDescent="0.25">
      <c r="A15748" s="3"/>
      <c r="B15748" s="3"/>
      <c r="C15748" s="3"/>
      <c r="D15748" s="3"/>
      <c r="E15748" s="3"/>
      <c r="F15748" s="3"/>
      <c r="G15748" s="3"/>
      <c r="H15748" s="11"/>
      <c r="I15748" s="12"/>
      <c r="J15748" s="3"/>
      <c r="K15748" s="3"/>
      <c r="L15748" s="3"/>
      <c r="M15748" s="3"/>
      <c r="N15748" s="3"/>
      <c r="O15748" s="3"/>
      <c r="P15748" s="3"/>
      <c r="Q15748" s="3"/>
      <c r="R15748" s="3"/>
      <c r="S15748" s="3"/>
      <c r="T15748" s="3"/>
      <c r="U15748" s="3"/>
      <c r="V15748" s="3"/>
      <c r="W15748" s="3"/>
      <c r="X15748" s="3"/>
      <c r="Y15748" s="3"/>
      <c r="Z15748" s="3"/>
      <c r="AA15748" s="3"/>
      <c r="AB15748" s="3"/>
      <c r="AC15748" s="3"/>
      <c r="AD15748" s="3"/>
      <c r="AE15748" s="3"/>
      <c r="AF15748" s="3"/>
      <c r="AG15748" s="3"/>
      <c r="AH15748" s="3"/>
    </row>
    <row r="15749" spans="1:34" ht="14.25" customHeight="1" x14ac:dyDescent="0.25">
      <c r="A15749" s="3"/>
      <c r="B15749" s="3"/>
      <c r="C15749" s="3"/>
      <c r="D15749" s="3"/>
      <c r="E15749" s="3"/>
      <c r="F15749" s="3"/>
      <c r="G15749" s="3"/>
      <c r="H15749" s="11"/>
      <c r="I15749" s="12"/>
      <c r="J15749" s="3"/>
      <c r="K15749" s="3"/>
      <c r="L15749" s="3"/>
      <c r="M15749" s="3"/>
      <c r="N15749" s="3"/>
      <c r="O15749" s="3"/>
      <c r="P15749" s="3"/>
      <c r="Q15749" s="3"/>
      <c r="R15749" s="3"/>
      <c r="S15749" s="3"/>
      <c r="T15749" s="3"/>
      <c r="U15749" s="3"/>
      <c r="V15749" s="3"/>
      <c r="W15749" s="3"/>
      <c r="X15749" s="3"/>
      <c r="Y15749" s="3"/>
      <c r="Z15749" s="3"/>
      <c r="AA15749" s="3"/>
      <c r="AB15749" s="3"/>
      <c r="AC15749" s="3"/>
      <c r="AD15749" s="3"/>
      <c r="AE15749" s="3"/>
      <c r="AF15749" s="3"/>
      <c r="AG15749" s="3"/>
      <c r="AH15749" s="3"/>
    </row>
    <row r="15750" spans="1:34" ht="14.25" customHeight="1" x14ac:dyDescent="0.25">
      <c r="A15750" s="3"/>
      <c r="B15750" s="3"/>
      <c r="C15750" s="3"/>
      <c r="D15750" s="3"/>
      <c r="E15750" s="3"/>
      <c r="F15750" s="3"/>
      <c r="G15750" s="3"/>
      <c r="H15750" s="11"/>
      <c r="I15750" s="12"/>
      <c r="J15750" s="3"/>
      <c r="K15750" s="3"/>
      <c r="L15750" s="3"/>
      <c r="M15750" s="3"/>
      <c r="N15750" s="3"/>
      <c r="O15750" s="3"/>
      <c r="P15750" s="3"/>
      <c r="Q15750" s="3"/>
      <c r="R15750" s="3"/>
      <c r="S15750" s="3"/>
      <c r="T15750" s="3"/>
      <c r="U15750" s="3"/>
      <c r="V15750" s="3"/>
      <c r="W15750" s="3"/>
      <c r="X15750" s="3"/>
      <c r="Y15750" s="3"/>
      <c r="Z15750" s="3"/>
      <c r="AA15750" s="3"/>
      <c r="AB15750" s="3"/>
      <c r="AC15750" s="3"/>
      <c r="AD15750" s="3"/>
      <c r="AE15750" s="3"/>
      <c r="AF15750" s="3"/>
      <c r="AG15750" s="3"/>
      <c r="AH15750" s="3"/>
    </row>
    <row r="15751" spans="1:34" ht="14.25" customHeight="1" x14ac:dyDescent="0.25">
      <c r="A15751" s="3"/>
      <c r="B15751" s="3"/>
      <c r="C15751" s="3"/>
      <c r="D15751" s="3"/>
      <c r="E15751" s="3"/>
      <c r="F15751" s="3"/>
      <c r="G15751" s="3"/>
      <c r="H15751" s="11"/>
      <c r="I15751" s="12"/>
      <c r="J15751" s="3"/>
      <c r="K15751" s="3"/>
      <c r="L15751" s="3"/>
      <c r="M15751" s="3"/>
      <c r="N15751" s="3"/>
      <c r="O15751" s="3"/>
      <c r="P15751" s="3"/>
      <c r="Q15751" s="3"/>
      <c r="R15751" s="3"/>
      <c r="S15751" s="3"/>
      <c r="T15751" s="3"/>
      <c r="U15751" s="3"/>
      <c r="V15751" s="3"/>
      <c r="W15751" s="3"/>
      <c r="X15751" s="3"/>
      <c r="Y15751" s="3"/>
      <c r="Z15751" s="3"/>
      <c r="AA15751" s="3"/>
      <c r="AB15751" s="3"/>
      <c r="AC15751" s="3"/>
      <c r="AD15751" s="3"/>
      <c r="AE15751" s="3"/>
      <c r="AF15751" s="3"/>
      <c r="AG15751" s="3"/>
      <c r="AH15751" s="3"/>
    </row>
    <row r="15752" spans="1:34" ht="14.25" customHeight="1" x14ac:dyDescent="0.25">
      <c r="A15752" s="3"/>
      <c r="B15752" s="3"/>
      <c r="C15752" s="3"/>
      <c r="D15752" s="3"/>
      <c r="E15752" s="3"/>
      <c r="F15752" s="3"/>
      <c r="G15752" s="3"/>
      <c r="H15752" s="11"/>
      <c r="I15752" s="12"/>
      <c r="J15752" s="3"/>
      <c r="K15752" s="3"/>
      <c r="L15752" s="3"/>
      <c r="M15752" s="3"/>
      <c r="N15752" s="3"/>
      <c r="O15752" s="3"/>
      <c r="P15752" s="3"/>
      <c r="Q15752" s="3"/>
      <c r="R15752" s="3"/>
      <c r="S15752" s="3"/>
      <c r="T15752" s="3"/>
      <c r="U15752" s="3"/>
      <c r="V15752" s="3"/>
      <c r="W15752" s="3"/>
      <c r="X15752" s="3"/>
      <c r="Y15752" s="3"/>
      <c r="Z15752" s="3"/>
      <c r="AA15752" s="3"/>
      <c r="AB15752" s="3"/>
      <c r="AC15752" s="3"/>
      <c r="AD15752" s="3"/>
      <c r="AE15752" s="3"/>
      <c r="AF15752" s="3"/>
      <c r="AG15752" s="3"/>
      <c r="AH15752" s="3"/>
    </row>
    <row r="15753" spans="1:34" ht="14.25" customHeight="1" x14ac:dyDescent="0.25">
      <c r="A15753" s="3"/>
      <c r="B15753" s="3"/>
      <c r="C15753" s="3"/>
      <c r="D15753" s="3"/>
      <c r="E15753" s="3"/>
      <c r="F15753" s="3"/>
      <c r="G15753" s="3"/>
      <c r="H15753" s="11"/>
      <c r="I15753" s="12"/>
      <c r="J15753" s="3"/>
      <c r="K15753" s="3"/>
      <c r="L15753" s="3"/>
      <c r="M15753" s="3"/>
      <c r="N15753" s="3"/>
      <c r="O15753" s="3"/>
      <c r="P15753" s="3"/>
      <c r="Q15753" s="3"/>
      <c r="R15753" s="3"/>
      <c r="S15753" s="3"/>
      <c r="T15753" s="3"/>
      <c r="U15753" s="3"/>
      <c r="V15753" s="3"/>
      <c r="W15753" s="3"/>
      <c r="X15753" s="3"/>
      <c r="Y15753" s="3"/>
      <c r="Z15753" s="3"/>
      <c r="AA15753" s="3"/>
      <c r="AB15753" s="3"/>
      <c r="AC15753" s="3"/>
      <c r="AD15753" s="3"/>
      <c r="AE15753" s="3"/>
      <c r="AF15753" s="3"/>
      <c r="AG15753" s="3"/>
      <c r="AH15753" s="3"/>
    </row>
    <row r="15754" spans="1:34" ht="14.25" customHeight="1" x14ac:dyDescent="0.25">
      <c r="A15754" s="3"/>
      <c r="B15754" s="3"/>
      <c r="C15754" s="3"/>
      <c r="D15754" s="3"/>
      <c r="E15754" s="3"/>
      <c r="F15754" s="3"/>
      <c r="G15754" s="3"/>
      <c r="H15754" s="11"/>
      <c r="I15754" s="12"/>
      <c r="J15754" s="3"/>
      <c r="K15754" s="3"/>
      <c r="L15754" s="3"/>
      <c r="M15754" s="3"/>
      <c r="N15754" s="3"/>
      <c r="O15754" s="3"/>
      <c r="P15754" s="3"/>
      <c r="Q15754" s="3"/>
      <c r="R15754" s="3"/>
      <c r="S15754" s="3"/>
      <c r="T15754" s="3"/>
      <c r="U15754" s="3"/>
      <c r="V15754" s="3"/>
      <c r="W15754" s="3"/>
      <c r="X15754" s="3"/>
      <c r="Y15754" s="3"/>
      <c r="Z15754" s="3"/>
      <c r="AA15754" s="3"/>
      <c r="AB15754" s="3"/>
      <c r="AC15754" s="3"/>
      <c r="AD15754" s="3"/>
      <c r="AE15754" s="3"/>
      <c r="AF15754" s="3"/>
      <c r="AG15754" s="3"/>
      <c r="AH15754" s="3"/>
    </row>
    <row r="15755" spans="1:34" ht="14.25" customHeight="1" x14ac:dyDescent="0.25">
      <c r="A15755" s="3"/>
      <c r="B15755" s="3"/>
      <c r="C15755" s="3"/>
      <c r="D15755" s="3"/>
      <c r="E15755" s="3"/>
      <c r="F15755" s="3"/>
      <c r="G15755" s="3"/>
      <c r="H15755" s="11"/>
      <c r="I15755" s="12"/>
      <c r="J15755" s="3"/>
      <c r="K15755" s="3"/>
      <c r="L15755" s="3"/>
      <c r="M15755" s="3"/>
      <c r="N15755" s="3"/>
      <c r="O15755" s="3"/>
      <c r="P15755" s="3"/>
      <c r="Q15755" s="3"/>
      <c r="R15755" s="3"/>
      <c r="S15755" s="3"/>
      <c r="T15755" s="3"/>
      <c r="U15755" s="3"/>
      <c r="V15755" s="3"/>
      <c r="W15755" s="3"/>
      <c r="X15755" s="3"/>
      <c r="Y15755" s="3"/>
      <c r="Z15755" s="3"/>
      <c r="AA15755" s="3"/>
      <c r="AB15755" s="3"/>
      <c r="AC15755" s="3"/>
      <c r="AD15755" s="3"/>
      <c r="AE15755" s="3"/>
      <c r="AF15755" s="3"/>
      <c r="AG15755" s="3"/>
      <c r="AH15755" s="3"/>
    </row>
    <row r="15756" spans="1:34" ht="14.25" customHeight="1" x14ac:dyDescent="0.25">
      <c r="A15756" s="3"/>
      <c r="B15756" s="3"/>
      <c r="C15756" s="3"/>
      <c r="D15756" s="3"/>
      <c r="E15756" s="3"/>
      <c r="F15756" s="3"/>
      <c r="G15756" s="3"/>
      <c r="H15756" s="11"/>
      <c r="I15756" s="12"/>
      <c r="J15756" s="3"/>
      <c r="K15756" s="3"/>
      <c r="L15756" s="3"/>
      <c r="M15756" s="3"/>
      <c r="N15756" s="3"/>
      <c r="O15756" s="3"/>
      <c r="P15756" s="3"/>
      <c r="Q15756" s="3"/>
      <c r="R15756" s="3"/>
      <c r="S15756" s="3"/>
      <c r="T15756" s="3"/>
      <c r="U15756" s="3"/>
      <c r="V15756" s="3"/>
      <c r="W15756" s="3"/>
      <c r="X15756" s="3"/>
      <c r="Y15756" s="3"/>
      <c r="Z15756" s="3"/>
      <c r="AA15756" s="3"/>
      <c r="AB15756" s="3"/>
      <c r="AC15756" s="3"/>
      <c r="AD15756" s="3"/>
      <c r="AE15756" s="3"/>
      <c r="AF15756" s="3"/>
      <c r="AG15756" s="3"/>
      <c r="AH15756" s="3"/>
    </row>
    <row r="15757" spans="1:34" ht="14.25" customHeight="1" x14ac:dyDescent="0.25">
      <c r="A15757" s="3"/>
      <c r="B15757" s="3"/>
      <c r="C15757" s="3"/>
      <c r="D15757" s="3"/>
      <c r="E15757" s="3"/>
      <c r="F15757" s="3"/>
      <c r="G15757" s="3"/>
      <c r="H15757" s="11"/>
      <c r="I15757" s="12"/>
      <c r="J15757" s="3"/>
      <c r="K15757" s="3"/>
      <c r="L15757" s="3"/>
      <c r="M15757" s="3"/>
      <c r="N15757" s="3"/>
      <c r="O15757" s="3"/>
      <c r="P15757" s="3"/>
      <c r="Q15757" s="3"/>
      <c r="R15757" s="3"/>
      <c r="S15757" s="3"/>
      <c r="T15757" s="3"/>
      <c r="U15757" s="3"/>
      <c r="V15757" s="3"/>
      <c r="W15757" s="3"/>
      <c r="X15757" s="3"/>
      <c r="Y15757" s="3"/>
      <c r="Z15757" s="3"/>
      <c r="AA15757" s="3"/>
      <c r="AB15757" s="3"/>
      <c r="AC15757" s="3"/>
      <c r="AD15757" s="3"/>
      <c r="AE15757" s="3"/>
      <c r="AF15757" s="3"/>
      <c r="AG15757" s="3"/>
      <c r="AH15757" s="3"/>
    </row>
    <row r="15758" spans="1:34" ht="14.25" customHeight="1" x14ac:dyDescent="0.25">
      <c r="A15758" s="3"/>
      <c r="B15758" s="3"/>
      <c r="C15758" s="3"/>
      <c r="D15758" s="3"/>
      <c r="E15758" s="3"/>
      <c r="F15758" s="3"/>
      <c r="G15758" s="3"/>
      <c r="H15758" s="11"/>
      <c r="I15758" s="12"/>
      <c r="J15758" s="3"/>
      <c r="K15758" s="3"/>
      <c r="L15758" s="3"/>
      <c r="M15758" s="3"/>
      <c r="N15758" s="3"/>
      <c r="O15758" s="3"/>
      <c r="P15758" s="3"/>
      <c r="Q15758" s="3"/>
      <c r="R15758" s="3"/>
      <c r="S15758" s="3"/>
      <c r="T15758" s="3"/>
      <c r="U15758" s="3"/>
      <c r="V15758" s="3"/>
      <c r="W15758" s="3"/>
      <c r="X15758" s="3"/>
      <c r="Y15758" s="3"/>
      <c r="Z15758" s="3"/>
      <c r="AA15758" s="3"/>
      <c r="AB15758" s="3"/>
      <c r="AC15758" s="3"/>
      <c r="AD15758" s="3"/>
      <c r="AE15758" s="3"/>
      <c r="AF15758" s="3"/>
      <c r="AG15758" s="3"/>
      <c r="AH15758" s="3"/>
    </row>
    <row r="15759" spans="1:34" ht="14.25" customHeight="1" x14ac:dyDescent="0.25">
      <c r="A15759" s="3"/>
      <c r="B15759" s="3"/>
      <c r="C15759" s="3"/>
      <c r="D15759" s="3"/>
      <c r="E15759" s="3"/>
      <c r="F15759" s="3"/>
      <c r="G15759" s="3"/>
      <c r="H15759" s="11"/>
      <c r="I15759" s="12"/>
      <c r="J15759" s="3"/>
      <c r="K15759" s="3"/>
      <c r="L15759" s="3"/>
      <c r="M15759" s="3"/>
      <c r="N15759" s="3"/>
      <c r="O15759" s="3"/>
      <c r="P15759" s="3"/>
      <c r="Q15759" s="3"/>
      <c r="R15759" s="3"/>
      <c r="S15759" s="3"/>
      <c r="T15759" s="3"/>
      <c r="U15759" s="3"/>
      <c r="V15759" s="3"/>
      <c r="W15759" s="3"/>
      <c r="X15759" s="3"/>
      <c r="Y15759" s="3"/>
      <c r="Z15759" s="3"/>
      <c r="AA15759" s="3"/>
      <c r="AB15759" s="3"/>
      <c r="AC15759" s="3"/>
      <c r="AD15759" s="3"/>
      <c r="AE15759" s="3"/>
      <c r="AF15759" s="3"/>
      <c r="AG15759" s="3"/>
      <c r="AH15759" s="3"/>
    </row>
    <row r="15760" spans="1:34" ht="14.25" customHeight="1" x14ac:dyDescent="0.25">
      <c r="A15760" s="3"/>
      <c r="B15760" s="3"/>
      <c r="C15760" s="3"/>
      <c r="D15760" s="3"/>
      <c r="E15760" s="3"/>
      <c r="F15760" s="3"/>
      <c r="G15760" s="3"/>
      <c r="H15760" s="11"/>
      <c r="I15760" s="12"/>
      <c r="J15760" s="3"/>
      <c r="K15760" s="3"/>
      <c r="L15760" s="3"/>
      <c r="M15760" s="3"/>
      <c r="N15760" s="3"/>
      <c r="O15760" s="3"/>
      <c r="P15760" s="3"/>
      <c r="Q15760" s="3"/>
      <c r="R15760" s="3"/>
      <c r="S15760" s="3"/>
      <c r="T15760" s="3"/>
      <c r="U15760" s="3"/>
      <c r="V15760" s="3"/>
      <c r="W15760" s="3"/>
      <c r="X15760" s="3"/>
      <c r="Y15760" s="3"/>
      <c r="Z15760" s="3"/>
      <c r="AA15760" s="3"/>
      <c r="AB15760" s="3"/>
      <c r="AC15760" s="3"/>
      <c r="AD15760" s="3"/>
      <c r="AE15760" s="3"/>
      <c r="AF15760" s="3"/>
      <c r="AG15760" s="3"/>
      <c r="AH15760" s="3"/>
    </row>
    <row r="15761" spans="1:34" ht="14.25" customHeight="1" x14ac:dyDescent="0.25">
      <c r="A15761" s="3"/>
      <c r="B15761" s="3"/>
      <c r="C15761" s="3"/>
      <c r="D15761" s="3"/>
      <c r="E15761" s="3"/>
      <c r="F15761" s="3"/>
      <c r="G15761" s="3"/>
      <c r="H15761" s="11"/>
      <c r="I15761" s="12"/>
      <c r="J15761" s="3"/>
      <c r="K15761" s="3"/>
      <c r="L15761" s="3"/>
      <c r="M15761" s="3"/>
      <c r="N15761" s="3"/>
      <c r="O15761" s="3"/>
      <c r="P15761" s="3"/>
      <c r="Q15761" s="3"/>
      <c r="R15761" s="3"/>
      <c r="S15761" s="3"/>
      <c r="T15761" s="3"/>
      <c r="U15761" s="3"/>
      <c r="V15761" s="3"/>
      <c r="W15761" s="3"/>
      <c r="X15761" s="3"/>
      <c r="Y15761" s="3"/>
      <c r="Z15761" s="3"/>
      <c r="AA15761" s="3"/>
      <c r="AB15761" s="3"/>
      <c r="AC15761" s="3"/>
      <c r="AD15761" s="3"/>
      <c r="AE15761" s="3"/>
      <c r="AF15761" s="3"/>
      <c r="AG15761" s="3"/>
      <c r="AH15761" s="3"/>
    </row>
    <row r="15762" spans="1:34" ht="14.25" customHeight="1" x14ac:dyDescent="0.25">
      <c r="A15762" s="3"/>
      <c r="B15762" s="3"/>
      <c r="C15762" s="3"/>
      <c r="D15762" s="3"/>
      <c r="E15762" s="3"/>
      <c r="F15762" s="3"/>
      <c r="G15762" s="3"/>
      <c r="H15762" s="11"/>
      <c r="I15762" s="12"/>
      <c r="J15762" s="3"/>
      <c r="K15762" s="3"/>
      <c r="L15762" s="3"/>
      <c r="M15762" s="3"/>
      <c r="N15762" s="3"/>
      <c r="O15762" s="3"/>
      <c r="P15762" s="3"/>
      <c r="Q15762" s="3"/>
      <c r="R15762" s="3"/>
      <c r="S15762" s="3"/>
      <c r="T15762" s="3"/>
      <c r="U15762" s="3"/>
      <c r="V15762" s="3"/>
      <c r="W15762" s="3"/>
      <c r="X15762" s="3"/>
      <c r="Y15762" s="3"/>
      <c r="Z15762" s="3"/>
      <c r="AA15762" s="3"/>
      <c r="AB15762" s="3"/>
      <c r="AC15762" s="3"/>
      <c r="AD15762" s="3"/>
      <c r="AE15762" s="3"/>
      <c r="AF15762" s="3"/>
      <c r="AG15762" s="3"/>
      <c r="AH15762" s="3"/>
    </row>
    <row r="15763" spans="1:34" ht="14.25" customHeight="1" x14ac:dyDescent="0.25">
      <c r="A15763" s="3"/>
      <c r="B15763" s="3"/>
      <c r="C15763" s="3"/>
      <c r="D15763" s="3"/>
      <c r="E15763" s="3"/>
      <c r="F15763" s="3"/>
      <c r="G15763" s="3"/>
      <c r="H15763" s="11"/>
      <c r="I15763" s="12"/>
      <c r="J15763" s="3"/>
      <c r="K15763" s="3"/>
      <c r="L15763" s="3"/>
      <c r="M15763" s="3"/>
      <c r="N15763" s="3"/>
      <c r="O15763" s="3"/>
      <c r="P15763" s="3"/>
      <c r="Q15763" s="3"/>
      <c r="R15763" s="3"/>
      <c r="S15763" s="3"/>
      <c r="T15763" s="3"/>
      <c r="U15763" s="3"/>
      <c r="V15763" s="3"/>
      <c r="W15763" s="3"/>
      <c r="X15763" s="3"/>
      <c r="Y15763" s="3"/>
      <c r="Z15763" s="3"/>
      <c r="AA15763" s="3"/>
      <c r="AB15763" s="3"/>
      <c r="AC15763" s="3"/>
      <c r="AD15763" s="3"/>
      <c r="AE15763" s="3"/>
      <c r="AF15763" s="3"/>
      <c r="AG15763" s="3"/>
      <c r="AH15763" s="3"/>
    </row>
    <row r="15764" spans="1:34" ht="14.25" customHeight="1" x14ac:dyDescent="0.25">
      <c r="A15764" s="3"/>
      <c r="B15764" s="3"/>
      <c r="C15764" s="3"/>
      <c r="D15764" s="3"/>
      <c r="E15764" s="3"/>
      <c r="F15764" s="3"/>
      <c r="G15764" s="3"/>
      <c r="H15764" s="11"/>
      <c r="I15764" s="12"/>
      <c r="J15764" s="3"/>
      <c r="K15764" s="3"/>
      <c r="L15764" s="3"/>
      <c r="M15764" s="3"/>
      <c r="N15764" s="3"/>
      <c r="O15764" s="3"/>
      <c r="P15764" s="3"/>
      <c r="Q15764" s="3"/>
      <c r="R15764" s="3"/>
      <c r="S15764" s="3"/>
      <c r="T15764" s="3"/>
      <c r="U15764" s="3"/>
      <c r="V15764" s="3"/>
      <c r="W15764" s="3"/>
      <c r="X15764" s="3"/>
      <c r="Y15764" s="3"/>
      <c r="Z15764" s="3"/>
      <c r="AA15764" s="3"/>
      <c r="AB15764" s="3"/>
      <c r="AC15764" s="3"/>
      <c r="AD15764" s="3"/>
      <c r="AE15764" s="3"/>
      <c r="AF15764" s="3"/>
      <c r="AG15764" s="3"/>
      <c r="AH15764" s="3"/>
    </row>
    <row r="15765" spans="1:34" ht="14.25" customHeight="1" x14ac:dyDescent="0.25">
      <c r="A15765" s="3"/>
      <c r="B15765" s="3"/>
      <c r="C15765" s="3"/>
      <c r="D15765" s="3"/>
      <c r="E15765" s="3"/>
      <c r="F15765" s="3"/>
      <c r="G15765" s="3"/>
      <c r="H15765" s="11"/>
      <c r="I15765" s="12"/>
      <c r="J15765" s="3"/>
      <c r="K15765" s="3"/>
      <c r="L15765" s="3"/>
      <c r="M15765" s="3"/>
      <c r="N15765" s="3"/>
      <c r="O15765" s="3"/>
      <c r="P15765" s="3"/>
      <c r="Q15765" s="3"/>
      <c r="R15765" s="3"/>
      <c r="S15765" s="3"/>
      <c r="T15765" s="3"/>
      <c r="U15765" s="3"/>
      <c r="V15765" s="3"/>
      <c r="W15765" s="3"/>
      <c r="X15765" s="3"/>
      <c r="Y15765" s="3"/>
      <c r="Z15765" s="3"/>
      <c r="AA15765" s="3"/>
      <c r="AB15765" s="3"/>
      <c r="AC15765" s="3"/>
      <c r="AD15765" s="3"/>
      <c r="AE15765" s="3"/>
      <c r="AF15765" s="3"/>
      <c r="AG15765" s="3"/>
      <c r="AH15765" s="3"/>
    </row>
    <row r="15766" spans="1:34" ht="14.25" customHeight="1" x14ac:dyDescent="0.25">
      <c r="A15766" s="3"/>
      <c r="B15766" s="3"/>
      <c r="C15766" s="3"/>
      <c r="D15766" s="3"/>
      <c r="E15766" s="3"/>
      <c r="F15766" s="3"/>
      <c r="G15766" s="3"/>
      <c r="H15766" s="11"/>
      <c r="I15766" s="12"/>
      <c r="J15766" s="3"/>
      <c r="K15766" s="3"/>
      <c r="L15766" s="3"/>
      <c r="M15766" s="3"/>
      <c r="N15766" s="3"/>
      <c r="O15766" s="3"/>
      <c r="P15766" s="3"/>
      <c r="Q15766" s="3"/>
      <c r="R15766" s="3"/>
      <c r="S15766" s="3"/>
      <c r="T15766" s="3"/>
      <c r="U15766" s="3"/>
      <c r="V15766" s="3"/>
      <c r="W15766" s="3"/>
      <c r="X15766" s="3"/>
      <c r="Y15766" s="3"/>
      <c r="Z15766" s="3"/>
      <c r="AA15766" s="3"/>
      <c r="AB15766" s="3"/>
      <c r="AC15766" s="3"/>
      <c r="AD15766" s="3"/>
      <c r="AE15766" s="3"/>
      <c r="AF15766" s="3"/>
      <c r="AG15766" s="3"/>
      <c r="AH15766" s="3"/>
    </row>
    <row r="15767" spans="1:34" ht="14.25" customHeight="1" x14ac:dyDescent="0.25">
      <c r="A15767" s="3"/>
      <c r="B15767" s="3"/>
      <c r="C15767" s="3"/>
      <c r="D15767" s="3"/>
      <c r="E15767" s="3"/>
      <c r="F15767" s="3"/>
      <c r="G15767" s="3"/>
      <c r="H15767" s="11"/>
      <c r="I15767" s="12"/>
      <c r="J15767" s="3"/>
      <c r="K15767" s="3"/>
      <c r="L15767" s="3"/>
      <c r="M15767" s="3"/>
      <c r="N15767" s="3"/>
      <c r="O15767" s="3"/>
      <c r="P15767" s="3"/>
      <c r="Q15767" s="3"/>
      <c r="R15767" s="3"/>
      <c r="S15767" s="3"/>
      <c r="T15767" s="3"/>
      <c r="U15767" s="3"/>
      <c r="V15767" s="3"/>
      <c r="W15767" s="3"/>
      <c r="X15767" s="3"/>
      <c r="Y15767" s="3"/>
      <c r="Z15767" s="3"/>
      <c r="AA15767" s="3"/>
      <c r="AB15767" s="3"/>
      <c r="AC15767" s="3"/>
      <c r="AD15767" s="3"/>
      <c r="AE15767" s="3"/>
      <c r="AF15767" s="3"/>
      <c r="AG15767" s="3"/>
      <c r="AH15767" s="3"/>
    </row>
    <row r="15768" spans="1:34" ht="14.25" customHeight="1" x14ac:dyDescent="0.25">
      <c r="A15768" s="3"/>
      <c r="B15768" s="3"/>
      <c r="C15768" s="3"/>
      <c r="D15768" s="3"/>
      <c r="E15768" s="3"/>
      <c r="F15768" s="3"/>
      <c r="G15768" s="3"/>
      <c r="H15768" s="11"/>
      <c r="I15768" s="12"/>
      <c r="J15768" s="3"/>
      <c r="K15768" s="3"/>
      <c r="L15768" s="3"/>
      <c r="M15768" s="3"/>
      <c r="N15768" s="3"/>
      <c r="O15768" s="3"/>
      <c r="P15768" s="3"/>
      <c r="Q15768" s="3"/>
      <c r="R15768" s="3"/>
      <c r="S15768" s="3"/>
      <c r="T15768" s="3"/>
      <c r="U15768" s="3"/>
      <c r="V15768" s="3"/>
      <c r="W15768" s="3"/>
      <c r="X15768" s="3"/>
      <c r="Y15768" s="3"/>
      <c r="Z15768" s="3"/>
      <c r="AA15768" s="3"/>
      <c r="AB15768" s="3"/>
      <c r="AC15768" s="3"/>
      <c r="AD15768" s="3"/>
      <c r="AE15768" s="3"/>
      <c r="AF15768" s="3"/>
      <c r="AG15768" s="3"/>
      <c r="AH15768" s="3"/>
    </row>
    <row r="15769" spans="1:34" ht="14.25" customHeight="1" x14ac:dyDescent="0.25">
      <c r="A15769" s="3"/>
      <c r="B15769" s="3"/>
      <c r="C15769" s="3"/>
      <c r="D15769" s="3"/>
      <c r="E15769" s="3"/>
      <c r="F15769" s="3"/>
      <c r="G15769" s="3"/>
      <c r="H15769" s="11"/>
      <c r="I15769" s="12"/>
      <c r="J15769" s="3"/>
      <c r="K15769" s="3"/>
      <c r="L15769" s="3"/>
      <c r="M15769" s="3"/>
      <c r="N15769" s="3"/>
      <c r="O15769" s="3"/>
      <c r="P15769" s="3"/>
      <c r="Q15769" s="3"/>
      <c r="R15769" s="3"/>
      <c r="S15769" s="3"/>
      <c r="T15769" s="3"/>
      <c r="U15769" s="3"/>
      <c r="V15769" s="3"/>
      <c r="W15769" s="3"/>
      <c r="X15769" s="3"/>
      <c r="Y15769" s="3"/>
      <c r="Z15769" s="3"/>
      <c r="AA15769" s="3"/>
      <c r="AB15769" s="3"/>
      <c r="AC15769" s="3"/>
      <c r="AD15769" s="3"/>
      <c r="AE15769" s="3"/>
      <c r="AF15769" s="3"/>
      <c r="AG15769" s="3"/>
      <c r="AH15769" s="3"/>
    </row>
    <row r="15770" spans="1:34" ht="14.25" customHeight="1" x14ac:dyDescent="0.25">
      <c r="A15770" s="3"/>
      <c r="B15770" s="3"/>
      <c r="C15770" s="3"/>
      <c r="D15770" s="3"/>
      <c r="E15770" s="3"/>
      <c r="F15770" s="3"/>
      <c r="G15770" s="3"/>
      <c r="H15770" s="11"/>
      <c r="I15770" s="12"/>
      <c r="J15770" s="3"/>
      <c r="K15770" s="3"/>
      <c r="L15770" s="3"/>
      <c r="M15770" s="3"/>
      <c r="N15770" s="3"/>
      <c r="O15770" s="3"/>
      <c r="P15770" s="3"/>
      <c r="Q15770" s="3"/>
      <c r="R15770" s="3"/>
      <c r="S15770" s="3"/>
      <c r="T15770" s="3"/>
      <c r="U15770" s="3"/>
      <c r="V15770" s="3"/>
      <c r="W15770" s="3"/>
      <c r="X15770" s="3"/>
      <c r="Y15770" s="3"/>
      <c r="Z15770" s="3"/>
      <c r="AA15770" s="3"/>
      <c r="AB15770" s="3"/>
      <c r="AC15770" s="3"/>
      <c r="AD15770" s="3"/>
      <c r="AE15770" s="3"/>
      <c r="AF15770" s="3"/>
      <c r="AG15770" s="3"/>
      <c r="AH15770" s="3"/>
    </row>
    <row r="15771" spans="1:34" ht="14.25" customHeight="1" x14ac:dyDescent="0.25">
      <c r="A15771" s="3"/>
      <c r="B15771" s="3"/>
      <c r="C15771" s="3"/>
      <c r="D15771" s="3"/>
      <c r="E15771" s="3"/>
      <c r="F15771" s="3"/>
      <c r="G15771" s="3"/>
      <c r="H15771" s="11"/>
      <c r="I15771" s="12"/>
      <c r="J15771" s="3"/>
      <c r="K15771" s="3"/>
      <c r="L15771" s="3"/>
      <c r="M15771" s="3"/>
      <c r="N15771" s="3"/>
      <c r="O15771" s="3"/>
      <c r="P15771" s="3"/>
      <c r="Q15771" s="3"/>
      <c r="R15771" s="3"/>
      <c r="S15771" s="3"/>
      <c r="T15771" s="3"/>
      <c r="U15771" s="3"/>
      <c r="V15771" s="3"/>
      <c r="W15771" s="3"/>
      <c r="X15771" s="3"/>
      <c r="Y15771" s="3"/>
      <c r="Z15771" s="3"/>
      <c r="AA15771" s="3"/>
      <c r="AB15771" s="3"/>
      <c r="AC15771" s="3"/>
      <c r="AD15771" s="3"/>
      <c r="AE15771" s="3"/>
      <c r="AF15771" s="3"/>
      <c r="AG15771" s="3"/>
      <c r="AH15771" s="3"/>
    </row>
    <row r="15772" spans="1:34" ht="14.25" customHeight="1" x14ac:dyDescent="0.25">
      <c r="A15772" s="3"/>
      <c r="B15772" s="3"/>
      <c r="C15772" s="3"/>
      <c r="D15772" s="3"/>
      <c r="E15772" s="3"/>
      <c r="F15772" s="3"/>
      <c r="G15772" s="3"/>
      <c r="H15772" s="11"/>
      <c r="I15772" s="12"/>
      <c r="J15772" s="3"/>
      <c r="K15772" s="3"/>
      <c r="L15772" s="3"/>
      <c r="M15772" s="3"/>
      <c r="N15772" s="3"/>
      <c r="O15772" s="3"/>
      <c r="P15772" s="3"/>
      <c r="Q15772" s="3"/>
      <c r="R15772" s="3"/>
      <c r="S15772" s="3"/>
      <c r="T15772" s="3"/>
      <c r="U15772" s="3"/>
      <c r="V15772" s="3"/>
      <c r="W15772" s="3"/>
      <c r="X15772" s="3"/>
      <c r="Y15772" s="3"/>
      <c r="Z15772" s="3"/>
      <c r="AA15772" s="3"/>
      <c r="AB15772" s="3"/>
      <c r="AC15772" s="3"/>
      <c r="AD15772" s="3"/>
      <c r="AE15772" s="3"/>
      <c r="AF15772" s="3"/>
      <c r="AG15772" s="3"/>
      <c r="AH15772" s="3"/>
    </row>
    <row r="15773" spans="1:34" ht="14.25" customHeight="1" x14ac:dyDescent="0.25">
      <c r="A15773" s="3"/>
      <c r="B15773" s="3"/>
      <c r="C15773" s="3"/>
      <c r="D15773" s="3"/>
      <c r="E15773" s="3"/>
      <c r="F15773" s="3"/>
      <c r="G15773" s="3"/>
      <c r="H15773" s="11"/>
      <c r="I15773" s="12"/>
      <c r="J15773" s="3"/>
      <c r="K15773" s="3"/>
      <c r="L15773" s="3"/>
      <c r="M15773" s="3"/>
      <c r="N15773" s="3"/>
      <c r="O15773" s="3"/>
      <c r="P15773" s="3"/>
      <c r="Q15773" s="3"/>
      <c r="R15773" s="3"/>
      <c r="S15773" s="3"/>
      <c r="T15773" s="3"/>
      <c r="U15773" s="3"/>
      <c r="V15773" s="3"/>
      <c r="W15773" s="3"/>
      <c r="X15773" s="3"/>
      <c r="Y15773" s="3"/>
      <c r="Z15773" s="3"/>
      <c r="AA15773" s="3"/>
      <c r="AB15773" s="3"/>
      <c r="AC15773" s="3"/>
      <c r="AD15773" s="3"/>
      <c r="AE15773" s="3"/>
      <c r="AF15773" s="3"/>
      <c r="AG15773" s="3"/>
      <c r="AH15773" s="3"/>
    </row>
    <row r="15774" spans="1:34" ht="14.25" customHeight="1" x14ac:dyDescent="0.25">
      <c r="A15774" s="3"/>
      <c r="B15774" s="3"/>
      <c r="C15774" s="3"/>
      <c r="D15774" s="3"/>
      <c r="E15774" s="3"/>
      <c r="F15774" s="3"/>
      <c r="G15774" s="3"/>
      <c r="H15774" s="11"/>
      <c r="I15774" s="12"/>
      <c r="J15774" s="3"/>
      <c r="K15774" s="3"/>
      <c r="L15774" s="3"/>
      <c r="M15774" s="3"/>
      <c r="N15774" s="3"/>
      <c r="O15774" s="3"/>
      <c r="P15774" s="3"/>
      <c r="Q15774" s="3"/>
      <c r="R15774" s="3"/>
      <c r="S15774" s="3"/>
      <c r="T15774" s="3"/>
      <c r="U15774" s="3"/>
      <c r="V15774" s="3"/>
      <c r="W15774" s="3"/>
      <c r="X15774" s="3"/>
      <c r="Y15774" s="3"/>
      <c r="Z15774" s="3"/>
      <c r="AA15774" s="3"/>
      <c r="AB15774" s="3"/>
      <c r="AC15774" s="3"/>
      <c r="AD15774" s="3"/>
      <c r="AE15774" s="3"/>
      <c r="AF15774" s="3"/>
      <c r="AG15774" s="3"/>
      <c r="AH15774" s="3"/>
    </row>
    <row r="15775" spans="1:34" ht="14.25" customHeight="1" x14ac:dyDescent="0.25">
      <c r="A15775" s="3"/>
      <c r="B15775" s="3"/>
      <c r="C15775" s="3"/>
      <c r="D15775" s="3"/>
      <c r="E15775" s="3"/>
      <c r="F15775" s="3"/>
      <c r="G15775" s="3"/>
      <c r="H15775" s="11"/>
      <c r="I15775" s="12"/>
      <c r="J15775" s="3"/>
      <c r="K15775" s="3"/>
      <c r="L15775" s="3"/>
      <c r="M15775" s="3"/>
      <c r="N15775" s="3"/>
      <c r="O15775" s="3"/>
      <c r="P15775" s="3"/>
      <c r="Q15775" s="3"/>
      <c r="R15775" s="3"/>
      <c r="S15775" s="3"/>
      <c r="T15775" s="3"/>
      <c r="U15775" s="3"/>
      <c r="V15775" s="3"/>
      <c r="W15775" s="3"/>
      <c r="X15775" s="3"/>
      <c r="Y15775" s="3"/>
      <c r="Z15775" s="3"/>
      <c r="AA15775" s="3"/>
      <c r="AB15775" s="3"/>
      <c r="AC15775" s="3"/>
      <c r="AD15775" s="3"/>
      <c r="AE15775" s="3"/>
      <c r="AF15775" s="3"/>
      <c r="AG15775" s="3"/>
      <c r="AH15775" s="3"/>
    </row>
    <row r="15776" spans="1:34" ht="14.25" customHeight="1" x14ac:dyDescent="0.25">
      <c r="A15776" s="3"/>
      <c r="B15776" s="3"/>
      <c r="C15776" s="3"/>
      <c r="D15776" s="3"/>
      <c r="E15776" s="3"/>
      <c r="F15776" s="3"/>
      <c r="G15776" s="3"/>
      <c r="H15776" s="11"/>
      <c r="I15776" s="12"/>
      <c r="J15776" s="3"/>
      <c r="K15776" s="3"/>
      <c r="L15776" s="3"/>
      <c r="M15776" s="3"/>
      <c r="N15776" s="3"/>
      <c r="O15776" s="3"/>
      <c r="P15776" s="3"/>
      <c r="Q15776" s="3"/>
      <c r="R15776" s="3"/>
      <c r="S15776" s="3"/>
      <c r="T15776" s="3"/>
      <c r="U15776" s="3"/>
      <c r="V15776" s="3"/>
      <c r="W15776" s="3"/>
      <c r="X15776" s="3"/>
      <c r="Y15776" s="3"/>
      <c r="Z15776" s="3"/>
      <c r="AA15776" s="3"/>
      <c r="AB15776" s="3"/>
      <c r="AC15776" s="3"/>
      <c r="AD15776" s="3"/>
      <c r="AE15776" s="3"/>
      <c r="AF15776" s="3"/>
      <c r="AG15776" s="3"/>
      <c r="AH15776" s="3"/>
    </row>
    <row r="15777" spans="1:34" ht="14.25" customHeight="1" x14ac:dyDescent="0.25">
      <c r="A15777" s="3"/>
      <c r="B15777" s="3"/>
      <c r="C15777" s="3"/>
      <c r="D15777" s="3"/>
      <c r="E15777" s="3"/>
      <c r="F15777" s="3"/>
      <c r="G15777" s="3"/>
      <c r="H15777" s="11"/>
      <c r="I15777" s="12"/>
      <c r="J15777" s="3"/>
      <c r="K15777" s="3"/>
      <c r="L15777" s="3"/>
      <c r="M15777" s="3"/>
      <c r="N15777" s="3"/>
      <c r="O15777" s="3"/>
      <c r="P15777" s="3"/>
      <c r="Q15777" s="3"/>
      <c r="R15777" s="3"/>
      <c r="S15777" s="3"/>
      <c r="T15777" s="3"/>
      <c r="U15777" s="3"/>
      <c r="V15777" s="3"/>
      <c r="W15777" s="3"/>
      <c r="X15777" s="3"/>
      <c r="Y15777" s="3"/>
      <c r="Z15777" s="3"/>
      <c r="AA15777" s="3"/>
      <c r="AB15777" s="3"/>
      <c r="AC15777" s="3"/>
      <c r="AD15777" s="3"/>
      <c r="AE15777" s="3"/>
      <c r="AF15777" s="3"/>
      <c r="AG15777" s="3"/>
      <c r="AH15777" s="3"/>
    </row>
    <row r="15778" spans="1:34" ht="14.25" customHeight="1" x14ac:dyDescent="0.25">
      <c r="A15778" s="3"/>
      <c r="B15778" s="3"/>
      <c r="C15778" s="3"/>
      <c r="D15778" s="3"/>
      <c r="E15778" s="3"/>
      <c r="F15778" s="3"/>
      <c r="G15778" s="3"/>
      <c r="H15778" s="11"/>
      <c r="I15778" s="12"/>
      <c r="J15778" s="3"/>
      <c r="K15778" s="3"/>
      <c r="L15778" s="3"/>
      <c r="M15778" s="3"/>
      <c r="N15778" s="3"/>
      <c r="O15778" s="3"/>
      <c r="P15778" s="3"/>
      <c r="Q15778" s="3"/>
      <c r="R15778" s="3"/>
      <c r="S15778" s="3"/>
      <c r="T15778" s="3"/>
      <c r="U15778" s="3"/>
      <c r="V15778" s="3"/>
      <c r="W15778" s="3"/>
      <c r="X15778" s="3"/>
      <c r="Y15778" s="3"/>
      <c r="Z15778" s="3"/>
      <c r="AA15778" s="3"/>
      <c r="AB15778" s="3"/>
      <c r="AC15778" s="3"/>
      <c r="AD15778" s="3"/>
      <c r="AE15778" s="3"/>
      <c r="AF15778" s="3"/>
      <c r="AG15778" s="3"/>
      <c r="AH15778" s="3"/>
    </row>
    <row r="15779" spans="1:34" ht="14.25" customHeight="1" x14ac:dyDescent="0.25">
      <c r="A15779" s="3"/>
      <c r="B15779" s="3"/>
      <c r="C15779" s="3"/>
      <c r="D15779" s="3"/>
      <c r="E15779" s="3"/>
      <c r="F15779" s="3"/>
      <c r="G15779" s="3"/>
      <c r="H15779" s="11"/>
      <c r="I15779" s="12"/>
      <c r="J15779" s="3"/>
      <c r="K15779" s="3"/>
      <c r="L15779" s="3"/>
      <c r="M15779" s="3"/>
      <c r="N15779" s="3"/>
      <c r="O15779" s="3"/>
      <c r="P15779" s="3"/>
      <c r="Q15779" s="3"/>
      <c r="R15779" s="3"/>
      <c r="S15779" s="3"/>
      <c r="T15779" s="3"/>
      <c r="U15779" s="3"/>
      <c r="V15779" s="3"/>
      <c r="W15779" s="3"/>
      <c r="X15779" s="3"/>
      <c r="Y15779" s="3"/>
      <c r="Z15779" s="3"/>
      <c r="AA15779" s="3"/>
      <c r="AB15779" s="3"/>
      <c r="AC15779" s="3"/>
      <c r="AD15779" s="3"/>
      <c r="AE15779" s="3"/>
      <c r="AF15779" s="3"/>
      <c r="AG15779" s="3"/>
      <c r="AH15779" s="3"/>
    </row>
    <row r="15780" spans="1:34" ht="14.25" customHeight="1" x14ac:dyDescent="0.25">
      <c r="A15780" s="3"/>
      <c r="B15780" s="3"/>
      <c r="C15780" s="3"/>
      <c r="D15780" s="3"/>
      <c r="E15780" s="3"/>
      <c r="F15780" s="3"/>
      <c r="G15780" s="3"/>
      <c r="H15780" s="11"/>
      <c r="I15780" s="12"/>
      <c r="J15780" s="3"/>
      <c r="K15780" s="3"/>
      <c r="L15780" s="3"/>
      <c r="M15780" s="3"/>
      <c r="N15780" s="3"/>
      <c r="O15780" s="3"/>
      <c r="P15780" s="3"/>
      <c r="Q15780" s="3"/>
      <c r="R15780" s="3"/>
      <c r="S15780" s="3"/>
      <c r="T15780" s="3"/>
      <c r="U15780" s="3"/>
      <c r="V15780" s="3"/>
      <c r="W15780" s="3"/>
      <c r="X15780" s="3"/>
      <c r="Y15780" s="3"/>
      <c r="Z15780" s="3"/>
      <c r="AA15780" s="3"/>
      <c r="AB15780" s="3"/>
      <c r="AC15780" s="3"/>
      <c r="AD15780" s="3"/>
      <c r="AE15780" s="3"/>
      <c r="AF15780" s="3"/>
      <c r="AG15780" s="3"/>
      <c r="AH15780" s="3"/>
    </row>
    <row r="15781" spans="1:34" ht="14.25" customHeight="1" x14ac:dyDescent="0.25">
      <c r="A15781" s="3"/>
      <c r="B15781" s="3"/>
      <c r="C15781" s="3"/>
      <c r="D15781" s="3"/>
      <c r="E15781" s="3"/>
      <c r="F15781" s="3"/>
      <c r="G15781" s="3"/>
      <c r="H15781" s="11"/>
      <c r="I15781" s="12"/>
      <c r="J15781" s="3"/>
      <c r="K15781" s="3"/>
      <c r="L15781" s="3"/>
      <c r="M15781" s="3"/>
      <c r="N15781" s="3"/>
      <c r="O15781" s="3"/>
      <c r="P15781" s="3"/>
      <c r="Q15781" s="3"/>
      <c r="R15781" s="3"/>
      <c r="S15781" s="3"/>
      <c r="T15781" s="3"/>
      <c r="U15781" s="3"/>
      <c r="V15781" s="3"/>
      <c r="W15781" s="3"/>
      <c r="X15781" s="3"/>
      <c r="Y15781" s="3"/>
      <c r="Z15781" s="3"/>
      <c r="AA15781" s="3"/>
      <c r="AB15781" s="3"/>
      <c r="AC15781" s="3"/>
      <c r="AD15781" s="3"/>
      <c r="AE15781" s="3"/>
      <c r="AF15781" s="3"/>
      <c r="AG15781" s="3"/>
      <c r="AH15781" s="3"/>
    </row>
    <row r="15782" spans="1:34" ht="14.25" customHeight="1" x14ac:dyDescent="0.25">
      <c r="A15782" s="3"/>
      <c r="B15782" s="3"/>
      <c r="C15782" s="3"/>
      <c r="D15782" s="3"/>
      <c r="E15782" s="3"/>
      <c r="F15782" s="3"/>
      <c r="G15782" s="3"/>
      <c r="H15782" s="11"/>
      <c r="I15782" s="12"/>
      <c r="J15782" s="3"/>
      <c r="K15782" s="3"/>
      <c r="L15782" s="3"/>
      <c r="M15782" s="3"/>
      <c r="N15782" s="3"/>
      <c r="O15782" s="3"/>
      <c r="P15782" s="3"/>
      <c r="Q15782" s="3"/>
      <c r="R15782" s="3"/>
      <c r="S15782" s="3"/>
      <c r="T15782" s="3"/>
      <c r="U15782" s="3"/>
      <c r="V15782" s="3"/>
      <c r="W15782" s="3"/>
      <c r="X15782" s="3"/>
      <c r="Y15782" s="3"/>
      <c r="Z15782" s="3"/>
      <c r="AA15782" s="3"/>
      <c r="AB15782" s="3"/>
      <c r="AC15782" s="3"/>
      <c r="AD15782" s="3"/>
      <c r="AE15782" s="3"/>
      <c r="AF15782" s="3"/>
      <c r="AG15782" s="3"/>
      <c r="AH15782" s="3"/>
    </row>
    <row r="15783" spans="1:34" ht="14.25" customHeight="1" x14ac:dyDescent="0.25">
      <c r="A15783" s="3"/>
      <c r="B15783" s="3"/>
      <c r="C15783" s="3"/>
      <c r="D15783" s="3"/>
      <c r="E15783" s="3"/>
      <c r="F15783" s="3"/>
      <c r="G15783" s="3"/>
      <c r="H15783" s="11"/>
      <c r="I15783" s="12"/>
      <c r="J15783" s="3"/>
      <c r="K15783" s="3"/>
      <c r="L15783" s="3"/>
      <c r="M15783" s="3"/>
      <c r="N15783" s="3"/>
      <c r="O15783" s="3"/>
      <c r="P15783" s="3"/>
      <c r="Q15783" s="3"/>
      <c r="R15783" s="3"/>
      <c r="S15783" s="3"/>
      <c r="T15783" s="3"/>
      <c r="U15783" s="3"/>
      <c r="V15783" s="3"/>
      <c r="W15783" s="3"/>
      <c r="X15783" s="3"/>
      <c r="Y15783" s="3"/>
      <c r="Z15783" s="3"/>
      <c r="AA15783" s="3"/>
      <c r="AB15783" s="3"/>
      <c r="AC15783" s="3"/>
      <c r="AD15783" s="3"/>
      <c r="AE15783" s="3"/>
      <c r="AF15783" s="3"/>
      <c r="AG15783" s="3"/>
      <c r="AH15783" s="3"/>
    </row>
    <row r="15784" spans="1:34" ht="14.25" customHeight="1" x14ac:dyDescent="0.25">
      <c r="A15784" s="3"/>
      <c r="B15784" s="3"/>
      <c r="C15784" s="3"/>
      <c r="D15784" s="3"/>
      <c r="E15784" s="3"/>
      <c r="F15784" s="3"/>
      <c r="G15784" s="3"/>
      <c r="H15784" s="11"/>
      <c r="I15784" s="12"/>
      <c r="J15784" s="3"/>
      <c r="K15784" s="3"/>
      <c r="L15784" s="3"/>
      <c r="M15784" s="3"/>
      <c r="N15784" s="3"/>
      <c r="O15784" s="3"/>
      <c r="P15784" s="3"/>
      <c r="Q15784" s="3"/>
      <c r="R15784" s="3"/>
      <c r="S15784" s="3"/>
      <c r="T15784" s="3"/>
      <c r="U15784" s="3"/>
      <c r="V15784" s="3"/>
      <c r="W15784" s="3"/>
      <c r="X15784" s="3"/>
      <c r="Y15784" s="3"/>
      <c r="Z15784" s="3"/>
      <c r="AA15784" s="3"/>
      <c r="AB15784" s="3"/>
      <c r="AC15784" s="3"/>
      <c r="AD15784" s="3"/>
      <c r="AE15784" s="3"/>
      <c r="AF15784" s="3"/>
      <c r="AG15784" s="3"/>
      <c r="AH15784" s="3"/>
    </row>
    <row r="15785" spans="1:34" ht="14.25" customHeight="1" x14ac:dyDescent="0.25">
      <c r="A15785" s="3"/>
      <c r="B15785" s="3"/>
      <c r="C15785" s="3"/>
      <c r="D15785" s="3"/>
      <c r="E15785" s="3"/>
      <c r="F15785" s="3"/>
      <c r="G15785" s="3"/>
      <c r="H15785" s="11"/>
      <c r="I15785" s="12"/>
      <c r="J15785" s="3"/>
      <c r="K15785" s="3"/>
      <c r="L15785" s="3"/>
      <c r="M15785" s="3"/>
      <c r="N15785" s="3"/>
      <c r="O15785" s="3"/>
      <c r="P15785" s="3"/>
      <c r="Q15785" s="3"/>
      <c r="R15785" s="3"/>
      <c r="S15785" s="3"/>
      <c r="T15785" s="3"/>
      <c r="U15785" s="3"/>
      <c r="V15785" s="3"/>
      <c r="W15785" s="3"/>
      <c r="X15785" s="3"/>
      <c r="Y15785" s="3"/>
      <c r="Z15785" s="3"/>
      <c r="AA15785" s="3"/>
      <c r="AB15785" s="3"/>
      <c r="AC15785" s="3"/>
      <c r="AD15785" s="3"/>
      <c r="AE15785" s="3"/>
      <c r="AF15785" s="3"/>
      <c r="AG15785" s="3"/>
      <c r="AH15785" s="3"/>
    </row>
    <row r="15786" spans="1:34" ht="14.25" customHeight="1" x14ac:dyDescent="0.25">
      <c r="A15786" s="3"/>
      <c r="B15786" s="3"/>
      <c r="C15786" s="3"/>
      <c r="D15786" s="3"/>
      <c r="E15786" s="3"/>
      <c r="F15786" s="3"/>
      <c r="G15786" s="3"/>
      <c r="H15786" s="11"/>
      <c r="I15786" s="12"/>
      <c r="J15786" s="3"/>
      <c r="K15786" s="3"/>
      <c r="L15786" s="3"/>
      <c r="M15786" s="3"/>
      <c r="N15786" s="3"/>
      <c r="O15786" s="3"/>
      <c r="P15786" s="3"/>
      <c r="Q15786" s="3"/>
      <c r="R15786" s="3"/>
      <c r="S15786" s="3"/>
      <c r="T15786" s="3"/>
      <c r="U15786" s="3"/>
      <c r="V15786" s="3"/>
      <c r="W15786" s="3"/>
      <c r="X15786" s="3"/>
      <c r="Y15786" s="3"/>
      <c r="Z15786" s="3"/>
      <c r="AA15786" s="3"/>
      <c r="AB15786" s="3"/>
      <c r="AC15786" s="3"/>
      <c r="AD15786" s="3"/>
      <c r="AE15786" s="3"/>
      <c r="AF15786" s="3"/>
      <c r="AG15786" s="3"/>
      <c r="AH15786" s="3"/>
    </row>
    <row r="15787" spans="1:34" ht="14.25" customHeight="1" x14ac:dyDescent="0.25">
      <c r="A15787" s="3"/>
      <c r="B15787" s="3"/>
      <c r="C15787" s="3"/>
      <c r="D15787" s="3"/>
      <c r="E15787" s="3"/>
      <c r="F15787" s="3"/>
      <c r="G15787" s="3"/>
      <c r="H15787" s="11"/>
      <c r="I15787" s="12"/>
      <c r="J15787" s="3"/>
      <c r="K15787" s="3"/>
      <c r="L15787" s="3"/>
      <c r="M15787" s="3"/>
      <c r="N15787" s="3"/>
      <c r="O15787" s="3"/>
      <c r="P15787" s="3"/>
      <c r="Q15787" s="3"/>
      <c r="R15787" s="3"/>
      <c r="S15787" s="3"/>
      <c r="T15787" s="3"/>
      <c r="U15787" s="3"/>
      <c r="V15787" s="3"/>
      <c r="W15787" s="3"/>
      <c r="X15787" s="3"/>
      <c r="Y15787" s="3"/>
      <c r="Z15787" s="3"/>
      <c r="AA15787" s="3"/>
      <c r="AB15787" s="3"/>
      <c r="AC15787" s="3"/>
      <c r="AD15787" s="3"/>
      <c r="AE15787" s="3"/>
      <c r="AF15787" s="3"/>
      <c r="AG15787" s="3"/>
      <c r="AH15787" s="3"/>
    </row>
    <row r="15788" spans="1:34" ht="14.25" customHeight="1" x14ac:dyDescent="0.25">
      <c r="A15788" s="3"/>
      <c r="B15788" s="3"/>
      <c r="C15788" s="3"/>
      <c r="D15788" s="3"/>
      <c r="E15788" s="3"/>
      <c r="F15788" s="3"/>
      <c r="G15788" s="3"/>
      <c r="H15788" s="11"/>
      <c r="I15788" s="12"/>
      <c r="J15788" s="3"/>
      <c r="K15788" s="3"/>
      <c r="L15788" s="3"/>
      <c r="M15788" s="3"/>
      <c r="N15788" s="3"/>
      <c r="O15788" s="3"/>
      <c r="P15788" s="3"/>
      <c r="Q15788" s="3"/>
      <c r="R15788" s="3"/>
      <c r="S15788" s="3"/>
      <c r="T15788" s="3"/>
      <c r="U15788" s="3"/>
      <c r="V15788" s="3"/>
      <c r="W15788" s="3"/>
      <c r="X15788" s="3"/>
      <c r="Y15788" s="3"/>
      <c r="Z15788" s="3"/>
      <c r="AA15788" s="3"/>
      <c r="AB15788" s="3"/>
      <c r="AC15788" s="3"/>
      <c r="AD15788" s="3"/>
      <c r="AE15788" s="3"/>
      <c r="AF15788" s="3"/>
      <c r="AG15788" s="3"/>
      <c r="AH15788" s="3"/>
    </row>
    <row r="15789" spans="1:34" ht="14.25" customHeight="1" x14ac:dyDescent="0.25">
      <c r="A15789" s="3"/>
      <c r="B15789" s="3"/>
      <c r="C15789" s="3"/>
      <c r="D15789" s="3"/>
      <c r="E15789" s="3"/>
      <c r="F15789" s="3"/>
      <c r="G15789" s="3"/>
      <c r="H15789" s="11"/>
      <c r="I15789" s="12"/>
      <c r="J15789" s="3"/>
      <c r="K15789" s="3"/>
      <c r="L15789" s="3"/>
      <c r="M15789" s="3"/>
      <c r="N15789" s="3"/>
      <c r="O15789" s="3"/>
      <c r="P15789" s="3"/>
      <c r="Q15789" s="3"/>
      <c r="R15789" s="3"/>
      <c r="S15789" s="3"/>
      <c r="T15789" s="3"/>
      <c r="U15789" s="3"/>
      <c r="V15789" s="3"/>
      <c r="W15789" s="3"/>
      <c r="X15789" s="3"/>
      <c r="Y15789" s="3"/>
      <c r="Z15789" s="3"/>
      <c r="AA15789" s="3"/>
      <c r="AB15789" s="3"/>
      <c r="AC15789" s="3"/>
      <c r="AD15789" s="3"/>
      <c r="AE15789" s="3"/>
      <c r="AF15789" s="3"/>
      <c r="AG15789" s="3"/>
      <c r="AH15789" s="3"/>
    </row>
    <row r="15790" spans="1:34" ht="14.25" customHeight="1" x14ac:dyDescent="0.25">
      <c r="A15790" s="3"/>
      <c r="B15790" s="3"/>
      <c r="C15790" s="3"/>
      <c r="D15790" s="3"/>
      <c r="E15790" s="3"/>
      <c r="F15790" s="3"/>
      <c r="G15790" s="3"/>
      <c r="H15790" s="11"/>
      <c r="I15790" s="12"/>
      <c r="J15790" s="3"/>
      <c r="K15790" s="3"/>
      <c r="L15790" s="3"/>
      <c r="M15790" s="3"/>
      <c r="N15790" s="3"/>
      <c r="O15790" s="3"/>
      <c r="P15790" s="3"/>
      <c r="Q15790" s="3"/>
      <c r="R15790" s="3"/>
      <c r="S15790" s="3"/>
      <c r="T15790" s="3"/>
      <c r="U15790" s="3"/>
      <c r="V15790" s="3"/>
      <c r="W15790" s="3"/>
      <c r="X15790" s="3"/>
      <c r="Y15790" s="3"/>
      <c r="Z15790" s="3"/>
      <c r="AA15790" s="3"/>
      <c r="AB15790" s="3"/>
      <c r="AC15790" s="3"/>
      <c r="AD15790" s="3"/>
      <c r="AE15790" s="3"/>
      <c r="AF15790" s="3"/>
      <c r="AG15790" s="3"/>
      <c r="AH15790" s="3"/>
    </row>
    <row r="15791" spans="1:34" ht="14.25" customHeight="1" x14ac:dyDescent="0.25">
      <c r="A15791" s="3"/>
      <c r="B15791" s="3"/>
      <c r="C15791" s="3"/>
      <c r="D15791" s="3"/>
      <c r="E15791" s="3"/>
      <c r="F15791" s="3"/>
      <c r="G15791" s="3"/>
      <c r="H15791" s="11"/>
      <c r="I15791" s="12"/>
      <c r="J15791" s="3"/>
      <c r="K15791" s="3"/>
      <c r="L15791" s="3"/>
      <c r="M15791" s="3"/>
      <c r="N15791" s="3"/>
      <c r="O15791" s="3"/>
      <c r="P15791" s="3"/>
      <c r="Q15791" s="3"/>
      <c r="R15791" s="3"/>
      <c r="S15791" s="3"/>
      <c r="T15791" s="3"/>
      <c r="U15791" s="3"/>
      <c r="V15791" s="3"/>
      <c r="W15791" s="3"/>
      <c r="X15791" s="3"/>
      <c r="Y15791" s="3"/>
      <c r="Z15791" s="3"/>
      <c r="AA15791" s="3"/>
      <c r="AB15791" s="3"/>
      <c r="AC15791" s="3"/>
      <c r="AD15791" s="3"/>
      <c r="AE15791" s="3"/>
      <c r="AF15791" s="3"/>
      <c r="AG15791" s="3"/>
      <c r="AH15791" s="3"/>
    </row>
    <row r="15792" spans="1:34" ht="14.25" customHeight="1" x14ac:dyDescent="0.25">
      <c r="A15792" s="3"/>
      <c r="B15792" s="3"/>
      <c r="C15792" s="3"/>
      <c r="D15792" s="3"/>
      <c r="E15792" s="3"/>
      <c r="F15792" s="3"/>
      <c r="G15792" s="3"/>
      <c r="H15792" s="11"/>
      <c r="I15792" s="12"/>
      <c r="J15792" s="3"/>
      <c r="K15792" s="3"/>
      <c r="L15792" s="3"/>
      <c r="M15792" s="3"/>
      <c r="N15792" s="3"/>
      <c r="O15792" s="3"/>
      <c r="P15792" s="3"/>
      <c r="Q15792" s="3"/>
      <c r="R15792" s="3"/>
      <c r="S15792" s="3"/>
      <c r="T15792" s="3"/>
      <c r="U15792" s="3"/>
      <c r="V15792" s="3"/>
      <c r="W15792" s="3"/>
      <c r="X15792" s="3"/>
      <c r="Y15792" s="3"/>
      <c r="Z15792" s="3"/>
      <c r="AA15792" s="3"/>
      <c r="AB15792" s="3"/>
      <c r="AC15792" s="3"/>
      <c r="AD15792" s="3"/>
      <c r="AE15792" s="3"/>
      <c r="AF15792" s="3"/>
      <c r="AG15792" s="3"/>
      <c r="AH15792" s="3"/>
    </row>
    <row r="15793" spans="1:34" ht="14.25" customHeight="1" x14ac:dyDescent="0.25">
      <c r="A15793" s="3"/>
      <c r="B15793" s="3"/>
      <c r="C15793" s="3"/>
      <c r="D15793" s="3"/>
      <c r="E15793" s="3"/>
      <c r="F15793" s="3"/>
      <c r="G15793" s="3"/>
      <c r="H15793" s="11"/>
      <c r="I15793" s="12"/>
      <c r="J15793" s="3"/>
      <c r="K15793" s="3"/>
      <c r="L15793" s="3"/>
      <c r="M15793" s="3"/>
      <c r="N15793" s="3"/>
      <c r="O15793" s="3"/>
      <c r="P15793" s="3"/>
      <c r="Q15793" s="3"/>
      <c r="R15793" s="3"/>
      <c r="S15793" s="3"/>
      <c r="T15793" s="3"/>
      <c r="U15793" s="3"/>
      <c r="V15793" s="3"/>
      <c r="W15793" s="3"/>
      <c r="X15793" s="3"/>
      <c r="Y15793" s="3"/>
      <c r="Z15793" s="3"/>
      <c r="AA15793" s="3"/>
      <c r="AB15793" s="3"/>
      <c r="AC15793" s="3"/>
      <c r="AD15793" s="3"/>
      <c r="AE15793" s="3"/>
      <c r="AF15793" s="3"/>
      <c r="AG15793" s="3"/>
      <c r="AH15793" s="3"/>
    </row>
    <row r="15794" spans="1:34" ht="14.25" customHeight="1" x14ac:dyDescent="0.25">
      <c r="A15794" s="3"/>
      <c r="B15794" s="3"/>
      <c r="C15794" s="3"/>
      <c r="D15794" s="3"/>
      <c r="E15794" s="3"/>
      <c r="F15794" s="3"/>
      <c r="G15794" s="3"/>
      <c r="H15794" s="11"/>
      <c r="I15794" s="12"/>
      <c r="J15794" s="3"/>
      <c r="K15794" s="3"/>
      <c r="L15794" s="3"/>
      <c r="M15794" s="3"/>
      <c r="N15794" s="3"/>
      <c r="O15794" s="3"/>
      <c r="P15794" s="3"/>
      <c r="Q15794" s="3"/>
      <c r="R15794" s="3"/>
      <c r="S15794" s="3"/>
      <c r="T15794" s="3"/>
      <c r="U15794" s="3"/>
      <c r="V15794" s="3"/>
      <c r="W15794" s="3"/>
      <c r="X15794" s="3"/>
      <c r="Y15794" s="3"/>
      <c r="Z15794" s="3"/>
      <c r="AA15794" s="3"/>
      <c r="AB15794" s="3"/>
      <c r="AC15794" s="3"/>
      <c r="AD15794" s="3"/>
      <c r="AE15794" s="3"/>
      <c r="AF15794" s="3"/>
      <c r="AG15794" s="3"/>
      <c r="AH15794" s="3"/>
    </row>
    <row r="15795" spans="1:34" ht="14.25" customHeight="1" x14ac:dyDescent="0.25">
      <c r="A15795" s="3"/>
      <c r="B15795" s="3"/>
      <c r="C15795" s="3"/>
      <c r="D15795" s="3"/>
      <c r="E15795" s="3"/>
      <c r="F15795" s="3"/>
      <c r="G15795" s="3"/>
      <c r="H15795" s="11"/>
      <c r="I15795" s="12"/>
      <c r="J15795" s="3"/>
      <c r="K15795" s="3"/>
      <c r="L15795" s="3"/>
      <c r="M15795" s="3"/>
      <c r="N15795" s="3"/>
      <c r="O15795" s="3"/>
      <c r="P15795" s="3"/>
      <c r="Q15795" s="3"/>
      <c r="R15795" s="3"/>
      <c r="S15795" s="3"/>
      <c r="T15795" s="3"/>
      <c r="U15795" s="3"/>
      <c r="V15795" s="3"/>
      <c r="W15795" s="3"/>
      <c r="X15795" s="3"/>
      <c r="Y15795" s="3"/>
      <c r="Z15795" s="3"/>
      <c r="AA15795" s="3"/>
      <c r="AB15795" s="3"/>
      <c r="AC15795" s="3"/>
      <c r="AD15795" s="3"/>
      <c r="AE15795" s="3"/>
      <c r="AF15795" s="3"/>
      <c r="AG15795" s="3"/>
      <c r="AH15795" s="3"/>
    </row>
    <row r="15796" spans="1:34" ht="14.25" customHeight="1" x14ac:dyDescent="0.25">
      <c r="A15796" s="3"/>
      <c r="B15796" s="3"/>
      <c r="C15796" s="3"/>
      <c r="D15796" s="3"/>
      <c r="E15796" s="3"/>
      <c r="F15796" s="3"/>
      <c r="G15796" s="3"/>
      <c r="H15796" s="11"/>
      <c r="I15796" s="12"/>
      <c r="J15796" s="3"/>
      <c r="K15796" s="3"/>
      <c r="L15796" s="3"/>
      <c r="M15796" s="3"/>
      <c r="N15796" s="3"/>
      <c r="O15796" s="3"/>
      <c r="P15796" s="3"/>
      <c r="Q15796" s="3"/>
      <c r="R15796" s="3"/>
      <c r="S15796" s="3"/>
      <c r="T15796" s="3"/>
      <c r="U15796" s="3"/>
      <c r="V15796" s="3"/>
      <c r="W15796" s="3"/>
      <c r="X15796" s="3"/>
      <c r="Y15796" s="3"/>
      <c r="Z15796" s="3"/>
      <c r="AA15796" s="3"/>
      <c r="AB15796" s="3"/>
      <c r="AC15796" s="3"/>
      <c r="AD15796" s="3"/>
      <c r="AE15796" s="3"/>
      <c r="AF15796" s="3"/>
      <c r="AG15796" s="3"/>
      <c r="AH15796" s="3"/>
    </row>
    <row r="15797" spans="1:34" ht="14.25" customHeight="1" x14ac:dyDescent="0.25">
      <c r="A15797" s="3"/>
      <c r="B15797" s="3"/>
      <c r="C15797" s="3"/>
      <c r="D15797" s="3"/>
      <c r="E15797" s="3"/>
      <c r="F15797" s="3"/>
      <c r="G15797" s="3"/>
      <c r="H15797" s="11"/>
      <c r="I15797" s="12"/>
      <c r="J15797" s="3"/>
      <c r="K15797" s="3"/>
      <c r="L15797" s="3"/>
      <c r="M15797" s="3"/>
      <c r="N15797" s="3"/>
      <c r="O15797" s="3"/>
      <c r="P15797" s="3"/>
      <c r="Q15797" s="3"/>
      <c r="R15797" s="3"/>
      <c r="S15797" s="3"/>
      <c r="T15797" s="3"/>
      <c r="U15797" s="3"/>
      <c r="V15797" s="3"/>
      <c r="W15797" s="3"/>
      <c r="X15797" s="3"/>
      <c r="Y15797" s="3"/>
      <c r="Z15797" s="3"/>
      <c r="AA15797" s="3"/>
      <c r="AB15797" s="3"/>
      <c r="AC15797" s="3"/>
      <c r="AD15797" s="3"/>
      <c r="AE15797" s="3"/>
      <c r="AF15797" s="3"/>
      <c r="AG15797" s="3"/>
      <c r="AH15797" s="3"/>
    </row>
    <row r="15798" spans="1:34" ht="14.25" customHeight="1" x14ac:dyDescent="0.25">
      <c r="A15798" s="3"/>
      <c r="B15798" s="3"/>
      <c r="C15798" s="3"/>
      <c r="D15798" s="3"/>
      <c r="E15798" s="3"/>
      <c r="F15798" s="3"/>
      <c r="G15798" s="3"/>
      <c r="H15798" s="11"/>
      <c r="I15798" s="12"/>
      <c r="J15798" s="3"/>
      <c r="K15798" s="3"/>
      <c r="L15798" s="3"/>
      <c r="M15798" s="3"/>
      <c r="N15798" s="3"/>
      <c r="O15798" s="3"/>
      <c r="P15798" s="3"/>
      <c r="Q15798" s="3"/>
      <c r="R15798" s="3"/>
      <c r="S15798" s="3"/>
      <c r="T15798" s="3"/>
      <c r="U15798" s="3"/>
      <c r="V15798" s="3"/>
      <c r="W15798" s="3"/>
      <c r="X15798" s="3"/>
      <c r="Y15798" s="3"/>
      <c r="Z15798" s="3"/>
      <c r="AA15798" s="3"/>
      <c r="AB15798" s="3"/>
      <c r="AC15798" s="3"/>
      <c r="AD15798" s="3"/>
      <c r="AE15798" s="3"/>
      <c r="AF15798" s="3"/>
      <c r="AG15798" s="3"/>
      <c r="AH15798" s="3"/>
    </row>
    <row r="15799" spans="1:34" ht="14.25" customHeight="1" x14ac:dyDescent="0.25">
      <c r="A15799" s="3"/>
      <c r="B15799" s="3"/>
      <c r="C15799" s="3"/>
      <c r="D15799" s="3"/>
      <c r="E15799" s="3"/>
      <c r="F15799" s="3"/>
      <c r="G15799" s="3"/>
      <c r="H15799" s="11"/>
      <c r="I15799" s="12"/>
      <c r="J15799" s="3"/>
      <c r="K15799" s="3"/>
      <c r="L15799" s="3"/>
      <c r="M15799" s="3"/>
      <c r="N15799" s="3"/>
      <c r="O15799" s="3"/>
      <c r="P15799" s="3"/>
      <c r="Q15799" s="3"/>
      <c r="R15799" s="3"/>
      <c r="S15799" s="3"/>
      <c r="T15799" s="3"/>
      <c r="U15799" s="3"/>
      <c r="V15799" s="3"/>
      <c r="W15799" s="3"/>
      <c r="X15799" s="3"/>
      <c r="Y15799" s="3"/>
      <c r="Z15799" s="3"/>
      <c r="AA15799" s="3"/>
      <c r="AB15799" s="3"/>
      <c r="AC15799" s="3"/>
      <c r="AD15799" s="3"/>
      <c r="AE15799" s="3"/>
      <c r="AF15799" s="3"/>
      <c r="AG15799" s="3"/>
      <c r="AH15799" s="3"/>
    </row>
    <row r="15800" spans="1:34" ht="14.25" customHeight="1" x14ac:dyDescent="0.25">
      <c r="A15800" s="3"/>
      <c r="B15800" s="3"/>
      <c r="C15800" s="3"/>
      <c r="D15800" s="3"/>
      <c r="E15800" s="3"/>
      <c r="F15800" s="3"/>
      <c r="G15800" s="3"/>
      <c r="H15800" s="11"/>
      <c r="I15800" s="12"/>
      <c r="J15800" s="3"/>
      <c r="K15800" s="3"/>
      <c r="L15800" s="3"/>
      <c r="M15800" s="3"/>
      <c r="N15800" s="3"/>
      <c r="O15800" s="3"/>
      <c r="P15800" s="3"/>
      <c r="Q15800" s="3"/>
      <c r="R15800" s="3"/>
      <c r="S15800" s="3"/>
      <c r="T15800" s="3"/>
      <c r="U15800" s="3"/>
      <c r="V15800" s="3"/>
      <c r="W15800" s="3"/>
      <c r="X15800" s="3"/>
      <c r="Y15800" s="3"/>
      <c r="Z15800" s="3"/>
      <c r="AA15800" s="3"/>
      <c r="AB15800" s="3"/>
      <c r="AC15800" s="3"/>
      <c r="AD15800" s="3"/>
      <c r="AE15800" s="3"/>
      <c r="AF15800" s="3"/>
      <c r="AG15800" s="3"/>
      <c r="AH15800" s="3"/>
    </row>
    <row r="15801" spans="1:34" ht="14.25" customHeight="1" x14ac:dyDescent="0.25">
      <c r="A15801" s="3"/>
      <c r="B15801" s="3"/>
      <c r="C15801" s="3"/>
      <c r="D15801" s="3"/>
      <c r="E15801" s="3"/>
      <c r="F15801" s="3"/>
      <c r="G15801" s="3"/>
      <c r="H15801" s="11"/>
      <c r="I15801" s="12"/>
      <c r="J15801" s="3"/>
      <c r="K15801" s="3"/>
      <c r="L15801" s="3"/>
      <c r="M15801" s="3"/>
      <c r="N15801" s="3"/>
      <c r="O15801" s="3"/>
      <c r="P15801" s="3"/>
      <c r="Q15801" s="3"/>
      <c r="R15801" s="3"/>
      <c r="S15801" s="3"/>
      <c r="T15801" s="3"/>
      <c r="U15801" s="3"/>
      <c r="V15801" s="3"/>
      <c r="W15801" s="3"/>
      <c r="X15801" s="3"/>
      <c r="Y15801" s="3"/>
      <c r="Z15801" s="3"/>
      <c r="AA15801" s="3"/>
      <c r="AB15801" s="3"/>
      <c r="AC15801" s="3"/>
      <c r="AD15801" s="3"/>
      <c r="AE15801" s="3"/>
      <c r="AF15801" s="3"/>
      <c r="AG15801" s="3"/>
      <c r="AH15801" s="3"/>
    </row>
    <row r="15802" spans="1:34" ht="14.25" customHeight="1" x14ac:dyDescent="0.25">
      <c r="A15802" s="3"/>
      <c r="B15802" s="3"/>
      <c r="C15802" s="3"/>
      <c r="D15802" s="3"/>
      <c r="E15802" s="3"/>
      <c r="F15802" s="3"/>
      <c r="G15802" s="3"/>
      <c r="H15802" s="11"/>
      <c r="I15802" s="12"/>
      <c r="J15802" s="3"/>
      <c r="K15802" s="3"/>
      <c r="L15802" s="3"/>
      <c r="M15802" s="3"/>
      <c r="N15802" s="3"/>
      <c r="O15802" s="3"/>
      <c r="P15802" s="3"/>
      <c r="Q15802" s="3"/>
      <c r="R15802" s="3"/>
      <c r="S15802" s="3"/>
      <c r="T15802" s="3"/>
      <c r="U15802" s="3"/>
      <c r="V15802" s="3"/>
      <c r="W15802" s="3"/>
      <c r="X15802" s="3"/>
      <c r="Y15802" s="3"/>
      <c r="Z15802" s="3"/>
      <c r="AA15802" s="3"/>
      <c r="AB15802" s="3"/>
      <c r="AC15802" s="3"/>
      <c r="AD15802" s="3"/>
      <c r="AE15802" s="3"/>
      <c r="AF15802" s="3"/>
      <c r="AG15802" s="3"/>
      <c r="AH15802" s="3"/>
    </row>
    <row r="15803" spans="1:34" ht="14.25" customHeight="1" x14ac:dyDescent="0.25">
      <c r="A15803" s="3"/>
      <c r="B15803" s="3"/>
      <c r="C15803" s="3"/>
      <c r="D15803" s="3"/>
      <c r="E15803" s="3"/>
      <c r="F15803" s="3"/>
      <c r="G15803" s="3"/>
      <c r="H15803" s="11"/>
      <c r="I15803" s="12"/>
      <c r="J15803" s="3"/>
      <c r="K15803" s="3"/>
      <c r="L15803" s="3"/>
      <c r="M15803" s="3"/>
      <c r="N15803" s="3"/>
      <c r="O15803" s="3"/>
      <c r="P15803" s="3"/>
      <c r="Q15803" s="3"/>
      <c r="R15803" s="3"/>
      <c r="S15803" s="3"/>
      <c r="T15803" s="3"/>
      <c r="U15803" s="3"/>
      <c r="V15803" s="3"/>
      <c r="W15803" s="3"/>
      <c r="X15803" s="3"/>
      <c r="Y15803" s="3"/>
      <c r="Z15803" s="3"/>
      <c r="AA15803" s="3"/>
      <c r="AB15803" s="3"/>
      <c r="AC15803" s="3"/>
      <c r="AD15803" s="3"/>
      <c r="AE15803" s="3"/>
      <c r="AF15803" s="3"/>
      <c r="AG15803" s="3"/>
      <c r="AH15803" s="3"/>
    </row>
    <row r="15804" spans="1:34" ht="14.25" customHeight="1" x14ac:dyDescent="0.25">
      <c r="A15804" s="3"/>
      <c r="B15804" s="3"/>
      <c r="C15804" s="3"/>
      <c r="D15804" s="3"/>
      <c r="E15804" s="3"/>
      <c r="F15804" s="3"/>
      <c r="G15804" s="3"/>
      <c r="H15804" s="11"/>
      <c r="I15804" s="12"/>
      <c r="J15804" s="3"/>
      <c r="K15804" s="3"/>
      <c r="L15804" s="3"/>
      <c r="M15804" s="3"/>
      <c r="N15804" s="3"/>
      <c r="O15804" s="3"/>
      <c r="P15804" s="3"/>
      <c r="Q15804" s="3"/>
      <c r="R15804" s="3"/>
      <c r="S15804" s="3"/>
      <c r="T15804" s="3"/>
      <c r="U15804" s="3"/>
      <c r="V15804" s="3"/>
      <c r="W15804" s="3"/>
      <c r="X15804" s="3"/>
      <c r="Y15804" s="3"/>
      <c r="Z15804" s="3"/>
      <c r="AA15804" s="3"/>
      <c r="AB15804" s="3"/>
      <c r="AC15804" s="3"/>
      <c r="AD15804" s="3"/>
      <c r="AE15804" s="3"/>
      <c r="AF15804" s="3"/>
      <c r="AG15804" s="3"/>
      <c r="AH15804" s="3"/>
    </row>
    <row r="15805" spans="1:34" ht="14.25" customHeight="1" x14ac:dyDescent="0.25">
      <c r="A15805" s="3"/>
      <c r="B15805" s="3"/>
      <c r="C15805" s="3"/>
      <c r="D15805" s="3"/>
      <c r="E15805" s="3"/>
      <c r="F15805" s="3"/>
      <c r="G15805" s="3"/>
      <c r="H15805" s="11"/>
      <c r="I15805" s="12"/>
      <c r="J15805" s="3"/>
      <c r="K15805" s="3"/>
      <c r="L15805" s="3"/>
      <c r="M15805" s="3"/>
      <c r="N15805" s="3"/>
      <c r="O15805" s="3"/>
      <c r="P15805" s="3"/>
      <c r="Q15805" s="3"/>
      <c r="R15805" s="3"/>
      <c r="S15805" s="3"/>
      <c r="T15805" s="3"/>
      <c r="U15805" s="3"/>
      <c r="V15805" s="3"/>
      <c r="W15805" s="3"/>
      <c r="X15805" s="3"/>
      <c r="Y15805" s="3"/>
      <c r="Z15805" s="3"/>
      <c r="AA15805" s="3"/>
      <c r="AB15805" s="3"/>
      <c r="AC15805" s="3"/>
      <c r="AD15805" s="3"/>
      <c r="AE15805" s="3"/>
      <c r="AF15805" s="3"/>
      <c r="AG15805" s="3"/>
      <c r="AH15805" s="3"/>
    </row>
    <row r="15806" spans="1:34" ht="14.25" customHeight="1" x14ac:dyDescent="0.25">
      <c r="A15806" s="3"/>
      <c r="B15806" s="3"/>
      <c r="C15806" s="3"/>
      <c r="D15806" s="3"/>
      <c r="E15806" s="3"/>
      <c r="F15806" s="3"/>
      <c r="G15806" s="3"/>
      <c r="H15806" s="11"/>
      <c r="I15806" s="12"/>
      <c r="J15806" s="3"/>
      <c r="K15806" s="3"/>
      <c r="L15806" s="3"/>
      <c r="M15806" s="3"/>
      <c r="N15806" s="3"/>
      <c r="O15806" s="3"/>
      <c r="P15806" s="3"/>
      <c r="Q15806" s="3"/>
      <c r="R15806" s="3"/>
      <c r="S15806" s="3"/>
      <c r="T15806" s="3"/>
      <c r="U15806" s="3"/>
      <c r="V15806" s="3"/>
      <c r="W15806" s="3"/>
      <c r="X15806" s="3"/>
      <c r="Y15806" s="3"/>
      <c r="Z15806" s="3"/>
      <c r="AA15806" s="3"/>
      <c r="AB15806" s="3"/>
      <c r="AC15806" s="3"/>
      <c r="AD15806" s="3"/>
      <c r="AE15806" s="3"/>
      <c r="AF15806" s="3"/>
      <c r="AG15806" s="3"/>
      <c r="AH15806" s="3"/>
    </row>
    <row r="15807" spans="1:34" ht="14.25" customHeight="1" x14ac:dyDescent="0.25">
      <c r="A15807" s="3"/>
      <c r="B15807" s="3"/>
      <c r="C15807" s="3"/>
      <c r="D15807" s="3"/>
      <c r="E15807" s="3"/>
      <c r="F15807" s="3"/>
      <c r="G15807" s="3"/>
      <c r="H15807" s="11"/>
      <c r="I15807" s="12"/>
      <c r="J15807" s="3"/>
      <c r="K15807" s="3"/>
      <c r="L15807" s="3"/>
      <c r="M15807" s="3"/>
      <c r="N15807" s="3"/>
      <c r="O15807" s="3"/>
      <c r="P15807" s="3"/>
      <c r="Q15807" s="3"/>
      <c r="R15807" s="3"/>
      <c r="S15807" s="3"/>
      <c r="T15807" s="3"/>
      <c r="U15807" s="3"/>
      <c r="V15807" s="3"/>
      <c r="W15807" s="3"/>
      <c r="X15807" s="3"/>
      <c r="Y15807" s="3"/>
      <c r="Z15807" s="3"/>
      <c r="AA15807" s="3"/>
      <c r="AB15807" s="3"/>
      <c r="AC15807" s="3"/>
      <c r="AD15807" s="3"/>
      <c r="AE15807" s="3"/>
      <c r="AF15807" s="3"/>
      <c r="AG15807" s="3"/>
      <c r="AH15807" s="3"/>
    </row>
    <row r="15808" spans="1:34" ht="14.25" customHeight="1" x14ac:dyDescent="0.25">
      <c r="A15808" s="3"/>
      <c r="B15808" s="3"/>
      <c r="C15808" s="3"/>
      <c r="D15808" s="3"/>
      <c r="E15808" s="3"/>
      <c r="F15808" s="3"/>
      <c r="G15808" s="3"/>
      <c r="H15808" s="11"/>
      <c r="I15808" s="12"/>
      <c r="J15808" s="3"/>
      <c r="K15808" s="3"/>
      <c r="L15808" s="3"/>
      <c r="M15808" s="3"/>
      <c r="N15808" s="3"/>
      <c r="O15808" s="3"/>
      <c r="P15808" s="3"/>
      <c r="Q15808" s="3"/>
      <c r="R15808" s="3"/>
      <c r="S15808" s="3"/>
      <c r="T15808" s="3"/>
      <c r="U15808" s="3"/>
      <c r="V15808" s="3"/>
      <c r="W15808" s="3"/>
      <c r="X15808" s="3"/>
      <c r="Y15808" s="3"/>
      <c r="Z15808" s="3"/>
      <c r="AA15808" s="3"/>
      <c r="AB15808" s="3"/>
      <c r="AC15808" s="3"/>
      <c r="AD15808" s="3"/>
      <c r="AE15808" s="3"/>
      <c r="AF15808" s="3"/>
      <c r="AG15808" s="3"/>
      <c r="AH15808" s="3"/>
    </row>
    <row r="15809" spans="1:34" ht="14.25" customHeight="1" x14ac:dyDescent="0.25">
      <c r="A15809" s="3"/>
      <c r="B15809" s="3"/>
      <c r="C15809" s="3"/>
      <c r="D15809" s="3"/>
      <c r="E15809" s="3"/>
      <c r="F15809" s="3"/>
      <c r="G15809" s="3"/>
      <c r="H15809" s="11"/>
      <c r="I15809" s="12"/>
      <c r="J15809" s="3"/>
      <c r="K15809" s="3"/>
      <c r="L15809" s="3"/>
      <c r="M15809" s="3"/>
      <c r="N15809" s="3"/>
      <c r="O15809" s="3"/>
      <c r="P15809" s="3"/>
      <c r="Q15809" s="3"/>
      <c r="R15809" s="3"/>
      <c r="S15809" s="3"/>
      <c r="T15809" s="3"/>
      <c r="U15809" s="3"/>
      <c r="V15809" s="3"/>
      <c r="W15809" s="3"/>
      <c r="X15809" s="3"/>
      <c r="Y15809" s="3"/>
      <c r="Z15809" s="3"/>
      <c r="AA15809" s="3"/>
      <c r="AB15809" s="3"/>
      <c r="AC15809" s="3"/>
      <c r="AD15809" s="3"/>
      <c r="AE15809" s="3"/>
      <c r="AF15809" s="3"/>
      <c r="AG15809" s="3"/>
      <c r="AH15809" s="3"/>
    </row>
    <row r="15810" spans="1:34" ht="14.25" customHeight="1" x14ac:dyDescent="0.25">
      <c r="A15810" s="3"/>
      <c r="B15810" s="3"/>
      <c r="C15810" s="3"/>
      <c r="D15810" s="3"/>
      <c r="E15810" s="3"/>
      <c r="F15810" s="3"/>
      <c r="G15810" s="3"/>
      <c r="H15810" s="11"/>
      <c r="I15810" s="12"/>
      <c r="J15810" s="3"/>
      <c r="K15810" s="3"/>
      <c r="L15810" s="3"/>
      <c r="M15810" s="3"/>
      <c r="N15810" s="3"/>
      <c r="O15810" s="3"/>
      <c r="P15810" s="3"/>
      <c r="Q15810" s="3"/>
      <c r="R15810" s="3"/>
      <c r="S15810" s="3"/>
      <c r="T15810" s="3"/>
      <c r="U15810" s="3"/>
      <c r="V15810" s="3"/>
      <c r="W15810" s="3"/>
      <c r="X15810" s="3"/>
      <c r="Y15810" s="3"/>
      <c r="Z15810" s="3"/>
      <c r="AA15810" s="3"/>
      <c r="AB15810" s="3"/>
      <c r="AC15810" s="3"/>
      <c r="AD15810" s="3"/>
      <c r="AE15810" s="3"/>
      <c r="AF15810" s="3"/>
      <c r="AG15810" s="3"/>
      <c r="AH15810" s="3"/>
    </row>
    <row r="15811" spans="1:34" ht="14.25" customHeight="1" x14ac:dyDescent="0.25">
      <c r="A15811" s="3"/>
      <c r="B15811" s="3"/>
      <c r="C15811" s="3"/>
      <c r="D15811" s="3"/>
      <c r="E15811" s="3"/>
      <c r="F15811" s="3"/>
      <c r="G15811" s="3"/>
      <c r="H15811" s="11"/>
      <c r="I15811" s="12"/>
      <c r="J15811" s="3"/>
      <c r="K15811" s="3"/>
      <c r="L15811" s="3"/>
      <c r="M15811" s="3"/>
      <c r="N15811" s="3"/>
      <c r="O15811" s="3"/>
      <c r="P15811" s="3"/>
      <c r="Q15811" s="3"/>
      <c r="R15811" s="3"/>
      <c r="S15811" s="3"/>
      <c r="T15811" s="3"/>
      <c r="U15811" s="3"/>
      <c r="V15811" s="3"/>
      <c r="W15811" s="3"/>
      <c r="X15811" s="3"/>
      <c r="Y15811" s="3"/>
      <c r="Z15811" s="3"/>
      <c r="AA15811" s="3"/>
      <c r="AB15811" s="3"/>
      <c r="AC15811" s="3"/>
      <c r="AD15811" s="3"/>
      <c r="AE15811" s="3"/>
      <c r="AF15811" s="3"/>
      <c r="AG15811" s="3"/>
      <c r="AH15811" s="3"/>
    </row>
    <row r="15812" spans="1:34" ht="14.25" customHeight="1" x14ac:dyDescent="0.25">
      <c r="A15812" s="3"/>
      <c r="B15812" s="3"/>
      <c r="C15812" s="3"/>
      <c r="D15812" s="3"/>
      <c r="E15812" s="3"/>
      <c r="F15812" s="3"/>
      <c r="G15812" s="3"/>
      <c r="H15812" s="11"/>
      <c r="I15812" s="12"/>
      <c r="J15812" s="3"/>
      <c r="K15812" s="3"/>
      <c r="L15812" s="3"/>
      <c r="M15812" s="3"/>
      <c r="N15812" s="3"/>
      <c r="O15812" s="3"/>
      <c r="P15812" s="3"/>
      <c r="Q15812" s="3"/>
      <c r="R15812" s="3"/>
      <c r="S15812" s="3"/>
      <c r="T15812" s="3"/>
      <c r="U15812" s="3"/>
      <c r="V15812" s="3"/>
      <c r="W15812" s="3"/>
      <c r="X15812" s="3"/>
      <c r="Y15812" s="3"/>
      <c r="Z15812" s="3"/>
      <c r="AA15812" s="3"/>
      <c r="AB15812" s="3"/>
      <c r="AC15812" s="3"/>
      <c r="AD15812" s="3"/>
      <c r="AE15812" s="3"/>
      <c r="AF15812" s="3"/>
      <c r="AG15812" s="3"/>
      <c r="AH15812" s="3"/>
    </row>
    <row r="15813" spans="1:34" ht="14.25" customHeight="1" x14ac:dyDescent="0.25">
      <c r="A15813" s="3"/>
      <c r="B15813" s="3"/>
      <c r="C15813" s="3"/>
      <c r="D15813" s="3"/>
      <c r="E15813" s="3"/>
      <c r="F15813" s="3"/>
      <c r="G15813" s="3"/>
      <c r="H15813" s="11"/>
      <c r="I15813" s="12"/>
      <c r="J15813" s="3"/>
      <c r="K15813" s="3"/>
      <c r="L15813" s="3"/>
      <c r="M15813" s="3"/>
      <c r="N15813" s="3"/>
      <c r="O15813" s="3"/>
      <c r="P15813" s="3"/>
      <c r="Q15813" s="3"/>
      <c r="R15813" s="3"/>
      <c r="S15813" s="3"/>
      <c r="T15813" s="3"/>
      <c r="U15813" s="3"/>
      <c r="V15813" s="3"/>
      <c r="W15813" s="3"/>
      <c r="X15813" s="3"/>
      <c r="Y15813" s="3"/>
      <c r="Z15813" s="3"/>
      <c r="AA15813" s="3"/>
      <c r="AB15813" s="3"/>
      <c r="AC15813" s="3"/>
      <c r="AD15813" s="3"/>
      <c r="AE15813" s="3"/>
      <c r="AF15813" s="3"/>
      <c r="AG15813" s="3"/>
      <c r="AH15813" s="3"/>
    </row>
    <row r="15814" spans="1:34" ht="14.25" customHeight="1" x14ac:dyDescent="0.25">
      <c r="A15814" s="3"/>
      <c r="B15814" s="3"/>
      <c r="C15814" s="3"/>
      <c r="D15814" s="3"/>
      <c r="E15814" s="3"/>
      <c r="F15814" s="3"/>
      <c r="G15814" s="3"/>
      <c r="H15814" s="11"/>
      <c r="I15814" s="12"/>
      <c r="J15814" s="3"/>
      <c r="K15814" s="3"/>
      <c r="L15814" s="3"/>
      <c r="M15814" s="3"/>
      <c r="N15814" s="3"/>
      <c r="O15814" s="3"/>
      <c r="P15814" s="3"/>
      <c r="Q15814" s="3"/>
      <c r="R15814" s="3"/>
      <c r="S15814" s="3"/>
      <c r="T15814" s="3"/>
      <c r="U15814" s="3"/>
      <c r="V15814" s="3"/>
      <c r="W15814" s="3"/>
      <c r="X15814" s="3"/>
      <c r="Y15814" s="3"/>
      <c r="Z15814" s="3"/>
      <c r="AA15814" s="3"/>
      <c r="AB15814" s="3"/>
      <c r="AC15814" s="3"/>
      <c r="AD15814" s="3"/>
      <c r="AE15814" s="3"/>
      <c r="AF15814" s="3"/>
      <c r="AG15814" s="3"/>
      <c r="AH15814" s="3"/>
    </row>
    <row r="15815" spans="1:34" ht="14.25" customHeight="1" x14ac:dyDescent="0.25">
      <c r="A15815" s="3"/>
      <c r="B15815" s="3"/>
      <c r="C15815" s="3"/>
      <c r="D15815" s="3"/>
      <c r="E15815" s="3"/>
      <c r="F15815" s="3"/>
      <c r="G15815" s="3"/>
      <c r="H15815" s="11"/>
      <c r="I15815" s="12"/>
      <c r="J15815" s="3"/>
      <c r="K15815" s="3"/>
      <c r="L15815" s="3"/>
      <c r="M15815" s="3"/>
      <c r="N15815" s="3"/>
      <c r="O15815" s="3"/>
      <c r="P15815" s="3"/>
      <c r="Q15815" s="3"/>
      <c r="R15815" s="3"/>
      <c r="S15815" s="3"/>
      <c r="T15815" s="3"/>
      <c r="U15815" s="3"/>
      <c r="V15815" s="3"/>
      <c r="W15815" s="3"/>
      <c r="X15815" s="3"/>
      <c r="Y15815" s="3"/>
      <c r="Z15815" s="3"/>
      <c r="AA15815" s="3"/>
      <c r="AB15815" s="3"/>
      <c r="AC15815" s="3"/>
      <c r="AD15815" s="3"/>
      <c r="AE15815" s="3"/>
      <c r="AF15815" s="3"/>
      <c r="AG15815" s="3"/>
      <c r="AH15815" s="3"/>
    </row>
    <row r="15816" spans="1:34" ht="14.25" customHeight="1" x14ac:dyDescent="0.25">
      <c r="A15816" s="3"/>
      <c r="B15816" s="3"/>
      <c r="C15816" s="3"/>
      <c r="D15816" s="3"/>
      <c r="E15816" s="3"/>
      <c r="F15816" s="3"/>
      <c r="G15816" s="3"/>
      <c r="H15816" s="11"/>
      <c r="I15816" s="12"/>
      <c r="J15816" s="3"/>
      <c r="K15816" s="3"/>
      <c r="L15816" s="3"/>
      <c r="M15816" s="3"/>
      <c r="N15816" s="3"/>
      <c r="O15816" s="3"/>
      <c r="P15816" s="3"/>
      <c r="Q15816" s="3"/>
      <c r="R15816" s="3"/>
      <c r="S15816" s="3"/>
      <c r="T15816" s="3"/>
      <c r="U15816" s="3"/>
      <c r="V15816" s="3"/>
      <c r="W15816" s="3"/>
      <c r="X15816" s="3"/>
      <c r="Y15816" s="3"/>
      <c r="Z15816" s="3"/>
      <c r="AA15816" s="3"/>
      <c r="AB15816" s="3"/>
      <c r="AC15816" s="3"/>
      <c r="AD15816" s="3"/>
      <c r="AE15816" s="3"/>
      <c r="AF15816" s="3"/>
      <c r="AG15816" s="3"/>
      <c r="AH15816" s="3"/>
    </row>
    <row r="15817" spans="1:34" ht="14.25" customHeight="1" x14ac:dyDescent="0.25">
      <c r="A15817" s="3"/>
      <c r="B15817" s="3"/>
      <c r="C15817" s="3"/>
      <c r="D15817" s="3"/>
      <c r="E15817" s="3"/>
      <c r="F15817" s="3"/>
      <c r="G15817" s="3"/>
      <c r="H15817" s="11"/>
      <c r="I15817" s="12"/>
      <c r="J15817" s="3"/>
      <c r="K15817" s="3"/>
      <c r="L15817" s="3"/>
      <c r="M15817" s="3"/>
      <c r="N15817" s="3"/>
      <c r="O15817" s="3"/>
      <c r="P15817" s="3"/>
      <c r="Q15817" s="3"/>
      <c r="R15817" s="3"/>
      <c r="S15817" s="3"/>
      <c r="T15817" s="3"/>
      <c r="U15817" s="3"/>
      <c r="V15817" s="3"/>
      <c r="W15817" s="3"/>
      <c r="X15817" s="3"/>
      <c r="Y15817" s="3"/>
      <c r="Z15817" s="3"/>
      <c r="AA15817" s="3"/>
      <c r="AB15817" s="3"/>
      <c r="AC15817" s="3"/>
      <c r="AD15817" s="3"/>
      <c r="AE15817" s="3"/>
      <c r="AF15817" s="3"/>
      <c r="AG15817" s="3"/>
      <c r="AH15817" s="3"/>
    </row>
    <row r="15818" spans="1:34" ht="14.25" customHeight="1" x14ac:dyDescent="0.25">
      <c r="A15818" s="3"/>
      <c r="B15818" s="3"/>
      <c r="C15818" s="3"/>
      <c r="D15818" s="3"/>
      <c r="E15818" s="3"/>
      <c r="F15818" s="3"/>
      <c r="G15818" s="3"/>
      <c r="H15818" s="11"/>
      <c r="I15818" s="12"/>
      <c r="J15818" s="3"/>
      <c r="K15818" s="3"/>
      <c r="L15818" s="3"/>
      <c r="M15818" s="3"/>
      <c r="N15818" s="3"/>
      <c r="O15818" s="3"/>
      <c r="P15818" s="3"/>
      <c r="Q15818" s="3"/>
      <c r="R15818" s="3"/>
      <c r="S15818" s="3"/>
      <c r="T15818" s="3"/>
      <c r="U15818" s="3"/>
      <c r="V15818" s="3"/>
      <c r="W15818" s="3"/>
      <c r="X15818" s="3"/>
      <c r="Y15818" s="3"/>
      <c r="Z15818" s="3"/>
      <c r="AA15818" s="3"/>
      <c r="AB15818" s="3"/>
      <c r="AC15818" s="3"/>
      <c r="AD15818" s="3"/>
      <c r="AE15818" s="3"/>
      <c r="AF15818" s="3"/>
      <c r="AG15818" s="3"/>
      <c r="AH15818" s="3"/>
    </row>
    <row r="15819" spans="1:34" ht="14.25" customHeight="1" x14ac:dyDescent="0.25">
      <c r="A15819" s="3"/>
      <c r="B15819" s="3"/>
      <c r="C15819" s="3"/>
      <c r="D15819" s="3"/>
      <c r="E15819" s="3"/>
      <c r="F15819" s="3"/>
      <c r="G15819" s="3"/>
      <c r="H15819" s="11"/>
      <c r="I15819" s="12"/>
      <c r="J15819" s="3"/>
      <c r="K15819" s="3"/>
      <c r="L15819" s="3"/>
      <c r="M15819" s="3"/>
      <c r="N15819" s="3"/>
      <c r="O15819" s="3"/>
      <c r="P15819" s="3"/>
      <c r="Q15819" s="3"/>
      <c r="R15819" s="3"/>
      <c r="S15819" s="3"/>
      <c r="T15819" s="3"/>
      <c r="U15819" s="3"/>
      <c r="V15819" s="3"/>
      <c r="W15819" s="3"/>
      <c r="X15819" s="3"/>
      <c r="Y15819" s="3"/>
      <c r="Z15819" s="3"/>
      <c r="AA15819" s="3"/>
      <c r="AB15819" s="3"/>
      <c r="AC15819" s="3"/>
      <c r="AD15819" s="3"/>
      <c r="AE15819" s="3"/>
      <c r="AF15819" s="3"/>
      <c r="AG15819" s="3"/>
      <c r="AH15819" s="3"/>
    </row>
    <row r="15820" spans="1:34" ht="14.25" customHeight="1" x14ac:dyDescent="0.25">
      <c r="A15820" s="3"/>
      <c r="B15820" s="3"/>
      <c r="C15820" s="3"/>
      <c r="D15820" s="3"/>
      <c r="E15820" s="3"/>
      <c r="F15820" s="3"/>
      <c r="G15820" s="3"/>
      <c r="H15820" s="11"/>
      <c r="I15820" s="12"/>
      <c r="J15820" s="3"/>
      <c r="K15820" s="3"/>
      <c r="L15820" s="3"/>
      <c r="M15820" s="3"/>
      <c r="N15820" s="3"/>
      <c r="O15820" s="3"/>
      <c r="P15820" s="3"/>
      <c r="Q15820" s="3"/>
      <c r="R15820" s="3"/>
      <c r="S15820" s="3"/>
      <c r="T15820" s="3"/>
      <c r="U15820" s="3"/>
      <c r="V15820" s="3"/>
      <c r="W15820" s="3"/>
      <c r="X15820" s="3"/>
      <c r="Y15820" s="3"/>
      <c r="Z15820" s="3"/>
      <c r="AA15820" s="3"/>
      <c r="AB15820" s="3"/>
      <c r="AC15820" s="3"/>
      <c r="AD15820" s="3"/>
      <c r="AE15820" s="3"/>
      <c r="AF15820" s="3"/>
      <c r="AG15820" s="3"/>
      <c r="AH15820" s="3"/>
    </row>
    <row r="15821" spans="1:34" ht="14.25" customHeight="1" x14ac:dyDescent="0.25">
      <c r="A15821" s="3"/>
      <c r="B15821" s="3"/>
      <c r="C15821" s="3"/>
      <c r="D15821" s="3"/>
      <c r="E15821" s="3"/>
      <c r="F15821" s="3"/>
      <c r="G15821" s="3"/>
      <c r="H15821" s="11"/>
      <c r="I15821" s="12"/>
      <c r="J15821" s="3"/>
      <c r="K15821" s="3"/>
      <c r="L15821" s="3"/>
      <c r="M15821" s="3"/>
      <c r="N15821" s="3"/>
      <c r="O15821" s="3"/>
      <c r="P15821" s="3"/>
      <c r="Q15821" s="3"/>
      <c r="R15821" s="3"/>
      <c r="S15821" s="3"/>
      <c r="T15821" s="3"/>
      <c r="U15821" s="3"/>
      <c r="V15821" s="3"/>
      <c r="W15821" s="3"/>
      <c r="X15821" s="3"/>
      <c r="Y15821" s="3"/>
      <c r="Z15821" s="3"/>
      <c r="AA15821" s="3"/>
      <c r="AB15821" s="3"/>
      <c r="AC15821" s="3"/>
      <c r="AD15821" s="3"/>
      <c r="AE15821" s="3"/>
      <c r="AF15821" s="3"/>
      <c r="AG15821" s="3"/>
      <c r="AH15821" s="3"/>
    </row>
    <row r="15822" spans="1:34" ht="14.25" customHeight="1" x14ac:dyDescent="0.25">
      <c r="A15822" s="3"/>
      <c r="B15822" s="3"/>
      <c r="C15822" s="3"/>
      <c r="D15822" s="3"/>
      <c r="E15822" s="3"/>
      <c r="F15822" s="3"/>
      <c r="G15822" s="3"/>
      <c r="H15822" s="11"/>
      <c r="I15822" s="12"/>
      <c r="J15822" s="3"/>
      <c r="K15822" s="3"/>
      <c r="L15822" s="3"/>
      <c r="M15822" s="3"/>
      <c r="N15822" s="3"/>
      <c r="O15822" s="3"/>
      <c r="P15822" s="3"/>
      <c r="Q15822" s="3"/>
      <c r="R15822" s="3"/>
      <c r="S15822" s="3"/>
      <c r="T15822" s="3"/>
      <c r="U15822" s="3"/>
      <c r="V15822" s="3"/>
      <c r="W15822" s="3"/>
      <c r="X15822" s="3"/>
      <c r="Y15822" s="3"/>
      <c r="Z15822" s="3"/>
      <c r="AA15822" s="3"/>
      <c r="AB15822" s="3"/>
      <c r="AC15822" s="3"/>
      <c r="AD15822" s="3"/>
      <c r="AE15822" s="3"/>
      <c r="AF15822" s="3"/>
      <c r="AG15822" s="3"/>
      <c r="AH15822" s="3"/>
    </row>
    <row r="15823" spans="1:34" ht="14.25" customHeight="1" x14ac:dyDescent="0.25">
      <c r="A15823" s="3"/>
      <c r="B15823" s="3"/>
      <c r="C15823" s="3"/>
      <c r="D15823" s="3"/>
      <c r="E15823" s="3"/>
      <c r="F15823" s="3"/>
      <c r="G15823" s="3"/>
      <c r="H15823" s="11"/>
      <c r="I15823" s="12"/>
      <c r="J15823" s="3"/>
      <c r="K15823" s="3"/>
      <c r="L15823" s="3"/>
      <c r="M15823" s="3"/>
      <c r="N15823" s="3"/>
      <c r="O15823" s="3"/>
      <c r="P15823" s="3"/>
      <c r="Q15823" s="3"/>
      <c r="R15823" s="3"/>
      <c r="S15823" s="3"/>
      <c r="T15823" s="3"/>
      <c r="U15823" s="3"/>
      <c r="V15823" s="3"/>
      <c r="W15823" s="3"/>
      <c r="X15823" s="3"/>
      <c r="Y15823" s="3"/>
      <c r="Z15823" s="3"/>
      <c r="AA15823" s="3"/>
      <c r="AB15823" s="3"/>
      <c r="AC15823" s="3"/>
      <c r="AD15823" s="3"/>
      <c r="AE15823" s="3"/>
      <c r="AF15823" s="3"/>
      <c r="AG15823" s="3"/>
      <c r="AH15823" s="3"/>
    </row>
    <row r="15824" spans="1:34" ht="14.25" customHeight="1" x14ac:dyDescent="0.25">
      <c r="A15824" s="3"/>
      <c r="B15824" s="3"/>
      <c r="C15824" s="3"/>
      <c r="D15824" s="3"/>
      <c r="E15824" s="3"/>
      <c r="F15824" s="3"/>
      <c r="G15824" s="3"/>
      <c r="H15824" s="11"/>
      <c r="I15824" s="12"/>
      <c r="J15824" s="3"/>
      <c r="K15824" s="3"/>
      <c r="L15824" s="3"/>
      <c r="M15824" s="3"/>
      <c r="N15824" s="3"/>
      <c r="O15824" s="3"/>
      <c r="P15824" s="3"/>
      <c r="Q15824" s="3"/>
      <c r="R15824" s="3"/>
      <c r="S15824" s="3"/>
      <c r="T15824" s="3"/>
      <c r="U15824" s="3"/>
      <c r="V15824" s="3"/>
      <c r="W15824" s="3"/>
      <c r="X15824" s="3"/>
      <c r="Y15824" s="3"/>
      <c r="Z15824" s="3"/>
      <c r="AA15824" s="3"/>
      <c r="AB15824" s="3"/>
      <c r="AC15824" s="3"/>
      <c r="AD15824" s="3"/>
      <c r="AE15824" s="3"/>
      <c r="AF15824" s="3"/>
      <c r="AG15824" s="3"/>
      <c r="AH15824" s="3"/>
    </row>
    <row r="15825" spans="1:34" ht="14.25" customHeight="1" x14ac:dyDescent="0.25">
      <c r="A15825" s="3"/>
      <c r="B15825" s="3"/>
      <c r="C15825" s="3"/>
      <c r="D15825" s="3"/>
      <c r="E15825" s="3"/>
      <c r="F15825" s="3"/>
      <c r="G15825" s="3"/>
      <c r="H15825" s="11"/>
      <c r="I15825" s="12"/>
      <c r="J15825" s="3"/>
      <c r="K15825" s="3"/>
      <c r="L15825" s="3"/>
      <c r="M15825" s="3"/>
      <c r="N15825" s="3"/>
      <c r="O15825" s="3"/>
      <c r="P15825" s="3"/>
      <c r="Q15825" s="3"/>
      <c r="R15825" s="3"/>
      <c r="S15825" s="3"/>
      <c r="T15825" s="3"/>
      <c r="U15825" s="3"/>
      <c r="V15825" s="3"/>
      <c r="W15825" s="3"/>
      <c r="X15825" s="3"/>
      <c r="Y15825" s="3"/>
      <c r="Z15825" s="3"/>
      <c r="AA15825" s="3"/>
      <c r="AB15825" s="3"/>
      <c r="AC15825" s="3"/>
      <c r="AD15825" s="3"/>
      <c r="AE15825" s="3"/>
      <c r="AF15825" s="3"/>
      <c r="AG15825" s="3"/>
      <c r="AH15825" s="3"/>
    </row>
    <row r="15826" spans="1:34" ht="14.25" customHeight="1" x14ac:dyDescent="0.25">
      <c r="A15826" s="3"/>
      <c r="B15826" s="3"/>
      <c r="C15826" s="3"/>
      <c r="D15826" s="3"/>
      <c r="E15826" s="3"/>
      <c r="F15826" s="3"/>
      <c r="G15826" s="3"/>
      <c r="H15826" s="11"/>
      <c r="I15826" s="12"/>
      <c r="J15826" s="3"/>
      <c r="K15826" s="3"/>
      <c r="L15826" s="3"/>
      <c r="M15826" s="3"/>
      <c r="N15826" s="3"/>
      <c r="O15826" s="3"/>
      <c r="P15826" s="3"/>
      <c r="Q15826" s="3"/>
      <c r="R15826" s="3"/>
      <c r="S15826" s="3"/>
      <c r="T15826" s="3"/>
      <c r="U15826" s="3"/>
      <c r="V15826" s="3"/>
      <c r="W15826" s="3"/>
      <c r="X15826" s="3"/>
      <c r="Y15826" s="3"/>
      <c r="Z15826" s="3"/>
      <c r="AA15826" s="3"/>
      <c r="AB15826" s="3"/>
      <c r="AC15826" s="3"/>
      <c r="AD15826" s="3"/>
      <c r="AE15826" s="3"/>
      <c r="AF15826" s="3"/>
      <c r="AG15826" s="3"/>
      <c r="AH15826" s="3"/>
    </row>
    <row r="15827" spans="1:34" ht="14.25" customHeight="1" x14ac:dyDescent="0.25">
      <c r="A15827" s="3"/>
      <c r="B15827" s="3"/>
      <c r="C15827" s="3"/>
      <c r="D15827" s="3"/>
      <c r="E15827" s="3"/>
      <c r="F15827" s="3"/>
      <c r="G15827" s="3"/>
      <c r="H15827" s="11"/>
      <c r="I15827" s="12"/>
      <c r="J15827" s="3"/>
      <c r="K15827" s="3"/>
      <c r="L15827" s="3"/>
      <c r="M15827" s="3"/>
      <c r="N15827" s="3"/>
      <c r="O15827" s="3"/>
      <c r="P15827" s="3"/>
      <c r="Q15827" s="3"/>
      <c r="R15827" s="3"/>
      <c r="S15827" s="3"/>
      <c r="T15827" s="3"/>
      <c r="U15827" s="3"/>
      <c r="V15827" s="3"/>
      <c r="W15827" s="3"/>
      <c r="X15827" s="3"/>
      <c r="Y15827" s="3"/>
      <c r="Z15827" s="3"/>
      <c r="AA15827" s="3"/>
      <c r="AB15827" s="3"/>
      <c r="AC15827" s="3"/>
      <c r="AD15827" s="3"/>
      <c r="AE15827" s="3"/>
      <c r="AF15827" s="3"/>
      <c r="AG15827" s="3"/>
      <c r="AH15827" s="3"/>
    </row>
    <row r="15828" spans="1:34" ht="14.25" customHeight="1" x14ac:dyDescent="0.25">
      <c r="A15828" s="3"/>
      <c r="B15828" s="3"/>
      <c r="C15828" s="3"/>
      <c r="D15828" s="3"/>
      <c r="E15828" s="3"/>
      <c r="F15828" s="3"/>
      <c r="G15828" s="3"/>
      <c r="H15828" s="11"/>
      <c r="I15828" s="12"/>
      <c r="J15828" s="3"/>
      <c r="K15828" s="3"/>
      <c r="L15828" s="3"/>
      <c r="M15828" s="3"/>
      <c r="N15828" s="3"/>
      <c r="O15828" s="3"/>
      <c r="P15828" s="3"/>
      <c r="Q15828" s="3"/>
      <c r="R15828" s="3"/>
      <c r="S15828" s="3"/>
      <c r="T15828" s="3"/>
      <c r="U15828" s="3"/>
      <c r="V15828" s="3"/>
      <c r="W15828" s="3"/>
      <c r="X15828" s="3"/>
      <c r="Y15828" s="3"/>
      <c r="Z15828" s="3"/>
      <c r="AA15828" s="3"/>
      <c r="AB15828" s="3"/>
      <c r="AC15828" s="3"/>
      <c r="AD15828" s="3"/>
      <c r="AE15828" s="3"/>
      <c r="AF15828" s="3"/>
      <c r="AG15828" s="3"/>
      <c r="AH15828" s="3"/>
    </row>
    <row r="15829" spans="1:34" ht="14.25" customHeight="1" x14ac:dyDescent="0.25">
      <c r="A15829" s="3"/>
      <c r="B15829" s="3"/>
      <c r="C15829" s="3"/>
      <c r="D15829" s="3"/>
      <c r="E15829" s="3"/>
      <c r="F15829" s="3"/>
      <c r="G15829" s="3"/>
      <c r="H15829" s="11"/>
      <c r="I15829" s="12"/>
      <c r="J15829" s="3"/>
      <c r="K15829" s="3"/>
      <c r="L15829" s="3"/>
      <c r="M15829" s="3"/>
      <c r="N15829" s="3"/>
      <c r="O15829" s="3"/>
      <c r="P15829" s="3"/>
      <c r="Q15829" s="3"/>
      <c r="R15829" s="3"/>
      <c r="S15829" s="3"/>
      <c r="T15829" s="3"/>
      <c r="U15829" s="3"/>
      <c r="V15829" s="3"/>
      <c r="W15829" s="3"/>
      <c r="X15829" s="3"/>
      <c r="Y15829" s="3"/>
      <c r="Z15829" s="3"/>
      <c r="AA15829" s="3"/>
      <c r="AB15829" s="3"/>
      <c r="AC15829" s="3"/>
      <c r="AD15829" s="3"/>
      <c r="AE15829" s="3"/>
      <c r="AF15829" s="3"/>
      <c r="AG15829" s="3"/>
      <c r="AH15829" s="3"/>
    </row>
    <row r="15830" spans="1:34" ht="14.25" customHeight="1" x14ac:dyDescent="0.25">
      <c r="A15830" s="3"/>
      <c r="B15830" s="3"/>
      <c r="C15830" s="3"/>
      <c r="D15830" s="3"/>
      <c r="E15830" s="3"/>
      <c r="F15830" s="3"/>
      <c r="G15830" s="3"/>
      <c r="H15830" s="11"/>
      <c r="I15830" s="12"/>
      <c r="J15830" s="3"/>
      <c r="K15830" s="3"/>
      <c r="L15830" s="3"/>
      <c r="M15830" s="3"/>
      <c r="N15830" s="3"/>
      <c r="O15830" s="3"/>
      <c r="P15830" s="3"/>
      <c r="Q15830" s="3"/>
      <c r="R15830" s="3"/>
      <c r="S15830" s="3"/>
      <c r="T15830" s="3"/>
      <c r="U15830" s="3"/>
      <c r="V15830" s="3"/>
      <c r="W15830" s="3"/>
      <c r="X15830" s="3"/>
      <c r="Y15830" s="3"/>
      <c r="Z15830" s="3"/>
      <c r="AA15830" s="3"/>
      <c r="AB15830" s="3"/>
      <c r="AC15830" s="3"/>
      <c r="AD15830" s="3"/>
      <c r="AE15830" s="3"/>
      <c r="AF15830" s="3"/>
      <c r="AG15830" s="3"/>
      <c r="AH15830" s="3"/>
    </row>
    <row r="15831" spans="1:34" ht="14.25" customHeight="1" x14ac:dyDescent="0.25">
      <c r="A15831" s="3"/>
      <c r="B15831" s="3"/>
      <c r="C15831" s="3"/>
      <c r="D15831" s="3"/>
      <c r="E15831" s="3"/>
      <c r="F15831" s="3"/>
      <c r="G15831" s="3"/>
      <c r="H15831" s="11"/>
      <c r="I15831" s="12"/>
      <c r="J15831" s="3"/>
      <c r="K15831" s="3"/>
      <c r="L15831" s="3"/>
      <c r="M15831" s="3"/>
      <c r="N15831" s="3"/>
      <c r="O15831" s="3"/>
      <c r="P15831" s="3"/>
      <c r="Q15831" s="3"/>
      <c r="R15831" s="3"/>
      <c r="S15831" s="3"/>
      <c r="T15831" s="3"/>
      <c r="U15831" s="3"/>
      <c r="V15831" s="3"/>
      <c r="W15831" s="3"/>
      <c r="X15831" s="3"/>
      <c r="Y15831" s="3"/>
      <c r="Z15831" s="3"/>
      <c r="AA15831" s="3"/>
      <c r="AB15831" s="3"/>
      <c r="AC15831" s="3"/>
      <c r="AD15831" s="3"/>
      <c r="AE15831" s="3"/>
      <c r="AF15831" s="3"/>
      <c r="AG15831" s="3"/>
      <c r="AH15831" s="3"/>
    </row>
    <row r="15832" spans="1:34" ht="14.25" customHeight="1" x14ac:dyDescent="0.25">
      <c r="A15832" s="3"/>
      <c r="B15832" s="3"/>
      <c r="C15832" s="3"/>
      <c r="D15832" s="3"/>
      <c r="E15832" s="3"/>
      <c r="F15832" s="3"/>
      <c r="G15832" s="3"/>
      <c r="H15832" s="11"/>
      <c r="I15832" s="12"/>
      <c r="J15832" s="3"/>
      <c r="K15832" s="3"/>
      <c r="L15832" s="3"/>
      <c r="M15832" s="3"/>
      <c r="N15832" s="3"/>
      <c r="O15832" s="3"/>
      <c r="P15832" s="3"/>
      <c r="Q15832" s="3"/>
      <c r="R15832" s="3"/>
      <c r="S15832" s="3"/>
      <c r="T15832" s="3"/>
      <c r="U15832" s="3"/>
      <c r="V15832" s="3"/>
      <c r="W15832" s="3"/>
      <c r="X15832" s="3"/>
      <c r="Y15832" s="3"/>
      <c r="Z15832" s="3"/>
      <c r="AA15832" s="3"/>
      <c r="AB15832" s="3"/>
      <c r="AC15832" s="3"/>
      <c r="AD15832" s="3"/>
      <c r="AE15832" s="3"/>
      <c r="AF15832" s="3"/>
      <c r="AG15832" s="3"/>
      <c r="AH15832" s="3"/>
    </row>
    <row r="15833" spans="1:34" ht="14.25" customHeight="1" x14ac:dyDescent="0.25">
      <c r="A15833" s="3"/>
      <c r="B15833" s="3"/>
      <c r="C15833" s="3"/>
      <c r="D15833" s="3"/>
      <c r="E15833" s="3"/>
      <c r="F15833" s="3"/>
      <c r="G15833" s="3"/>
      <c r="H15833" s="11"/>
      <c r="I15833" s="12"/>
      <c r="J15833" s="3"/>
      <c r="K15833" s="3"/>
      <c r="L15833" s="3"/>
      <c r="M15833" s="3"/>
      <c r="N15833" s="3"/>
      <c r="O15833" s="3"/>
      <c r="P15833" s="3"/>
      <c r="Q15833" s="3"/>
      <c r="R15833" s="3"/>
      <c r="S15833" s="3"/>
      <c r="T15833" s="3"/>
      <c r="U15833" s="3"/>
      <c r="V15833" s="3"/>
      <c r="W15833" s="3"/>
      <c r="X15833" s="3"/>
      <c r="Y15833" s="3"/>
      <c r="Z15833" s="3"/>
      <c r="AA15833" s="3"/>
      <c r="AB15833" s="3"/>
      <c r="AC15833" s="3"/>
      <c r="AD15833" s="3"/>
      <c r="AE15833" s="3"/>
      <c r="AF15833" s="3"/>
      <c r="AG15833" s="3"/>
      <c r="AH15833" s="3"/>
    </row>
    <row r="15834" spans="1:34" ht="14.25" customHeight="1" x14ac:dyDescent="0.25">
      <c r="A15834" s="3"/>
      <c r="B15834" s="3"/>
      <c r="C15834" s="3"/>
      <c r="D15834" s="3"/>
      <c r="E15834" s="3"/>
      <c r="F15834" s="3"/>
      <c r="G15834" s="3"/>
      <c r="H15834" s="11"/>
      <c r="I15834" s="12"/>
      <c r="J15834" s="3"/>
      <c r="K15834" s="3"/>
      <c r="L15834" s="3"/>
      <c r="M15834" s="3"/>
      <c r="N15834" s="3"/>
      <c r="O15834" s="3"/>
      <c r="P15834" s="3"/>
      <c r="Q15834" s="3"/>
      <c r="R15834" s="3"/>
      <c r="S15834" s="3"/>
      <c r="T15834" s="3"/>
      <c r="U15834" s="3"/>
      <c r="V15834" s="3"/>
      <c r="W15834" s="3"/>
      <c r="X15834" s="3"/>
      <c r="Y15834" s="3"/>
      <c r="Z15834" s="3"/>
      <c r="AA15834" s="3"/>
      <c r="AB15834" s="3"/>
      <c r="AC15834" s="3"/>
      <c r="AD15834" s="3"/>
      <c r="AE15834" s="3"/>
      <c r="AF15834" s="3"/>
      <c r="AG15834" s="3"/>
      <c r="AH15834" s="3"/>
    </row>
    <row r="15835" spans="1:34" ht="14.25" customHeight="1" x14ac:dyDescent="0.25">
      <c r="A15835" s="3"/>
      <c r="B15835" s="3"/>
      <c r="C15835" s="3"/>
      <c r="D15835" s="3"/>
      <c r="E15835" s="3"/>
      <c r="F15835" s="3"/>
      <c r="G15835" s="3"/>
      <c r="H15835" s="11"/>
      <c r="I15835" s="12"/>
      <c r="J15835" s="3"/>
      <c r="K15835" s="3"/>
      <c r="L15835" s="3"/>
      <c r="M15835" s="3"/>
      <c r="N15835" s="3"/>
      <c r="O15835" s="3"/>
      <c r="P15835" s="3"/>
      <c r="Q15835" s="3"/>
      <c r="R15835" s="3"/>
      <c r="S15835" s="3"/>
      <c r="T15835" s="3"/>
      <c r="U15835" s="3"/>
      <c r="V15835" s="3"/>
      <c r="W15835" s="3"/>
      <c r="X15835" s="3"/>
      <c r="Y15835" s="3"/>
      <c r="Z15835" s="3"/>
      <c r="AA15835" s="3"/>
      <c r="AB15835" s="3"/>
      <c r="AC15835" s="3"/>
      <c r="AD15835" s="3"/>
      <c r="AE15835" s="3"/>
      <c r="AF15835" s="3"/>
      <c r="AG15835" s="3"/>
      <c r="AH15835" s="3"/>
    </row>
    <row r="15836" spans="1:34" ht="14.25" customHeight="1" x14ac:dyDescent="0.25">
      <c r="A15836" s="3"/>
      <c r="B15836" s="3"/>
      <c r="C15836" s="3"/>
      <c r="D15836" s="3"/>
      <c r="E15836" s="3"/>
      <c r="F15836" s="3"/>
      <c r="G15836" s="3"/>
      <c r="H15836" s="11"/>
      <c r="I15836" s="12"/>
      <c r="J15836" s="3"/>
      <c r="K15836" s="3"/>
      <c r="L15836" s="3"/>
      <c r="M15836" s="3"/>
      <c r="N15836" s="3"/>
      <c r="O15836" s="3"/>
      <c r="P15836" s="3"/>
      <c r="Q15836" s="3"/>
      <c r="R15836" s="3"/>
      <c r="S15836" s="3"/>
      <c r="T15836" s="3"/>
      <c r="U15836" s="3"/>
      <c r="V15836" s="3"/>
      <c r="W15836" s="3"/>
      <c r="X15836" s="3"/>
      <c r="Y15836" s="3"/>
      <c r="Z15836" s="3"/>
      <c r="AA15836" s="3"/>
      <c r="AB15836" s="3"/>
      <c r="AC15836" s="3"/>
      <c r="AD15836" s="3"/>
      <c r="AE15836" s="3"/>
      <c r="AF15836" s="3"/>
      <c r="AG15836" s="3"/>
      <c r="AH15836" s="3"/>
    </row>
    <row r="15837" spans="1:34" ht="14.25" customHeight="1" x14ac:dyDescent="0.25">
      <c r="A15837" s="3"/>
      <c r="B15837" s="3"/>
      <c r="C15837" s="3"/>
      <c r="D15837" s="3"/>
      <c r="E15837" s="3"/>
      <c r="F15837" s="3"/>
      <c r="G15837" s="3"/>
      <c r="H15837" s="11"/>
      <c r="I15837" s="12"/>
      <c r="J15837" s="3"/>
      <c r="K15837" s="3"/>
      <c r="L15837" s="3"/>
      <c r="M15837" s="3"/>
      <c r="N15837" s="3"/>
      <c r="O15837" s="3"/>
      <c r="P15837" s="3"/>
      <c r="Q15837" s="3"/>
      <c r="R15837" s="3"/>
      <c r="S15837" s="3"/>
      <c r="T15837" s="3"/>
      <c r="U15837" s="3"/>
      <c r="V15837" s="3"/>
      <c r="W15837" s="3"/>
      <c r="X15837" s="3"/>
      <c r="Y15837" s="3"/>
      <c r="Z15837" s="3"/>
      <c r="AA15837" s="3"/>
      <c r="AB15837" s="3"/>
      <c r="AC15837" s="3"/>
      <c r="AD15837" s="3"/>
      <c r="AE15837" s="3"/>
      <c r="AF15837" s="3"/>
      <c r="AG15837" s="3"/>
      <c r="AH15837" s="3"/>
    </row>
    <row r="15838" spans="1:34" ht="14.25" customHeight="1" x14ac:dyDescent="0.25">
      <c r="A15838" s="3"/>
      <c r="B15838" s="3"/>
      <c r="C15838" s="3"/>
      <c r="D15838" s="3"/>
      <c r="E15838" s="3"/>
      <c r="F15838" s="3"/>
      <c r="G15838" s="3"/>
      <c r="H15838" s="11"/>
      <c r="I15838" s="12"/>
      <c r="J15838" s="3"/>
      <c r="K15838" s="3"/>
      <c r="L15838" s="3"/>
      <c r="M15838" s="3"/>
      <c r="N15838" s="3"/>
      <c r="O15838" s="3"/>
      <c r="P15838" s="3"/>
      <c r="Q15838" s="3"/>
      <c r="R15838" s="3"/>
      <c r="S15838" s="3"/>
      <c r="T15838" s="3"/>
      <c r="U15838" s="3"/>
      <c r="V15838" s="3"/>
      <c r="W15838" s="3"/>
      <c r="X15838" s="3"/>
      <c r="Y15838" s="3"/>
      <c r="Z15838" s="3"/>
      <c r="AA15838" s="3"/>
      <c r="AB15838" s="3"/>
      <c r="AC15838" s="3"/>
      <c r="AD15838" s="3"/>
      <c r="AE15838" s="3"/>
      <c r="AF15838" s="3"/>
      <c r="AG15838" s="3"/>
      <c r="AH15838" s="3"/>
    </row>
    <row r="15839" spans="1:34" ht="14.25" customHeight="1" x14ac:dyDescent="0.25">
      <c r="A15839" s="3"/>
      <c r="B15839" s="3"/>
      <c r="C15839" s="3"/>
      <c r="D15839" s="3"/>
      <c r="E15839" s="3"/>
      <c r="F15839" s="3"/>
      <c r="G15839" s="3"/>
      <c r="H15839" s="11"/>
      <c r="I15839" s="12"/>
      <c r="J15839" s="3"/>
      <c r="K15839" s="3"/>
      <c r="L15839" s="3"/>
      <c r="M15839" s="3"/>
      <c r="N15839" s="3"/>
      <c r="O15839" s="3"/>
      <c r="P15839" s="3"/>
      <c r="Q15839" s="3"/>
      <c r="R15839" s="3"/>
      <c r="S15839" s="3"/>
      <c r="T15839" s="3"/>
      <c r="U15839" s="3"/>
      <c r="V15839" s="3"/>
      <c r="W15839" s="3"/>
      <c r="X15839" s="3"/>
      <c r="Y15839" s="3"/>
      <c r="Z15839" s="3"/>
      <c r="AA15839" s="3"/>
      <c r="AB15839" s="3"/>
      <c r="AC15839" s="3"/>
      <c r="AD15839" s="3"/>
      <c r="AE15839" s="3"/>
      <c r="AF15839" s="3"/>
      <c r="AG15839" s="3"/>
      <c r="AH15839" s="3"/>
    </row>
    <row r="15840" spans="1:34" ht="14.25" customHeight="1" x14ac:dyDescent="0.25">
      <c r="A15840" s="3"/>
      <c r="B15840" s="3"/>
      <c r="C15840" s="3"/>
      <c r="D15840" s="3"/>
      <c r="E15840" s="3"/>
      <c r="F15840" s="3"/>
      <c r="G15840" s="3"/>
      <c r="H15840" s="11"/>
      <c r="I15840" s="12"/>
      <c r="J15840" s="3"/>
      <c r="K15840" s="3"/>
      <c r="L15840" s="3"/>
      <c r="M15840" s="3"/>
      <c r="N15840" s="3"/>
      <c r="O15840" s="3"/>
      <c r="P15840" s="3"/>
      <c r="Q15840" s="3"/>
      <c r="R15840" s="3"/>
      <c r="S15840" s="3"/>
      <c r="T15840" s="3"/>
      <c r="U15840" s="3"/>
      <c r="V15840" s="3"/>
      <c r="W15840" s="3"/>
      <c r="X15840" s="3"/>
      <c r="Y15840" s="3"/>
      <c r="Z15840" s="3"/>
      <c r="AA15840" s="3"/>
      <c r="AB15840" s="3"/>
      <c r="AC15840" s="3"/>
      <c r="AD15840" s="3"/>
      <c r="AE15840" s="3"/>
      <c r="AF15840" s="3"/>
      <c r="AG15840" s="3"/>
      <c r="AH15840" s="3"/>
    </row>
    <row r="15841" spans="1:34" ht="14.25" customHeight="1" x14ac:dyDescent="0.25">
      <c r="A15841" s="3"/>
      <c r="B15841" s="3"/>
      <c r="C15841" s="3"/>
      <c r="D15841" s="3"/>
      <c r="E15841" s="3"/>
      <c r="F15841" s="3"/>
      <c r="G15841" s="3"/>
      <c r="H15841" s="11"/>
      <c r="I15841" s="12"/>
      <c r="J15841" s="3"/>
      <c r="K15841" s="3"/>
      <c r="L15841" s="3"/>
      <c r="M15841" s="3"/>
      <c r="N15841" s="3"/>
      <c r="O15841" s="3"/>
      <c r="P15841" s="3"/>
      <c r="Q15841" s="3"/>
      <c r="R15841" s="3"/>
      <c r="S15841" s="3"/>
      <c r="T15841" s="3"/>
      <c r="U15841" s="3"/>
      <c r="V15841" s="3"/>
      <c r="W15841" s="3"/>
      <c r="X15841" s="3"/>
      <c r="Y15841" s="3"/>
      <c r="Z15841" s="3"/>
      <c r="AA15841" s="3"/>
      <c r="AB15841" s="3"/>
      <c r="AC15841" s="3"/>
      <c r="AD15841" s="3"/>
      <c r="AE15841" s="3"/>
      <c r="AF15841" s="3"/>
      <c r="AG15841" s="3"/>
      <c r="AH15841" s="3"/>
    </row>
    <row r="15842" spans="1:34" ht="14.25" customHeight="1" x14ac:dyDescent="0.25">
      <c r="A15842" s="3"/>
      <c r="B15842" s="3"/>
      <c r="C15842" s="3"/>
      <c r="D15842" s="3"/>
      <c r="E15842" s="3"/>
      <c r="F15842" s="3"/>
      <c r="G15842" s="3"/>
      <c r="H15842" s="11"/>
      <c r="I15842" s="12"/>
      <c r="J15842" s="3"/>
      <c r="K15842" s="3"/>
      <c r="L15842" s="3"/>
      <c r="M15842" s="3"/>
      <c r="N15842" s="3"/>
      <c r="O15842" s="3"/>
      <c r="P15842" s="3"/>
      <c r="Q15842" s="3"/>
      <c r="R15842" s="3"/>
      <c r="S15842" s="3"/>
      <c r="T15842" s="3"/>
      <c r="U15842" s="3"/>
      <c r="V15842" s="3"/>
      <c r="W15842" s="3"/>
      <c r="X15842" s="3"/>
      <c r="Y15842" s="3"/>
      <c r="Z15842" s="3"/>
      <c r="AA15842" s="3"/>
      <c r="AB15842" s="3"/>
      <c r="AC15842" s="3"/>
      <c r="AD15842" s="3"/>
      <c r="AE15842" s="3"/>
      <c r="AF15842" s="3"/>
      <c r="AG15842" s="3"/>
      <c r="AH15842" s="3"/>
    </row>
    <row r="15843" spans="1:34" ht="14.25" customHeight="1" x14ac:dyDescent="0.25">
      <c r="A15843" s="3"/>
      <c r="B15843" s="3"/>
      <c r="C15843" s="3"/>
      <c r="D15843" s="3"/>
      <c r="E15843" s="3"/>
      <c r="F15843" s="3"/>
      <c r="G15843" s="3"/>
      <c r="H15843" s="11"/>
      <c r="I15843" s="12"/>
      <c r="J15843" s="3"/>
      <c r="K15843" s="3"/>
      <c r="L15843" s="3"/>
      <c r="M15843" s="3"/>
      <c r="N15843" s="3"/>
      <c r="O15843" s="3"/>
      <c r="P15843" s="3"/>
      <c r="Q15843" s="3"/>
      <c r="R15843" s="3"/>
      <c r="S15843" s="3"/>
      <c r="T15843" s="3"/>
      <c r="U15843" s="3"/>
      <c r="V15843" s="3"/>
      <c r="W15843" s="3"/>
      <c r="X15843" s="3"/>
      <c r="Y15843" s="3"/>
      <c r="Z15843" s="3"/>
      <c r="AA15843" s="3"/>
      <c r="AB15843" s="3"/>
      <c r="AC15843" s="3"/>
      <c r="AD15843" s="3"/>
      <c r="AE15843" s="3"/>
      <c r="AF15843" s="3"/>
      <c r="AG15843" s="3"/>
      <c r="AH15843" s="3"/>
    </row>
    <row r="15844" spans="1:34" ht="14.25" customHeight="1" x14ac:dyDescent="0.25">
      <c r="A15844" s="3"/>
      <c r="B15844" s="3"/>
      <c r="C15844" s="3"/>
      <c r="D15844" s="3"/>
      <c r="E15844" s="3"/>
      <c r="F15844" s="3"/>
      <c r="G15844" s="3"/>
      <c r="H15844" s="11"/>
      <c r="I15844" s="12"/>
      <c r="J15844" s="3"/>
      <c r="K15844" s="3"/>
      <c r="L15844" s="3"/>
      <c r="M15844" s="3"/>
      <c r="N15844" s="3"/>
      <c r="O15844" s="3"/>
      <c r="P15844" s="3"/>
      <c r="Q15844" s="3"/>
      <c r="R15844" s="3"/>
      <c r="S15844" s="3"/>
      <c r="T15844" s="3"/>
      <c r="U15844" s="3"/>
      <c r="V15844" s="3"/>
      <c r="W15844" s="3"/>
      <c r="X15844" s="3"/>
      <c r="Y15844" s="3"/>
      <c r="Z15844" s="3"/>
      <c r="AA15844" s="3"/>
      <c r="AB15844" s="3"/>
      <c r="AC15844" s="3"/>
      <c r="AD15844" s="3"/>
      <c r="AE15844" s="3"/>
      <c r="AF15844" s="3"/>
      <c r="AG15844" s="3"/>
      <c r="AH15844" s="3"/>
    </row>
    <row r="15845" spans="1:34" ht="14.25" customHeight="1" x14ac:dyDescent="0.25">
      <c r="A15845" s="3"/>
      <c r="B15845" s="3"/>
      <c r="C15845" s="3"/>
      <c r="D15845" s="3"/>
      <c r="E15845" s="3"/>
      <c r="F15845" s="3"/>
      <c r="G15845" s="3"/>
      <c r="H15845" s="11"/>
      <c r="I15845" s="12"/>
      <c r="J15845" s="3"/>
      <c r="K15845" s="3"/>
      <c r="L15845" s="3"/>
      <c r="M15845" s="3"/>
      <c r="N15845" s="3"/>
      <c r="O15845" s="3"/>
      <c r="P15845" s="3"/>
      <c r="Q15845" s="3"/>
      <c r="R15845" s="3"/>
      <c r="S15845" s="3"/>
      <c r="T15845" s="3"/>
      <c r="U15845" s="3"/>
      <c r="V15845" s="3"/>
      <c r="W15845" s="3"/>
      <c r="X15845" s="3"/>
      <c r="Y15845" s="3"/>
      <c r="Z15845" s="3"/>
      <c r="AA15845" s="3"/>
      <c r="AB15845" s="3"/>
      <c r="AC15845" s="3"/>
      <c r="AD15845" s="3"/>
      <c r="AE15845" s="3"/>
      <c r="AF15845" s="3"/>
      <c r="AG15845" s="3"/>
      <c r="AH15845" s="3"/>
    </row>
    <row r="15846" spans="1:34" ht="14.25" customHeight="1" x14ac:dyDescent="0.25">
      <c r="A15846" s="3"/>
      <c r="B15846" s="3"/>
      <c r="C15846" s="3"/>
      <c r="D15846" s="3"/>
      <c r="E15846" s="3"/>
      <c r="F15846" s="3"/>
      <c r="G15846" s="3"/>
      <c r="H15846" s="11"/>
      <c r="I15846" s="12"/>
      <c r="J15846" s="3"/>
      <c r="K15846" s="3"/>
      <c r="L15846" s="3"/>
      <c r="M15846" s="3"/>
      <c r="N15846" s="3"/>
      <c r="O15846" s="3"/>
      <c r="P15846" s="3"/>
      <c r="Q15846" s="3"/>
      <c r="R15846" s="3"/>
      <c r="S15846" s="3"/>
      <c r="T15846" s="3"/>
      <c r="U15846" s="3"/>
      <c r="V15846" s="3"/>
      <c r="W15846" s="3"/>
      <c r="X15846" s="3"/>
      <c r="Y15846" s="3"/>
      <c r="Z15846" s="3"/>
      <c r="AA15846" s="3"/>
      <c r="AB15846" s="3"/>
      <c r="AC15846" s="3"/>
      <c r="AD15846" s="3"/>
      <c r="AE15846" s="3"/>
      <c r="AF15846" s="3"/>
      <c r="AG15846" s="3"/>
      <c r="AH15846" s="3"/>
    </row>
    <row r="15847" spans="1:34" ht="14.25" customHeight="1" x14ac:dyDescent="0.25">
      <c r="A15847" s="3"/>
      <c r="B15847" s="3"/>
      <c r="C15847" s="3"/>
      <c r="D15847" s="3"/>
      <c r="E15847" s="3"/>
      <c r="F15847" s="3"/>
      <c r="G15847" s="3"/>
      <c r="H15847" s="11"/>
      <c r="I15847" s="12"/>
      <c r="J15847" s="3"/>
      <c r="K15847" s="3"/>
      <c r="L15847" s="3"/>
      <c r="M15847" s="3"/>
      <c r="N15847" s="3"/>
      <c r="O15847" s="3"/>
      <c r="P15847" s="3"/>
      <c r="Q15847" s="3"/>
      <c r="R15847" s="3"/>
      <c r="S15847" s="3"/>
      <c r="T15847" s="3"/>
      <c r="U15847" s="3"/>
      <c r="V15847" s="3"/>
      <c r="W15847" s="3"/>
      <c r="X15847" s="3"/>
      <c r="Y15847" s="3"/>
      <c r="Z15847" s="3"/>
      <c r="AA15847" s="3"/>
      <c r="AB15847" s="3"/>
      <c r="AC15847" s="3"/>
      <c r="AD15847" s="3"/>
      <c r="AE15847" s="3"/>
      <c r="AF15847" s="3"/>
      <c r="AG15847" s="3"/>
      <c r="AH15847" s="3"/>
    </row>
    <row r="15848" spans="1:34" ht="14.25" customHeight="1" x14ac:dyDescent="0.25">
      <c r="A15848" s="3"/>
      <c r="B15848" s="3"/>
      <c r="C15848" s="3"/>
      <c r="D15848" s="3"/>
      <c r="E15848" s="3"/>
      <c r="F15848" s="3"/>
      <c r="G15848" s="3"/>
      <c r="H15848" s="11"/>
      <c r="I15848" s="12"/>
      <c r="J15848" s="3"/>
      <c r="K15848" s="3"/>
      <c r="L15848" s="3"/>
      <c r="M15848" s="3"/>
      <c r="N15848" s="3"/>
      <c r="O15848" s="3"/>
      <c r="P15848" s="3"/>
      <c r="Q15848" s="3"/>
      <c r="R15848" s="3"/>
      <c r="S15848" s="3"/>
      <c r="T15848" s="3"/>
      <c r="U15848" s="3"/>
      <c r="V15848" s="3"/>
      <c r="W15848" s="3"/>
      <c r="X15848" s="3"/>
      <c r="Y15848" s="3"/>
      <c r="Z15848" s="3"/>
      <c r="AA15848" s="3"/>
      <c r="AB15848" s="3"/>
      <c r="AC15848" s="3"/>
      <c r="AD15848" s="3"/>
      <c r="AE15848" s="3"/>
      <c r="AF15848" s="3"/>
      <c r="AG15848" s="3"/>
      <c r="AH15848" s="3"/>
    </row>
    <row r="15849" spans="1:34" ht="14.25" customHeight="1" x14ac:dyDescent="0.25">
      <c r="A15849" s="3"/>
      <c r="B15849" s="3"/>
      <c r="C15849" s="3"/>
      <c r="D15849" s="3"/>
      <c r="E15849" s="3"/>
      <c r="F15849" s="3"/>
      <c r="G15849" s="3"/>
      <c r="H15849" s="11"/>
      <c r="I15849" s="12"/>
      <c r="J15849" s="3"/>
      <c r="K15849" s="3"/>
      <c r="L15849" s="3"/>
      <c r="M15849" s="3"/>
      <c r="N15849" s="3"/>
      <c r="O15849" s="3"/>
      <c r="P15849" s="3"/>
      <c r="Q15849" s="3"/>
      <c r="R15849" s="3"/>
      <c r="S15849" s="3"/>
      <c r="T15849" s="3"/>
      <c r="U15849" s="3"/>
      <c r="V15849" s="3"/>
      <c r="W15849" s="3"/>
      <c r="X15849" s="3"/>
      <c r="Y15849" s="3"/>
      <c r="Z15849" s="3"/>
      <c r="AA15849" s="3"/>
      <c r="AB15849" s="3"/>
      <c r="AC15849" s="3"/>
      <c r="AD15849" s="3"/>
      <c r="AE15849" s="3"/>
      <c r="AF15849" s="3"/>
      <c r="AG15849" s="3"/>
      <c r="AH15849" s="3"/>
    </row>
    <row r="15850" spans="1:34" ht="14.25" customHeight="1" x14ac:dyDescent="0.25">
      <c r="A15850" s="3"/>
      <c r="B15850" s="3"/>
      <c r="C15850" s="3"/>
      <c r="D15850" s="3"/>
      <c r="E15850" s="3"/>
      <c r="F15850" s="3"/>
      <c r="G15850" s="3"/>
      <c r="H15850" s="11"/>
      <c r="I15850" s="12"/>
      <c r="J15850" s="3"/>
      <c r="K15850" s="3"/>
      <c r="L15850" s="3"/>
      <c r="M15850" s="3"/>
      <c r="N15850" s="3"/>
      <c r="O15850" s="3"/>
      <c r="P15850" s="3"/>
      <c r="Q15850" s="3"/>
      <c r="R15850" s="3"/>
      <c r="S15850" s="3"/>
      <c r="T15850" s="3"/>
      <c r="U15850" s="3"/>
      <c r="V15850" s="3"/>
      <c r="W15850" s="3"/>
      <c r="X15850" s="3"/>
      <c r="Y15850" s="3"/>
      <c r="Z15850" s="3"/>
      <c r="AA15850" s="3"/>
      <c r="AB15850" s="3"/>
      <c r="AC15850" s="3"/>
      <c r="AD15850" s="3"/>
      <c r="AE15850" s="3"/>
      <c r="AF15850" s="3"/>
      <c r="AG15850" s="3"/>
      <c r="AH15850" s="3"/>
    </row>
    <row r="15851" spans="1:34" ht="14.25" customHeight="1" x14ac:dyDescent="0.25">
      <c r="A15851" s="3"/>
      <c r="B15851" s="3"/>
      <c r="C15851" s="3"/>
      <c r="D15851" s="3"/>
      <c r="E15851" s="3"/>
      <c r="F15851" s="3"/>
      <c r="G15851" s="3"/>
      <c r="H15851" s="11"/>
      <c r="I15851" s="12"/>
      <c r="J15851" s="3"/>
      <c r="K15851" s="3"/>
      <c r="L15851" s="3"/>
      <c r="M15851" s="3"/>
      <c r="N15851" s="3"/>
      <c r="O15851" s="3"/>
      <c r="P15851" s="3"/>
      <c r="Q15851" s="3"/>
      <c r="R15851" s="3"/>
      <c r="S15851" s="3"/>
      <c r="T15851" s="3"/>
      <c r="U15851" s="3"/>
      <c r="V15851" s="3"/>
      <c r="W15851" s="3"/>
      <c r="X15851" s="3"/>
      <c r="Y15851" s="3"/>
      <c r="Z15851" s="3"/>
      <c r="AA15851" s="3"/>
      <c r="AB15851" s="3"/>
      <c r="AC15851" s="3"/>
      <c r="AD15851" s="3"/>
      <c r="AE15851" s="3"/>
      <c r="AF15851" s="3"/>
      <c r="AG15851" s="3"/>
      <c r="AH15851" s="3"/>
    </row>
    <row r="15852" spans="1:34" ht="14.25" customHeight="1" x14ac:dyDescent="0.25">
      <c r="A15852" s="3"/>
      <c r="B15852" s="3"/>
      <c r="C15852" s="3"/>
      <c r="D15852" s="3"/>
      <c r="E15852" s="3"/>
      <c r="F15852" s="3"/>
      <c r="G15852" s="3"/>
      <c r="H15852" s="11"/>
      <c r="I15852" s="12"/>
      <c r="J15852" s="3"/>
      <c r="K15852" s="3"/>
      <c r="L15852" s="3"/>
      <c r="M15852" s="3"/>
      <c r="N15852" s="3"/>
      <c r="O15852" s="3"/>
      <c r="P15852" s="3"/>
      <c r="Q15852" s="3"/>
      <c r="R15852" s="3"/>
      <c r="S15852" s="3"/>
      <c r="T15852" s="3"/>
      <c r="U15852" s="3"/>
      <c r="V15852" s="3"/>
      <c r="W15852" s="3"/>
      <c r="X15852" s="3"/>
      <c r="Y15852" s="3"/>
      <c r="Z15852" s="3"/>
      <c r="AA15852" s="3"/>
      <c r="AB15852" s="3"/>
      <c r="AC15852" s="3"/>
      <c r="AD15852" s="3"/>
      <c r="AE15852" s="3"/>
      <c r="AF15852" s="3"/>
      <c r="AG15852" s="3"/>
      <c r="AH15852" s="3"/>
    </row>
    <row r="15853" spans="1:34" ht="14.25" customHeight="1" x14ac:dyDescent="0.25">
      <c r="A15853" s="3"/>
      <c r="B15853" s="3"/>
      <c r="C15853" s="3"/>
      <c r="D15853" s="3"/>
      <c r="E15853" s="3"/>
      <c r="F15853" s="3"/>
      <c r="G15853" s="3"/>
      <c r="H15853" s="11"/>
      <c r="I15853" s="12"/>
      <c r="J15853" s="3"/>
      <c r="K15853" s="3"/>
      <c r="L15853" s="3"/>
      <c r="M15853" s="3"/>
      <c r="N15853" s="3"/>
      <c r="O15853" s="3"/>
      <c r="P15853" s="3"/>
      <c r="Q15853" s="3"/>
      <c r="R15853" s="3"/>
      <c r="S15853" s="3"/>
      <c r="T15853" s="3"/>
      <c r="U15853" s="3"/>
      <c r="V15853" s="3"/>
      <c r="W15853" s="3"/>
      <c r="X15853" s="3"/>
      <c r="Y15853" s="3"/>
      <c r="Z15853" s="3"/>
      <c r="AA15853" s="3"/>
      <c r="AB15853" s="3"/>
      <c r="AC15853" s="3"/>
      <c r="AD15853" s="3"/>
      <c r="AE15853" s="3"/>
      <c r="AF15853" s="3"/>
      <c r="AG15853" s="3"/>
      <c r="AH15853" s="3"/>
    </row>
    <row r="15854" spans="1:34" ht="14.25" customHeight="1" x14ac:dyDescent="0.25">
      <c r="A15854" s="3"/>
      <c r="B15854" s="3"/>
      <c r="C15854" s="3"/>
      <c r="D15854" s="3"/>
      <c r="E15854" s="3"/>
      <c r="F15854" s="3"/>
      <c r="G15854" s="3"/>
      <c r="H15854" s="11"/>
      <c r="I15854" s="12"/>
      <c r="J15854" s="3"/>
      <c r="K15854" s="3"/>
      <c r="L15854" s="3"/>
      <c r="M15854" s="3"/>
      <c r="N15854" s="3"/>
      <c r="O15854" s="3"/>
      <c r="P15854" s="3"/>
      <c r="Q15854" s="3"/>
      <c r="R15854" s="3"/>
      <c r="S15854" s="3"/>
      <c r="T15854" s="3"/>
      <c r="U15854" s="3"/>
      <c r="V15854" s="3"/>
      <c r="W15854" s="3"/>
      <c r="X15854" s="3"/>
      <c r="Y15854" s="3"/>
      <c r="Z15854" s="3"/>
      <c r="AA15854" s="3"/>
      <c r="AB15854" s="3"/>
      <c r="AC15854" s="3"/>
      <c r="AD15854" s="3"/>
      <c r="AE15854" s="3"/>
      <c r="AF15854" s="3"/>
      <c r="AG15854" s="3"/>
      <c r="AH15854" s="3"/>
    </row>
    <row r="15855" spans="1:34" ht="14.25" customHeight="1" x14ac:dyDescent="0.25">
      <c r="A15855" s="3"/>
      <c r="B15855" s="3"/>
      <c r="C15855" s="3"/>
      <c r="D15855" s="3"/>
      <c r="E15855" s="3"/>
      <c r="F15855" s="3"/>
      <c r="G15855" s="3"/>
      <c r="H15855" s="11"/>
      <c r="I15855" s="12"/>
      <c r="J15855" s="3"/>
      <c r="K15855" s="3"/>
      <c r="L15855" s="3"/>
      <c r="M15855" s="3"/>
      <c r="N15855" s="3"/>
      <c r="O15855" s="3"/>
      <c r="P15855" s="3"/>
      <c r="Q15855" s="3"/>
      <c r="R15855" s="3"/>
      <c r="S15855" s="3"/>
      <c r="T15855" s="3"/>
      <c r="U15855" s="3"/>
      <c r="V15855" s="3"/>
      <c r="W15855" s="3"/>
      <c r="X15855" s="3"/>
      <c r="Y15855" s="3"/>
      <c r="Z15855" s="3"/>
      <c r="AA15855" s="3"/>
      <c r="AB15855" s="3"/>
      <c r="AC15855" s="3"/>
      <c r="AD15855" s="3"/>
      <c r="AE15855" s="3"/>
      <c r="AF15855" s="3"/>
      <c r="AG15855" s="3"/>
      <c r="AH15855" s="3"/>
    </row>
    <row r="15856" spans="1:34" ht="14.25" customHeight="1" x14ac:dyDescent="0.25">
      <c r="A15856" s="3"/>
      <c r="B15856" s="3"/>
      <c r="C15856" s="3"/>
      <c r="D15856" s="3"/>
      <c r="E15856" s="3"/>
      <c r="F15856" s="3"/>
      <c r="G15856" s="3"/>
      <c r="H15856" s="11"/>
      <c r="I15856" s="12"/>
      <c r="J15856" s="3"/>
      <c r="K15856" s="3"/>
      <c r="L15856" s="3"/>
      <c r="M15856" s="3"/>
      <c r="N15856" s="3"/>
      <c r="O15856" s="3"/>
      <c r="P15856" s="3"/>
      <c r="Q15856" s="3"/>
      <c r="R15856" s="3"/>
      <c r="S15856" s="3"/>
      <c r="T15856" s="3"/>
      <c r="U15856" s="3"/>
      <c r="V15856" s="3"/>
      <c r="W15856" s="3"/>
      <c r="X15856" s="3"/>
      <c r="Y15856" s="3"/>
      <c r="Z15856" s="3"/>
      <c r="AA15856" s="3"/>
      <c r="AB15856" s="3"/>
      <c r="AC15856" s="3"/>
      <c r="AD15856" s="3"/>
      <c r="AE15856" s="3"/>
      <c r="AF15856" s="3"/>
      <c r="AG15856" s="3"/>
      <c r="AH15856" s="3"/>
    </row>
    <row r="15857" spans="1:34" ht="14.25" customHeight="1" x14ac:dyDescent="0.25">
      <c r="A15857" s="3"/>
      <c r="B15857" s="3"/>
      <c r="C15857" s="3"/>
      <c r="D15857" s="3"/>
      <c r="E15857" s="3"/>
      <c r="F15857" s="3"/>
      <c r="G15857" s="3"/>
      <c r="H15857" s="11"/>
      <c r="I15857" s="12"/>
      <c r="J15857" s="3"/>
      <c r="K15857" s="3"/>
      <c r="L15857" s="3"/>
      <c r="M15857" s="3"/>
      <c r="N15857" s="3"/>
      <c r="O15857" s="3"/>
      <c r="P15857" s="3"/>
      <c r="Q15857" s="3"/>
      <c r="R15857" s="3"/>
      <c r="S15857" s="3"/>
      <c r="T15857" s="3"/>
      <c r="U15857" s="3"/>
      <c r="V15857" s="3"/>
      <c r="W15857" s="3"/>
      <c r="X15857" s="3"/>
      <c r="Y15857" s="3"/>
      <c r="Z15857" s="3"/>
      <c r="AA15857" s="3"/>
      <c r="AB15857" s="3"/>
      <c r="AC15857" s="3"/>
      <c r="AD15857" s="3"/>
      <c r="AE15857" s="3"/>
      <c r="AF15857" s="3"/>
      <c r="AG15857" s="3"/>
      <c r="AH15857" s="3"/>
    </row>
    <row r="15858" spans="1:34" ht="14.25" customHeight="1" x14ac:dyDescent="0.25">
      <c r="A15858" s="3"/>
      <c r="B15858" s="3"/>
      <c r="C15858" s="3"/>
      <c r="D15858" s="3"/>
      <c r="E15858" s="3"/>
      <c r="F15858" s="3"/>
      <c r="G15858" s="3"/>
      <c r="H15858" s="11"/>
      <c r="I15858" s="12"/>
      <c r="J15858" s="3"/>
      <c r="K15858" s="3"/>
      <c r="L15858" s="3"/>
      <c r="M15858" s="3"/>
      <c r="N15858" s="3"/>
      <c r="O15858" s="3"/>
      <c r="P15858" s="3"/>
      <c r="Q15858" s="3"/>
      <c r="R15858" s="3"/>
      <c r="S15858" s="3"/>
      <c r="T15858" s="3"/>
      <c r="U15858" s="3"/>
      <c r="V15858" s="3"/>
      <c r="W15858" s="3"/>
      <c r="X15858" s="3"/>
      <c r="Y15858" s="3"/>
      <c r="Z15858" s="3"/>
      <c r="AA15858" s="3"/>
      <c r="AB15858" s="3"/>
      <c r="AC15858" s="3"/>
      <c r="AD15858" s="3"/>
      <c r="AE15858" s="3"/>
      <c r="AF15858" s="3"/>
      <c r="AG15858" s="3"/>
      <c r="AH15858" s="3"/>
    </row>
    <row r="15859" spans="1:34" ht="14.25" customHeight="1" x14ac:dyDescent="0.25">
      <c r="A15859" s="3"/>
      <c r="B15859" s="3"/>
      <c r="C15859" s="3"/>
      <c r="D15859" s="3"/>
      <c r="E15859" s="3"/>
      <c r="F15859" s="3"/>
      <c r="G15859" s="3"/>
      <c r="H15859" s="11"/>
      <c r="I15859" s="12"/>
      <c r="J15859" s="3"/>
      <c r="K15859" s="3"/>
      <c r="L15859" s="3"/>
      <c r="M15859" s="3"/>
      <c r="N15859" s="3"/>
      <c r="O15859" s="3"/>
      <c r="P15859" s="3"/>
      <c r="Q15859" s="3"/>
      <c r="R15859" s="3"/>
      <c r="S15859" s="3"/>
      <c r="T15859" s="3"/>
      <c r="U15859" s="3"/>
      <c r="V15859" s="3"/>
      <c r="W15859" s="3"/>
      <c r="X15859" s="3"/>
      <c r="Y15859" s="3"/>
      <c r="Z15859" s="3"/>
      <c r="AA15859" s="3"/>
      <c r="AB15859" s="3"/>
      <c r="AC15859" s="3"/>
      <c r="AD15859" s="3"/>
      <c r="AE15859" s="3"/>
      <c r="AF15859" s="3"/>
      <c r="AG15859" s="3"/>
      <c r="AH15859" s="3"/>
    </row>
    <row r="15860" spans="1:34" ht="14.25" customHeight="1" x14ac:dyDescent="0.25">
      <c r="A15860" s="3"/>
      <c r="B15860" s="3"/>
      <c r="C15860" s="3"/>
      <c r="D15860" s="3"/>
      <c r="E15860" s="3"/>
      <c r="F15860" s="3"/>
      <c r="G15860" s="3"/>
      <c r="H15860" s="11"/>
      <c r="I15860" s="12"/>
      <c r="J15860" s="3"/>
      <c r="K15860" s="3"/>
      <c r="L15860" s="3"/>
      <c r="M15860" s="3"/>
      <c r="N15860" s="3"/>
      <c r="O15860" s="3"/>
      <c r="P15860" s="3"/>
      <c r="Q15860" s="3"/>
      <c r="R15860" s="3"/>
      <c r="S15860" s="3"/>
      <c r="T15860" s="3"/>
      <c r="U15860" s="3"/>
      <c r="V15860" s="3"/>
      <c r="W15860" s="3"/>
      <c r="X15860" s="3"/>
      <c r="Y15860" s="3"/>
      <c r="Z15860" s="3"/>
      <c r="AA15860" s="3"/>
      <c r="AB15860" s="3"/>
      <c r="AC15860" s="3"/>
      <c r="AD15860" s="3"/>
      <c r="AE15860" s="3"/>
      <c r="AF15860" s="3"/>
      <c r="AG15860" s="3"/>
      <c r="AH15860" s="3"/>
    </row>
    <row r="15861" spans="1:34" ht="14.25" customHeight="1" x14ac:dyDescent="0.25">
      <c r="A15861" s="3"/>
      <c r="B15861" s="3"/>
      <c r="C15861" s="3"/>
      <c r="D15861" s="3"/>
      <c r="E15861" s="3"/>
      <c r="F15861" s="3"/>
      <c r="G15861" s="3"/>
      <c r="H15861" s="11"/>
      <c r="I15861" s="12"/>
      <c r="J15861" s="3"/>
      <c r="K15861" s="3"/>
      <c r="L15861" s="3"/>
      <c r="M15861" s="3"/>
      <c r="N15861" s="3"/>
      <c r="O15861" s="3"/>
      <c r="P15861" s="3"/>
      <c r="Q15861" s="3"/>
      <c r="R15861" s="3"/>
      <c r="S15861" s="3"/>
      <c r="T15861" s="3"/>
      <c r="U15861" s="3"/>
      <c r="V15861" s="3"/>
      <c r="W15861" s="3"/>
      <c r="X15861" s="3"/>
      <c r="Y15861" s="3"/>
      <c r="Z15861" s="3"/>
      <c r="AA15861" s="3"/>
      <c r="AB15861" s="3"/>
      <c r="AC15861" s="3"/>
      <c r="AD15861" s="3"/>
      <c r="AE15861" s="3"/>
      <c r="AF15861" s="3"/>
      <c r="AG15861" s="3"/>
      <c r="AH15861" s="3"/>
    </row>
    <row r="15862" spans="1:34" ht="14.25" customHeight="1" x14ac:dyDescent="0.25">
      <c r="A15862" s="3"/>
      <c r="B15862" s="3"/>
      <c r="C15862" s="3"/>
      <c r="D15862" s="3"/>
      <c r="E15862" s="3"/>
      <c r="F15862" s="3"/>
      <c r="G15862" s="3"/>
      <c r="H15862" s="11"/>
      <c r="I15862" s="12"/>
      <c r="J15862" s="3"/>
      <c r="K15862" s="3"/>
      <c r="L15862" s="3"/>
      <c r="M15862" s="3"/>
      <c r="N15862" s="3"/>
      <c r="O15862" s="3"/>
      <c r="P15862" s="3"/>
      <c r="Q15862" s="3"/>
      <c r="R15862" s="3"/>
      <c r="S15862" s="3"/>
      <c r="T15862" s="3"/>
      <c r="U15862" s="3"/>
      <c r="V15862" s="3"/>
      <c r="W15862" s="3"/>
      <c r="X15862" s="3"/>
      <c r="Y15862" s="3"/>
      <c r="Z15862" s="3"/>
      <c r="AA15862" s="3"/>
      <c r="AB15862" s="3"/>
      <c r="AC15862" s="3"/>
      <c r="AD15862" s="3"/>
      <c r="AE15862" s="3"/>
      <c r="AF15862" s="3"/>
      <c r="AG15862" s="3"/>
      <c r="AH15862" s="3"/>
    </row>
    <row r="15863" spans="1:34" ht="14.25" customHeight="1" x14ac:dyDescent="0.25">
      <c r="A15863" s="3"/>
      <c r="B15863" s="3"/>
      <c r="C15863" s="3"/>
      <c r="D15863" s="3"/>
      <c r="E15863" s="3"/>
      <c r="F15863" s="3"/>
      <c r="G15863" s="3"/>
      <c r="H15863" s="11"/>
      <c r="I15863" s="12"/>
      <c r="J15863" s="3"/>
      <c r="K15863" s="3"/>
      <c r="L15863" s="3"/>
      <c r="M15863" s="3"/>
      <c r="N15863" s="3"/>
      <c r="O15863" s="3"/>
      <c r="P15863" s="3"/>
      <c r="Q15863" s="3"/>
      <c r="R15863" s="3"/>
      <c r="S15863" s="3"/>
      <c r="T15863" s="3"/>
      <c r="U15863" s="3"/>
      <c r="V15863" s="3"/>
      <c r="W15863" s="3"/>
      <c r="X15863" s="3"/>
      <c r="Y15863" s="3"/>
      <c r="Z15863" s="3"/>
      <c r="AA15863" s="3"/>
      <c r="AB15863" s="3"/>
      <c r="AC15863" s="3"/>
      <c r="AD15863" s="3"/>
      <c r="AE15863" s="3"/>
      <c r="AF15863" s="3"/>
      <c r="AG15863" s="3"/>
      <c r="AH15863" s="3"/>
    </row>
    <row r="15864" spans="1:34" ht="14.25" customHeight="1" x14ac:dyDescent="0.25">
      <c r="A15864" s="3"/>
      <c r="B15864" s="3"/>
      <c r="C15864" s="3"/>
      <c r="D15864" s="3"/>
      <c r="E15864" s="3"/>
      <c r="F15864" s="3"/>
      <c r="G15864" s="3"/>
      <c r="H15864" s="11"/>
      <c r="I15864" s="12"/>
      <c r="J15864" s="3"/>
      <c r="K15864" s="3"/>
      <c r="L15864" s="3"/>
      <c r="M15864" s="3"/>
      <c r="N15864" s="3"/>
      <c r="O15864" s="3"/>
      <c r="P15864" s="3"/>
      <c r="Q15864" s="3"/>
      <c r="R15864" s="3"/>
      <c r="S15864" s="3"/>
      <c r="T15864" s="3"/>
      <c r="U15864" s="3"/>
      <c r="V15864" s="3"/>
      <c r="W15864" s="3"/>
      <c r="X15864" s="3"/>
      <c r="Y15864" s="3"/>
      <c r="Z15864" s="3"/>
      <c r="AA15864" s="3"/>
      <c r="AB15864" s="3"/>
      <c r="AC15864" s="3"/>
      <c r="AD15864" s="3"/>
      <c r="AE15864" s="3"/>
      <c r="AF15864" s="3"/>
      <c r="AG15864" s="3"/>
      <c r="AH15864" s="3"/>
    </row>
    <row r="15865" spans="1:34" ht="14.25" customHeight="1" x14ac:dyDescent="0.25">
      <c r="A15865" s="3"/>
      <c r="B15865" s="3"/>
      <c r="C15865" s="3"/>
      <c r="D15865" s="3"/>
      <c r="E15865" s="3"/>
      <c r="F15865" s="3"/>
      <c r="G15865" s="3"/>
      <c r="H15865" s="11"/>
      <c r="I15865" s="12"/>
      <c r="J15865" s="3"/>
      <c r="K15865" s="3"/>
      <c r="L15865" s="3"/>
      <c r="M15865" s="3"/>
      <c r="N15865" s="3"/>
      <c r="O15865" s="3"/>
      <c r="P15865" s="3"/>
      <c r="Q15865" s="3"/>
      <c r="R15865" s="3"/>
      <c r="S15865" s="3"/>
      <c r="T15865" s="3"/>
      <c r="U15865" s="3"/>
      <c r="V15865" s="3"/>
      <c r="W15865" s="3"/>
      <c r="X15865" s="3"/>
      <c r="Y15865" s="3"/>
      <c r="Z15865" s="3"/>
      <c r="AA15865" s="3"/>
      <c r="AB15865" s="3"/>
      <c r="AC15865" s="3"/>
      <c r="AD15865" s="3"/>
      <c r="AE15865" s="3"/>
      <c r="AF15865" s="3"/>
      <c r="AG15865" s="3"/>
      <c r="AH15865" s="3"/>
    </row>
    <row r="15866" spans="1:34" ht="14.25" customHeight="1" x14ac:dyDescent="0.25">
      <c r="A15866" s="3"/>
      <c r="B15866" s="3"/>
      <c r="C15866" s="3"/>
      <c r="D15866" s="3"/>
      <c r="E15866" s="3"/>
      <c r="F15866" s="3"/>
      <c r="G15866" s="3"/>
      <c r="H15866" s="11"/>
      <c r="I15866" s="12"/>
      <c r="J15866" s="3"/>
      <c r="K15866" s="3"/>
      <c r="L15866" s="3"/>
      <c r="M15866" s="3"/>
      <c r="N15866" s="3"/>
      <c r="O15866" s="3"/>
      <c r="P15866" s="3"/>
      <c r="Q15866" s="3"/>
      <c r="R15866" s="3"/>
      <c r="S15866" s="3"/>
      <c r="T15866" s="3"/>
      <c r="U15866" s="3"/>
      <c r="V15866" s="3"/>
      <c r="W15866" s="3"/>
      <c r="X15866" s="3"/>
      <c r="Y15866" s="3"/>
      <c r="Z15866" s="3"/>
      <c r="AA15866" s="3"/>
      <c r="AB15866" s="3"/>
      <c r="AC15866" s="3"/>
      <c r="AD15866" s="3"/>
      <c r="AE15866" s="3"/>
      <c r="AF15866" s="3"/>
      <c r="AG15866" s="3"/>
      <c r="AH15866" s="3"/>
    </row>
    <row r="15867" spans="1:34" ht="14.25" customHeight="1" x14ac:dyDescent="0.25">
      <c r="A15867" s="3"/>
      <c r="B15867" s="3"/>
      <c r="C15867" s="3"/>
      <c r="D15867" s="3"/>
      <c r="E15867" s="3"/>
      <c r="F15867" s="3"/>
      <c r="G15867" s="3"/>
      <c r="H15867" s="11"/>
      <c r="I15867" s="12"/>
      <c r="J15867" s="3"/>
      <c r="K15867" s="3"/>
      <c r="L15867" s="3"/>
      <c r="M15867" s="3"/>
      <c r="N15867" s="3"/>
      <c r="O15867" s="3"/>
      <c r="P15867" s="3"/>
      <c r="Q15867" s="3"/>
      <c r="R15867" s="3"/>
      <c r="S15867" s="3"/>
      <c r="T15867" s="3"/>
      <c r="U15867" s="3"/>
      <c r="V15867" s="3"/>
      <c r="W15867" s="3"/>
      <c r="X15867" s="3"/>
      <c r="Y15867" s="3"/>
      <c r="Z15867" s="3"/>
      <c r="AA15867" s="3"/>
      <c r="AB15867" s="3"/>
      <c r="AC15867" s="3"/>
      <c r="AD15867" s="3"/>
      <c r="AE15867" s="3"/>
      <c r="AF15867" s="3"/>
      <c r="AG15867" s="3"/>
      <c r="AH15867" s="3"/>
    </row>
    <row r="15868" spans="1:34" ht="14.25" customHeight="1" x14ac:dyDescent="0.25">
      <c r="A15868" s="3"/>
      <c r="B15868" s="3"/>
      <c r="C15868" s="3"/>
      <c r="D15868" s="3"/>
      <c r="E15868" s="3"/>
      <c r="F15868" s="3"/>
      <c r="G15868" s="3"/>
      <c r="H15868" s="11"/>
      <c r="I15868" s="12"/>
      <c r="J15868" s="3"/>
      <c r="K15868" s="3"/>
      <c r="L15868" s="3"/>
      <c r="M15868" s="3"/>
      <c r="N15868" s="3"/>
      <c r="O15868" s="3"/>
      <c r="P15868" s="3"/>
      <c r="Q15868" s="3"/>
      <c r="R15868" s="3"/>
      <c r="S15868" s="3"/>
      <c r="T15868" s="3"/>
      <c r="U15868" s="3"/>
      <c r="V15868" s="3"/>
      <c r="W15868" s="3"/>
      <c r="X15868" s="3"/>
      <c r="Y15868" s="3"/>
      <c r="Z15868" s="3"/>
      <c r="AA15868" s="3"/>
      <c r="AB15868" s="3"/>
      <c r="AC15868" s="3"/>
      <c r="AD15868" s="3"/>
      <c r="AE15868" s="3"/>
      <c r="AF15868" s="3"/>
      <c r="AG15868" s="3"/>
      <c r="AH15868" s="3"/>
    </row>
    <row r="15869" spans="1:34" ht="14.25" customHeight="1" x14ac:dyDescent="0.25">
      <c r="A15869" s="3"/>
      <c r="B15869" s="3"/>
      <c r="C15869" s="3"/>
      <c r="D15869" s="3"/>
      <c r="E15869" s="3"/>
      <c r="F15869" s="3"/>
      <c r="G15869" s="3"/>
      <c r="H15869" s="11"/>
      <c r="I15869" s="12"/>
      <c r="J15869" s="3"/>
      <c r="K15869" s="3"/>
      <c r="L15869" s="3"/>
      <c r="M15869" s="3"/>
      <c r="N15869" s="3"/>
      <c r="O15869" s="3"/>
      <c r="P15869" s="3"/>
      <c r="Q15869" s="3"/>
      <c r="R15869" s="3"/>
      <c r="S15869" s="3"/>
      <c r="T15869" s="3"/>
      <c r="U15869" s="3"/>
      <c r="V15869" s="3"/>
      <c r="W15869" s="3"/>
      <c r="X15869" s="3"/>
      <c r="Y15869" s="3"/>
      <c r="Z15869" s="3"/>
      <c r="AA15869" s="3"/>
      <c r="AB15869" s="3"/>
      <c r="AC15869" s="3"/>
      <c r="AD15869" s="3"/>
      <c r="AE15869" s="3"/>
      <c r="AF15869" s="3"/>
      <c r="AG15869" s="3"/>
      <c r="AH15869" s="3"/>
    </row>
    <row r="15870" spans="1:34" ht="14.25" customHeight="1" x14ac:dyDescent="0.25">
      <c r="A15870" s="3"/>
      <c r="B15870" s="3"/>
      <c r="C15870" s="3"/>
      <c r="D15870" s="3"/>
      <c r="E15870" s="3"/>
      <c r="F15870" s="3"/>
      <c r="G15870" s="3"/>
      <c r="H15870" s="11"/>
      <c r="I15870" s="12"/>
      <c r="J15870" s="3"/>
      <c r="K15870" s="3"/>
      <c r="L15870" s="3"/>
      <c r="M15870" s="3"/>
      <c r="N15870" s="3"/>
      <c r="O15870" s="3"/>
      <c r="P15870" s="3"/>
      <c r="Q15870" s="3"/>
      <c r="R15870" s="3"/>
      <c r="S15870" s="3"/>
      <c r="T15870" s="3"/>
      <c r="U15870" s="3"/>
      <c r="V15870" s="3"/>
      <c r="W15870" s="3"/>
      <c r="X15870" s="3"/>
      <c r="Y15870" s="3"/>
      <c r="Z15870" s="3"/>
      <c r="AA15870" s="3"/>
      <c r="AB15870" s="3"/>
      <c r="AC15870" s="3"/>
      <c r="AD15870" s="3"/>
      <c r="AE15870" s="3"/>
      <c r="AF15870" s="3"/>
      <c r="AG15870" s="3"/>
      <c r="AH15870" s="3"/>
    </row>
    <row r="15871" spans="1:34" ht="14.25" customHeight="1" x14ac:dyDescent="0.25">
      <c r="A15871" s="3"/>
      <c r="B15871" s="3"/>
      <c r="C15871" s="3"/>
      <c r="D15871" s="3"/>
      <c r="E15871" s="3"/>
      <c r="F15871" s="3"/>
      <c r="G15871" s="3"/>
      <c r="H15871" s="11"/>
      <c r="I15871" s="12"/>
      <c r="J15871" s="3"/>
      <c r="K15871" s="3"/>
      <c r="L15871" s="3"/>
      <c r="M15871" s="3"/>
      <c r="N15871" s="3"/>
      <c r="O15871" s="3"/>
      <c r="P15871" s="3"/>
      <c r="Q15871" s="3"/>
      <c r="R15871" s="3"/>
      <c r="S15871" s="3"/>
      <c r="T15871" s="3"/>
      <c r="U15871" s="3"/>
      <c r="V15871" s="3"/>
      <c r="W15871" s="3"/>
      <c r="X15871" s="3"/>
      <c r="Y15871" s="3"/>
      <c r="Z15871" s="3"/>
      <c r="AA15871" s="3"/>
      <c r="AB15871" s="3"/>
      <c r="AC15871" s="3"/>
      <c r="AD15871" s="3"/>
      <c r="AE15871" s="3"/>
      <c r="AF15871" s="3"/>
      <c r="AG15871" s="3"/>
      <c r="AH15871" s="3"/>
    </row>
    <row r="15872" spans="1:34" ht="14.25" customHeight="1" x14ac:dyDescent="0.25">
      <c r="A15872" s="3"/>
      <c r="B15872" s="3"/>
      <c r="C15872" s="3"/>
      <c r="D15872" s="3"/>
      <c r="E15872" s="3"/>
      <c r="F15872" s="3"/>
      <c r="G15872" s="3"/>
      <c r="H15872" s="11"/>
      <c r="I15872" s="12"/>
      <c r="J15872" s="3"/>
      <c r="K15872" s="3"/>
      <c r="L15872" s="3"/>
      <c r="M15872" s="3"/>
      <c r="N15872" s="3"/>
      <c r="O15872" s="3"/>
      <c r="P15872" s="3"/>
      <c r="Q15872" s="3"/>
      <c r="R15872" s="3"/>
      <c r="S15872" s="3"/>
      <c r="T15872" s="3"/>
      <c r="U15872" s="3"/>
      <c r="V15872" s="3"/>
      <c r="W15872" s="3"/>
      <c r="X15872" s="3"/>
      <c r="Y15872" s="3"/>
      <c r="Z15872" s="3"/>
      <c r="AA15872" s="3"/>
      <c r="AB15872" s="3"/>
      <c r="AC15872" s="3"/>
      <c r="AD15872" s="3"/>
      <c r="AE15872" s="3"/>
      <c r="AF15872" s="3"/>
      <c r="AG15872" s="3"/>
      <c r="AH15872" s="3"/>
    </row>
    <row r="15873" spans="1:34" ht="14.25" customHeight="1" x14ac:dyDescent="0.25">
      <c r="A15873" s="3"/>
      <c r="B15873" s="3"/>
      <c r="C15873" s="3"/>
      <c r="D15873" s="3"/>
      <c r="E15873" s="3"/>
      <c r="F15873" s="3"/>
      <c r="G15873" s="3"/>
      <c r="H15873" s="11"/>
      <c r="I15873" s="12"/>
      <c r="J15873" s="3"/>
      <c r="K15873" s="3"/>
      <c r="L15873" s="3"/>
      <c r="M15873" s="3"/>
      <c r="N15873" s="3"/>
      <c r="O15873" s="3"/>
      <c r="P15873" s="3"/>
      <c r="Q15873" s="3"/>
      <c r="R15873" s="3"/>
      <c r="S15873" s="3"/>
      <c r="T15873" s="3"/>
      <c r="U15873" s="3"/>
      <c r="V15873" s="3"/>
      <c r="W15873" s="3"/>
      <c r="X15873" s="3"/>
      <c r="Y15873" s="3"/>
      <c r="Z15873" s="3"/>
      <c r="AA15873" s="3"/>
      <c r="AB15873" s="3"/>
      <c r="AC15873" s="3"/>
      <c r="AD15873" s="3"/>
      <c r="AE15873" s="3"/>
      <c r="AF15873" s="3"/>
      <c r="AG15873" s="3"/>
      <c r="AH15873" s="3"/>
    </row>
    <row r="15874" spans="1:34" ht="14.25" customHeight="1" x14ac:dyDescent="0.25">
      <c r="A15874" s="3"/>
      <c r="B15874" s="3"/>
      <c r="C15874" s="3"/>
      <c r="D15874" s="3"/>
      <c r="E15874" s="3"/>
      <c r="F15874" s="3"/>
      <c r="G15874" s="3"/>
      <c r="H15874" s="11"/>
      <c r="I15874" s="12"/>
      <c r="J15874" s="3"/>
      <c r="K15874" s="3"/>
      <c r="L15874" s="3"/>
      <c r="M15874" s="3"/>
      <c r="N15874" s="3"/>
      <c r="O15874" s="3"/>
      <c r="P15874" s="3"/>
      <c r="Q15874" s="3"/>
      <c r="R15874" s="3"/>
      <c r="S15874" s="3"/>
      <c r="T15874" s="3"/>
      <c r="U15874" s="3"/>
      <c r="V15874" s="3"/>
      <c r="W15874" s="3"/>
      <c r="X15874" s="3"/>
      <c r="Y15874" s="3"/>
      <c r="Z15874" s="3"/>
      <c r="AA15874" s="3"/>
      <c r="AB15874" s="3"/>
      <c r="AC15874" s="3"/>
      <c r="AD15874" s="3"/>
      <c r="AE15874" s="3"/>
      <c r="AF15874" s="3"/>
      <c r="AG15874" s="3"/>
      <c r="AH15874" s="3"/>
    </row>
    <row r="15875" spans="1:34" ht="14.25" customHeight="1" x14ac:dyDescent="0.25">
      <c r="A15875" s="3"/>
      <c r="B15875" s="3"/>
      <c r="C15875" s="3"/>
      <c r="D15875" s="3"/>
      <c r="E15875" s="3"/>
      <c r="F15875" s="3"/>
      <c r="G15875" s="3"/>
      <c r="H15875" s="11"/>
      <c r="I15875" s="12"/>
      <c r="J15875" s="3"/>
      <c r="K15875" s="3"/>
      <c r="L15875" s="3"/>
      <c r="M15875" s="3"/>
      <c r="N15875" s="3"/>
      <c r="O15875" s="3"/>
      <c r="P15875" s="3"/>
      <c r="Q15875" s="3"/>
      <c r="R15875" s="3"/>
      <c r="S15875" s="3"/>
      <c r="T15875" s="3"/>
      <c r="U15875" s="3"/>
      <c r="V15875" s="3"/>
      <c r="W15875" s="3"/>
      <c r="X15875" s="3"/>
      <c r="Y15875" s="3"/>
      <c r="Z15875" s="3"/>
      <c r="AA15875" s="3"/>
      <c r="AB15875" s="3"/>
      <c r="AC15875" s="3"/>
      <c r="AD15875" s="3"/>
      <c r="AE15875" s="3"/>
      <c r="AF15875" s="3"/>
      <c r="AG15875" s="3"/>
      <c r="AH15875" s="3"/>
    </row>
    <row r="15876" spans="1:34" ht="14.25" customHeight="1" x14ac:dyDescent="0.25">
      <c r="A15876" s="3"/>
      <c r="B15876" s="3"/>
      <c r="C15876" s="3"/>
      <c r="D15876" s="3"/>
      <c r="E15876" s="3"/>
      <c r="F15876" s="3"/>
      <c r="G15876" s="3"/>
      <c r="H15876" s="11"/>
      <c r="I15876" s="12"/>
      <c r="J15876" s="3"/>
      <c r="K15876" s="3"/>
      <c r="L15876" s="3"/>
      <c r="M15876" s="3"/>
      <c r="N15876" s="3"/>
      <c r="O15876" s="3"/>
      <c r="P15876" s="3"/>
      <c r="Q15876" s="3"/>
      <c r="R15876" s="3"/>
      <c r="S15876" s="3"/>
      <c r="T15876" s="3"/>
      <c r="U15876" s="3"/>
      <c r="V15876" s="3"/>
      <c r="W15876" s="3"/>
      <c r="X15876" s="3"/>
      <c r="Y15876" s="3"/>
      <c r="Z15876" s="3"/>
      <c r="AA15876" s="3"/>
      <c r="AB15876" s="3"/>
      <c r="AC15876" s="3"/>
      <c r="AD15876" s="3"/>
      <c r="AE15876" s="3"/>
      <c r="AF15876" s="3"/>
      <c r="AG15876" s="3"/>
      <c r="AH15876" s="3"/>
    </row>
    <row r="15877" spans="1:34" ht="14.25" customHeight="1" x14ac:dyDescent="0.25">
      <c r="A15877" s="3"/>
      <c r="B15877" s="3"/>
      <c r="C15877" s="3"/>
      <c r="D15877" s="3"/>
      <c r="E15877" s="3"/>
      <c r="F15877" s="3"/>
      <c r="G15877" s="3"/>
      <c r="H15877" s="11"/>
      <c r="I15877" s="12"/>
      <c r="J15877" s="3"/>
      <c r="K15877" s="3"/>
      <c r="L15877" s="3"/>
      <c r="M15877" s="3"/>
      <c r="N15877" s="3"/>
      <c r="O15877" s="3"/>
      <c r="P15877" s="3"/>
      <c r="Q15877" s="3"/>
      <c r="R15877" s="3"/>
      <c r="S15877" s="3"/>
      <c r="T15877" s="3"/>
      <c r="U15877" s="3"/>
      <c r="V15877" s="3"/>
      <c r="W15877" s="3"/>
      <c r="X15877" s="3"/>
      <c r="Y15877" s="3"/>
      <c r="Z15877" s="3"/>
      <c r="AA15877" s="3"/>
      <c r="AB15877" s="3"/>
      <c r="AC15877" s="3"/>
      <c r="AD15877" s="3"/>
      <c r="AE15877" s="3"/>
      <c r="AF15877" s="3"/>
      <c r="AG15877" s="3"/>
      <c r="AH15877" s="3"/>
    </row>
    <row r="15878" spans="1:34" ht="14.25" customHeight="1" x14ac:dyDescent="0.25">
      <c r="A15878" s="3"/>
      <c r="B15878" s="3"/>
      <c r="C15878" s="3"/>
      <c r="D15878" s="3"/>
      <c r="E15878" s="3"/>
      <c r="F15878" s="3"/>
      <c r="G15878" s="3"/>
      <c r="H15878" s="11"/>
      <c r="I15878" s="12"/>
      <c r="J15878" s="3"/>
      <c r="K15878" s="3"/>
      <c r="L15878" s="3"/>
      <c r="M15878" s="3"/>
      <c r="N15878" s="3"/>
      <c r="O15878" s="3"/>
      <c r="P15878" s="3"/>
      <c r="Q15878" s="3"/>
      <c r="R15878" s="3"/>
      <c r="S15878" s="3"/>
      <c r="T15878" s="3"/>
      <c r="U15878" s="3"/>
      <c r="V15878" s="3"/>
      <c r="W15878" s="3"/>
      <c r="X15878" s="3"/>
      <c r="Y15878" s="3"/>
      <c r="Z15878" s="3"/>
      <c r="AA15878" s="3"/>
      <c r="AB15878" s="3"/>
      <c r="AC15878" s="3"/>
      <c r="AD15878" s="3"/>
      <c r="AE15878" s="3"/>
      <c r="AF15878" s="3"/>
      <c r="AG15878" s="3"/>
      <c r="AH15878" s="3"/>
    </row>
    <row r="15879" spans="1:34" ht="14.25" customHeight="1" x14ac:dyDescent="0.25">
      <c r="A15879" s="3"/>
      <c r="B15879" s="3"/>
      <c r="C15879" s="3"/>
      <c r="D15879" s="3"/>
      <c r="E15879" s="3"/>
      <c r="F15879" s="3"/>
      <c r="G15879" s="3"/>
      <c r="H15879" s="11"/>
      <c r="I15879" s="12"/>
      <c r="J15879" s="3"/>
      <c r="K15879" s="3"/>
      <c r="L15879" s="3"/>
      <c r="M15879" s="3"/>
      <c r="N15879" s="3"/>
      <c r="O15879" s="3"/>
      <c r="P15879" s="3"/>
      <c r="Q15879" s="3"/>
      <c r="R15879" s="3"/>
      <c r="S15879" s="3"/>
      <c r="T15879" s="3"/>
      <c r="U15879" s="3"/>
      <c r="V15879" s="3"/>
      <c r="W15879" s="3"/>
      <c r="X15879" s="3"/>
      <c r="Y15879" s="3"/>
      <c r="Z15879" s="3"/>
      <c r="AA15879" s="3"/>
      <c r="AB15879" s="3"/>
      <c r="AC15879" s="3"/>
      <c r="AD15879" s="3"/>
      <c r="AE15879" s="3"/>
      <c r="AF15879" s="3"/>
      <c r="AG15879" s="3"/>
      <c r="AH15879" s="3"/>
    </row>
    <row r="15880" spans="1:34" ht="14.25" customHeight="1" x14ac:dyDescent="0.25">
      <c r="A15880" s="3"/>
      <c r="B15880" s="3"/>
      <c r="C15880" s="3"/>
      <c r="D15880" s="3"/>
      <c r="E15880" s="3"/>
      <c r="F15880" s="3"/>
      <c r="G15880" s="3"/>
      <c r="H15880" s="11"/>
      <c r="I15880" s="12"/>
      <c r="J15880" s="3"/>
      <c r="K15880" s="3"/>
      <c r="L15880" s="3"/>
      <c r="M15880" s="3"/>
      <c r="N15880" s="3"/>
      <c r="O15880" s="3"/>
      <c r="P15880" s="3"/>
      <c r="Q15880" s="3"/>
      <c r="R15880" s="3"/>
      <c r="S15880" s="3"/>
      <c r="T15880" s="3"/>
      <c r="U15880" s="3"/>
      <c r="V15880" s="3"/>
      <c r="W15880" s="3"/>
      <c r="X15880" s="3"/>
      <c r="Y15880" s="3"/>
      <c r="Z15880" s="3"/>
      <c r="AA15880" s="3"/>
      <c r="AB15880" s="3"/>
      <c r="AC15880" s="3"/>
      <c r="AD15880" s="3"/>
      <c r="AE15880" s="3"/>
      <c r="AF15880" s="3"/>
      <c r="AG15880" s="3"/>
      <c r="AH15880" s="3"/>
    </row>
    <row r="15881" spans="1:34" ht="14.25" customHeight="1" x14ac:dyDescent="0.25">
      <c r="A15881" s="3"/>
      <c r="B15881" s="3"/>
      <c r="C15881" s="3"/>
      <c r="D15881" s="3"/>
      <c r="E15881" s="3"/>
      <c r="F15881" s="3"/>
      <c r="G15881" s="3"/>
      <c r="H15881" s="11"/>
      <c r="I15881" s="12"/>
      <c r="J15881" s="3"/>
      <c r="K15881" s="3"/>
      <c r="L15881" s="3"/>
      <c r="M15881" s="3"/>
      <c r="N15881" s="3"/>
      <c r="O15881" s="3"/>
      <c r="P15881" s="3"/>
      <c r="Q15881" s="3"/>
      <c r="R15881" s="3"/>
      <c r="S15881" s="3"/>
      <c r="T15881" s="3"/>
      <c r="U15881" s="3"/>
      <c r="V15881" s="3"/>
      <c r="W15881" s="3"/>
      <c r="X15881" s="3"/>
      <c r="Y15881" s="3"/>
      <c r="Z15881" s="3"/>
      <c r="AA15881" s="3"/>
      <c r="AB15881" s="3"/>
      <c r="AC15881" s="3"/>
      <c r="AD15881" s="3"/>
      <c r="AE15881" s="3"/>
      <c r="AF15881" s="3"/>
      <c r="AG15881" s="3"/>
      <c r="AH15881" s="3"/>
    </row>
    <row r="15882" spans="1:34" ht="14.25" customHeight="1" x14ac:dyDescent="0.25">
      <c r="A15882" s="3"/>
      <c r="B15882" s="3"/>
      <c r="C15882" s="3"/>
      <c r="D15882" s="3"/>
      <c r="E15882" s="3"/>
      <c r="F15882" s="3"/>
      <c r="G15882" s="3"/>
      <c r="H15882" s="11"/>
      <c r="I15882" s="12"/>
      <c r="J15882" s="3"/>
      <c r="K15882" s="3"/>
      <c r="L15882" s="3"/>
      <c r="M15882" s="3"/>
      <c r="N15882" s="3"/>
      <c r="O15882" s="3"/>
      <c r="P15882" s="3"/>
      <c r="Q15882" s="3"/>
      <c r="R15882" s="3"/>
      <c r="S15882" s="3"/>
      <c r="T15882" s="3"/>
      <c r="U15882" s="3"/>
      <c r="V15882" s="3"/>
      <c r="W15882" s="3"/>
      <c r="X15882" s="3"/>
      <c r="Y15882" s="3"/>
      <c r="Z15882" s="3"/>
      <c r="AA15882" s="3"/>
      <c r="AB15882" s="3"/>
      <c r="AC15882" s="3"/>
      <c r="AD15882" s="3"/>
      <c r="AE15882" s="3"/>
      <c r="AF15882" s="3"/>
      <c r="AG15882" s="3"/>
      <c r="AH15882" s="3"/>
    </row>
    <row r="15883" spans="1:34" ht="14.25" customHeight="1" x14ac:dyDescent="0.25">
      <c r="A15883" s="3"/>
      <c r="B15883" s="3"/>
      <c r="C15883" s="3"/>
      <c r="D15883" s="3"/>
      <c r="E15883" s="3"/>
      <c r="F15883" s="3"/>
      <c r="G15883" s="3"/>
      <c r="H15883" s="11"/>
      <c r="I15883" s="12"/>
      <c r="J15883" s="3"/>
      <c r="K15883" s="3"/>
      <c r="L15883" s="3"/>
      <c r="M15883" s="3"/>
      <c r="N15883" s="3"/>
      <c r="O15883" s="3"/>
      <c r="P15883" s="3"/>
      <c r="Q15883" s="3"/>
      <c r="R15883" s="3"/>
      <c r="S15883" s="3"/>
      <c r="T15883" s="3"/>
      <c r="U15883" s="3"/>
      <c r="V15883" s="3"/>
      <c r="W15883" s="3"/>
      <c r="X15883" s="3"/>
      <c r="Y15883" s="3"/>
      <c r="Z15883" s="3"/>
      <c r="AA15883" s="3"/>
      <c r="AB15883" s="3"/>
      <c r="AC15883" s="3"/>
      <c r="AD15883" s="3"/>
      <c r="AE15883" s="3"/>
      <c r="AF15883" s="3"/>
      <c r="AG15883" s="3"/>
      <c r="AH15883" s="3"/>
    </row>
    <row r="15884" spans="1:34" ht="14.25" customHeight="1" x14ac:dyDescent="0.25">
      <c r="A15884" s="3"/>
      <c r="B15884" s="3"/>
      <c r="C15884" s="3"/>
      <c r="D15884" s="3"/>
      <c r="E15884" s="3"/>
      <c r="F15884" s="3"/>
      <c r="G15884" s="3"/>
      <c r="H15884" s="11"/>
      <c r="I15884" s="12"/>
      <c r="J15884" s="3"/>
      <c r="K15884" s="3"/>
      <c r="L15884" s="3"/>
      <c r="M15884" s="3"/>
      <c r="N15884" s="3"/>
      <c r="O15884" s="3"/>
      <c r="P15884" s="3"/>
      <c r="Q15884" s="3"/>
      <c r="R15884" s="3"/>
      <c r="S15884" s="3"/>
      <c r="T15884" s="3"/>
      <c r="U15884" s="3"/>
      <c r="V15884" s="3"/>
      <c r="W15884" s="3"/>
      <c r="X15884" s="3"/>
      <c r="Y15884" s="3"/>
      <c r="Z15884" s="3"/>
      <c r="AA15884" s="3"/>
      <c r="AB15884" s="3"/>
      <c r="AC15884" s="3"/>
      <c r="AD15884" s="3"/>
      <c r="AE15884" s="3"/>
      <c r="AF15884" s="3"/>
      <c r="AG15884" s="3"/>
      <c r="AH15884" s="3"/>
    </row>
    <row r="15885" spans="1:34" ht="14.25" customHeight="1" x14ac:dyDescent="0.25">
      <c r="A15885" s="3"/>
      <c r="B15885" s="3"/>
      <c r="C15885" s="3"/>
      <c r="D15885" s="3"/>
      <c r="E15885" s="3"/>
      <c r="F15885" s="3"/>
      <c r="G15885" s="3"/>
      <c r="H15885" s="11"/>
      <c r="I15885" s="12"/>
      <c r="J15885" s="3"/>
      <c r="K15885" s="3"/>
      <c r="L15885" s="3"/>
      <c r="M15885" s="3"/>
      <c r="N15885" s="3"/>
      <c r="O15885" s="3"/>
      <c r="P15885" s="3"/>
      <c r="Q15885" s="3"/>
      <c r="R15885" s="3"/>
      <c r="S15885" s="3"/>
      <c r="T15885" s="3"/>
      <c r="U15885" s="3"/>
      <c r="V15885" s="3"/>
      <c r="W15885" s="3"/>
      <c r="X15885" s="3"/>
      <c r="Y15885" s="3"/>
      <c r="Z15885" s="3"/>
      <c r="AA15885" s="3"/>
      <c r="AB15885" s="3"/>
      <c r="AC15885" s="3"/>
      <c r="AD15885" s="3"/>
      <c r="AE15885" s="3"/>
      <c r="AF15885" s="3"/>
      <c r="AG15885" s="3"/>
      <c r="AH15885" s="3"/>
    </row>
    <row r="15886" spans="1:34" ht="14.25" customHeight="1" x14ac:dyDescent="0.25">
      <c r="A15886" s="3"/>
      <c r="B15886" s="3"/>
      <c r="C15886" s="3"/>
      <c r="D15886" s="3"/>
      <c r="E15886" s="3"/>
      <c r="F15886" s="3"/>
      <c r="G15886" s="3"/>
      <c r="H15886" s="11"/>
      <c r="I15886" s="12"/>
      <c r="J15886" s="3"/>
      <c r="K15886" s="3"/>
      <c r="L15886" s="3"/>
      <c r="M15886" s="3"/>
      <c r="N15886" s="3"/>
      <c r="O15886" s="3"/>
      <c r="P15886" s="3"/>
      <c r="Q15886" s="3"/>
      <c r="R15886" s="3"/>
      <c r="S15886" s="3"/>
      <c r="T15886" s="3"/>
      <c r="U15886" s="3"/>
      <c r="V15886" s="3"/>
      <c r="W15886" s="3"/>
      <c r="X15886" s="3"/>
      <c r="Y15886" s="3"/>
      <c r="Z15886" s="3"/>
      <c r="AA15886" s="3"/>
      <c r="AB15886" s="3"/>
      <c r="AC15886" s="3"/>
      <c r="AD15886" s="3"/>
      <c r="AE15886" s="3"/>
      <c r="AF15886" s="3"/>
      <c r="AG15886" s="3"/>
      <c r="AH15886" s="3"/>
    </row>
    <row r="15887" spans="1:34" ht="14.25" customHeight="1" x14ac:dyDescent="0.25">
      <c r="A15887" s="3"/>
      <c r="B15887" s="3"/>
      <c r="C15887" s="3"/>
      <c r="D15887" s="3"/>
      <c r="E15887" s="3"/>
      <c r="F15887" s="3"/>
      <c r="G15887" s="3"/>
      <c r="H15887" s="11"/>
      <c r="I15887" s="12"/>
      <c r="J15887" s="3"/>
      <c r="K15887" s="3"/>
      <c r="L15887" s="3"/>
      <c r="M15887" s="3"/>
      <c r="N15887" s="3"/>
      <c r="O15887" s="3"/>
      <c r="P15887" s="3"/>
      <c r="Q15887" s="3"/>
      <c r="R15887" s="3"/>
      <c r="S15887" s="3"/>
      <c r="T15887" s="3"/>
      <c r="U15887" s="3"/>
      <c r="V15887" s="3"/>
      <c r="W15887" s="3"/>
      <c r="X15887" s="3"/>
      <c r="Y15887" s="3"/>
      <c r="Z15887" s="3"/>
      <c r="AA15887" s="3"/>
      <c r="AB15887" s="3"/>
      <c r="AC15887" s="3"/>
      <c r="AD15887" s="3"/>
      <c r="AE15887" s="3"/>
      <c r="AF15887" s="3"/>
      <c r="AG15887" s="3"/>
      <c r="AH15887" s="3"/>
    </row>
    <row r="15888" spans="1:34" ht="14.25" customHeight="1" x14ac:dyDescent="0.25">
      <c r="A15888" s="3"/>
      <c r="B15888" s="3"/>
      <c r="C15888" s="3"/>
      <c r="D15888" s="3"/>
      <c r="E15888" s="3"/>
      <c r="F15888" s="3"/>
      <c r="G15888" s="3"/>
      <c r="H15888" s="11"/>
      <c r="I15888" s="12"/>
      <c r="J15888" s="3"/>
      <c r="K15888" s="3"/>
      <c r="L15888" s="3"/>
      <c r="M15888" s="3"/>
      <c r="N15888" s="3"/>
      <c r="O15888" s="3"/>
      <c r="P15888" s="3"/>
      <c r="Q15888" s="3"/>
      <c r="R15888" s="3"/>
      <c r="S15888" s="3"/>
      <c r="T15888" s="3"/>
      <c r="U15888" s="3"/>
      <c r="V15888" s="3"/>
      <c r="W15888" s="3"/>
      <c r="X15888" s="3"/>
      <c r="Y15888" s="3"/>
      <c r="Z15888" s="3"/>
      <c r="AA15888" s="3"/>
      <c r="AB15888" s="3"/>
      <c r="AC15888" s="3"/>
      <c r="AD15888" s="3"/>
      <c r="AE15888" s="3"/>
      <c r="AF15888" s="3"/>
      <c r="AG15888" s="3"/>
      <c r="AH15888" s="3"/>
    </row>
    <row r="15889" spans="1:34" ht="14.25" customHeight="1" x14ac:dyDescent="0.25">
      <c r="A15889" s="3"/>
      <c r="B15889" s="3"/>
      <c r="C15889" s="3"/>
      <c r="D15889" s="3"/>
      <c r="E15889" s="3"/>
      <c r="F15889" s="3"/>
      <c r="G15889" s="3"/>
      <c r="H15889" s="11"/>
      <c r="I15889" s="12"/>
      <c r="J15889" s="3"/>
      <c r="K15889" s="3"/>
      <c r="L15889" s="3"/>
      <c r="M15889" s="3"/>
      <c r="N15889" s="3"/>
      <c r="O15889" s="3"/>
      <c r="P15889" s="3"/>
      <c r="Q15889" s="3"/>
      <c r="R15889" s="3"/>
      <c r="S15889" s="3"/>
      <c r="T15889" s="3"/>
      <c r="U15889" s="3"/>
      <c r="V15889" s="3"/>
      <c r="W15889" s="3"/>
      <c r="X15889" s="3"/>
      <c r="Y15889" s="3"/>
      <c r="Z15889" s="3"/>
      <c r="AA15889" s="3"/>
      <c r="AB15889" s="3"/>
      <c r="AC15889" s="3"/>
      <c r="AD15889" s="3"/>
      <c r="AE15889" s="3"/>
      <c r="AF15889" s="3"/>
      <c r="AG15889" s="3"/>
      <c r="AH15889" s="3"/>
    </row>
    <row r="15890" spans="1:34" ht="14.25" customHeight="1" x14ac:dyDescent="0.25">
      <c r="A15890" s="3"/>
      <c r="B15890" s="3"/>
      <c r="C15890" s="3"/>
      <c r="D15890" s="3"/>
      <c r="E15890" s="3"/>
      <c r="F15890" s="3"/>
      <c r="G15890" s="3"/>
      <c r="H15890" s="11"/>
      <c r="I15890" s="12"/>
      <c r="J15890" s="3"/>
      <c r="K15890" s="3"/>
      <c r="L15890" s="3"/>
      <c r="M15890" s="3"/>
      <c r="N15890" s="3"/>
      <c r="O15890" s="3"/>
      <c r="P15890" s="3"/>
      <c r="Q15890" s="3"/>
      <c r="R15890" s="3"/>
      <c r="S15890" s="3"/>
      <c r="T15890" s="3"/>
      <c r="U15890" s="3"/>
      <c r="V15890" s="3"/>
      <c r="W15890" s="3"/>
      <c r="X15890" s="3"/>
      <c r="Y15890" s="3"/>
      <c r="Z15890" s="3"/>
      <c r="AA15890" s="3"/>
      <c r="AB15890" s="3"/>
      <c r="AC15890" s="3"/>
      <c r="AD15890" s="3"/>
      <c r="AE15890" s="3"/>
      <c r="AF15890" s="3"/>
      <c r="AG15890" s="3"/>
      <c r="AH15890" s="3"/>
    </row>
    <row r="15891" spans="1:34" ht="14.25" customHeight="1" x14ac:dyDescent="0.25">
      <c r="A15891" s="3"/>
      <c r="B15891" s="3"/>
      <c r="C15891" s="3"/>
      <c r="D15891" s="3"/>
      <c r="E15891" s="3"/>
      <c r="F15891" s="3"/>
      <c r="G15891" s="3"/>
      <c r="H15891" s="11"/>
      <c r="I15891" s="12"/>
      <c r="J15891" s="3"/>
      <c r="K15891" s="3"/>
      <c r="L15891" s="3"/>
      <c r="M15891" s="3"/>
      <c r="N15891" s="3"/>
      <c r="O15891" s="3"/>
      <c r="P15891" s="3"/>
      <c r="Q15891" s="3"/>
      <c r="R15891" s="3"/>
      <c r="S15891" s="3"/>
      <c r="T15891" s="3"/>
      <c r="U15891" s="3"/>
      <c r="V15891" s="3"/>
      <c r="W15891" s="3"/>
      <c r="X15891" s="3"/>
      <c r="Y15891" s="3"/>
      <c r="Z15891" s="3"/>
      <c r="AA15891" s="3"/>
      <c r="AB15891" s="3"/>
      <c r="AC15891" s="3"/>
      <c r="AD15891" s="3"/>
      <c r="AE15891" s="3"/>
      <c r="AF15891" s="3"/>
      <c r="AG15891" s="3"/>
      <c r="AH15891" s="3"/>
    </row>
    <row r="15892" spans="1:34" ht="14.25" customHeight="1" x14ac:dyDescent="0.25">
      <c r="A15892" s="3"/>
      <c r="B15892" s="3"/>
      <c r="C15892" s="3"/>
      <c r="D15892" s="3"/>
      <c r="E15892" s="3"/>
      <c r="F15892" s="3"/>
      <c r="G15892" s="3"/>
      <c r="H15892" s="11"/>
      <c r="I15892" s="12"/>
      <c r="J15892" s="3"/>
      <c r="K15892" s="3"/>
      <c r="L15892" s="3"/>
      <c r="M15892" s="3"/>
      <c r="N15892" s="3"/>
      <c r="O15892" s="3"/>
      <c r="P15892" s="3"/>
      <c r="Q15892" s="3"/>
      <c r="R15892" s="3"/>
      <c r="S15892" s="3"/>
      <c r="T15892" s="3"/>
      <c r="U15892" s="3"/>
      <c r="V15892" s="3"/>
      <c r="W15892" s="3"/>
      <c r="X15892" s="3"/>
      <c r="Y15892" s="3"/>
      <c r="Z15892" s="3"/>
      <c r="AA15892" s="3"/>
      <c r="AB15892" s="3"/>
      <c r="AC15892" s="3"/>
      <c r="AD15892" s="3"/>
      <c r="AE15892" s="3"/>
      <c r="AF15892" s="3"/>
      <c r="AG15892" s="3"/>
      <c r="AH15892" s="3"/>
    </row>
    <row r="15893" spans="1:34" ht="14.25" customHeight="1" x14ac:dyDescent="0.25">
      <c r="A15893" s="3"/>
      <c r="B15893" s="3"/>
      <c r="C15893" s="3"/>
      <c r="D15893" s="3"/>
      <c r="E15893" s="3"/>
      <c r="F15893" s="3"/>
      <c r="G15893" s="3"/>
      <c r="H15893" s="11"/>
      <c r="I15893" s="12"/>
      <c r="J15893" s="3"/>
      <c r="K15893" s="3"/>
      <c r="L15893" s="3"/>
      <c r="M15893" s="3"/>
      <c r="N15893" s="3"/>
      <c r="O15893" s="3"/>
      <c r="P15893" s="3"/>
      <c r="Q15893" s="3"/>
      <c r="R15893" s="3"/>
      <c r="S15893" s="3"/>
      <c r="T15893" s="3"/>
      <c r="U15893" s="3"/>
      <c r="V15893" s="3"/>
      <c r="W15893" s="3"/>
      <c r="X15893" s="3"/>
      <c r="Y15893" s="3"/>
      <c r="Z15893" s="3"/>
      <c r="AA15893" s="3"/>
      <c r="AB15893" s="3"/>
      <c r="AC15893" s="3"/>
      <c r="AD15893" s="3"/>
      <c r="AE15893" s="3"/>
      <c r="AF15893" s="3"/>
      <c r="AG15893" s="3"/>
      <c r="AH15893" s="3"/>
    </row>
    <row r="15894" spans="1:34" ht="14.25" customHeight="1" x14ac:dyDescent="0.25">
      <c r="A15894" s="3"/>
      <c r="B15894" s="3"/>
      <c r="C15894" s="3"/>
      <c r="D15894" s="3"/>
      <c r="E15894" s="3"/>
      <c r="F15894" s="3"/>
      <c r="G15894" s="3"/>
      <c r="H15894" s="11"/>
      <c r="I15894" s="12"/>
      <c r="J15894" s="3"/>
      <c r="K15894" s="3"/>
      <c r="L15894" s="3"/>
      <c r="M15894" s="3"/>
      <c r="N15894" s="3"/>
      <c r="O15894" s="3"/>
      <c r="P15894" s="3"/>
      <c r="Q15894" s="3"/>
      <c r="R15894" s="3"/>
      <c r="S15894" s="3"/>
      <c r="T15894" s="3"/>
      <c r="U15894" s="3"/>
      <c r="V15894" s="3"/>
      <c r="W15894" s="3"/>
      <c r="X15894" s="3"/>
      <c r="Y15894" s="3"/>
      <c r="Z15894" s="3"/>
      <c r="AA15894" s="3"/>
      <c r="AB15894" s="3"/>
      <c r="AC15894" s="3"/>
      <c r="AD15894" s="3"/>
      <c r="AE15894" s="3"/>
      <c r="AF15894" s="3"/>
      <c r="AG15894" s="3"/>
      <c r="AH15894" s="3"/>
    </row>
    <row r="15895" spans="1:34" ht="14.25" customHeight="1" x14ac:dyDescent="0.25">
      <c r="A15895" s="3"/>
      <c r="B15895" s="3"/>
      <c r="C15895" s="3"/>
      <c r="D15895" s="3"/>
      <c r="E15895" s="3"/>
      <c r="F15895" s="3"/>
      <c r="G15895" s="3"/>
      <c r="H15895" s="11"/>
      <c r="I15895" s="12"/>
      <c r="J15895" s="3"/>
      <c r="K15895" s="3"/>
      <c r="L15895" s="3"/>
      <c r="M15895" s="3"/>
      <c r="N15895" s="3"/>
      <c r="O15895" s="3"/>
      <c r="P15895" s="3"/>
      <c r="Q15895" s="3"/>
      <c r="R15895" s="3"/>
      <c r="S15895" s="3"/>
      <c r="T15895" s="3"/>
      <c r="U15895" s="3"/>
      <c r="V15895" s="3"/>
      <c r="W15895" s="3"/>
      <c r="X15895" s="3"/>
      <c r="Y15895" s="3"/>
      <c r="Z15895" s="3"/>
      <c r="AA15895" s="3"/>
      <c r="AB15895" s="3"/>
      <c r="AC15895" s="3"/>
      <c r="AD15895" s="3"/>
      <c r="AE15895" s="3"/>
      <c r="AF15895" s="3"/>
      <c r="AG15895" s="3"/>
      <c r="AH15895" s="3"/>
    </row>
    <row r="15896" spans="1:34" ht="14.25" customHeight="1" x14ac:dyDescent="0.25">
      <c r="A15896" s="3"/>
      <c r="B15896" s="3"/>
      <c r="C15896" s="3"/>
      <c r="D15896" s="3"/>
      <c r="E15896" s="3"/>
      <c r="F15896" s="3"/>
      <c r="G15896" s="3"/>
      <c r="H15896" s="11"/>
      <c r="I15896" s="12"/>
      <c r="J15896" s="3"/>
      <c r="K15896" s="3"/>
      <c r="L15896" s="3"/>
      <c r="M15896" s="3"/>
      <c r="N15896" s="3"/>
      <c r="O15896" s="3"/>
      <c r="P15896" s="3"/>
      <c r="Q15896" s="3"/>
      <c r="R15896" s="3"/>
      <c r="S15896" s="3"/>
      <c r="T15896" s="3"/>
      <c r="U15896" s="3"/>
      <c r="V15896" s="3"/>
      <c r="W15896" s="3"/>
      <c r="X15896" s="3"/>
      <c r="Y15896" s="3"/>
      <c r="Z15896" s="3"/>
      <c r="AA15896" s="3"/>
      <c r="AB15896" s="3"/>
      <c r="AC15896" s="3"/>
      <c r="AD15896" s="3"/>
      <c r="AE15896" s="3"/>
      <c r="AF15896" s="3"/>
      <c r="AG15896" s="3"/>
      <c r="AH15896" s="3"/>
    </row>
    <row r="15897" spans="1:34" ht="14.25" customHeight="1" x14ac:dyDescent="0.25">
      <c r="A15897" s="3"/>
      <c r="B15897" s="3"/>
      <c r="C15897" s="3"/>
      <c r="D15897" s="3"/>
      <c r="E15897" s="3"/>
      <c r="F15897" s="3"/>
      <c r="G15897" s="3"/>
      <c r="H15897" s="11"/>
      <c r="I15897" s="12"/>
      <c r="J15897" s="3"/>
      <c r="K15897" s="3"/>
      <c r="L15897" s="3"/>
      <c r="M15897" s="3"/>
      <c r="N15897" s="3"/>
      <c r="O15897" s="3"/>
      <c r="P15897" s="3"/>
      <c r="Q15897" s="3"/>
      <c r="R15897" s="3"/>
      <c r="S15897" s="3"/>
      <c r="T15897" s="3"/>
      <c r="U15897" s="3"/>
      <c r="V15897" s="3"/>
      <c r="W15897" s="3"/>
      <c r="X15897" s="3"/>
      <c r="Y15897" s="3"/>
      <c r="Z15897" s="3"/>
      <c r="AA15897" s="3"/>
      <c r="AB15897" s="3"/>
      <c r="AC15897" s="3"/>
      <c r="AD15897" s="3"/>
      <c r="AE15897" s="3"/>
      <c r="AF15897" s="3"/>
      <c r="AG15897" s="3"/>
      <c r="AH15897" s="3"/>
    </row>
    <row r="15898" spans="1:34" ht="14.25" customHeight="1" x14ac:dyDescent="0.25">
      <c r="A15898" s="3"/>
      <c r="B15898" s="3"/>
      <c r="C15898" s="3"/>
      <c r="D15898" s="3"/>
      <c r="E15898" s="3"/>
      <c r="F15898" s="3"/>
      <c r="G15898" s="3"/>
      <c r="H15898" s="11"/>
      <c r="I15898" s="12"/>
      <c r="J15898" s="3"/>
      <c r="K15898" s="3"/>
      <c r="L15898" s="3"/>
      <c r="M15898" s="3"/>
      <c r="N15898" s="3"/>
      <c r="O15898" s="3"/>
      <c r="P15898" s="3"/>
      <c r="Q15898" s="3"/>
      <c r="R15898" s="3"/>
      <c r="S15898" s="3"/>
      <c r="T15898" s="3"/>
      <c r="U15898" s="3"/>
      <c r="V15898" s="3"/>
      <c r="W15898" s="3"/>
      <c r="X15898" s="3"/>
      <c r="Y15898" s="3"/>
      <c r="Z15898" s="3"/>
      <c r="AA15898" s="3"/>
      <c r="AB15898" s="3"/>
      <c r="AC15898" s="3"/>
      <c r="AD15898" s="3"/>
      <c r="AE15898" s="3"/>
      <c r="AF15898" s="3"/>
      <c r="AG15898" s="3"/>
      <c r="AH15898" s="3"/>
    </row>
    <row r="15899" spans="1:34" ht="14.25" customHeight="1" x14ac:dyDescent="0.25">
      <c r="A15899" s="3"/>
      <c r="B15899" s="3"/>
      <c r="C15899" s="3"/>
      <c r="D15899" s="3"/>
      <c r="E15899" s="3"/>
      <c r="F15899" s="3"/>
      <c r="G15899" s="3"/>
      <c r="H15899" s="11"/>
      <c r="I15899" s="12"/>
      <c r="J15899" s="3"/>
      <c r="K15899" s="3"/>
      <c r="L15899" s="3"/>
      <c r="M15899" s="3"/>
      <c r="N15899" s="3"/>
      <c r="O15899" s="3"/>
      <c r="P15899" s="3"/>
      <c r="Q15899" s="3"/>
      <c r="R15899" s="3"/>
      <c r="S15899" s="3"/>
      <c r="T15899" s="3"/>
      <c r="U15899" s="3"/>
      <c r="V15899" s="3"/>
      <c r="W15899" s="3"/>
      <c r="X15899" s="3"/>
      <c r="Y15899" s="3"/>
      <c r="Z15899" s="3"/>
      <c r="AA15899" s="3"/>
      <c r="AB15899" s="3"/>
      <c r="AC15899" s="3"/>
      <c r="AD15899" s="3"/>
      <c r="AE15899" s="3"/>
      <c r="AF15899" s="3"/>
      <c r="AG15899" s="3"/>
      <c r="AH15899" s="3"/>
    </row>
    <row r="15900" spans="1:34" ht="14.25" customHeight="1" x14ac:dyDescent="0.25">
      <c r="A15900" s="3"/>
      <c r="B15900" s="3"/>
      <c r="C15900" s="3"/>
      <c r="D15900" s="3"/>
      <c r="E15900" s="3"/>
      <c r="F15900" s="3"/>
      <c r="G15900" s="3"/>
      <c r="H15900" s="11"/>
      <c r="I15900" s="12"/>
      <c r="J15900" s="3"/>
      <c r="K15900" s="3"/>
      <c r="L15900" s="3"/>
      <c r="M15900" s="3"/>
      <c r="N15900" s="3"/>
      <c r="O15900" s="3"/>
      <c r="P15900" s="3"/>
      <c r="Q15900" s="3"/>
      <c r="R15900" s="3"/>
      <c r="S15900" s="3"/>
      <c r="T15900" s="3"/>
      <c r="U15900" s="3"/>
      <c r="V15900" s="3"/>
      <c r="W15900" s="3"/>
      <c r="X15900" s="3"/>
      <c r="Y15900" s="3"/>
      <c r="Z15900" s="3"/>
      <c r="AA15900" s="3"/>
      <c r="AB15900" s="3"/>
      <c r="AC15900" s="3"/>
      <c r="AD15900" s="3"/>
      <c r="AE15900" s="3"/>
      <c r="AF15900" s="3"/>
      <c r="AG15900" s="3"/>
      <c r="AH15900" s="3"/>
    </row>
    <row r="15901" spans="1:34" ht="14.25" customHeight="1" x14ac:dyDescent="0.25">
      <c r="A15901" s="3"/>
      <c r="B15901" s="3"/>
      <c r="C15901" s="3"/>
      <c r="D15901" s="3"/>
      <c r="E15901" s="3"/>
      <c r="F15901" s="3"/>
      <c r="G15901" s="3"/>
      <c r="H15901" s="11"/>
      <c r="I15901" s="12"/>
      <c r="J15901" s="3"/>
      <c r="K15901" s="3"/>
      <c r="L15901" s="3"/>
      <c r="M15901" s="3"/>
      <c r="N15901" s="3"/>
      <c r="O15901" s="3"/>
      <c r="P15901" s="3"/>
      <c r="Q15901" s="3"/>
      <c r="R15901" s="3"/>
      <c r="S15901" s="3"/>
      <c r="T15901" s="3"/>
      <c r="U15901" s="3"/>
      <c r="V15901" s="3"/>
      <c r="W15901" s="3"/>
      <c r="X15901" s="3"/>
      <c r="Y15901" s="3"/>
      <c r="Z15901" s="3"/>
      <c r="AA15901" s="3"/>
      <c r="AB15901" s="3"/>
      <c r="AC15901" s="3"/>
      <c r="AD15901" s="3"/>
      <c r="AE15901" s="3"/>
      <c r="AF15901" s="3"/>
      <c r="AG15901" s="3"/>
      <c r="AH15901" s="3"/>
    </row>
    <row r="15902" spans="1:34" ht="14.25" customHeight="1" x14ac:dyDescent="0.25">
      <c r="A15902" s="3"/>
      <c r="B15902" s="3"/>
      <c r="C15902" s="3"/>
      <c r="D15902" s="3"/>
      <c r="E15902" s="3"/>
      <c r="F15902" s="3"/>
      <c r="G15902" s="3"/>
      <c r="H15902" s="11"/>
      <c r="I15902" s="12"/>
      <c r="J15902" s="3"/>
      <c r="K15902" s="3"/>
      <c r="L15902" s="3"/>
      <c r="M15902" s="3"/>
      <c r="N15902" s="3"/>
      <c r="O15902" s="3"/>
      <c r="P15902" s="3"/>
      <c r="Q15902" s="3"/>
      <c r="R15902" s="3"/>
      <c r="S15902" s="3"/>
      <c r="T15902" s="3"/>
      <c r="U15902" s="3"/>
      <c r="V15902" s="3"/>
      <c r="W15902" s="3"/>
      <c r="X15902" s="3"/>
      <c r="Y15902" s="3"/>
      <c r="Z15902" s="3"/>
      <c r="AA15902" s="3"/>
      <c r="AB15902" s="3"/>
      <c r="AC15902" s="3"/>
      <c r="AD15902" s="3"/>
      <c r="AE15902" s="3"/>
      <c r="AF15902" s="3"/>
      <c r="AG15902" s="3"/>
      <c r="AH15902" s="3"/>
    </row>
    <row r="15903" spans="1:34" ht="14.25" customHeight="1" x14ac:dyDescent="0.25">
      <c r="A15903" s="3"/>
      <c r="B15903" s="3"/>
      <c r="C15903" s="3"/>
      <c r="D15903" s="3"/>
      <c r="E15903" s="3"/>
      <c r="F15903" s="3"/>
      <c r="G15903" s="3"/>
      <c r="H15903" s="11"/>
      <c r="I15903" s="12"/>
      <c r="J15903" s="3"/>
      <c r="K15903" s="3"/>
      <c r="L15903" s="3"/>
      <c r="M15903" s="3"/>
      <c r="N15903" s="3"/>
      <c r="O15903" s="3"/>
      <c r="P15903" s="3"/>
      <c r="Q15903" s="3"/>
      <c r="R15903" s="3"/>
      <c r="S15903" s="3"/>
      <c r="T15903" s="3"/>
      <c r="U15903" s="3"/>
      <c r="V15903" s="3"/>
      <c r="W15903" s="3"/>
      <c r="X15903" s="3"/>
      <c r="Y15903" s="3"/>
      <c r="Z15903" s="3"/>
      <c r="AA15903" s="3"/>
      <c r="AB15903" s="3"/>
      <c r="AC15903" s="3"/>
      <c r="AD15903" s="3"/>
      <c r="AE15903" s="3"/>
      <c r="AF15903" s="3"/>
      <c r="AG15903" s="3"/>
      <c r="AH15903" s="3"/>
    </row>
    <row r="15904" spans="1:34" ht="14.25" customHeight="1" x14ac:dyDescent="0.25">
      <c r="A15904" s="3"/>
      <c r="B15904" s="3"/>
      <c r="C15904" s="3"/>
      <c r="D15904" s="3"/>
      <c r="E15904" s="3"/>
      <c r="F15904" s="3"/>
      <c r="G15904" s="3"/>
      <c r="H15904" s="11"/>
      <c r="I15904" s="12"/>
      <c r="J15904" s="3"/>
      <c r="K15904" s="3"/>
      <c r="L15904" s="3"/>
      <c r="M15904" s="3"/>
      <c r="N15904" s="3"/>
      <c r="O15904" s="3"/>
      <c r="P15904" s="3"/>
      <c r="Q15904" s="3"/>
      <c r="R15904" s="3"/>
      <c r="S15904" s="3"/>
      <c r="T15904" s="3"/>
      <c r="U15904" s="3"/>
      <c r="V15904" s="3"/>
      <c r="W15904" s="3"/>
      <c r="X15904" s="3"/>
      <c r="Y15904" s="3"/>
      <c r="Z15904" s="3"/>
      <c r="AA15904" s="3"/>
      <c r="AB15904" s="3"/>
      <c r="AC15904" s="3"/>
      <c r="AD15904" s="3"/>
      <c r="AE15904" s="3"/>
      <c r="AF15904" s="3"/>
      <c r="AG15904" s="3"/>
      <c r="AH15904" s="3"/>
    </row>
    <row r="15905" spans="1:34" ht="14.25" customHeight="1" x14ac:dyDescent="0.25">
      <c r="A15905" s="3"/>
      <c r="B15905" s="3"/>
      <c r="C15905" s="3"/>
      <c r="D15905" s="3"/>
      <c r="E15905" s="3"/>
      <c r="F15905" s="3"/>
      <c r="G15905" s="3"/>
      <c r="H15905" s="11"/>
      <c r="I15905" s="12"/>
      <c r="J15905" s="3"/>
      <c r="K15905" s="3"/>
      <c r="L15905" s="3"/>
      <c r="M15905" s="3"/>
      <c r="N15905" s="3"/>
      <c r="O15905" s="3"/>
      <c r="P15905" s="3"/>
      <c r="Q15905" s="3"/>
      <c r="R15905" s="3"/>
      <c r="S15905" s="3"/>
      <c r="T15905" s="3"/>
      <c r="U15905" s="3"/>
      <c r="V15905" s="3"/>
      <c r="W15905" s="14"/>
      <c r="X15905" s="3"/>
      <c r="Y15905" s="3"/>
      <c r="Z15905" s="3"/>
      <c r="AA15905" s="3"/>
      <c r="AB15905" s="3"/>
      <c r="AC15905" s="3"/>
      <c r="AD15905" s="3"/>
      <c r="AE15905" s="3"/>
      <c r="AF15905" s="3"/>
      <c r="AG15905" s="3"/>
      <c r="AH15905" s="3"/>
    </row>
    <row r="15906" spans="1:34" ht="14.25" customHeight="1" x14ac:dyDescent="0.25">
      <c r="A15906" s="3"/>
      <c r="B15906" s="3"/>
      <c r="C15906" s="3"/>
      <c r="D15906" s="3"/>
      <c r="E15906" s="3"/>
      <c r="F15906" s="3"/>
      <c r="G15906" s="3"/>
      <c r="H15906" s="11"/>
      <c r="I15906" s="12"/>
      <c r="J15906" s="3"/>
      <c r="K15906" s="3"/>
      <c r="L15906" s="3"/>
      <c r="M15906" s="3"/>
      <c r="N15906" s="3"/>
      <c r="O15906" s="3"/>
      <c r="P15906" s="3"/>
      <c r="Q15906" s="3"/>
      <c r="R15906" s="3"/>
      <c r="S15906" s="3"/>
      <c r="T15906" s="3"/>
      <c r="U15906" s="3"/>
      <c r="V15906" s="3"/>
      <c r="W15906" s="14"/>
      <c r="X15906" s="3"/>
      <c r="Y15906" s="3"/>
      <c r="Z15906" s="3"/>
      <c r="AA15906" s="3"/>
      <c r="AB15906" s="3"/>
      <c r="AC15906" s="3"/>
      <c r="AD15906" s="3"/>
      <c r="AE15906" s="3"/>
      <c r="AF15906" s="3"/>
      <c r="AG15906" s="3"/>
      <c r="AH15906" s="3"/>
    </row>
    <row r="15907" spans="1:34" ht="14.25" customHeight="1" x14ac:dyDescent="0.25">
      <c r="A15907" s="3"/>
      <c r="B15907" s="3"/>
      <c r="C15907" s="3"/>
      <c r="D15907" s="3"/>
      <c r="E15907" s="3"/>
      <c r="F15907" s="3"/>
      <c r="G15907" s="3"/>
      <c r="H15907" s="11"/>
      <c r="I15907" s="12"/>
      <c r="J15907" s="3"/>
      <c r="K15907" s="3"/>
      <c r="L15907" s="3"/>
      <c r="M15907" s="3"/>
      <c r="N15907" s="3"/>
      <c r="O15907" s="3"/>
      <c r="P15907" s="3"/>
      <c r="Q15907" s="3"/>
      <c r="R15907" s="3"/>
      <c r="S15907" s="3"/>
      <c r="T15907" s="3"/>
      <c r="U15907" s="3"/>
      <c r="V15907" s="3"/>
      <c r="W15907" s="14"/>
      <c r="X15907" s="3"/>
      <c r="Y15907" s="3"/>
      <c r="Z15907" s="3"/>
      <c r="AA15907" s="3"/>
      <c r="AB15907" s="3"/>
      <c r="AC15907" s="3"/>
      <c r="AD15907" s="3"/>
      <c r="AE15907" s="3"/>
      <c r="AF15907" s="3"/>
      <c r="AG15907" s="3"/>
      <c r="AH15907" s="3"/>
    </row>
    <row r="15908" spans="1:34" ht="14.25" customHeight="1" x14ac:dyDescent="0.25">
      <c r="A15908" s="3"/>
      <c r="B15908" s="3"/>
      <c r="C15908" s="3"/>
      <c r="D15908" s="3"/>
      <c r="E15908" s="3"/>
      <c r="F15908" s="3"/>
      <c r="G15908" s="3"/>
      <c r="H15908" s="11"/>
      <c r="I15908" s="12"/>
      <c r="J15908" s="3"/>
      <c r="K15908" s="3"/>
      <c r="L15908" s="3"/>
      <c r="M15908" s="3"/>
      <c r="N15908" s="3"/>
      <c r="O15908" s="3"/>
      <c r="P15908" s="3"/>
      <c r="Q15908" s="3"/>
      <c r="R15908" s="3"/>
      <c r="S15908" s="3"/>
      <c r="T15908" s="3"/>
      <c r="U15908" s="3"/>
      <c r="V15908" s="3"/>
      <c r="W15908" s="14"/>
      <c r="X15908" s="3"/>
      <c r="Y15908" s="3"/>
      <c r="Z15908" s="3"/>
      <c r="AA15908" s="3"/>
      <c r="AB15908" s="3"/>
      <c r="AC15908" s="3"/>
      <c r="AD15908" s="3"/>
      <c r="AE15908" s="3"/>
      <c r="AF15908" s="3"/>
      <c r="AG15908" s="3"/>
      <c r="AH15908" s="3"/>
    </row>
    <row r="15909" spans="1:34" ht="14.25" customHeight="1" x14ac:dyDescent="0.25">
      <c r="A15909" s="3"/>
      <c r="B15909" s="3"/>
      <c r="C15909" s="3"/>
      <c r="D15909" s="3"/>
      <c r="E15909" s="3"/>
      <c r="F15909" s="3"/>
      <c r="G15909" s="3"/>
      <c r="H15909" s="11"/>
      <c r="I15909" s="12"/>
      <c r="J15909" s="3"/>
      <c r="K15909" s="3"/>
      <c r="L15909" s="3"/>
      <c r="M15909" s="3"/>
      <c r="N15909" s="3"/>
      <c r="O15909" s="3"/>
      <c r="P15909" s="3"/>
      <c r="Q15909" s="3"/>
      <c r="R15909" s="3"/>
      <c r="S15909" s="3"/>
      <c r="T15909" s="3"/>
      <c r="U15909" s="3"/>
      <c r="V15909" s="3"/>
      <c r="W15909" s="14"/>
      <c r="X15909" s="3"/>
      <c r="Y15909" s="3"/>
      <c r="Z15909" s="3"/>
      <c r="AA15909" s="3"/>
      <c r="AB15909" s="3"/>
      <c r="AC15909" s="3"/>
      <c r="AD15909" s="3"/>
      <c r="AE15909" s="3"/>
      <c r="AF15909" s="3"/>
      <c r="AG15909" s="3"/>
      <c r="AH15909" s="3"/>
    </row>
    <row r="15910" spans="1:34" ht="14.25" customHeight="1" x14ac:dyDescent="0.25">
      <c r="A15910" s="3"/>
      <c r="B15910" s="3"/>
      <c r="C15910" s="3"/>
      <c r="D15910" s="3"/>
      <c r="E15910" s="3"/>
      <c r="F15910" s="3"/>
      <c r="G15910" s="3"/>
      <c r="H15910" s="11"/>
      <c r="I15910" s="12"/>
      <c r="J15910" s="3"/>
      <c r="K15910" s="3"/>
      <c r="L15910" s="3"/>
      <c r="M15910" s="3"/>
      <c r="N15910" s="3"/>
      <c r="O15910" s="3"/>
      <c r="P15910" s="3"/>
      <c r="Q15910" s="3"/>
      <c r="R15910" s="3"/>
      <c r="S15910" s="3"/>
      <c r="T15910" s="3"/>
      <c r="U15910" s="3"/>
      <c r="V15910" s="3"/>
      <c r="W15910" s="14"/>
      <c r="X15910" s="3"/>
      <c r="Y15910" s="3"/>
      <c r="Z15910" s="3"/>
      <c r="AA15910" s="3"/>
      <c r="AB15910" s="3"/>
      <c r="AC15910" s="3"/>
      <c r="AD15910" s="3"/>
      <c r="AE15910" s="3"/>
      <c r="AF15910" s="3"/>
      <c r="AG15910" s="3"/>
      <c r="AH15910" s="3"/>
    </row>
    <row r="15911" spans="1:34" ht="14.25" customHeight="1" x14ac:dyDescent="0.25">
      <c r="A15911" s="3"/>
      <c r="B15911" s="3"/>
      <c r="C15911" s="3"/>
      <c r="D15911" s="3"/>
      <c r="E15911" s="3"/>
      <c r="F15911" s="3"/>
      <c r="G15911" s="3"/>
      <c r="H15911" s="11"/>
      <c r="I15911" s="12"/>
      <c r="J15911" s="3"/>
      <c r="K15911" s="3"/>
      <c r="L15911" s="3"/>
      <c r="M15911" s="3"/>
      <c r="N15911" s="3"/>
      <c r="O15911" s="3"/>
      <c r="P15911" s="3"/>
      <c r="Q15911" s="3"/>
      <c r="R15911" s="3"/>
      <c r="S15911" s="3"/>
      <c r="T15911" s="3"/>
      <c r="U15911" s="3"/>
      <c r="V15911" s="3"/>
      <c r="W15911" s="14"/>
      <c r="X15911" s="3"/>
      <c r="Y15911" s="3"/>
      <c r="Z15911" s="3"/>
      <c r="AA15911" s="3"/>
      <c r="AB15911" s="3"/>
      <c r="AC15911" s="3"/>
      <c r="AD15911" s="3"/>
      <c r="AE15911" s="3"/>
      <c r="AF15911" s="3"/>
      <c r="AG15911" s="3"/>
      <c r="AH15911" s="3"/>
    </row>
    <row r="15912" spans="1:34" ht="14.25" customHeight="1" x14ac:dyDescent="0.25">
      <c r="A15912" s="3"/>
      <c r="B15912" s="3"/>
      <c r="C15912" s="3"/>
      <c r="D15912" s="3"/>
      <c r="E15912" s="3"/>
      <c r="F15912" s="3"/>
      <c r="G15912" s="3"/>
      <c r="H15912" s="11"/>
      <c r="I15912" s="12"/>
      <c r="J15912" s="3"/>
      <c r="K15912" s="3"/>
      <c r="L15912" s="3"/>
      <c r="M15912" s="3"/>
      <c r="N15912" s="3"/>
      <c r="O15912" s="3"/>
      <c r="P15912" s="3"/>
      <c r="Q15912" s="3"/>
      <c r="R15912" s="3"/>
      <c r="S15912" s="3"/>
      <c r="T15912" s="3"/>
      <c r="U15912" s="3"/>
      <c r="V15912" s="3"/>
      <c r="W15912" s="14"/>
      <c r="X15912" s="3"/>
      <c r="Y15912" s="3"/>
      <c r="Z15912" s="3"/>
      <c r="AA15912" s="3"/>
      <c r="AB15912" s="3"/>
      <c r="AC15912" s="3"/>
      <c r="AD15912" s="3"/>
      <c r="AE15912" s="3"/>
      <c r="AF15912" s="3"/>
      <c r="AG15912" s="3"/>
      <c r="AH15912" s="3"/>
    </row>
    <row r="15913" spans="1:34" ht="14.25" customHeight="1" x14ac:dyDescent="0.25">
      <c r="A15913" s="3"/>
      <c r="B15913" s="3"/>
      <c r="C15913" s="3"/>
      <c r="D15913" s="3"/>
      <c r="E15913" s="3"/>
      <c r="F15913" s="3"/>
      <c r="G15913" s="3"/>
      <c r="H15913" s="11"/>
      <c r="I15913" s="12"/>
      <c r="J15913" s="3"/>
      <c r="K15913" s="3"/>
      <c r="L15913" s="3"/>
      <c r="M15913" s="3"/>
      <c r="N15913" s="3"/>
      <c r="O15913" s="3"/>
      <c r="P15913" s="3"/>
      <c r="Q15913" s="3"/>
      <c r="R15913" s="3"/>
      <c r="S15913" s="3"/>
      <c r="T15913" s="3"/>
      <c r="U15913" s="3"/>
      <c r="V15913" s="3"/>
      <c r="W15913" s="14"/>
      <c r="X15913" s="3"/>
      <c r="Y15913" s="3"/>
      <c r="Z15913" s="3"/>
      <c r="AA15913" s="3"/>
      <c r="AB15913" s="3"/>
      <c r="AC15913" s="3"/>
      <c r="AD15913" s="3"/>
      <c r="AE15913" s="3"/>
      <c r="AF15913" s="3"/>
      <c r="AG15913" s="3"/>
      <c r="AH15913" s="3"/>
    </row>
    <row r="15914" spans="1:34" ht="14.25" customHeight="1" x14ac:dyDescent="0.25">
      <c r="A15914" s="3"/>
      <c r="B15914" s="3"/>
      <c r="C15914" s="3"/>
      <c r="D15914" s="3"/>
      <c r="E15914" s="3"/>
      <c r="F15914" s="3"/>
      <c r="G15914" s="3"/>
      <c r="H15914" s="11"/>
      <c r="I15914" s="12"/>
      <c r="J15914" s="3"/>
      <c r="K15914" s="3"/>
      <c r="L15914" s="3"/>
      <c r="M15914" s="3"/>
      <c r="N15914" s="3"/>
      <c r="O15914" s="3"/>
      <c r="P15914" s="3"/>
      <c r="Q15914" s="3"/>
      <c r="R15914" s="3"/>
      <c r="S15914" s="3"/>
      <c r="T15914" s="3"/>
      <c r="U15914" s="3"/>
      <c r="V15914" s="3"/>
      <c r="W15914" s="14"/>
      <c r="X15914" s="3"/>
      <c r="Y15914" s="3"/>
      <c r="Z15914" s="3"/>
      <c r="AA15914" s="3"/>
      <c r="AB15914" s="3"/>
      <c r="AC15914" s="3"/>
      <c r="AD15914" s="3"/>
      <c r="AE15914" s="3"/>
      <c r="AF15914" s="3"/>
      <c r="AG15914" s="3"/>
      <c r="AH15914" s="3"/>
    </row>
    <row r="15915" spans="1:34" ht="14.25" customHeight="1" x14ac:dyDescent="0.25">
      <c r="A15915" s="3"/>
      <c r="B15915" s="3"/>
      <c r="C15915" s="3"/>
      <c r="D15915" s="3"/>
      <c r="E15915" s="3"/>
      <c r="F15915" s="3"/>
      <c r="G15915" s="3"/>
      <c r="H15915" s="11"/>
      <c r="I15915" s="12"/>
      <c r="J15915" s="3"/>
      <c r="K15915" s="3"/>
      <c r="L15915" s="3"/>
      <c r="M15915" s="3"/>
      <c r="N15915" s="3"/>
      <c r="O15915" s="3"/>
      <c r="P15915" s="3"/>
      <c r="Q15915" s="3"/>
      <c r="R15915" s="3"/>
      <c r="S15915" s="3"/>
      <c r="T15915" s="3"/>
      <c r="U15915" s="3"/>
      <c r="V15915" s="3"/>
      <c r="W15915" s="14"/>
      <c r="X15915" s="3"/>
      <c r="Y15915" s="3"/>
      <c r="Z15915" s="3"/>
      <c r="AA15915" s="3"/>
      <c r="AB15915" s="3"/>
      <c r="AC15915" s="3"/>
      <c r="AD15915" s="3"/>
      <c r="AE15915" s="3"/>
      <c r="AF15915" s="3"/>
      <c r="AG15915" s="3"/>
      <c r="AH15915" s="3"/>
    </row>
    <row r="15916" spans="1:34" ht="14.25" customHeight="1" x14ac:dyDescent="0.25">
      <c r="A15916" s="3"/>
      <c r="B15916" s="3"/>
      <c r="C15916" s="3"/>
      <c r="D15916" s="3"/>
      <c r="E15916" s="3"/>
      <c r="F15916" s="3"/>
      <c r="G15916" s="3"/>
      <c r="H15916" s="11"/>
      <c r="I15916" s="12"/>
      <c r="J15916" s="3"/>
      <c r="K15916" s="3"/>
      <c r="L15916" s="3"/>
      <c r="M15916" s="3"/>
      <c r="N15916" s="3"/>
      <c r="O15916" s="3"/>
      <c r="P15916" s="3"/>
      <c r="Q15916" s="3"/>
      <c r="R15916" s="3"/>
      <c r="S15916" s="3"/>
      <c r="T15916" s="3"/>
      <c r="U15916" s="3"/>
      <c r="V15916" s="3"/>
      <c r="W15916" s="14"/>
      <c r="X15916" s="3"/>
      <c r="Y15916" s="3"/>
      <c r="Z15916" s="3"/>
      <c r="AA15916" s="3"/>
      <c r="AB15916" s="3"/>
      <c r="AC15916" s="3"/>
      <c r="AD15916" s="3"/>
      <c r="AE15916" s="3"/>
      <c r="AF15916" s="3"/>
      <c r="AG15916" s="3"/>
      <c r="AH15916" s="3"/>
    </row>
    <row r="15917" spans="1:34" ht="14.25" customHeight="1" x14ac:dyDescent="0.25">
      <c r="A15917" s="3"/>
      <c r="B15917" s="3"/>
      <c r="C15917" s="3"/>
      <c r="D15917" s="3"/>
      <c r="E15917" s="3"/>
      <c r="F15917" s="3"/>
      <c r="G15917" s="3"/>
      <c r="H15917" s="11"/>
      <c r="I15917" s="12"/>
      <c r="J15917" s="3"/>
      <c r="K15917" s="3"/>
      <c r="L15917" s="3"/>
      <c r="M15917" s="3"/>
      <c r="N15917" s="3"/>
      <c r="O15917" s="3"/>
      <c r="P15917" s="3"/>
      <c r="Q15917" s="3"/>
      <c r="R15917" s="3"/>
      <c r="S15917" s="3"/>
      <c r="T15917" s="3"/>
      <c r="U15917" s="3"/>
      <c r="V15917" s="3"/>
      <c r="W15917" s="14"/>
      <c r="X15917" s="3"/>
      <c r="Y15917" s="3"/>
      <c r="Z15917" s="3"/>
      <c r="AA15917" s="3"/>
      <c r="AB15917" s="3"/>
      <c r="AC15917" s="3"/>
      <c r="AD15917" s="3"/>
      <c r="AE15917" s="3"/>
      <c r="AF15917" s="3"/>
      <c r="AG15917" s="3"/>
      <c r="AH15917" s="3"/>
    </row>
    <row r="15918" spans="1:34" ht="14.25" customHeight="1" x14ac:dyDescent="0.25">
      <c r="A15918" s="3"/>
      <c r="B15918" s="3"/>
      <c r="C15918" s="3"/>
      <c r="D15918" s="3"/>
      <c r="E15918" s="3"/>
      <c r="F15918" s="3"/>
      <c r="G15918" s="3"/>
      <c r="H15918" s="11"/>
      <c r="I15918" s="12"/>
      <c r="J15918" s="3"/>
      <c r="K15918" s="3"/>
      <c r="L15918" s="3"/>
      <c r="M15918" s="3"/>
      <c r="N15918" s="3"/>
      <c r="O15918" s="3"/>
      <c r="P15918" s="3"/>
      <c r="Q15918" s="3"/>
      <c r="R15918" s="3"/>
      <c r="S15918" s="3"/>
      <c r="T15918" s="3"/>
      <c r="U15918" s="3"/>
      <c r="V15918" s="3"/>
      <c r="W15918" s="14"/>
      <c r="X15918" s="3"/>
      <c r="Y15918" s="3"/>
      <c r="Z15918" s="3"/>
      <c r="AA15918" s="3"/>
      <c r="AB15918" s="3"/>
      <c r="AC15918" s="3"/>
      <c r="AD15918" s="3"/>
      <c r="AE15918" s="3"/>
      <c r="AF15918" s="3"/>
      <c r="AG15918" s="3"/>
      <c r="AH15918" s="3"/>
    </row>
    <row r="15919" spans="1:34" ht="14.25" customHeight="1" x14ac:dyDescent="0.25">
      <c r="A15919" s="3"/>
      <c r="B15919" s="3"/>
      <c r="C15919" s="3"/>
      <c r="D15919" s="3"/>
      <c r="E15919" s="3"/>
      <c r="F15919" s="3"/>
      <c r="G15919" s="3"/>
      <c r="H15919" s="11"/>
      <c r="I15919" s="12"/>
      <c r="J15919" s="3"/>
      <c r="K15919" s="3"/>
      <c r="L15919" s="3"/>
      <c r="M15919" s="3"/>
      <c r="N15919" s="3"/>
      <c r="O15919" s="3"/>
      <c r="P15919" s="3"/>
      <c r="Q15919" s="3"/>
      <c r="R15919" s="3"/>
      <c r="S15919" s="3"/>
      <c r="T15919" s="3"/>
      <c r="U15919" s="3"/>
      <c r="V15919" s="3"/>
      <c r="W15919" s="14"/>
      <c r="X15919" s="3"/>
      <c r="Y15919" s="3"/>
      <c r="Z15919" s="3"/>
      <c r="AA15919" s="3"/>
      <c r="AB15919" s="3"/>
      <c r="AC15919" s="3"/>
      <c r="AD15919" s="3"/>
      <c r="AE15919" s="3"/>
      <c r="AF15919" s="3"/>
      <c r="AG15919" s="3"/>
      <c r="AH15919" s="3"/>
    </row>
    <row r="15920" spans="1:34" ht="14.25" customHeight="1" x14ac:dyDescent="0.25">
      <c r="A15920" s="3"/>
      <c r="B15920" s="3"/>
      <c r="C15920" s="3"/>
      <c r="D15920" s="3"/>
      <c r="E15920" s="3"/>
      <c r="F15920" s="3"/>
      <c r="G15920" s="3"/>
      <c r="H15920" s="11"/>
      <c r="I15920" s="12"/>
      <c r="J15920" s="3"/>
      <c r="K15920" s="3"/>
      <c r="L15920" s="3"/>
      <c r="M15920" s="3"/>
      <c r="N15920" s="3"/>
      <c r="O15920" s="3"/>
      <c r="P15920" s="3"/>
      <c r="Q15920" s="3"/>
      <c r="R15920" s="3"/>
      <c r="S15920" s="3"/>
      <c r="T15920" s="3"/>
      <c r="U15920" s="3"/>
      <c r="V15920" s="3"/>
      <c r="W15920" s="14"/>
      <c r="X15920" s="3"/>
      <c r="Y15920" s="3"/>
      <c r="Z15920" s="3"/>
      <c r="AA15920" s="3"/>
      <c r="AB15920" s="3"/>
      <c r="AC15920" s="3"/>
      <c r="AD15920" s="3"/>
      <c r="AE15920" s="3"/>
      <c r="AF15920" s="3"/>
      <c r="AG15920" s="3"/>
      <c r="AH15920" s="3"/>
    </row>
    <row r="15921" spans="1:34" ht="14.25" customHeight="1" x14ac:dyDescent="0.25">
      <c r="A15921" s="3"/>
      <c r="B15921" s="3"/>
      <c r="C15921" s="3"/>
      <c r="D15921" s="3"/>
      <c r="E15921" s="3"/>
      <c r="F15921" s="3"/>
      <c r="G15921" s="3"/>
      <c r="H15921" s="11"/>
      <c r="I15921" s="12"/>
      <c r="J15921" s="3"/>
      <c r="K15921" s="3"/>
      <c r="L15921" s="3"/>
      <c r="M15921" s="3"/>
      <c r="N15921" s="3"/>
      <c r="O15921" s="3"/>
      <c r="P15921" s="3"/>
      <c r="Q15921" s="3"/>
      <c r="R15921" s="3"/>
      <c r="S15921" s="3"/>
      <c r="T15921" s="3"/>
      <c r="U15921" s="3"/>
      <c r="V15921" s="3"/>
      <c r="W15921" s="14"/>
      <c r="X15921" s="3"/>
      <c r="Y15921" s="3"/>
      <c r="Z15921" s="3"/>
      <c r="AA15921" s="3"/>
      <c r="AB15921" s="3"/>
      <c r="AC15921" s="3"/>
      <c r="AD15921" s="3"/>
      <c r="AE15921" s="3"/>
      <c r="AF15921" s="3"/>
      <c r="AG15921" s="3"/>
      <c r="AH15921" s="3"/>
    </row>
    <row r="15922" spans="1:34" ht="14.25" customHeight="1" x14ac:dyDescent="0.25">
      <c r="A15922" s="3"/>
      <c r="B15922" s="3"/>
      <c r="C15922" s="3"/>
      <c r="D15922" s="3"/>
      <c r="E15922" s="3"/>
      <c r="F15922" s="3"/>
      <c r="G15922" s="3"/>
      <c r="H15922" s="11"/>
      <c r="I15922" s="12"/>
      <c r="J15922" s="3"/>
      <c r="K15922" s="3"/>
      <c r="L15922" s="3"/>
      <c r="M15922" s="3"/>
      <c r="N15922" s="3"/>
      <c r="O15922" s="3"/>
      <c r="P15922" s="3"/>
      <c r="Q15922" s="3"/>
      <c r="R15922" s="3"/>
      <c r="S15922" s="3"/>
      <c r="T15922" s="3"/>
      <c r="U15922" s="3"/>
      <c r="V15922" s="3"/>
      <c r="W15922" s="14"/>
      <c r="X15922" s="3"/>
      <c r="Y15922" s="3"/>
      <c r="Z15922" s="3"/>
      <c r="AA15922" s="3"/>
      <c r="AB15922" s="3"/>
      <c r="AC15922" s="3"/>
      <c r="AD15922" s="3"/>
      <c r="AE15922" s="3"/>
      <c r="AF15922" s="3"/>
      <c r="AG15922" s="3"/>
      <c r="AH15922" s="3"/>
    </row>
    <row r="15923" spans="1:34" ht="14.25" customHeight="1" x14ac:dyDescent="0.25">
      <c r="A15923" s="3"/>
      <c r="B15923" s="3"/>
      <c r="C15923" s="3"/>
      <c r="D15923" s="3"/>
      <c r="E15923" s="3"/>
      <c r="F15923" s="3"/>
      <c r="G15923" s="3"/>
      <c r="H15923" s="11"/>
      <c r="I15923" s="12"/>
      <c r="J15923" s="3"/>
      <c r="K15923" s="3"/>
      <c r="L15923" s="3"/>
      <c r="M15923" s="3"/>
      <c r="N15923" s="3"/>
      <c r="O15923" s="3"/>
      <c r="P15923" s="3"/>
      <c r="Q15923" s="3"/>
      <c r="R15923" s="3"/>
      <c r="S15923" s="3"/>
      <c r="T15923" s="3"/>
      <c r="U15923" s="3"/>
      <c r="V15923" s="3"/>
      <c r="W15923" s="14"/>
      <c r="X15923" s="3"/>
      <c r="Y15923" s="3"/>
      <c r="Z15923" s="3"/>
      <c r="AA15923" s="3"/>
      <c r="AB15923" s="3"/>
      <c r="AC15923" s="3"/>
      <c r="AD15923" s="3"/>
      <c r="AE15923" s="3"/>
      <c r="AF15923" s="3"/>
      <c r="AG15923" s="3"/>
      <c r="AH15923" s="3"/>
    </row>
    <row r="15924" spans="1:34" ht="14.25" customHeight="1" x14ac:dyDescent="0.25">
      <c r="A15924" s="3"/>
      <c r="B15924" s="3"/>
      <c r="C15924" s="3"/>
      <c r="D15924" s="3"/>
      <c r="E15924" s="3"/>
      <c r="F15924" s="3"/>
      <c r="G15924" s="3"/>
      <c r="H15924" s="11"/>
      <c r="I15924" s="12"/>
      <c r="J15924" s="3"/>
      <c r="K15924" s="3"/>
      <c r="L15924" s="3"/>
      <c r="M15924" s="3"/>
      <c r="N15924" s="3"/>
      <c r="O15924" s="3"/>
      <c r="P15924" s="3"/>
      <c r="Q15924" s="3"/>
      <c r="R15924" s="3"/>
      <c r="S15924" s="3"/>
      <c r="T15924" s="3"/>
      <c r="U15924" s="3"/>
      <c r="V15924" s="3"/>
      <c r="W15924" s="14"/>
      <c r="X15924" s="3"/>
      <c r="Y15924" s="3"/>
      <c r="Z15924" s="3"/>
      <c r="AA15924" s="3"/>
      <c r="AB15924" s="3"/>
      <c r="AC15924" s="3"/>
      <c r="AD15924" s="3"/>
      <c r="AE15924" s="3"/>
      <c r="AF15924" s="3"/>
      <c r="AG15924" s="3"/>
      <c r="AH15924" s="3"/>
    </row>
    <row r="15925" spans="1:34" ht="14.25" customHeight="1" x14ac:dyDescent="0.25">
      <c r="A15925" s="3"/>
      <c r="B15925" s="3"/>
      <c r="C15925" s="3"/>
      <c r="D15925" s="3"/>
      <c r="E15925" s="3"/>
      <c r="F15925" s="3"/>
      <c r="G15925" s="3"/>
      <c r="H15925" s="11"/>
      <c r="I15925" s="12"/>
      <c r="J15925" s="3"/>
      <c r="K15925" s="3"/>
      <c r="L15925" s="3"/>
      <c r="M15925" s="3"/>
      <c r="N15925" s="3"/>
      <c r="O15925" s="3"/>
      <c r="P15925" s="3"/>
      <c r="Q15925" s="3"/>
      <c r="R15925" s="3"/>
      <c r="S15925" s="3"/>
      <c r="T15925" s="3"/>
      <c r="U15925" s="3"/>
      <c r="V15925" s="3"/>
      <c r="W15925" s="14"/>
      <c r="X15925" s="3"/>
      <c r="Y15925" s="3"/>
      <c r="Z15925" s="3"/>
      <c r="AA15925" s="3"/>
      <c r="AB15925" s="3"/>
      <c r="AC15925" s="3"/>
      <c r="AD15925" s="3"/>
      <c r="AE15925" s="3"/>
      <c r="AF15925" s="3"/>
      <c r="AG15925" s="3"/>
      <c r="AH15925" s="3"/>
    </row>
    <row r="15926" spans="1:34" ht="14.25" customHeight="1" x14ac:dyDescent="0.25">
      <c r="A15926" s="3"/>
      <c r="B15926" s="3"/>
      <c r="C15926" s="3"/>
      <c r="D15926" s="3"/>
      <c r="E15926" s="3"/>
      <c r="F15926" s="3"/>
      <c r="G15926" s="3"/>
      <c r="H15926" s="11"/>
      <c r="I15926" s="12"/>
      <c r="J15926" s="3"/>
      <c r="K15926" s="3"/>
      <c r="L15926" s="3"/>
      <c r="M15926" s="3"/>
      <c r="N15926" s="3"/>
      <c r="O15926" s="3"/>
      <c r="P15926" s="3"/>
      <c r="Q15926" s="3"/>
      <c r="R15926" s="3"/>
      <c r="S15926" s="3"/>
      <c r="T15926" s="3"/>
      <c r="U15926" s="3"/>
      <c r="V15926" s="3"/>
      <c r="W15926" s="3"/>
      <c r="X15926" s="3"/>
      <c r="Y15926" s="3"/>
      <c r="Z15926" s="3"/>
      <c r="AA15926" s="3"/>
      <c r="AB15926" s="3"/>
      <c r="AC15926" s="3"/>
      <c r="AD15926" s="3"/>
      <c r="AE15926" s="3"/>
      <c r="AF15926" s="3"/>
      <c r="AG15926" s="3"/>
      <c r="AH15926" s="3"/>
    </row>
    <row r="15927" spans="1:34" ht="14.25" customHeight="1" x14ac:dyDescent="0.25">
      <c r="A15927" s="3"/>
      <c r="B15927" s="3"/>
      <c r="C15927" s="3"/>
      <c r="D15927" s="3"/>
      <c r="E15927" s="3"/>
      <c r="F15927" s="3"/>
      <c r="G15927" s="3"/>
      <c r="H15927" s="11"/>
      <c r="I15927" s="12"/>
      <c r="J15927" s="3"/>
      <c r="K15927" s="3"/>
      <c r="L15927" s="3"/>
      <c r="M15927" s="3"/>
      <c r="N15927" s="3"/>
      <c r="O15927" s="3"/>
      <c r="P15927" s="3"/>
      <c r="Q15927" s="3"/>
      <c r="R15927" s="3"/>
      <c r="S15927" s="3"/>
      <c r="T15927" s="3"/>
      <c r="U15927" s="3"/>
      <c r="V15927" s="3"/>
      <c r="W15927" s="3"/>
      <c r="X15927" s="3"/>
      <c r="Y15927" s="3"/>
      <c r="Z15927" s="3"/>
      <c r="AA15927" s="3"/>
      <c r="AB15927" s="3"/>
      <c r="AC15927" s="3"/>
      <c r="AD15927" s="3"/>
      <c r="AE15927" s="3"/>
      <c r="AF15927" s="3"/>
      <c r="AG15927" s="3"/>
      <c r="AH15927" s="3"/>
    </row>
    <row r="15928" spans="1:34" ht="14.25" customHeight="1" x14ac:dyDescent="0.25">
      <c r="A15928" s="3"/>
      <c r="B15928" s="3"/>
      <c r="C15928" s="3"/>
      <c r="D15928" s="3"/>
      <c r="E15928" s="3"/>
      <c r="F15928" s="3"/>
      <c r="G15928" s="3"/>
      <c r="H15928" s="11"/>
      <c r="I15928" s="12"/>
      <c r="J15928" s="3"/>
      <c r="K15928" s="3"/>
      <c r="L15928" s="3"/>
      <c r="M15928" s="3"/>
      <c r="N15928" s="3"/>
      <c r="O15928" s="3"/>
      <c r="P15928" s="3"/>
      <c r="Q15928" s="3"/>
      <c r="R15928" s="3"/>
      <c r="S15928" s="3"/>
      <c r="T15928" s="3"/>
      <c r="U15928" s="3"/>
      <c r="V15928" s="3"/>
      <c r="W15928" s="3"/>
      <c r="X15928" s="3"/>
      <c r="Y15928" s="3"/>
      <c r="Z15928" s="3"/>
      <c r="AA15928" s="3"/>
      <c r="AB15928" s="3"/>
      <c r="AC15928" s="3"/>
      <c r="AD15928" s="3"/>
      <c r="AE15928" s="3"/>
      <c r="AF15928" s="3"/>
      <c r="AG15928" s="3"/>
      <c r="AH15928" s="3"/>
    </row>
    <row r="15929" spans="1:34" ht="14.25" customHeight="1" x14ac:dyDescent="0.25">
      <c r="A15929" s="3"/>
      <c r="B15929" s="3"/>
      <c r="C15929" s="3"/>
      <c r="D15929" s="3"/>
      <c r="E15929" s="3"/>
      <c r="F15929" s="3"/>
      <c r="G15929" s="3"/>
      <c r="H15929" s="11"/>
      <c r="I15929" s="12"/>
      <c r="J15929" s="3"/>
      <c r="K15929" s="3"/>
      <c r="L15929" s="3"/>
      <c r="M15929" s="3"/>
      <c r="N15929" s="3"/>
      <c r="O15929" s="3"/>
      <c r="P15929" s="3"/>
      <c r="Q15929" s="3"/>
      <c r="R15929" s="3"/>
      <c r="S15929" s="3"/>
      <c r="T15929" s="3"/>
      <c r="U15929" s="3"/>
      <c r="V15929" s="3"/>
      <c r="W15929" s="3"/>
      <c r="X15929" s="3"/>
      <c r="Y15929" s="3"/>
      <c r="Z15929" s="3"/>
      <c r="AA15929" s="3"/>
      <c r="AB15929" s="3"/>
      <c r="AC15929" s="3"/>
      <c r="AD15929" s="3"/>
      <c r="AE15929" s="3"/>
      <c r="AF15929" s="3"/>
      <c r="AG15929" s="3"/>
      <c r="AH15929" s="3"/>
    </row>
    <row r="15930" spans="1:34" ht="14.25" customHeight="1" x14ac:dyDescent="0.25">
      <c r="A15930" s="3"/>
      <c r="B15930" s="3"/>
      <c r="C15930" s="3"/>
      <c r="D15930" s="3"/>
      <c r="E15930" s="3"/>
      <c r="F15930" s="3"/>
      <c r="G15930" s="3"/>
      <c r="H15930" s="11"/>
      <c r="I15930" s="12"/>
      <c r="J15930" s="3"/>
      <c r="K15930" s="3"/>
      <c r="L15930" s="3"/>
      <c r="M15930" s="3"/>
      <c r="N15930" s="3"/>
      <c r="O15930" s="3"/>
      <c r="P15930" s="3"/>
      <c r="Q15930" s="3"/>
      <c r="R15930" s="3"/>
      <c r="S15930" s="3"/>
      <c r="T15930" s="3"/>
      <c r="U15930" s="3"/>
      <c r="V15930" s="3"/>
      <c r="W15930" s="3"/>
      <c r="X15930" s="3"/>
      <c r="Y15930" s="3"/>
      <c r="Z15930" s="3"/>
      <c r="AA15930" s="3"/>
      <c r="AB15930" s="3"/>
      <c r="AC15930" s="3"/>
      <c r="AD15930" s="3"/>
      <c r="AE15930" s="3"/>
      <c r="AF15930" s="3"/>
      <c r="AG15930" s="3"/>
      <c r="AH15930" s="3"/>
    </row>
    <row r="15931" spans="1:34" ht="14.25" customHeight="1" x14ac:dyDescent="0.25">
      <c r="A15931" s="3"/>
      <c r="B15931" s="3"/>
      <c r="C15931" s="3"/>
      <c r="D15931" s="3"/>
      <c r="E15931" s="3"/>
      <c r="F15931" s="3"/>
      <c r="G15931" s="3"/>
      <c r="H15931" s="11"/>
      <c r="I15931" s="12"/>
      <c r="J15931" s="3"/>
      <c r="K15931" s="3"/>
      <c r="L15931" s="3"/>
      <c r="M15931" s="3"/>
      <c r="N15931" s="3"/>
      <c r="O15931" s="3"/>
      <c r="P15931" s="3"/>
      <c r="Q15931" s="3"/>
      <c r="R15931" s="3"/>
      <c r="S15931" s="3"/>
      <c r="T15931" s="3"/>
      <c r="U15931" s="3"/>
      <c r="V15931" s="3"/>
      <c r="W15931" s="3"/>
      <c r="X15931" s="3"/>
      <c r="Y15931" s="3"/>
      <c r="Z15931" s="3"/>
      <c r="AA15931" s="3"/>
      <c r="AB15931" s="3"/>
      <c r="AC15931" s="3"/>
      <c r="AD15931" s="3"/>
      <c r="AE15931" s="3"/>
      <c r="AF15931" s="3"/>
      <c r="AG15931" s="3"/>
      <c r="AH15931" s="3"/>
    </row>
    <row r="15932" spans="1:34" ht="14.25" customHeight="1" x14ac:dyDescent="0.25">
      <c r="A15932" s="3"/>
      <c r="B15932" s="3"/>
      <c r="C15932" s="3"/>
      <c r="D15932" s="3"/>
      <c r="E15932" s="3"/>
      <c r="F15932" s="3"/>
      <c r="G15932" s="3"/>
      <c r="H15932" s="11"/>
      <c r="I15932" s="12"/>
      <c r="J15932" s="3"/>
      <c r="K15932" s="3"/>
      <c r="L15932" s="3"/>
      <c r="M15932" s="3"/>
      <c r="N15932" s="3"/>
      <c r="O15932" s="3"/>
      <c r="P15932" s="3"/>
      <c r="Q15932" s="3"/>
      <c r="R15932" s="3"/>
      <c r="S15932" s="3"/>
      <c r="T15932" s="3"/>
      <c r="U15932" s="3"/>
      <c r="V15932" s="3"/>
      <c r="W15932" s="3"/>
      <c r="X15932" s="3"/>
      <c r="Y15932" s="3"/>
      <c r="Z15932" s="3"/>
      <c r="AA15932" s="3"/>
      <c r="AB15932" s="3"/>
      <c r="AC15932" s="3"/>
      <c r="AD15932" s="3"/>
      <c r="AE15932" s="3"/>
      <c r="AF15932" s="3"/>
      <c r="AG15932" s="3"/>
      <c r="AH15932" s="3"/>
    </row>
    <row r="15933" spans="1:34" ht="14.25" customHeight="1" x14ac:dyDescent="0.25">
      <c r="A15933" s="3"/>
      <c r="B15933" s="3"/>
      <c r="C15933" s="3"/>
      <c r="D15933" s="3"/>
      <c r="E15933" s="3"/>
      <c r="F15933" s="3"/>
      <c r="G15933" s="3"/>
      <c r="H15933" s="11"/>
      <c r="I15933" s="12"/>
      <c r="J15933" s="3"/>
      <c r="K15933" s="3"/>
      <c r="L15933" s="3"/>
      <c r="M15933" s="3"/>
      <c r="N15933" s="3"/>
      <c r="O15933" s="3"/>
      <c r="P15933" s="3"/>
      <c r="Q15933" s="3"/>
      <c r="R15933" s="3"/>
      <c r="S15933" s="3"/>
      <c r="T15933" s="3"/>
      <c r="U15933" s="3"/>
      <c r="V15933" s="3"/>
      <c r="W15933" s="3"/>
      <c r="X15933" s="3"/>
      <c r="Y15933" s="3"/>
      <c r="Z15933" s="3"/>
      <c r="AA15933" s="3"/>
      <c r="AB15933" s="3"/>
      <c r="AC15933" s="3"/>
      <c r="AD15933" s="3"/>
      <c r="AE15933" s="3"/>
      <c r="AF15933" s="3"/>
      <c r="AG15933" s="3"/>
      <c r="AH15933" s="3"/>
    </row>
    <row r="15934" spans="1:34" ht="14.25" customHeight="1" x14ac:dyDescent="0.25">
      <c r="A15934" s="3"/>
      <c r="B15934" s="3"/>
      <c r="C15934" s="3"/>
      <c r="D15934" s="3"/>
      <c r="E15934" s="3"/>
      <c r="F15934" s="3"/>
      <c r="G15934" s="3"/>
      <c r="H15934" s="11"/>
      <c r="I15934" s="12"/>
      <c r="J15934" s="3"/>
      <c r="K15934" s="3"/>
      <c r="L15934" s="3"/>
      <c r="M15934" s="3"/>
      <c r="N15934" s="3"/>
      <c r="O15934" s="3"/>
      <c r="P15934" s="3"/>
      <c r="Q15934" s="3"/>
      <c r="R15934" s="3"/>
      <c r="S15934" s="3"/>
      <c r="T15934" s="3"/>
      <c r="U15934" s="3"/>
      <c r="V15934" s="3"/>
      <c r="W15934" s="3"/>
      <c r="X15934" s="3"/>
      <c r="Y15934" s="3"/>
      <c r="Z15934" s="3"/>
      <c r="AA15934" s="3"/>
      <c r="AB15934" s="3"/>
      <c r="AC15934" s="3"/>
      <c r="AD15934" s="3"/>
      <c r="AE15934" s="3"/>
      <c r="AF15934" s="3"/>
      <c r="AG15934" s="3"/>
      <c r="AH15934" s="3"/>
    </row>
    <row r="15935" spans="1:34" ht="14.25" customHeight="1" x14ac:dyDescent="0.25">
      <c r="A15935" s="3"/>
      <c r="B15935" s="3"/>
      <c r="C15935" s="3"/>
      <c r="D15935" s="3"/>
      <c r="E15935" s="3"/>
      <c r="F15935" s="3"/>
      <c r="G15935" s="3"/>
      <c r="H15935" s="11"/>
      <c r="I15935" s="12"/>
      <c r="J15935" s="3"/>
      <c r="K15935" s="3"/>
      <c r="L15935" s="3"/>
      <c r="M15935" s="3"/>
      <c r="N15935" s="3"/>
      <c r="O15935" s="3"/>
      <c r="P15935" s="3"/>
      <c r="Q15935" s="3"/>
      <c r="R15935" s="3"/>
      <c r="S15935" s="3"/>
      <c r="T15935" s="3"/>
      <c r="U15935" s="3"/>
      <c r="V15935" s="3"/>
      <c r="W15935" s="3"/>
      <c r="X15935" s="3"/>
      <c r="Y15935" s="3"/>
      <c r="Z15935" s="3"/>
      <c r="AA15935" s="3"/>
      <c r="AB15935" s="3"/>
      <c r="AC15935" s="3"/>
      <c r="AD15935" s="3"/>
      <c r="AE15935" s="3"/>
      <c r="AF15935" s="3"/>
      <c r="AG15935" s="3"/>
      <c r="AH15935" s="3"/>
    </row>
    <row r="15936" spans="1:34" ht="14.25" customHeight="1" x14ac:dyDescent="0.25">
      <c r="A15936" s="3"/>
      <c r="B15936" s="3"/>
      <c r="C15936" s="3"/>
      <c r="D15936" s="3"/>
      <c r="E15936" s="3"/>
      <c r="F15936" s="3"/>
      <c r="G15936" s="3"/>
      <c r="H15936" s="11"/>
      <c r="I15936" s="12"/>
      <c r="J15936" s="3"/>
      <c r="K15936" s="3"/>
      <c r="L15936" s="3"/>
      <c r="M15936" s="3"/>
      <c r="N15936" s="3"/>
      <c r="O15936" s="3"/>
      <c r="P15936" s="3"/>
      <c r="Q15936" s="3"/>
      <c r="R15936" s="3"/>
      <c r="S15936" s="3"/>
      <c r="T15936" s="3"/>
      <c r="U15936" s="3"/>
      <c r="V15936" s="3"/>
      <c r="W15936" s="3"/>
      <c r="X15936" s="3"/>
      <c r="Y15936" s="3"/>
      <c r="Z15936" s="3"/>
      <c r="AA15936" s="3"/>
      <c r="AB15936" s="3"/>
      <c r="AC15936" s="3"/>
      <c r="AD15936" s="3"/>
      <c r="AE15936" s="3"/>
      <c r="AF15936" s="3"/>
      <c r="AG15936" s="3"/>
      <c r="AH15936" s="3"/>
    </row>
    <row r="15937" spans="1:34" ht="14.25" customHeight="1" x14ac:dyDescent="0.25">
      <c r="A15937" s="3"/>
      <c r="B15937" s="3"/>
      <c r="C15937" s="3"/>
      <c r="D15937" s="3"/>
      <c r="E15937" s="3"/>
      <c r="F15937" s="3"/>
      <c r="G15937" s="3"/>
      <c r="H15937" s="11"/>
      <c r="I15937" s="12"/>
      <c r="J15937" s="3"/>
      <c r="K15937" s="3"/>
      <c r="L15937" s="3"/>
      <c r="M15937" s="3"/>
      <c r="N15937" s="3"/>
      <c r="O15937" s="3"/>
      <c r="P15937" s="3"/>
      <c r="Q15937" s="3"/>
      <c r="R15937" s="3"/>
      <c r="S15937" s="3"/>
      <c r="T15937" s="3"/>
      <c r="U15937" s="3"/>
      <c r="V15937" s="3"/>
      <c r="W15937" s="3"/>
      <c r="X15937" s="3"/>
      <c r="Y15937" s="3"/>
      <c r="Z15937" s="3"/>
      <c r="AA15937" s="3"/>
      <c r="AB15937" s="3"/>
      <c r="AC15937" s="3"/>
      <c r="AD15937" s="3"/>
      <c r="AE15937" s="3"/>
      <c r="AF15937" s="3"/>
      <c r="AG15937" s="3"/>
      <c r="AH15937" s="3"/>
    </row>
    <row r="15938" spans="1:34" ht="14.25" customHeight="1" x14ac:dyDescent="0.25">
      <c r="A15938" s="3"/>
      <c r="B15938" s="3"/>
      <c r="C15938" s="3"/>
      <c r="D15938" s="3"/>
      <c r="E15938" s="3"/>
      <c r="F15938" s="3"/>
      <c r="G15938" s="3"/>
      <c r="H15938" s="11"/>
      <c r="I15938" s="12"/>
      <c r="J15938" s="3"/>
      <c r="K15938" s="3"/>
      <c r="L15938" s="3"/>
      <c r="M15938" s="3"/>
      <c r="N15938" s="3"/>
      <c r="O15938" s="3"/>
      <c r="P15938" s="3"/>
      <c r="Q15938" s="3"/>
      <c r="R15938" s="3"/>
      <c r="S15938" s="3"/>
      <c r="T15938" s="3"/>
      <c r="U15938" s="3"/>
      <c r="V15938" s="3"/>
      <c r="W15938" s="3"/>
      <c r="X15938" s="3"/>
      <c r="Y15938" s="3"/>
      <c r="Z15938" s="3"/>
      <c r="AA15938" s="3"/>
      <c r="AB15938" s="3"/>
      <c r="AC15938" s="3"/>
      <c r="AD15938" s="3"/>
      <c r="AE15938" s="3"/>
      <c r="AF15938" s="3"/>
      <c r="AG15938" s="3"/>
      <c r="AH15938" s="3"/>
    </row>
    <row r="15939" spans="1:34" ht="14.25" customHeight="1" x14ac:dyDescent="0.25">
      <c r="A15939" s="3"/>
      <c r="B15939" s="3"/>
      <c r="C15939" s="3"/>
      <c r="D15939" s="3"/>
      <c r="E15939" s="3"/>
      <c r="F15939" s="3"/>
      <c r="G15939" s="3"/>
      <c r="H15939" s="11"/>
      <c r="I15939" s="12"/>
      <c r="J15939" s="3"/>
      <c r="K15939" s="3"/>
      <c r="L15939" s="3"/>
      <c r="M15939" s="3"/>
      <c r="N15939" s="3"/>
      <c r="O15939" s="3"/>
      <c r="P15939" s="3"/>
      <c r="Q15939" s="3"/>
      <c r="R15939" s="3"/>
      <c r="S15939" s="3"/>
      <c r="T15939" s="3"/>
      <c r="U15939" s="3"/>
      <c r="V15939" s="3"/>
      <c r="W15939" s="3"/>
      <c r="X15939" s="3"/>
      <c r="Y15939" s="3"/>
      <c r="Z15939" s="3"/>
      <c r="AA15939" s="3"/>
      <c r="AB15939" s="3"/>
      <c r="AC15939" s="3"/>
      <c r="AD15939" s="3"/>
      <c r="AE15939" s="3"/>
      <c r="AF15939" s="3"/>
      <c r="AG15939" s="3"/>
      <c r="AH15939" s="3"/>
    </row>
    <row r="15940" spans="1:34" ht="14.25" customHeight="1" x14ac:dyDescent="0.25">
      <c r="A15940" s="3"/>
      <c r="B15940" s="3"/>
      <c r="C15940" s="3"/>
      <c r="D15940" s="3"/>
      <c r="E15940" s="3"/>
      <c r="F15940" s="3"/>
      <c r="G15940" s="3"/>
      <c r="H15940" s="11"/>
      <c r="I15940" s="12"/>
      <c r="J15940" s="3"/>
      <c r="K15940" s="3"/>
      <c r="L15940" s="3"/>
      <c r="M15940" s="3"/>
      <c r="N15940" s="3"/>
      <c r="O15940" s="3"/>
      <c r="P15940" s="3"/>
      <c r="Q15940" s="3"/>
      <c r="R15940" s="3"/>
      <c r="S15940" s="3"/>
      <c r="T15940" s="3"/>
      <c r="U15940" s="3"/>
      <c r="V15940" s="3"/>
      <c r="W15940" s="3"/>
      <c r="X15940" s="3"/>
      <c r="Y15940" s="3"/>
      <c r="Z15940" s="3"/>
      <c r="AA15940" s="3"/>
      <c r="AB15940" s="3"/>
      <c r="AC15940" s="3"/>
      <c r="AD15940" s="3"/>
      <c r="AE15940" s="3"/>
      <c r="AF15940" s="3"/>
      <c r="AG15940" s="3"/>
      <c r="AH15940" s="3"/>
    </row>
    <row r="15941" spans="1:34" ht="14.25" customHeight="1" x14ac:dyDescent="0.25">
      <c r="A15941" s="3"/>
      <c r="B15941" s="3"/>
      <c r="C15941" s="3"/>
      <c r="D15941" s="3"/>
      <c r="E15941" s="3"/>
      <c r="F15941" s="3"/>
      <c r="G15941" s="3"/>
      <c r="H15941" s="11"/>
      <c r="I15941" s="12"/>
      <c r="J15941" s="3"/>
      <c r="K15941" s="3"/>
      <c r="L15941" s="3"/>
      <c r="M15941" s="3"/>
      <c r="N15941" s="3"/>
      <c r="O15941" s="3"/>
      <c r="P15941" s="3"/>
      <c r="Q15941" s="3"/>
      <c r="R15941" s="3"/>
      <c r="S15941" s="3"/>
      <c r="T15941" s="3"/>
      <c r="U15941" s="3"/>
      <c r="V15941" s="3"/>
      <c r="W15941" s="3"/>
      <c r="X15941" s="3"/>
      <c r="Y15941" s="3"/>
      <c r="Z15941" s="3"/>
      <c r="AA15941" s="3"/>
      <c r="AB15941" s="3"/>
      <c r="AC15941" s="3"/>
      <c r="AD15941" s="3"/>
      <c r="AE15941" s="3"/>
      <c r="AF15941" s="3"/>
      <c r="AG15941" s="3"/>
      <c r="AH15941" s="3"/>
    </row>
    <row r="15942" spans="1:34" ht="14.25" customHeight="1" x14ac:dyDescent="0.25">
      <c r="A15942" s="3"/>
      <c r="B15942" s="3"/>
      <c r="C15942" s="3"/>
      <c r="D15942" s="3"/>
      <c r="E15942" s="3"/>
      <c r="F15942" s="3"/>
      <c r="G15942" s="3"/>
      <c r="H15942" s="11"/>
      <c r="I15942" s="12"/>
      <c r="J15942" s="3"/>
      <c r="K15942" s="3"/>
      <c r="L15942" s="3"/>
      <c r="M15942" s="3"/>
      <c r="N15942" s="3"/>
      <c r="O15942" s="3"/>
      <c r="P15942" s="3"/>
      <c r="Q15942" s="3"/>
      <c r="R15942" s="3"/>
      <c r="S15942" s="3"/>
      <c r="T15942" s="3"/>
      <c r="U15942" s="3"/>
      <c r="V15942" s="3"/>
      <c r="W15942" s="3"/>
      <c r="X15942" s="3"/>
      <c r="Y15942" s="3"/>
      <c r="Z15942" s="3"/>
      <c r="AA15942" s="3"/>
      <c r="AB15942" s="3"/>
      <c r="AC15942" s="3"/>
      <c r="AD15942" s="3"/>
      <c r="AE15942" s="3"/>
      <c r="AF15942" s="3"/>
      <c r="AG15942" s="3"/>
      <c r="AH15942" s="3"/>
    </row>
    <row r="15943" spans="1:34" ht="14.25" customHeight="1" x14ac:dyDescent="0.25">
      <c r="A15943" s="3"/>
      <c r="B15943" s="3"/>
      <c r="C15943" s="3"/>
      <c r="D15943" s="3"/>
      <c r="E15943" s="3"/>
      <c r="F15943" s="3"/>
      <c r="G15943" s="3"/>
      <c r="H15943" s="11"/>
      <c r="I15943" s="12"/>
      <c r="J15943" s="3"/>
      <c r="K15943" s="3"/>
      <c r="L15943" s="3"/>
      <c r="M15943" s="3"/>
      <c r="N15943" s="3"/>
      <c r="O15943" s="3"/>
      <c r="P15943" s="3"/>
      <c r="Q15943" s="3"/>
      <c r="R15943" s="3"/>
      <c r="S15943" s="3"/>
      <c r="T15943" s="3"/>
      <c r="U15943" s="3"/>
      <c r="V15943" s="3"/>
      <c r="W15943" s="3"/>
      <c r="X15943" s="3"/>
      <c r="Y15943" s="3"/>
      <c r="Z15943" s="3"/>
      <c r="AA15943" s="3"/>
      <c r="AB15943" s="3"/>
      <c r="AC15943" s="3"/>
      <c r="AD15943" s="3"/>
      <c r="AE15943" s="3"/>
      <c r="AF15943" s="3"/>
      <c r="AG15943" s="3"/>
      <c r="AH15943" s="3"/>
    </row>
    <row r="15944" spans="1:34" ht="14.25" customHeight="1" x14ac:dyDescent="0.25">
      <c r="A15944" s="3"/>
      <c r="B15944" s="3"/>
      <c r="C15944" s="3"/>
      <c r="D15944" s="3"/>
      <c r="E15944" s="3"/>
      <c r="F15944" s="3"/>
      <c r="G15944" s="3"/>
      <c r="H15944" s="11"/>
      <c r="I15944" s="12"/>
      <c r="J15944" s="3"/>
      <c r="K15944" s="3"/>
      <c r="L15944" s="3"/>
      <c r="M15944" s="3"/>
      <c r="N15944" s="3"/>
      <c r="O15944" s="3"/>
      <c r="P15944" s="3"/>
      <c r="Q15944" s="3"/>
      <c r="R15944" s="3"/>
      <c r="S15944" s="3"/>
      <c r="T15944" s="3"/>
      <c r="U15944" s="3"/>
      <c r="V15944" s="3"/>
      <c r="W15944" s="3"/>
      <c r="X15944" s="3"/>
      <c r="Y15944" s="3"/>
      <c r="Z15944" s="3"/>
      <c r="AA15944" s="3"/>
      <c r="AB15944" s="3"/>
      <c r="AC15944" s="3"/>
      <c r="AD15944" s="3"/>
      <c r="AE15944" s="3"/>
      <c r="AF15944" s="3"/>
      <c r="AG15944" s="3"/>
      <c r="AH15944" s="3"/>
    </row>
    <row r="15945" spans="1:34" ht="14.25" customHeight="1" x14ac:dyDescent="0.25">
      <c r="A15945" s="3"/>
      <c r="B15945" s="3"/>
      <c r="C15945" s="3"/>
      <c r="D15945" s="3"/>
      <c r="E15945" s="3"/>
      <c r="F15945" s="3"/>
      <c r="G15945" s="3"/>
      <c r="H15945" s="11"/>
      <c r="I15945" s="12"/>
      <c r="J15945" s="3"/>
      <c r="K15945" s="3"/>
      <c r="L15945" s="3"/>
      <c r="M15945" s="3"/>
      <c r="N15945" s="3"/>
      <c r="O15945" s="3"/>
      <c r="P15945" s="3"/>
      <c r="Q15945" s="3"/>
      <c r="R15945" s="3"/>
      <c r="S15945" s="3"/>
      <c r="T15945" s="3"/>
      <c r="U15945" s="3"/>
      <c r="V15945" s="3"/>
      <c r="W15945" s="3"/>
      <c r="X15945" s="3"/>
      <c r="Y15945" s="3"/>
      <c r="Z15945" s="3"/>
      <c r="AA15945" s="3"/>
      <c r="AB15945" s="3"/>
      <c r="AC15945" s="3"/>
      <c r="AD15945" s="3"/>
      <c r="AE15945" s="3"/>
      <c r="AF15945" s="3"/>
      <c r="AG15945" s="3"/>
      <c r="AH15945" s="3"/>
    </row>
    <row r="15946" spans="1:34" ht="14.25" customHeight="1" x14ac:dyDescent="0.25">
      <c r="A15946" s="3"/>
      <c r="B15946" s="3"/>
      <c r="C15946" s="3"/>
      <c r="D15946" s="3"/>
      <c r="E15946" s="3"/>
      <c r="F15946" s="3"/>
      <c r="G15946" s="3"/>
      <c r="H15946" s="11"/>
      <c r="I15946" s="12"/>
      <c r="J15946" s="3"/>
      <c r="K15946" s="3"/>
      <c r="L15946" s="3"/>
      <c r="M15946" s="3"/>
      <c r="N15946" s="3"/>
      <c r="O15946" s="3"/>
      <c r="P15946" s="3"/>
      <c r="Q15946" s="3"/>
      <c r="R15946" s="3"/>
      <c r="S15946" s="3"/>
      <c r="T15946" s="3"/>
      <c r="U15946" s="3"/>
      <c r="V15946" s="3"/>
      <c r="W15946" s="3"/>
      <c r="X15946" s="3"/>
      <c r="Y15946" s="3"/>
      <c r="Z15946" s="3"/>
      <c r="AA15946" s="3"/>
      <c r="AB15946" s="3"/>
      <c r="AC15946" s="3"/>
      <c r="AD15946" s="3"/>
      <c r="AE15946" s="3"/>
      <c r="AF15946" s="3"/>
      <c r="AG15946" s="3"/>
      <c r="AH15946" s="3"/>
    </row>
    <row r="15947" spans="1:34" ht="14.25" customHeight="1" x14ac:dyDescent="0.25">
      <c r="A15947" s="3"/>
      <c r="B15947" s="3"/>
      <c r="C15947" s="3"/>
      <c r="D15947" s="3"/>
      <c r="E15947" s="3"/>
      <c r="F15947" s="3"/>
      <c r="G15947" s="3"/>
      <c r="H15947" s="11"/>
      <c r="I15947" s="12"/>
      <c r="J15947" s="3"/>
      <c r="K15947" s="3"/>
      <c r="L15947" s="3"/>
      <c r="M15947" s="3"/>
      <c r="N15947" s="3"/>
      <c r="O15947" s="3"/>
      <c r="P15947" s="3"/>
      <c r="Q15947" s="3"/>
      <c r="R15947" s="3"/>
      <c r="S15947" s="3"/>
      <c r="T15947" s="3"/>
      <c r="U15947" s="3"/>
      <c r="V15947" s="3"/>
      <c r="W15947" s="3"/>
      <c r="X15947" s="3"/>
      <c r="Y15947" s="3"/>
      <c r="Z15947" s="3"/>
      <c r="AA15947" s="3"/>
      <c r="AB15947" s="3"/>
      <c r="AC15947" s="3"/>
      <c r="AD15947" s="3"/>
      <c r="AE15947" s="3"/>
      <c r="AF15947" s="3"/>
      <c r="AG15947" s="3"/>
      <c r="AH15947" s="3"/>
    </row>
    <row r="15948" spans="1:34" ht="14.25" customHeight="1" x14ac:dyDescent="0.25">
      <c r="A15948" s="3"/>
      <c r="B15948" s="3"/>
      <c r="C15948" s="3"/>
      <c r="D15948" s="3"/>
      <c r="E15948" s="3"/>
      <c r="F15948" s="3"/>
      <c r="G15948" s="3"/>
      <c r="H15948" s="11"/>
      <c r="I15948" s="12"/>
      <c r="J15948" s="3"/>
      <c r="K15948" s="3"/>
      <c r="L15948" s="3"/>
      <c r="M15948" s="3"/>
      <c r="N15948" s="3"/>
      <c r="O15948" s="3"/>
      <c r="P15948" s="3"/>
      <c r="Q15948" s="3"/>
      <c r="R15948" s="3"/>
      <c r="S15948" s="3"/>
      <c r="T15948" s="3"/>
      <c r="U15948" s="3"/>
      <c r="V15948" s="3"/>
      <c r="W15948" s="3"/>
      <c r="X15948" s="3"/>
      <c r="Y15948" s="3"/>
      <c r="Z15948" s="3"/>
      <c r="AA15948" s="3"/>
      <c r="AB15948" s="3"/>
      <c r="AC15948" s="3"/>
      <c r="AD15948" s="3"/>
      <c r="AE15948" s="3"/>
      <c r="AF15948" s="3"/>
      <c r="AG15948" s="3"/>
      <c r="AH15948" s="3"/>
    </row>
    <row r="15949" spans="1:34" ht="14.25" customHeight="1" x14ac:dyDescent="0.25">
      <c r="A15949" s="3"/>
      <c r="B15949" s="3"/>
      <c r="C15949" s="3"/>
      <c r="D15949" s="3"/>
      <c r="E15949" s="3"/>
      <c r="F15949" s="3"/>
      <c r="G15949" s="3"/>
      <c r="H15949" s="11"/>
      <c r="I15949" s="12"/>
      <c r="J15949" s="3"/>
      <c r="K15949" s="3"/>
      <c r="L15949" s="3"/>
      <c r="M15949" s="3"/>
      <c r="N15949" s="3"/>
      <c r="O15949" s="3"/>
      <c r="P15949" s="3"/>
      <c r="Q15949" s="3"/>
      <c r="R15949" s="3"/>
      <c r="S15949" s="3"/>
      <c r="T15949" s="3"/>
      <c r="U15949" s="3"/>
      <c r="V15949" s="3"/>
      <c r="W15949" s="3"/>
      <c r="X15949" s="3"/>
      <c r="Y15949" s="3"/>
      <c r="Z15949" s="3"/>
      <c r="AA15949" s="3"/>
      <c r="AB15949" s="3"/>
      <c r="AC15949" s="3"/>
      <c r="AD15949" s="3"/>
      <c r="AE15949" s="3"/>
      <c r="AF15949" s="3"/>
      <c r="AG15949" s="3"/>
      <c r="AH15949" s="3"/>
    </row>
    <row r="15950" spans="1:34" ht="14.25" customHeight="1" x14ac:dyDescent="0.25">
      <c r="A15950" s="3"/>
      <c r="B15950" s="3"/>
      <c r="C15950" s="3"/>
      <c r="D15950" s="3"/>
      <c r="E15950" s="3"/>
      <c r="F15950" s="3"/>
      <c r="G15950" s="3"/>
      <c r="H15950" s="11"/>
      <c r="I15950" s="12"/>
      <c r="J15950" s="3"/>
      <c r="K15950" s="3"/>
      <c r="L15950" s="3"/>
      <c r="M15950" s="3"/>
      <c r="N15950" s="3"/>
      <c r="O15950" s="3"/>
      <c r="P15950" s="3"/>
      <c r="Q15950" s="3"/>
      <c r="R15950" s="3"/>
      <c r="S15950" s="3"/>
      <c r="T15950" s="3"/>
      <c r="U15950" s="3"/>
      <c r="V15950" s="3"/>
      <c r="W15950" s="3"/>
      <c r="X15950" s="3"/>
      <c r="Y15950" s="3"/>
      <c r="Z15950" s="3"/>
      <c r="AA15950" s="3"/>
      <c r="AB15950" s="3"/>
      <c r="AC15950" s="3"/>
      <c r="AD15950" s="3"/>
      <c r="AE15950" s="3"/>
      <c r="AF15950" s="3"/>
      <c r="AG15950" s="3"/>
      <c r="AH15950" s="3"/>
    </row>
    <row r="15951" spans="1:34" ht="14.25" customHeight="1" x14ac:dyDescent="0.25">
      <c r="A15951" s="3"/>
      <c r="B15951" s="3"/>
      <c r="C15951" s="3"/>
      <c r="D15951" s="3"/>
      <c r="E15951" s="3"/>
      <c r="F15951" s="3"/>
      <c r="G15951" s="3"/>
      <c r="H15951" s="11"/>
      <c r="I15951" s="12"/>
      <c r="J15951" s="3"/>
      <c r="K15951" s="3"/>
      <c r="L15951" s="3"/>
      <c r="M15951" s="3"/>
      <c r="N15951" s="3"/>
      <c r="O15951" s="3"/>
      <c r="P15951" s="3"/>
      <c r="Q15951" s="3"/>
      <c r="R15951" s="3"/>
      <c r="S15951" s="3"/>
      <c r="T15951" s="3"/>
      <c r="U15951" s="3"/>
      <c r="V15951" s="3"/>
      <c r="W15951" s="3"/>
      <c r="X15951" s="3"/>
      <c r="Y15951" s="3"/>
      <c r="Z15951" s="3"/>
      <c r="AA15951" s="3"/>
      <c r="AB15951" s="3"/>
      <c r="AC15951" s="3"/>
      <c r="AD15951" s="3"/>
      <c r="AE15951" s="3"/>
      <c r="AF15951" s="3"/>
      <c r="AG15951" s="3"/>
      <c r="AH15951" s="3"/>
    </row>
    <row r="15952" spans="1:34" ht="14.25" customHeight="1" x14ac:dyDescent="0.25">
      <c r="A15952" s="3"/>
      <c r="B15952" s="3"/>
      <c r="C15952" s="3"/>
      <c r="D15952" s="3"/>
      <c r="E15952" s="3"/>
      <c r="F15952" s="3"/>
      <c r="G15952" s="3"/>
      <c r="H15952" s="11"/>
      <c r="I15952" s="12"/>
      <c r="J15952" s="3"/>
      <c r="K15952" s="3"/>
      <c r="L15952" s="3"/>
      <c r="M15952" s="3"/>
      <c r="N15952" s="3"/>
      <c r="O15952" s="3"/>
      <c r="P15952" s="3"/>
      <c r="Q15952" s="3"/>
      <c r="R15952" s="3"/>
      <c r="S15952" s="3"/>
      <c r="T15952" s="3"/>
      <c r="U15952" s="3"/>
      <c r="V15952" s="3"/>
      <c r="W15952" s="3"/>
      <c r="X15952" s="3"/>
      <c r="Y15952" s="3"/>
      <c r="Z15952" s="3"/>
      <c r="AA15952" s="3"/>
      <c r="AB15952" s="3"/>
      <c r="AC15952" s="3"/>
      <c r="AD15952" s="3"/>
      <c r="AE15952" s="3"/>
      <c r="AF15952" s="3"/>
      <c r="AG15952" s="3"/>
      <c r="AH15952" s="3"/>
    </row>
    <row r="15953" spans="1:34" ht="14.25" customHeight="1" x14ac:dyDescent="0.25">
      <c r="A15953" s="3"/>
      <c r="B15953" s="3"/>
      <c r="C15953" s="3"/>
      <c r="D15953" s="3"/>
      <c r="E15953" s="3"/>
      <c r="F15953" s="3"/>
      <c r="G15953" s="3"/>
      <c r="H15953" s="11"/>
      <c r="I15953" s="12"/>
      <c r="J15953" s="3"/>
      <c r="K15953" s="3"/>
      <c r="L15953" s="3"/>
      <c r="M15953" s="3"/>
      <c r="N15953" s="3"/>
      <c r="O15953" s="3"/>
      <c r="P15953" s="3"/>
      <c r="Q15953" s="3"/>
      <c r="R15953" s="3"/>
      <c r="S15953" s="3"/>
      <c r="T15953" s="3"/>
      <c r="U15953" s="3"/>
      <c r="V15953" s="3"/>
      <c r="W15953" s="3"/>
      <c r="X15953" s="3"/>
      <c r="Y15953" s="3"/>
      <c r="Z15953" s="3"/>
      <c r="AA15953" s="3"/>
      <c r="AB15953" s="3"/>
      <c r="AC15953" s="3"/>
      <c r="AD15953" s="3"/>
      <c r="AE15953" s="3"/>
      <c r="AF15953" s="3"/>
      <c r="AG15953" s="3"/>
      <c r="AH15953" s="3"/>
    </row>
    <row r="15954" spans="1:34" ht="14.25" customHeight="1" x14ac:dyDescent="0.25">
      <c r="A15954" s="3"/>
      <c r="B15954" s="3"/>
      <c r="C15954" s="3"/>
      <c r="D15954" s="3"/>
      <c r="E15954" s="3"/>
      <c r="F15954" s="3"/>
      <c r="G15954" s="3"/>
      <c r="H15954" s="11"/>
      <c r="I15954" s="12"/>
      <c r="J15954" s="3"/>
      <c r="K15954" s="3"/>
      <c r="L15954" s="3"/>
      <c r="M15954" s="3"/>
      <c r="N15954" s="3"/>
      <c r="O15954" s="3"/>
      <c r="P15954" s="3"/>
      <c r="Q15954" s="3"/>
      <c r="R15954" s="3"/>
      <c r="S15954" s="3"/>
      <c r="T15954" s="3"/>
      <c r="U15954" s="3"/>
      <c r="V15954" s="3"/>
      <c r="W15954" s="3"/>
      <c r="X15954" s="3"/>
      <c r="Y15954" s="3"/>
      <c r="Z15954" s="3"/>
      <c r="AA15954" s="3"/>
      <c r="AB15954" s="3"/>
      <c r="AC15954" s="3"/>
      <c r="AD15954" s="3"/>
      <c r="AE15954" s="3"/>
      <c r="AF15954" s="3"/>
      <c r="AG15954" s="3"/>
      <c r="AH15954" s="3"/>
    </row>
    <row r="15955" spans="1:34" ht="14.25" customHeight="1" x14ac:dyDescent="0.25">
      <c r="A15955" s="3"/>
      <c r="B15955" s="3"/>
      <c r="C15955" s="3"/>
      <c r="D15955" s="3"/>
      <c r="E15955" s="3"/>
      <c r="F15955" s="3"/>
      <c r="G15955" s="3"/>
      <c r="H15955" s="11"/>
      <c r="I15955" s="12"/>
      <c r="J15955" s="3"/>
      <c r="K15955" s="3"/>
      <c r="L15955" s="3"/>
      <c r="M15955" s="3"/>
      <c r="N15955" s="3"/>
      <c r="O15955" s="3"/>
      <c r="P15955" s="3"/>
      <c r="Q15955" s="3"/>
      <c r="R15955" s="3"/>
      <c r="S15955" s="3"/>
      <c r="T15955" s="3"/>
      <c r="U15955" s="3"/>
      <c r="V15955" s="3"/>
      <c r="W15955" s="3"/>
      <c r="X15955" s="3"/>
      <c r="Y15955" s="3"/>
      <c r="Z15955" s="3"/>
      <c r="AA15955" s="3"/>
      <c r="AB15955" s="3"/>
      <c r="AC15955" s="3"/>
      <c r="AD15955" s="3"/>
      <c r="AE15955" s="3"/>
      <c r="AF15955" s="3"/>
      <c r="AG15955" s="3"/>
      <c r="AH15955" s="3"/>
    </row>
    <row r="15956" spans="1:34" ht="14.25" customHeight="1" x14ac:dyDescent="0.25">
      <c r="A15956" s="3"/>
      <c r="B15956" s="3"/>
      <c r="C15956" s="3"/>
      <c r="D15956" s="3"/>
      <c r="E15956" s="3"/>
      <c r="F15956" s="3"/>
      <c r="G15956" s="3"/>
      <c r="H15956" s="11"/>
      <c r="I15956" s="12"/>
      <c r="J15956" s="3"/>
      <c r="K15956" s="3"/>
      <c r="L15956" s="3"/>
      <c r="M15956" s="3"/>
      <c r="N15956" s="3"/>
      <c r="O15956" s="3"/>
      <c r="P15956" s="3"/>
      <c r="Q15956" s="3"/>
      <c r="R15956" s="3"/>
      <c r="S15956" s="3"/>
      <c r="T15956" s="3"/>
      <c r="U15956" s="3"/>
      <c r="V15956" s="3"/>
      <c r="W15956" s="3"/>
      <c r="X15956" s="3"/>
      <c r="Y15956" s="3"/>
      <c r="Z15956" s="3"/>
      <c r="AA15956" s="3"/>
      <c r="AB15956" s="3"/>
      <c r="AC15956" s="3"/>
      <c r="AD15956" s="3"/>
      <c r="AE15956" s="3"/>
      <c r="AF15956" s="3"/>
      <c r="AG15956" s="3"/>
      <c r="AH15956" s="3"/>
    </row>
    <row r="15957" spans="1:34" ht="14.25" customHeight="1" x14ac:dyDescent="0.25">
      <c r="A15957" s="3"/>
      <c r="B15957" s="3"/>
      <c r="C15957" s="3"/>
      <c r="D15957" s="3"/>
      <c r="E15957" s="3"/>
      <c r="F15957" s="3"/>
      <c r="G15957" s="3"/>
      <c r="H15957" s="11"/>
      <c r="I15957" s="12"/>
      <c r="J15957" s="3"/>
      <c r="K15957" s="3"/>
      <c r="L15957" s="3"/>
      <c r="M15957" s="3"/>
      <c r="N15957" s="3"/>
      <c r="O15957" s="3"/>
      <c r="P15957" s="3"/>
      <c r="Q15957" s="3"/>
      <c r="R15957" s="3"/>
      <c r="S15957" s="3"/>
      <c r="T15957" s="3"/>
      <c r="U15957" s="3"/>
      <c r="V15957" s="3"/>
      <c r="W15957" s="3"/>
      <c r="X15957" s="3"/>
      <c r="Y15957" s="3"/>
      <c r="Z15957" s="3"/>
      <c r="AA15957" s="3"/>
      <c r="AB15957" s="3"/>
      <c r="AC15957" s="3"/>
      <c r="AD15957" s="3"/>
      <c r="AE15957" s="3"/>
      <c r="AF15957" s="3"/>
      <c r="AG15957" s="3"/>
      <c r="AH15957" s="3"/>
    </row>
    <row r="15958" spans="1:34" ht="14.25" customHeight="1" x14ac:dyDescent="0.25">
      <c r="A15958" s="3"/>
      <c r="B15958" s="3"/>
      <c r="C15958" s="3"/>
      <c r="D15958" s="3"/>
      <c r="E15958" s="3"/>
      <c r="F15958" s="3"/>
      <c r="G15958" s="3"/>
      <c r="H15958" s="11"/>
      <c r="I15958" s="12"/>
      <c r="J15958" s="3"/>
      <c r="K15958" s="3"/>
      <c r="L15958" s="3"/>
      <c r="M15958" s="3"/>
      <c r="N15958" s="3"/>
      <c r="O15958" s="3"/>
      <c r="P15958" s="3"/>
      <c r="Q15958" s="3"/>
      <c r="R15958" s="3"/>
      <c r="S15958" s="3"/>
      <c r="T15958" s="3"/>
      <c r="U15958" s="3"/>
      <c r="V15958" s="3"/>
      <c r="W15958" s="3"/>
      <c r="X15958" s="3"/>
      <c r="Y15958" s="3"/>
      <c r="Z15958" s="3"/>
      <c r="AA15958" s="3"/>
      <c r="AB15958" s="3"/>
      <c r="AC15958" s="3"/>
      <c r="AD15958" s="3"/>
      <c r="AE15958" s="3"/>
      <c r="AF15958" s="3"/>
      <c r="AG15958" s="3"/>
      <c r="AH15958" s="3"/>
    </row>
    <row r="15959" spans="1:34" ht="14.25" customHeight="1" x14ac:dyDescent="0.25">
      <c r="A15959" s="3"/>
      <c r="B15959" s="3"/>
      <c r="C15959" s="3"/>
      <c r="D15959" s="3"/>
      <c r="E15959" s="3"/>
      <c r="F15959" s="3"/>
      <c r="G15959" s="3"/>
      <c r="H15959" s="11"/>
      <c r="I15959" s="12"/>
      <c r="J15959" s="3"/>
      <c r="K15959" s="3"/>
      <c r="L15959" s="3"/>
      <c r="M15959" s="3"/>
      <c r="N15959" s="3"/>
      <c r="O15959" s="3"/>
      <c r="P15959" s="3"/>
      <c r="Q15959" s="3"/>
      <c r="R15959" s="3"/>
      <c r="S15959" s="3"/>
      <c r="T15959" s="3"/>
      <c r="U15959" s="3"/>
      <c r="V15959" s="3"/>
      <c r="W15959" s="3"/>
      <c r="X15959" s="3"/>
      <c r="Y15959" s="3"/>
      <c r="Z15959" s="3"/>
      <c r="AA15959" s="3"/>
      <c r="AB15959" s="3"/>
      <c r="AC15959" s="3"/>
      <c r="AD15959" s="3"/>
      <c r="AE15959" s="3"/>
      <c r="AF15959" s="3"/>
      <c r="AG15959" s="3"/>
      <c r="AH15959" s="3"/>
    </row>
    <row r="15960" spans="1:34" ht="14.25" customHeight="1" x14ac:dyDescent="0.25">
      <c r="A15960" s="3"/>
      <c r="B15960" s="3"/>
      <c r="C15960" s="3"/>
      <c r="D15960" s="3"/>
      <c r="E15960" s="3"/>
      <c r="F15960" s="3"/>
      <c r="G15960" s="3"/>
      <c r="H15960" s="11"/>
      <c r="I15960" s="12"/>
      <c r="J15960" s="3"/>
      <c r="K15960" s="3"/>
      <c r="L15960" s="3"/>
      <c r="M15960" s="3"/>
      <c r="N15960" s="3"/>
      <c r="O15960" s="3"/>
      <c r="P15960" s="3"/>
      <c r="Q15960" s="3"/>
      <c r="R15960" s="3"/>
      <c r="S15960" s="3"/>
      <c r="T15960" s="3"/>
      <c r="U15960" s="3"/>
      <c r="V15960" s="3"/>
      <c r="W15960" s="3"/>
      <c r="X15960" s="3"/>
      <c r="Y15960" s="3"/>
      <c r="Z15960" s="3"/>
      <c r="AA15960" s="3"/>
      <c r="AB15960" s="3"/>
      <c r="AC15960" s="3"/>
      <c r="AD15960" s="3"/>
      <c r="AE15960" s="3"/>
      <c r="AF15960" s="3"/>
      <c r="AG15960" s="3"/>
      <c r="AH15960" s="3"/>
    </row>
    <row r="15961" spans="1:34" ht="14.25" customHeight="1" x14ac:dyDescent="0.25">
      <c r="A15961" s="3"/>
      <c r="B15961" s="3"/>
      <c r="C15961" s="3"/>
      <c r="D15961" s="3"/>
      <c r="E15961" s="3"/>
      <c r="F15961" s="3"/>
      <c r="G15961" s="3"/>
      <c r="H15961" s="11"/>
      <c r="I15961" s="12"/>
      <c r="J15961" s="3"/>
      <c r="K15961" s="3"/>
      <c r="L15961" s="3"/>
      <c r="M15961" s="3"/>
      <c r="N15961" s="3"/>
      <c r="O15961" s="3"/>
      <c r="P15961" s="3"/>
      <c r="Q15961" s="3"/>
      <c r="R15961" s="3"/>
      <c r="S15961" s="3"/>
      <c r="T15961" s="3"/>
      <c r="U15961" s="3"/>
      <c r="V15961" s="3"/>
      <c r="W15961" s="3"/>
      <c r="X15961" s="3"/>
      <c r="Y15961" s="3"/>
      <c r="Z15961" s="3"/>
      <c r="AA15961" s="3"/>
      <c r="AB15961" s="3"/>
      <c r="AC15961" s="3"/>
      <c r="AD15961" s="3"/>
      <c r="AE15961" s="3"/>
      <c r="AF15961" s="3"/>
      <c r="AG15961" s="3"/>
      <c r="AH15961" s="3"/>
    </row>
    <row r="15962" spans="1:34" ht="14.25" customHeight="1" x14ac:dyDescent="0.25">
      <c r="A15962" s="3"/>
      <c r="B15962" s="3"/>
      <c r="C15962" s="3"/>
      <c r="D15962" s="3"/>
      <c r="E15962" s="3"/>
      <c r="F15962" s="3"/>
      <c r="G15962" s="3"/>
      <c r="H15962" s="11"/>
      <c r="I15962" s="12"/>
      <c r="J15962" s="3"/>
      <c r="K15962" s="3"/>
      <c r="L15962" s="3"/>
      <c r="M15962" s="3"/>
      <c r="N15962" s="3"/>
      <c r="O15962" s="3"/>
      <c r="P15962" s="3"/>
      <c r="Q15962" s="3"/>
      <c r="R15962" s="3"/>
      <c r="S15962" s="3"/>
      <c r="T15962" s="3"/>
      <c r="U15962" s="3"/>
      <c r="V15962" s="3"/>
      <c r="W15962" s="3"/>
      <c r="X15962" s="3"/>
      <c r="Y15962" s="3"/>
      <c r="Z15962" s="3"/>
      <c r="AA15962" s="3"/>
      <c r="AB15962" s="3"/>
      <c r="AC15962" s="3"/>
      <c r="AD15962" s="3"/>
      <c r="AE15962" s="3"/>
      <c r="AF15962" s="3"/>
      <c r="AG15962" s="3"/>
      <c r="AH15962" s="3"/>
    </row>
    <row r="15963" spans="1:34" ht="14.25" customHeight="1" x14ac:dyDescent="0.25">
      <c r="A15963" s="3"/>
      <c r="B15963" s="3"/>
      <c r="C15963" s="3"/>
      <c r="D15963" s="3"/>
      <c r="E15963" s="3"/>
      <c r="F15963" s="3"/>
      <c r="G15963" s="3"/>
      <c r="H15963" s="11"/>
      <c r="I15963" s="12"/>
      <c r="J15963" s="3"/>
      <c r="K15963" s="3"/>
      <c r="L15963" s="3"/>
      <c r="M15963" s="3"/>
      <c r="N15963" s="3"/>
      <c r="O15963" s="3"/>
      <c r="P15963" s="3"/>
      <c r="Q15963" s="3"/>
      <c r="R15963" s="3"/>
      <c r="S15963" s="3"/>
      <c r="T15963" s="3"/>
      <c r="U15963" s="3"/>
      <c r="V15963" s="3"/>
      <c r="W15963" s="3"/>
      <c r="X15963" s="3"/>
      <c r="Y15963" s="3"/>
      <c r="Z15963" s="3"/>
      <c r="AA15963" s="3"/>
      <c r="AB15963" s="3"/>
      <c r="AC15963" s="3"/>
      <c r="AD15963" s="3"/>
      <c r="AE15963" s="3"/>
      <c r="AF15963" s="3"/>
      <c r="AG15963" s="3"/>
      <c r="AH15963" s="3"/>
    </row>
    <row r="15964" spans="1:34" ht="14.25" customHeight="1" x14ac:dyDescent="0.25">
      <c r="A15964" s="3"/>
      <c r="B15964" s="3"/>
      <c r="C15964" s="3"/>
      <c r="D15964" s="3"/>
      <c r="E15964" s="3"/>
      <c r="F15964" s="3"/>
      <c r="G15964" s="3"/>
      <c r="H15964" s="11"/>
      <c r="I15964" s="12"/>
      <c r="J15964" s="3"/>
      <c r="K15964" s="3"/>
      <c r="L15964" s="3"/>
      <c r="M15964" s="3"/>
      <c r="N15964" s="3"/>
      <c r="O15964" s="3"/>
      <c r="P15964" s="3"/>
      <c r="Q15964" s="3"/>
      <c r="R15964" s="3"/>
      <c r="S15964" s="3"/>
      <c r="T15964" s="3"/>
      <c r="U15964" s="3"/>
      <c r="V15964" s="3"/>
      <c r="W15964" s="3"/>
      <c r="X15964" s="3"/>
      <c r="Y15964" s="3"/>
      <c r="Z15964" s="3"/>
      <c r="AA15964" s="3"/>
      <c r="AB15964" s="3"/>
      <c r="AC15964" s="3"/>
      <c r="AD15964" s="3"/>
      <c r="AE15964" s="3"/>
      <c r="AF15964" s="3"/>
      <c r="AG15964" s="3"/>
      <c r="AH15964" s="3"/>
    </row>
    <row r="15965" spans="1:34" ht="14.25" customHeight="1" x14ac:dyDescent="0.25">
      <c r="A15965" s="3"/>
      <c r="B15965" s="3"/>
      <c r="C15965" s="3"/>
      <c r="D15965" s="3"/>
      <c r="E15965" s="3"/>
      <c r="F15965" s="3"/>
      <c r="G15965" s="3"/>
      <c r="H15965" s="11"/>
      <c r="I15965" s="12"/>
      <c r="J15965" s="3"/>
      <c r="K15965" s="3"/>
      <c r="L15965" s="3"/>
      <c r="M15965" s="3"/>
      <c r="N15965" s="3"/>
      <c r="O15965" s="3"/>
      <c r="P15965" s="3"/>
      <c r="Q15965" s="3"/>
      <c r="R15965" s="3"/>
      <c r="S15965" s="3"/>
      <c r="T15965" s="3"/>
      <c r="U15965" s="3"/>
      <c r="V15965" s="3"/>
      <c r="W15965" s="3"/>
      <c r="X15965" s="3"/>
      <c r="Y15965" s="3"/>
      <c r="Z15965" s="3"/>
      <c r="AA15965" s="3"/>
      <c r="AB15965" s="3"/>
      <c r="AC15965" s="3"/>
      <c r="AD15965" s="3"/>
      <c r="AE15965" s="3"/>
      <c r="AF15965" s="3"/>
      <c r="AG15965" s="3"/>
      <c r="AH15965" s="3"/>
    </row>
    <row r="15966" spans="1:34" ht="14.25" customHeight="1" x14ac:dyDescent="0.25">
      <c r="A15966" s="3"/>
      <c r="B15966" s="3"/>
      <c r="C15966" s="3"/>
      <c r="D15966" s="3"/>
      <c r="E15966" s="3"/>
      <c r="F15966" s="3"/>
      <c r="G15966" s="3"/>
      <c r="H15966" s="11"/>
      <c r="I15966" s="12"/>
      <c r="J15966" s="3"/>
      <c r="K15966" s="3"/>
      <c r="L15966" s="3"/>
      <c r="M15966" s="3"/>
      <c r="N15966" s="3"/>
      <c r="O15966" s="3"/>
      <c r="P15966" s="3"/>
      <c r="Q15966" s="3"/>
      <c r="R15966" s="3"/>
      <c r="S15966" s="3"/>
      <c r="T15966" s="3"/>
      <c r="U15966" s="3"/>
      <c r="V15966" s="3"/>
      <c r="W15966" s="3"/>
      <c r="X15966" s="3"/>
      <c r="Y15966" s="3"/>
      <c r="Z15966" s="3"/>
      <c r="AA15966" s="3"/>
      <c r="AB15966" s="3"/>
      <c r="AC15966" s="3"/>
      <c r="AD15966" s="3"/>
      <c r="AE15966" s="3"/>
      <c r="AF15966" s="3"/>
      <c r="AG15966" s="3"/>
      <c r="AH15966" s="3"/>
    </row>
    <row r="15967" spans="1:34" ht="14.25" customHeight="1" x14ac:dyDescent="0.25">
      <c r="A15967" s="3"/>
      <c r="B15967" s="3"/>
      <c r="C15967" s="3"/>
      <c r="D15967" s="3"/>
      <c r="E15967" s="3"/>
      <c r="F15967" s="3"/>
      <c r="G15967" s="3"/>
      <c r="H15967" s="11"/>
      <c r="I15967" s="12"/>
      <c r="J15967" s="3"/>
      <c r="K15967" s="3"/>
      <c r="L15967" s="3"/>
      <c r="M15967" s="3"/>
      <c r="N15967" s="3"/>
      <c r="O15967" s="3"/>
      <c r="P15967" s="3"/>
      <c r="Q15967" s="3"/>
      <c r="R15967" s="3"/>
      <c r="S15967" s="3"/>
      <c r="T15967" s="3"/>
      <c r="U15967" s="3"/>
      <c r="V15967" s="3"/>
      <c r="W15967" s="3"/>
      <c r="X15967" s="3"/>
      <c r="Y15967" s="3"/>
      <c r="Z15967" s="3"/>
      <c r="AA15967" s="3"/>
      <c r="AB15967" s="3"/>
      <c r="AC15967" s="3"/>
      <c r="AD15967" s="3"/>
      <c r="AE15967" s="3"/>
      <c r="AF15967" s="3"/>
      <c r="AG15967" s="3"/>
      <c r="AH15967" s="3"/>
    </row>
    <row r="15968" spans="1:34" ht="14.25" customHeight="1" x14ac:dyDescent="0.25">
      <c r="A15968" s="3"/>
      <c r="B15968" s="3"/>
      <c r="C15968" s="3"/>
      <c r="D15968" s="3"/>
      <c r="E15968" s="3"/>
      <c r="F15968" s="3"/>
      <c r="G15968" s="3"/>
      <c r="H15968" s="11"/>
      <c r="I15968" s="12"/>
      <c r="J15968" s="3"/>
      <c r="K15968" s="3"/>
      <c r="L15968" s="3"/>
      <c r="M15968" s="3"/>
      <c r="N15968" s="3"/>
      <c r="O15968" s="3"/>
      <c r="P15968" s="3"/>
      <c r="Q15968" s="3"/>
      <c r="R15968" s="3"/>
      <c r="S15968" s="3"/>
      <c r="T15968" s="3"/>
      <c r="U15968" s="3"/>
      <c r="V15968" s="3"/>
      <c r="W15968" s="3"/>
      <c r="X15968" s="3"/>
      <c r="Y15968" s="3"/>
      <c r="Z15968" s="3"/>
      <c r="AA15968" s="3"/>
      <c r="AB15968" s="3"/>
      <c r="AC15968" s="3"/>
      <c r="AD15968" s="3"/>
      <c r="AE15968" s="3"/>
      <c r="AF15968" s="3"/>
      <c r="AG15968" s="3"/>
      <c r="AH15968" s="3"/>
    </row>
    <row r="15969" spans="1:34" ht="14.25" customHeight="1" x14ac:dyDescent="0.25">
      <c r="A15969" s="3"/>
      <c r="B15969" s="3"/>
      <c r="C15969" s="3"/>
      <c r="D15969" s="3"/>
      <c r="E15969" s="3"/>
      <c r="F15969" s="3"/>
      <c r="G15969" s="3"/>
      <c r="H15969" s="11"/>
      <c r="I15969" s="12"/>
      <c r="J15969" s="3"/>
      <c r="K15969" s="3"/>
      <c r="L15969" s="3"/>
      <c r="M15969" s="3"/>
      <c r="N15969" s="3"/>
      <c r="O15969" s="3"/>
      <c r="P15969" s="3"/>
      <c r="Q15969" s="3"/>
      <c r="R15969" s="3"/>
      <c r="S15969" s="3"/>
      <c r="T15969" s="3"/>
      <c r="U15969" s="3"/>
      <c r="V15969" s="3"/>
      <c r="W15969" s="3"/>
      <c r="X15969" s="3"/>
      <c r="Y15969" s="3"/>
      <c r="Z15969" s="3"/>
      <c r="AA15969" s="3"/>
      <c r="AB15969" s="3"/>
      <c r="AC15969" s="3"/>
      <c r="AD15969" s="3"/>
      <c r="AE15969" s="3"/>
      <c r="AF15969" s="3"/>
      <c r="AG15969" s="3"/>
      <c r="AH15969" s="3"/>
    </row>
    <row r="15970" spans="1:34" ht="14.25" customHeight="1" x14ac:dyDescent="0.25">
      <c r="A15970" s="3"/>
      <c r="B15970" s="3"/>
      <c r="C15970" s="3"/>
      <c r="D15970" s="3"/>
      <c r="E15970" s="3"/>
      <c r="F15970" s="3"/>
      <c r="G15970" s="3"/>
      <c r="H15970" s="11"/>
      <c r="I15970" s="12"/>
      <c r="J15970" s="3"/>
      <c r="K15970" s="3"/>
      <c r="L15970" s="3"/>
      <c r="M15970" s="3"/>
      <c r="N15970" s="3"/>
      <c r="O15970" s="3"/>
      <c r="P15970" s="3"/>
      <c r="Q15970" s="3"/>
      <c r="R15970" s="3"/>
      <c r="S15970" s="3"/>
      <c r="T15970" s="3"/>
      <c r="U15970" s="3"/>
      <c r="V15970" s="3"/>
      <c r="W15970" s="3"/>
      <c r="X15970" s="3"/>
      <c r="Y15970" s="3"/>
      <c r="Z15970" s="3"/>
      <c r="AA15970" s="3"/>
      <c r="AB15970" s="3"/>
      <c r="AC15970" s="3"/>
      <c r="AD15970" s="3"/>
      <c r="AE15970" s="3"/>
      <c r="AF15970" s="3"/>
      <c r="AG15970" s="3"/>
      <c r="AH15970" s="3"/>
    </row>
    <row r="15971" spans="1:34" ht="14.25" customHeight="1" x14ac:dyDescent="0.25">
      <c r="A15971" s="3"/>
      <c r="B15971" s="3"/>
      <c r="C15971" s="3"/>
      <c r="D15971" s="3"/>
      <c r="E15971" s="3"/>
      <c r="F15971" s="3"/>
      <c r="G15971" s="3"/>
      <c r="H15971" s="11"/>
      <c r="I15971" s="12"/>
      <c r="J15971" s="3"/>
      <c r="K15971" s="3"/>
      <c r="L15971" s="3"/>
      <c r="M15971" s="3"/>
      <c r="N15971" s="3"/>
      <c r="O15971" s="3"/>
      <c r="P15971" s="3"/>
      <c r="Q15971" s="3"/>
      <c r="R15971" s="3"/>
      <c r="S15971" s="3"/>
      <c r="T15971" s="3"/>
      <c r="U15971" s="3"/>
      <c r="V15971" s="3"/>
      <c r="W15971" s="3"/>
      <c r="X15971" s="3"/>
      <c r="Y15971" s="3"/>
      <c r="Z15971" s="3"/>
      <c r="AA15971" s="3"/>
      <c r="AB15971" s="3"/>
      <c r="AC15971" s="3"/>
      <c r="AD15971" s="3"/>
      <c r="AE15971" s="3"/>
      <c r="AF15971" s="3"/>
      <c r="AG15971" s="3"/>
      <c r="AH15971" s="3"/>
    </row>
    <row r="15972" spans="1:34" ht="14.25" customHeight="1" x14ac:dyDescent="0.25">
      <c r="A15972" s="3"/>
      <c r="B15972" s="3"/>
      <c r="C15972" s="3"/>
      <c r="D15972" s="3"/>
      <c r="E15972" s="3"/>
      <c r="F15972" s="3"/>
      <c r="G15972" s="3"/>
      <c r="H15972" s="11"/>
      <c r="I15972" s="12"/>
      <c r="J15972" s="3"/>
      <c r="K15972" s="3"/>
      <c r="L15972" s="3"/>
      <c r="M15972" s="3"/>
      <c r="N15972" s="3"/>
      <c r="O15972" s="3"/>
      <c r="P15972" s="3"/>
      <c r="Q15972" s="3"/>
      <c r="R15972" s="3"/>
      <c r="S15972" s="3"/>
      <c r="T15972" s="3"/>
      <c r="U15972" s="3"/>
      <c r="V15972" s="3"/>
      <c r="W15972" s="3"/>
      <c r="X15972" s="3"/>
      <c r="Y15972" s="3"/>
      <c r="Z15972" s="3"/>
      <c r="AA15972" s="3"/>
      <c r="AB15972" s="3"/>
      <c r="AC15972" s="3"/>
      <c r="AD15972" s="3"/>
      <c r="AE15972" s="3"/>
      <c r="AF15972" s="3"/>
      <c r="AG15972" s="3"/>
      <c r="AH15972" s="3"/>
    </row>
    <row r="15973" spans="1:34" ht="14.25" customHeight="1" x14ac:dyDescent="0.25">
      <c r="A15973" s="3"/>
      <c r="B15973" s="3"/>
      <c r="C15973" s="3"/>
      <c r="D15973" s="3"/>
      <c r="E15973" s="3"/>
      <c r="F15973" s="3"/>
      <c r="G15973" s="3"/>
      <c r="H15973" s="11"/>
      <c r="I15973" s="12"/>
      <c r="J15973" s="3"/>
      <c r="K15973" s="3"/>
      <c r="L15973" s="3"/>
      <c r="M15973" s="3"/>
      <c r="N15973" s="3"/>
      <c r="O15973" s="3"/>
      <c r="P15973" s="3"/>
      <c r="Q15973" s="3"/>
      <c r="R15973" s="3"/>
      <c r="S15973" s="3"/>
      <c r="T15973" s="3"/>
      <c r="U15973" s="3"/>
      <c r="V15973" s="3"/>
      <c r="W15973" s="3"/>
      <c r="X15973" s="3"/>
      <c r="Y15973" s="3"/>
      <c r="Z15973" s="3"/>
      <c r="AA15973" s="3"/>
      <c r="AB15973" s="3"/>
      <c r="AC15973" s="3"/>
      <c r="AD15973" s="3"/>
      <c r="AE15973" s="3"/>
      <c r="AF15973" s="3"/>
      <c r="AG15973" s="3"/>
      <c r="AH15973" s="3"/>
    </row>
    <row r="15974" spans="1:34" ht="14.25" customHeight="1" x14ac:dyDescent="0.25">
      <c r="A15974" s="3"/>
      <c r="B15974" s="3"/>
      <c r="C15974" s="3"/>
      <c r="D15974" s="3"/>
      <c r="E15974" s="3"/>
      <c r="F15974" s="3"/>
      <c r="G15974" s="3"/>
      <c r="H15974" s="11"/>
      <c r="I15974" s="12"/>
      <c r="J15974" s="3"/>
      <c r="K15974" s="3"/>
      <c r="L15974" s="3"/>
      <c r="M15974" s="3"/>
      <c r="N15974" s="3"/>
      <c r="O15974" s="3"/>
      <c r="P15974" s="3"/>
      <c r="Q15974" s="3"/>
      <c r="R15974" s="3"/>
      <c r="S15974" s="3"/>
      <c r="T15974" s="3"/>
      <c r="U15974" s="3"/>
      <c r="V15974" s="3"/>
      <c r="W15974" s="3"/>
      <c r="X15974" s="3"/>
      <c r="Y15974" s="3"/>
      <c r="Z15974" s="3"/>
      <c r="AA15974" s="3"/>
      <c r="AB15974" s="3"/>
      <c r="AC15974" s="3"/>
      <c r="AD15974" s="3"/>
      <c r="AE15974" s="3"/>
      <c r="AF15974" s="3"/>
      <c r="AG15974" s="3"/>
      <c r="AH15974" s="3"/>
    </row>
    <row r="15975" spans="1:34" ht="14.25" customHeight="1" x14ac:dyDescent="0.25">
      <c r="A15975" s="3"/>
      <c r="B15975" s="3"/>
      <c r="C15975" s="3"/>
      <c r="D15975" s="3"/>
      <c r="E15975" s="3"/>
      <c r="F15975" s="3"/>
      <c r="G15975" s="3"/>
      <c r="H15975" s="11"/>
      <c r="I15975" s="12"/>
      <c r="J15975" s="3"/>
      <c r="K15975" s="3"/>
      <c r="L15975" s="3"/>
      <c r="M15975" s="3"/>
      <c r="N15975" s="3"/>
      <c r="O15975" s="3"/>
      <c r="P15975" s="3"/>
      <c r="Q15975" s="3"/>
      <c r="R15975" s="3"/>
      <c r="S15975" s="3"/>
      <c r="T15975" s="3"/>
      <c r="U15975" s="3"/>
      <c r="V15975" s="3"/>
      <c r="W15975" s="3"/>
      <c r="X15975" s="3"/>
      <c r="Y15975" s="3"/>
      <c r="Z15975" s="3"/>
      <c r="AA15975" s="3"/>
      <c r="AB15975" s="3"/>
      <c r="AC15975" s="3"/>
      <c r="AD15975" s="3"/>
      <c r="AE15975" s="3"/>
      <c r="AF15975" s="3"/>
      <c r="AG15975" s="3"/>
      <c r="AH15975" s="3"/>
    </row>
    <row r="15976" spans="1:34" ht="14.25" customHeight="1" x14ac:dyDescent="0.25">
      <c r="A15976" s="3"/>
      <c r="B15976" s="3"/>
      <c r="C15976" s="3"/>
      <c r="D15976" s="3"/>
      <c r="E15976" s="3"/>
      <c r="F15976" s="3"/>
      <c r="G15976" s="3"/>
      <c r="H15976" s="11"/>
      <c r="I15976" s="12"/>
      <c r="J15976" s="3"/>
      <c r="K15976" s="3"/>
      <c r="L15976" s="3"/>
      <c r="M15976" s="3"/>
      <c r="N15976" s="3"/>
      <c r="O15976" s="3"/>
      <c r="P15976" s="3"/>
      <c r="Q15976" s="3"/>
      <c r="R15976" s="3"/>
      <c r="S15976" s="3"/>
      <c r="T15976" s="3"/>
      <c r="U15976" s="3"/>
      <c r="V15976" s="3"/>
      <c r="W15976" s="3"/>
      <c r="X15976" s="3"/>
      <c r="Y15976" s="3"/>
      <c r="Z15976" s="3"/>
      <c r="AA15976" s="3"/>
      <c r="AB15976" s="3"/>
      <c r="AC15976" s="3"/>
      <c r="AD15976" s="3"/>
      <c r="AE15976" s="3"/>
      <c r="AF15976" s="3"/>
      <c r="AG15976" s="3"/>
      <c r="AH15976" s="3"/>
    </row>
    <row r="15977" spans="1:34" ht="14.25" customHeight="1" x14ac:dyDescent="0.25">
      <c r="A15977" s="3"/>
      <c r="B15977" s="3"/>
      <c r="C15977" s="3"/>
      <c r="D15977" s="3"/>
      <c r="E15977" s="3"/>
      <c r="F15977" s="3"/>
      <c r="G15977" s="3"/>
      <c r="H15977" s="11"/>
      <c r="I15977" s="12"/>
      <c r="J15977" s="3"/>
      <c r="K15977" s="3"/>
      <c r="L15977" s="3"/>
      <c r="M15977" s="3"/>
      <c r="N15977" s="3"/>
      <c r="O15977" s="3"/>
      <c r="P15977" s="3"/>
      <c r="Q15977" s="3"/>
      <c r="R15977" s="3"/>
      <c r="S15977" s="3"/>
      <c r="T15977" s="3"/>
      <c r="U15977" s="3"/>
      <c r="V15977" s="3"/>
      <c r="W15977" s="3"/>
      <c r="X15977" s="3"/>
      <c r="Y15977" s="3"/>
      <c r="Z15977" s="3"/>
      <c r="AA15977" s="3"/>
      <c r="AB15977" s="3"/>
      <c r="AC15977" s="3"/>
      <c r="AD15977" s="3"/>
      <c r="AE15977" s="3"/>
      <c r="AF15977" s="3"/>
      <c r="AG15977" s="3"/>
      <c r="AH15977" s="3"/>
    </row>
    <row r="15978" spans="1:34" ht="14.25" customHeight="1" x14ac:dyDescent="0.25">
      <c r="A15978" s="3"/>
      <c r="B15978" s="3"/>
      <c r="C15978" s="3"/>
      <c r="D15978" s="3"/>
      <c r="E15978" s="3"/>
      <c r="F15978" s="3"/>
      <c r="G15978" s="3"/>
      <c r="H15978" s="11"/>
      <c r="I15978" s="12"/>
      <c r="J15978" s="3"/>
      <c r="K15978" s="3"/>
      <c r="L15978" s="3"/>
      <c r="M15978" s="3"/>
      <c r="N15978" s="3"/>
      <c r="O15978" s="3"/>
      <c r="P15978" s="3"/>
      <c r="Q15978" s="3"/>
      <c r="R15978" s="3"/>
      <c r="S15978" s="3"/>
      <c r="T15978" s="3"/>
      <c r="U15978" s="3"/>
      <c r="V15978" s="3"/>
      <c r="W15978" s="3"/>
      <c r="X15978" s="3"/>
      <c r="Y15978" s="3"/>
      <c r="Z15978" s="3"/>
      <c r="AA15978" s="3"/>
      <c r="AB15978" s="3"/>
      <c r="AC15978" s="3"/>
      <c r="AD15978" s="3"/>
      <c r="AE15978" s="3"/>
      <c r="AF15978" s="3"/>
      <c r="AG15978" s="3"/>
      <c r="AH15978" s="3"/>
    </row>
    <row r="15979" spans="1:34" ht="14.25" customHeight="1" x14ac:dyDescent="0.25">
      <c r="A15979" s="3"/>
      <c r="B15979" s="3"/>
      <c r="C15979" s="3"/>
      <c r="D15979" s="3"/>
      <c r="E15979" s="3"/>
      <c r="F15979" s="3"/>
      <c r="G15979" s="3"/>
      <c r="H15979" s="11"/>
      <c r="I15979" s="12"/>
      <c r="J15979" s="3"/>
      <c r="K15979" s="3"/>
      <c r="L15979" s="3"/>
      <c r="M15979" s="3"/>
      <c r="N15979" s="3"/>
      <c r="O15979" s="3"/>
      <c r="P15979" s="3"/>
      <c r="Q15979" s="3"/>
      <c r="R15979" s="3"/>
      <c r="S15979" s="3"/>
      <c r="T15979" s="3"/>
      <c r="U15979" s="3"/>
      <c r="V15979" s="3"/>
      <c r="W15979" s="3"/>
      <c r="X15979" s="3"/>
      <c r="Y15979" s="3"/>
      <c r="Z15979" s="3"/>
      <c r="AA15979" s="3"/>
      <c r="AB15979" s="3"/>
      <c r="AC15979" s="3"/>
      <c r="AD15979" s="3"/>
      <c r="AE15979" s="3"/>
      <c r="AF15979" s="3"/>
      <c r="AG15979" s="3"/>
      <c r="AH15979" s="3"/>
    </row>
    <row r="15980" spans="1:34" ht="14.25" customHeight="1" x14ac:dyDescent="0.25">
      <c r="A15980" s="3"/>
      <c r="B15980" s="3"/>
      <c r="C15980" s="3"/>
      <c r="D15980" s="3"/>
      <c r="E15980" s="3"/>
      <c r="F15980" s="3"/>
      <c r="G15980" s="3"/>
      <c r="H15980" s="11"/>
      <c r="I15980" s="12"/>
      <c r="J15980" s="3"/>
      <c r="K15980" s="3"/>
      <c r="L15980" s="3"/>
      <c r="M15980" s="3"/>
      <c r="N15980" s="3"/>
      <c r="O15980" s="3"/>
      <c r="P15980" s="3"/>
      <c r="Q15980" s="3"/>
      <c r="R15980" s="3"/>
      <c r="S15980" s="3"/>
      <c r="T15980" s="3"/>
      <c r="U15980" s="3"/>
      <c r="V15980" s="3"/>
      <c r="W15980" s="3"/>
      <c r="X15980" s="3"/>
      <c r="Y15980" s="3"/>
      <c r="Z15980" s="3"/>
      <c r="AA15980" s="3"/>
      <c r="AB15980" s="3"/>
      <c r="AC15980" s="3"/>
      <c r="AD15980" s="3"/>
      <c r="AE15980" s="3"/>
      <c r="AF15980" s="3"/>
      <c r="AG15980" s="3"/>
      <c r="AH15980" s="3"/>
    </row>
    <row r="15981" spans="1:34" ht="14.25" customHeight="1" x14ac:dyDescent="0.25">
      <c r="A15981" s="3"/>
      <c r="B15981" s="3"/>
      <c r="C15981" s="3"/>
      <c r="D15981" s="3"/>
      <c r="E15981" s="3"/>
      <c r="F15981" s="3"/>
      <c r="G15981" s="3"/>
      <c r="H15981" s="11"/>
      <c r="I15981" s="12"/>
      <c r="J15981" s="3"/>
      <c r="K15981" s="3"/>
      <c r="L15981" s="3"/>
      <c r="M15981" s="3"/>
      <c r="N15981" s="3"/>
      <c r="O15981" s="3"/>
      <c r="P15981" s="3"/>
      <c r="Q15981" s="3"/>
      <c r="R15981" s="3"/>
      <c r="S15981" s="3"/>
      <c r="T15981" s="3"/>
      <c r="U15981" s="3"/>
      <c r="V15981" s="3"/>
      <c r="W15981" s="3"/>
      <c r="X15981" s="3"/>
      <c r="Y15981" s="3"/>
      <c r="Z15981" s="3"/>
      <c r="AA15981" s="3"/>
      <c r="AB15981" s="3"/>
      <c r="AC15981" s="3"/>
      <c r="AD15981" s="3"/>
      <c r="AE15981" s="3"/>
      <c r="AF15981" s="3"/>
      <c r="AG15981" s="3"/>
      <c r="AH15981" s="3"/>
    </row>
    <row r="15982" spans="1:34" ht="14.25" customHeight="1" x14ac:dyDescent="0.25">
      <c r="A15982" s="3"/>
      <c r="B15982" s="3"/>
      <c r="C15982" s="3"/>
      <c r="D15982" s="3"/>
      <c r="E15982" s="3"/>
      <c r="F15982" s="3"/>
      <c r="G15982" s="3"/>
      <c r="H15982" s="11"/>
      <c r="I15982" s="12"/>
      <c r="J15982" s="3"/>
      <c r="K15982" s="3"/>
      <c r="L15982" s="3"/>
      <c r="M15982" s="3"/>
      <c r="N15982" s="3"/>
      <c r="O15982" s="3"/>
      <c r="P15982" s="3"/>
      <c r="Q15982" s="3"/>
      <c r="R15982" s="3"/>
      <c r="S15982" s="3"/>
      <c r="T15982" s="3"/>
      <c r="U15982" s="3"/>
      <c r="V15982" s="3"/>
      <c r="W15982" s="3"/>
      <c r="X15982" s="3"/>
      <c r="Y15982" s="3"/>
      <c r="Z15982" s="3"/>
      <c r="AA15982" s="3"/>
      <c r="AB15982" s="3"/>
      <c r="AC15982" s="3"/>
      <c r="AD15982" s="3"/>
      <c r="AE15982" s="3"/>
      <c r="AF15982" s="3"/>
      <c r="AG15982" s="3"/>
      <c r="AH15982" s="3"/>
    </row>
    <row r="15983" spans="1:34" ht="14.25" customHeight="1" x14ac:dyDescent="0.25">
      <c r="A15983" s="3"/>
      <c r="B15983" s="3"/>
      <c r="C15983" s="3"/>
      <c r="D15983" s="3"/>
      <c r="E15983" s="3"/>
      <c r="F15983" s="3"/>
      <c r="G15983" s="3"/>
      <c r="H15983" s="11"/>
      <c r="I15983" s="12"/>
      <c r="J15983" s="3"/>
      <c r="K15983" s="3"/>
      <c r="L15983" s="3"/>
      <c r="M15983" s="3"/>
      <c r="N15983" s="3"/>
      <c r="O15983" s="3"/>
      <c r="P15983" s="3"/>
      <c r="Q15983" s="3"/>
      <c r="R15983" s="3"/>
      <c r="S15983" s="3"/>
      <c r="T15983" s="3"/>
      <c r="U15983" s="3"/>
      <c r="V15983" s="3"/>
      <c r="W15983" s="3"/>
      <c r="X15983" s="3"/>
      <c r="Y15983" s="3"/>
      <c r="Z15983" s="3"/>
      <c r="AA15983" s="3"/>
      <c r="AB15983" s="3"/>
      <c r="AC15983" s="3"/>
      <c r="AD15983" s="3"/>
      <c r="AE15983" s="3"/>
      <c r="AF15983" s="3"/>
      <c r="AG15983" s="3"/>
      <c r="AH15983" s="3"/>
    </row>
    <row r="15984" spans="1:34" ht="14.25" customHeight="1" x14ac:dyDescent="0.25">
      <c r="A15984" s="3"/>
      <c r="B15984" s="3"/>
      <c r="C15984" s="3"/>
      <c r="D15984" s="3"/>
      <c r="E15984" s="3"/>
      <c r="F15984" s="3"/>
      <c r="G15984" s="3"/>
      <c r="H15984" s="11"/>
      <c r="I15984" s="12"/>
      <c r="J15984" s="3"/>
      <c r="K15984" s="3"/>
      <c r="L15984" s="3"/>
      <c r="M15984" s="3"/>
      <c r="N15984" s="3"/>
      <c r="O15984" s="3"/>
      <c r="P15984" s="3"/>
      <c r="Q15984" s="3"/>
      <c r="R15984" s="3"/>
      <c r="S15984" s="3"/>
      <c r="T15984" s="3"/>
      <c r="U15984" s="3"/>
      <c r="V15984" s="3"/>
      <c r="W15984" s="3"/>
      <c r="X15984" s="3"/>
      <c r="Y15984" s="3"/>
      <c r="Z15984" s="3"/>
      <c r="AA15984" s="3"/>
      <c r="AB15984" s="3"/>
      <c r="AC15984" s="3"/>
      <c r="AD15984" s="3"/>
      <c r="AE15984" s="3"/>
      <c r="AF15984" s="3"/>
      <c r="AG15984" s="3"/>
      <c r="AH15984" s="3"/>
    </row>
    <row r="15985" spans="1:34" ht="14.25" customHeight="1" x14ac:dyDescent="0.25">
      <c r="A15985" s="3"/>
      <c r="B15985" s="3"/>
      <c r="C15985" s="3"/>
      <c r="D15985" s="3"/>
      <c r="E15985" s="3"/>
      <c r="F15985" s="3"/>
      <c r="G15985" s="3"/>
      <c r="H15985" s="11"/>
      <c r="I15985" s="12"/>
      <c r="J15985" s="3"/>
      <c r="K15985" s="3"/>
      <c r="L15985" s="3"/>
      <c r="M15985" s="3"/>
      <c r="N15985" s="3"/>
      <c r="O15985" s="3"/>
      <c r="P15985" s="3"/>
      <c r="Q15985" s="3"/>
      <c r="R15985" s="3"/>
      <c r="S15985" s="3"/>
      <c r="T15985" s="3"/>
      <c r="U15985" s="3"/>
      <c r="V15985" s="3"/>
      <c r="W15985" s="3"/>
      <c r="X15985" s="3"/>
      <c r="Y15985" s="3"/>
      <c r="Z15985" s="3"/>
      <c r="AA15985" s="3"/>
      <c r="AB15985" s="3"/>
      <c r="AC15985" s="3"/>
      <c r="AD15985" s="3"/>
      <c r="AE15985" s="3"/>
      <c r="AF15985" s="3"/>
      <c r="AG15985" s="3"/>
      <c r="AH15985" s="3"/>
    </row>
    <row r="15986" spans="1:34" ht="14.25" customHeight="1" x14ac:dyDescent="0.25">
      <c r="A15986" s="3"/>
      <c r="B15986" s="3"/>
      <c r="C15986" s="3"/>
      <c r="D15986" s="3"/>
      <c r="E15986" s="3"/>
      <c r="F15986" s="3"/>
      <c r="G15986" s="3"/>
      <c r="H15986" s="11"/>
      <c r="I15986" s="12"/>
      <c r="J15986" s="3"/>
      <c r="K15986" s="3"/>
      <c r="L15986" s="3"/>
      <c r="M15986" s="3"/>
      <c r="N15986" s="3"/>
      <c r="O15986" s="3"/>
      <c r="P15986" s="3"/>
      <c r="Q15986" s="3"/>
      <c r="R15986" s="3"/>
      <c r="S15986" s="3"/>
      <c r="T15986" s="3"/>
      <c r="U15986" s="3"/>
      <c r="V15986" s="3"/>
      <c r="W15986" s="3"/>
      <c r="X15986" s="3"/>
      <c r="Y15986" s="3"/>
      <c r="Z15986" s="3"/>
      <c r="AA15986" s="3"/>
      <c r="AB15986" s="3"/>
      <c r="AC15986" s="3"/>
      <c r="AD15986" s="3"/>
      <c r="AE15986" s="3"/>
      <c r="AF15986" s="3"/>
      <c r="AG15986" s="3"/>
      <c r="AH15986" s="3"/>
    </row>
    <row r="15987" spans="1:34" ht="14.25" customHeight="1" x14ac:dyDescent="0.25">
      <c r="A15987" s="3"/>
      <c r="B15987" s="3"/>
      <c r="C15987" s="3"/>
      <c r="D15987" s="3"/>
      <c r="E15987" s="3"/>
      <c r="F15987" s="3"/>
      <c r="G15987" s="3"/>
      <c r="H15987" s="11"/>
      <c r="I15987" s="12"/>
      <c r="J15987" s="3"/>
      <c r="K15987" s="3"/>
      <c r="L15987" s="3"/>
      <c r="M15987" s="3"/>
      <c r="N15987" s="3"/>
      <c r="O15987" s="3"/>
      <c r="P15987" s="3"/>
      <c r="Q15987" s="3"/>
      <c r="R15987" s="3"/>
      <c r="S15987" s="3"/>
      <c r="T15987" s="3"/>
      <c r="U15987" s="3"/>
      <c r="V15987" s="3"/>
      <c r="W15987" s="3"/>
      <c r="X15987" s="3"/>
      <c r="Y15987" s="3"/>
      <c r="Z15987" s="3"/>
      <c r="AA15987" s="3"/>
      <c r="AB15987" s="3"/>
      <c r="AC15987" s="3"/>
      <c r="AD15987" s="3"/>
      <c r="AE15987" s="3"/>
      <c r="AF15987" s="3"/>
      <c r="AG15987" s="3"/>
      <c r="AH15987" s="3"/>
    </row>
    <row r="15988" spans="1:34" ht="14.25" customHeight="1" x14ac:dyDescent="0.25">
      <c r="A15988" s="3"/>
      <c r="B15988" s="3"/>
      <c r="C15988" s="3"/>
      <c r="D15988" s="3"/>
      <c r="E15988" s="3"/>
      <c r="F15988" s="3"/>
      <c r="G15988" s="3"/>
      <c r="H15988" s="11"/>
      <c r="I15988" s="12"/>
      <c r="J15988" s="3"/>
      <c r="K15988" s="3"/>
      <c r="L15988" s="3"/>
      <c r="M15988" s="3"/>
      <c r="N15988" s="3"/>
      <c r="O15988" s="3"/>
      <c r="P15988" s="3"/>
      <c r="Q15988" s="3"/>
      <c r="R15988" s="3"/>
      <c r="S15988" s="3"/>
      <c r="T15988" s="3"/>
      <c r="U15988" s="3"/>
      <c r="V15988" s="3"/>
      <c r="W15988" s="3"/>
      <c r="X15988" s="3"/>
      <c r="Y15988" s="3"/>
      <c r="Z15988" s="3"/>
      <c r="AA15988" s="3"/>
      <c r="AB15988" s="3"/>
      <c r="AC15988" s="3"/>
      <c r="AD15988" s="3"/>
      <c r="AE15988" s="3"/>
      <c r="AF15988" s="3"/>
      <c r="AG15988" s="3"/>
      <c r="AH15988" s="3"/>
    </row>
    <row r="15989" spans="1:34" ht="14.25" customHeight="1" x14ac:dyDescent="0.25">
      <c r="A15989" s="3"/>
      <c r="B15989" s="3"/>
      <c r="C15989" s="3"/>
      <c r="D15989" s="3"/>
      <c r="E15989" s="3"/>
      <c r="F15989" s="3"/>
      <c r="G15989" s="3"/>
      <c r="H15989" s="11"/>
      <c r="I15989" s="12"/>
      <c r="J15989" s="3"/>
      <c r="K15989" s="3"/>
      <c r="L15989" s="3"/>
      <c r="M15989" s="3"/>
      <c r="N15989" s="3"/>
      <c r="O15989" s="3"/>
      <c r="P15989" s="3"/>
      <c r="Q15989" s="3"/>
      <c r="R15989" s="3"/>
      <c r="S15989" s="3"/>
      <c r="T15989" s="3"/>
      <c r="U15989" s="3"/>
      <c r="V15989" s="3"/>
      <c r="W15989" s="3"/>
      <c r="X15989" s="3"/>
      <c r="Y15989" s="3"/>
      <c r="Z15989" s="3"/>
      <c r="AA15989" s="3"/>
      <c r="AB15989" s="3"/>
      <c r="AC15989" s="3"/>
      <c r="AD15989" s="3"/>
      <c r="AE15989" s="3"/>
      <c r="AF15989" s="3"/>
      <c r="AG15989" s="3"/>
      <c r="AH15989" s="3"/>
    </row>
    <row r="15990" spans="1:34" ht="14.25" customHeight="1" x14ac:dyDescent="0.25">
      <c r="A15990" s="3"/>
      <c r="B15990" s="3"/>
      <c r="C15990" s="3"/>
      <c r="D15990" s="3"/>
      <c r="E15990" s="3"/>
      <c r="F15990" s="3"/>
      <c r="G15990" s="3"/>
      <c r="H15990" s="11"/>
      <c r="I15990" s="12"/>
      <c r="J15990" s="3"/>
      <c r="K15990" s="3"/>
      <c r="L15990" s="3"/>
      <c r="M15990" s="3"/>
      <c r="N15990" s="3"/>
      <c r="O15990" s="3"/>
      <c r="P15990" s="3"/>
      <c r="Q15990" s="3"/>
      <c r="R15990" s="3"/>
      <c r="S15990" s="3"/>
      <c r="T15990" s="3"/>
      <c r="U15990" s="3"/>
      <c r="V15990" s="3"/>
      <c r="W15990" s="3"/>
      <c r="X15990" s="3"/>
      <c r="Y15990" s="3"/>
      <c r="Z15990" s="3"/>
      <c r="AA15990" s="3"/>
      <c r="AB15990" s="3"/>
      <c r="AC15990" s="3"/>
      <c r="AD15990" s="3"/>
      <c r="AE15990" s="3"/>
      <c r="AF15990" s="3"/>
      <c r="AG15990" s="3"/>
      <c r="AH15990" s="3"/>
    </row>
    <row r="15991" spans="1:34" ht="14.25" customHeight="1" x14ac:dyDescent="0.25">
      <c r="A15991" s="3"/>
      <c r="B15991" s="3"/>
      <c r="C15991" s="3"/>
      <c r="D15991" s="3"/>
      <c r="E15991" s="3"/>
      <c r="F15991" s="3"/>
      <c r="G15991" s="3"/>
      <c r="H15991" s="11"/>
      <c r="I15991" s="12"/>
      <c r="J15991" s="3"/>
      <c r="K15991" s="3"/>
      <c r="L15991" s="3"/>
      <c r="M15991" s="3"/>
      <c r="N15991" s="3"/>
      <c r="O15991" s="3"/>
      <c r="P15991" s="3"/>
      <c r="Q15991" s="3"/>
      <c r="R15991" s="3"/>
      <c r="S15991" s="3"/>
      <c r="T15991" s="3"/>
      <c r="U15991" s="3"/>
      <c r="V15991" s="3"/>
      <c r="W15991" s="3"/>
      <c r="X15991" s="3"/>
      <c r="Y15991" s="3"/>
      <c r="Z15991" s="3"/>
      <c r="AA15991" s="3"/>
      <c r="AB15991" s="3"/>
      <c r="AC15991" s="3"/>
      <c r="AD15991" s="3"/>
      <c r="AE15991" s="3"/>
      <c r="AF15991" s="3"/>
      <c r="AG15991" s="3"/>
      <c r="AH15991" s="3"/>
    </row>
    <row r="15992" spans="1:34" ht="14.25" customHeight="1" x14ac:dyDescent="0.25">
      <c r="A15992" s="3"/>
      <c r="B15992" s="3"/>
      <c r="C15992" s="3"/>
      <c r="D15992" s="3"/>
      <c r="E15992" s="3"/>
      <c r="F15992" s="3"/>
      <c r="G15992" s="3"/>
      <c r="H15992" s="11"/>
      <c r="I15992" s="12"/>
      <c r="J15992" s="3"/>
      <c r="K15992" s="3"/>
      <c r="L15992" s="3"/>
      <c r="M15992" s="3"/>
      <c r="N15992" s="3"/>
      <c r="O15992" s="3"/>
      <c r="P15992" s="3"/>
      <c r="Q15992" s="3"/>
      <c r="R15992" s="3"/>
      <c r="S15992" s="3"/>
      <c r="T15992" s="3"/>
      <c r="U15992" s="3"/>
      <c r="V15992" s="3"/>
      <c r="W15992" s="3"/>
      <c r="X15992" s="3"/>
      <c r="Y15992" s="3"/>
      <c r="Z15992" s="3"/>
      <c r="AA15992" s="3"/>
      <c r="AB15992" s="3"/>
      <c r="AC15992" s="3"/>
      <c r="AD15992" s="3"/>
      <c r="AE15992" s="3"/>
      <c r="AF15992" s="3"/>
      <c r="AG15992" s="3"/>
      <c r="AH15992" s="3"/>
    </row>
    <row r="15993" spans="1:34" ht="14.25" customHeight="1" x14ac:dyDescent="0.25">
      <c r="A15993" s="3"/>
      <c r="B15993" s="3"/>
      <c r="C15993" s="3"/>
      <c r="D15993" s="3"/>
      <c r="E15993" s="3"/>
      <c r="F15993" s="3"/>
      <c r="G15993" s="3"/>
      <c r="H15993" s="11"/>
      <c r="I15993" s="12"/>
      <c r="J15993" s="3"/>
      <c r="K15993" s="3"/>
      <c r="L15993" s="3"/>
      <c r="M15993" s="3"/>
      <c r="N15993" s="3"/>
      <c r="O15993" s="3"/>
      <c r="P15993" s="3"/>
      <c r="Q15993" s="3"/>
      <c r="R15993" s="3"/>
      <c r="S15993" s="3"/>
      <c r="T15993" s="3"/>
      <c r="U15993" s="3"/>
      <c r="V15993" s="3"/>
      <c r="W15993" s="3"/>
      <c r="X15993" s="3"/>
      <c r="Y15993" s="3"/>
      <c r="Z15993" s="3"/>
      <c r="AA15993" s="3"/>
      <c r="AB15993" s="3"/>
      <c r="AC15993" s="3"/>
      <c r="AD15993" s="3"/>
      <c r="AE15993" s="3"/>
      <c r="AF15993" s="3"/>
      <c r="AG15993" s="3"/>
      <c r="AH15993" s="3"/>
    </row>
    <row r="15994" spans="1:34" ht="14.25" customHeight="1" x14ac:dyDescent="0.25">
      <c r="A15994" s="3"/>
      <c r="B15994" s="3"/>
      <c r="C15994" s="3"/>
      <c r="D15994" s="3"/>
      <c r="E15994" s="3"/>
      <c r="F15994" s="3"/>
      <c r="G15994" s="3"/>
      <c r="H15994" s="11"/>
      <c r="I15994" s="12"/>
      <c r="J15994" s="3"/>
      <c r="K15994" s="3"/>
      <c r="L15994" s="3"/>
      <c r="M15994" s="3"/>
      <c r="N15994" s="3"/>
      <c r="O15994" s="3"/>
      <c r="P15994" s="3"/>
      <c r="Q15994" s="3"/>
      <c r="R15994" s="3"/>
      <c r="S15994" s="3"/>
      <c r="T15994" s="3"/>
      <c r="U15994" s="3"/>
      <c r="V15994" s="3"/>
      <c r="W15994" s="3"/>
      <c r="X15994" s="3"/>
      <c r="Y15994" s="3"/>
      <c r="Z15994" s="3"/>
      <c r="AA15994" s="3"/>
      <c r="AB15994" s="3"/>
      <c r="AC15994" s="3"/>
      <c r="AD15994" s="3"/>
      <c r="AE15994" s="3"/>
      <c r="AF15994" s="3"/>
      <c r="AG15994" s="3"/>
      <c r="AH15994" s="3"/>
    </row>
    <row r="15995" spans="1:34" ht="14.25" customHeight="1" x14ac:dyDescent="0.25">
      <c r="A15995" s="3"/>
      <c r="B15995" s="3"/>
      <c r="C15995" s="3"/>
      <c r="D15995" s="3"/>
      <c r="E15995" s="3"/>
      <c r="F15995" s="3"/>
      <c r="G15995" s="3"/>
      <c r="H15995" s="11"/>
      <c r="I15995" s="12"/>
      <c r="J15995" s="3"/>
      <c r="K15995" s="3"/>
      <c r="L15995" s="3"/>
      <c r="M15995" s="3"/>
      <c r="N15995" s="3"/>
      <c r="O15995" s="3"/>
      <c r="P15995" s="3"/>
      <c r="Q15995" s="3"/>
      <c r="R15995" s="3"/>
      <c r="S15995" s="3"/>
      <c r="T15995" s="3"/>
      <c r="U15995" s="3"/>
      <c r="V15995" s="3"/>
      <c r="W15995" s="3"/>
      <c r="X15995" s="3"/>
      <c r="Y15995" s="3"/>
      <c r="Z15995" s="3"/>
      <c r="AA15995" s="3"/>
      <c r="AB15995" s="3"/>
      <c r="AC15995" s="3"/>
      <c r="AD15995" s="3"/>
      <c r="AE15995" s="3"/>
      <c r="AF15995" s="3"/>
      <c r="AG15995" s="3"/>
      <c r="AH15995" s="3"/>
    </row>
    <row r="15996" spans="1:34" ht="14.25" customHeight="1" x14ac:dyDescent="0.25">
      <c r="A15996" s="3"/>
      <c r="B15996" s="3"/>
      <c r="C15996" s="3"/>
      <c r="D15996" s="3"/>
      <c r="E15996" s="3"/>
      <c r="F15996" s="3"/>
      <c r="G15996" s="3"/>
      <c r="H15996" s="11"/>
      <c r="I15996" s="12"/>
      <c r="J15996" s="3"/>
      <c r="K15996" s="3"/>
      <c r="L15996" s="3"/>
      <c r="M15996" s="3"/>
      <c r="N15996" s="3"/>
      <c r="O15996" s="3"/>
      <c r="P15996" s="3"/>
      <c r="Q15996" s="3"/>
      <c r="R15996" s="3"/>
      <c r="S15996" s="3"/>
      <c r="T15996" s="3"/>
      <c r="U15996" s="3"/>
      <c r="V15996" s="3"/>
      <c r="W15996" s="3"/>
      <c r="X15996" s="3"/>
      <c r="Y15996" s="3"/>
      <c r="Z15996" s="3"/>
      <c r="AA15996" s="3"/>
      <c r="AB15996" s="3"/>
      <c r="AC15996" s="3"/>
      <c r="AD15996" s="3"/>
      <c r="AE15996" s="3"/>
      <c r="AF15996" s="3"/>
      <c r="AG15996" s="3"/>
      <c r="AH15996" s="3"/>
    </row>
    <row r="15997" spans="1:34" ht="14.25" customHeight="1" x14ac:dyDescent="0.25">
      <c r="A15997" s="3"/>
      <c r="B15997" s="3"/>
      <c r="C15997" s="3"/>
      <c r="D15997" s="3"/>
      <c r="E15997" s="3"/>
      <c r="F15997" s="3"/>
      <c r="G15997" s="3"/>
      <c r="H15997" s="11"/>
      <c r="I15997" s="12"/>
      <c r="J15997" s="3"/>
      <c r="K15997" s="3"/>
      <c r="L15997" s="3"/>
      <c r="M15997" s="3"/>
      <c r="N15997" s="3"/>
      <c r="O15997" s="3"/>
      <c r="P15997" s="3"/>
      <c r="Q15997" s="3"/>
      <c r="R15997" s="3"/>
      <c r="S15997" s="3"/>
      <c r="T15997" s="3"/>
      <c r="U15997" s="3"/>
      <c r="V15997" s="3"/>
      <c r="W15997" s="3"/>
      <c r="X15997" s="3"/>
      <c r="Y15997" s="3"/>
      <c r="Z15997" s="3"/>
      <c r="AA15997" s="3"/>
      <c r="AB15997" s="3"/>
      <c r="AC15997" s="3"/>
      <c r="AD15997" s="3"/>
      <c r="AE15997" s="3"/>
      <c r="AF15997" s="3"/>
      <c r="AG15997" s="3"/>
      <c r="AH15997" s="3"/>
    </row>
    <row r="15998" spans="1:34" ht="14.25" customHeight="1" x14ac:dyDescent="0.25">
      <c r="A15998" s="3"/>
      <c r="B15998" s="3"/>
      <c r="C15998" s="3"/>
      <c r="D15998" s="3"/>
      <c r="E15998" s="3"/>
      <c r="F15998" s="3"/>
      <c r="G15998" s="3"/>
      <c r="H15998" s="11"/>
      <c r="I15998" s="12"/>
      <c r="J15998" s="3"/>
      <c r="K15998" s="3"/>
      <c r="L15998" s="3"/>
      <c r="M15998" s="3"/>
      <c r="N15998" s="3"/>
      <c r="O15998" s="3"/>
      <c r="P15998" s="3"/>
      <c r="Q15998" s="3"/>
      <c r="R15998" s="3"/>
      <c r="S15998" s="3"/>
      <c r="T15998" s="3"/>
      <c r="U15998" s="3"/>
      <c r="V15998" s="3"/>
      <c r="W15998" s="3"/>
      <c r="X15998" s="3"/>
      <c r="Y15998" s="3"/>
      <c r="Z15998" s="3"/>
      <c r="AA15998" s="3"/>
      <c r="AB15998" s="3"/>
      <c r="AC15998" s="3"/>
      <c r="AD15998" s="3"/>
      <c r="AE15998" s="3"/>
      <c r="AF15998" s="3"/>
      <c r="AG15998" s="3"/>
      <c r="AH15998" s="3"/>
    </row>
    <row r="15999" spans="1:34" ht="14.25" customHeight="1" x14ac:dyDescent="0.25">
      <c r="A15999" s="3"/>
      <c r="B15999" s="3"/>
      <c r="C15999" s="3"/>
      <c r="D15999" s="3"/>
      <c r="E15999" s="3"/>
      <c r="F15999" s="3"/>
      <c r="G15999" s="3"/>
      <c r="H15999" s="11"/>
      <c r="I15999" s="12"/>
      <c r="J15999" s="3"/>
      <c r="K15999" s="3"/>
      <c r="L15999" s="3"/>
      <c r="M15999" s="3"/>
      <c r="N15999" s="3"/>
      <c r="O15999" s="3"/>
      <c r="P15999" s="3"/>
      <c r="Q15999" s="3"/>
      <c r="R15999" s="3"/>
      <c r="S15999" s="3"/>
      <c r="T15999" s="3"/>
      <c r="U15999" s="3"/>
      <c r="V15999" s="3"/>
      <c r="W15999" s="3"/>
      <c r="X15999" s="3"/>
      <c r="Y15999" s="3"/>
      <c r="Z15999" s="3"/>
      <c r="AA15999" s="3"/>
      <c r="AB15999" s="3"/>
      <c r="AC15999" s="3"/>
      <c r="AD15999" s="3"/>
      <c r="AE15999" s="3"/>
      <c r="AF15999" s="3"/>
      <c r="AG15999" s="3"/>
      <c r="AH15999" s="3"/>
    </row>
    <row r="16000" spans="1:34" ht="14.25" customHeight="1" x14ac:dyDescent="0.25">
      <c r="A16000" s="3"/>
      <c r="B16000" s="3"/>
      <c r="C16000" s="3"/>
      <c r="D16000" s="3"/>
      <c r="E16000" s="3"/>
      <c r="F16000" s="3"/>
      <c r="G16000" s="3"/>
      <c r="H16000" s="11"/>
      <c r="I16000" s="12"/>
      <c r="J16000" s="3"/>
      <c r="K16000" s="3"/>
      <c r="L16000" s="3"/>
      <c r="M16000" s="3"/>
      <c r="N16000" s="3"/>
      <c r="O16000" s="3"/>
      <c r="P16000" s="3"/>
      <c r="Q16000" s="3"/>
      <c r="R16000" s="3"/>
      <c r="S16000" s="3"/>
      <c r="T16000" s="3"/>
      <c r="U16000" s="3"/>
      <c r="V16000" s="3"/>
      <c r="W16000" s="3"/>
      <c r="X16000" s="3"/>
      <c r="Y16000" s="3"/>
      <c r="Z16000" s="3"/>
      <c r="AA16000" s="3"/>
      <c r="AB16000" s="3"/>
      <c r="AC16000" s="3"/>
      <c r="AD16000" s="3"/>
      <c r="AE16000" s="3"/>
      <c r="AF16000" s="3"/>
      <c r="AG16000" s="3"/>
      <c r="AH16000" s="3"/>
    </row>
    <row r="16001" spans="1:34" ht="14.25" customHeight="1" x14ac:dyDescent="0.25">
      <c r="A16001" s="3"/>
      <c r="B16001" s="3"/>
      <c r="C16001" s="3"/>
      <c r="D16001" s="3"/>
      <c r="E16001" s="3"/>
      <c r="F16001" s="3"/>
      <c r="G16001" s="3"/>
      <c r="H16001" s="11"/>
      <c r="I16001" s="12"/>
      <c r="J16001" s="3"/>
      <c r="K16001" s="3"/>
      <c r="L16001" s="3"/>
      <c r="M16001" s="3"/>
      <c r="N16001" s="3"/>
      <c r="O16001" s="3"/>
      <c r="P16001" s="3"/>
      <c r="Q16001" s="3"/>
      <c r="R16001" s="3"/>
      <c r="S16001" s="3"/>
      <c r="T16001" s="3"/>
      <c r="U16001" s="3"/>
      <c r="V16001" s="3"/>
      <c r="W16001" s="3"/>
      <c r="X16001" s="3"/>
      <c r="Y16001" s="3"/>
      <c r="Z16001" s="3"/>
      <c r="AA16001" s="3"/>
      <c r="AB16001" s="3"/>
      <c r="AC16001" s="3"/>
      <c r="AD16001" s="3"/>
      <c r="AE16001" s="3"/>
      <c r="AF16001" s="3"/>
      <c r="AG16001" s="3"/>
      <c r="AH16001" s="3"/>
    </row>
    <row r="16002" spans="1:34" ht="14.25" customHeight="1" x14ac:dyDescent="0.25">
      <c r="A16002" s="3"/>
      <c r="B16002" s="3"/>
      <c r="C16002" s="3"/>
      <c r="D16002" s="3"/>
      <c r="E16002" s="3"/>
      <c r="F16002" s="3"/>
      <c r="G16002" s="3"/>
      <c r="H16002" s="11"/>
      <c r="I16002" s="12"/>
      <c r="J16002" s="3"/>
      <c r="K16002" s="3"/>
      <c r="L16002" s="3"/>
      <c r="M16002" s="3"/>
      <c r="N16002" s="3"/>
      <c r="O16002" s="3"/>
      <c r="P16002" s="3"/>
      <c r="Q16002" s="3"/>
      <c r="R16002" s="3"/>
      <c r="S16002" s="3"/>
      <c r="T16002" s="3"/>
      <c r="U16002" s="3"/>
      <c r="V16002" s="3"/>
      <c r="W16002" s="3"/>
      <c r="X16002" s="3"/>
      <c r="Y16002" s="3"/>
      <c r="Z16002" s="3"/>
      <c r="AA16002" s="3"/>
      <c r="AB16002" s="3"/>
      <c r="AC16002" s="3"/>
      <c r="AD16002" s="3"/>
      <c r="AE16002" s="3"/>
      <c r="AF16002" s="3"/>
      <c r="AG16002" s="3"/>
      <c r="AH16002" s="3"/>
    </row>
    <row r="16003" spans="1:34" ht="14.25" customHeight="1" x14ac:dyDescent="0.25">
      <c r="A16003" s="3"/>
      <c r="B16003" s="3"/>
      <c r="C16003" s="3"/>
      <c r="D16003" s="3"/>
      <c r="E16003" s="3"/>
      <c r="F16003" s="3"/>
      <c r="G16003" s="3"/>
      <c r="H16003" s="11"/>
      <c r="I16003" s="12"/>
      <c r="J16003" s="3"/>
      <c r="K16003" s="3"/>
      <c r="L16003" s="3"/>
      <c r="M16003" s="3"/>
      <c r="N16003" s="3"/>
      <c r="O16003" s="3"/>
      <c r="P16003" s="3"/>
      <c r="Q16003" s="3"/>
      <c r="R16003" s="3"/>
      <c r="S16003" s="3"/>
      <c r="T16003" s="3"/>
      <c r="U16003" s="3"/>
      <c r="V16003" s="3"/>
      <c r="W16003" s="3"/>
      <c r="X16003" s="3"/>
      <c r="Y16003" s="3"/>
      <c r="Z16003" s="3"/>
      <c r="AA16003" s="3"/>
      <c r="AB16003" s="3"/>
      <c r="AC16003" s="3"/>
      <c r="AD16003" s="3"/>
      <c r="AE16003" s="3"/>
      <c r="AF16003" s="3"/>
      <c r="AG16003" s="3"/>
      <c r="AH16003" s="3"/>
    </row>
    <row r="16004" spans="1:34" ht="14.25" customHeight="1" x14ac:dyDescent="0.25">
      <c r="A16004" s="3"/>
      <c r="B16004" s="3"/>
      <c r="C16004" s="3"/>
      <c r="D16004" s="3"/>
      <c r="E16004" s="3"/>
      <c r="F16004" s="3"/>
      <c r="G16004" s="3"/>
      <c r="H16004" s="11"/>
      <c r="I16004" s="12"/>
      <c r="J16004" s="3"/>
      <c r="K16004" s="3"/>
      <c r="L16004" s="3"/>
      <c r="M16004" s="3"/>
      <c r="N16004" s="3"/>
      <c r="O16004" s="3"/>
      <c r="P16004" s="3"/>
      <c r="Q16004" s="3"/>
      <c r="R16004" s="3"/>
      <c r="S16004" s="3"/>
      <c r="T16004" s="3"/>
      <c r="U16004" s="3"/>
      <c r="V16004" s="3"/>
      <c r="W16004" s="3"/>
      <c r="X16004" s="3"/>
      <c r="Y16004" s="3"/>
      <c r="Z16004" s="3"/>
      <c r="AA16004" s="3"/>
      <c r="AB16004" s="3"/>
      <c r="AC16004" s="3"/>
      <c r="AD16004" s="3"/>
      <c r="AE16004" s="3"/>
      <c r="AF16004" s="3"/>
      <c r="AG16004" s="3"/>
      <c r="AH16004" s="3"/>
    </row>
    <row r="16005" spans="1:34" ht="14.25" customHeight="1" x14ac:dyDescent="0.25">
      <c r="A16005" s="3"/>
      <c r="B16005" s="3"/>
      <c r="C16005" s="3"/>
      <c r="D16005" s="3"/>
      <c r="E16005" s="3"/>
      <c r="F16005" s="3"/>
      <c r="G16005" s="3"/>
      <c r="H16005" s="11"/>
      <c r="I16005" s="12"/>
      <c r="J16005" s="3"/>
      <c r="K16005" s="3"/>
      <c r="L16005" s="3"/>
      <c r="M16005" s="3"/>
      <c r="N16005" s="3"/>
      <c r="O16005" s="3"/>
      <c r="P16005" s="3"/>
      <c r="Q16005" s="3"/>
      <c r="R16005" s="3"/>
      <c r="S16005" s="3"/>
      <c r="T16005" s="3"/>
      <c r="U16005" s="3"/>
      <c r="V16005" s="3"/>
      <c r="W16005" s="3"/>
      <c r="X16005" s="3"/>
      <c r="Y16005" s="3"/>
      <c r="Z16005" s="3"/>
      <c r="AA16005" s="3"/>
      <c r="AB16005" s="3"/>
      <c r="AC16005" s="3"/>
      <c r="AD16005" s="3"/>
      <c r="AE16005" s="3"/>
      <c r="AF16005" s="3"/>
      <c r="AG16005" s="3"/>
      <c r="AH16005" s="3"/>
    </row>
    <row r="16006" spans="1:34" ht="14.25" customHeight="1" x14ac:dyDescent="0.25">
      <c r="A16006" s="3"/>
      <c r="B16006" s="3"/>
      <c r="C16006" s="3"/>
      <c r="D16006" s="3"/>
      <c r="E16006" s="3"/>
      <c r="F16006" s="3"/>
      <c r="G16006" s="3"/>
      <c r="H16006" s="11"/>
      <c r="I16006" s="12"/>
      <c r="J16006" s="3"/>
      <c r="K16006" s="3"/>
      <c r="L16006" s="3"/>
      <c r="M16006" s="3"/>
      <c r="N16006" s="3"/>
      <c r="O16006" s="3"/>
      <c r="P16006" s="3"/>
      <c r="Q16006" s="3"/>
      <c r="R16006" s="3"/>
      <c r="S16006" s="3"/>
      <c r="T16006" s="3"/>
      <c r="U16006" s="3"/>
      <c r="V16006" s="3"/>
      <c r="W16006" s="3"/>
      <c r="X16006" s="3"/>
      <c r="Y16006" s="3"/>
      <c r="Z16006" s="3"/>
      <c r="AA16006" s="3"/>
      <c r="AB16006" s="3"/>
      <c r="AC16006" s="3"/>
      <c r="AD16006" s="3"/>
      <c r="AE16006" s="3"/>
      <c r="AF16006" s="3"/>
      <c r="AG16006" s="3"/>
      <c r="AH16006" s="3"/>
    </row>
    <row r="16007" spans="1:34" ht="14.25" customHeight="1" x14ac:dyDescent="0.25">
      <c r="A16007" s="3"/>
      <c r="B16007" s="3"/>
      <c r="C16007" s="3"/>
      <c r="D16007" s="3"/>
      <c r="E16007" s="3"/>
      <c r="F16007" s="3"/>
      <c r="G16007" s="3"/>
      <c r="H16007" s="11"/>
      <c r="I16007" s="12"/>
      <c r="J16007" s="3"/>
      <c r="K16007" s="3"/>
      <c r="L16007" s="3"/>
      <c r="M16007" s="3"/>
      <c r="N16007" s="3"/>
      <c r="O16007" s="3"/>
      <c r="P16007" s="3"/>
      <c r="Q16007" s="3"/>
      <c r="R16007" s="3"/>
      <c r="S16007" s="3"/>
      <c r="T16007" s="3"/>
      <c r="U16007" s="3"/>
      <c r="V16007" s="3"/>
      <c r="W16007" s="3"/>
      <c r="X16007" s="3"/>
      <c r="Y16007" s="3"/>
      <c r="Z16007" s="3"/>
      <c r="AA16007" s="3"/>
      <c r="AB16007" s="3"/>
      <c r="AC16007" s="3"/>
      <c r="AD16007" s="3"/>
      <c r="AE16007" s="3"/>
      <c r="AF16007" s="3"/>
      <c r="AG16007" s="3"/>
      <c r="AH16007" s="3"/>
    </row>
    <row r="16008" spans="1:34" ht="14.25" customHeight="1" x14ac:dyDescent="0.25">
      <c r="A16008" s="3"/>
      <c r="B16008" s="3"/>
      <c r="C16008" s="3"/>
      <c r="D16008" s="3"/>
      <c r="E16008" s="3"/>
      <c r="F16008" s="3"/>
      <c r="G16008" s="3"/>
      <c r="H16008" s="11"/>
      <c r="I16008" s="12"/>
      <c r="J16008" s="3"/>
      <c r="K16008" s="3"/>
      <c r="L16008" s="3"/>
      <c r="M16008" s="3"/>
      <c r="N16008" s="3"/>
      <c r="O16008" s="3"/>
      <c r="P16008" s="3"/>
      <c r="Q16008" s="3"/>
      <c r="R16008" s="3"/>
      <c r="S16008" s="3"/>
      <c r="T16008" s="3"/>
      <c r="U16008" s="3"/>
      <c r="V16008" s="3"/>
      <c r="W16008" s="3"/>
      <c r="X16008" s="3"/>
      <c r="Y16008" s="3"/>
      <c r="Z16008" s="3"/>
      <c r="AA16008" s="3"/>
      <c r="AB16008" s="3"/>
      <c r="AC16008" s="3"/>
      <c r="AD16008" s="3"/>
      <c r="AE16008" s="3"/>
      <c r="AF16008" s="3"/>
      <c r="AG16008" s="3"/>
      <c r="AH16008" s="3"/>
    </row>
    <row r="16009" spans="1:34" ht="14.25" customHeight="1" x14ac:dyDescent="0.25">
      <c r="A16009" s="3"/>
      <c r="B16009" s="3"/>
      <c r="C16009" s="3"/>
      <c r="D16009" s="3"/>
      <c r="E16009" s="3"/>
      <c r="F16009" s="3"/>
      <c r="G16009" s="3"/>
      <c r="H16009" s="11"/>
      <c r="I16009" s="12"/>
      <c r="J16009" s="3"/>
      <c r="K16009" s="3"/>
      <c r="L16009" s="3"/>
      <c r="M16009" s="3"/>
      <c r="N16009" s="3"/>
      <c r="O16009" s="3"/>
      <c r="P16009" s="3"/>
      <c r="Q16009" s="3"/>
      <c r="R16009" s="3"/>
      <c r="S16009" s="3"/>
      <c r="T16009" s="3"/>
      <c r="U16009" s="3"/>
      <c r="V16009" s="3"/>
      <c r="W16009" s="3"/>
      <c r="X16009" s="3"/>
      <c r="Y16009" s="3"/>
      <c r="Z16009" s="3"/>
      <c r="AA16009" s="3"/>
      <c r="AB16009" s="3"/>
      <c r="AC16009" s="3"/>
      <c r="AD16009" s="3"/>
      <c r="AE16009" s="3"/>
      <c r="AF16009" s="3"/>
      <c r="AG16009" s="3"/>
      <c r="AH16009" s="3"/>
    </row>
    <row r="16010" spans="1:34" ht="14.25" customHeight="1" x14ac:dyDescent="0.25">
      <c r="A16010" s="3"/>
      <c r="B16010" s="3"/>
      <c r="C16010" s="3"/>
      <c r="D16010" s="3"/>
      <c r="E16010" s="3"/>
      <c r="F16010" s="3"/>
      <c r="G16010" s="3"/>
      <c r="H16010" s="11"/>
      <c r="I16010" s="12"/>
      <c r="J16010" s="3"/>
      <c r="K16010" s="3"/>
      <c r="L16010" s="3"/>
      <c r="M16010" s="3"/>
      <c r="N16010" s="3"/>
      <c r="O16010" s="3"/>
      <c r="P16010" s="3"/>
      <c r="Q16010" s="3"/>
      <c r="R16010" s="3"/>
      <c r="S16010" s="3"/>
      <c r="T16010" s="3"/>
      <c r="U16010" s="3"/>
      <c r="V16010" s="3"/>
      <c r="W16010" s="3"/>
      <c r="X16010" s="3"/>
      <c r="Y16010" s="3"/>
      <c r="Z16010" s="3"/>
      <c r="AA16010" s="3"/>
      <c r="AB16010" s="3"/>
      <c r="AC16010" s="3"/>
      <c r="AD16010" s="3"/>
      <c r="AE16010" s="3"/>
      <c r="AF16010" s="3"/>
      <c r="AG16010" s="3"/>
      <c r="AH16010" s="3"/>
    </row>
    <row r="16011" spans="1:34" ht="14.25" customHeight="1" x14ac:dyDescent="0.25">
      <c r="A16011" s="3"/>
      <c r="B16011" s="3"/>
      <c r="C16011" s="3"/>
      <c r="D16011" s="3"/>
      <c r="E16011" s="3"/>
      <c r="F16011" s="3"/>
      <c r="G16011" s="3"/>
      <c r="H16011" s="11"/>
      <c r="I16011" s="12"/>
      <c r="J16011" s="3"/>
      <c r="K16011" s="3"/>
      <c r="L16011" s="3"/>
      <c r="M16011" s="3"/>
      <c r="N16011" s="3"/>
      <c r="O16011" s="3"/>
      <c r="P16011" s="3"/>
      <c r="Q16011" s="3"/>
      <c r="R16011" s="3"/>
      <c r="S16011" s="3"/>
      <c r="T16011" s="3"/>
      <c r="U16011" s="3"/>
      <c r="V16011" s="3"/>
      <c r="W16011" s="3"/>
      <c r="X16011" s="3"/>
      <c r="Y16011" s="3"/>
      <c r="Z16011" s="3"/>
      <c r="AA16011" s="3"/>
      <c r="AB16011" s="3"/>
      <c r="AC16011" s="3"/>
      <c r="AD16011" s="3"/>
      <c r="AE16011" s="3"/>
      <c r="AF16011" s="3"/>
      <c r="AG16011" s="3"/>
      <c r="AH16011" s="3"/>
    </row>
    <row r="16012" spans="1:34" ht="14.25" customHeight="1" x14ac:dyDescent="0.25">
      <c r="A16012" s="3"/>
      <c r="B16012" s="3"/>
      <c r="C16012" s="3"/>
      <c r="D16012" s="3"/>
      <c r="E16012" s="3"/>
      <c r="F16012" s="3"/>
      <c r="G16012" s="3"/>
      <c r="H16012" s="11"/>
      <c r="I16012" s="12"/>
      <c r="J16012" s="3"/>
      <c r="K16012" s="3"/>
      <c r="L16012" s="3"/>
      <c r="M16012" s="3"/>
      <c r="N16012" s="3"/>
      <c r="O16012" s="3"/>
      <c r="P16012" s="3"/>
      <c r="Q16012" s="3"/>
      <c r="R16012" s="3"/>
      <c r="S16012" s="3"/>
      <c r="T16012" s="3"/>
      <c r="U16012" s="3"/>
      <c r="V16012" s="3"/>
      <c r="W16012" s="3"/>
      <c r="X16012" s="3"/>
      <c r="Y16012" s="3"/>
      <c r="Z16012" s="3"/>
      <c r="AA16012" s="3"/>
      <c r="AB16012" s="3"/>
      <c r="AC16012" s="3"/>
      <c r="AD16012" s="3"/>
      <c r="AE16012" s="3"/>
      <c r="AF16012" s="3"/>
      <c r="AG16012" s="3"/>
      <c r="AH16012" s="3"/>
    </row>
    <row r="16013" spans="1:34" ht="14.25" customHeight="1" x14ac:dyDescent="0.25">
      <c r="A16013" s="3"/>
      <c r="B16013" s="3"/>
      <c r="C16013" s="3"/>
      <c r="D16013" s="3"/>
      <c r="E16013" s="3"/>
      <c r="F16013" s="3"/>
      <c r="G16013" s="3"/>
      <c r="H16013" s="11"/>
      <c r="I16013" s="12"/>
      <c r="J16013" s="3"/>
      <c r="K16013" s="3"/>
      <c r="L16013" s="3"/>
      <c r="M16013" s="3"/>
      <c r="N16013" s="3"/>
      <c r="O16013" s="3"/>
      <c r="P16013" s="3"/>
      <c r="Q16013" s="3"/>
      <c r="R16013" s="3"/>
      <c r="S16013" s="3"/>
      <c r="T16013" s="3"/>
      <c r="U16013" s="3"/>
      <c r="V16013" s="3"/>
      <c r="W16013" s="3"/>
      <c r="X16013" s="3"/>
      <c r="Y16013" s="3"/>
      <c r="Z16013" s="3"/>
      <c r="AA16013" s="3"/>
      <c r="AB16013" s="3"/>
      <c r="AC16013" s="3"/>
      <c r="AD16013" s="3"/>
      <c r="AE16013" s="3"/>
      <c r="AF16013" s="3"/>
      <c r="AG16013" s="3"/>
      <c r="AH16013" s="3"/>
    </row>
    <row r="16014" spans="1:34" ht="14.25" customHeight="1" x14ac:dyDescent="0.25">
      <c r="A16014" s="3"/>
      <c r="B16014" s="3"/>
      <c r="C16014" s="3"/>
      <c r="D16014" s="3"/>
      <c r="E16014" s="3"/>
      <c r="F16014" s="3"/>
      <c r="G16014" s="3"/>
      <c r="H16014" s="11"/>
      <c r="I16014" s="12"/>
      <c r="J16014" s="3"/>
      <c r="K16014" s="3"/>
      <c r="L16014" s="3"/>
      <c r="M16014" s="3"/>
      <c r="N16014" s="3"/>
      <c r="O16014" s="3"/>
      <c r="P16014" s="3"/>
      <c r="Q16014" s="3"/>
      <c r="R16014" s="3"/>
      <c r="S16014" s="3"/>
      <c r="T16014" s="3"/>
      <c r="U16014" s="3"/>
      <c r="V16014" s="3"/>
      <c r="W16014" s="3"/>
      <c r="X16014" s="3"/>
      <c r="Y16014" s="3"/>
      <c r="Z16014" s="3"/>
      <c r="AA16014" s="3"/>
      <c r="AB16014" s="3"/>
      <c r="AC16014" s="3"/>
      <c r="AD16014" s="3"/>
      <c r="AE16014" s="3"/>
      <c r="AF16014" s="3"/>
      <c r="AG16014" s="3"/>
      <c r="AH16014" s="3"/>
    </row>
    <row r="16015" spans="1:34" ht="14.25" customHeight="1" x14ac:dyDescent="0.25">
      <c r="A16015" s="3"/>
      <c r="B16015" s="3"/>
      <c r="C16015" s="3"/>
      <c r="D16015" s="3"/>
      <c r="E16015" s="3"/>
      <c r="F16015" s="3"/>
      <c r="G16015" s="3"/>
      <c r="H16015" s="11"/>
      <c r="I16015" s="12"/>
      <c r="J16015" s="3"/>
      <c r="K16015" s="3"/>
      <c r="L16015" s="3"/>
      <c r="M16015" s="3"/>
      <c r="N16015" s="3"/>
      <c r="O16015" s="3"/>
      <c r="P16015" s="3"/>
      <c r="Q16015" s="3"/>
      <c r="R16015" s="3"/>
      <c r="S16015" s="3"/>
      <c r="T16015" s="3"/>
      <c r="U16015" s="3"/>
      <c r="V16015" s="3"/>
      <c r="W16015" s="3"/>
      <c r="X16015" s="3"/>
      <c r="Y16015" s="3"/>
      <c r="Z16015" s="3"/>
      <c r="AA16015" s="3"/>
      <c r="AB16015" s="3"/>
      <c r="AC16015" s="3"/>
      <c r="AD16015" s="3"/>
      <c r="AE16015" s="3"/>
      <c r="AF16015" s="3"/>
      <c r="AG16015" s="3"/>
      <c r="AH16015" s="3"/>
    </row>
    <row r="16016" spans="1:34" ht="14.25" customHeight="1" x14ac:dyDescent="0.25">
      <c r="A16016" s="3"/>
      <c r="B16016" s="3"/>
      <c r="C16016" s="3"/>
      <c r="D16016" s="3"/>
      <c r="E16016" s="3"/>
      <c r="F16016" s="3"/>
      <c r="G16016" s="3"/>
      <c r="H16016" s="11"/>
      <c r="I16016" s="12"/>
      <c r="J16016" s="3"/>
      <c r="K16016" s="3"/>
      <c r="L16016" s="3"/>
      <c r="M16016" s="3"/>
      <c r="N16016" s="3"/>
      <c r="O16016" s="3"/>
      <c r="P16016" s="3"/>
      <c r="Q16016" s="3"/>
      <c r="R16016" s="3"/>
      <c r="S16016" s="3"/>
      <c r="T16016" s="3"/>
      <c r="U16016" s="3"/>
      <c r="V16016" s="3"/>
      <c r="W16016" s="3"/>
      <c r="X16016" s="3"/>
      <c r="Y16016" s="3"/>
      <c r="Z16016" s="3"/>
      <c r="AA16016" s="3"/>
      <c r="AB16016" s="3"/>
      <c r="AC16016" s="3"/>
      <c r="AD16016" s="3"/>
      <c r="AE16016" s="3"/>
      <c r="AF16016" s="3"/>
      <c r="AG16016" s="3"/>
      <c r="AH16016" s="3"/>
    </row>
    <row r="16017" spans="1:34" ht="14.25" customHeight="1" x14ac:dyDescent="0.25">
      <c r="A16017" s="3"/>
      <c r="B16017" s="3"/>
      <c r="C16017" s="3"/>
      <c r="D16017" s="3"/>
      <c r="E16017" s="3"/>
      <c r="F16017" s="3"/>
      <c r="G16017" s="3"/>
      <c r="H16017" s="11"/>
      <c r="I16017" s="12"/>
      <c r="J16017" s="3"/>
      <c r="K16017" s="3"/>
      <c r="L16017" s="3"/>
      <c r="M16017" s="3"/>
      <c r="N16017" s="3"/>
      <c r="O16017" s="3"/>
      <c r="P16017" s="3"/>
      <c r="Q16017" s="3"/>
      <c r="R16017" s="3"/>
      <c r="S16017" s="3"/>
      <c r="T16017" s="3"/>
      <c r="U16017" s="3"/>
      <c r="V16017" s="3"/>
      <c r="W16017" s="3"/>
      <c r="X16017" s="3"/>
      <c r="Y16017" s="3"/>
      <c r="Z16017" s="3"/>
      <c r="AA16017" s="3"/>
      <c r="AB16017" s="3"/>
      <c r="AC16017" s="3"/>
      <c r="AD16017" s="3"/>
      <c r="AE16017" s="3"/>
      <c r="AF16017" s="3"/>
      <c r="AG16017" s="3"/>
      <c r="AH16017" s="3"/>
    </row>
    <row r="16018" spans="1:34" ht="14.25" customHeight="1" x14ac:dyDescent="0.25">
      <c r="A16018" s="3"/>
      <c r="B16018" s="3"/>
      <c r="C16018" s="3"/>
      <c r="D16018" s="3"/>
      <c r="E16018" s="3"/>
      <c r="F16018" s="3"/>
      <c r="G16018" s="3"/>
      <c r="H16018" s="11"/>
      <c r="I16018" s="12"/>
      <c r="J16018" s="3"/>
      <c r="K16018" s="3"/>
      <c r="L16018" s="3"/>
      <c r="M16018" s="3"/>
      <c r="N16018" s="3"/>
      <c r="O16018" s="3"/>
      <c r="P16018" s="3"/>
      <c r="Q16018" s="3"/>
      <c r="R16018" s="3"/>
      <c r="S16018" s="3"/>
      <c r="T16018" s="3"/>
      <c r="U16018" s="3"/>
      <c r="V16018" s="3"/>
      <c r="W16018" s="3"/>
      <c r="X16018" s="3"/>
      <c r="Y16018" s="3"/>
      <c r="Z16018" s="3"/>
      <c r="AA16018" s="3"/>
      <c r="AB16018" s="3"/>
      <c r="AC16018" s="3"/>
      <c r="AD16018" s="3"/>
      <c r="AE16018" s="3"/>
      <c r="AF16018" s="3"/>
      <c r="AG16018" s="3"/>
      <c r="AH16018" s="3"/>
    </row>
    <row r="16019" spans="1:34" ht="14.25" customHeight="1" x14ac:dyDescent="0.25">
      <c r="A16019" s="3"/>
      <c r="B16019" s="3"/>
      <c r="C16019" s="3"/>
      <c r="D16019" s="3"/>
      <c r="E16019" s="3"/>
      <c r="F16019" s="3"/>
      <c r="G16019" s="3"/>
      <c r="H16019" s="11"/>
      <c r="I16019" s="12"/>
      <c r="J16019" s="3"/>
      <c r="K16019" s="3"/>
      <c r="L16019" s="3"/>
      <c r="M16019" s="3"/>
      <c r="N16019" s="3"/>
      <c r="O16019" s="3"/>
      <c r="P16019" s="3"/>
      <c r="Q16019" s="3"/>
      <c r="R16019" s="3"/>
      <c r="S16019" s="3"/>
      <c r="T16019" s="3"/>
      <c r="U16019" s="3"/>
      <c r="V16019" s="3"/>
      <c r="W16019" s="3"/>
      <c r="X16019" s="3"/>
      <c r="Y16019" s="3"/>
      <c r="Z16019" s="3"/>
      <c r="AA16019" s="3"/>
      <c r="AB16019" s="3"/>
      <c r="AC16019" s="3"/>
      <c r="AD16019" s="3"/>
      <c r="AE16019" s="3"/>
      <c r="AF16019" s="3"/>
      <c r="AG16019" s="3"/>
      <c r="AH16019" s="3"/>
    </row>
    <row r="16020" spans="1:34" ht="14.25" customHeight="1" x14ac:dyDescent="0.25">
      <c r="A16020" s="3"/>
      <c r="B16020" s="3"/>
      <c r="C16020" s="3"/>
      <c r="D16020" s="3"/>
      <c r="E16020" s="3"/>
      <c r="F16020" s="3"/>
      <c r="G16020" s="3"/>
      <c r="H16020" s="11"/>
      <c r="I16020" s="12"/>
      <c r="J16020" s="3"/>
      <c r="K16020" s="3"/>
      <c r="L16020" s="3"/>
      <c r="M16020" s="3"/>
      <c r="N16020" s="3"/>
      <c r="O16020" s="3"/>
      <c r="P16020" s="3"/>
      <c r="Q16020" s="3"/>
      <c r="R16020" s="3"/>
      <c r="S16020" s="3"/>
      <c r="T16020" s="3"/>
      <c r="U16020" s="3"/>
      <c r="V16020" s="3"/>
      <c r="W16020" s="3"/>
      <c r="X16020" s="3"/>
      <c r="Y16020" s="3"/>
      <c r="Z16020" s="3"/>
      <c r="AA16020" s="3"/>
      <c r="AB16020" s="3"/>
      <c r="AC16020" s="3"/>
      <c r="AD16020" s="3"/>
      <c r="AE16020" s="3"/>
      <c r="AF16020" s="3"/>
      <c r="AG16020" s="3"/>
      <c r="AH16020" s="3"/>
    </row>
    <row r="16021" spans="1:34" ht="14.25" customHeight="1" x14ac:dyDescent="0.25">
      <c r="A16021" s="3"/>
      <c r="B16021" s="3"/>
      <c r="C16021" s="3"/>
      <c r="D16021" s="3"/>
      <c r="E16021" s="3"/>
      <c r="F16021" s="3"/>
      <c r="G16021" s="3"/>
      <c r="H16021" s="11"/>
      <c r="I16021" s="12"/>
      <c r="J16021" s="3"/>
      <c r="K16021" s="3"/>
      <c r="L16021" s="3"/>
      <c r="M16021" s="3"/>
      <c r="N16021" s="3"/>
      <c r="O16021" s="3"/>
      <c r="P16021" s="3"/>
      <c r="Q16021" s="3"/>
      <c r="R16021" s="3"/>
      <c r="S16021" s="3"/>
      <c r="T16021" s="3"/>
      <c r="U16021" s="3"/>
      <c r="V16021" s="3"/>
      <c r="W16021" s="3"/>
      <c r="X16021" s="3"/>
      <c r="Y16021" s="3"/>
      <c r="Z16021" s="3"/>
      <c r="AA16021" s="3"/>
      <c r="AB16021" s="3"/>
      <c r="AC16021" s="3"/>
      <c r="AD16021" s="3"/>
      <c r="AE16021" s="3"/>
      <c r="AF16021" s="3"/>
      <c r="AG16021" s="3"/>
      <c r="AH16021" s="3"/>
    </row>
    <row r="16022" spans="1:34" ht="14.25" customHeight="1" x14ac:dyDescent="0.25">
      <c r="A16022" s="3"/>
      <c r="B16022" s="3"/>
      <c r="C16022" s="3"/>
      <c r="D16022" s="3"/>
      <c r="E16022" s="3"/>
      <c r="F16022" s="3"/>
      <c r="G16022" s="3"/>
      <c r="H16022" s="11"/>
      <c r="I16022" s="12"/>
      <c r="J16022" s="3"/>
      <c r="K16022" s="3"/>
      <c r="L16022" s="3"/>
      <c r="M16022" s="3"/>
      <c r="N16022" s="3"/>
      <c r="O16022" s="3"/>
      <c r="P16022" s="3"/>
      <c r="Q16022" s="3"/>
      <c r="R16022" s="3"/>
      <c r="S16022" s="3"/>
      <c r="T16022" s="3"/>
      <c r="U16022" s="3"/>
      <c r="V16022" s="3"/>
      <c r="W16022" s="3"/>
      <c r="X16022" s="3"/>
      <c r="Y16022" s="3"/>
      <c r="Z16022" s="3"/>
      <c r="AA16022" s="3"/>
      <c r="AB16022" s="3"/>
      <c r="AC16022" s="3"/>
      <c r="AD16022" s="3"/>
      <c r="AE16022" s="3"/>
      <c r="AF16022" s="3"/>
      <c r="AG16022" s="3"/>
      <c r="AH16022" s="3"/>
    </row>
    <row r="16023" spans="1:34" ht="14.25" customHeight="1" x14ac:dyDescent="0.25">
      <c r="A16023" s="3"/>
      <c r="B16023" s="3"/>
      <c r="C16023" s="3"/>
      <c r="D16023" s="3"/>
      <c r="E16023" s="3"/>
      <c r="F16023" s="3"/>
      <c r="G16023" s="3"/>
      <c r="H16023" s="11"/>
      <c r="I16023" s="12"/>
      <c r="J16023" s="3"/>
      <c r="K16023" s="3"/>
      <c r="L16023" s="3"/>
      <c r="M16023" s="3"/>
      <c r="N16023" s="3"/>
      <c r="O16023" s="3"/>
      <c r="P16023" s="3"/>
      <c r="Q16023" s="3"/>
      <c r="R16023" s="3"/>
      <c r="S16023" s="3"/>
      <c r="T16023" s="3"/>
      <c r="U16023" s="3"/>
      <c r="V16023" s="3"/>
      <c r="W16023" s="3"/>
      <c r="X16023" s="3"/>
      <c r="Y16023" s="3"/>
      <c r="Z16023" s="3"/>
      <c r="AA16023" s="3"/>
      <c r="AB16023" s="3"/>
      <c r="AC16023" s="3"/>
      <c r="AD16023" s="3"/>
      <c r="AE16023" s="3"/>
      <c r="AF16023" s="3"/>
      <c r="AG16023" s="3"/>
      <c r="AH16023" s="3"/>
    </row>
    <row r="16024" spans="1:34" ht="14.25" customHeight="1" x14ac:dyDescent="0.25">
      <c r="A16024" s="3"/>
      <c r="B16024" s="3"/>
      <c r="C16024" s="3"/>
      <c r="D16024" s="3"/>
      <c r="E16024" s="3"/>
      <c r="F16024" s="3"/>
      <c r="G16024" s="3"/>
      <c r="H16024" s="11"/>
      <c r="I16024" s="12"/>
      <c r="J16024" s="3"/>
      <c r="K16024" s="3"/>
      <c r="L16024" s="3"/>
      <c r="M16024" s="3"/>
      <c r="N16024" s="3"/>
      <c r="O16024" s="3"/>
      <c r="P16024" s="3"/>
      <c r="Q16024" s="3"/>
      <c r="R16024" s="3"/>
      <c r="S16024" s="3"/>
      <c r="T16024" s="3"/>
      <c r="U16024" s="3"/>
      <c r="V16024" s="3"/>
      <c r="W16024" s="3"/>
      <c r="X16024" s="3"/>
      <c r="Y16024" s="3"/>
      <c r="Z16024" s="3"/>
      <c r="AA16024" s="3"/>
      <c r="AB16024" s="3"/>
      <c r="AC16024" s="3"/>
      <c r="AD16024" s="3"/>
      <c r="AE16024" s="3"/>
      <c r="AF16024" s="3"/>
      <c r="AG16024" s="3"/>
      <c r="AH16024" s="3"/>
    </row>
    <row r="16025" spans="1:34" ht="14.25" customHeight="1" x14ac:dyDescent="0.25">
      <c r="A16025" s="3"/>
      <c r="B16025" s="3"/>
      <c r="C16025" s="3"/>
      <c r="D16025" s="3"/>
      <c r="E16025" s="3"/>
      <c r="F16025" s="3"/>
      <c r="G16025" s="3"/>
      <c r="H16025" s="11"/>
      <c r="I16025" s="12"/>
      <c r="J16025" s="3"/>
      <c r="K16025" s="3"/>
      <c r="L16025" s="3"/>
      <c r="M16025" s="3"/>
      <c r="N16025" s="3"/>
      <c r="O16025" s="3"/>
      <c r="P16025" s="3"/>
      <c r="Q16025" s="3"/>
      <c r="R16025" s="3"/>
      <c r="S16025" s="3"/>
      <c r="T16025" s="3"/>
      <c r="U16025" s="3"/>
      <c r="V16025" s="3"/>
      <c r="W16025" s="3"/>
      <c r="X16025" s="3"/>
      <c r="Y16025" s="3"/>
      <c r="Z16025" s="3"/>
      <c r="AA16025" s="3"/>
      <c r="AB16025" s="3"/>
      <c r="AC16025" s="3"/>
      <c r="AD16025" s="3"/>
      <c r="AE16025" s="3"/>
      <c r="AF16025" s="3"/>
      <c r="AG16025" s="3"/>
      <c r="AH16025" s="3"/>
    </row>
    <row r="16026" spans="1:34" ht="14.25" customHeight="1" x14ac:dyDescent="0.25">
      <c r="A16026" s="3"/>
      <c r="B16026" s="3"/>
      <c r="C16026" s="3"/>
      <c r="D16026" s="3"/>
      <c r="E16026" s="3"/>
      <c r="F16026" s="3"/>
      <c r="G16026" s="3"/>
      <c r="H16026" s="11"/>
      <c r="I16026" s="12"/>
      <c r="J16026" s="3"/>
      <c r="K16026" s="3"/>
      <c r="L16026" s="3"/>
      <c r="M16026" s="3"/>
      <c r="N16026" s="3"/>
      <c r="O16026" s="3"/>
      <c r="P16026" s="3"/>
      <c r="Q16026" s="3"/>
      <c r="R16026" s="3"/>
      <c r="S16026" s="3"/>
      <c r="T16026" s="3"/>
      <c r="U16026" s="3"/>
      <c r="V16026" s="3"/>
      <c r="W16026" s="3"/>
      <c r="X16026" s="3"/>
      <c r="Y16026" s="3"/>
      <c r="Z16026" s="3"/>
      <c r="AA16026" s="3"/>
      <c r="AB16026" s="3"/>
      <c r="AC16026" s="3"/>
      <c r="AD16026" s="3"/>
      <c r="AE16026" s="3"/>
      <c r="AF16026" s="3"/>
      <c r="AG16026" s="3"/>
      <c r="AH16026" s="3"/>
    </row>
    <row r="16027" spans="1:34" ht="14.25" customHeight="1" x14ac:dyDescent="0.25">
      <c r="A16027" s="3"/>
      <c r="B16027" s="3"/>
      <c r="C16027" s="3"/>
      <c r="D16027" s="3"/>
      <c r="E16027" s="3"/>
      <c r="F16027" s="3"/>
      <c r="G16027" s="3"/>
      <c r="H16027" s="11"/>
      <c r="I16027" s="12"/>
      <c r="J16027" s="3"/>
      <c r="K16027" s="3"/>
      <c r="L16027" s="3"/>
      <c r="M16027" s="3"/>
      <c r="N16027" s="3"/>
      <c r="O16027" s="3"/>
      <c r="P16027" s="3"/>
      <c r="Q16027" s="3"/>
      <c r="R16027" s="3"/>
      <c r="S16027" s="3"/>
      <c r="T16027" s="3"/>
      <c r="U16027" s="3"/>
      <c r="V16027" s="3"/>
      <c r="W16027" s="3"/>
      <c r="X16027" s="3"/>
      <c r="Y16027" s="3"/>
      <c r="Z16027" s="3"/>
      <c r="AA16027" s="3"/>
      <c r="AB16027" s="3"/>
      <c r="AC16027" s="3"/>
      <c r="AD16027" s="3"/>
      <c r="AE16027" s="3"/>
      <c r="AF16027" s="3"/>
      <c r="AG16027" s="3"/>
      <c r="AH16027" s="3"/>
    </row>
    <row r="16028" spans="1:34" ht="14.25" customHeight="1" x14ac:dyDescent="0.25">
      <c r="A16028" s="3"/>
      <c r="B16028" s="3"/>
      <c r="C16028" s="3"/>
      <c r="D16028" s="3"/>
      <c r="E16028" s="3"/>
      <c r="F16028" s="3"/>
      <c r="G16028" s="3"/>
      <c r="H16028" s="11"/>
      <c r="I16028" s="12"/>
      <c r="J16028" s="3"/>
      <c r="K16028" s="3"/>
      <c r="L16028" s="3"/>
      <c r="M16028" s="3"/>
      <c r="N16028" s="3"/>
      <c r="O16028" s="3"/>
      <c r="P16028" s="3"/>
      <c r="Q16028" s="3"/>
      <c r="R16028" s="3"/>
      <c r="S16028" s="3"/>
      <c r="T16028" s="3"/>
      <c r="U16028" s="3"/>
      <c r="V16028" s="3"/>
      <c r="W16028" s="3"/>
      <c r="X16028" s="3"/>
      <c r="Y16028" s="3"/>
      <c r="Z16028" s="3"/>
      <c r="AA16028" s="3"/>
      <c r="AB16028" s="3"/>
      <c r="AC16028" s="3"/>
      <c r="AD16028" s="3"/>
      <c r="AE16028" s="3"/>
      <c r="AF16028" s="3"/>
      <c r="AG16028" s="3"/>
      <c r="AH16028" s="3"/>
    </row>
    <row r="16029" spans="1:34" ht="14.25" customHeight="1" x14ac:dyDescent="0.25">
      <c r="A16029" s="3"/>
      <c r="B16029" s="3"/>
      <c r="C16029" s="3"/>
      <c r="D16029" s="3"/>
      <c r="E16029" s="3"/>
      <c r="F16029" s="3"/>
      <c r="G16029" s="3"/>
      <c r="H16029" s="11"/>
      <c r="I16029" s="12"/>
      <c r="J16029" s="3"/>
      <c r="K16029" s="3"/>
      <c r="L16029" s="3"/>
      <c r="M16029" s="3"/>
      <c r="N16029" s="3"/>
      <c r="O16029" s="3"/>
      <c r="P16029" s="3"/>
      <c r="Q16029" s="3"/>
      <c r="R16029" s="3"/>
      <c r="S16029" s="3"/>
      <c r="T16029" s="3"/>
      <c r="U16029" s="3"/>
      <c r="V16029" s="3"/>
      <c r="W16029" s="3"/>
      <c r="X16029" s="3"/>
      <c r="Y16029" s="3"/>
      <c r="Z16029" s="3"/>
      <c r="AA16029" s="3"/>
      <c r="AB16029" s="3"/>
      <c r="AC16029" s="3"/>
      <c r="AD16029" s="3"/>
      <c r="AE16029" s="3"/>
      <c r="AF16029" s="3"/>
      <c r="AG16029" s="3"/>
      <c r="AH16029" s="3"/>
    </row>
    <row r="16030" spans="1:34" ht="14.25" customHeight="1" x14ac:dyDescent="0.25">
      <c r="A16030" s="3"/>
      <c r="B16030" s="3"/>
      <c r="C16030" s="3"/>
      <c r="D16030" s="3"/>
      <c r="E16030" s="3"/>
      <c r="F16030" s="3"/>
      <c r="G16030" s="3"/>
      <c r="H16030" s="11"/>
      <c r="I16030" s="12"/>
      <c r="J16030" s="3"/>
      <c r="K16030" s="3"/>
      <c r="L16030" s="3"/>
      <c r="M16030" s="3"/>
      <c r="N16030" s="3"/>
      <c r="O16030" s="3"/>
      <c r="P16030" s="3"/>
      <c r="Q16030" s="3"/>
      <c r="R16030" s="3"/>
      <c r="S16030" s="3"/>
      <c r="T16030" s="3"/>
      <c r="U16030" s="3"/>
      <c r="V16030" s="3"/>
      <c r="W16030" s="3"/>
      <c r="X16030" s="3"/>
      <c r="Y16030" s="3"/>
      <c r="Z16030" s="3"/>
      <c r="AA16030" s="3"/>
      <c r="AB16030" s="3"/>
      <c r="AC16030" s="3"/>
      <c r="AD16030" s="3"/>
      <c r="AE16030" s="3"/>
      <c r="AF16030" s="3"/>
      <c r="AG16030" s="3"/>
      <c r="AH16030" s="3"/>
    </row>
    <row r="16031" spans="1:34" ht="14.25" customHeight="1" x14ac:dyDescent="0.25">
      <c r="A16031" s="3"/>
      <c r="B16031" s="3"/>
      <c r="C16031" s="3"/>
      <c r="D16031" s="3"/>
      <c r="E16031" s="3"/>
      <c r="F16031" s="3"/>
      <c r="G16031" s="3"/>
      <c r="H16031" s="11"/>
      <c r="I16031" s="12"/>
      <c r="J16031" s="3"/>
      <c r="K16031" s="3"/>
      <c r="L16031" s="3"/>
      <c r="M16031" s="3"/>
      <c r="N16031" s="3"/>
      <c r="O16031" s="3"/>
      <c r="P16031" s="3"/>
      <c r="Q16031" s="3"/>
      <c r="R16031" s="3"/>
      <c r="S16031" s="3"/>
      <c r="T16031" s="3"/>
      <c r="U16031" s="3"/>
      <c r="V16031" s="3"/>
      <c r="W16031" s="3"/>
      <c r="X16031" s="3"/>
      <c r="Y16031" s="3"/>
      <c r="Z16031" s="3"/>
      <c r="AA16031" s="3"/>
      <c r="AB16031" s="3"/>
      <c r="AC16031" s="3"/>
      <c r="AD16031" s="3"/>
      <c r="AE16031" s="3"/>
      <c r="AF16031" s="3"/>
      <c r="AG16031" s="3"/>
      <c r="AH16031" s="3"/>
    </row>
    <row r="16032" spans="1:34" ht="14.25" customHeight="1" x14ac:dyDescent="0.25">
      <c r="A16032" s="3"/>
      <c r="B16032" s="3"/>
      <c r="C16032" s="3"/>
      <c r="D16032" s="3"/>
      <c r="E16032" s="3"/>
      <c r="F16032" s="3"/>
      <c r="G16032" s="3"/>
      <c r="H16032" s="11"/>
      <c r="I16032" s="12"/>
      <c r="J16032" s="3"/>
      <c r="K16032" s="3"/>
      <c r="L16032" s="3"/>
      <c r="M16032" s="3"/>
      <c r="N16032" s="3"/>
      <c r="O16032" s="3"/>
      <c r="P16032" s="3"/>
      <c r="Q16032" s="3"/>
      <c r="R16032" s="3"/>
      <c r="S16032" s="3"/>
      <c r="T16032" s="3"/>
      <c r="U16032" s="3"/>
      <c r="V16032" s="3"/>
      <c r="W16032" s="3"/>
      <c r="X16032" s="3"/>
      <c r="Y16032" s="3"/>
      <c r="Z16032" s="3"/>
      <c r="AA16032" s="3"/>
      <c r="AB16032" s="3"/>
      <c r="AC16032" s="3"/>
      <c r="AD16032" s="3"/>
      <c r="AE16032" s="3"/>
      <c r="AF16032" s="3"/>
      <c r="AG16032" s="3"/>
      <c r="AH16032" s="3"/>
    </row>
    <row r="16033" spans="1:34" ht="14.25" customHeight="1" x14ac:dyDescent="0.25">
      <c r="A16033" s="3"/>
      <c r="B16033" s="3"/>
      <c r="C16033" s="3"/>
      <c r="D16033" s="3"/>
      <c r="E16033" s="3"/>
      <c r="F16033" s="3"/>
      <c r="G16033" s="3"/>
      <c r="H16033" s="11"/>
      <c r="I16033" s="12"/>
      <c r="J16033" s="3"/>
      <c r="K16033" s="3"/>
      <c r="L16033" s="3"/>
      <c r="M16033" s="3"/>
      <c r="N16033" s="3"/>
      <c r="O16033" s="3"/>
      <c r="P16033" s="3"/>
      <c r="Q16033" s="3"/>
      <c r="R16033" s="3"/>
      <c r="S16033" s="3"/>
      <c r="T16033" s="3"/>
      <c r="U16033" s="3"/>
      <c r="V16033" s="3"/>
      <c r="W16033" s="3"/>
      <c r="X16033" s="3"/>
      <c r="Y16033" s="3"/>
      <c r="Z16033" s="3"/>
      <c r="AA16033" s="3"/>
      <c r="AB16033" s="3"/>
      <c r="AC16033" s="3"/>
      <c r="AD16033" s="3"/>
      <c r="AE16033" s="3"/>
      <c r="AF16033" s="3"/>
      <c r="AG16033" s="3"/>
      <c r="AH16033" s="3"/>
    </row>
    <row r="16034" spans="1:34" ht="14.25" customHeight="1" x14ac:dyDescent="0.25">
      <c r="A16034" s="3"/>
      <c r="B16034" s="3"/>
      <c r="C16034" s="3"/>
      <c r="D16034" s="3"/>
      <c r="E16034" s="3"/>
      <c r="F16034" s="3"/>
      <c r="G16034" s="3"/>
      <c r="H16034" s="11"/>
      <c r="I16034" s="12"/>
      <c r="J16034" s="3"/>
      <c r="K16034" s="3"/>
      <c r="L16034" s="3"/>
      <c r="M16034" s="3"/>
      <c r="N16034" s="3"/>
      <c r="O16034" s="3"/>
      <c r="P16034" s="3"/>
      <c r="Q16034" s="3"/>
      <c r="R16034" s="3"/>
      <c r="S16034" s="3"/>
      <c r="T16034" s="3"/>
      <c r="U16034" s="3"/>
      <c r="V16034" s="3"/>
      <c r="W16034" s="3"/>
      <c r="X16034" s="3"/>
      <c r="Y16034" s="3"/>
      <c r="Z16034" s="3"/>
      <c r="AA16034" s="3"/>
      <c r="AB16034" s="3"/>
      <c r="AC16034" s="3"/>
      <c r="AD16034" s="3"/>
      <c r="AE16034" s="3"/>
      <c r="AF16034" s="3"/>
      <c r="AG16034" s="3"/>
      <c r="AH16034" s="3"/>
    </row>
    <row r="16035" spans="1:34" ht="14.25" customHeight="1" x14ac:dyDescent="0.25">
      <c r="A16035" s="3"/>
      <c r="B16035" s="3"/>
      <c r="C16035" s="3"/>
      <c r="D16035" s="3"/>
      <c r="E16035" s="3"/>
      <c r="F16035" s="3"/>
      <c r="G16035" s="3"/>
      <c r="H16035" s="11"/>
      <c r="I16035" s="12"/>
      <c r="J16035" s="3"/>
      <c r="K16035" s="3"/>
      <c r="L16035" s="3"/>
      <c r="M16035" s="3"/>
      <c r="N16035" s="3"/>
      <c r="O16035" s="3"/>
      <c r="P16035" s="3"/>
      <c r="Q16035" s="3"/>
      <c r="R16035" s="3"/>
      <c r="S16035" s="3"/>
      <c r="T16035" s="3"/>
      <c r="U16035" s="3"/>
      <c r="V16035" s="3"/>
      <c r="W16035" s="3"/>
      <c r="X16035" s="3"/>
      <c r="Y16035" s="3"/>
      <c r="Z16035" s="3"/>
      <c r="AA16035" s="3"/>
      <c r="AB16035" s="3"/>
      <c r="AC16035" s="3"/>
      <c r="AD16035" s="3"/>
      <c r="AE16035" s="3"/>
      <c r="AF16035" s="3"/>
      <c r="AG16035" s="3"/>
      <c r="AH16035" s="3"/>
    </row>
    <row r="16036" spans="1:34" ht="14.25" customHeight="1" x14ac:dyDescent="0.25">
      <c r="A16036" s="3"/>
      <c r="B16036" s="3"/>
      <c r="C16036" s="3"/>
      <c r="D16036" s="3"/>
      <c r="E16036" s="3"/>
      <c r="F16036" s="3"/>
      <c r="G16036" s="3"/>
      <c r="H16036" s="11"/>
      <c r="I16036" s="12"/>
      <c r="J16036" s="3"/>
      <c r="K16036" s="3"/>
      <c r="L16036" s="3"/>
      <c r="M16036" s="3"/>
      <c r="N16036" s="3"/>
      <c r="O16036" s="3"/>
      <c r="P16036" s="3"/>
      <c r="Q16036" s="3"/>
      <c r="R16036" s="3"/>
      <c r="S16036" s="3"/>
      <c r="T16036" s="3"/>
      <c r="U16036" s="3"/>
      <c r="V16036" s="3"/>
      <c r="W16036" s="3"/>
      <c r="X16036" s="3"/>
      <c r="Y16036" s="3"/>
      <c r="Z16036" s="3"/>
      <c r="AA16036" s="3"/>
      <c r="AB16036" s="3"/>
      <c r="AC16036" s="3"/>
      <c r="AD16036" s="3"/>
      <c r="AE16036" s="3"/>
      <c r="AF16036" s="3"/>
      <c r="AG16036" s="3"/>
      <c r="AH16036" s="3"/>
    </row>
    <row r="16037" spans="1:34" ht="14.25" customHeight="1" x14ac:dyDescent="0.25">
      <c r="A16037" s="3"/>
      <c r="B16037" s="3"/>
      <c r="C16037" s="3"/>
      <c r="D16037" s="3"/>
      <c r="E16037" s="3"/>
      <c r="F16037" s="3"/>
      <c r="G16037" s="3"/>
      <c r="H16037" s="11"/>
      <c r="I16037" s="12"/>
      <c r="J16037" s="3"/>
      <c r="K16037" s="3"/>
      <c r="L16037" s="3"/>
      <c r="M16037" s="3"/>
      <c r="N16037" s="3"/>
      <c r="O16037" s="3"/>
      <c r="P16037" s="3"/>
      <c r="Q16037" s="3"/>
      <c r="R16037" s="3"/>
      <c r="S16037" s="3"/>
      <c r="T16037" s="3"/>
      <c r="U16037" s="3"/>
      <c r="V16037" s="3"/>
      <c r="W16037" s="3"/>
      <c r="X16037" s="3"/>
      <c r="Y16037" s="3"/>
      <c r="Z16037" s="3"/>
      <c r="AA16037" s="3"/>
      <c r="AB16037" s="3"/>
      <c r="AC16037" s="3"/>
      <c r="AD16037" s="3"/>
      <c r="AE16037" s="3"/>
      <c r="AF16037" s="3"/>
      <c r="AG16037" s="3"/>
      <c r="AH16037" s="3"/>
    </row>
    <row r="16038" spans="1:34" ht="14.25" customHeight="1" x14ac:dyDescent="0.25">
      <c r="A16038" s="3"/>
      <c r="B16038" s="3"/>
      <c r="C16038" s="3"/>
      <c r="D16038" s="3"/>
      <c r="E16038" s="3"/>
      <c r="F16038" s="3"/>
      <c r="G16038" s="3"/>
      <c r="H16038" s="11"/>
      <c r="I16038" s="12"/>
      <c r="J16038" s="3"/>
      <c r="K16038" s="3"/>
      <c r="L16038" s="3"/>
      <c r="M16038" s="3"/>
      <c r="N16038" s="3"/>
      <c r="O16038" s="3"/>
      <c r="P16038" s="3"/>
      <c r="Q16038" s="3"/>
      <c r="R16038" s="3"/>
      <c r="S16038" s="3"/>
      <c r="T16038" s="3"/>
      <c r="U16038" s="3"/>
      <c r="V16038" s="3"/>
      <c r="W16038" s="3"/>
      <c r="X16038" s="3"/>
      <c r="Y16038" s="3"/>
      <c r="Z16038" s="3"/>
      <c r="AA16038" s="3"/>
      <c r="AB16038" s="3"/>
      <c r="AC16038" s="3"/>
      <c r="AD16038" s="3"/>
      <c r="AE16038" s="3"/>
      <c r="AF16038" s="3"/>
      <c r="AG16038" s="3"/>
      <c r="AH16038" s="3"/>
    </row>
    <row r="16039" spans="1:34" ht="14.25" customHeight="1" x14ac:dyDescent="0.25">
      <c r="A16039" s="3"/>
      <c r="B16039" s="3"/>
      <c r="C16039" s="3"/>
      <c r="D16039" s="3"/>
      <c r="E16039" s="3"/>
      <c r="F16039" s="3"/>
      <c r="G16039" s="3"/>
      <c r="H16039" s="11"/>
      <c r="I16039" s="12"/>
      <c r="J16039" s="3"/>
      <c r="K16039" s="3"/>
      <c r="L16039" s="3"/>
      <c r="M16039" s="3"/>
      <c r="N16039" s="3"/>
      <c r="O16039" s="3"/>
      <c r="P16039" s="3"/>
      <c r="Q16039" s="3"/>
      <c r="R16039" s="3"/>
      <c r="S16039" s="3"/>
      <c r="T16039" s="3"/>
      <c r="U16039" s="3"/>
      <c r="V16039" s="3"/>
      <c r="W16039" s="3"/>
      <c r="X16039" s="3"/>
      <c r="Y16039" s="3"/>
      <c r="Z16039" s="3"/>
      <c r="AA16039" s="3"/>
      <c r="AB16039" s="3"/>
      <c r="AC16039" s="3"/>
      <c r="AD16039" s="3"/>
      <c r="AE16039" s="3"/>
      <c r="AF16039" s="3"/>
      <c r="AG16039" s="3"/>
      <c r="AH16039" s="3"/>
    </row>
    <row r="16040" spans="1:34" ht="14.25" customHeight="1" x14ac:dyDescent="0.25">
      <c r="A16040" s="3"/>
      <c r="B16040" s="3"/>
      <c r="C16040" s="3"/>
      <c r="D16040" s="3"/>
      <c r="E16040" s="3"/>
      <c r="F16040" s="3"/>
      <c r="G16040" s="3"/>
      <c r="H16040" s="11"/>
      <c r="I16040" s="12"/>
      <c r="J16040" s="3"/>
      <c r="K16040" s="3"/>
      <c r="L16040" s="3"/>
      <c r="M16040" s="3"/>
      <c r="N16040" s="3"/>
      <c r="O16040" s="3"/>
      <c r="P16040" s="3"/>
      <c r="Q16040" s="3"/>
      <c r="R16040" s="3"/>
      <c r="S16040" s="3"/>
      <c r="T16040" s="3"/>
      <c r="U16040" s="3"/>
      <c r="V16040" s="3"/>
      <c r="W16040" s="3"/>
      <c r="X16040" s="3"/>
      <c r="Y16040" s="3"/>
      <c r="Z16040" s="3"/>
      <c r="AA16040" s="3"/>
      <c r="AB16040" s="3"/>
      <c r="AC16040" s="3"/>
      <c r="AD16040" s="3"/>
      <c r="AE16040" s="3"/>
      <c r="AF16040" s="3"/>
      <c r="AG16040" s="3"/>
      <c r="AH16040" s="3"/>
    </row>
    <row r="16041" spans="1:34" ht="14.25" customHeight="1" x14ac:dyDescent="0.25">
      <c r="A16041" s="3"/>
      <c r="B16041" s="3"/>
      <c r="C16041" s="3"/>
      <c r="D16041" s="3"/>
      <c r="E16041" s="3"/>
      <c r="F16041" s="3"/>
      <c r="G16041" s="3"/>
      <c r="H16041" s="11"/>
      <c r="I16041" s="12"/>
      <c r="J16041" s="3"/>
      <c r="K16041" s="3"/>
      <c r="L16041" s="3"/>
      <c r="M16041" s="3"/>
      <c r="N16041" s="3"/>
      <c r="O16041" s="3"/>
      <c r="P16041" s="3"/>
      <c r="Q16041" s="3"/>
      <c r="R16041" s="3"/>
      <c r="S16041" s="3"/>
      <c r="T16041" s="3"/>
      <c r="U16041" s="3"/>
      <c r="V16041" s="3"/>
      <c r="W16041" s="3"/>
      <c r="X16041" s="3"/>
      <c r="Y16041" s="3"/>
      <c r="Z16041" s="3"/>
      <c r="AA16041" s="3"/>
      <c r="AB16041" s="3"/>
      <c r="AC16041" s="3"/>
      <c r="AD16041" s="3"/>
      <c r="AE16041" s="3"/>
      <c r="AF16041" s="3"/>
      <c r="AG16041" s="3"/>
      <c r="AH16041" s="3"/>
    </row>
    <row r="16042" spans="1:34" ht="14.25" customHeight="1" x14ac:dyDescent="0.25">
      <c r="A16042" s="3"/>
      <c r="B16042" s="3"/>
      <c r="C16042" s="3"/>
      <c r="D16042" s="3"/>
      <c r="E16042" s="3"/>
      <c r="F16042" s="3"/>
      <c r="G16042" s="3"/>
      <c r="H16042" s="11"/>
      <c r="I16042" s="12"/>
      <c r="J16042" s="3"/>
      <c r="K16042" s="3"/>
      <c r="L16042" s="3"/>
      <c r="M16042" s="3"/>
      <c r="N16042" s="3"/>
      <c r="O16042" s="3"/>
      <c r="P16042" s="3"/>
      <c r="Q16042" s="3"/>
      <c r="R16042" s="3"/>
      <c r="S16042" s="3"/>
      <c r="T16042" s="3"/>
      <c r="U16042" s="3"/>
      <c r="V16042" s="3"/>
      <c r="W16042" s="3"/>
      <c r="X16042" s="3"/>
      <c r="Y16042" s="3"/>
      <c r="Z16042" s="3"/>
      <c r="AA16042" s="3"/>
      <c r="AB16042" s="3"/>
      <c r="AC16042" s="3"/>
      <c r="AD16042" s="3"/>
      <c r="AE16042" s="3"/>
      <c r="AF16042" s="3"/>
      <c r="AG16042" s="3"/>
      <c r="AH16042" s="3"/>
    </row>
    <row r="16043" spans="1:34" ht="14.25" customHeight="1" x14ac:dyDescent="0.25">
      <c r="A16043" s="3"/>
      <c r="B16043" s="3"/>
      <c r="C16043" s="3"/>
      <c r="D16043" s="3"/>
      <c r="E16043" s="3"/>
      <c r="F16043" s="3"/>
      <c r="G16043" s="3"/>
      <c r="H16043" s="11"/>
      <c r="I16043" s="12"/>
      <c r="J16043" s="3"/>
      <c r="K16043" s="3"/>
      <c r="L16043" s="3"/>
      <c r="M16043" s="3"/>
      <c r="N16043" s="3"/>
      <c r="O16043" s="3"/>
      <c r="P16043" s="3"/>
      <c r="Q16043" s="3"/>
      <c r="R16043" s="3"/>
      <c r="S16043" s="3"/>
      <c r="T16043" s="3"/>
      <c r="U16043" s="3"/>
      <c r="V16043" s="3"/>
      <c r="W16043" s="3"/>
      <c r="X16043" s="3"/>
      <c r="Y16043" s="3"/>
      <c r="Z16043" s="3"/>
      <c r="AA16043" s="3"/>
      <c r="AB16043" s="3"/>
      <c r="AC16043" s="3"/>
      <c r="AD16043" s="3"/>
      <c r="AE16043" s="3"/>
      <c r="AF16043" s="3"/>
      <c r="AG16043" s="3"/>
      <c r="AH16043" s="3"/>
    </row>
    <row r="16044" spans="1:34" ht="14.25" customHeight="1" x14ac:dyDescent="0.25">
      <c r="A16044" s="3"/>
      <c r="B16044" s="3"/>
      <c r="C16044" s="3"/>
      <c r="D16044" s="3"/>
      <c r="E16044" s="3"/>
      <c r="F16044" s="3"/>
      <c r="G16044" s="3"/>
      <c r="H16044" s="11"/>
      <c r="I16044" s="12"/>
      <c r="J16044" s="3"/>
      <c r="K16044" s="3"/>
      <c r="L16044" s="3"/>
      <c r="M16044" s="3"/>
      <c r="N16044" s="3"/>
      <c r="O16044" s="3"/>
      <c r="P16044" s="3"/>
      <c r="Q16044" s="3"/>
      <c r="R16044" s="3"/>
      <c r="S16044" s="3"/>
      <c r="T16044" s="3"/>
      <c r="U16044" s="3"/>
      <c r="V16044" s="3"/>
      <c r="W16044" s="3"/>
      <c r="X16044" s="3"/>
      <c r="Y16044" s="3"/>
      <c r="Z16044" s="3"/>
      <c r="AA16044" s="3"/>
      <c r="AB16044" s="3"/>
      <c r="AC16044" s="3"/>
      <c r="AD16044" s="3"/>
      <c r="AE16044" s="3"/>
      <c r="AF16044" s="3"/>
      <c r="AG16044" s="3"/>
      <c r="AH16044" s="3"/>
    </row>
    <row r="16045" spans="1:34" ht="14.25" customHeight="1" x14ac:dyDescent="0.25">
      <c r="A16045" s="3"/>
      <c r="B16045" s="3"/>
      <c r="C16045" s="3"/>
      <c r="D16045" s="3"/>
      <c r="E16045" s="3"/>
      <c r="F16045" s="3"/>
      <c r="G16045" s="3"/>
      <c r="H16045" s="11"/>
      <c r="I16045" s="12"/>
      <c r="J16045" s="3"/>
      <c r="K16045" s="3"/>
      <c r="L16045" s="3"/>
      <c r="M16045" s="3"/>
      <c r="N16045" s="3"/>
      <c r="O16045" s="3"/>
      <c r="P16045" s="3"/>
      <c r="Q16045" s="3"/>
      <c r="R16045" s="3"/>
      <c r="S16045" s="3"/>
      <c r="T16045" s="3"/>
      <c r="U16045" s="3"/>
      <c r="V16045" s="3"/>
      <c r="W16045" s="3"/>
      <c r="X16045" s="3"/>
      <c r="Y16045" s="3"/>
      <c r="Z16045" s="3"/>
      <c r="AA16045" s="3"/>
      <c r="AB16045" s="3"/>
      <c r="AC16045" s="3"/>
      <c r="AD16045" s="3"/>
      <c r="AE16045" s="3"/>
      <c r="AF16045" s="3"/>
      <c r="AG16045" s="3"/>
      <c r="AH16045" s="3"/>
    </row>
    <row r="16046" spans="1:34" ht="14.25" customHeight="1" x14ac:dyDescent="0.25">
      <c r="A16046" s="3"/>
      <c r="B16046" s="3"/>
      <c r="C16046" s="3"/>
      <c r="D16046" s="3"/>
      <c r="E16046" s="3"/>
      <c r="F16046" s="3"/>
      <c r="G16046" s="3"/>
      <c r="H16046" s="11"/>
      <c r="I16046" s="12"/>
      <c r="J16046" s="3"/>
      <c r="K16046" s="3"/>
      <c r="L16046" s="3"/>
      <c r="M16046" s="3"/>
      <c r="N16046" s="3"/>
      <c r="O16046" s="3"/>
      <c r="P16046" s="3"/>
      <c r="Q16046" s="3"/>
      <c r="R16046" s="3"/>
      <c r="S16046" s="3"/>
      <c r="T16046" s="3"/>
      <c r="U16046" s="3"/>
      <c r="V16046" s="3"/>
      <c r="W16046" s="3"/>
      <c r="X16046" s="3"/>
      <c r="Y16046" s="3"/>
      <c r="Z16046" s="3"/>
      <c r="AA16046" s="3"/>
      <c r="AB16046" s="3"/>
      <c r="AC16046" s="3"/>
      <c r="AD16046" s="3"/>
      <c r="AE16046" s="3"/>
      <c r="AF16046" s="3"/>
      <c r="AG16046" s="3"/>
      <c r="AH16046" s="3"/>
    </row>
    <row r="16047" spans="1:34" ht="14.25" customHeight="1" x14ac:dyDescent="0.25">
      <c r="A16047" s="3"/>
      <c r="B16047" s="3"/>
      <c r="C16047" s="3"/>
      <c r="D16047" s="3"/>
      <c r="E16047" s="3"/>
      <c r="F16047" s="3"/>
      <c r="G16047" s="3"/>
      <c r="H16047" s="11"/>
      <c r="I16047" s="12"/>
      <c r="J16047" s="3"/>
      <c r="K16047" s="3"/>
      <c r="L16047" s="3"/>
      <c r="M16047" s="3"/>
      <c r="N16047" s="3"/>
      <c r="O16047" s="3"/>
      <c r="P16047" s="3"/>
      <c r="Q16047" s="3"/>
      <c r="R16047" s="3"/>
      <c r="S16047" s="3"/>
      <c r="T16047" s="3"/>
      <c r="U16047" s="3"/>
      <c r="V16047" s="3"/>
      <c r="W16047" s="3"/>
      <c r="X16047" s="3"/>
      <c r="Y16047" s="3"/>
      <c r="Z16047" s="3"/>
      <c r="AA16047" s="3"/>
      <c r="AB16047" s="3"/>
      <c r="AC16047" s="3"/>
      <c r="AD16047" s="3"/>
      <c r="AE16047" s="3"/>
      <c r="AF16047" s="3"/>
      <c r="AG16047" s="3"/>
      <c r="AH16047" s="3"/>
    </row>
    <row r="16048" spans="1:34" ht="14.25" customHeight="1" x14ac:dyDescent="0.25">
      <c r="A16048" s="3"/>
      <c r="B16048" s="3"/>
      <c r="C16048" s="3"/>
      <c r="D16048" s="3"/>
      <c r="E16048" s="3"/>
      <c r="F16048" s="3"/>
      <c r="G16048" s="3"/>
      <c r="H16048" s="11"/>
      <c r="I16048" s="12"/>
      <c r="J16048" s="3"/>
      <c r="K16048" s="3"/>
      <c r="L16048" s="3"/>
      <c r="M16048" s="3"/>
      <c r="N16048" s="3"/>
      <c r="O16048" s="3"/>
      <c r="P16048" s="3"/>
      <c r="Q16048" s="3"/>
      <c r="R16048" s="3"/>
      <c r="S16048" s="3"/>
      <c r="T16048" s="3"/>
      <c r="U16048" s="3"/>
      <c r="V16048" s="3"/>
      <c r="W16048" s="3"/>
      <c r="X16048" s="3"/>
      <c r="Y16048" s="3"/>
      <c r="Z16048" s="3"/>
      <c r="AA16048" s="3"/>
      <c r="AB16048" s="3"/>
      <c r="AC16048" s="3"/>
      <c r="AD16048" s="3"/>
      <c r="AE16048" s="3"/>
      <c r="AF16048" s="3"/>
      <c r="AG16048" s="3"/>
      <c r="AH16048" s="3"/>
    </row>
    <row r="16049" spans="1:34" ht="14.25" customHeight="1" x14ac:dyDescent="0.25">
      <c r="A16049" s="3"/>
      <c r="B16049" s="3"/>
      <c r="C16049" s="3"/>
      <c r="D16049" s="3"/>
      <c r="E16049" s="3"/>
      <c r="F16049" s="3"/>
      <c r="G16049" s="3"/>
      <c r="H16049" s="11"/>
      <c r="I16049" s="12"/>
      <c r="J16049" s="3"/>
      <c r="K16049" s="3"/>
      <c r="L16049" s="3"/>
      <c r="M16049" s="3"/>
      <c r="N16049" s="3"/>
      <c r="O16049" s="3"/>
      <c r="P16049" s="3"/>
      <c r="Q16049" s="3"/>
      <c r="R16049" s="3"/>
      <c r="S16049" s="3"/>
      <c r="T16049" s="3"/>
      <c r="U16049" s="3"/>
      <c r="V16049" s="3"/>
      <c r="W16049" s="3"/>
      <c r="X16049" s="3"/>
      <c r="Y16049" s="3"/>
      <c r="Z16049" s="3"/>
      <c r="AA16049" s="3"/>
      <c r="AB16049" s="3"/>
      <c r="AC16049" s="3"/>
      <c r="AD16049" s="3"/>
      <c r="AE16049" s="3"/>
      <c r="AF16049" s="3"/>
      <c r="AG16049" s="3"/>
      <c r="AH16049" s="3"/>
    </row>
    <row r="16050" spans="1:34" ht="14.25" customHeight="1" x14ac:dyDescent="0.25">
      <c r="A16050" s="3"/>
      <c r="B16050" s="3"/>
      <c r="C16050" s="3"/>
      <c r="D16050" s="3"/>
      <c r="E16050" s="3"/>
      <c r="F16050" s="3"/>
      <c r="G16050" s="3"/>
      <c r="H16050" s="11"/>
      <c r="I16050" s="12"/>
      <c r="J16050" s="3"/>
      <c r="K16050" s="3"/>
      <c r="L16050" s="3"/>
      <c r="M16050" s="3"/>
      <c r="N16050" s="3"/>
      <c r="O16050" s="3"/>
      <c r="P16050" s="3"/>
      <c r="Q16050" s="3"/>
      <c r="R16050" s="3"/>
      <c r="S16050" s="3"/>
      <c r="T16050" s="3"/>
      <c r="U16050" s="3"/>
      <c r="V16050" s="3"/>
      <c r="W16050" s="3"/>
      <c r="X16050" s="3"/>
      <c r="Y16050" s="3"/>
      <c r="Z16050" s="3"/>
      <c r="AA16050" s="3"/>
      <c r="AB16050" s="3"/>
      <c r="AC16050" s="3"/>
      <c r="AD16050" s="3"/>
      <c r="AE16050" s="3"/>
      <c r="AF16050" s="3"/>
      <c r="AG16050" s="3"/>
      <c r="AH16050" s="3"/>
    </row>
    <row r="16051" spans="1:34" ht="14.25" customHeight="1" x14ac:dyDescent="0.25">
      <c r="A16051" s="3"/>
      <c r="B16051" s="3"/>
      <c r="C16051" s="3"/>
      <c r="D16051" s="3"/>
      <c r="E16051" s="3"/>
      <c r="F16051" s="3"/>
      <c r="G16051" s="3"/>
      <c r="H16051" s="11"/>
      <c r="I16051" s="12"/>
      <c r="J16051" s="3"/>
      <c r="K16051" s="3"/>
      <c r="L16051" s="3"/>
      <c r="M16051" s="3"/>
      <c r="N16051" s="3"/>
      <c r="O16051" s="3"/>
      <c r="P16051" s="3"/>
      <c r="Q16051" s="3"/>
      <c r="R16051" s="3"/>
      <c r="S16051" s="3"/>
      <c r="T16051" s="3"/>
      <c r="U16051" s="3"/>
      <c r="V16051" s="3"/>
      <c r="W16051" s="3"/>
      <c r="X16051" s="3"/>
      <c r="Y16051" s="3"/>
      <c r="Z16051" s="3"/>
      <c r="AA16051" s="3"/>
      <c r="AB16051" s="3"/>
      <c r="AC16051" s="3"/>
      <c r="AD16051" s="3"/>
      <c r="AE16051" s="3"/>
      <c r="AF16051" s="3"/>
      <c r="AG16051" s="3"/>
      <c r="AH16051" s="3"/>
    </row>
    <row r="16052" spans="1:34" ht="14.25" customHeight="1" x14ac:dyDescent="0.25">
      <c r="A16052" s="3"/>
      <c r="B16052" s="3"/>
      <c r="C16052" s="3"/>
      <c r="D16052" s="3"/>
      <c r="E16052" s="3"/>
      <c r="F16052" s="3"/>
      <c r="G16052" s="3"/>
      <c r="H16052" s="11"/>
      <c r="I16052" s="12"/>
      <c r="J16052" s="3"/>
      <c r="K16052" s="3"/>
      <c r="L16052" s="3"/>
      <c r="M16052" s="3"/>
      <c r="N16052" s="3"/>
      <c r="O16052" s="3"/>
      <c r="P16052" s="3"/>
      <c r="Q16052" s="3"/>
      <c r="R16052" s="3"/>
      <c r="S16052" s="3"/>
      <c r="T16052" s="3"/>
      <c r="U16052" s="3"/>
      <c r="V16052" s="3"/>
      <c r="W16052" s="3"/>
      <c r="X16052" s="3"/>
      <c r="Y16052" s="3"/>
      <c r="Z16052" s="3"/>
      <c r="AA16052" s="3"/>
      <c r="AB16052" s="3"/>
      <c r="AC16052" s="3"/>
      <c r="AD16052" s="3"/>
      <c r="AE16052" s="3"/>
      <c r="AF16052" s="3"/>
      <c r="AG16052" s="3"/>
      <c r="AH16052" s="3"/>
    </row>
    <row r="16053" spans="1:34" ht="14.25" customHeight="1" x14ac:dyDescent="0.25">
      <c r="A16053" s="3"/>
      <c r="B16053" s="3"/>
      <c r="C16053" s="3"/>
      <c r="D16053" s="3"/>
      <c r="E16053" s="3"/>
      <c r="F16053" s="3"/>
      <c r="G16053" s="3"/>
      <c r="H16053" s="11"/>
      <c r="I16053" s="12"/>
      <c r="J16053" s="3"/>
      <c r="K16053" s="3"/>
      <c r="L16053" s="3"/>
      <c r="M16053" s="3"/>
      <c r="N16053" s="3"/>
      <c r="O16053" s="3"/>
      <c r="P16053" s="3"/>
      <c r="Q16053" s="3"/>
      <c r="R16053" s="3"/>
      <c r="S16053" s="3"/>
      <c r="T16053" s="3"/>
      <c r="U16053" s="3"/>
      <c r="V16053" s="3"/>
      <c r="W16053" s="3"/>
      <c r="X16053" s="3"/>
      <c r="Y16053" s="3"/>
      <c r="Z16053" s="3"/>
      <c r="AA16053" s="3"/>
      <c r="AB16053" s="3"/>
      <c r="AC16053" s="3"/>
      <c r="AD16053" s="3"/>
      <c r="AE16053" s="3"/>
      <c r="AF16053" s="3"/>
      <c r="AG16053" s="3"/>
      <c r="AH16053" s="3"/>
    </row>
    <row r="16054" spans="1:34" ht="14.25" customHeight="1" x14ac:dyDescent="0.25">
      <c r="A16054" s="3"/>
      <c r="B16054" s="3"/>
      <c r="C16054" s="3"/>
      <c r="D16054" s="3"/>
      <c r="E16054" s="3"/>
      <c r="F16054" s="3"/>
      <c r="G16054" s="3"/>
      <c r="H16054" s="11"/>
      <c r="I16054" s="12"/>
      <c r="J16054" s="3"/>
      <c r="K16054" s="3"/>
      <c r="L16054" s="3"/>
      <c r="M16054" s="3"/>
      <c r="N16054" s="3"/>
      <c r="O16054" s="3"/>
      <c r="P16054" s="3"/>
      <c r="Q16054" s="3"/>
      <c r="R16054" s="3"/>
      <c r="S16054" s="3"/>
      <c r="T16054" s="3"/>
      <c r="U16054" s="3"/>
      <c r="V16054" s="3"/>
      <c r="W16054" s="3"/>
      <c r="X16054" s="3"/>
      <c r="Y16054" s="3"/>
      <c r="Z16054" s="3"/>
      <c r="AA16054" s="3"/>
      <c r="AB16054" s="3"/>
      <c r="AC16054" s="3"/>
      <c r="AD16054" s="3"/>
      <c r="AE16054" s="3"/>
      <c r="AF16054" s="3"/>
      <c r="AG16054" s="3"/>
      <c r="AH16054" s="3"/>
    </row>
    <row r="16055" spans="1:34" ht="14.25" customHeight="1" x14ac:dyDescent="0.25">
      <c r="A16055" s="3"/>
      <c r="B16055" s="3"/>
      <c r="C16055" s="3"/>
      <c r="D16055" s="3"/>
      <c r="E16055" s="3"/>
      <c r="F16055" s="3"/>
      <c r="G16055" s="3"/>
      <c r="H16055" s="11"/>
      <c r="I16055" s="12"/>
      <c r="J16055" s="3"/>
      <c r="K16055" s="3"/>
      <c r="L16055" s="3"/>
      <c r="M16055" s="3"/>
      <c r="N16055" s="3"/>
      <c r="O16055" s="3"/>
      <c r="P16055" s="3"/>
      <c r="Q16055" s="3"/>
      <c r="R16055" s="3"/>
      <c r="S16055" s="3"/>
      <c r="T16055" s="3"/>
      <c r="U16055" s="3"/>
      <c r="V16055" s="3"/>
      <c r="W16055" s="3"/>
      <c r="X16055" s="3"/>
      <c r="Y16055" s="3"/>
      <c r="Z16055" s="3"/>
      <c r="AA16055" s="3"/>
      <c r="AB16055" s="3"/>
      <c r="AC16055" s="3"/>
      <c r="AD16055" s="3"/>
      <c r="AE16055" s="3"/>
      <c r="AF16055" s="3"/>
      <c r="AG16055" s="3"/>
      <c r="AH16055" s="3"/>
    </row>
    <row r="16056" spans="1:34" ht="14.25" customHeight="1" x14ac:dyDescent="0.25">
      <c r="A16056" s="3"/>
      <c r="B16056" s="3"/>
      <c r="C16056" s="3"/>
      <c r="D16056" s="3"/>
      <c r="E16056" s="3"/>
      <c r="F16056" s="3"/>
      <c r="G16056" s="3"/>
      <c r="H16056" s="11"/>
      <c r="I16056" s="12"/>
      <c r="J16056" s="3"/>
      <c r="K16056" s="3"/>
      <c r="L16056" s="3"/>
      <c r="M16056" s="3"/>
      <c r="N16056" s="3"/>
      <c r="O16056" s="3"/>
      <c r="P16056" s="3"/>
      <c r="Q16056" s="3"/>
      <c r="R16056" s="3"/>
      <c r="S16056" s="3"/>
      <c r="T16056" s="3"/>
      <c r="U16056" s="3"/>
      <c r="V16056" s="3"/>
      <c r="W16056" s="3"/>
      <c r="X16056" s="3"/>
      <c r="Y16056" s="3"/>
      <c r="Z16056" s="3"/>
      <c r="AA16056" s="3"/>
      <c r="AB16056" s="3"/>
      <c r="AC16056" s="3"/>
      <c r="AD16056" s="3"/>
      <c r="AE16056" s="3"/>
      <c r="AF16056" s="3"/>
      <c r="AG16056" s="3"/>
      <c r="AH16056" s="3"/>
    </row>
    <row r="16057" spans="1:34" ht="14.25" customHeight="1" x14ac:dyDescent="0.25">
      <c r="A16057" s="3"/>
      <c r="B16057" s="3"/>
      <c r="C16057" s="3"/>
      <c r="D16057" s="3"/>
      <c r="E16057" s="3"/>
      <c r="F16057" s="3"/>
      <c r="G16057" s="3"/>
      <c r="H16057" s="11"/>
      <c r="I16057" s="12"/>
      <c r="J16057" s="3"/>
      <c r="K16057" s="3"/>
      <c r="L16057" s="3"/>
      <c r="M16057" s="3"/>
      <c r="N16057" s="3"/>
      <c r="O16057" s="3"/>
      <c r="P16057" s="3"/>
      <c r="Q16057" s="3"/>
      <c r="R16057" s="3"/>
      <c r="S16057" s="3"/>
      <c r="T16057" s="3"/>
      <c r="U16057" s="3"/>
      <c r="V16057" s="3"/>
      <c r="W16057" s="3"/>
      <c r="X16057" s="3"/>
      <c r="Y16057" s="3"/>
      <c r="Z16057" s="3"/>
      <c r="AA16057" s="3"/>
      <c r="AB16057" s="3"/>
      <c r="AC16057" s="3"/>
      <c r="AD16057" s="3"/>
      <c r="AE16057" s="3"/>
      <c r="AF16057" s="3"/>
      <c r="AG16057" s="3"/>
      <c r="AH16057" s="3"/>
    </row>
    <row r="16058" spans="1:34" ht="14.25" customHeight="1" x14ac:dyDescent="0.25">
      <c r="A16058" s="3"/>
      <c r="B16058" s="3"/>
      <c r="C16058" s="3"/>
      <c r="D16058" s="3"/>
      <c r="E16058" s="3"/>
      <c r="F16058" s="3"/>
      <c r="G16058" s="3"/>
      <c r="H16058" s="11"/>
      <c r="I16058" s="12"/>
      <c r="J16058" s="3"/>
      <c r="K16058" s="3"/>
      <c r="L16058" s="3"/>
      <c r="M16058" s="3"/>
      <c r="N16058" s="3"/>
      <c r="O16058" s="3"/>
      <c r="P16058" s="3"/>
      <c r="Q16058" s="3"/>
      <c r="R16058" s="3"/>
      <c r="S16058" s="3"/>
      <c r="T16058" s="3"/>
      <c r="U16058" s="3"/>
      <c r="V16058" s="3"/>
      <c r="W16058" s="3"/>
      <c r="X16058" s="3"/>
      <c r="Y16058" s="3"/>
      <c r="Z16058" s="3"/>
      <c r="AA16058" s="3"/>
      <c r="AB16058" s="3"/>
      <c r="AC16058" s="3"/>
      <c r="AD16058" s="3"/>
      <c r="AE16058" s="3"/>
      <c r="AF16058" s="3"/>
      <c r="AG16058" s="3"/>
      <c r="AH16058" s="3"/>
    </row>
    <row r="16059" spans="1:34" ht="14.25" customHeight="1" x14ac:dyDescent="0.25">
      <c r="A16059" s="3"/>
      <c r="B16059" s="3"/>
      <c r="C16059" s="3"/>
      <c r="D16059" s="3"/>
      <c r="E16059" s="3"/>
      <c r="F16059" s="3"/>
      <c r="G16059" s="3"/>
      <c r="H16059" s="11"/>
      <c r="I16059" s="12"/>
      <c r="J16059" s="3"/>
      <c r="K16059" s="3"/>
      <c r="L16059" s="3"/>
      <c r="M16059" s="3"/>
      <c r="N16059" s="3"/>
      <c r="O16059" s="3"/>
      <c r="P16059" s="3"/>
      <c r="Q16059" s="3"/>
      <c r="R16059" s="3"/>
      <c r="S16059" s="3"/>
      <c r="T16059" s="3"/>
      <c r="U16059" s="3"/>
      <c r="V16059" s="3"/>
      <c r="W16059" s="3"/>
      <c r="X16059" s="3"/>
      <c r="Y16059" s="3"/>
      <c r="Z16059" s="3"/>
      <c r="AA16059" s="3"/>
      <c r="AB16059" s="3"/>
      <c r="AC16059" s="3"/>
      <c r="AD16059" s="3"/>
      <c r="AE16059" s="3"/>
      <c r="AF16059" s="3"/>
      <c r="AG16059" s="3"/>
      <c r="AH16059" s="3"/>
    </row>
    <row r="16060" spans="1:34" ht="14.25" customHeight="1" x14ac:dyDescent="0.25">
      <c r="A16060" s="3"/>
      <c r="B16060" s="3"/>
      <c r="C16060" s="3"/>
      <c r="D16060" s="3"/>
      <c r="E16060" s="3"/>
      <c r="F16060" s="3"/>
      <c r="G16060" s="3"/>
      <c r="H16060" s="11"/>
      <c r="I16060" s="12"/>
      <c r="J16060" s="3"/>
      <c r="K16060" s="3"/>
      <c r="L16060" s="3"/>
      <c r="M16060" s="3"/>
      <c r="N16060" s="3"/>
      <c r="O16060" s="3"/>
      <c r="P16060" s="3"/>
      <c r="Q16060" s="3"/>
      <c r="R16060" s="3"/>
      <c r="S16060" s="3"/>
      <c r="T16060" s="3"/>
      <c r="U16060" s="3"/>
      <c r="V16060" s="3"/>
      <c r="W16060" s="3"/>
      <c r="X16060" s="3"/>
      <c r="Y16060" s="3"/>
      <c r="Z16060" s="3"/>
      <c r="AA16060" s="3"/>
      <c r="AB16060" s="3"/>
      <c r="AC16060" s="3"/>
      <c r="AD16060" s="3"/>
      <c r="AE16060" s="3"/>
      <c r="AF16060" s="3"/>
      <c r="AG16060" s="3"/>
      <c r="AH16060" s="3"/>
    </row>
    <row r="16061" spans="1:34" ht="14.25" customHeight="1" x14ac:dyDescent="0.25">
      <c r="A16061" s="3"/>
      <c r="B16061" s="3"/>
      <c r="C16061" s="3"/>
      <c r="D16061" s="3"/>
      <c r="E16061" s="3"/>
      <c r="F16061" s="3"/>
      <c r="G16061" s="3"/>
      <c r="H16061" s="11"/>
      <c r="I16061" s="12"/>
      <c r="J16061" s="3"/>
      <c r="K16061" s="3"/>
      <c r="L16061" s="3"/>
      <c r="M16061" s="3"/>
      <c r="N16061" s="3"/>
      <c r="O16061" s="3"/>
      <c r="P16061" s="3"/>
      <c r="Q16061" s="3"/>
      <c r="R16061" s="3"/>
      <c r="S16061" s="3"/>
      <c r="T16061" s="3"/>
      <c r="U16061" s="3"/>
      <c r="V16061" s="3"/>
      <c r="W16061" s="3"/>
      <c r="X16061" s="3"/>
      <c r="Y16061" s="3"/>
      <c r="Z16061" s="3"/>
      <c r="AA16061" s="3"/>
      <c r="AB16061" s="3"/>
      <c r="AC16061" s="3"/>
      <c r="AD16061" s="3"/>
      <c r="AE16061" s="3"/>
      <c r="AF16061" s="3"/>
      <c r="AG16061" s="3"/>
      <c r="AH16061" s="3"/>
    </row>
    <row r="16062" spans="1:34" ht="14.25" customHeight="1" x14ac:dyDescent="0.25">
      <c r="A16062" s="3"/>
      <c r="B16062" s="3"/>
      <c r="C16062" s="3"/>
      <c r="D16062" s="3"/>
      <c r="E16062" s="3"/>
      <c r="F16062" s="3"/>
      <c r="G16062" s="3"/>
      <c r="H16062" s="11"/>
      <c r="I16062" s="12"/>
      <c r="J16062" s="3"/>
      <c r="K16062" s="3"/>
      <c r="L16062" s="3"/>
      <c r="M16062" s="3"/>
      <c r="N16062" s="3"/>
      <c r="O16062" s="3"/>
      <c r="P16062" s="3"/>
      <c r="Q16062" s="3"/>
      <c r="R16062" s="3"/>
      <c r="S16062" s="3"/>
      <c r="T16062" s="3"/>
      <c r="U16062" s="3"/>
      <c r="V16062" s="3"/>
      <c r="W16062" s="3"/>
      <c r="X16062" s="3"/>
      <c r="Y16062" s="3"/>
      <c r="Z16062" s="3"/>
      <c r="AA16062" s="3"/>
      <c r="AB16062" s="3"/>
      <c r="AC16062" s="3"/>
      <c r="AD16062" s="3"/>
      <c r="AE16062" s="3"/>
      <c r="AF16062" s="3"/>
      <c r="AG16062" s="3"/>
      <c r="AH16062" s="3"/>
    </row>
    <row r="16063" spans="1:34" ht="14.25" customHeight="1" x14ac:dyDescent="0.25">
      <c r="A16063" s="3"/>
      <c r="B16063" s="3"/>
      <c r="C16063" s="3"/>
      <c r="D16063" s="3"/>
      <c r="E16063" s="3"/>
      <c r="F16063" s="3"/>
      <c r="G16063" s="3"/>
      <c r="H16063" s="11"/>
      <c r="I16063" s="12"/>
      <c r="J16063" s="3"/>
      <c r="K16063" s="3"/>
      <c r="L16063" s="3"/>
      <c r="M16063" s="3"/>
      <c r="N16063" s="3"/>
      <c r="O16063" s="3"/>
      <c r="P16063" s="3"/>
      <c r="Q16063" s="3"/>
      <c r="R16063" s="3"/>
      <c r="S16063" s="3"/>
      <c r="T16063" s="3"/>
      <c r="U16063" s="3"/>
      <c r="V16063" s="3"/>
      <c r="W16063" s="3"/>
      <c r="X16063" s="3"/>
      <c r="Y16063" s="3"/>
      <c r="Z16063" s="3"/>
      <c r="AA16063" s="3"/>
      <c r="AB16063" s="3"/>
      <c r="AC16063" s="3"/>
      <c r="AD16063" s="3"/>
      <c r="AE16063" s="3"/>
      <c r="AF16063" s="3"/>
      <c r="AG16063" s="3"/>
      <c r="AH16063" s="3"/>
    </row>
    <row r="16064" spans="1:34" ht="14.25" customHeight="1" x14ac:dyDescent="0.25">
      <c r="A16064" s="3"/>
      <c r="B16064" s="3"/>
      <c r="C16064" s="3"/>
      <c r="D16064" s="3"/>
      <c r="E16064" s="3"/>
      <c r="F16064" s="3"/>
      <c r="G16064" s="3"/>
      <c r="H16064" s="11"/>
      <c r="I16064" s="12"/>
      <c r="J16064" s="3"/>
      <c r="K16064" s="3"/>
      <c r="L16064" s="3"/>
      <c r="M16064" s="3"/>
      <c r="N16064" s="3"/>
      <c r="O16064" s="3"/>
      <c r="P16064" s="3"/>
      <c r="Q16064" s="3"/>
      <c r="R16064" s="3"/>
      <c r="S16064" s="3"/>
      <c r="T16064" s="3"/>
      <c r="U16064" s="3"/>
      <c r="V16064" s="3"/>
      <c r="W16064" s="3"/>
      <c r="X16064" s="3"/>
      <c r="Y16064" s="3"/>
      <c r="Z16064" s="3"/>
      <c r="AA16064" s="3"/>
      <c r="AB16064" s="3"/>
      <c r="AC16064" s="3"/>
      <c r="AD16064" s="3"/>
      <c r="AE16064" s="3"/>
      <c r="AF16064" s="3"/>
      <c r="AG16064" s="3"/>
      <c r="AH16064" s="3"/>
    </row>
    <row r="16065" spans="1:34" ht="14.25" customHeight="1" x14ac:dyDescent="0.25">
      <c r="A16065" s="3"/>
      <c r="B16065" s="3"/>
      <c r="C16065" s="3"/>
      <c r="D16065" s="3"/>
      <c r="E16065" s="3"/>
      <c r="F16065" s="3"/>
      <c r="G16065" s="3"/>
      <c r="H16065" s="11"/>
      <c r="I16065" s="12"/>
      <c r="J16065" s="3"/>
      <c r="K16065" s="3"/>
      <c r="L16065" s="3"/>
      <c r="M16065" s="3"/>
      <c r="N16065" s="3"/>
      <c r="O16065" s="3"/>
      <c r="P16065" s="3"/>
      <c r="Q16065" s="3"/>
      <c r="R16065" s="3"/>
      <c r="S16065" s="3"/>
      <c r="T16065" s="3"/>
      <c r="U16065" s="3"/>
      <c r="V16065" s="3"/>
      <c r="W16065" s="3"/>
      <c r="X16065" s="3"/>
      <c r="Y16065" s="3"/>
      <c r="Z16065" s="3"/>
      <c r="AA16065" s="3"/>
      <c r="AB16065" s="3"/>
      <c r="AC16065" s="3"/>
      <c r="AD16065" s="3"/>
      <c r="AE16065" s="3"/>
      <c r="AF16065" s="3"/>
      <c r="AG16065" s="3"/>
      <c r="AH16065" s="3"/>
    </row>
    <row r="16066" spans="1:34" ht="14.25" customHeight="1" x14ac:dyDescent="0.25">
      <c r="A16066" s="3"/>
      <c r="B16066" s="3"/>
      <c r="C16066" s="3"/>
      <c r="D16066" s="3"/>
      <c r="E16066" s="3"/>
      <c r="F16066" s="3"/>
      <c r="G16066" s="3"/>
      <c r="H16066" s="11"/>
      <c r="I16066" s="12"/>
      <c r="J16066" s="3"/>
      <c r="K16066" s="3"/>
      <c r="L16066" s="3"/>
      <c r="M16066" s="3"/>
      <c r="N16066" s="3"/>
      <c r="O16066" s="3"/>
      <c r="P16066" s="3"/>
      <c r="Q16066" s="3"/>
      <c r="R16066" s="3"/>
      <c r="S16066" s="3"/>
      <c r="T16066" s="3"/>
      <c r="U16066" s="3"/>
      <c r="V16066" s="3"/>
      <c r="W16066" s="3"/>
      <c r="X16066" s="3"/>
      <c r="Y16066" s="3"/>
      <c r="Z16066" s="3"/>
      <c r="AA16066" s="3"/>
      <c r="AB16066" s="3"/>
      <c r="AC16066" s="3"/>
      <c r="AD16066" s="3"/>
      <c r="AE16066" s="3"/>
      <c r="AF16066" s="3"/>
      <c r="AG16066" s="3"/>
      <c r="AH16066" s="3"/>
    </row>
    <row r="16067" spans="1:34" ht="14.25" customHeight="1" x14ac:dyDescent="0.25">
      <c r="A16067" s="3"/>
      <c r="B16067" s="3"/>
      <c r="C16067" s="3"/>
      <c r="D16067" s="3"/>
      <c r="E16067" s="3"/>
      <c r="F16067" s="3"/>
      <c r="G16067" s="3"/>
      <c r="H16067" s="11"/>
      <c r="I16067" s="12"/>
      <c r="J16067" s="3"/>
      <c r="K16067" s="3"/>
      <c r="L16067" s="3"/>
      <c r="M16067" s="3"/>
      <c r="N16067" s="3"/>
      <c r="O16067" s="3"/>
      <c r="P16067" s="3"/>
      <c r="Q16067" s="3"/>
      <c r="R16067" s="3"/>
      <c r="S16067" s="3"/>
      <c r="T16067" s="3"/>
      <c r="U16067" s="3"/>
      <c r="V16067" s="3"/>
      <c r="W16067" s="3"/>
      <c r="X16067" s="3"/>
      <c r="Y16067" s="3"/>
      <c r="Z16067" s="3"/>
      <c r="AA16067" s="3"/>
      <c r="AB16067" s="3"/>
      <c r="AC16067" s="3"/>
      <c r="AD16067" s="3"/>
      <c r="AE16067" s="3"/>
      <c r="AF16067" s="3"/>
      <c r="AG16067" s="3"/>
      <c r="AH16067" s="3"/>
    </row>
    <row r="16068" spans="1:34" ht="14.25" customHeight="1" x14ac:dyDescent="0.25">
      <c r="A16068" s="3"/>
      <c r="B16068" s="3"/>
      <c r="C16068" s="3"/>
      <c r="D16068" s="3"/>
      <c r="E16068" s="3"/>
      <c r="F16068" s="3"/>
      <c r="G16068" s="3"/>
      <c r="H16068" s="11"/>
      <c r="I16068" s="12"/>
      <c r="J16068" s="3"/>
      <c r="K16068" s="3"/>
      <c r="L16068" s="3"/>
      <c r="M16068" s="3"/>
      <c r="N16068" s="3"/>
      <c r="O16068" s="3"/>
      <c r="P16068" s="3"/>
      <c r="Q16068" s="3"/>
      <c r="R16068" s="3"/>
      <c r="S16068" s="3"/>
      <c r="T16068" s="3"/>
      <c r="U16068" s="3"/>
      <c r="V16068" s="3"/>
      <c r="W16068" s="3"/>
      <c r="X16068" s="3"/>
      <c r="Y16068" s="3"/>
      <c r="Z16068" s="3"/>
      <c r="AA16068" s="3"/>
      <c r="AB16068" s="3"/>
      <c r="AC16068" s="3"/>
      <c r="AD16068" s="3"/>
      <c r="AE16068" s="3"/>
      <c r="AF16068" s="3"/>
      <c r="AG16068" s="3"/>
      <c r="AH16068" s="3"/>
    </row>
    <row r="16069" spans="1:34" ht="14.25" customHeight="1" x14ac:dyDescent="0.25">
      <c r="A16069" s="3"/>
      <c r="B16069" s="3"/>
      <c r="C16069" s="3"/>
      <c r="D16069" s="3"/>
      <c r="E16069" s="3"/>
      <c r="F16069" s="3"/>
      <c r="G16069" s="3"/>
      <c r="H16069" s="11"/>
      <c r="I16069" s="12"/>
      <c r="J16069" s="3"/>
      <c r="K16069" s="3"/>
      <c r="L16069" s="3"/>
      <c r="M16069" s="3"/>
      <c r="N16069" s="3"/>
      <c r="O16069" s="3"/>
      <c r="P16069" s="3"/>
      <c r="Q16069" s="3"/>
      <c r="R16069" s="3"/>
      <c r="S16069" s="3"/>
      <c r="T16069" s="3"/>
      <c r="U16069" s="3"/>
      <c r="V16069" s="3"/>
      <c r="W16069" s="3"/>
      <c r="X16069" s="3"/>
      <c r="Y16069" s="3"/>
      <c r="Z16069" s="3"/>
      <c r="AA16069" s="3"/>
      <c r="AB16069" s="3"/>
      <c r="AC16069" s="3"/>
      <c r="AD16069" s="3"/>
      <c r="AE16069" s="3"/>
      <c r="AF16069" s="3"/>
      <c r="AG16069" s="3"/>
      <c r="AH16069" s="3"/>
    </row>
    <row r="16070" spans="1:34" ht="14.25" customHeight="1" x14ac:dyDescent="0.25">
      <c r="A16070" s="3"/>
      <c r="B16070" s="3"/>
      <c r="C16070" s="3"/>
      <c r="D16070" s="3"/>
      <c r="E16070" s="3"/>
      <c r="F16070" s="3"/>
      <c r="G16070" s="3"/>
      <c r="H16070" s="11"/>
      <c r="I16070" s="12"/>
      <c r="J16070" s="3"/>
      <c r="K16070" s="3"/>
      <c r="L16070" s="3"/>
      <c r="M16070" s="3"/>
      <c r="N16070" s="3"/>
      <c r="O16070" s="3"/>
      <c r="P16070" s="3"/>
      <c r="Q16070" s="3"/>
      <c r="R16070" s="3"/>
      <c r="S16070" s="3"/>
      <c r="T16070" s="3"/>
      <c r="U16070" s="3"/>
      <c r="V16070" s="3"/>
      <c r="W16070" s="3"/>
      <c r="X16070" s="3"/>
      <c r="Y16070" s="3"/>
      <c r="Z16070" s="3"/>
      <c r="AA16070" s="3"/>
      <c r="AB16070" s="3"/>
      <c r="AC16070" s="3"/>
      <c r="AD16070" s="3"/>
      <c r="AE16070" s="3"/>
      <c r="AF16070" s="3"/>
      <c r="AG16070" s="3"/>
      <c r="AH16070" s="3"/>
    </row>
    <row r="16071" spans="1:34" ht="14.25" customHeight="1" x14ac:dyDescent="0.25">
      <c r="A16071" s="3"/>
      <c r="B16071" s="3"/>
      <c r="C16071" s="3"/>
      <c r="D16071" s="3"/>
      <c r="E16071" s="3"/>
      <c r="F16071" s="3"/>
      <c r="G16071" s="3"/>
      <c r="H16071" s="11"/>
      <c r="I16071" s="12"/>
      <c r="J16071" s="3"/>
      <c r="K16071" s="3"/>
      <c r="L16071" s="3"/>
      <c r="M16071" s="3"/>
      <c r="N16071" s="3"/>
      <c r="O16071" s="3"/>
      <c r="P16071" s="3"/>
      <c r="Q16071" s="3"/>
      <c r="R16071" s="3"/>
      <c r="S16071" s="3"/>
      <c r="T16071" s="3"/>
      <c r="U16071" s="3"/>
      <c r="V16071" s="3"/>
      <c r="W16071" s="3"/>
      <c r="X16071" s="3"/>
      <c r="Y16071" s="3"/>
      <c r="Z16071" s="3"/>
      <c r="AA16071" s="3"/>
      <c r="AB16071" s="3"/>
      <c r="AC16071" s="3"/>
      <c r="AD16071" s="3"/>
      <c r="AE16071" s="3"/>
      <c r="AF16071" s="3"/>
      <c r="AG16071" s="3"/>
      <c r="AH16071" s="3"/>
    </row>
    <row r="16072" spans="1:34" ht="14.25" customHeight="1" x14ac:dyDescent="0.25">
      <c r="A16072" s="3"/>
      <c r="B16072" s="3"/>
      <c r="C16072" s="3"/>
      <c r="D16072" s="3"/>
      <c r="E16072" s="3"/>
      <c r="F16072" s="3"/>
      <c r="G16072" s="3"/>
      <c r="H16072" s="11"/>
      <c r="I16072" s="12"/>
      <c r="J16072" s="3"/>
      <c r="K16072" s="3"/>
      <c r="L16072" s="3"/>
      <c r="M16072" s="3"/>
      <c r="N16072" s="3"/>
      <c r="O16072" s="3"/>
      <c r="P16072" s="3"/>
      <c r="Q16072" s="3"/>
      <c r="R16072" s="3"/>
      <c r="S16072" s="3"/>
      <c r="T16072" s="3"/>
      <c r="U16072" s="3"/>
      <c r="V16072" s="3"/>
      <c r="W16072" s="3"/>
      <c r="X16072" s="3"/>
      <c r="Y16072" s="3"/>
      <c r="Z16072" s="3"/>
      <c r="AA16072" s="3"/>
      <c r="AB16072" s="3"/>
      <c r="AC16072" s="3"/>
      <c r="AD16072" s="3"/>
      <c r="AE16072" s="3"/>
      <c r="AF16072" s="3"/>
      <c r="AG16072" s="3"/>
      <c r="AH16072" s="3"/>
    </row>
    <row r="16073" spans="1:34" ht="14.25" customHeight="1" x14ac:dyDescent="0.25">
      <c r="A16073" s="3"/>
      <c r="B16073" s="3"/>
      <c r="C16073" s="3"/>
      <c r="D16073" s="3"/>
      <c r="E16073" s="3"/>
      <c r="F16073" s="3"/>
      <c r="G16073" s="3"/>
      <c r="H16073" s="11"/>
      <c r="I16073" s="12"/>
      <c r="J16073" s="3"/>
      <c r="K16073" s="3"/>
      <c r="L16073" s="3"/>
      <c r="M16073" s="3"/>
      <c r="N16073" s="3"/>
      <c r="O16073" s="3"/>
      <c r="P16073" s="3"/>
      <c r="Q16073" s="3"/>
      <c r="R16073" s="3"/>
      <c r="S16073" s="3"/>
      <c r="T16073" s="3"/>
      <c r="U16073" s="3"/>
      <c r="V16073" s="3"/>
      <c r="W16073" s="3"/>
      <c r="X16073" s="3"/>
      <c r="Y16073" s="3"/>
      <c r="Z16073" s="3"/>
      <c r="AA16073" s="3"/>
      <c r="AB16073" s="3"/>
      <c r="AC16073" s="3"/>
      <c r="AD16073" s="3"/>
      <c r="AE16073" s="3"/>
      <c r="AF16073" s="3"/>
      <c r="AG16073" s="3"/>
      <c r="AH16073" s="3"/>
    </row>
    <row r="16074" spans="1:34" ht="14.25" customHeight="1" x14ac:dyDescent="0.25">
      <c r="A16074" s="3"/>
      <c r="B16074" s="3"/>
      <c r="C16074" s="3"/>
      <c r="D16074" s="3"/>
      <c r="E16074" s="3"/>
      <c r="F16074" s="3"/>
      <c r="G16074" s="3"/>
      <c r="H16074" s="11"/>
      <c r="I16074" s="12"/>
      <c r="J16074" s="3"/>
      <c r="K16074" s="3"/>
      <c r="L16074" s="3"/>
      <c r="M16074" s="3"/>
      <c r="N16074" s="3"/>
      <c r="O16074" s="3"/>
      <c r="P16074" s="3"/>
      <c r="Q16074" s="3"/>
      <c r="R16074" s="3"/>
      <c r="S16074" s="3"/>
      <c r="T16074" s="3"/>
      <c r="U16074" s="3"/>
      <c r="V16074" s="3"/>
      <c r="W16074" s="3"/>
      <c r="X16074" s="3"/>
      <c r="Y16074" s="3"/>
      <c r="Z16074" s="3"/>
      <c r="AA16074" s="3"/>
      <c r="AB16074" s="3"/>
      <c r="AC16074" s="3"/>
      <c r="AD16074" s="3"/>
      <c r="AE16074" s="3"/>
      <c r="AF16074" s="3"/>
      <c r="AG16074" s="3"/>
      <c r="AH16074" s="3"/>
    </row>
    <row r="16075" spans="1:34" ht="14.25" customHeight="1" x14ac:dyDescent="0.25">
      <c r="A16075" s="3"/>
      <c r="B16075" s="3"/>
      <c r="C16075" s="3"/>
      <c r="D16075" s="3"/>
      <c r="E16075" s="3"/>
      <c r="F16075" s="3"/>
      <c r="G16075" s="3"/>
      <c r="H16075" s="11"/>
      <c r="I16075" s="12"/>
      <c r="J16075" s="3"/>
      <c r="K16075" s="3"/>
      <c r="L16075" s="3"/>
      <c r="M16075" s="3"/>
      <c r="N16075" s="3"/>
      <c r="O16075" s="3"/>
      <c r="P16075" s="3"/>
      <c r="Q16075" s="3"/>
      <c r="R16075" s="3"/>
      <c r="S16075" s="3"/>
      <c r="T16075" s="3"/>
      <c r="U16075" s="3"/>
      <c r="V16075" s="3"/>
      <c r="W16075" s="3"/>
      <c r="X16075" s="3"/>
      <c r="Y16075" s="3"/>
      <c r="Z16075" s="3"/>
      <c r="AA16075" s="3"/>
      <c r="AB16075" s="3"/>
      <c r="AC16075" s="3"/>
      <c r="AD16075" s="3"/>
      <c r="AE16075" s="3"/>
      <c r="AF16075" s="3"/>
      <c r="AG16075" s="3"/>
      <c r="AH16075" s="3"/>
    </row>
    <row r="16076" spans="1:34" ht="14.25" customHeight="1" x14ac:dyDescent="0.25">
      <c r="A16076" s="3"/>
      <c r="B16076" s="3"/>
      <c r="C16076" s="3"/>
      <c r="D16076" s="3"/>
      <c r="E16076" s="3"/>
      <c r="F16076" s="3"/>
      <c r="G16076" s="3"/>
      <c r="H16076" s="11"/>
      <c r="I16076" s="12"/>
      <c r="J16076" s="3"/>
      <c r="K16076" s="3"/>
      <c r="L16076" s="3"/>
      <c r="M16076" s="3"/>
      <c r="N16076" s="3"/>
      <c r="O16076" s="3"/>
      <c r="P16076" s="3"/>
      <c r="Q16076" s="3"/>
      <c r="R16076" s="3"/>
      <c r="S16076" s="3"/>
      <c r="T16076" s="3"/>
      <c r="U16076" s="3"/>
      <c r="V16076" s="3"/>
      <c r="W16076" s="3"/>
      <c r="X16076" s="3"/>
      <c r="Y16076" s="3"/>
      <c r="Z16076" s="3"/>
      <c r="AA16076" s="3"/>
      <c r="AB16076" s="3"/>
      <c r="AC16076" s="3"/>
      <c r="AD16076" s="3"/>
      <c r="AE16076" s="3"/>
      <c r="AF16076" s="3"/>
      <c r="AG16076" s="3"/>
      <c r="AH16076" s="3"/>
    </row>
    <row r="16077" spans="1:34" ht="14.25" customHeight="1" x14ac:dyDescent="0.25">
      <c r="A16077" s="3"/>
      <c r="B16077" s="3"/>
      <c r="C16077" s="3"/>
      <c r="D16077" s="3"/>
      <c r="E16077" s="3"/>
      <c r="F16077" s="3"/>
      <c r="G16077" s="3"/>
      <c r="H16077" s="11"/>
      <c r="I16077" s="12"/>
      <c r="J16077" s="3"/>
      <c r="K16077" s="3"/>
      <c r="L16077" s="3"/>
      <c r="M16077" s="3"/>
      <c r="N16077" s="3"/>
      <c r="O16077" s="3"/>
      <c r="P16077" s="3"/>
      <c r="Q16077" s="3"/>
      <c r="R16077" s="3"/>
      <c r="S16077" s="3"/>
      <c r="T16077" s="3"/>
      <c r="U16077" s="3"/>
      <c r="V16077" s="3"/>
      <c r="W16077" s="3"/>
      <c r="X16077" s="3"/>
      <c r="Y16077" s="3"/>
      <c r="Z16077" s="3"/>
      <c r="AA16077" s="3"/>
      <c r="AB16077" s="3"/>
      <c r="AC16077" s="3"/>
      <c r="AD16077" s="3"/>
      <c r="AE16077" s="3"/>
      <c r="AF16077" s="3"/>
      <c r="AG16077" s="3"/>
      <c r="AH16077" s="3"/>
    </row>
    <row r="16078" spans="1:34" ht="14.25" customHeight="1" x14ac:dyDescent="0.25">
      <c r="A16078" s="3"/>
      <c r="B16078" s="3"/>
      <c r="C16078" s="3"/>
      <c r="D16078" s="3"/>
      <c r="E16078" s="3"/>
      <c r="F16078" s="3"/>
      <c r="G16078" s="3"/>
      <c r="H16078" s="11"/>
      <c r="I16078" s="12"/>
      <c r="J16078" s="3"/>
      <c r="K16078" s="3"/>
      <c r="L16078" s="3"/>
      <c r="M16078" s="3"/>
      <c r="N16078" s="3"/>
      <c r="O16078" s="3"/>
      <c r="P16078" s="3"/>
      <c r="Q16078" s="3"/>
      <c r="R16078" s="3"/>
      <c r="S16078" s="3"/>
      <c r="T16078" s="3"/>
      <c r="U16078" s="3"/>
      <c r="V16078" s="3"/>
      <c r="W16078" s="3"/>
      <c r="X16078" s="3"/>
      <c r="Y16078" s="3"/>
      <c r="Z16078" s="3"/>
      <c r="AA16078" s="3"/>
      <c r="AB16078" s="3"/>
      <c r="AC16078" s="3"/>
      <c r="AD16078" s="3"/>
      <c r="AE16078" s="3"/>
      <c r="AF16078" s="3"/>
      <c r="AG16078" s="3"/>
      <c r="AH16078" s="3"/>
    </row>
    <row r="16079" spans="1:34" ht="14.25" customHeight="1" x14ac:dyDescent="0.25">
      <c r="A16079" s="3"/>
      <c r="B16079" s="3"/>
      <c r="C16079" s="3"/>
      <c r="D16079" s="3"/>
      <c r="E16079" s="3"/>
      <c r="F16079" s="3"/>
      <c r="G16079" s="3"/>
      <c r="H16079" s="11"/>
      <c r="I16079" s="12"/>
      <c r="J16079" s="3"/>
      <c r="K16079" s="3"/>
      <c r="L16079" s="3"/>
      <c r="M16079" s="3"/>
      <c r="N16079" s="3"/>
      <c r="O16079" s="3"/>
      <c r="P16079" s="3"/>
      <c r="Q16079" s="3"/>
      <c r="R16079" s="3"/>
      <c r="S16079" s="3"/>
      <c r="T16079" s="3"/>
      <c r="U16079" s="3"/>
      <c r="V16079" s="3"/>
      <c r="W16079" s="3"/>
      <c r="X16079" s="3"/>
      <c r="Y16079" s="3"/>
      <c r="Z16079" s="3"/>
      <c r="AA16079" s="3"/>
      <c r="AB16079" s="3"/>
      <c r="AC16079" s="3"/>
      <c r="AD16079" s="3"/>
      <c r="AE16079" s="3"/>
      <c r="AF16079" s="3"/>
      <c r="AG16079" s="3"/>
      <c r="AH16079" s="3"/>
    </row>
    <row r="16080" spans="1:34" ht="14.25" customHeight="1" x14ac:dyDescent="0.25">
      <c r="A16080" s="3"/>
      <c r="B16080" s="3"/>
      <c r="C16080" s="3"/>
      <c r="D16080" s="3"/>
      <c r="E16080" s="3"/>
      <c r="F16080" s="3"/>
      <c r="G16080" s="3"/>
      <c r="H16080" s="11"/>
      <c r="I16080" s="12"/>
      <c r="J16080" s="3"/>
      <c r="K16080" s="3"/>
      <c r="L16080" s="3"/>
      <c r="M16080" s="3"/>
      <c r="N16080" s="3"/>
      <c r="O16080" s="3"/>
      <c r="P16080" s="3"/>
      <c r="Q16080" s="3"/>
      <c r="R16080" s="3"/>
      <c r="S16080" s="3"/>
      <c r="T16080" s="3"/>
      <c r="U16080" s="3"/>
      <c r="V16080" s="3"/>
      <c r="W16080" s="3"/>
      <c r="X16080" s="3"/>
      <c r="Y16080" s="3"/>
      <c r="Z16080" s="3"/>
      <c r="AA16080" s="3"/>
      <c r="AB16080" s="3"/>
      <c r="AC16080" s="3"/>
      <c r="AD16080" s="3"/>
      <c r="AE16080" s="3"/>
      <c r="AF16080" s="3"/>
      <c r="AG16080" s="3"/>
      <c r="AH16080" s="3"/>
    </row>
    <row r="16081" spans="1:34" ht="14.25" customHeight="1" x14ac:dyDescent="0.25">
      <c r="A16081" s="3"/>
      <c r="B16081" s="3"/>
      <c r="C16081" s="3"/>
      <c r="D16081" s="3"/>
      <c r="E16081" s="3"/>
      <c r="F16081" s="3"/>
      <c r="G16081" s="3"/>
      <c r="H16081" s="11"/>
      <c r="I16081" s="12"/>
      <c r="J16081" s="3"/>
      <c r="K16081" s="3"/>
      <c r="L16081" s="3"/>
      <c r="M16081" s="3"/>
      <c r="N16081" s="3"/>
      <c r="O16081" s="3"/>
      <c r="P16081" s="3"/>
      <c r="Q16081" s="3"/>
      <c r="R16081" s="3"/>
      <c r="S16081" s="3"/>
      <c r="T16081" s="3"/>
      <c r="U16081" s="3"/>
      <c r="V16081" s="3"/>
      <c r="W16081" s="3"/>
      <c r="X16081" s="3"/>
      <c r="Y16081" s="3"/>
      <c r="Z16081" s="3"/>
      <c r="AA16081" s="3"/>
      <c r="AB16081" s="3"/>
      <c r="AC16081" s="3"/>
      <c r="AD16081" s="3"/>
      <c r="AE16081" s="3"/>
      <c r="AF16081" s="3"/>
      <c r="AG16081" s="3"/>
      <c r="AH16081" s="3"/>
    </row>
    <row r="16082" spans="1:34" ht="14.25" customHeight="1" x14ac:dyDescent="0.25">
      <c r="A16082" s="3"/>
      <c r="B16082" s="3"/>
      <c r="C16082" s="3"/>
      <c r="D16082" s="3"/>
      <c r="E16082" s="3"/>
      <c r="F16082" s="3"/>
      <c r="G16082" s="3"/>
      <c r="H16082" s="11"/>
      <c r="I16082" s="12"/>
      <c r="J16082" s="3"/>
      <c r="K16082" s="3"/>
      <c r="L16082" s="3"/>
      <c r="M16082" s="3"/>
      <c r="N16082" s="3"/>
      <c r="O16082" s="3"/>
      <c r="P16082" s="3"/>
      <c r="Q16082" s="3"/>
      <c r="R16082" s="3"/>
      <c r="S16082" s="3"/>
      <c r="T16082" s="3"/>
      <c r="U16082" s="3"/>
      <c r="V16082" s="3"/>
      <c r="W16082" s="3"/>
      <c r="X16082" s="3"/>
      <c r="Y16082" s="3"/>
      <c r="Z16082" s="3"/>
      <c r="AA16082" s="3"/>
      <c r="AB16082" s="3"/>
      <c r="AC16082" s="3"/>
      <c r="AD16082" s="3"/>
      <c r="AE16082" s="3"/>
      <c r="AF16082" s="3"/>
      <c r="AG16082" s="3"/>
      <c r="AH16082" s="3"/>
    </row>
    <row r="16083" spans="1:34" ht="14.25" customHeight="1" x14ac:dyDescent="0.25">
      <c r="A16083" s="3"/>
      <c r="B16083" s="3"/>
      <c r="C16083" s="3"/>
      <c r="D16083" s="3"/>
      <c r="E16083" s="3"/>
      <c r="F16083" s="3"/>
      <c r="G16083" s="3"/>
      <c r="H16083" s="11"/>
      <c r="I16083" s="12"/>
      <c r="J16083" s="3"/>
      <c r="K16083" s="3"/>
      <c r="L16083" s="3"/>
      <c r="M16083" s="3"/>
      <c r="N16083" s="3"/>
      <c r="O16083" s="3"/>
      <c r="P16083" s="3"/>
      <c r="Q16083" s="3"/>
      <c r="R16083" s="3"/>
      <c r="S16083" s="3"/>
      <c r="T16083" s="3"/>
      <c r="U16083" s="3"/>
      <c r="V16083" s="3"/>
      <c r="W16083" s="3"/>
      <c r="X16083" s="3"/>
      <c r="Y16083" s="3"/>
      <c r="Z16083" s="3"/>
      <c r="AA16083" s="3"/>
      <c r="AB16083" s="3"/>
      <c r="AC16083" s="3"/>
      <c r="AD16083" s="3"/>
      <c r="AE16083" s="3"/>
      <c r="AF16083" s="3"/>
      <c r="AG16083" s="3"/>
      <c r="AH16083" s="3"/>
    </row>
    <row r="16084" spans="1:34" ht="14.25" customHeight="1" x14ac:dyDescent="0.25">
      <c r="A16084" s="3"/>
      <c r="B16084" s="3"/>
      <c r="C16084" s="3"/>
      <c r="D16084" s="3"/>
      <c r="E16084" s="3"/>
      <c r="F16084" s="3"/>
      <c r="G16084" s="3"/>
      <c r="H16084" s="11"/>
      <c r="I16084" s="12"/>
      <c r="J16084" s="3"/>
      <c r="K16084" s="3"/>
      <c r="L16084" s="3"/>
      <c r="M16084" s="3"/>
      <c r="N16084" s="3"/>
      <c r="O16084" s="3"/>
      <c r="P16084" s="3"/>
      <c r="Q16084" s="3"/>
      <c r="R16084" s="3"/>
      <c r="S16084" s="3"/>
      <c r="T16084" s="3"/>
      <c r="U16084" s="3"/>
      <c r="V16084" s="3"/>
      <c r="W16084" s="3"/>
      <c r="X16084" s="3"/>
      <c r="Y16084" s="3"/>
      <c r="Z16084" s="3"/>
      <c r="AA16084" s="3"/>
      <c r="AB16084" s="3"/>
      <c r="AC16084" s="3"/>
      <c r="AD16084" s="3"/>
      <c r="AE16084" s="3"/>
      <c r="AF16084" s="3"/>
      <c r="AG16084" s="3"/>
      <c r="AH16084" s="3"/>
    </row>
    <row r="16085" spans="1:34" ht="14.25" customHeight="1" x14ac:dyDescent="0.25">
      <c r="A16085" s="3"/>
      <c r="B16085" s="3"/>
      <c r="C16085" s="3"/>
      <c r="D16085" s="3"/>
      <c r="E16085" s="3"/>
      <c r="F16085" s="3"/>
      <c r="G16085" s="3"/>
      <c r="H16085" s="11"/>
      <c r="I16085" s="12"/>
      <c r="J16085" s="3"/>
      <c r="K16085" s="3"/>
      <c r="L16085" s="3"/>
      <c r="M16085" s="3"/>
      <c r="N16085" s="3"/>
      <c r="O16085" s="3"/>
      <c r="P16085" s="3"/>
      <c r="Q16085" s="3"/>
      <c r="R16085" s="3"/>
      <c r="S16085" s="3"/>
      <c r="T16085" s="3"/>
      <c r="U16085" s="3"/>
      <c r="V16085" s="3"/>
      <c r="W16085" s="3"/>
      <c r="X16085" s="3"/>
      <c r="Y16085" s="3"/>
      <c r="Z16085" s="3"/>
      <c r="AA16085" s="3"/>
      <c r="AB16085" s="3"/>
      <c r="AC16085" s="3"/>
      <c r="AD16085" s="3"/>
      <c r="AE16085" s="3"/>
      <c r="AF16085" s="3"/>
      <c r="AG16085" s="3"/>
      <c r="AH16085" s="3"/>
    </row>
    <row r="16086" spans="1:34" ht="14.25" customHeight="1" x14ac:dyDescent="0.25">
      <c r="A16086" s="3"/>
      <c r="B16086" s="3"/>
      <c r="C16086" s="3"/>
      <c r="D16086" s="3"/>
      <c r="E16086" s="3"/>
      <c r="F16086" s="3"/>
      <c r="G16086" s="3"/>
      <c r="H16086" s="11"/>
      <c r="I16086" s="12"/>
      <c r="J16086" s="3"/>
      <c r="K16086" s="3"/>
      <c r="L16086" s="3"/>
      <c r="M16086" s="3"/>
      <c r="N16086" s="3"/>
      <c r="O16086" s="3"/>
      <c r="P16086" s="3"/>
      <c r="Q16086" s="3"/>
      <c r="R16086" s="3"/>
      <c r="S16086" s="3"/>
      <c r="T16086" s="3"/>
      <c r="U16086" s="3"/>
      <c r="V16086" s="3"/>
      <c r="W16086" s="3"/>
      <c r="X16086" s="3"/>
      <c r="Y16086" s="3"/>
      <c r="Z16086" s="3"/>
      <c r="AA16086" s="3"/>
      <c r="AB16086" s="3"/>
      <c r="AC16086" s="3"/>
      <c r="AD16086" s="3"/>
      <c r="AE16086" s="3"/>
      <c r="AF16086" s="3"/>
      <c r="AG16086" s="3"/>
      <c r="AH16086" s="3"/>
    </row>
    <row r="16087" spans="1:34" ht="14.25" customHeight="1" x14ac:dyDescent="0.25">
      <c r="A16087" s="3"/>
      <c r="B16087" s="3"/>
      <c r="C16087" s="3"/>
      <c r="D16087" s="3"/>
      <c r="E16087" s="3"/>
      <c r="F16087" s="3"/>
      <c r="G16087" s="3"/>
      <c r="H16087" s="11"/>
      <c r="I16087" s="12"/>
      <c r="J16087" s="3"/>
      <c r="K16087" s="3"/>
      <c r="L16087" s="3"/>
      <c r="M16087" s="3"/>
      <c r="N16087" s="3"/>
      <c r="O16087" s="3"/>
      <c r="P16087" s="3"/>
      <c r="Q16087" s="3"/>
      <c r="R16087" s="3"/>
      <c r="S16087" s="3"/>
      <c r="T16087" s="3"/>
      <c r="U16087" s="3"/>
      <c r="V16087" s="3"/>
      <c r="W16087" s="3"/>
      <c r="X16087" s="3"/>
      <c r="Y16087" s="3"/>
      <c r="Z16087" s="3"/>
      <c r="AA16087" s="3"/>
      <c r="AB16087" s="3"/>
      <c r="AC16087" s="3"/>
      <c r="AD16087" s="3"/>
      <c r="AE16087" s="3"/>
      <c r="AF16087" s="3"/>
      <c r="AG16087" s="3"/>
      <c r="AH16087" s="3"/>
    </row>
    <row r="16088" spans="1:34" ht="14.25" customHeight="1" x14ac:dyDescent="0.25">
      <c r="A16088" s="3"/>
      <c r="B16088" s="3"/>
      <c r="C16088" s="3"/>
      <c r="D16088" s="3"/>
      <c r="E16088" s="3"/>
      <c r="F16088" s="3"/>
      <c r="G16088" s="3"/>
      <c r="H16088" s="11"/>
      <c r="I16088" s="12"/>
      <c r="J16088" s="3"/>
      <c r="K16088" s="3"/>
      <c r="L16088" s="3"/>
      <c r="M16088" s="3"/>
      <c r="N16088" s="3"/>
      <c r="O16088" s="3"/>
      <c r="P16088" s="3"/>
      <c r="Q16088" s="3"/>
      <c r="R16088" s="3"/>
      <c r="S16088" s="3"/>
      <c r="T16088" s="3"/>
      <c r="U16088" s="3"/>
      <c r="V16088" s="3"/>
      <c r="W16088" s="3"/>
      <c r="X16088" s="3"/>
      <c r="Y16088" s="3"/>
      <c r="Z16088" s="3"/>
      <c r="AA16088" s="3"/>
      <c r="AB16088" s="3"/>
      <c r="AC16088" s="3"/>
      <c r="AD16088" s="3"/>
      <c r="AE16088" s="3"/>
      <c r="AF16088" s="3"/>
      <c r="AG16088" s="3"/>
      <c r="AH16088" s="3"/>
    </row>
    <row r="16089" spans="1:34" ht="14.25" customHeight="1" x14ac:dyDescent="0.25">
      <c r="A16089" s="3"/>
      <c r="B16089" s="3"/>
      <c r="C16089" s="3"/>
      <c r="D16089" s="3"/>
      <c r="E16089" s="3"/>
      <c r="F16089" s="3"/>
      <c r="G16089" s="3"/>
      <c r="H16089" s="11"/>
      <c r="I16089" s="12"/>
      <c r="J16089" s="3"/>
      <c r="K16089" s="3"/>
      <c r="L16089" s="3"/>
      <c r="M16089" s="3"/>
      <c r="N16089" s="3"/>
      <c r="O16089" s="3"/>
      <c r="P16089" s="3"/>
      <c r="Q16089" s="3"/>
      <c r="R16089" s="3"/>
      <c r="S16089" s="3"/>
      <c r="T16089" s="3"/>
      <c r="U16089" s="3"/>
      <c r="V16089" s="3"/>
      <c r="W16089" s="3"/>
      <c r="X16089" s="3"/>
      <c r="Y16089" s="3"/>
      <c r="Z16089" s="3"/>
      <c r="AA16089" s="3"/>
      <c r="AB16089" s="3"/>
      <c r="AC16089" s="3"/>
      <c r="AD16089" s="3"/>
      <c r="AE16089" s="3"/>
      <c r="AF16089" s="3"/>
      <c r="AG16089" s="3"/>
      <c r="AH16089" s="3"/>
    </row>
    <row r="16090" spans="1:34" ht="14.25" customHeight="1" x14ac:dyDescent="0.25">
      <c r="A16090" s="3"/>
      <c r="B16090" s="3"/>
      <c r="C16090" s="3"/>
      <c r="D16090" s="3"/>
      <c r="E16090" s="3"/>
      <c r="F16090" s="3"/>
      <c r="G16090" s="3"/>
      <c r="H16090" s="11"/>
      <c r="I16090" s="12"/>
      <c r="J16090" s="3"/>
      <c r="K16090" s="3"/>
      <c r="L16090" s="3"/>
      <c r="M16090" s="3"/>
      <c r="N16090" s="3"/>
      <c r="O16090" s="3"/>
      <c r="P16090" s="3"/>
      <c r="Q16090" s="3"/>
      <c r="R16090" s="3"/>
      <c r="S16090" s="3"/>
      <c r="T16090" s="3"/>
      <c r="U16090" s="3"/>
      <c r="V16090" s="3"/>
      <c r="W16090" s="3"/>
      <c r="X16090" s="3"/>
      <c r="Y16090" s="3"/>
      <c r="Z16090" s="3"/>
      <c r="AA16090" s="3"/>
      <c r="AB16090" s="3"/>
      <c r="AC16090" s="3"/>
      <c r="AD16090" s="3"/>
      <c r="AE16090" s="3"/>
      <c r="AF16090" s="3"/>
      <c r="AG16090" s="3"/>
      <c r="AH16090" s="3"/>
    </row>
    <row r="16091" spans="1:34" ht="14.25" customHeight="1" x14ac:dyDescent="0.25">
      <c r="A16091" s="3"/>
      <c r="B16091" s="3"/>
      <c r="C16091" s="3"/>
      <c r="D16091" s="3"/>
      <c r="E16091" s="3"/>
      <c r="F16091" s="3"/>
      <c r="G16091" s="3"/>
      <c r="H16091" s="11"/>
      <c r="I16091" s="12"/>
      <c r="J16091" s="3"/>
      <c r="K16091" s="3"/>
      <c r="L16091" s="3"/>
      <c r="M16091" s="3"/>
      <c r="N16091" s="3"/>
      <c r="O16091" s="3"/>
      <c r="P16091" s="3"/>
      <c r="Q16091" s="3"/>
      <c r="R16091" s="3"/>
      <c r="S16091" s="3"/>
      <c r="T16091" s="3"/>
      <c r="U16091" s="3"/>
      <c r="V16091" s="3"/>
      <c r="W16091" s="3"/>
      <c r="X16091" s="3"/>
      <c r="Y16091" s="3"/>
      <c r="Z16091" s="3"/>
      <c r="AA16091" s="3"/>
      <c r="AB16091" s="3"/>
      <c r="AC16091" s="3"/>
      <c r="AD16091" s="3"/>
      <c r="AE16091" s="3"/>
      <c r="AF16091" s="3"/>
      <c r="AG16091" s="3"/>
      <c r="AH16091" s="3"/>
    </row>
    <row r="16092" spans="1:34" ht="14.25" customHeight="1" x14ac:dyDescent="0.25">
      <c r="A16092" s="3"/>
      <c r="B16092" s="3"/>
      <c r="C16092" s="3"/>
      <c r="D16092" s="3"/>
      <c r="E16092" s="3"/>
      <c r="F16092" s="3"/>
      <c r="G16092" s="3"/>
      <c r="H16092" s="11"/>
      <c r="I16092" s="12"/>
      <c r="J16092" s="3"/>
      <c r="K16092" s="3"/>
      <c r="L16092" s="3"/>
      <c r="M16092" s="3"/>
      <c r="N16092" s="3"/>
      <c r="O16092" s="3"/>
      <c r="P16092" s="3"/>
      <c r="Q16092" s="3"/>
      <c r="R16092" s="3"/>
      <c r="S16092" s="3"/>
      <c r="T16092" s="3"/>
      <c r="U16092" s="3"/>
      <c r="V16092" s="3"/>
      <c r="W16092" s="3"/>
      <c r="X16092" s="3"/>
      <c r="Y16092" s="3"/>
      <c r="Z16092" s="3"/>
      <c r="AA16092" s="3"/>
      <c r="AB16092" s="3"/>
      <c r="AC16092" s="3"/>
      <c r="AD16092" s="3"/>
      <c r="AE16092" s="3"/>
      <c r="AF16092" s="3"/>
      <c r="AG16092" s="3"/>
      <c r="AH16092" s="3"/>
    </row>
    <row r="16093" spans="1:34" ht="14.25" customHeight="1" x14ac:dyDescent="0.25">
      <c r="A16093" s="3"/>
      <c r="B16093" s="3"/>
      <c r="C16093" s="3"/>
      <c r="D16093" s="3"/>
      <c r="E16093" s="3"/>
      <c r="F16093" s="3"/>
      <c r="G16093" s="3"/>
      <c r="H16093" s="11"/>
      <c r="I16093" s="12"/>
      <c r="J16093" s="3"/>
      <c r="K16093" s="3"/>
      <c r="L16093" s="3"/>
      <c r="M16093" s="3"/>
      <c r="N16093" s="3"/>
      <c r="O16093" s="3"/>
      <c r="P16093" s="3"/>
      <c r="Q16093" s="3"/>
      <c r="R16093" s="3"/>
      <c r="S16093" s="3"/>
      <c r="T16093" s="3"/>
      <c r="U16093" s="3"/>
      <c r="V16093" s="3"/>
      <c r="W16093" s="3"/>
      <c r="X16093" s="3"/>
      <c r="Y16093" s="3"/>
      <c r="Z16093" s="3"/>
      <c r="AA16093" s="3"/>
      <c r="AB16093" s="3"/>
      <c r="AC16093" s="3"/>
      <c r="AD16093" s="3"/>
      <c r="AE16093" s="3"/>
      <c r="AF16093" s="3"/>
      <c r="AG16093" s="3"/>
      <c r="AH16093" s="3"/>
    </row>
    <row r="16094" spans="1:34" ht="14.25" customHeight="1" x14ac:dyDescent="0.25">
      <c r="A16094" s="3"/>
      <c r="B16094" s="3"/>
      <c r="C16094" s="3"/>
      <c r="D16094" s="3"/>
      <c r="E16094" s="3"/>
      <c r="F16094" s="3"/>
      <c r="G16094" s="3"/>
      <c r="H16094" s="11"/>
      <c r="I16094" s="12"/>
      <c r="J16094" s="3"/>
      <c r="K16094" s="3"/>
      <c r="L16094" s="3"/>
      <c r="M16094" s="3"/>
      <c r="N16094" s="3"/>
      <c r="O16094" s="3"/>
      <c r="P16094" s="3"/>
      <c r="Q16094" s="3"/>
      <c r="R16094" s="3"/>
      <c r="S16094" s="3"/>
      <c r="T16094" s="3"/>
      <c r="U16094" s="3"/>
      <c r="V16094" s="3"/>
      <c r="W16094" s="3"/>
      <c r="X16094" s="3"/>
      <c r="Y16094" s="3"/>
      <c r="Z16094" s="3"/>
      <c r="AA16094" s="3"/>
      <c r="AB16094" s="3"/>
      <c r="AC16094" s="3"/>
      <c r="AD16094" s="3"/>
      <c r="AE16094" s="3"/>
      <c r="AF16094" s="3"/>
      <c r="AG16094" s="3"/>
      <c r="AH16094" s="3"/>
    </row>
    <row r="16095" spans="1:34" ht="14.25" customHeight="1" x14ac:dyDescent="0.25">
      <c r="A16095" s="3"/>
      <c r="B16095" s="3"/>
      <c r="C16095" s="3"/>
      <c r="D16095" s="3"/>
      <c r="E16095" s="3"/>
      <c r="F16095" s="3"/>
      <c r="G16095" s="3"/>
      <c r="H16095" s="11"/>
      <c r="I16095" s="12"/>
      <c r="J16095" s="3"/>
      <c r="K16095" s="3"/>
      <c r="L16095" s="3"/>
      <c r="M16095" s="3"/>
      <c r="N16095" s="3"/>
      <c r="O16095" s="3"/>
      <c r="P16095" s="3"/>
      <c r="Q16095" s="3"/>
      <c r="R16095" s="3"/>
      <c r="S16095" s="3"/>
      <c r="T16095" s="3"/>
      <c r="U16095" s="3"/>
      <c r="V16095" s="3"/>
      <c r="W16095" s="3"/>
      <c r="X16095" s="3"/>
      <c r="Y16095" s="3"/>
      <c r="Z16095" s="3"/>
      <c r="AA16095" s="3"/>
      <c r="AB16095" s="3"/>
      <c r="AC16095" s="3"/>
      <c r="AD16095" s="3"/>
      <c r="AE16095" s="3"/>
      <c r="AF16095" s="3"/>
      <c r="AG16095" s="3"/>
      <c r="AH16095" s="3"/>
    </row>
    <row r="16096" spans="1:34" ht="14.25" customHeight="1" x14ac:dyDescent="0.25">
      <c r="A16096" s="3"/>
      <c r="B16096" s="3"/>
      <c r="C16096" s="3"/>
      <c r="D16096" s="3"/>
      <c r="E16096" s="3"/>
      <c r="F16096" s="3"/>
      <c r="G16096" s="3"/>
      <c r="H16096" s="11"/>
      <c r="I16096" s="12"/>
      <c r="J16096" s="3"/>
      <c r="K16096" s="3"/>
      <c r="L16096" s="3"/>
      <c r="M16096" s="3"/>
      <c r="N16096" s="3"/>
      <c r="O16096" s="3"/>
      <c r="P16096" s="3"/>
      <c r="Q16096" s="3"/>
      <c r="R16096" s="3"/>
      <c r="S16096" s="3"/>
      <c r="T16096" s="3"/>
      <c r="U16096" s="3"/>
      <c r="V16096" s="3"/>
      <c r="W16096" s="3"/>
      <c r="X16096" s="3"/>
      <c r="Y16096" s="3"/>
      <c r="Z16096" s="3"/>
      <c r="AA16096" s="3"/>
      <c r="AB16096" s="3"/>
      <c r="AC16096" s="3"/>
      <c r="AD16096" s="3"/>
      <c r="AE16096" s="3"/>
      <c r="AF16096" s="3"/>
      <c r="AG16096" s="3"/>
      <c r="AH16096" s="3"/>
    </row>
    <row r="16097" spans="1:34" ht="14.25" customHeight="1" x14ac:dyDescent="0.25">
      <c r="A16097" s="3"/>
      <c r="B16097" s="3"/>
      <c r="C16097" s="3"/>
      <c r="D16097" s="3"/>
      <c r="E16097" s="3"/>
      <c r="F16097" s="3"/>
      <c r="G16097" s="3"/>
      <c r="H16097" s="11"/>
      <c r="I16097" s="12"/>
      <c r="J16097" s="3"/>
      <c r="K16097" s="3"/>
      <c r="L16097" s="3"/>
      <c r="M16097" s="3"/>
      <c r="N16097" s="3"/>
      <c r="O16097" s="3"/>
      <c r="P16097" s="3"/>
      <c r="Q16097" s="3"/>
      <c r="R16097" s="3"/>
      <c r="S16097" s="3"/>
      <c r="T16097" s="3"/>
      <c r="U16097" s="3"/>
      <c r="V16097" s="3"/>
      <c r="W16097" s="3"/>
      <c r="X16097" s="3"/>
      <c r="Y16097" s="3"/>
      <c r="Z16097" s="3"/>
      <c r="AA16097" s="3"/>
      <c r="AB16097" s="3"/>
      <c r="AC16097" s="3"/>
      <c r="AD16097" s="3"/>
      <c r="AE16097" s="3"/>
      <c r="AF16097" s="3"/>
      <c r="AG16097" s="3"/>
      <c r="AH16097" s="3"/>
    </row>
    <row r="16098" spans="1:34" ht="14.25" customHeight="1" x14ac:dyDescent="0.25">
      <c r="A16098" s="3"/>
      <c r="B16098" s="3"/>
      <c r="C16098" s="3"/>
      <c r="D16098" s="3"/>
      <c r="E16098" s="3"/>
      <c r="F16098" s="3"/>
      <c r="G16098" s="3"/>
      <c r="H16098" s="11"/>
      <c r="I16098" s="12"/>
      <c r="J16098" s="3"/>
      <c r="K16098" s="3"/>
      <c r="L16098" s="3"/>
      <c r="M16098" s="3"/>
      <c r="N16098" s="3"/>
      <c r="O16098" s="3"/>
      <c r="P16098" s="3"/>
      <c r="Q16098" s="3"/>
      <c r="R16098" s="3"/>
      <c r="S16098" s="3"/>
      <c r="T16098" s="3"/>
      <c r="U16098" s="3"/>
      <c r="V16098" s="3"/>
      <c r="W16098" s="3"/>
      <c r="X16098" s="3"/>
      <c r="Y16098" s="3"/>
      <c r="Z16098" s="3"/>
      <c r="AA16098" s="3"/>
      <c r="AB16098" s="3"/>
      <c r="AC16098" s="3"/>
      <c r="AD16098" s="3"/>
      <c r="AE16098" s="3"/>
      <c r="AF16098" s="3"/>
      <c r="AG16098" s="3"/>
      <c r="AH16098" s="3"/>
    </row>
    <row r="16099" spans="1:34" ht="14.25" customHeight="1" x14ac:dyDescent="0.25">
      <c r="A16099" s="3"/>
      <c r="B16099" s="3"/>
      <c r="C16099" s="3"/>
      <c r="D16099" s="3"/>
      <c r="E16099" s="3"/>
      <c r="F16099" s="3"/>
      <c r="G16099" s="3"/>
      <c r="H16099" s="11"/>
      <c r="I16099" s="12"/>
      <c r="J16099" s="3"/>
      <c r="K16099" s="3"/>
      <c r="L16099" s="3"/>
      <c r="M16099" s="3"/>
      <c r="N16099" s="3"/>
      <c r="O16099" s="3"/>
      <c r="P16099" s="3"/>
      <c r="Q16099" s="3"/>
      <c r="R16099" s="3"/>
      <c r="S16099" s="3"/>
      <c r="T16099" s="3"/>
      <c r="U16099" s="3"/>
      <c r="V16099" s="3"/>
      <c r="W16099" s="3"/>
      <c r="X16099" s="3"/>
      <c r="Y16099" s="3"/>
      <c r="Z16099" s="3"/>
      <c r="AA16099" s="3"/>
      <c r="AB16099" s="3"/>
      <c r="AC16099" s="3"/>
      <c r="AD16099" s="3"/>
      <c r="AE16099" s="3"/>
      <c r="AF16099" s="3"/>
      <c r="AG16099" s="3"/>
      <c r="AH16099" s="3"/>
    </row>
    <row r="16100" spans="1:34" ht="14.25" customHeight="1" x14ac:dyDescent="0.25">
      <c r="A16100" s="3"/>
      <c r="B16100" s="3"/>
      <c r="C16100" s="3"/>
      <c r="D16100" s="3"/>
      <c r="E16100" s="3"/>
      <c r="F16100" s="3"/>
      <c r="G16100" s="3"/>
      <c r="H16100" s="11"/>
      <c r="I16100" s="12"/>
      <c r="J16100" s="3"/>
      <c r="K16100" s="3"/>
      <c r="L16100" s="3"/>
      <c r="M16100" s="3"/>
      <c r="N16100" s="3"/>
      <c r="O16100" s="3"/>
      <c r="P16100" s="3"/>
      <c r="Q16100" s="3"/>
      <c r="R16100" s="3"/>
      <c r="S16100" s="3"/>
      <c r="T16100" s="3"/>
      <c r="U16100" s="3"/>
      <c r="V16100" s="3"/>
      <c r="W16100" s="3"/>
      <c r="X16100" s="3"/>
      <c r="Y16100" s="3"/>
      <c r="Z16100" s="3"/>
      <c r="AA16100" s="3"/>
      <c r="AB16100" s="3"/>
      <c r="AC16100" s="3"/>
      <c r="AD16100" s="3"/>
      <c r="AE16100" s="3"/>
      <c r="AF16100" s="3"/>
      <c r="AG16100" s="3"/>
      <c r="AH16100" s="3"/>
    </row>
    <row r="16101" spans="1:34" ht="14.25" customHeight="1" x14ac:dyDescent="0.25">
      <c r="A16101" s="3"/>
      <c r="B16101" s="3"/>
      <c r="C16101" s="3"/>
      <c r="D16101" s="3"/>
      <c r="E16101" s="3"/>
      <c r="F16101" s="3"/>
      <c r="G16101" s="3"/>
      <c r="H16101" s="11"/>
      <c r="I16101" s="12"/>
      <c r="J16101" s="3"/>
      <c r="K16101" s="3"/>
      <c r="L16101" s="3"/>
      <c r="M16101" s="3"/>
      <c r="N16101" s="3"/>
      <c r="O16101" s="3"/>
      <c r="P16101" s="3"/>
      <c r="Q16101" s="3"/>
      <c r="R16101" s="3"/>
      <c r="S16101" s="3"/>
      <c r="T16101" s="3"/>
      <c r="U16101" s="3"/>
      <c r="V16101" s="3"/>
      <c r="W16101" s="3"/>
      <c r="X16101" s="3"/>
      <c r="Y16101" s="3"/>
      <c r="Z16101" s="3"/>
      <c r="AA16101" s="3"/>
      <c r="AB16101" s="3"/>
      <c r="AC16101" s="3"/>
      <c r="AD16101" s="3"/>
      <c r="AE16101" s="3"/>
      <c r="AF16101" s="3"/>
      <c r="AG16101" s="3"/>
      <c r="AH16101" s="3"/>
    </row>
    <row r="16102" spans="1:34" ht="14.25" customHeight="1" x14ac:dyDescent="0.25">
      <c r="A16102" s="3"/>
      <c r="B16102" s="3"/>
      <c r="C16102" s="3"/>
      <c r="D16102" s="3"/>
      <c r="E16102" s="3"/>
      <c r="F16102" s="3"/>
      <c r="G16102" s="3"/>
      <c r="H16102" s="11"/>
      <c r="I16102" s="12"/>
      <c r="J16102" s="3"/>
      <c r="K16102" s="3"/>
      <c r="L16102" s="3"/>
      <c r="M16102" s="3"/>
      <c r="N16102" s="3"/>
      <c r="O16102" s="3"/>
      <c r="P16102" s="3"/>
      <c r="Q16102" s="3"/>
      <c r="R16102" s="3"/>
      <c r="S16102" s="3"/>
      <c r="T16102" s="3"/>
      <c r="U16102" s="3"/>
      <c r="V16102" s="3"/>
      <c r="W16102" s="3"/>
      <c r="X16102" s="3"/>
      <c r="Y16102" s="3"/>
      <c r="Z16102" s="3"/>
      <c r="AA16102" s="3"/>
      <c r="AB16102" s="3"/>
      <c r="AC16102" s="3"/>
      <c r="AD16102" s="3"/>
      <c r="AE16102" s="3"/>
      <c r="AF16102" s="3"/>
      <c r="AG16102" s="3"/>
      <c r="AH16102" s="3"/>
    </row>
    <row r="16103" spans="1:34" ht="14.25" customHeight="1" x14ac:dyDescent="0.25">
      <c r="A16103" s="3"/>
      <c r="B16103" s="3"/>
      <c r="C16103" s="3"/>
      <c r="D16103" s="3"/>
      <c r="E16103" s="3"/>
      <c r="F16103" s="3"/>
      <c r="G16103" s="3"/>
      <c r="H16103" s="11"/>
      <c r="I16103" s="12"/>
      <c r="J16103" s="3"/>
      <c r="K16103" s="3"/>
      <c r="L16103" s="3"/>
      <c r="M16103" s="3"/>
      <c r="N16103" s="3"/>
      <c r="O16103" s="3"/>
      <c r="P16103" s="3"/>
      <c r="Q16103" s="3"/>
      <c r="R16103" s="3"/>
      <c r="S16103" s="3"/>
      <c r="T16103" s="3"/>
      <c r="U16103" s="3"/>
      <c r="V16103" s="3"/>
      <c r="W16103" s="3"/>
      <c r="X16103" s="3"/>
      <c r="Y16103" s="3"/>
      <c r="Z16103" s="3"/>
      <c r="AA16103" s="3"/>
      <c r="AB16103" s="3"/>
      <c r="AC16103" s="3"/>
      <c r="AD16103" s="3"/>
      <c r="AE16103" s="3"/>
      <c r="AF16103" s="3"/>
      <c r="AG16103" s="3"/>
      <c r="AH16103" s="3"/>
    </row>
    <row r="16104" spans="1:34" ht="14.25" customHeight="1" x14ac:dyDescent="0.25">
      <c r="A16104" s="3"/>
      <c r="B16104" s="3"/>
      <c r="C16104" s="3"/>
      <c r="D16104" s="3"/>
      <c r="E16104" s="3"/>
      <c r="F16104" s="3"/>
      <c r="G16104" s="3"/>
      <c r="H16104" s="11"/>
      <c r="I16104" s="12"/>
      <c r="J16104" s="3"/>
      <c r="K16104" s="3"/>
      <c r="L16104" s="3"/>
      <c r="M16104" s="3"/>
      <c r="N16104" s="3"/>
      <c r="O16104" s="3"/>
      <c r="P16104" s="3"/>
      <c r="Q16104" s="3"/>
      <c r="R16104" s="3"/>
      <c r="S16104" s="3"/>
      <c r="T16104" s="3"/>
      <c r="U16104" s="3"/>
      <c r="V16104" s="3"/>
      <c r="W16104" s="3"/>
      <c r="X16104" s="3"/>
      <c r="Y16104" s="3"/>
      <c r="Z16104" s="3"/>
      <c r="AA16104" s="3"/>
      <c r="AB16104" s="3"/>
      <c r="AC16104" s="3"/>
      <c r="AD16104" s="3"/>
      <c r="AE16104" s="3"/>
      <c r="AF16104" s="3"/>
      <c r="AG16104" s="3"/>
      <c r="AH16104" s="3"/>
    </row>
    <row r="16105" spans="1:34" ht="14.25" customHeight="1" x14ac:dyDescent="0.25">
      <c r="A16105" s="3"/>
      <c r="B16105" s="3"/>
      <c r="C16105" s="3"/>
      <c r="D16105" s="3"/>
      <c r="E16105" s="3"/>
      <c r="F16105" s="3"/>
      <c r="G16105" s="3"/>
      <c r="H16105" s="11"/>
      <c r="I16105" s="12"/>
      <c r="J16105" s="3"/>
      <c r="K16105" s="3"/>
      <c r="L16105" s="3"/>
      <c r="M16105" s="3"/>
      <c r="N16105" s="3"/>
      <c r="O16105" s="3"/>
      <c r="P16105" s="3"/>
      <c r="Q16105" s="3"/>
      <c r="R16105" s="3"/>
      <c r="S16105" s="3"/>
      <c r="T16105" s="3"/>
      <c r="U16105" s="3"/>
      <c r="V16105" s="3"/>
      <c r="W16105" s="3"/>
      <c r="X16105" s="3"/>
      <c r="Y16105" s="3"/>
      <c r="Z16105" s="3"/>
      <c r="AA16105" s="3"/>
      <c r="AB16105" s="3"/>
      <c r="AC16105" s="3"/>
      <c r="AD16105" s="3"/>
      <c r="AE16105" s="3"/>
      <c r="AF16105" s="3"/>
      <c r="AG16105" s="3"/>
      <c r="AH16105" s="3"/>
    </row>
    <row r="16106" spans="1:34" ht="14.25" customHeight="1" x14ac:dyDescent="0.25">
      <c r="A16106" s="3"/>
      <c r="B16106" s="3"/>
      <c r="C16106" s="3"/>
      <c r="D16106" s="3"/>
      <c r="E16106" s="3"/>
      <c r="F16106" s="3"/>
      <c r="G16106" s="3"/>
      <c r="H16106" s="11"/>
      <c r="I16106" s="12"/>
      <c r="J16106" s="3"/>
      <c r="K16106" s="3"/>
      <c r="L16106" s="3"/>
      <c r="M16106" s="3"/>
      <c r="N16106" s="3"/>
      <c r="O16106" s="3"/>
      <c r="P16106" s="3"/>
      <c r="Q16106" s="3"/>
      <c r="R16106" s="3"/>
      <c r="S16106" s="3"/>
      <c r="T16106" s="3"/>
      <c r="U16106" s="3"/>
      <c r="V16106" s="3"/>
      <c r="W16106" s="3"/>
      <c r="X16106" s="3"/>
      <c r="Y16106" s="3"/>
      <c r="Z16106" s="3"/>
      <c r="AA16106" s="3"/>
      <c r="AB16106" s="3"/>
      <c r="AC16106" s="3"/>
      <c r="AD16106" s="3"/>
      <c r="AE16106" s="3"/>
      <c r="AF16106" s="3"/>
      <c r="AG16106" s="3"/>
      <c r="AH16106" s="3"/>
    </row>
    <row r="16107" spans="1:34" ht="14.25" customHeight="1" x14ac:dyDescent="0.25">
      <c r="A16107" s="3"/>
      <c r="B16107" s="3"/>
      <c r="C16107" s="3"/>
      <c r="D16107" s="3"/>
      <c r="E16107" s="3"/>
      <c r="F16107" s="3"/>
      <c r="G16107" s="3"/>
      <c r="H16107" s="11"/>
      <c r="I16107" s="12"/>
      <c r="J16107" s="3"/>
      <c r="K16107" s="3"/>
      <c r="L16107" s="3"/>
      <c r="M16107" s="3"/>
      <c r="N16107" s="3"/>
      <c r="O16107" s="3"/>
      <c r="P16107" s="3"/>
      <c r="Q16107" s="3"/>
      <c r="R16107" s="3"/>
      <c r="S16107" s="3"/>
      <c r="T16107" s="3"/>
      <c r="U16107" s="3"/>
      <c r="V16107" s="3"/>
      <c r="W16107" s="3"/>
      <c r="X16107" s="3"/>
      <c r="Y16107" s="3"/>
      <c r="Z16107" s="3"/>
      <c r="AA16107" s="3"/>
      <c r="AB16107" s="3"/>
      <c r="AC16107" s="3"/>
      <c r="AD16107" s="3"/>
      <c r="AE16107" s="3"/>
      <c r="AF16107" s="3"/>
      <c r="AG16107" s="3"/>
      <c r="AH16107" s="3"/>
    </row>
    <row r="16108" spans="1:34" ht="14.25" customHeight="1" x14ac:dyDescent="0.25">
      <c r="A16108" s="3"/>
      <c r="B16108" s="3"/>
      <c r="C16108" s="3"/>
      <c r="D16108" s="3"/>
      <c r="E16108" s="3"/>
      <c r="F16108" s="3"/>
      <c r="G16108" s="3"/>
      <c r="H16108" s="11"/>
      <c r="I16108" s="12"/>
      <c r="J16108" s="3"/>
      <c r="K16108" s="3"/>
      <c r="L16108" s="3"/>
      <c r="M16108" s="3"/>
      <c r="N16108" s="3"/>
      <c r="O16108" s="3"/>
      <c r="P16108" s="3"/>
      <c r="Q16108" s="3"/>
      <c r="R16108" s="3"/>
      <c r="S16108" s="3"/>
      <c r="T16108" s="3"/>
      <c r="U16108" s="3"/>
      <c r="V16108" s="3"/>
      <c r="W16108" s="3"/>
      <c r="X16108" s="3"/>
      <c r="Y16108" s="3"/>
      <c r="Z16108" s="3"/>
      <c r="AA16108" s="3"/>
      <c r="AB16108" s="3"/>
      <c r="AC16108" s="3"/>
      <c r="AD16108" s="3"/>
      <c r="AE16108" s="3"/>
      <c r="AF16108" s="3"/>
      <c r="AG16108" s="3"/>
      <c r="AH16108" s="3"/>
    </row>
    <row r="16109" spans="1:34" ht="14.25" customHeight="1" x14ac:dyDescent="0.25">
      <c r="A16109" s="3"/>
      <c r="B16109" s="3"/>
      <c r="C16109" s="3"/>
      <c r="D16109" s="3"/>
      <c r="E16109" s="3"/>
      <c r="F16109" s="3"/>
      <c r="G16109" s="3"/>
      <c r="H16109" s="11"/>
      <c r="I16109" s="12"/>
      <c r="J16109" s="3"/>
      <c r="K16109" s="3"/>
      <c r="L16109" s="3"/>
      <c r="M16109" s="3"/>
      <c r="N16109" s="3"/>
      <c r="O16109" s="3"/>
      <c r="P16109" s="3"/>
      <c r="Q16109" s="3"/>
      <c r="R16109" s="3"/>
      <c r="S16109" s="3"/>
      <c r="T16109" s="3"/>
      <c r="U16109" s="3"/>
      <c r="V16109" s="3"/>
      <c r="W16109" s="3"/>
      <c r="X16109" s="3"/>
      <c r="Y16109" s="3"/>
      <c r="Z16109" s="3"/>
      <c r="AA16109" s="3"/>
      <c r="AB16109" s="3"/>
      <c r="AC16109" s="3"/>
      <c r="AD16109" s="3"/>
      <c r="AE16109" s="3"/>
      <c r="AF16109" s="3"/>
      <c r="AG16109" s="3"/>
      <c r="AH16109" s="3"/>
    </row>
    <row r="16110" spans="1:34" ht="14.25" customHeight="1" x14ac:dyDescent="0.25">
      <c r="A16110" s="3"/>
      <c r="B16110" s="3"/>
      <c r="C16110" s="3"/>
      <c r="D16110" s="3"/>
      <c r="E16110" s="3"/>
      <c r="F16110" s="3"/>
      <c r="G16110" s="3"/>
      <c r="H16110" s="11"/>
      <c r="I16110" s="12"/>
      <c r="J16110" s="3"/>
      <c r="K16110" s="3"/>
      <c r="L16110" s="3"/>
      <c r="M16110" s="3"/>
      <c r="N16110" s="3"/>
      <c r="O16110" s="3"/>
      <c r="P16110" s="3"/>
      <c r="Q16110" s="3"/>
      <c r="R16110" s="3"/>
      <c r="S16110" s="3"/>
      <c r="T16110" s="3"/>
      <c r="U16110" s="3"/>
      <c r="V16110" s="3"/>
      <c r="W16110" s="3"/>
      <c r="X16110" s="3"/>
      <c r="Y16110" s="3"/>
      <c r="Z16110" s="3"/>
      <c r="AA16110" s="3"/>
      <c r="AB16110" s="3"/>
      <c r="AC16110" s="3"/>
      <c r="AD16110" s="3"/>
      <c r="AE16110" s="3"/>
      <c r="AF16110" s="3"/>
      <c r="AG16110" s="3"/>
      <c r="AH16110" s="3"/>
    </row>
    <row r="16111" spans="1:34" ht="14.25" customHeight="1" x14ac:dyDescent="0.25">
      <c r="A16111" s="3"/>
      <c r="B16111" s="3"/>
      <c r="C16111" s="3"/>
      <c r="D16111" s="3"/>
      <c r="E16111" s="3"/>
      <c r="F16111" s="3"/>
      <c r="G16111" s="3"/>
      <c r="H16111" s="11"/>
      <c r="I16111" s="12"/>
      <c r="J16111" s="3"/>
      <c r="K16111" s="3"/>
      <c r="L16111" s="3"/>
      <c r="M16111" s="3"/>
      <c r="N16111" s="3"/>
      <c r="O16111" s="3"/>
      <c r="P16111" s="3"/>
      <c r="Q16111" s="3"/>
      <c r="R16111" s="3"/>
      <c r="S16111" s="3"/>
      <c r="T16111" s="3"/>
      <c r="U16111" s="3"/>
      <c r="V16111" s="3"/>
      <c r="W16111" s="3"/>
      <c r="X16111" s="3"/>
      <c r="Y16111" s="3"/>
      <c r="Z16111" s="3"/>
      <c r="AA16111" s="3"/>
      <c r="AB16111" s="3"/>
      <c r="AC16111" s="3"/>
      <c r="AD16111" s="3"/>
      <c r="AE16111" s="3"/>
      <c r="AF16111" s="3"/>
      <c r="AG16111" s="3"/>
      <c r="AH16111" s="3"/>
    </row>
    <row r="16112" spans="1:34" ht="14.25" customHeight="1" x14ac:dyDescent="0.25">
      <c r="A16112" s="3"/>
      <c r="B16112" s="3"/>
      <c r="C16112" s="3"/>
      <c r="D16112" s="3"/>
      <c r="E16112" s="3"/>
      <c r="F16112" s="3"/>
      <c r="G16112" s="3"/>
      <c r="H16112" s="11"/>
      <c r="I16112" s="12"/>
      <c r="J16112" s="3"/>
      <c r="K16112" s="3"/>
      <c r="L16112" s="3"/>
      <c r="M16112" s="3"/>
      <c r="N16112" s="3"/>
      <c r="O16112" s="3"/>
      <c r="P16112" s="3"/>
      <c r="Q16112" s="3"/>
      <c r="R16112" s="3"/>
      <c r="S16112" s="3"/>
      <c r="T16112" s="3"/>
      <c r="U16112" s="3"/>
      <c r="V16112" s="3"/>
      <c r="W16112" s="3"/>
      <c r="X16112" s="3"/>
      <c r="Y16112" s="3"/>
      <c r="Z16112" s="3"/>
      <c r="AA16112" s="3"/>
      <c r="AB16112" s="3"/>
      <c r="AC16112" s="3"/>
      <c r="AD16112" s="3"/>
      <c r="AE16112" s="3"/>
      <c r="AF16112" s="3"/>
      <c r="AG16112" s="3"/>
      <c r="AH16112" s="3"/>
    </row>
    <row r="16113" spans="1:34" ht="14.25" customHeight="1" x14ac:dyDescent="0.25">
      <c r="A16113" s="3"/>
      <c r="B16113" s="3"/>
      <c r="C16113" s="3"/>
      <c r="D16113" s="3"/>
      <c r="E16113" s="3"/>
      <c r="F16113" s="3"/>
      <c r="G16113" s="3"/>
      <c r="H16113" s="11"/>
      <c r="I16113" s="12"/>
      <c r="J16113" s="3"/>
      <c r="K16113" s="3"/>
      <c r="L16113" s="3"/>
      <c r="M16113" s="3"/>
      <c r="N16113" s="3"/>
      <c r="O16113" s="3"/>
      <c r="P16113" s="3"/>
      <c r="Q16113" s="3"/>
      <c r="R16113" s="3"/>
      <c r="S16113" s="3"/>
      <c r="T16113" s="3"/>
      <c r="U16113" s="3"/>
      <c r="V16113" s="3"/>
      <c r="W16113" s="3"/>
      <c r="X16113" s="3"/>
      <c r="Y16113" s="3"/>
      <c r="Z16113" s="3"/>
      <c r="AA16113" s="3"/>
      <c r="AB16113" s="3"/>
      <c r="AC16113" s="3"/>
      <c r="AD16113" s="3"/>
      <c r="AE16113" s="3"/>
      <c r="AF16113" s="3"/>
      <c r="AG16113" s="3"/>
      <c r="AH16113" s="3"/>
    </row>
    <row r="16114" spans="1:34" ht="14.25" customHeight="1" x14ac:dyDescent="0.25">
      <c r="A16114" s="3"/>
      <c r="B16114" s="3"/>
      <c r="C16114" s="3"/>
      <c r="D16114" s="3"/>
      <c r="E16114" s="3"/>
      <c r="F16114" s="3"/>
      <c r="G16114" s="3"/>
      <c r="H16114" s="11"/>
      <c r="I16114" s="12"/>
      <c r="J16114" s="3"/>
      <c r="K16114" s="3"/>
      <c r="L16114" s="3"/>
      <c r="M16114" s="3"/>
      <c r="N16114" s="3"/>
      <c r="O16114" s="3"/>
      <c r="P16114" s="3"/>
      <c r="Q16114" s="3"/>
      <c r="R16114" s="3"/>
      <c r="S16114" s="3"/>
      <c r="T16114" s="3"/>
      <c r="U16114" s="3"/>
      <c r="V16114" s="3"/>
      <c r="W16114" s="3"/>
      <c r="X16114" s="3"/>
      <c r="Y16114" s="3"/>
      <c r="Z16114" s="3"/>
      <c r="AA16114" s="3"/>
      <c r="AB16114" s="3"/>
      <c r="AC16114" s="3"/>
      <c r="AD16114" s="3"/>
      <c r="AE16114" s="3"/>
      <c r="AF16114" s="3"/>
      <c r="AG16114" s="3"/>
      <c r="AH16114" s="3"/>
    </row>
    <row r="16115" spans="1:34" ht="14.25" customHeight="1" x14ac:dyDescent="0.25">
      <c r="A16115" s="3"/>
      <c r="B16115" s="3"/>
      <c r="C16115" s="3"/>
      <c r="D16115" s="3"/>
      <c r="E16115" s="3"/>
      <c r="F16115" s="3"/>
      <c r="G16115" s="3"/>
      <c r="H16115" s="11"/>
      <c r="I16115" s="12"/>
      <c r="J16115" s="3"/>
      <c r="K16115" s="3"/>
      <c r="L16115" s="3"/>
      <c r="M16115" s="3"/>
      <c r="N16115" s="3"/>
      <c r="O16115" s="3"/>
      <c r="P16115" s="3"/>
      <c r="Q16115" s="3"/>
      <c r="R16115" s="3"/>
      <c r="S16115" s="3"/>
      <c r="T16115" s="3"/>
      <c r="U16115" s="3"/>
      <c r="V16115" s="3"/>
      <c r="W16115" s="3"/>
      <c r="X16115" s="3"/>
      <c r="Y16115" s="3"/>
      <c r="Z16115" s="3"/>
      <c r="AA16115" s="3"/>
      <c r="AB16115" s="3"/>
      <c r="AC16115" s="3"/>
      <c r="AD16115" s="3"/>
      <c r="AE16115" s="3"/>
      <c r="AF16115" s="3"/>
      <c r="AG16115" s="3"/>
      <c r="AH16115" s="3"/>
    </row>
    <row r="16116" spans="1:34" ht="14.25" customHeight="1" x14ac:dyDescent="0.25">
      <c r="A16116" s="3"/>
      <c r="B16116" s="3"/>
      <c r="C16116" s="3"/>
      <c r="D16116" s="3"/>
      <c r="E16116" s="3"/>
      <c r="F16116" s="3"/>
      <c r="G16116" s="3"/>
      <c r="H16116" s="11"/>
      <c r="I16116" s="12"/>
      <c r="J16116" s="3"/>
      <c r="K16116" s="3"/>
      <c r="L16116" s="3"/>
      <c r="M16116" s="3"/>
      <c r="N16116" s="3"/>
      <c r="O16116" s="3"/>
      <c r="P16116" s="3"/>
      <c r="Q16116" s="3"/>
      <c r="R16116" s="3"/>
      <c r="S16116" s="3"/>
      <c r="T16116" s="3"/>
      <c r="U16116" s="3"/>
      <c r="V16116" s="3"/>
      <c r="W16116" s="3"/>
      <c r="X16116" s="3"/>
      <c r="Y16116" s="3"/>
      <c r="Z16116" s="3"/>
      <c r="AA16116" s="3"/>
      <c r="AB16116" s="3"/>
      <c r="AC16116" s="3"/>
      <c r="AD16116" s="3"/>
      <c r="AE16116" s="3"/>
      <c r="AF16116" s="3"/>
      <c r="AG16116" s="3"/>
      <c r="AH16116" s="3"/>
    </row>
    <row r="16117" spans="1:34" ht="14.25" customHeight="1" x14ac:dyDescent="0.25">
      <c r="A16117" s="3"/>
      <c r="B16117" s="3"/>
      <c r="C16117" s="3"/>
      <c r="D16117" s="3"/>
      <c r="E16117" s="3"/>
      <c r="F16117" s="3"/>
      <c r="G16117" s="3"/>
      <c r="H16117" s="11"/>
      <c r="I16117" s="12"/>
      <c r="J16117" s="3"/>
      <c r="K16117" s="3"/>
      <c r="L16117" s="3"/>
      <c r="M16117" s="3"/>
      <c r="N16117" s="3"/>
      <c r="O16117" s="3"/>
      <c r="P16117" s="3"/>
      <c r="Q16117" s="3"/>
      <c r="R16117" s="3"/>
      <c r="S16117" s="3"/>
      <c r="T16117" s="3"/>
      <c r="U16117" s="3"/>
      <c r="V16117" s="3"/>
      <c r="W16117" s="3"/>
      <c r="X16117" s="3"/>
      <c r="Y16117" s="3"/>
      <c r="Z16117" s="3"/>
      <c r="AA16117" s="3"/>
      <c r="AB16117" s="3"/>
      <c r="AC16117" s="3"/>
      <c r="AD16117" s="3"/>
      <c r="AE16117" s="3"/>
      <c r="AF16117" s="3"/>
      <c r="AG16117" s="3"/>
      <c r="AH16117" s="3"/>
    </row>
    <row r="16118" spans="1:34" ht="14.25" customHeight="1" x14ac:dyDescent="0.25">
      <c r="A16118" s="3"/>
      <c r="B16118" s="3"/>
      <c r="C16118" s="3"/>
      <c r="D16118" s="3"/>
      <c r="E16118" s="3"/>
      <c r="F16118" s="3"/>
      <c r="G16118" s="3"/>
      <c r="H16118" s="11"/>
      <c r="I16118" s="12"/>
      <c r="J16118" s="3"/>
      <c r="K16118" s="3"/>
      <c r="L16118" s="3"/>
      <c r="M16118" s="3"/>
      <c r="N16118" s="3"/>
      <c r="O16118" s="3"/>
      <c r="P16118" s="3"/>
      <c r="Q16118" s="3"/>
      <c r="R16118" s="3"/>
      <c r="S16118" s="3"/>
      <c r="T16118" s="3"/>
      <c r="U16118" s="3"/>
      <c r="V16118" s="3"/>
      <c r="W16118" s="3"/>
      <c r="X16118" s="3"/>
      <c r="Y16118" s="3"/>
      <c r="Z16118" s="3"/>
      <c r="AA16118" s="3"/>
      <c r="AB16118" s="3"/>
      <c r="AC16118" s="3"/>
      <c r="AD16118" s="3"/>
      <c r="AE16118" s="3"/>
      <c r="AF16118" s="3"/>
      <c r="AG16118" s="3"/>
      <c r="AH16118" s="3"/>
    </row>
    <row r="16119" spans="1:34" ht="14.25" customHeight="1" x14ac:dyDescent="0.25">
      <c r="A16119" s="3"/>
      <c r="B16119" s="3"/>
      <c r="C16119" s="3"/>
      <c r="D16119" s="3"/>
      <c r="E16119" s="3"/>
      <c r="F16119" s="3"/>
      <c r="G16119" s="3"/>
      <c r="H16119" s="11"/>
      <c r="I16119" s="12"/>
      <c r="J16119" s="3"/>
      <c r="K16119" s="3"/>
      <c r="L16119" s="3"/>
      <c r="M16119" s="3"/>
      <c r="N16119" s="3"/>
      <c r="O16119" s="3"/>
      <c r="P16119" s="3"/>
      <c r="Q16119" s="3"/>
      <c r="R16119" s="3"/>
      <c r="S16119" s="3"/>
      <c r="T16119" s="3"/>
      <c r="U16119" s="3"/>
      <c r="V16119" s="3"/>
      <c r="W16119" s="3"/>
      <c r="X16119" s="3"/>
      <c r="Y16119" s="3"/>
      <c r="Z16119" s="3"/>
      <c r="AA16119" s="3"/>
      <c r="AB16119" s="3"/>
      <c r="AC16119" s="3"/>
      <c r="AD16119" s="3"/>
      <c r="AE16119" s="3"/>
      <c r="AF16119" s="3"/>
      <c r="AG16119" s="3"/>
      <c r="AH16119" s="3"/>
    </row>
    <row r="16120" spans="1:34" ht="14.25" customHeight="1" x14ac:dyDescent="0.25">
      <c r="A16120" s="3"/>
      <c r="B16120" s="3"/>
      <c r="C16120" s="3"/>
      <c r="D16120" s="3"/>
      <c r="E16120" s="3"/>
      <c r="F16120" s="3"/>
      <c r="G16120" s="3"/>
      <c r="H16120" s="11"/>
      <c r="I16120" s="12"/>
      <c r="J16120" s="3"/>
      <c r="K16120" s="3"/>
      <c r="L16120" s="3"/>
      <c r="M16120" s="3"/>
      <c r="N16120" s="3"/>
      <c r="O16120" s="3"/>
      <c r="P16120" s="3"/>
      <c r="Q16120" s="3"/>
      <c r="R16120" s="3"/>
      <c r="S16120" s="3"/>
      <c r="T16120" s="3"/>
      <c r="U16120" s="3"/>
      <c r="V16120" s="3"/>
      <c r="W16120" s="3"/>
      <c r="X16120" s="3"/>
      <c r="Y16120" s="3"/>
      <c r="Z16120" s="3"/>
      <c r="AA16120" s="3"/>
      <c r="AB16120" s="3"/>
      <c r="AC16120" s="3"/>
      <c r="AD16120" s="3"/>
      <c r="AE16120" s="3"/>
      <c r="AF16120" s="3"/>
      <c r="AG16120" s="3"/>
      <c r="AH16120" s="3"/>
    </row>
    <row r="16121" spans="1:34" ht="14.25" customHeight="1" x14ac:dyDescent="0.25">
      <c r="A16121" s="3"/>
      <c r="B16121" s="3"/>
      <c r="C16121" s="3"/>
      <c r="D16121" s="3"/>
      <c r="E16121" s="3"/>
      <c r="F16121" s="3"/>
      <c r="G16121" s="3"/>
      <c r="H16121" s="11"/>
      <c r="I16121" s="12"/>
      <c r="J16121" s="3"/>
      <c r="K16121" s="3"/>
      <c r="L16121" s="3"/>
      <c r="M16121" s="3"/>
      <c r="N16121" s="3"/>
      <c r="O16121" s="3"/>
      <c r="P16121" s="3"/>
      <c r="Q16121" s="3"/>
      <c r="R16121" s="3"/>
      <c r="S16121" s="3"/>
      <c r="T16121" s="3"/>
      <c r="U16121" s="3"/>
      <c r="V16121" s="3"/>
      <c r="W16121" s="3"/>
      <c r="X16121" s="3"/>
      <c r="Y16121" s="3"/>
      <c r="Z16121" s="3"/>
      <c r="AA16121" s="3"/>
      <c r="AB16121" s="3"/>
      <c r="AC16121" s="3"/>
      <c r="AD16121" s="3"/>
      <c r="AE16121" s="3"/>
      <c r="AF16121" s="3"/>
      <c r="AG16121" s="3"/>
      <c r="AH16121" s="3"/>
    </row>
    <row r="16122" spans="1:34" ht="14.25" customHeight="1" x14ac:dyDescent="0.25">
      <c r="A16122" s="3"/>
      <c r="B16122" s="3"/>
      <c r="C16122" s="3"/>
      <c r="D16122" s="3"/>
      <c r="E16122" s="3"/>
      <c r="F16122" s="3"/>
      <c r="G16122" s="3"/>
      <c r="H16122" s="11"/>
      <c r="I16122" s="12"/>
      <c r="J16122" s="3"/>
      <c r="K16122" s="3"/>
      <c r="L16122" s="3"/>
      <c r="M16122" s="3"/>
      <c r="N16122" s="3"/>
      <c r="O16122" s="3"/>
      <c r="P16122" s="3"/>
      <c r="Q16122" s="3"/>
      <c r="R16122" s="3"/>
      <c r="S16122" s="3"/>
      <c r="T16122" s="3"/>
      <c r="U16122" s="3"/>
      <c r="V16122" s="3"/>
      <c r="W16122" s="3"/>
      <c r="X16122" s="3"/>
      <c r="Y16122" s="3"/>
      <c r="Z16122" s="3"/>
      <c r="AA16122" s="3"/>
      <c r="AB16122" s="3"/>
      <c r="AC16122" s="3"/>
      <c r="AD16122" s="3"/>
      <c r="AE16122" s="3"/>
      <c r="AF16122" s="3"/>
      <c r="AG16122" s="3"/>
      <c r="AH16122" s="3"/>
    </row>
    <row r="16123" spans="1:34" ht="14.25" customHeight="1" x14ac:dyDescent="0.25">
      <c r="A16123" s="3"/>
      <c r="B16123" s="3"/>
      <c r="C16123" s="3"/>
      <c r="D16123" s="3"/>
      <c r="E16123" s="3"/>
      <c r="F16123" s="3"/>
      <c r="G16123" s="3"/>
      <c r="H16123" s="11"/>
      <c r="I16123" s="12"/>
      <c r="J16123" s="3"/>
      <c r="K16123" s="3"/>
      <c r="L16123" s="3"/>
      <c r="M16123" s="3"/>
      <c r="N16123" s="3"/>
      <c r="O16123" s="3"/>
      <c r="P16123" s="3"/>
      <c r="Q16123" s="3"/>
      <c r="R16123" s="3"/>
      <c r="S16123" s="3"/>
      <c r="T16123" s="3"/>
      <c r="U16123" s="3"/>
      <c r="V16123" s="3"/>
      <c r="W16123" s="3"/>
      <c r="X16123" s="3"/>
      <c r="Y16123" s="3"/>
      <c r="Z16123" s="3"/>
      <c r="AA16123" s="3"/>
      <c r="AB16123" s="3"/>
      <c r="AC16123" s="3"/>
      <c r="AD16123" s="3"/>
      <c r="AE16123" s="3"/>
      <c r="AF16123" s="3"/>
      <c r="AG16123" s="3"/>
      <c r="AH16123" s="3"/>
    </row>
    <row r="16124" spans="1:34" ht="14.25" customHeight="1" x14ac:dyDescent="0.25">
      <c r="A16124" s="3"/>
      <c r="B16124" s="3"/>
      <c r="C16124" s="3"/>
      <c r="D16124" s="3"/>
      <c r="E16124" s="3"/>
      <c r="F16124" s="3"/>
      <c r="G16124" s="3"/>
      <c r="H16124" s="11"/>
      <c r="I16124" s="12"/>
      <c r="J16124" s="3"/>
      <c r="K16124" s="3"/>
      <c r="L16124" s="3"/>
      <c r="M16124" s="3"/>
      <c r="N16124" s="3"/>
      <c r="O16124" s="3"/>
      <c r="P16124" s="3"/>
      <c r="Q16124" s="3"/>
      <c r="R16124" s="3"/>
      <c r="S16124" s="3"/>
      <c r="T16124" s="3"/>
      <c r="U16124" s="3"/>
      <c r="V16124" s="3"/>
      <c r="W16124" s="3"/>
      <c r="X16124" s="3"/>
      <c r="Y16124" s="3"/>
      <c r="Z16124" s="3"/>
      <c r="AA16124" s="3"/>
      <c r="AB16124" s="3"/>
      <c r="AC16124" s="3"/>
      <c r="AD16124" s="3"/>
      <c r="AE16124" s="3"/>
      <c r="AF16124" s="3"/>
      <c r="AG16124" s="3"/>
      <c r="AH16124" s="3"/>
    </row>
    <row r="16125" spans="1:34" ht="14.25" customHeight="1" x14ac:dyDescent="0.25">
      <c r="A16125" s="3"/>
      <c r="B16125" s="3"/>
      <c r="C16125" s="3"/>
      <c r="D16125" s="3"/>
      <c r="E16125" s="3"/>
      <c r="F16125" s="3"/>
      <c r="G16125" s="3"/>
      <c r="H16125" s="11"/>
      <c r="I16125" s="12"/>
      <c r="J16125" s="3"/>
      <c r="K16125" s="3"/>
      <c r="L16125" s="3"/>
      <c r="M16125" s="3"/>
      <c r="N16125" s="3"/>
      <c r="O16125" s="3"/>
      <c r="P16125" s="3"/>
      <c r="Q16125" s="3"/>
      <c r="R16125" s="3"/>
      <c r="S16125" s="3"/>
      <c r="T16125" s="3"/>
      <c r="U16125" s="3"/>
      <c r="V16125" s="3"/>
      <c r="W16125" s="3"/>
      <c r="X16125" s="3"/>
      <c r="Y16125" s="3"/>
      <c r="Z16125" s="3"/>
      <c r="AA16125" s="3"/>
      <c r="AB16125" s="3"/>
      <c r="AC16125" s="3"/>
      <c r="AD16125" s="3"/>
      <c r="AE16125" s="3"/>
      <c r="AF16125" s="3"/>
      <c r="AG16125" s="3"/>
      <c r="AH16125" s="3"/>
    </row>
    <row r="16126" spans="1:34" ht="14.25" customHeight="1" x14ac:dyDescent="0.25">
      <c r="A16126" s="3"/>
      <c r="B16126" s="3"/>
      <c r="C16126" s="3"/>
      <c r="D16126" s="3"/>
      <c r="E16126" s="3"/>
      <c r="F16126" s="3"/>
      <c r="G16126" s="3"/>
      <c r="H16126" s="11"/>
      <c r="I16126" s="12"/>
      <c r="J16126" s="3"/>
      <c r="K16126" s="3"/>
      <c r="L16126" s="3"/>
      <c r="M16126" s="3"/>
      <c r="N16126" s="3"/>
      <c r="O16126" s="3"/>
      <c r="P16126" s="3"/>
      <c r="Q16126" s="3"/>
      <c r="R16126" s="3"/>
      <c r="S16126" s="3"/>
      <c r="T16126" s="3"/>
      <c r="U16126" s="3"/>
      <c r="V16126" s="3"/>
      <c r="W16126" s="3"/>
      <c r="X16126" s="3"/>
      <c r="Y16126" s="3"/>
      <c r="Z16126" s="3"/>
      <c r="AA16126" s="3"/>
      <c r="AB16126" s="3"/>
      <c r="AC16126" s="3"/>
      <c r="AD16126" s="3"/>
      <c r="AE16126" s="3"/>
      <c r="AF16126" s="3"/>
      <c r="AG16126" s="3"/>
      <c r="AH16126" s="3"/>
    </row>
    <row r="16127" spans="1:34" ht="14.25" customHeight="1" x14ac:dyDescent="0.25">
      <c r="A16127" s="3"/>
      <c r="B16127" s="3"/>
      <c r="C16127" s="3"/>
      <c r="D16127" s="3"/>
      <c r="E16127" s="3"/>
      <c r="F16127" s="3"/>
      <c r="G16127" s="3"/>
      <c r="H16127" s="11"/>
      <c r="I16127" s="12"/>
      <c r="J16127" s="3"/>
      <c r="K16127" s="3"/>
      <c r="L16127" s="3"/>
      <c r="M16127" s="3"/>
      <c r="N16127" s="3"/>
      <c r="O16127" s="3"/>
      <c r="P16127" s="3"/>
      <c r="Q16127" s="3"/>
      <c r="R16127" s="3"/>
      <c r="S16127" s="3"/>
      <c r="T16127" s="3"/>
      <c r="U16127" s="3"/>
      <c r="V16127" s="3"/>
      <c r="W16127" s="3"/>
      <c r="X16127" s="3"/>
      <c r="Y16127" s="3"/>
      <c r="Z16127" s="3"/>
      <c r="AA16127" s="3"/>
      <c r="AB16127" s="3"/>
      <c r="AC16127" s="3"/>
      <c r="AD16127" s="3"/>
      <c r="AE16127" s="3"/>
      <c r="AF16127" s="3"/>
      <c r="AG16127" s="3"/>
      <c r="AH16127" s="3"/>
    </row>
    <row r="16128" spans="1:34" ht="14.25" customHeight="1" x14ac:dyDescent="0.25">
      <c r="A16128" s="3"/>
      <c r="B16128" s="3"/>
      <c r="C16128" s="3"/>
      <c r="D16128" s="3"/>
      <c r="E16128" s="3"/>
      <c r="F16128" s="3"/>
      <c r="G16128" s="3"/>
      <c r="H16128" s="11"/>
      <c r="I16128" s="12"/>
      <c r="J16128" s="3"/>
      <c r="K16128" s="3"/>
      <c r="L16128" s="3"/>
      <c r="M16128" s="3"/>
      <c r="N16128" s="3"/>
      <c r="O16128" s="3"/>
      <c r="P16128" s="3"/>
      <c r="Q16128" s="3"/>
      <c r="R16128" s="3"/>
      <c r="S16128" s="3"/>
      <c r="T16128" s="3"/>
      <c r="U16128" s="3"/>
      <c r="V16128" s="3"/>
      <c r="W16128" s="3"/>
      <c r="X16128" s="3"/>
      <c r="Y16128" s="3"/>
      <c r="Z16128" s="3"/>
      <c r="AA16128" s="3"/>
      <c r="AB16128" s="3"/>
      <c r="AC16128" s="3"/>
      <c r="AD16128" s="3"/>
      <c r="AE16128" s="3"/>
      <c r="AF16128" s="3"/>
      <c r="AG16128" s="3"/>
      <c r="AH16128" s="3"/>
    </row>
    <row r="16129" spans="1:34" ht="14.25" customHeight="1" x14ac:dyDescent="0.25">
      <c r="A16129" s="3"/>
      <c r="B16129" s="3"/>
      <c r="C16129" s="3"/>
      <c r="D16129" s="3"/>
      <c r="E16129" s="3"/>
      <c r="F16129" s="3"/>
      <c r="G16129" s="3"/>
      <c r="H16129" s="11"/>
      <c r="I16129" s="12"/>
      <c r="J16129" s="3"/>
      <c r="K16129" s="3"/>
      <c r="L16129" s="3"/>
      <c r="M16129" s="3"/>
      <c r="N16129" s="3"/>
      <c r="O16129" s="3"/>
      <c r="P16129" s="3"/>
      <c r="Q16129" s="3"/>
      <c r="R16129" s="3"/>
      <c r="S16129" s="3"/>
      <c r="T16129" s="3"/>
      <c r="U16129" s="3"/>
      <c r="V16129" s="3"/>
      <c r="W16129" s="3"/>
      <c r="X16129" s="3"/>
      <c r="Y16129" s="3"/>
      <c r="Z16129" s="3"/>
      <c r="AA16129" s="3"/>
      <c r="AB16129" s="3"/>
      <c r="AC16129" s="3"/>
      <c r="AD16129" s="3"/>
      <c r="AE16129" s="3"/>
      <c r="AF16129" s="3"/>
      <c r="AG16129" s="3"/>
      <c r="AH16129" s="3"/>
    </row>
    <row r="16130" spans="1:34" ht="14.25" customHeight="1" x14ac:dyDescent="0.25">
      <c r="A16130" s="3"/>
      <c r="B16130" s="3"/>
      <c r="C16130" s="3"/>
      <c r="D16130" s="3"/>
      <c r="E16130" s="3"/>
      <c r="F16130" s="3"/>
      <c r="G16130" s="3"/>
      <c r="H16130" s="11"/>
      <c r="I16130" s="12"/>
      <c r="J16130" s="3"/>
      <c r="K16130" s="3"/>
      <c r="L16130" s="3"/>
      <c r="M16130" s="3"/>
      <c r="N16130" s="3"/>
      <c r="O16130" s="3"/>
      <c r="P16130" s="3"/>
      <c r="Q16130" s="3"/>
      <c r="R16130" s="3"/>
      <c r="S16130" s="3"/>
      <c r="T16130" s="3"/>
      <c r="U16130" s="3"/>
      <c r="V16130" s="3"/>
      <c r="W16130" s="3"/>
      <c r="X16130" s="3"/>
      <c r="Y16130" s="3"/>
      <c r="Z16130" s="3"/>
      <c r="AA16130" s="3"/>
      <c r="AB16130" s="3"/>
      <c r="AC16130" s="3"/>
      <c r="AD16130" s="3"/>
      <c r="AE16130" s="3"/>
      <c r="AF16130" s="3"/>
      <c r="AG16130" s="3"/>
      <c r="AH16130" s="3"/>
    </row>
    <row r="16131" spans="1:34" ht="14.25" customHeight="1" x14ac:dyDescent="0.25">
      <c r="A16131" s="3"/>
      <c r="B16131" s="3"/>
      <c r="C16131" s="3"/>
      <c r="D16131" s="3"/>
      <c r="E16131" s="3"/>
      <c r="F16131" s="3"/>
      <c r="G16131" s="3"/>
      <c r="H16131" s="11"/>
      <c r="I16131" s="12"/>
      <c r="J16131" s="3"/>
      <c r="K16131" s="3"/>
      <c r="L16131" s="3"/>
      <c r="M16131" s="3"/>
      <c r="N16131" s="3"/>
      <c r="O16131" s="3"/>
      <c r="P16131" s="3"/>
      <c r="Q16131" s="3"/>
      <c r="R16131" s="3"/>
      <c r="S16131" s="3"/>
      <c r="T16131" s="3"/>
      <c r="U16131" s="3"/>
      <c r="V16131" s="3"/>
      <c r="W16131" s="3"/>
      <c r="X16131" s="3"/>
      <c r="Y16131" s="3"/>
      <c r="Z16131" s="3"/>
      <c r="AA16131" s="3"/>
      <c r="AB16131" s="3"/>
      <c r="AC16131" s="3"/>
      <c r="AD16131" s="3"/>
      <c r="AE16131" s="3"/>
      <c r="AF16131" s="3"/>
      <c r="AG16131" s="3"/>
      <c r="AH16131" s="3"/>
    </row>
    <row r="16132" spans="1:34" ht="14.25" customHeight="1" x14ac:dyDescent="0.25">
      <c r="A16132" s="3"/>
      <c r="B16132" s="3"/>
      <c r="C16132" s="3"/>
      <c r="D16132" s="3"/>
      <c r="E16132" s="3"/>
      <c r="F16132" s="3"/>
      <c r="G16132" s="3"/>
      <c r="H16132" s="11"/>
      <c r="I16132" s="12"/>
      <c r="J16132" s="3"/>
      <c r="K16132" s="3"/>
      <c r="L16132" s="3"/>
      <c r="M16132" s="3"/>
      <c r="N16132" s="3"/>
      <c r="O16132" s="3"/>
      <c r="P16132" s="3"/>
      <c r="Q16132" s="3"/>
      <c r="R16132" s="3"/>
      <c r="S16132" s="3"/>
      <c r="T16132" s="3"/>
      <c r="U16132" s="3"/>
      <c r="V16132" s="3"/>
      <c r="W16132" s="3"/>
      <c r="X16132" s="3"/>
      <c r="Y16132" s="3"/>
      <c r="Z16132" s="3"/>
      <c r="AA16132" s="3"/>
      <c r="AB16132" s="3"/>
      <c r="AC16132" s="3"/>
      <c r="AD16132" s="3"/>
      <c r="AE16132" s="3"/>
      <c r="AF16132" s="3"/>
      <c r="AG16132" s="3"/>
      <c r="AH16132" s="3"/>
    </row>
    <row r="16133" spans="1:34" ht="14.25" customHeight="1" x14ac:dyDescent="0.25">
      <c r="A16133" s="3"/>
      <c r="B16133" s="3"/>
      <c r="C16133" s="3"/>
      <c r="D16133" s="3"/>
      <c r="E16133" s="3"/>
      <c r="F16133" s="3"/>
      <c r="G16133" s="3"/>
      <c r="H16133" s="11"/>
      <c r="I16133" s="12"/>
      <c r="J16133" s="3"/>
      <c r="K16133" s="3"/>
      <c r="L16133" s="3"/>
      <c r="M16133" s="3"/>
      <c r="N16133" s="3"/>
      <c r="O16133" s="3"/>
      <c r="P16133" s="3"/>
      <c r="Q16133" s="3"/>
      <c r="R16133" s="3"/>
      <c r="S16133" s="3"/>
      <c r="T16133" s="3"/>
      <c r="U16133" s="3"/>
      <c r="V16133" s="3"/>
      <c r="W16133" s="3"/>
      <c r="X16133" s="3"/>
      <c r="Y16133" s="3"/>
      <c r="Z16133" s="3"/>
      <c r="AA16133" s="3"/>
      <c r="AB16133" s="3"/>
      <c r="AC16133" s="3"/>
      <c r="AD16133" s="3"/>
      <c r="AE16133" s="3"/>
      <c r="AF16133" s="3"/>
      <c r="AG16133" s="3"/>
      <c r="AH16133" s="3"/>
    </row>
    <row r="16134" spans="1:34" ht="14.25" customHeight="1" x14ac:dyDescent="0.25">
      <c r="A16134" s="3"/>
      <c r="B16134" s="3"/>
      <c r="C16134" s="3"/>
      <c r="D16134" s="3"/>
      <c r="E16134" s="3"/>
      <c r="F16134" s="3"/>
      <c r="G16134" s="3"/>
      <c r="H16134" s="11"/>
      <c r="I16134" s="12"/>
      <c r="J16134" s="3"/>
      <c r="K16134" s="3"/>
      <c r="L16134" s="3"/>
      <c r="M16134" s="3"/>
      <c r="N16134" s="3"/>
      <c r="O16134" s="3"/>
      <c r="P16134" s="3"/>
      <c r="Q16134" s="3"/>
      <c r="R16134" s="3"/>
      <c r="S16134" s="3"/>
      <c r="T16134" s="3"/>
      <c r="U16134" s="3"/>
      <c r="V16134" s="3"/>
      <c r="W16134" s="3"/>
      <c r="X16134" s="3"/>
      <c r="Y16134" s="3"/>
      <c r="Z16134" s="3"/>
      <c r="AA16134" s="3"/>
      <c r="AB16134" s="3"/>
      <c r="AC16134" s="3"/>
      <c r="AD16134" s="3"/>
      <c r="AE16134" s="3"/>
      <c r="AF16134" s="3"/>
      <c r="AG16134" s="3"/>
      <c r="AH16134" s="3"/>
    </row>
    <row r="16135" spans="1:34" ht="14.25" customHeight="1" x14ac:dyDescent="0.25">
      <c r="A16135" s="3"/>
      <c r="B16135" s="3"/>
      <c r="C16135" s="3"/>
      <c r="D16135" s="3"/>
      <c r="E16135" s="3"/>
      <c r="F16135" s="3"/>
      <c r="G16135" s="3"/>
      <c r="H16135" s="11"/>
      <c r="I16135" s="12"/>
      <c r="J16135" s="3"/>
      <c r="K16135" s="3"/>
      <c r="L16135" s="3"/>
      <c r="M16135" s="3"/>
      <c r="N16135" s="3"/>
      <c r="O16135" s="3"/>
      <c r="P16135" s="3"/>
      <c r="Q16135" s="3"/>
      <c r="R16135" s="3"/>
      <c r="S16135" s="3"/>
      <c r="T16135" s="3"/>
      <c r="U16135" s="3"/>
      <c r="V16135" s="3"/>
      <c r="W16135" s="3"/>
      <c r="X16135" s="3"/>
      <c r="Y16135" s="3"/>
      <c r="Z16135" s="3"/>
      <c r="AA16135" s="3"/>
      <c r="AB16135" s="3"/>
      <c r="AC16135" s="3"/>
      <c r="AD16135" s="3"/>
      <c r="AE16135" s="3"/>
      <c r="AF16135" s="3"/>
      <c r="AG16135" s="3"/>
      <c r="AH16135" s="3"/>
    </row>
    <row r="16136" spans="1:34" ht="14.25" customHeight="1" x14ac:dyDescent="0.25">
      <c r="A16136" s="3"/>
      <c r="B16136" s="3"/>
      <c r="C16136" s="3"/>
      <c r="D16136" s="3"/>
      <c r="E16136" s="3"/>
      <c r="F16136" s="3"/>
      <c r="G16136" s="3"/>
      <c r="H16136" s="11"/>
      <c r="I16136" s="12"/>
      <c r="J16136" s="3"/>
      <c r="K16136" s="3"/>
      <c r="L16136" s="3"/>
      <c r="M16136" s="3"/>
      <c r="N16136" s="3"/>
      <c r="O16136" s="3"/>
      <c r="P16136" s="3"/>
      <c r="Q16136" s="3"/>
      <c r="R16136" s="3"/>
      <c r="S16136" s="3"/>
      <c r="T16136" s="3"/>
      <c r="U16136" s="3"/>
      <c r="V16136" s="3"/>
      <c r="W16136" s="3"/>
      <c r="X16136" s="3"/>
      <c r="Y16136" s="3"/>
      <c r="Z16136" s="3"/>
      <c r="AA16136" s="3"/>
      <c r="AB16136" s="3"/>
      <c r="AC16136" s="3"/>
      <c r="AD16136" s="3"/>
      <c r="AE16136" s="3"/>
      <c r="AF16136" s="3"/>
      <c r="AG16136" s="3"/>
      <c r="AH16136" s="3"/>
    </row>
    <row r="16137" spans="1:34" ht="14.25" customHeight="1" x14ac:dyDescent="0.25">
      <c r="A16137" s="3"/>
      <c r="B16137" s="3"/>
      <c r="C16137" s="3"/>
      <c r="D16137" s="3"/>
      <c r="E16137" s="3"/>
      <c r="F16137" s="3"/>
      <c r="G16137" s="3"/>
      <c r="H16137" s="11"/>
      <c r="I16137" s="12"/>
      <c r="J16137" s="3"/>
      <c r="K16137" s="3"/>
      <c r="L16137" s="3"/>
      <c r="M16137" s="3"/>
      <c r="N16137" s="3"/>
      <c r="O16137" s="3"/>
      <c r="P16137" s="3"/>
      <c r="Q16137" s="3"/>
      <c r="R16137" s="3"/>
      <c r="S16137" s="3"/>
      <c r="T16137" s="3"/>
      <c r="U16137" s="3"/>
      <c r="V16137" s="3"/>
      <c r="W16137" s="3"/>
      <c r="X16137" s="3"/>
      <c r="Y16137" s="3"/>
      <c r="Z16137" s="3"/>
      <c r="AA16137" s="3"/>
      <c r="AB16137" s="3"/>
      <c r="AC16137" s="3"/>
      <c r="AD16137" s="3"/>
      <c r="AE16137" s="3"/>
      <c r="AF16137" s="3"/>
      <c r="AG16137" s="3"/>
      <c r="AH16137" s="3"/>
    </row>
    <row r="16138" spans="1:34" ht="14.25" customHeight="1" x14ac:dyDescent="0.25">
      <c r="A16138" s="3"/>
      <c r="B16138" s="3"/>
      <c r="C16138" s="3"/>
      <c r="D16138" s="3"/>
      <c r="E16138" s="3"/>
      <c r="F16138" s="3"/>
      <c r="G16138" s="3"/>
      <c r="H16138" s="11"/>
      <c r="I16138" s="12"/>
      <c r="J16138" s="3"/>
      <c r="K16138" s="3"/>
      <c r="L16138" s="3"/>
      <c r="M16138" s="3"/>
      <c r="N16138" s="3"/>
      <c r="O16138" s="3"/>
      <c r="P16138" s="3"/>
      <c r="Q16138" s="3"/>
      <c r="R16138" s="3"/>
      <c r="S16138" s="3"/>
      <c r="T16138" s="3"/>
      <c r="U16138" s="3"/>
      <c r="V16138" s="3"/>
      <c r="W16138" s="3"/>
      <c r="X16138" s="3"/>
      <c r="Y16138" s="3"/>
      <c r="Z16138" s="3"/>
      <c r="AA16138" s="3"/>
      <c r="AB16138" s="3"/>
      <c r="AC16138" s="3"/>
      <c r="AD16138" s="3"/>
      <c r="AE16138" s="3"/>
      <c r="AF16138" s="3"/>
      <c r="AG16138" s="3"/>
      <c r="AH16138" s="3"/>
    </row>
    <row r="16139" spans="1:34" ht="14.25" customHeight="1" x14ac:dyDescent="0.25">
      <c r="A16139" s="3"/>
      <c r="B16139" s="3"/>
      <c r="C16139" s="3"/>
      <c r="D16139" s="3"/>
      <c r="E16139" s="3"/>
      <c r="F16139" s="3"/>
      <c r="G16139" s="3"/>
      <c r="H16139" s="11"/>
      <c r="I16139" s="12"/>
      <c r="J16139" s="3"/>
      <c r="K16139" s="3"/>
      <c r="L16139" s="3"/>
      <c r="M16139" s="3"/>
      <c r="N16139" s="3"/>
      <c r="O16139" s="3"/>
      <c r="P16139" s="3"/>
      <c r="Q16139" s="3"/>
      <c r="R16139" s="3"/>
      <c r="S16139" s="3"/>
      <c r="T16139" s="3"/>
      <c r="U16139" s="3"/>
      <c r="V16139" s="3"/>
      <c r="W16139" s="3"/>
      <c r="X16139" s="3"/>
      <c r="Y16139" s="3"/>
      <c r="Z16139" s="3"/>
      <c r="AA16139" s="3"/>
      <c r="AB16139" s="3"/>
      <c r="AC16139" s="3"/>
      <c r="AD16139" s="3"/>
      <c r="AE16139" s="3"/>
      <c r="AF16139" s="3"/>
      <c r="AG16139" s="3"/>
      <c r="AH16139" s="3"/>
    </row>
    <row r="16140" spans="1:34" ht="14.25" customHeight="1" x14ac:dyDescent="0.25">
      <c r="A16140" s="3"/>
      <c r="B16140" s="3"/>
      <c r="C16140" s="3"/>
      <c r="D16140" s="3"/>
      <c r="E16140" s="3"/>
      <c r="F16140" s="3"/>
      <c r="G16140" s="3"/>
      <c r="H16140" s="11"/>
      <c r="I16140" s="12"/>
      <c r="J16140" s="3"/>
      <c r="K16140" s="3"/>
      <c r="L16140" s="3"/>
      <c r="M16140" s="3"/>
      <c r="N16140" s="3"/>
      <c r="O16140" s="3"/>
      <c r="P16140" s="3"/>
      <c r="Q16140" s="3"/>
      <c r="R16140" s="3"/>
      <c r="S16140" s="3"/>
      <c r="T16140" s="3"/>
      <c r="U16140" s="3"/>
      <c r="V16140" s="3"/>
      <c r="W16140" s="3"/>
      <c r="X16140" s="3"/>
      <c r="Y16140" s="3"/>
      <c r="Z16140" s="3"/>
      <c r="AA16140" s="3"/>
      <c r="AB16140" s="3"/>
      <c r="AC16140" s="3"/>
      <c r="AD16140" s="3"/>
      <c r="AE16140" s="3"/>
      <c r="AF16140" s="3"/>
      <c r="AG16140" s="3"/>
      <c r="AH16140" s="3"/>
    </row>
    <row r="16141" spans="1:34" ht="14.25" customHeight="1" x14ac:dyDescent="0.25">
      <c r="A16141" s="3"/>
      <c r="B16141" s="3"/>
      <c r="C16141" s="3"/>
      <c r="D16141" s="3"/>
      <c r="E16141" s="3"/>
      <c r="F16141" s="3"/>
      <c r="G16141" s="3"/>
      <c r="H16141" s="11"/>
      <c r="I16141" s="12"/>
      <c r="J16141" s="3"/>
      <c r="K16141" s="3"/>
      <c r="L16141" s="3"/>
      <c r="M16141" s="3"/>
      <c r="N16141" s="3"/>
      <c r="O16141" s="3"/>
      <c r="P16141" s="3"/>
      <c r="Q16141" s="3"/>
      <c r="R16141" s="3"/>
      <c r="S16141" s="3"/>
      <c r="T16141" s="3"/>
      <c r="U16141" s="3"/>
      <c r="V16141" s="3"/>
      <c r="W16141" s="3"/>
      <c r="X16141" s="3"/>
      <c r="Y16141" s="3"/>
      <c r="Z16141" s="3"/>
      <c r="AA16141" s="3"/>
      <c r="AB16141" s="3"/>
      <c r="AC16141" s="3"/>
      <c r="AD16141" s="3"/>
      <c r="AE16141" s="3"/>
      <c r="AF16141" s="3"/>
      <c r="AG16141" s="3"/>
      <c r="AH16141" s="3"/>
    </row>
    <row r="16142" spans="1:34" ht="14.25" customHeight="1" x14ac:dyDescent="0.25">
      <c r="A16142" s="3"/>
      <c r="B16142" s="3"/>
      <c r="C16142" s="3"/>
      <c r="D16142" s="3"/>
      <c r="E16142" s="3"/>
      <c r="F16142" s="3"/>
      <c r="G16142" s="3"/>
      <c r="H16142" s="11"/>
      <c r="I16142" s="12"/>
      <c r="J16142" s="3"/>
      <c r="K16142" s="3"/>
      <c r="L16142" s="3"/>
      <c r="M16142" s="3"/>
      <c r="N16142" s="3"/>
      <c r="O16142" s="3"/>
      <c r="P16142" s="3"/>
      <c r="Q16142" s="3"/>
      <c r="R16142" s="3"/>
      <c r="S16142" s="3"/>
      <c r="T16142" s="3"/>
      <c r="U16142" s="3"/>
      <c r="V16142" s="3"/>
      <c r="W16142" s="3"/>
      <c r="X16142" s="3"/>
      <c r="Y16142" s="3"/>
      <c r="Z16142" s="3"/>
      <c r="AA16142" s="3"/>
      <c r="AB16142" s="3"/>
      <c r="AC16142" s="3"/>
      <c r="AD16142" s="3"/>
      <c r="AE16142" s="3"/>
      <c r="AF16142" s="3"/>
      <c r="AG16142" s="3"/>
      <c r="AH16142" s="3"/>
    </row>
    <row r="16143" spans="1:34" ht="14.25" customHeight="1" x14ac:dyDescent="0.25">
      <c r="A16143" s="3"/>
      <c r="B16143" s="3"/>
      <c r="C16143" s="3"/>
      <c r="D16143" s="3"/>
      <c r="E16143" s="3"/>
      <c r="F16143" s="3"/>
      <c r="G16143" s="3"/>
      <c r="H16143" s="11"/>
      <c r="I16143" s="12"/>
      <c r="J16143" s="3"/>
      <c r="K16143" s="3"/>
      <c r="L16143" s="3"/>
      <c r="M16143" s="3"/>
      <c r="N16143" s="3"/>
      <c r="O16143" s="3"/>
      <c r="P16143" s="3"/>
      <c r="Q16143" s="3"/>
      <c r="R16143" s="3"/>
      <c r="S16143" s="3"/>
      <c r="T16143" s="3"/>
      <c r="U16143" s="3"/>
      <c r="V16143" s="3"/>
      <c r="W16143" s="3"/>
      <c r="X16143" s="3"/>
      <c r="Y16143" s="3"/>
      <c r="Z16143" s="3"/>
      <c r="AA16143" s="3"/>
      <c r="AB16143" s="3"/>
      <c r="AC16143" s="3"/>
      <c r="AD16143" s="3"/>
      <c r="AE16143" s="3"/>
      <c r="AF16143" s="3"/>
      <c r="AG16143" s="3"/>
      <c r="AH16143" s="3"/>
    </row>
    <row r="16144" spans="1:34" ht="14.25" customHeight="1" x14ac:dyDescent="0.25">
      <c r="A16144" s="3"/>
      <c r="B16144" s="3"/>
      <c r="C16144" s="3"/>
      <c r="D16144" s="3"/>
      <c r="E16144" s="3"/>
      <c r="F16144" s="3"/>
      <c r="G16144" s="3"/>
      <c r="H16144" s="11"/>
      <c r="I16144" s="12"/>
      <c r="J16144" s="3"/>
      <c r="K16144" s="3"/>
      <c r="L16144" s="3"/>
      <c r="M16144" s="3"/>
      <c r="N16144" s="3"/>
      <c r="O16144" s="3"/>
      <c r="P16144" s="3"/>
      <c r="Q16144" s="3"/>
      <c r="R16144" s="3"/>
      <c r="S16144" s="3"/>
      <c r="T16144" s="3"/>
      <c r="U16144" s="3"/>
      <c r="V16144" s="3"/>
      <c r="W16144" s="3"/>
      <c r="X16144" s="3"/>
      <c r="Y16144" s="3"/>
      <c r="Z16144" s="3"/>
      <c r="AA16144" s="3"/>
      <c r="AB16144" s="3"/>
      <c r="AC16144" s="3"/>
      <c r="AD16144" s="3"/>
      <c r="AE16144" s="3"/>
      <c r="AF16144" s="3"/>
      <c r="AG16144" s="3"/>
      <c r="AH16144" s="3"/>
    </row>
    <row r="16145" spans="1:34" ht="14.25" customHeight="1" x14ac:dyDescent="0.25">
      <c r="A16145" s="3"/>
      <c r="B16145" s="3"/>
      <c r="C16145" s="3"/>
      <c r="D16145" s="3"/>
      <c r="E16145" s="3"/>
      <c r="F16145" s="3"/>
      <c r="G16145" s="3"/>
      <c r="H16145" s="11"/>
      <c r="I16145" s="12"/>
      <c r="J16145" s="3"/>
      <c r="K16145" s="3"/>
      <c r="L16145" s="3"/>
      <c r="M16145" s="3"/>
      <c r="N16145" s="3"/>
      <c r="O16145" s="3"/>
      <c r="P16145" s="3"/>
      <c r="Q16145" s="3"/>
      <c r="R16145" s="3"/>
      <c r="S16145" s="3"/>
      <c r="T16145" s="3"/>
      <c r="U16145" s="3"/>
      <c r="V16145" s="3"/>
      <c r="W16145" s="3"/>
      <c r="X16145" s="3"/>
      <c r="Y16145" s="3"/>
      <c r="Z16145" s="3"/>
      <c r="AA16145" s="3"/>
      <c r="AB16145" s="3"/>
      <c r="AC16145" s="3"/>
      <c r="AD16145" s="3"/>
      <c r="AE16145" s="3"/>
      <c r="AF16145" s="3"/>
      <c r="AG16145" s="3"/>
      <c r="AH16145" s="3"/>
    </row>
    <row r="16146" spans="1:34" ht="14.25" customHeight="1" x14ac:dyDescent="0.25">
      <c r="A16146" s="3"/>
      <c r="B16146" s="3"/>
      <c r="C16146" s="3"/>
      <c r="D16146" s="3"/>
      <c r="E16146" s="3"/>
      <c r="F16146" s="3"/>
      <c r="G16146" s="3"/>
      <c r="H16146" s="11"/>
      <c r="I16146" s="12"/>
      <c r="J16146" s="3"/>
      <c r="K16146" s="3"/>
      <c r="L16146" s="3"/>
      <c r="M16146" s="3"/>
      <c r="N16146" s="3"/>
      <c r="O16146" s="3"/>
      <c r="P16146" s="3"/>
      <c r="Q16146" s="3"/>
      <c r="R16146" s="3"/>
      <c r="S16146" s="3"/>
      <c r="T16146" s="3"/>
      <c r="U16146" s="3"/>
      <c r="V16146" s="3"/>
      <c r="W16146" s="3"/>
      <c r="X16146" s="3"/>
      <c r="Y16146" s="3"/>
      <c r="Z16146" s="3"/>
      <c r="AA16146" s="3"/>
      <c r="AB16146" s="3"/>
      <c r="AC16146" s="3"/>
      <c r="AD16146" s="3"/>
      <c r="AE16146" s="3"/>
      <c r="AF16146" s="3"/>
      <c r="AG16146" s="3"/>
      <c r="AH16146" s="3"/>
    </row>
    <row r="16147" spans="1:34" ht="14.25" customHeight="1" x14ac:dyDescent="0.25">
      <c r="A16147" s="3"/>
      <c r="B16147" s="3"/>
      <c r="C16147" s="3"/>
      <c r="D16147" s="3"/>
      <c r="E16147" s="3"/>
      <c r="F16147" s="3"/>
      <c r="G16147" s="3"/>
      <c r="H16147" s="11"/>
      <c r="I16147" s="12"/>
      <c r="J16147" s="3"/>
      <c r="K16147" s="3"/>
      <c r="L16147" s="3"/>
      <c r="M16147" s="3"/>
      <c r="N16147" s="3"/>
      <c r="O16147" s="3"/>
      <c r="P16147" s="3"/>
      <c r="Q16147" s="3"/>
      <c r="R16147" s="3"/>
      <c r="S16147" s="3"/>
      <c r="T16147" s="3"/>
      <c r="U16147" s="3"/>
      <c r="V16147" s="3"/>
      <c r="W16147" s="3"/>
      <c r="X16147" s="3"/>
      <c r="Y16147" s="3"/>
      <c r="Z16147" s="3"/>
      <c r="AA16147" s="3"/>
      <c r="AB16147" s="3"/>
      <c r="AC16147" s="3"/>
      <c r="AD16147" s="3"/>
      <c r="AE16147" s="3"/>
      <c r="AF16147" s="3"/>
      <c r="AG16147" s="3"/>
      <c r="AH16147" s="3"/>
    </row>
    <row r="16148" spans="1:34" ht="14.25" customHeight="1" x14ac:dyDescent="0.25">
      <c r="A16148" s="3"/>
      <c r="B16148" s="3"/>
      <c r="C16148" s="3"/>
      <c r="D16148" s="3"/>
      <c r="E16148" s="3"/>
      <c r="F16148" s="3"/>
      <c r="G16148" s="3"/>
      <c r="H16148" s="11"/>
      <c r="I16148" s="12"/>
      <c r="J16148" s="3"/>
      <c r="K16148" s="3"/>
      <c r="L16148" s="3"/>
      <c r="M16148" s="3"/>
      <c r="N16148" s="3"/>
      <c r="O16148" s="3"/>
      <c r="P16148" s="3"/>
      <c r="Q16148" s="3"/>
      <c r="R16148" s="3"/>
      <c r="S16148" s="3"/>
      <c r="T16148" s="3"/>
      <c r="U16148" s="3"/>
      <c r="V16148" s="3"/>
      <c r="W16148" s="3"/>
      <c r="X16148" s="3"/>
      <c r="Y16148" s="3"/>
      <c r="Z16148" s="3"/>
      <c r="AA16148" s="3"/>
      <c r="AB16148" s="3"/>
      <c r="AC16148" s="3"/>
      <c r="AD16148" s="3"/>
      <c r="AE16148" s="3"/>
      <c r="AF16148" s="3"/>
      <c r="AG16148" s="3"/>
      <c r="AH16148" s="3"/>
    </row>
    <row r="16149" spans="1:34" ht="14.25" customHeight="1" x14ac:dyDescent="0.25">
      <c r="A16149" s="3"/>
      <c r="B16149" s="3"/>
      <c r="C16149" s="3"/>
      <c r="D16149" s="3"/>
      <c r="E16149" s="3"/>
      <c r="F16149" s="3"/>
      <c r="G16149" s="3"/>
      <c r="H16149" s="11"/>
      <c r="I16149" s="12"/>
      <c r="J16149" s="3"/>
      <c r="K16149" s="3"/>
      <c r="L16149" s="3"/>
      <c r="M16149" s="3"/>
      <c r="N16149" s="3"/>
      <c r="O16149" s="3"/>
      <c r="P16149" s="3"/>
      <c r="Q16149" s="3"/>
      <c r="R16149" s="3"/>
      <c r="S16149" s="3"/>
      <c r="T16149" s="3"/>
      <c r="U16149" s="3"/>
      <c r="V16149" s="3"/>
      <c r="W16149" s="3"/>
      <c r="X16149" s="3"/>
      <c r="Y16149" s="3"/>
      <c r="Z16149" s="3"/>
      <c r="AA16149" s="3"/>
      <c r="AB16149" s="3"/>
      <c r="AC16149" s="3"/>
      <c r="AD16149" s="3"/>
      <c r="AE16149" s="3"/>
      <c r="AF16149" s="3"/>
      <c r="AG16149" s="3"/>
      <c r="AH16149" s="3"/>
    </row>
    <row r="16150" spans="1:34" ht="14.25" customHeight="1" x14ac:dyDescent="0.25">
      <c r="A16150" s="3"/>
      <c r="B16150" s="3"/>
      <c r="C16150" s="3"/>
      <c r="D16150" s="3"/>
      <c r="E16150" s="3"/>
      <c r="F16150" s="3"/>
      <c r="G16150" s="3"/>
      <c r="H16150" s="11"/>
      <c r="I16150" s="12"/>
      <c r="J16150" s="3"/>
      <c r="K16150" s="3"/>
      <c r="L16150" s="3"/>
      <c r="M16150" s="3"/>
      <c r="N16150" s="3"/>
      <c r="O16150" s="3"/>
      <c r="P16150" s="3"/>
      <c r="Q16150" s="3"/>
      <c r="R16150" s="3"/>
      <c r="S16150" s="3"/>
      <c r="T16150" s="3"/>
      <c r="U16150" s="3"/>
      <c r="V16150" s="3"/>
      <c r="W16150" s="3"/>
      <c r="X16150" s="3"/>
      <c r="Y16150" s="3"/>
      <c r="Z16150" s="3"/>
      <c r="AA16150" s="3"/>
      <c r="AB16150" s="3"/>
      <c r="AC16150" s="3"/>
      <c r="AD16150" s="3"/>
      <c r="AE16150" s="3"/>
      <c r="AF16150" s="3"/>
      <c r="AG16150" s="3"/>
      <c r="AH16150" s="3"/>
    </row>
    <row r="16151" spans="1:34" ht="14.25" customHeight="1" x14ac:dyDescent="0.25">
      <c r="A16151" s="3"/>
      <c r="B16151" s="3"/>
      <c r="C16151" s="3"/>
      <c r="D16151" s="3"/>
      <c r="E16151" s="3"/>
      <c r="F16151" s="3"/>
      <c r="G16151" s="3"/>
      <c r="H16151" s="11"/>
      <c r="I16151" s="12"/>
      <c r="J16151" s="3"/>
      <c r="K16151" s="3"/>
      <c r="L16151" s="3"/>
      <c r="M16151" s="3"/>
      <c r="N16151" s="3"/>
      <c r="O16151" s="3"/>
      <c r="P16151" s="3"/>
      <c r="Q16151" s="3"/>
      <c r="R16151" s="3"/>
      <c r="S16151" s="3"/>
      <c r="T16151" s="3"/>
      <c r="U16151" s="3"/>
      <c r="V16151" s="3"/>
      <c r="W16151" s="3"/>
      <c r="X16151" s="3"/>
      <c r="Y16151" s="3"/>
      <c r="Z16151" s="3"/>
      <c r="AA16151" s="3"/>
      <c r="AB16151" s="3"/>
      <c r="AC16151" s="3"/>
      <c r="AD16151" s="3"/>
      <c r="AE16151" s="3"/>
      <c r="AF16151" s="3"/>
      <c r="AG16151" s="3"/>
      <c r="AH16151" s="3"/>
    </row>
    <row r="16152" spans="1:34" ht="14.25" customHeight="1" x14ac:dyDescent="0.25">
      <c r="A16152" s="3"/>
      <c r="B16152" s="3"/>
      <c r="C16152" s="3"/>
      <c r="D16152" s="3"/>
      <c r="E16152" s="3"/>
      <c r="F16152" s="3"/>
      <c r="G16152" s="3"/>
      <c r="H16152" s="11"/>
      <c r="I16152" s="12"/>
      <c r="J16152" s="3"/>
      <c r="K16152" s="3"/>
      <c r="L16152" s="3"/>
      <c r="M16152" s="3"/>
      <c r="N16152" s="3"/>
      <c r="O16152" s="3"/>
      <c r="P16152" s="3"/>
      <c r="Q16152" s="3"/>
      <c r="R16152" s="3"/>
      <c r="S16152" s="3"/>
      <c r="T16152" s="3"/>
      <c r="U16152" s="3"/>
      <c r="V16152" s="3"/>
      <c r="W16152" s="3"/>
      <c r="X16152" s="3"/>
      <c r="Y16152" s="3"/>
      <c r="Z16152" s="3"/>
      <c r="AA16152" s="3"/>
      <c r="AB16152" s="3"/>
      <c r="AC16152" s="3"/>
      <c r="AD16152" s="3"/>
      <c r="AE16152" s="3"/>
      <c r="AF16152" s="3"/>
      <c r="AG16152" s="3"/>
      <c r="AH16152" s="3"/>
    </row>
    <row r="16153" spans="1:34" ht="14.25" customHeight="1" x14ac:dyDescent="0.25">
      <c r="A16153" s="3"/>
      <c r="B16153" s="3"/>
      <c r="C16153" s="3"/>
      <c r="D16153" s="3"/>
      <c r="E16153" s="3"/>
      <c r="F16153" s="3"/>
      <c r="G16153" s="3"/>
      <c r="H16153" s="11"/>
      <c r="I16153" s="12"/>
      <c r="J16153" s="3"/>
      <c r="K16153" s="3"/>
      <c r="L16153" s="3"/>
      <c r="M16153" s="3"/>
      <c r="N16153" s="3"/>
      <c r="O16153" s="3"/>
      <c r="P16153" s="3"/>
      <c r="Q16153" s="3"/>
      <c r="R16153" s="3"/>
      <c r="S16153" s="3"/>
      <c r="T16153" s="3"/>
      <c r="U16153" s="3"/>
      <c r="V16153" s="3"/>
      <c r="W16153" s="3"/>
      <c r="X16153" s="3"/>
      <c r="Y16153" s="3"/>
      <c r="Z16153" s="3"/>
      <c r="AA16153" s="3"/>
      <c r="AB16153" s="3"/>
      <c r="AC16153" s="3"/>
      <c r="AD16153" s="3"/>
      <c r="AE16153" s="3"/>
      <c r="AF16153" s="3"/>
      <c r="AG16153" s="3"/>
      <c r="AH16153" s="3"/>
    </row>
    <row r="16154" spans="1:34" ht="14.25" customHeight="1" x14ac:dyDescent="0.25">
      <c r="A16154" s="3"/>
      <c r="B16154" s="3"/>
      <c r="C16154" s="3"/>
      <c r="D16154" s="3"/>
      <c r="E16154" s="3"/>
      <c r="F16154" s="3"/>
      <c r="G16154" s="3"/>
      <c r="H16154" s="11"/>
      <c r="I16154" s="12"/>
      <c r="J16154" s="3"/>
      <c r="K16154" s="3"/>
      <c r="L16154" s="3"/>
      <c r="M16154" s="3"/>
      <c r="N16154" s="3"/>
      <c r="O16154" s="3"/>
      <c r="P16154" s="3"/>
      <c r="Q16154" s="3"/>
      <c r="R16154" s="3"/>
      <c r="S16154" s="3"/>
      <c r="T16154" s="3"/>
      <c r="U16154" s="3"/>
      <c r="V16154" s="3"/>
      <c r="W16154" s="3"/>
      <c r="X16154" s="3"/>
      <c r="Y16154" s="3"/>
      <c r="Z16154" s="3"/>
      <c r="AA16154" s="3"/>
      <c r="AB16154" s="3"/>
      <c r="AC16154" s="3"/>
      <c r="AD16154" s="3"/>
      <c r="AE16154" s="3"/>
      <c r="AF16154" s="3"/>
      <c r="AG16154" s="3"/>
      <c r="AH16154" s="3"/>
    </row>
    <row r="16155" spans="1:34" ht="14.25" customHeight="1" x14ac:dyDescent="0.25">
      <c r="A16155" s="3"/>
      <c r="B16155" s="3"/>
      <c r="C16155" s="3"/>
      <c r="D16155" s="3"/>
      <c r="E16155" s="3"/>
      <c r="F16155" s="3"/>
      <c r="G16155" s="3"/>
      <c r="H16155" s="11"/>
      <c r="I16155" s="12"/>
      <c r="J16155" s="3"/>
      <c r="K16155" s="3"/>
      <c r="L16155" s="3"/>
      <c r="M16155" s="3"/>
      <c r="N16155" s="3"/>
      <c r="O16155" s="3"/>
      <c r="P16155" s="3"/>
      <c r="Q16155" s="3"/>
      <c r="R16155" s="3"/>
      <c r="S16155" s="3"/>
      <c r="T16155" s="3"/>
      <c r="U16155" s="3"/>
      <c r="V16155" s="3"/>
      <c r="W16155" s="3"/>
      <c r="X16155" s="3"/>
      <c r="Y16155" s="3"/>
      <c r="Z16155" s="3"/>
      <c r="AA16155" s="3"/>
      <c r="AB16155" s="3"/>
      <c r="AC16155" s="3"/>
      <c r="AD16155" s="3"/>
      <c r="AE16155" s="3"/>
      <c r="AF16155" s="3"/>
      <c r="AG16155" s="3"/>
      <c r="AH16155" s="3"/>
    </row>
    <row r="16156" spans="1:34" ht="14.25" customHeight="1" x14ac:dyDescent="0.25">
      <c r="A16156" s="3"/>
      <c r="B16156" s="3"/>
      <c r="C16156" s="3"/>
      <c r="D16156" s="3"/>
      <c r="E16156" s="3"/>
      <c r="F16156" s="3"/>
      <c r="G16156" s="3"/>
      <c r="H16156" s="11"/>
      <c r="I16156" s="12"/>
      <c r="J16156" s="3"/>
      <c r="K16156" s="3"/>
      <c r="L16156" s="3"/>
      <c r="M16156" s="3"/>
      <c r="N16156" s="3"/>
      <c r="O16156" s="3"/>
      <c r="P16156" s="3"/>
      <c r="Q16156" s="3"/>
      <c r="R16156" s="3"/>
      <c r="S16156" s="3"/>
      <c r="T16156" s="3"/>
      <c r="U16156" s="3"/>
      <c r="V16156" s="3"/>
      <c r="W16156" s="3"/>
      <c r="X16156" s="3"/>
      <c r="Y16156" s="3"/>
      <c r="Z16156" s="3"/>
      <c r="AA16156" s="3"/>
      <c r="AB16156" s="3"/>
      <c r="AC16156" s="3"/>
      <c r="AD16156" s="3"/>
      <c r="AE16156" s="3"/>
      <c r="AF16156" s="3"/>
      <c r="AG16156" s="3"/>
      <c r="AH16156" s="3"/>
    </row>
    <row r="16157" spans="1:34" ht="14.25" customHeight="1" x14ac:dyDescent="0.25">
      <c r="A16157" s="3"/>
      <c r="B16157" s="3"/>
      <c r="C16157" s="3"/>
      <c r="D16157" s="3"/>
      <c r="E16157" s="3"/>
      <c r="F16157" s="3"/>
      <c r="G16157" s="3"/>
      <c r="H16157" s="11"/>
      <c r="I16157" s="12"/>
      <c r="J16157" s="3"/>
      <c r="K16157" s="3"/>
      <c r="L16157" s="3"/>
      <c r="M16157" s="3"/>
      <c r="N16157" s="3"/>
      <c r="O16157" s="3"/>
      <c r="P16157" s="3"/>
      <c r="Q16157" s="3"/>
      <c r="R16157" s="3"/>
      <c r="S16157" s="3"/>
      <c r="T16157" s="3"/>
      <c r="U16157" s="3"/>
      <c r="V16157" s="3"/>
      <c r="W16157" s="3"/>
      <c r="X16157" s="3"/>
      <c r="Y16157" s="3"/>
      <c r="Z16157" s="3"/>
      <c r="AA16157" s="3"/>
      <c r="AB16157" s="3"/>
      <c r="AC16157" s="3"/>
      <c r="AD16157" s="3"/>
      <c r="AE16157" s="3"/>
      <c r="AF16157" s="3"/>
      <c r="AG16157" s="3"/>
      <c r="AH16157" s="3"/>
    </row>
    <row r="16158" spans="1:34" ht="14.25" customHeight="1" x14ac:dyDescent="0.25">
      <c r="A16158" s="3"/>
      <c r="B16158" s="3"/>
      <c r="C16158" s="3"/>
      <c r="D16158" s="3"/>
      <c r="E16158" s="3"/>
      <c r="F16158" s="3"/>
      <c r="G16158" s="3"/>
      <c r="H16158" s="11"/>
      <c r="I16158" s="12"/>
      <c r="J16158" s="3"/>
      <c r="K16158" s="3"/>
      <c r="L16158" s="3"/>
      <c r="M16158" s="3"/>
      <c r="N16158" s="3"/>
      <c r="O16158" s="3"/>
      <c r="P16158" s="3"/>
      <c r="Q16158" s="3"/>
      <c r="R16158" s="3"/>
      <c r="S16158" s="3"/>
      <c r="T16158" s="3"/>
      <c r="U16158" s="3"/>
      <c r="V16158" s="3"/>
      <c r="W16158" s="3"/>
      <c r="X16158" s="3"/>
      <c r="Y16158" s="3"/>
      <c r="Z16158" s="3"/>
      <c r="AA16158" s="3"/>
      <c r="AB16158" s="3"/>
      <c r="AC16158" s="3"/>
      <c r="AD16158" s="3"/>
      <c r="AE16158" s="3"/>
      <c r="AF16158" s="3"/>
      <c r="AG16158" s="3"/>
      <c r="AH16158" s="3"/>
    </row>
    <row r="16159" spans="1:34" ht="14.25" customHeight="1" x14ac:dyDescent="0.25">
      <c r="A16159" s="3"/>
      <c r="B16159" s="3"/>
      <c r="C16159" s="3"/>
      <c r="D16159" s="3"/>
      <c r="E16159" s="3"/>
      <c r="F16159" s="3"/>
      <c r="G16159" s="3"/>
      <c r="H16159" s="11"/>
      <c r="I16159" s="12"/>
      <c r="J16159" s="3"/>
      <c r="K16159" s="3"/>
      <c r="L16159" s="3"/>
      <c r="M16159" s="3"/>
      <c r="N16159" s="3"/>
      <c r="O16159" s="3"/>
      <c r="P16159" s="3"/>
      <c r="Q16159" s="3"/>
      <c r="R16159" s="3"/>
      <c r="S16159" s="3"/>
      <c r="T16159" s="3"/>
      <c r="U16159" s="3"/>
      <c r="V16159" s="3"/>
      <c r="W16159" s="3"/>
      <c r="X16159" s="3"/>
      <c r="Y16159" s="3"/>
      <c r="Z16159" s="3"/>
      <c r="AA16159" s="3"/>
      <c r="AB16159" s="3"/>
      <c r="AC16159" s="3"/>
      <c r="AD16159" s="3"/>
      <c r="AE16159" s="3"/>
      <c r="AF16159" s="3"/>
      <c r="AG16159" s="3"/>
      <c r="AH16159" s="3"/>
    </row>
    <row r="16160" spans="1:34" ht="14.25" customHeight="1" x14ac:dyDescent="0.25">
      <c r="A16160" s="3"/>
      <c r="B16160" s="3"/>
      <c r="C16160" s="3"/>
      <c r="D16160" s="3"/>
      <c r="E16160" s="3"/>
      <c r="F16160" s="3"/>
      <c r="G16160" s="3"/>
      <c r="H16160" s="11"/>
      <c r="I16160" s="12"/>
      <c r="J16160" s="3"/>
      <c r="K16160" s="3"/>
      <c r="L16160" s="3"/>
      <c r="M16160" s="3"/>
      <c r="N16160" s="3"/>
      <c r="O16160" s="3"/>
      <c r="P16160" s="3"/>
      <c r="Q16160" s="3"/>
      <c r="R16160" s="3"/>
      <c r="S16160" s="3"/>
      <c r="T16160" s="3"/>
      <c r="U16160" s="3"/>
      <c r="V16160" s="3"/>
      <c r="W16160" s="3"/>
      <c r="X16160" s="3"/>
      <c r="Y16160" s="3"/>
      <c r="Z16160" s="3"/>
      <c r="AA16160" s="3"/>
      <c r="AB16160" s="3"/>
      <c r="AC16160" s="3"/>
      <c r="AD16160" s="3"/>
      <c r="AE16160" s="3"/>
      <c r="AF16160" s="3"/>
      <c r="AG16160" s="3"/>
      <c r="AH16160" s="3"/>
    </row>
    <row r="16161" spans="1:34" ht="14.25" customHeight="1" x14ac:dyDescent="0.25">
      <c r="A16161" s="3"/>
      <c r="B16161" s="3"/>
      <c r="C16161" s="3"/>
      <c r="D16161" s="3"/>
      <c r="E16161" s="3"/>
      <c r="F16161" s="3"/>
      <c r="G16161" s="3"/>
      <c r="H16161" s="11"/>
      <c r="I16161" s="12"/>
      <c r="J16161" s="3"/>
      <c r="K16161" s="3"/>
      <c r="L16161" s="3"/>
      <c r="M16161" s="3"/>
      <c r="N16161" s="3"/>
      <c r="O16161" s="3"/>
      <c r="P16161" s="3"/>
      <c r="Q16161" s="3"/>
      <c r="R16161" s="3"/>
      <c r="S16161" s="3"/>
      <c r="T16161" s="3"/>
      <c r="U16161" s="3"/>
      <c r="V16161" s="3"/>
      <c r="W16161" s="3"/>
      <c r="X16161" s="3"/>
      <c r="Y16161" s="3"/>
      <c r="Z16161" s="3"/>
      <c r="AA16161" s="3"/>
      <c r="AB16161" s="3"/>
      <c r="AC16161" s="3"/>
      <c r="AD16161" s="3"/>
      <c r="AE16161" s="3"/>
      <c r="AF16161" s="3"/>
      <c r="AG16161" s="3"/>
      <c r="AH16161" s="3"/>
    </row>
    <row r="16162" spans="1:34" ht="14.25" customHeight="1" x14ac:dyDescent="0.25">
      <c r="A16162" s="3"/>
      <c r="B16162" s="3"/>
      <c r="C16162" s="3"/>
      <c r="D16162" s="3"/>
      <c r="E16162" s="3"/>
      <c r="F16162" s="3"/>
      <c r="G16162" s="3"/>
      <c r="H16162" s="11"/>
      <c r="I16162" s="12"/>
      <c r="J16162" s="3"/>
      <c r="K16162" s="3"/>
      <c r="L16162" s="3"/>
      <c r="M16162" s="3"/>
      <c r="N16162" s="3"/>
      <c r="O16162" s="3"/>
      <c r="P16162" s="3"/>
      <c r="Q16162" s="3"/>
      <c r="R16162" s="3"/>
      <c r="S16162" s="3"/>
      <c r="T16162" s="3"/>
      <c r="U16162" s="3"/>
      <c r="V16162" s="3"/>
      <c r="W16162" s="3"/>
      <c r="X16162" s="3"/>
      <c r="Y16162" s="3"/>
      <c r="Z16162" s="3"/>
      <c r="AA16162" s="3"/>
      <c r="AB16162" s="3"/>
      <c r="AC16162" s="3"/>
      <c r="AD16162" s="3"/>
      <c r="AE16162" s="3"/>
      <c r="AF16162" s="3"/>
      <c r="AG16162" s="3"/>
      <c r="AH16162" s="3"/>
    </row>
    <row r="16163" spans="1:34" ht="14.25" customHeight="1" x14ac:dyDescent="0.25">
      <c r="A16163" s="3"/>
      <c r="B16163" s="3"/>
      <c r="C16163" s="3"/>
      <c r="D16163" s="3"/>
      <c r="E16163" s="3"/>
      <c r="F16163" s="3"/>
      <c r="G16163" s="3"/>
      <c r="H16163" s="11"/>
      <c r="I16163" s="12"/>
      <c r="J16163" s="3"/>
      <c r="K16163" s="3"/>
      <c r="L16163" s="3"/>
      <c r="M16163" s="3"/>
      <c r="N16163" s="3"/>
      <c r="O16163" s="3"/>
      <c r="P16163" s="3"/>
      <c r="Q16163" s="3"/>
      <c r="R16163" s="3"/>
      <c r="S16163" s="3"/>
      <c r="T16163" s="3"/>
      <c r="U16163" s="3"/>
      <c r="V16163" s="3"/>
      <c r="W16163" s="3"/>
      <c r="X16163" s="3"/>
      <c r="Y16163" s="3"/>
      <c r="Z16163" s="3"/>
      <c r="AA16163" s="3"/>
      <c r="AB16163" s="3"/>
      <c r="AC16163" s="3"/>
      <c r="AD16163" s="3"/>
      <c r="AE16163" s="3"/>
      <c r="AF16163" s="3"/>
      <c r="AG16163" s="3"/>
      <c r="AH16163" s="3"/>
    </row>
    <row r="16164" spans="1:34" ht="14.25" customHeight="1" x14ac:dyDescent="0.25">
      <c r="A16164" s="3"/>
      <c r="B16164" s="3"/>
      <c r="C16164" s="3"/>
      <c r="D16164" s="3"/>
      <c r="E16164" s="3"/>
      <c r="F16164" s="3"/>
      <c r="G16164" s="3"/>
      <c r="H16164" s="11"/>
      <c r="I16164" s="12"/>
      <c r="J16164" s="3"/>
      <c r="K16164" s="3"/>
      <c r="L16164" s="3"/>
      <c r="M16164" s="3"/>
      <c r="N16164" s="3"/>
      <c r="O16164" s="3"/>
      <c r="P16164" s="3"/>
      <c r="Q16164" s="3"/>
      <c r="R16164" s="3"/>
      <c r="S16164" s="3"/>
      <c r="T16164" s="3"/>
      <c r="U16164" s="3"/>
      <c r="V16164" s="3"/>
      <c r="W16164" s="3"/>
      <c r="X16164" s="3"/>
      <c r="Y16164" s="3"/>
      <c r="Z16164" s="3"/>
      <c r="AA16164" s="3"/>
      <c r="AB16164" s="3"/>
      <c r="AC16164" s="3"/>
      <c r="AD16164" s="3"/>
      <c r="AE16164" s="3"/>
      <c r="AF16164" s="3"/>
      <c r="AG16164" s="3"/>
      <c r="AH16164" s="3"/>
    </row>
    <row r="16165" spans="1:34" ht="14.25" customHeight="1" x14ac:dyDescent="0.25">
      <c r="A16165" s="3"/>
      <c r="B16165" s="3"/>
      <c r="C16165" s="3"/>
      <c r="D16165" s="3"/>
      <c r="E16165" s="3"/>
      <c r="F16165" s="3"/>
      <c r="G16165" s="3"/>
      <c r="H16165" s="11"/>
      <c r="I16165" s="12"/>
      <c r="J16165" s="3"/>
      <c r="K16165" s="3"/>
      <c r="L16165" s="3"/>
      <c r="M16165" s="3"/>
      <c r="N16165" s="3"/>
      <c r="O16165" s="3"/>
      <c r="P16165" s="3"/>
      <c r="Q16165" s="3"/>
      <c r="R16165" s="3"/>
      <c r="S16165" s="3"/>
      <c r="T16165" s="3"/>
      <c r="U16165" s="3"/>
      <c r="V16165" s="3"/>
      <c r="W16165" s="3"/>
      <c r="X16165" s="3"/>
      <c r="Y16165" s="3"/>
      <c r="Z16165" s="3"/>
      <c r="AA16165" s="3"/>
      <c r="AB16165" s="3"/>
      <c r="AC16165" s="3"/>
      <c r="AD16165" s="3"/>
      <c r="AE16165" s="3"/>
      <c r="AF16165" s="3"/>
      <c r="AG16165" s="3"/>
      <c r="AH16165" s="3"/>
    </row>
    <row r="16166" spans="1:34" ht="14.25" customHeight="1" x14ac:dyDescent="0.25">
      <c r="A16166" s="3"/>
      <c r="B16166" s="3"/>
      <c r="C16166" s="3"/>
      <c r="D16166" s="3"/>
      <c r="E16166" s="3"/>
      <c r="F16166" s="3"/>
      <c r="G16166" s="3"/>
      <c r="H16166" s="11"/>
      <c r="I16166" s="12"/>
      <c r="J16166" s="3"/>
      <c r="K16166" s="3"/>
      <c r="L16166" s="3"/>
      <c r="M16166" s="3"/>
      <c r="N16166" s="3"/>
      <c r="O16166" s="3"/>
      <c r="P16166" s="3"/>
      <c r="Q16166" s="3"/>
      <c r="R16166" s="3"/>
      <c r="S16166" s="3"/>
      <c r="T16166" s="3"/>
      <c r="U16166" s="3"/>
      <c r="V16166" s="3"/>
      <c r="W16166" s="3"/>
      <c r="X16166" s="3"/>
      <c r="Y16166" s="3"/>
      <c r="Z16166" s="3"/>
      <c r="AA16166" s="3"/>
      <c r="AB16166" s="3"/>
      <c r="AC16166" s="3"/>
      <c r="AD16166" s="3"/>
      <c r="AE16166" s="3"/>
      <c r="AF16166" s="3"/>
      <c r="AG16166" s="3"/>
      <c r="AH16166" s="3"/>
    </row>
    <row r="16167" spans="1:34" ht="14.25" customHeight="1" x14ac:dyDescent="0.25">
      <c r="A16167" s="3"/>
      <c r="B16167" s="3"/>
      <c r="C16167" s="3"/>
      <c r="D16167" s="3"/>
      <c r="E16167" s="3"/>
      <c r="F16167" s="3"/>
      <c r="G16167" s="3"/>
      <c r="H16167" s="11"/>
      <c r="I16167" s="12"/>
      <c r="J16167" s="3"/>
      <c r="K16167" s="3"/>
      <c r="L16167" s="3"/>
      <c r="M16167" s="3"/>
      <c r="N16167" s="3"/>
      <c r="O16167" s="3"/>
      <c r="P16167" s="3"/>
      <c r="Q16167" s="3"/>
      <c r="R16167" s="3"/>
      <c r="S16167" s="3"/>
      <c r="T16167" s="3"/>
      <c r="U16167" s="3"/>
      <c r="V16167" s="3"/>
      <c r="W16167" s="3"/>
      <c r="X16167" s="3"/>
      <c r="Y16167" s="3"/>
      <c r="Z16167" s="3"/>
      <c r="AA16167" s="3"/>
      <c r="AB16167" s="3"/>
      <c r="AC16167" s="3"/>
      <c r="AD16167" s="3"/>
      <c r="AE16167" s="3"/>
      <c r="AF16167" s="3"/>
      <c r="AG16167" s="3"/>
      <c r="AH16167" s="3"/>
    </row>
    <row r="16168" spans="1:34" ht="15" customHeight="1" x14ac:dyDescent="0.25">
      <c r="A16168" s="3"/>
      <c r="B16168" s="3"/>
      <c r="C16168" s="3"/>
      <c r="D16168" s="3"/>
      <c r="E16168" s="3"/>
      <c r="F16168" s="3"/>
      <c r="G16168" s="3"/>
      <c r="H16168" s="11"/>
      <c r="I16168" s="12"/>
      <c r="J16168" s="3"/>
      <c r="K16168" s="3"/>
      <c r="L16168" s="3"/>
      <c r="M16168" s="3"/>
      <c r="N16168" s="3"/>
      <c r="O16168" s="3"/>
      <c r="P16168" s="3"/>
      <c r="Q16168" s="3"/>
      <c r="R16168" s="3"/>
      <c r="S16168" s="3"/>
      <c r="T16168" s="3"/>
      <c r="U16168" s="3"/>
      <c r="V16168" s="3"/>
      <c r="W16168" s="3"/>
      <c r="X16168" s="3"/>
      <c r="Y16168" s="3"/>
      <c r="Z16168" s="3"/>
      <c r="AA16168" s="3"/>
      <c r="AB16168" s="3"/>
      <c r="AC16168" s="3"/>
      <c r="AD16168" s="3"/>
      <c r="AE16168" s="3"/>
      <c r="AF16168" s="3"/>
      <c r="AG16168" s="3"/>
      <c r="AH16168" s="3"/>
    </row>
    <row r="16169" spans="1:34" ht="15" customHeight="1" x14ac:dyDescent="0.25">
      <c r="A16169" s="3"/>
      <c r="B16169" s="3"/>
      <c r="C16169" s="3"/>
      <c r="D16169" s="3"/>
      <c r="E16169" s="3"/>
      <c r="F16169" s="3"/>
      <c r="G16169" s="3"/>
      <c r="H16169" s="11"/>
      <c r="I16169" s="12"/>
      <c r="J16169" s="3"/>
      <c r="K16169" s="3"/>
      <c r="L16169" s="3"/>
      <c r="M16169" s="3"/>
      <c r="N16169" s="3"/>
      <c r="O16169" s="3"/>
      <c r="P16169" s="3"/>
      <c r="Q16169" s="3"/>
      <c r="R16169" s="3"/>
      <c r="S16169" s="3"/>
      <c r="T16169" s="3"/>
      <c r="U16169" s="3"/>
      <c r="V16169" s="3"/>
      <c r="W16169" s="3"/>
      <c r="X16169" s="3"/>
      <c r="Y16169" s="3"/>
      <c r="Z16169" s="3"/>
      <c r="AA16169" s="3"/>
      <c r="AB16169" s="3"/>
      <c r="AC16169" s="3"/>
      <c r="AD16169" s="3"/>
      <c r="AE16169" s="3"/>
      <c r="AF16169" s="3"/>
      <c r="AG16169" s="3"/>
      <c r="AH16169" s="3"/>
    </row>
    <row r="16170" spans="1:34" ht="15" customHeight="1" x14ac:dyDescent="0.25">
      <c r="A16170" s="3"/>
      <c r="B16170" s="3"/>
      <c r="C16170" s="3"/>
      <c r="D16170" s="3"/>
      <c r="E16170" s="3"/>
      <c r="F16170" s="3"/>
      <c r="G16170" s="3"/>
      <c r="H16170" s="11"/>
      <c r="I16170" s="12"/>
      <c r="J16170" s="3"/>
      <c r="K16170" s="3"/>
      <c r="L16170" s="3"/>
      <c r="M16170" s="3"/>
      <c r="N16170" s="3"/>
      <c r="O16170" s="3"/>
      <c r="P16170" s="3"/>
      <c r="Q16170" s="3"/>
      <c r="R16170" s="3"/>
      <c r="S16170" s="3"/>
      <c r="T16170" s="3"/>
      <c r="U16170" s="3"/>
      <c r="V16170" s="3"/>
      <c r="W16170" s="3"/>
      <c r="X16170" s="3"/>
      <c r="Y16170" s="3"/>
      <c r="Z16170" s="3"/>
      <c r="AA16170" s="3"/>
      <c r="AB16170" s="3"/>
      <c r="AC16170" s="3"/>
      <c r="AD16170" s="3"/>
      <c r="AE16170" s="3"/>
      <c r="AF16170" s="3"/>
      <c r="AG16170" s="3"/>
      <c r="AH16170" s="3"/>
    </row>
    <row r="16171" spans="1:34" ht="15" customHeight="1" x14ac:dyDescent="0.25">
      <c r="A16171" s="3"/>
      <c r="B16171" s="3"/>
      <c r="C16171" s="3"/>
      <c r="D16171" s="3"/>
      <c r="E16171" s="3"/>
      <c r="F16171" s="3"/>
      <c r="G16171" s="3"/>
      <c r="H16171" s="11"/>
      <c r="I16171" s="12"/>
      <c r="J16171" s="3"/>
      <c r="K16171" s="3"/>
      <c r="L16171" s="3"/>
      <c r="M16171" s="3"/>
      <c r="N16171" s="3"/>
      <c r="O16171" s="3"/>
      <c r="P16171" s="3"/>
      <c r="Q16171" s="3"/>
      <c r="R16171" s="3"/>
      <c r="S16171" s="3"/>
      <c r="T16171" s="3"/>
      <c r="U16171" s="3"/>
      <c r="V16171" s="3"/>
      <c r="W16171" s="3"/>
      <c r="X16171" s="3"/>
      <c r="Y16171" s="3"/>
      <c r="Z16171" s="3"/>
      <c r="AA16171" s="3"/>
      <c r="AB16171" s="3"/>
      <c r="AC16171" s="3"/>
      <c r="AD16171" s="3"/>
      <c r="AE16171" s="3"/>
      <c r="AF16171" s="3"/>
      <c r="AG16171" s="3"/>
      <c r="AH16171" s="3"/>
    </row>
    <row r="16172" spans="1:34" ht="15" customHeight="1" x14ac:dyDescent="0.25">
      <c r="A16172" s="3"/>
      <c r="B16172" s="3"/>
      <c r="C16172" s="3"/>
      <c r="D16172" s="3"/>
      <c r="E16172" s="3"/>
      <c r="F16172" s="3"/>
      <c r="G16172" s="3"/>
      <c r="H16172" s="11"/>
      <c r="I16172" s="12"/>
      <c r="J16172" s="3"/>
      <c r="K16172" s="3"/>
      <c r="L16172" s="3"/>
      <c r="M16172" s="3"/>
      <c r="N16172" s="3"/>
      <c r="O16172" s="3"/>
      <c r="P16172" s="3"/>
      <c r="Q16172" s="3"/>
      <c r="R16172" s="3"/>
      <c r="S16172" s="3"/>
      <c r="T16172" s="3"/>
      <c r="U16172" s="3"/>
      <c r="V16172" s="3"/>
      <c r="W16172" s="3"/>
      <c r="X16172" s="3"/>
      <c r="Y16172" s="3"/>
      <c r="Z16172" s="3"/>
      <c r="AA16172" s="3"/>
      <c r="AB16172" s="3"/>
      <c r="AC16172" s="3"/>
      <c r="AD16172" s="3"/>
      <c r="AE16172" s="3"/>
      <c r="AF16172" s="3"/>
      <c r="AG16172" s="3"/>
      <c r="AH16172" s="3"/>
    </row>
    <row r="16173" spans="1:34" ht="15" customHeight="1" x14ac:dyDescent="0.25">
      <c r="A16173" s="3"/>
      <c r="B16173" s="3"/>
      <c r="C16173" s="3"/>
      <c r="D16173" s="3"/>
      <c r="E16173" s="3"/>
      <c r="F16173" s="3"/>
      <c r="G16173" s="3"/>
      <c r="H16173" s="11"/>
      <c r="I16173" s="12"/>
      <c r="J16173" s="3"/>
      <c r="K16173" s="3"/>
      <c r="L16173" s="3"/>
      <c r="M16173" s="3"/>
      <c r="N16173" s="3"/>
      <c r="O16173" s="3"/>
      <c r="P16173" s="3"/>
      <c r="Q16173" s="3"/>
      <c r="R16173" s="3"/>
      <c r="S16173" s="3"/>
      <c r="T16173" s="3"/>
      <c r="U16173" s="3"/>
      <c r="V16173" s="3"/>
      <c r="W16173" s="3"/>
      <c r="X16173" s="3"/>
      <c r="Y16173" s="3"/>
      <c r="Z16173" s="3"/>
      <c r="AA16173" s="3"/>
      <c r="AB16173" s="3"/>
      <c r="AC16173" s="3"/>
      <c r="AD16173" s="3"/>
      <c r="AE16173" s="3"/>
      <c r="AF16173" s="3"/>
      <c r="AG16173" s="3"/>
      <c r="AH16173" s="3"/>
    </row>
    <row r="16174" spans="1:34" ht="15" customHeight="1" x14ac:dyDescent="0.25">
      <c r="A16174" s="3"/>
      <c r="B16174" s="3"/>
      <c r="C16174" s="3"/>
      <c r="D16174" s="3"/>
      <c r="E16174" s="3"/>
      <c r="F16174" s="3"/>
      <c r="G16174" s="3"/>
      <c r="H16174" s="11"/>
      <c r="I16174" s="12"/>
      <c r="J16174" s="3"/>
      <c r="K16174" s="3"/>
      <c r="L16174" s="3"/>
      <c r="M16174" s="3"/>
      <c r="N16174" s="3"/>
      <c r="O16174" s="3"/>
      <c r="P16174" s="3"/>
      <c r="Q16174" s="3"/>
      <c r="R16174" s="3"/>
      <c r="S16174" s="3"/>
      <c r="T16174" s="3"/>
      <c r="U16174" s="3"/>
      <c r="V16174" s="3"/>
      <c r="W16174" s="3"/>
      <c r="X16174" s="3"/>
      <c r="Y16174" s="3"/>
      <c r="Z16174" s="3"/>
      <c r="AA16174" s="3"/>
      <c r="AB16174" s="3"/>
      <c r="AC16174" s="3"/>
      <c r="AD16174" s="3"/>
      <c r="AE16174" s="3"/>
      <c r="AF16174" s="3"/>
      <c r="AG16174" s="3"/>
      <c r="AH16174" s="3"/>
    </row>
    <row r="16175" spans="1:34" ht="15" customHeight="1" x14ac:dyDescent="0.25">
      <c r="A16175" s="3"/>
      <c r="B16175" s="3"/>
      <c r="C16175" s="3"/>
      <c r="D16175" s="3"/>
      <c r="E16175" s="3"/>
      <c r="F16175" s="3"/>
      <c r="G16175" s="3"/>
      <c r="H16175" s="11"/>
      <c r="I16175" s="12"/>
      <c r="J16175" s="3"/>
      <c r="K16175" s="3"/>
      <c r="L16175" s="3"/>
      <c r="M16175" s="3"/>
      <c r="N16175" s="3"/>
      <c r="O16175" s="3"/>
      <c r="P16175" s="3"/>
      <c r="Q16175" s="3"/>
      <c r="R16175" s="3"/>
      <c r="S16175" s="3"/>
      <c r="T16175" s="3"/>
      <c r="U16175" s="3"/>
      <c r="V16175" s="3"/>
      <c r="W16175" s="3"/>
      <c r="X16175" s="3"/>
      <c r="Y16175" s="3"/>
      <c r="Z16175" s="3"/>
      <c r="AA16175" s="3"/>
      <c r="AB16175" s="3"/>
      <c r="AC16175" s="3"/>
      <c r="AD16175" s="3"/>
      <c r="AE16175" s="3"/>
      <c r="AF16175" s="3"/>
      <c r="AG16175" s="3"/>
      <c r="AH16175" s="3"/>
    </row>
    <row r="16176" spans="1:34" ht="15" customHeight="1" x14ac:dyDescent="0.25">
      <c r="A16176" s="3"/>
      <c r="B16176" s="3"/>
      <c r="C16176" s="3"/>
      <c r="D16176" s="3"/>
      <c r="E16176" s="3"/>
      <c r="F16176" s="3"/>
      <c r="G16176" s="3"/>
      <c r="H16176" s="11"/>
      <c r="I16176" s="12"/>
      <c r="J16176" s="3"/>
      <c r="K16176" s="3"/>
      <c r="L16176" s="3"/>
      <c r="M16176" s="3"/>
      <c r="N16176" s="3"/>
      <c r="O16176" s="3"/>
      <c r="P16176" s="3"/>
      <c r="Q16176" s="3"/>
      <c r="R16176" s="3"/>
      <c r="S16176" s="3"/>
      <c r="T16176" s="3"/>
      <c r="U16176" s="3"/>
      <c r="V16176" s="3"/>
      <c r="W16176" s="3"/>
      <c r="X16176" s="3"/>
      <c r="Y16176" s="3"/>
      <c r="Z16176" s="3"/>
      <c r="AA16176" s="3"/>
      <c r="AB16176" s="3"/>
      <c r="AC16176" s="3"/>
      <c r="AD16176" s="3"/>
      <c r="AE16176" s="3"/>
      <c r="AF16176" s="3"/>
      <c r="AG16176" s="3"/>
      <c r="AH16176" s="3"/>
    </row>
    <row r="16177" spans="1:34" ht="15" customHeight="1" x14ac:dyDescent="0.25">
      <c r="A16177" s="3"/>
      <c r="B16177" s="3"/>
      <c r="C16177" s="3"/>
      <c r="D16177" s="3"/>
      <c r="E16177" s="3"/>
      <c r="F16177" s="3"/>
      <c r="G16177" s="3"/>
      <c r="H16177" s="11"/>
      <c r="I16177" s="12"/>
      <c r="J16177" s="3"/>
      <c r="K16177" s="3"/>
      <c r="L16177" s="3"/>
      <c r="M16177" s="3"/>
      <c r="N16177" s="3"/>
      <c r="O16177" s="3"/>
      <c r="P16177" s="3"/>
      <c r="Q16177" s="3"/>
      <c r="R16177" s="3"/>
      <c r="S16177" s="3"/>
      <c r="T16177" s="3"/>
      <c r="U16177" s="3"/>
      <c r="V16177" s="3"/>
      <c r="W16177" s="3"/>
      <c r="X16177" s="3"/>
      <c r="Y16177" s="3"/>
      <c r="Z16177" s="3"/>
      <c r="AA16177" s="3"/>
      <c r="AB16177" s="3"/>
      <c r="AC16177" s="3"/>
      <c r="AD16177" s="3"/>
      <c r="AE16177" s="3"/>
      <c r="AF16177" s="3"/>
      <c r="AG16177" s="3"/>
      <c r="AH16177" s="3"/>
    </row>
    <row r="16178" spans="1:34" ht="15" customHeight="1" x14ac:dyDescent="0.25">
      <c r="A16178" s="3"/>
      <c r="B16178" s="3"/>
      <c r="C16178" s="3"/>
      <c r="D16178" s="3"/>
      <c r="E16178" s="3"/>
      <c r="F16178" s="3"/>
      <c r="G16178" s="3"/>
      <c r="H16178" s="11"/>
      <c r="I16178" s="12"/>
      <c r="J16178" s="3"/>
      <c r="K16178" s="3"/>
      <c r="L16178" s="3"/>
      <c r="M16178" s="3"/>
      <c r="N16178" s="3"/>
      <c r="O16178" s="3"/>
      <c r="P16178" s="3"/>
      <c r="Q16178" s="3"/>
      <c r="R16178" s="3"/>
      <c r="S16178" s="3"/>
      <c r="T16178" s="3"/>
      <c r="U16178" s="3"/>
      <c r="V16178" s="3"/>
      <c r="W16178" s="3"/>
      <c r="X16178" s="3"/>
      <c r="Y16178" s="3"/>
      <c r="Z16178" s="3"/>
      <c r="AA16178" s="3"/>
      <c r="AB16178" s="3"/>
      <c r="AC16178" s="3"/>
      <c r="AD16178" s="3"/>
      <c r="AE16178" s="3"/>
      <c r="AF16178" s="3"/>
      <c r="AG16178" s="3"/>
      <c r="AH16178" s="3"/>
    </row>
    <row r="16179" spans="1:34" ht="15" customHeight="1" x14ac:dyDescent="0.25">
      <c r="A16179" s="3"/>
      <c r="B16179" s="3"/>
      <c r="C16179" s="3"/>
      <c r="D16179" s="3"/>
      <c r="E16179" s="3"/>
      <c r="F16179" s="3"/>
      <c r="G16179" s="3"/>
      <c r="H16179" s="11"/>
      <c r="I16179" s="12"/>
      <c r="J16179" s="3"/>
      <c r="K16179" s="3"/>
      <c r="L16179" s="3"/>
      <c r="M16179" s="3"/>
      <c r="N16179" s="3"/>
      <c r="O16179" s="3"/>
      <c r="P16179" s="3"/>
      <c r="Q16179" s="3"/>
      <c r="R16179" s="3"/>
      <c r="S16179" s="3"/>
      <c r="T16179" s="3"/>
      <c r="U16179" s="3"/>
      <c r="V16179" s="3"/>
      <c r="W16179" s="3"/>
      <c r="X16179" s="3"/>
      <c r="Y16179" s="3"/>
      <c r="Z16179" s="3"/>
      <c r="AA16179" s="3"/>
      <c r="AB16179" s="3"/>
      <c r="AC16179" s="3"/>
      <c r="AD16179" s="3"/>
      <c r="AE16179" s="3"/>
      <c r="AF16179" s="3"/>
      <c r="AG16179" s="3"/>
      <c r="AH16179" s="3"/>
    </row>
    <row r="16180" spans="1:34" ht="15" customHeight="1" x14ac:dyDescent="0.25">
      <c r="A16180" s="3"/>
      <c r="B16180" s="3"/>
      <c r="C16180" s="3"/>
      <c r="D16180" s="3"/>
      <c r="E16180" s="3"/>
      <c r="F16180" s="3"/>
      <c r="G16180" s="3"/>
      <c r="H16180" s="11"/>
      <c r="I16180" s="12"/>
      <c r="J16180" s="3"/>
      <c r="K16180" s="3"/>
      <c r="L16180" s="3"/>
      <c r="M16180" s="3"/>
      <c r="N16180" s="3"/>
      <c r="O16180" s="3"/>
      <c r="P16180" s="3"/>
      <c r="Q16180" s="3"/>
      <c r="R16180" s="3"/>
      <c r="S16180" s="3"/>
      <c r="T16180" s="3"/>
      <c r="U16180" s="3"/>
      <c r="V16180" s="3"/>
      <c r="W16180" s="3"/>
      <c r="X16180" s="3"/>
      <c r="Y16180" s="3"/>
      <c r="Z16180" s="3"/>
      <c r="AA16180" s="3"/>
      <c r="AB16180" s="3"/>
      <c r="AC16180" s="3"/>
      <c r="AD16180" s="3"/>
      <c r="AE16180" s="3"/>
      <c r="AF16180" s="3"/>
      <c r="AG16180" s="3"/>
      <c r="AH16180" s="3"/>
    </row>
    <row r="16181" spans="1:34" ht="15" customHeight="1" x14ac:dyDescent="0.25">
      <c r="A16181" s="3"/>
      <c r="B16181" s="3"/>
      <c r="C16181" s="3"/>
      <c r="D16181" s="3"/>
      <c r="E16181" s="3"/>
      <c r="F16181" s="3"/>
      <c r="G16181" s="3"/>
      <c r="H16181" s="11"/>
      <c r="I16181" s="12"/>
      <c r="J16181" s="3"/>
      <c r="K16181" s="3"/>
      <c r="L16181" s="3"/>
      <c r="M16181" s="3"/>
      <c r="N16181" s="3"/>
      <c r="O16181" s="3"/>
      <c r="P16181" s="3"/>
      <c r="Q16181" s="3"/>
      <c r="R16181" s="3"/>
      <c r="S16181" s="3"/>
      <c r="T16181" s="3"/>
      <c r="U16181" s="3"/>
      <c r="V16181" s="3"/>
      <c r="W16181" s="3"/>
      <c r="X16181" s="3"/>
      <c r="Y16181" s="3"/>
      <c r="Z16181" s="3"/>
      <c r="AA16181" s="3"/>
      <c r="AB16181" s="3"/>
      <c r="AC16181" s="3"/>
      <c r="AD16181" s="3"/>
      <c r="AE16181" s="3"/>
      <c r="AF16181" s="3"/>
      <c r="AG16181" s="3"/>
      <c r="AH16181" s="3"/>
    </row>
    <row r="16182" spans="1:34" ht="15" customHeight="1" x14ac:dyDescent="0.25">
      <c r="A16182" s="3"/>
      <c r="B16182" s="3"/>
      <c r="C16182" s="3"/>
      <c r="D16182" s="3"/>
      <c r="E16182" s="3"/>
      <c r="F16182" s="3"/>
      <c r="G16182" s="3"/>
      <c r="H16182" s="11"/>
      <c r="I16182" s="12"/>
      <c r="J16182" s="3"/>
      <c r="K16182" s="3"/>
      <c r="L16182" s="3"/>
      <c r="M16182" s="3"/>
      <c r="N16182" s="3"/>
      <c r="O16182" s="3"/>
      <c r="P16182" s="3"/>
      <c r="Q16182" s="3"/>
      <c r="R16182" s="3"/>
      <c r="S16182" s="3"/>
      <c r="T16182" s="3"/>
      <c r="U16182" s="3"/>
      <c r="V16182" s="3"/>
      <c r="W16182" s="3"/>
      <c r="X16182" s="3"/>
      <c r="Y16182" s="3"/>
      <c r="Z16182" s="3"/>
      <c r="AA16182" s="3"/>
      <c r="AB16182" s="3"/>
      <c r="AC16182" s="3"/>
      <c r="AD16182" s="3"/>
      <c r="AE16182" s="3"/>
      <c r="AF16182" s="3"/>
      <c r="AG16182" s="3"/>
      <c r="AH16182" s="3"/>
    </row>
    <row r="16183" spans="1:34" ht="15" customHeight="1" x14ac:dyDescent="0.25">
      <c r="A16183" s="3"/>
      <c r="B16183" s="3"/>
      <c r="C16183" s="3"/>
      <c r="D16183" s="3"/>
      <c r="E16183" s="3"/>
      <c r="F16183" s="3"/>
      <c r="G16183" s="3"/>
      <c r="H16183" s="11"/>
      <c r="I16183" s="12"/>
      <c r="J16183" s="3"/>
      <c r="K16183" s="3"/>
      <c r="L16183" s="3"/>
      <c r="M16183" s="3"/>
      <c r="N16183" s="3"/>
      <c r="O16183" s="3"/>
      <c r="P16183" s="3"/>
      <c r="Q16183" s="3"/>
      <c r="R16183" s="3"/>
      <c r="S16183" s="3"/>
      <c r="T16183" s="3"/>
      <c r="U16183" s="3"/>
      <c r="V16183" s="3"/>
      <c r="W16183" s="3"/>
      <c r="X16183" s="3"/>
      <c r="Y16183" s="3"/>
      <c r="Z16183" s="3"/>
      <c r="AA16183" s="3"/>
      <c r="AB16183" s="3"/>
      <c r="AC16183" s="3"/>
      <c r="AD16183" s="3"/>
      <c r="AE16183" s="3"/>
      <c r="AF16183" s="3"/>
      <c r="AG16183" s="3"/>
      <c r="AH16183" s="3"/>
    </row>
    <row r="16184" spans="1:34" ht="15" customHeight="1" x14ac:dyDescent="0.25">
      <c r="A16184" s="3"/>
      <c r="B16184" s="3"/>
      <c r="C16184" s="3"/>
      <c r="D16184" s="3"/>
      <c r="E16184" s="3"/>
      <c r="F16184" s="3"/>
      <c r="G16184" s="3"/>
      <c r="H16184" s="11"/>
      <c r="I16184" s="12"/>
      <c r="J16184" s="3"/>
      <c r="K16184" s="3"/>
      <c r="L16184" s="3"/>
      <c r="M16184" s="3"/>
      <c r="N16184" s="3"/>
      <c r="O16184" s="3"/>
      <c r="P16184" s="3"/>
      <c r="Q16184" s="3"/>
      <c r="R16184" s="3"/>
      <c r="S16184" s="3"/>
      <c r="T16184" s="3"/>
      <c r="U16184" s="3"/>
      <c r="V16184" s="3"/>
      <c r="W16184" s="3"/>
      <c r="X16184" s="3"/>
      <c r="Y16184" s="3"/>
      <c r="Z16184" s="3"/>
      <c r="AA16184" s="3"/>
      <c r="AB16184" s="3"/>
      <c r="AC16184" s="3"/>
      <c r="AD16184" s="3"/>
      <c r="AE16184" s="3"/>
      <c r="AF16184" s="3"/>
      <c r="AG16184" s="3"/>
      <c r="AH16184" s="3"/>
    </row>
    <row r="16185" spans="1:34" ht="15" customHeight="1" x14ac:dyDescent="0.25">
      <c r="A16185" s="3"/>
      <c r="B16185" s="3"/>
      <c r="C16185" s="3"/>
      <c r="D16185" s="3"/>
      <c r="E16185" s="3"/>
      <c r="F16185" s="3"/>
      <c r="G16185" s="3"/>
      <c r="H16185" s="11"/>
      <c r="I16185" s="12"/>
      <c r="J16185" s="3"/>
      <c r="K16185" s="3"/>
      <c r="L16185" s="3"/>
      <c r="M16185" s="3"/>
      <c r="N16185" s="3"/>
      <c r="O16185" s="3"/>
      <c r="P16185" s="3"/>
      <c r="Q16185" s="3"/>
      <c r="R16185" s="3"/>
      <c r="S16185" s="3"/>
      <c r="T16185" s="3"/>
      <c r="U16185" s="3"/>
      <c r="V16185" s="3"/>
      <c r="W16185" s="3"/>
      <c r="X16185" s="3"/>
      <c r="Y16185" s="3"/>
      <c r="Z16185" s="3"/>
      <c r="AA16185" s="3"/>
      <c r="AB16185" s="3"/>
      <c r="AC16185" s="3"/>
      <c r="AD16185" s="3"/>
      <c r="AE16185" s="3"/>
      <c r="AF16185" s="3"/>
      <c r="AG16185" s="3"/>
      <c r="AH16185" s="3"/>
    </row>
    <row r="16186" spans="1:34" ht="15" customHeight="1" x14ac:dyDescent="0.25">
      <c r="A16186" s="3"/>
      <c r="B16186" s="3"/>
      <c r="C16186" s="3"/>
      <c r="D16186" s="3"/>
      <c r="E16186" s="3"/>
      <c r="F16186" s="3"/>
      <c r="G16186" s="3"/>
      <c r="H16186" s="11"/>
      <c r="I16186" s="12"/>
      <c r="J16186" s="3"/>
      <c r="K16186" s="3"/>
      <c r="L16186" s="3"/>
      <c r="M16186" s="3"/>
      <c r="N16186" s="3"/>
      <c r="O16186" s="3"/>
      <c r="P16186" s="3"/>
      <c r="Q16186" s="3"/>
      <c r="R16186" s="3"/>
      <c r="S16186" s="3"/>
      <c r="T16186" s="3"/>
      <c r="U16186" s="3"/>
      <c r="V16186" s="3"/>
      <c r="W16186" s="3"/>
      <c r="X16186" s="3"/>
      <c r="Y16186" s="3"/>
      <c r="Z16186" s="3"/>
      <c r="AA16186" s="3"/>
      <c r="AB16186" s="3"/>
      <c r="AC16186" s="3"/>
      <c r="AD16186" s="3"/>
      <c r="AE16186" s="3"/>
      <c r="AF16186" s="3"/>
      <c r="AG16186" s="3"/>
      <c r="AH16186" s="3"/>
    </row>
    <row r="16187" spans="1:34" ht="15" customHeight="1" x14ac:dyDescent="0.25">
      <c r="A16187" s="3"/>
      <c r="B16187" s="3"/>
      <c r="C16187" s="3"/>
      <c r="D16187" s="3"/>
      <c r="E16187" s="3"/>
      <c r="F16187" s="3"/>
      <c r="G16187" s="3"/>
      <c r="H16187" s="11"/>
      <c r="I16187" s="12"/>
      <c r="J16187" s="3"/>
      <c r="K16187" s="3"/>
      <c r="L16187" s="3"/>
      <c r="M16187" s="3"/>
      <c r="N16187" s="3"/>
      <c r="O16187" s="3"/>
      <c r="P16187" s="3"/>
      <c r="Q16187" s="3"/>
      <c r="R16187" s="3"/>
      <c r="S16187" s="3"/>
      <c r="T16187" s="3"/>
      <c r="U16187" s="3"/>
      <c r="V16187" s="3"/>
      <c r="W16187" s="3"/>
      <c r="X16187" s="3"/>
      <c r="Y16187" s="3"/>
      <c r="Z16187" s="3"/>
      <c r="AA16187" s="3"/>
      <c r="AB16187" s="3"/>
      <c r="AC16187" s="3"/>
      <c r="AD16187" s="3"/>
      <c r="AE16187" s="3"/>
      <c r="AF16187" s="3"/>
      <c r="AG16187" s="3"/>
      <c r="AH16187" s="3"/>
    </row>
    <row r="16188" spans="1:34" ht="15" customHeight="1" x14ac:dyDescent="0.25">
      <c r="A16188" s="3"/>
      <c r="B16188" s="3"/>
      <c r="C16188" s="3"/>
      <c r="D16188" s="3"/>
      <c r="E16188" s="3"/>
      <c r="F16188" s="3"/>
      <c r="G16188" s="3"/>
      <c r="H16188" s="11"/>
      <c r="I16188" s="12"/>
      <c r="J16188" s="3"/>
      <c r="K16188" s="3"/>
      <c r="L16188" s="3"/>
      <c r="M16188" s="3"/>
      <c r="N16188" s="3"/>
      <c r="O16188" s="3"/>
      <c r="P16188" s="3"/>
      <c r="Q16188" s="3"/>
      <c r="R16188" s="3"/>
      <c r="S16188" s="3"/>
      <c r="T16188" s="3"/>
      <c r="U16188" s="3"/>
      <c r="V16188" s="3"/>
      <c r="W16188" s="3"/>
      <c r="X16188" s="3"/>
      <c r="Y16188" s="3"/>
      <c r="Z16188" s="3"/>
      <c r="AA16188" s="3"/>
      <c r="AB16188" s="3"/>
      <c r="AC16188" s="3"/>
      <c r="AD16188" s="3"/>
      <c r="AE16188" s="3"/>
      <c r="AF16188" s="3"/>
      <c r="AG16188" s="3"/>
      <c r="AH16188" s="3"/>
    </row>
    <row r="16189" spans="1:34" ht="15" customHeight="1" x14ac:dyDescent="0.25">
      <c r="A16189" s="3"/>
      <c r="B16189" s="3"/>
      <c r="C16189" s="3"/>
      <c r="D16189" s="3"/>
      <c r="E16189" s="3"/>
      <c r="F16189" s="3"/>
      <c r="G16189" s="3"/>
      <c r="H16189" s="11"/>
      <c r="I16189" s="12"/>
      <c r="J16189" s="3"/>
      <c r="K16189" s="3"/>
      <c r="L16189" s="3"/>
      <c r="M16189" s="3"/>
      <c r="N16189" s="3"/>
      <c r="O16189" s="3"/>
      <c r="P16189" s="3"/>
      <c r="Q16189" s="3"/>
      <c r="R16189" s="3"/>
      <c r="S16189" s="3"/>
      <c r="T16189" s="3"/>
      <c r="U16189" s="3"/>
      <c r="V16189" s="3"/>
      <c r="W16189" s="3"/>
      <c r="X16189" s="3"/>
      <c r="Y16189" s="3"/>
      <c r="Z16189" s="3"/>
      <c r="AA16189" s="3"/>
      <c r="AB16189" s="3"/>
      <c r="AC16189" s="3"/>
      <c r="AD16189" s="3"/>
      <c r="AE16189" s="3"/>
      <c r="AF16189" s="3"/>
      <c r="AG16189" s="3"/>
      <c r="AH16189" s="3"/>
    </row>
    <row r="16190" spans="1:34" ht="15" customHeight="1" x14ac:dyDescent="0.25">
      <c r="A16190" s="3"/>
      <c r="B16190" s="3"/>
      <c r="C16190" s="3"/>
      <c r="D16190" s="3"/>
      <c r="E16190" s="3"/>
      <c r="F16190" s="3"/>
      <c r="G16190" s="3"/>
      <c r="H16190" s="11"/>
      <c r="I16190" s="12"/>
      <c r="J16190" s="3"/>
      <c r="K16190" s="3"/>
      <c r="L16190" s="3"/>
      <c r="M16190" s="3"/>
      <c r="N16190" s="3"/>
      <c r="O16190" s="3"/>
      <c r="P16190" s="3"/>
      <c r="Q16190" s="3"/>
      <c r="R16190" s="3"/>
      <c r="S16190" s="3"/>
      <c r="T16190" s="3"/>
      <c r="U16190" s="3"/>
      <c r="V16190" s="3"/>
      <c r="W16190" s="3"/>
      <c r="X16190" s="3"/>
      <c r="Y16190" s="3"/>
      <c r="Z16190" s="3"/>
      <c r="AA16190" s="3"/>
      <c r="AB16190" s="3"/>
      <c r="AC16190" s="3"/>
      <c r="AD16190" s="3"/>
      <c r="AE16190" s="3"/>
      <c r="AF16190" s="3"/>
      <c r="AG16190" s="3"/>
      <c r="AH16190" s="3"/>
    </row>
    <row r="16191" spans="1:34" ht="15" customHeight="1" x14ac:dyDescent="0.25">
      <c r="A16191" s="3"/>
      <c r="B16191" s="3"/>
      <c r="C16191" s="3"/>
      <c r="D16191" s="3"/>
      <c r="E16191" s="3"/>
      <c r="F16191" s="3"/>
      <c r="G16191" s="3"/>
      <c r="H16191" s="11"/>
      <c r="I16191" s="12"/>
      <c r="J16191" s="3"/>
      <c r="K16191" s="3"/>
      <c r="L16191" s="3"/>
      <c r="M16191" s="3"/>
      <c r="N16191" s="3"/>
      <c r="O16191" s="3"/>
      <c r="P16191" s="3"/>
      <c r="Q16191" s="3"/>
      <c r="R16191" s="3"/>
      <c r="S16191" s="3"/>
      <c r="T16191" s="3"/>
      <c r="U16191" s="3"/>
      <c r="V16191" s="3"/>
      <c r="W16191" s="3"/>
      <c r="X16191" s="3"/>
      <c r="Y16191" s="3"/>
      <c r="Z16191" s="3"/>
      <c r="AA16191" s="3"/>
      <c r="AB16191" s="3"/>
      <c r="AC16191" s="3"/>
      <c r="AD16191" s="3"/>
      <c r="AE16191" s="3"/>
      <c r="AF16191" s="3"/>
      <c r="AG16191" s="3"/>
      <c r="AH16191" s="3"/>
    </row>
    <row r="16192" spans="1:34" ht="15" customHeight="1" x14ac:dyDescent="0.25">
      <c r="A16192" s="3"/>
      <c r="B16192" s="3"/>
      <c r="C16192" s="3"/>
      <c r="D16192" s="3"/>
      <c r="E16192" s="3"/>
      <c r="F16192" s="3"/>
      <c r="G16192" s="3"/>
      <c r="H16192" s="11"/>
      <c r="I16192" s="12"/>
      <c r="J16192" s="3"/>
      <c r="K16192" s="3"/>
      <c r="L16192" s="3"/>
      <c r="M16192" s="3"/>
      <c r="N16192" s="3"/>
      <c r="O16192" s="3"/>
      <c r="P16192" s="3"/>
      <c r="Q16192" s="3"/>
      <c r="R16192" s="3"/>
      <c r="S16192" s="3"/>
      <c r="T16192" s="3"/>
      <c r="U16192" s="3"/>
      <c r="V16192" s="3"/>
      <c r="W16192" s="3"/>
      <c r="X16192" s="3"/>
      <c r="Y16192" s="3"/>
      <c r="Z16192" s="3"/>
      <c r="AA16192" s="3"/>
      <c r="AB16192" s="3"/>
      <c r="AC16192" s="3"/>
      <c r="AD16192" s="3"/>
      <c r="AE16192" s="3"/>
      <c r="AF16192" s="3"/>
      <c r="AG16192" s="3"/>
      <c r="AH16192" s="3"/>
    </row>
    <row r="16193" spans="1:34" ht="15" customHeight="1" x14ac:dyDescent="0.25">
      <c r="A16193" s="3"/>
      <c r="B16193" s="3"/>
      <c r="C16193" s="3"/>
      <c r="D16193" s="3"/>
      <c r="E16193" s="3"/>
      <c r="F16193" s="3"/>
      <c r="G16193" s="3"/>
      <c r="H16193" s="11"/>
      <c r="I16193" s="12"/>
      <c r="J16193" s="3"/>
      <c r="K16193" s="3"/>
      <c r="L16193" s="3"/>
      <c r="M16193" s="3"/>
      <c r="N16193" s="3"/>
      <c r="O16193" s="3"/>
      <c r="P16193" s="3"/>
      <c r="Q16193" s="3"/>
      <c r="R16193" s="3"/>
      <c r="S16193" s="3"/>
      <c r="T16193" s="3"/>
      <c r="U16193" s="3"/>
      <c r="V16193" s="3"/>
      <c r="W16193" s="3"/>
      <c r="X16193" s="3"/>
      <c r="Y16193" s="3"/>
      <c r="Z16193" s="3"/>
      <c r="AA16193" s="3"/>
      <c r="AB16193" s="3"/>
      <c r="AC16193" s="3"/>
      <c r="AD16193" s="3"/>
      <c r="AE16193" s="3"/>
      <c r="AF16193" s="3"/>
      <c r="AG16193" s="3"/>
      <c r="AH16193" s="3"/>
    </row>
    <row r="16194" spans="1:34" ht="15" customHeight="1" x14ac:dyDescent="0.25">
      <c r="A16194" s="3"/>
      <c r="B16194" s="3"/>
      <c r="C16194" s="3"/>
      <c r="D16194" s="3"/>
      <c r="E16194" s="3"/>
      <c r="F16194" s="3"/>
      <c r="G16194" s="3"/>
      <c r="H16194" s="11"/>
      <c r="I16194" s="12"/>
      <c r="J16194" s="3"/>
      <c r="K16194" s="3"/>
      <c r="L16194" s="3"/>
      <c r="M16194" s="3"/>
      <c r="N16194" s="3"/>
      <c r="O16194" s="3"/>
      <c r="P16194" s="3"/>
      <c r="Q16194" s="3"/>
      <c r="R16194" s="3"/>
      <c r="S16194" s="3"/>
      <c r="T16194" s="3"/>
      <c r="U16194" s="3"/>
      <c r="V16194" s="3"/>
      <c r="W16194" s="3"/>
      <c r="X16194" s="3"/>
      <c r="Y16194" s="3"/>
      <c r="Z16194" s="3"/>
      <c r="AA16194" s="3"/>
      <c r="AB16194" s="3"/>
      <c r="AC16194" s="3"/>
      <c r="AD16194" s="3"/>
      <c r="AE16194" s="3"/>
      <c r="AF16194" s="3"/>
      <c r="AG16194" s="3"/>
      <c r="AH16194" s="3"/>
    </row>
    <row r="16195" spans="1:34" ht="15" customHeight="1" x14ac:dyDescent="0.25">
      <c r="A16195" s="3"/>
      <c r="B16195" s="3"/>
      <c r="C16195" s="3"/>
      <c r="D16195" s="3"/>
      <c r="E16195" s="3"/>
      <c r="F16195" s="3"/>
      <c r="G16195" s="3"/>
      <c r="H16195" s="11"/>
      <c r="I16195" s="12"/>
      <c r="J16195" s="3"/>
      <c r="K16195" s="3"/>
      <c r="L16195" s="3"/>
      <c r="M16195" s="3"/>
      <c r="N16195" s="3"/>
      <c r="O16195" s="3"/>
      <c r="P16195" s="3"/>
      <c r="Q16195" s="3"/>
      <c r="R16195" s="3"/>
      <c r="S16195" s="3"/>
      <c r="T16195" s="3"/>
      <c r="U16195" s="3"/>
      <c r="V16195" s="3"/>
      <c r="W16195" s="3"/>
      <c r="X16195" s="3"/>
      <c r="Y16195" s="3"/>
      <c r="Z16195" s="3"/>
      <c r="AA16195" s="3"/>
      <c r="AB16195" s="3"/>
      <c r="AC16195" s="3"/>
      <c r="AD16195" s="3"/>
      <c r="AE16195" s="3"/>
      <c r="AF16195" s="3"/>
      <c r="AG16195" s="3"/>
      <c r="AH16195" s="3"/>
    </row>
    <row r="16196" spans="1:34" ht="15" customHeight="1" x14ac:dyDescent="0.25">
      <c r="A16196" s="3"/>
      <c r="B16196" s="3"/>
      <c r="C16196" s="3"/>
      <c r="D16196" s="3"/>
      <c r="E16196" s="3"/>
      <c r="F16196" s="3"/>
      <c r="G16196" s="3"/>
      <c r="H16196" s="11"/>
      <c r="I16196" s="12"/>
      <c r="J16196" s="3"/>
      <c r="K16196" s="3"/>
      <c r="L16196" s="3"/>
      <c r="M16196" s="3"/>
      <c r="N16196" s="3"/>
      <c r="O16196" s="3"/>
      <c r="P16196" s="3"/>
      <c r="Q16196" s="3"/>
      <c r="R16196" s="3"/>
      <c r="S16196" s="3"/>
      <c r="T16196" s="3"/>
      <c r="U16196" s="3"/>
      <c r="V16196" s="3"/>
      <c r="W16196" s="3"/>
      <c r="X16196" s="3"/>
      <c r="Y16196" s="3"/>
      <c r="Z16196" s="3"/>
      <c r="AA16196" s="3"/>
      <c r="AB16196" s="3"/>
      <c r="AC16196" s="3"/>
      <c r="AD16196" s="3"/>
      <c r="AE16196" s="3"/>
      <c r="AF16196" s="3"/>
      <c r="AG16196" s="3"/>
      <c r="AH16196" s="3"/>
    </row>
    <row r="16197" spans="1:34" ht="15" customHeight="1" x14ac:dyDescent="0.25">
      <c r="A16197" s="3"/>
      <c r="B16197" s="3"/>
      <c r="C16197" s="3"/>
      <c r="D16197" s="3"/>
      <c r="E16197" s="3"/>
      <c r="F16197" s="3"/>
      <c r="G16197" s="3"/>
      <c r="H16197" s="11"/>
      <c r="I16197" s="12"/>
      <c r="J16197" s="3"/>
      <c r="K16197" s="3"/>
      <c r="L16197" s="3"/>
      <c r="M16197" s="3"/>
      <c r="N16197" s="3"/>
      <c r="O16197" s="3"/>
      <c r="P16197" s="3"/>
      <c r="Q16197" s="3"/>
      <c r="R16197" s="3"/>
      <c r="S16197" s="3"/>
      <c r="T16197" s="3"/>
      <c r="U16197" s="3"/>
      <c r="V16197" s="3"/>
      <c r="W16197" s="3"/>
      <c r="X16197" s="3"/>
      <c r="Y16197" s="3"/>
      <c r="Z16197" s="3"/>
      <c r="AA16197" s="3"/>
      <c r="AB16197" s="3"/>
      <c r="AC16197" s="3"/>
      <c r="AD16197" s="3"/>
      <c r="AE16197" s="3"/>
      <c r="AF16197" s="3"/>
      <c r="AG16197" s="3"/>
      <c r="AH16197" s="3"/>
    </row>
    <row r="16198" spans="1:34" ht="15" customHeight="1" x14ac:dyDescent="0.25">
      <c r="A16198" s="3"/>
      <c r="B16198" s="3"/>
      <c r="C16198" s="3"/>
      <c r="D16198" s="3"/>
      <c r="E16198" s="3"/>
      <c r="F16198" s="3"/>
      <c r="G16198" s="3"/>
      <c r="H16198" s="11"/>
      <c r="I16198" s="12"/>
      <c r="J16198" s="3"/>
      <c r="K16198" s="3"/>
      <c r="L16198" s="3"/>
      <c r="M16198" s="3"/>
      <c r="N16198" s="3"/>
      <c r="O16198" s="3"/>
      <c r="P16198" s="3"/>
      <c r="Q16198" s="3"/>
      <c r="R16198" s="3"/>
      <c r="S16198" s="3"/>
      <c r="T16198" s="3"/>
      <c r="U16198" s="3"/>
      <c r="V16198" s="3"/>
      <c r="W16198" s="3"/>
      <c r="X16198" s="3"/>
      <c r="Y16198" s="3"/>
      <c r="Z16198" s="3"/>
      <c r="AA16198" s="3"/>
      <c r="AB16198" s="3"/>
      <c r="AC16198" s="3"/>
      <c r="AD16198" s="3"/>
      <c r="AE16198" s="3"/>
      <c r="AF16198" s="3"/>
      <c r="AG16198" s="3"/>
      <c r="AH16198" s="3"/>
    </row>
    <row r="16199" spans="1:34" ht="15" customHeight="1" x14ac:dyDescent="0.25">
      <c r="A16199" s="3"/>
      <c r="B16199" s="3"/>
      <c r="C16199" s="3"/>
      <c r="D16199" s="3"/>
      <c r="E16199" s="3"/>
      <c r="F16199" s="3"/>
      <c r="G16199" s="3"/>
      <c r="H16199" s="11"/>
      <c r="I16199" s="12"/>
      <c r="J16199" s="3"/>
      <c r="K16199" s="3"/>
      <c r="L16199" s="3"/>
      <c r="M16199" s="3"/>
      <c r="N16199" s="3"/>
      <c r="O16199" s="3"/>
      <c r="P16199" s="3"/>
      <c r="Q16199" s="3"/>
      <c r="R16199" s="3"/>
      <c r="S16199" s="3"/>
      <c r="T16199" s="3"/>
      <c r="U16199" s="3"/>
      <c r="V16199" s="3"/>
      <c r="W16199" s="3"/>
      <c r="X16199" s="3"/>
      <c r="Y16199" s="3"/>
      <c r="Z16199" s="3"/>
      <c r="AA16199" s="3"/>
      <c r="AB16199" s="3"/>
      <c r="AC16199" s="3"/>
      <c r="AD16199" s="3"/>
      <c r="AE16199" s="3"/>
      <c r="AF16199" s="3"/>
      <c r="AG16199" s="3"/>
      <c r="AH16199" s="3"/>
    </row>
    <row r="16200" spans="1:34" ht="15" customHeight="1" x14ac:dyDescent="0.25">
      <c r="A16200" s="3"/>
      <c r="B16200" s="3"/>
      <c r="C16200" s="3"/>
      <c r="D16200" s="3"/>
      <c r="E16200" s="3"/>
      <c r="F16200" s="3"/>
      <c r="G16200" s="3"/>
      <c r="H16200" s="11"/>
      <c r="I16200" s="12"/>
      <c r="J16200" s="3"/>
      <c r="K16200" s="3"/>
      <c r="L16200" s="3"/>
      <c r="M16200" s="3"/>
      <c r="N16200" s="3"/>
      <c r="O16200" s="3"/>
      <c r="P16200" s="3"/>
      <c r="Q16200" s="3"/>
      <c r="R16200" s="3"/>
      <c r="S16200" s="3"/>
      <c r="T16200" s="3"/>
      <c r="U16200" s="3"/>
      <c r="V16200" s="3"/>
      <c r="W16200" s="3"/>
      <c r="X16200" s="3"/>
      <c r="Y16200" s="3"/>
      <c r="Z16200" s="3"/>
      <c r="AA16200" s="3"/>
      <c r="AB16200" s="3"/>
      <c r="AC16200" s="3"/>
      <c r="AD16200" s="3"/>
      <c r="AE16200" s="3"/>
      <c r="AF16200" s="3"/>
      <c r="AG16200" s="3"/>
      <c r="AH16200" s="3"/>
    </row>
    <row r="16201" spans="1:34" ht="15" customHeight="1" x14ac:dyDescent="0.25">
      <c r="A16201" s="3"/>
      <c r="B16201" s="3"/>
      <c r="C16201" s="3"/>
      <c r="D16201" s="3"/>
      <c r="E16201" s="3"/>
      <c r="F16201" s="3"/>
      <c r="G16201" s="3"/>
      <c r="H16201" s="11"/>
      <c r="I16201" s="12"/>
      <c r="J16201" s="3"/>
      <c r="K16201" s="3"/>
      <c r="L16201" s="3"/>
      <c r="M16201" s="3"/>
      <c r="N16201" s="3"/>
      <c r="O16201" s="3"/>
      <c r="P16201" s="3"/>
      <c r="Q16201" s="3"/>
      <c r="R16201" s="3"/>
      <c r="S16201" s="3"/>
      <c r="T16201" s="3"/>
      <c r="U16201" s="3"/>
      <c r="V16201" s="3"/>
      <c r="W16201" s="3"/>
      <c r="X16201" s="3"/>
      <c r="Y16201" s="3"/>
      <c r="Z16201" s="3"/>
      <c r="AA16201" s="3"/>
      <c r="AB16201" s="3"/>
      <c r="AC16201" s="3"/>
      <c r="AD16201" s="3"/>
      <c r="AE16201" s="3"/>
      <c r="AF16201" s="3"/>
      <c r="AG16201" s="3"/>
      <c r="AH16201" s="3"/>
    </row>
    <row r="16202" spans="1:34" ht="15" customHeight="1" x14ac:dyDescent="0.25">
      <c r="A16202" s="3"/>
      <c r="B16202" s="3"/>
      <c r="C16202" s="3"/>
      <c r="D16202" s="3"/>
      <c r="E16202" s="3"/>
      <c r="F16202" s="3"/>
      <c r="G16202" s="3"/>
      <c r="H16202" s="11"/>
      <c r="I16202" s="12"/>
      <c r="J16202" s="3"/>
      <c r="K16202" s="3"/>
      <c r="L16202" s="3"/>
      <c r="M16202" s="3"/>
      <c r="N16202" s="3"/>
      <c r="O16202" s="3"/>
      <c r="P16202" s="3"/>
      <c r="Q16202" s="3"/>
      <c r="R16202" s="3"/>
      <c r="S16202" s="3"/>
      <c r="T16202" s="3"/>
      <c r="U16202" s="3"/>
      <c r="V16202" s="3"/>
      <c r="W16202" s="3"/>
      <c r="X16202" s="3"/>
      <c r="Y16202" s="3"/>
      <c r="Z16202" s="3"/>
      <c r="AA16202" s="3"/>
      <c r="AB16202" s="3"/>
      <c r="AC16202" s="3"/>
      <c r="AD16202" s="3"/>
      <c r="AE16202" s="3"/>
      <c r="AF16202" s="3"/>
      <c r="AG16202" s="3"/>
      <c r="AH16202" s="3"/>
    </row>
    <row r="16203" spans="1:34" ht="15" customHeight="1" x14ac:dyDescent="0.25">
      <c r="A16203" s="3"/>
      <c r="B16203" s="3"/>
      <c r="C16203" s="3"/>
      <c r="D16203" s="3"/>
      <c r="E16203" s="3"/>
      <c r="F16203" s="3"/>
      <c r="G16203" s="3"/>
      <c r="H16203" s="11"/>
      <c r="I16203" s="12"/>
      <c r="J16203" s="3"/>
      <c r="K16203" s="3"/>
      <c r="L16203" s="3"/>
      <c r="M16203" s="3"/>
      <c r="N16203" s="3"/>
      <c r="O16203" s="3"/>
      <c r="P16203" s="3"/>
      <c r="Q16203" s="3"/>
      <c r="R16203" s="3"/>
      <c r="S16203" s="3"/>
      <c r="T16203" s="3"/>
      <c r="U16203" s="3"/>
      <c r="V16203" s="3"/>
      <c r="W16203" s="3"/>
      <c r="X16203" s="3"/>
      <c r="Y16203" s="3"/>
      <c r="Z16203" s="3"/>
      <c r="AA16203" s="3"/>
      <c r="AB16203" s="3"/>
      <c r="AC16203" s="3"/>
      <c r="AD16203" s="3"/>
      <c r="AE16203" s="3"/>
      <c r="AF16203" s="3"/>
      <c r="AG16203" s="3"/>
      <c r="AH16203" s="3"/>
    </row>
    <row r="16204" spans="1:34" ht="15" customHeight="1" x14ac:dyDescent="0.25">
      <c r="A16204" s="3"/>
      <c r="B16204" s="3"/>
      <c r="C16204" s="3"/>
      <c r="D16204" s="3"/>
      <c r="E16204" s="3"/>
      <c r="F16204" s="3"/>
      <c r="G16204" s="3"/>
      <c r="H16204" s="11"/>
      <c r="I16204" s="12"/>
      <c r="J16204" s="3"/>
      <c r="K16204" s="3"/>
      <c r="L16204" s="3"/>
      <c r="M16204" s="3"/>
      <c r="N16204" s="3"/>
      <c r="O16204" s="3"/>
      <c r="P16204" s="3"/>
      <c r="Q16204" s="3"/>
      <c r="R16204" s="3"/>
      <c r="S16204" s="3"/>
      <c r="T16204" s="3"/>
      <c r="U16204" s="3"/>
      <c r="V16204" s="3"/>
      <c r="W16204" s="3"/>
      <c r="X16204" s="3"/>
      <c r="Y16204" s="3"/>
      <c r="Z16204" s="3"/>
      <c r="AA16204" s="3"/>
      <c r="AB16204" s="3"/>
      <c r="AC16204" s="3"/>
      <c r="AD16204" s="3"/>
      <c r="AE16204" s="3"/>
      <c r="AF16204" s="3"/>
      <c r="AG16204" s="3"/>
      <c r="AH16204" s="3"/>
    </row>
    <row r="16205" spans="1:34" ht="15" customHeight="1" x14ac:dyDescent="0.25">
      <c r="A16205" s="3"/>
      <c r="B16205" s="3"/>
      <c r="C16205" s="3"/>
      <c r="D16205" s="3"/>
      <c r="E16205" s="3"/>
      <c r="F16205" s="3"/>
      <c r="G16205" s="3"/>
      <c r="H16205" s="11"/>
      <c r="I16205" s="12"/>
      <c r="J16205" s="3"/>
      <c r="K16205" s="3"/>
      <c r="L16205" s="3"/>
      <c r="M16205" s="3"/>
      <c r="N16205" s="3"/>
      <c r="O16205" s="3"/>
      <c r="P16205" s="3"/>
      <c r="Q16205" s="3"/>
      <c r="R16205" s="3"/>
      <c r="S16205" s="3"/>
      <c r="T16205" s="3"/>
      <c r="U16205" s="3"/>
      <c r="V16205" s="3"/>
      <c r="W16205" s="3"/>
      <c r="X16205" s="3"/>
      <c r="Y16205" s="3"/>
      <c r="Z16205" s="3"/>
      <c r="AA16205" s="3"/>
      <c r="AB16205" s="3"/>
      <c r="AC16205" s="3"/>
      <c r="AD16205" s="3"/>
      <c r="AE16205" s="3"/>
      <c r="AF16205" s="3"/>
      <c r="AG16205" s="3"/>
      <c r="AH16205" s="3"/>
    </row>
    <row r="16206" spans="1:34" ht="15" customHeight="1" x14ac:dyDescent="0.25">
      <c r="A16206" s="3"/>
      <c r="B16206" s="3"/>
      <c r="C16206" s="3"/>
      <c r="D16206" s="3"/>
      <c r="E16206" s="3"/>
      <c r="F16206" s="3"/>
      <c r="G16206" s="3"/>
      <c r="H16206" s="11"/>
      <c r="I16206" s="12"/>
      <c r="J16206" s="3"/>
      <c r="K16206" s="3"/>
      <c r="L16206" s="3"/>
      <c r="M16206" s="3"/>
      <c r="N16206" s="3"/>
      <c r="O16206" s="3"/>
      <c r="P16206" s="3"/>
      <c r="Q16206" s="3"/>
      <c r="R16206" s="3"/>
      <c r="S16206" s="3"/>
      <c r="T16206" s="3"/>
      <c r="U16206" s="3"/>
      <c r="V16206" s="3"/>
      <c r="W16206" s="3"/>
      <c r="X16206" s="3"/>
      <c r="Y16206" s="3"/>
      <c r="Z16206" s="3"/>
      <c r="AA16206" s="3"/>
      <c r="AB16206" s="3"/>
      <c r="AC16206" s="3"/>
      <c r="AD16206" s="3"/>
      <c r="AE16206" s="3"/>
      <c r="AF16206" s="3"/>
      <c r="AG16206" s="3"/>
      <c r="AH16206" s="3"/>
    </row>
    <row r="16207" spans="1:34" ht="15" customHeight="1" x14ac:dyDescent="0.25">
      <c r="A16207" s="3"/>
      <c r="B16207" s="3"/>
      <c r="C16207" s="3"/>
      <c r="D16207" s="3"/>
      <c r="E16207" s="3"/>
      <c r="F16207" s="3"/>
      <c r="G16207" s="3"/>
      <c r="H16207" s="11"/>
      <c r="I16207" s="12"/>
      <c r="J16207" s="3"/>
      <c r="K16207" s="3"/>
      <c r="L16207" s="3"/>
      <c r="M16207" s="3"/>
      <c r="N16207" s="3"/>
      <c r="O16207" s="3"/>
      <c r="P16207" s="3"/>
      <c r="Q16207" s="3"/>
      <c r="R16207" s="3"/>
      <c r="S16207" s="3"/>
      <c r="T16207" s="3"/>
      <c r="U16207" s="3"/>
      <c r="V16207" s="3"/>
      <c r="W16207" s="3"/>
      <c r="X16207" s="3"/>
      <c r="Y16207" s="3"/>
      <c r="Z16207" s="3"/>
      <c r="AA16207" s="3"/>
      <c r="AB16207" s="3"/>
      <c r="AC16207" s="3"/>
      <c r="AD16207" s="3"/>
      <c r="AE16207" s="3"/>
      <c r="AF16207" s="3"/>
      <c r="AG16207" s="3"/>
      <c r="AH16207" s="3"/>
    </row>
    <row r="16208" spans="1:34" ht="15" customHeight="1" x14ac:dyDescent="0.25">
      <c r="A16208" s="3"/>
      <c r="B16208" s="3"/>
      <c r="C16208" s="3"/>
      <c r="D16208" s="3"/>
      <c r="E16208" s="3"/>
      <c r="F16208" s="3"/>
      <c r="G16208" s="3"/>
      <c r="H16208" s="11"/>
      <c r="I16208" s="12"/>
      <c r="J16208" s="3"/>
      <c r="K16208" s="3"/>
      <c r="L16208" s="3"/>
      <c r="M16208" s="3"/>
      <c r="N16208" s="3"/>
      <c r="O16208" s="3"/>
      <c r="P16208" s="3"/>
      <c r="Q16208" s="3"/>
      <c r="R16208" s="3"/>
      <c r="S16208" s="3"/>
      <c r="T16208" s="3"/>
      <c r="U16208" s="3"/>
      <c r="V16208" s="3"/>
      <c r="W16208" s="3"/>
      <c r="X16208" s="3"/>
      <c r="Y16208" s="3"/>
      <c r="Z16208" s="3"/>
      <c r="AA16208" s="3"/>
      <c r="AB16208" s="3"/>
      <c r="AC16208" s="3"/>
      <c r="AD16208" s="3"/>
      <c r="AE16208" s="3"/>
      <c r="AF16208" s="3"/>
      <c r="AG16208" s="3"/>
      <c r="AH16208" s="3"/>
    </row>
    <row r="16209" spans="1:34" ht="15" customHeight="1" x14ac:dyDescent="0.25">
      <c r="A16209" s="3"/>
      <c r="B16209" s="3"/>
      <c r="C16209" s="3"/>
      <c r="D16209" s="3"/>
      <c r="E16209" s="3"/>
      <c r="F16209" s="3"/>
      <c r="G16209" s="3"/>
      <c r="H16209" s="11"/>
      <c r="I16209" s="12"/>
      <c r="J16209" s="3"/>
      <c r="K16209" s="3"/>
      <c r="L16209" s="3"/>
      <c r="M16209" s="3"/>
      <c r="N16209" s="3"/>
      <c r="O16209" s="3"/>
      <c r="P16209" s="3"/>
      <c r="Q16209" s="3"/>
      <c r="R16209" s="3"/>
      <c r="S16209" s="3"/>
      <c r="T16209" s="3"/>
      <c r="U16209" s="3"/>
      <c r="V16209" s="3"/>
      <c r="W16209" s="3"/>
      <c r="X16209" s="3"/>
      <c r="Y16209" s="3"/>
      <c r="Z16209" s="3"/>
      <c r="AA16209" s="3"/>
      <c r="AB16209" s="3"/>
      <c r="AC16209" s="3"/>
      <c r="AD16209" s="3"/>
      <c r="AE16209" s="3"/>
      <c r="AF16209" s="3"/>
      <c r="AG16209" s="3"/>
      <c r="AH16209" s="3"/>
    </row>
    <row r="16210" spans="1:34" ht="15" customHeight="1" x14ac:dyDescent="0.25">
      <c r="A16210" s="3"/>
      <c r="B16210" s="3"/>
      <c r="C16210" s="3"/>
      <c r="D16210" s="3"/>
      <c r="E16210" s="3"/>
      <c r="F16210" s="3"/>
      <c r="G16210" s="3"/>
      <c r="H16210" s="11"/>
      <c r="I16210" s="12"/>
      <c r="J16210" s="3"/>
      <c r="K16210" s="3"/>
      <c r="L16210" s="3"/>
      <c r="M16210" s="3"/>
      <c r="N16210" s="3"/>
      <c r="O16210" s="3"/>
      <c r="P16210" s="3"/>
      <c r="Q16210" s="3"/>
      <c r="R16210" s="3"/>
      <c r="S16210" s="3"/>
      <c r="T16210" s="3"/>
      <c r="U16210" s="3"/>
      <c r="V16210" s="3"/>
      <c r="W16210" s="3"/>
      <c r="X16210" s="3"/>
      <c r="Y16210" s="3"/>
      <c r="Z16210" s="3"/>
      <c r="AA16210" s="3"/>
      <c r="AB16210" s="3"/>
      <c r="AC16210" s="3"/>
      <c r="AD16210" s="3"/>
      <c r="AE16210" s="3"/>
      <c r="AF16210" s="3"/>
      <c r="AG16210" s="3"/>
      <c r="AH16210" s="3"/>
    </row>
    <row r="16211" spans="1:34" ht="15" customHeight="1" x14ac:dyDescent="0.25">
      <c r="A16211" s="3"/>
      <c r="B16211" s="3"/>
      <c r="C16211" s="3"/>
      <c r="D16211" s="3"/>
      <c r="E16211" s="3"/>
      <c r="F16211" s="3"/>
      <c r="G16211" s="3"/>
      <c r="H16211" s="11"/>
      <c r="I16211" s="12"/>
      <c r="J16211" s="3"/>
      <c r="K16211" s="3"/>
      <c r="L16211" s="3"/>
      <c r="M16211" s="3"/>
      <c r="N16211" s="3"/>
      <c r="O16211" s="3"/>
      <c r="P16211" s="3"/>
      <c r="Q16211" s="3"/>
      <c r="R16211" s="3"/>
      <c r="S16211" s="3"/>
      <c r="T16211" s="3"/>
      <c r="U16211" s="3"/>
      <c r="V16211" s="3"/>
      <c r="W16211" s="3"/>
      <c r="X16211" s="3"/>
      <c r="Y16211" s="3"/>
      <c r="Z16211" s="3"/>
      <c r="AA16211" s="3"/>
      <c r="AB16211" s="3"/>
      <c r="AC16211" s="3"/>
      <c r="AD16211" s="3"/>
      <c r="AE16211" s="3"/>
      <c r="AF16211" s="3"/>
      <c r="AG16211" s="3"/>
      <c r="AH16211" s="3"/>
    </row>
    <row r="16212" spans="1:34" ht="15" customHeight="1" x14ac:dyDescent="0.25">
      <c r="A16212" s="3"/>
      <c r="B16212" s="3"/>
      <c r="C16212" s="3"/>
      <c r="D16212" s="3"/>
      <c r="E16212" s="3"/>
      <c r="F16212" s="3"/>
      <c r="G16212" s="3"/>
      <c r="H16212" s="11"/>
      <c r="I16212" s="12"/>
      <c r="J16212" s="3"/>
      <c r="K16212" s="3"/>
      <c r="L16212" s="3"/>
      <c r="M16212" s="3"/>
      <c r="N16212" s="3"/>
      <c r="O16212" s="3"/>
      <c r="P16212" s="3"/>
      <c r="Q16212" s="3"/>
      <c r="R16212" s="3"/>
      <c r="S16212" s="3"/>
      <c r="T16212" s="3"/>
      <c r="U16212" s="3"/>
      <c r="V16212" s="3"/>
      <c r="W16212" s="3"/>
      <c r="X16212" s="3"/>
      <c r="Y16212" s="3"/>
      <c r="Z16212" s="3"/>
      <c r="AA16212" s="3"/>
      <c r="AB16212" s="3"/>
      <c r="AC16212" s="3"/>
      <c r="AD16212" s="3"/>
      <c r="AE16212" s="3"/>
      <c r="AF16212" s="3"/>
      <c r="AG16212" s="3"/>
      <c r="AH16212" s="3"/>
    </row>
    <row r="16213" spans="1:34" ht="15" customHeight="1" x14ac:dyDescent="0.25">
      <c r="A16213" s="3"/>
      <c r="B16213" s="3"/>
      <c r="C16213" s="3"/>
      <c r="D16213" s="3"/>
      <c r="E16213" s="3"/>
      <c r="F16213" s="3"/>
      <c r="G16213" s="3"/>
      <c r="H16213" s="11"/>
      <c r="I16213" s="12"/>
      <c r="J16213" s="3"/>
      <c r="K16213" s="3"/>
      <c r="L16213" s="3"/>
      <c r="M16213" s="3"/>
      <c r="N16213" s="3"/>
      <c r="O16213" s="3"/>
      <c r="P16213" s="3"/>
      <c r="Q16213" s="3"/>
      <c r="R16213" s="3"/>
      <c r="S16213" s="3"/>
      <c r="T16213" s="3"/>
      <c r="U16213" s="3"/>
      <c r="V16213" s="3"/>
      <c r="W16213" s="3"/>
      <c r="X16213" s="3"/>
      <c r="Y16213" s="3"/>
      <c r="Z16213" s="3"/>
      <c r="AA16213" s="3"/>
      <c r="AB16213" s="3"/>
      <c r="AC16213" s="3"/>
      <c r="AD16213" s="3"/>
      <c r="AE16213" s="3"/>
      <c r="AF16213" s="3"/>
      <c r="AG16213" s="3"/>
      <c r="AH16213" s="3"/>
    </row>
    <row r="16214" spans="1:34" ht="15" customHeight="1" x14ac:dyDescent="0.25">
      <c r="A16214" s="3"/>
      <c r="B16214" s="3"/>
      <c r="C16214" s="3"/>
      <c r="D16214" s="3"/>
      <c r="E16214" s="3"/>
      <c r="F16214" s="3"/>
      <c r="G16214" s="3"/>
      <c r="H16214" s="11"/>
      <c r="I16214" s="12"/>
      <c r="J16214" s="3"/>
      <c r="K16214" s="3"/>
      <c r="L16214" s="3"/>
      <c r="M16214" s="3"/>
      <c r="N16214" s="3"/>
      <c r="O16214" s="3"/>
      <c r="P16214" s="3"/>
      <c r="Q16214" s="3"/>
      <c r="R16214" s="3"/>
      <c r="S16214" s="3"/>
      <c r="T16214" s="3"/>
      <c r="U16214" s="3"/>
      <c r="V16214" s="3"/>
      <c r="W16214" s="3"/>
      <c r="X16214" s="3"/>
      <c r="Y16214" s="3"/>
      <c r="Z16214" s="3"/>
      <c r="AA16214" s="3"/>
      <c r="AB16214" s="3"/>
      <c r="AC16214" s="3"/>
      <c r="AD16214" s="3"/>
      <c r="AE16214" s="3"/>
      <c r="AF16214" s="3"/>
      <c r="AG16214" s="3"/>
      <c r="AH16214" s="3"/>
    </row>
    <row r="16215" spans="1:34" ht="15" customHeight="1" x14ac:dyDescent="0.25">
      <c r="A16215" s="3"/>
      <c r="B16215" s="3"/>
      <c r="C16215" s="3"/>
      <c r="D16215" s="3"/>
      <c r="E16215" s="3"/>
      <c r="F16215" s="3"/>
      <c r="G16215" s="3"/>
      <c r="H16215" s="11"/>
      <c r="I16215" s="12"/>
      <c r="J16215" s="3"/>
      <c r="K16215" s="3"/>
      <c r="L16215" s="3"/>
      <c r="M16215" s="3"/>
      <c r="N16215" s="3"/>
      <c r="O16215" s="3"/>
      <c r="P16215" s="3"/>
      <c r="Q16215" s="3"/>
      <c r="R16215" s="3"/>
      <c r="S16215" s="3"/>
      <c r="T16215" s="3"/>
      <c r="U16215" s="3"/>
      <c r="V16215" s="3"/>
      <c r="W16215" s="3"/>
      <c r="X16215" s="3"/>
      <c r="Y16215" s="3"/>
      <c r="Z16215" s="3"/>
      <c r="AA16215" s="3"/>
      <c r="AB16215" s="3"/>
      <c r="AC16215" s="3"/>
      <c r="AD16215" s="3"/>
      <c r="AE16215" s="3"/>
      <c r="AF16215" s="3"/>
      <c r="AG16215" s="3"/>
      <c r="AH16215" s="3"/>
    </row>
    <row r="16216" spans="1:34" ht="15" customHeight="1" x14ac:dyDescent="0.25">
      <c r="A16216" s="3"/>
      <c r="B16216" s="3"/>
      <c r="C16216" s="3"/>
      <c r="D16216" s="3"/>
      <c r="E16216" s="3"/>
      <c r="F16216" s="3"/>
      <c r="G16216" s="3"/>
      <c r="H16216" s="11"/>
      <c r="I16216" s="12"/>
      <c r="J16216" s="3"/>
      <c r="K16216" s="3"/>
      <c r="L16216" s="3"/>
      <c r="M16216" s="3"/>
      <c r="N16216" s="3"/>
      <c r="O16216" s="3"/>
      <c r="P16216" s="3"/>
      <c r="Q16216" s="3"/>
      <c r="R16216" s="3"/>
      <c r="S16216" s="3"/>
      <c r="T16216" s="3"/>
      <c r="U16216" s="3"/>
      <c r="V16216" s="3"/>
      <c r="W16216" s="3"/>
      <c r="X16216" s="3"/>
      <c r="Y16216" s="3"/>
      <c r="Z16216" s="3"/>
      <c r="AA16216" s="3"/>
      <c r="AB16216" s="3"/>
      <c r="AC16216" s="3"/>
      <c r="AD16216" s="3"/>
      <c r="AE16216" s="3"/>
      <c r="AF16216" s="3"/>
      <c r="AG16216" s="3"/>
      <c r="AH16216" s="3"/>
    </row>
    <row r="16217" spans="1:34" ht="15" customHeight="1" x14ac:dyDescent="0.25">
      <c r="A16217" s="3"/>
      <c r="B16217" s="3"/>
      <c r="C16217" s="3"/>
      <c r="D16217" s="3"/>
      <c r="E16217" s="3"/>
      <c r="F16217" s="3"/>
      <c r="G16217" s="3"/>
      <c r="H16217" s="11"/>
      <c r="I16217" s="12"/>
      <c r="J16217" s="3"/>
      <c r="K16217" s="3"/>
      <c r="L16217" s="3"/>
      <c r="M16217" s="3"/>
      <c r="N16217" s="3"/>
      <c r="O16217" s="3"/>
      <c r="P16217" s="3"/>
      <c r="Q16217" s="3"/>
      <c r="R16217" s="3"/>
      <c r="S16217" s="3"/>
      <c r="T16217" s="3"/>
      <c r="U16217" s="3"/>
      <c r="V16217" s="3"/>
      <c r="W16217" s="3"/>
      <c r="X16217" s="3"/>
      <c r="Y16217" s="3"/>
      <c r="Z16217" s="3"/>
      <c r="AA16217" s="3"/>
      <c r="AB16217" s="3"/>
      <c r="AC16217" s="3"/>
      <c r="AD16217" s="3"/>
      <c r="AE16217" s="3"/>
      <c r="AF16217" s="3"/>
      <c r="AG16217" s="3"/>
      <c r="AH16217" s="3"/>
    </row>
    <row r="16218" spans="1:34" ht="15" customHeight="1" x14ac:dyDescent="0.25">
      <c r="A16218" s="3"/>
      <c r="B16218" s="3"/>
      <c r="C16218" s="3"/>
      <c r="D16218" s="3"/>
      <c r="E16218" s="3"/>
      <c r="F16218" s="3"/>
      <c r="G16218" s="3"/>
      <c r="H16218" s="11"/>
      <c r="I16218" s="12"/>
      <c r="J16218" s="3"/>
      <c r="K16218" s="3"/>
      <c r="L16218" s="3"/>
      <c r="M16218" s="3"/>
      <c r="N16218" s="3"/>
      <c r="O16218" s="3"/>
      <c r="P16218" s="3"/>
      <c r="Q16218" s="3"/>
      <c r="R16218" s="3"/>
      <c r="S16218" s="3"/>
      <c r="T16218" s="3"/>
      <c r="U16218" s="3"/>
      <c r="V16218" s="3"/>
      <c r="W16218" s="3"/>
      <c r="X16218" s="3"/>
      <c r="Y16218" s="3"/>
      <c r="Z16218" s="3"/>
      <c r="AA16218" s="3"/>
      <c r="AB16218" s="3"/>
      <c r="AC16218" s="3"/>
      <c r="AD16218" s="3"/>
      <c r="AE16218" s="3"/>
      <c r="AF16218" s="3"/>
      <c r="AG16218" s="3"/>
      <c r="AH16218" s="3"/>
    </row>
    <row r="16219" spans="1:34" ht="15" customHeight="1" x14ac:dyDescent="0.25">
      <c r="A16219" s="3"/>
      <c r="B16219" s="3"/>
      <c r="C16219" s="3"/>
      <c r="D16219" s="3"/>
      <c r="E16219" s="3"/>
      <c r="F16219" s="3"/>
      <c r="G16219" s="3"/>
      <c r="H16219" s="11"/>
      <c r="I16219" s="12"/>
      <c r="J16219" s="3"/>
      <c r="K16219" s="3"/>
      <c r="L16219" s="3"/>
      <c r="M16219" s="3"/>
      <c r="N16219" s="3"/>
      <c r="O16219" s="3"/>
      <c r="P16219" s="3"/>
      <c r="Q16219" s="3"/>
      <c r="R16219" s="3"/>
      <c r="S16219" s="3"/>
      <c r="T16219" s="3"/>
      <c r="U16219" s="3"/>
      <c r="V16219" s="3"/>
      <c r="W16219" s="3"/>
      <c r="X16219" s="3"/>
      <c r="Y16219" s="3"/>
      <c r="Z16219" s="3"/>
      <c r="AA16219" s="3"/>
      <c r="AB16219" s="3"/>
      <c r="AC16219" s="3"/>
      <c r="AD16219" s="3"/>
      <c r="AE16219" s="3"/>
      <c r="AF16219" s="3"/>
      <c r="AG16219" s="3"/>
      <c r="AH16219" s="3"/>
    </row>
    <row r="16220" spans="1:34" ht="15" customHeight="1" x14ac:dyDescent="0.25">
      <c r="A16220" s="3"/>
      <c r="B16220" s="3"/>
      <c r="C16220" s="3"/>
      <c r="D16220" s="3"/>
      <c r="E16220" s="3"/>
      <c r="F16220" s="3"/>
      <c r="G16220" s="3"/>
      <c r="H16220" s="11"/>
      <c r="I16220" s="12"/>
      <c r="J16220" s="3"/>
      <c r="K16220" s="3"/>
      <c r="L16220" s="3"/>
      <c r="M16220" s="3"/>
      <c r="N16220" s="3"/>
      <c r="O16220" s="3"/>
      <c r="P16220" s="3"/>
      <c r="Q16220" s="3"/>
      <c r="R16220" s="3"/>
      <c r="S16220" s="3"/>
      <c r="T16220" s="3"/>
      <c r="U16220" s="3"/>
      <c r="V16220" s="3"/>
      <c r="W16220" s="3"/>
      <c r="X16220" s="3"/>
      <c r="Y16220" s="3"/>
      <c r="Z16220" s="3"/>
      <c r="AA16220" s="3"/>
      <c r="AB16220" s="3"/>
      <c r="AC16220" s="3"/>
      <c r="AD16220" s="3"/>
      <c r="AE16220" s="3"/>
      <c r="AF16220" s="3"/>
      <c r="AG16220" s="3"/>
      <c r="AH16220" s="3"/>
    </row>
    <row r="16221" spans="1:34" ht="15" customHeight="1" x14ac:dyDescent="0.25">
      <c r="A16221" s="3"/>
      <c r="B16221" s="3"/>
      <c r="C16221" s="3"/>
      <c r="D16221" s="3"/>
      <c r="E16221" s="3"/>
      <c r="F16221" s="3"/>
      <c r="G16221" s="3"/>
      <c r="H16221" s="11"/>
      <c r="I16221" s="12"/>
      <c r="J16221" s="3"/>
      <c r="K16221" s="3"/>
      <c r="L16221" s="3"/>
      <c r="M16221" s="3"/>
      <c r="N16221" s="3"/>
      <c r="O16221" s="3"/>
      <c r="P16221" s="3"/>
      <c r="Q16221" s="3"/>
      <c r="R16221" s="3"/>
      <c r="S16221" s="3"/>
      <c r="T16221" s="3"/>
      <c r="U16221" s="3"/>
      <c r="V16221" s="3"/>
      <c r="W16221" s="3"/>
      <c r="X16221" s="3"/>
      <c r="Y16221" s="3"/>
      <c r="Z16221" s="3"/>
      <c r="AA16221" s="3"/>
      <c r="AB16221" s="3"/>
      <c r="AC16221" s="3"/>
      <c r="AD16221" s="3"/>
      <c r="AE16221" s="3"/>
      <c r="AF16221" s="3"/>
      <c r="AG16221" s="3"/>
      <c r="AH16221" s="3"/>
    </row>
    <row r="16222" spans="1:34" ht="15" customHeight="1" x14ac:dyDescent="0.25">
      <c r="A16222" s="3"/>
      <c r="B16222" s="3"/>
      <c r="C16222" s="3"/>
      <c r="D16222" s="3"/>
      <c r="E16222" s="3"/>
      <c r="F16222" s="3"/>
      <c r="G16222" s="3"/>
      <c r="H16222" s="11"/>
      <c r="I16222" s="12"/>
      <c r="J16222" s="3"/>
      <c r="K16222" s="3"/>
      <c r="L16222" s="3"/>
      <c r="M16222" s="3"/>
      <c r="N16222" s="3"/>
      <c r="O16222" s="3"/>
      <c r="P16222" s="3"/>
      <c r="Q16222" s="3"/>
      <c r="R16222" s="3"/>
      <c r="S16222" s="3"/>
      <c r="T16222" s="3"/>
      <c r="U16222" s="3"/>
      <c r="V16222" s="3"/>
      <c r="W16222" s="3"/>
      <c r="X16222" s="3"/>
      <c r="Y16222" s="3"/>
      <c r="Z16222" s="3"/>
      <c r="AA16222" s="3"/>
      <c r="AB16222" s="3"/>
      <c r="AC16222" s="3"/>
      <c r="AD16222" s="3"/>
      <c r="AE16222" s="3"/>
      <c r="AF16222" s="3"/>
      <c r="AG16222" s="3"/>
      <c r="AH16222" s="3"/>
    </row>
    <row r="16223" spans="1:34" ht="15" customHeight="1" x14ac:dyDescent="0.25">
      <c r="A16223" s="3"/>
      <c r="B16223" s="3"/>
      <c r="C16223" s="3"/>
      <c r="D16223" s="3"/>
      <c r="E16223" s="3"/>
      <c r="F16223" s="3"/>
      <c r="G16223" s="3"/>
      <c r="H16223" s="11"/>
      <c r="I16223" s="12"/>
      <c r="J16223" s="3"/>
      <c r="K16223" s="3"/>
      <c r="L16223" s="3"/>
      <c r="M16223" s="3"/>
      <c r="N16223" s="3"/>
      <c r="O16223" s="3"/>
      <c r="P16223" s="3"/>
      <c r="Q16223" s="3"/>
      <c r="R16223" s="3"/>
      <c r="S16223" s="3"/>
      <c r="T16223" s="3"/>
      <c r="U16223" s="3"/>
      <c r="V16223" s="3"/>
      <c r="W16223" s="3"/>
      <c r="X16223" s="3"/>
      <c r="Y16223" s="3"/>
      <c r="Z16223" s="3"/>
      <c r="AA16223" s="3"/>
      <c r="AB16223" s="3"/>
      <c r="AC16223" s="3"/>
      <c r="AD16223" s="3"/>
      <c r="AE16223" s="3"/>
      <c r="AF16223" s="3"/>
      <c r="AG16223" s="3"/>
      <c r="AH16223" s="3"/>
    </row>
    <row r="16224" spans="1:34" ht="15" customHeight="1" x14ac:dyDescent="0.25">
      <c r="A16224" s="3"/>
      <c r="B16224" s="3"/>
      <c r="C16224" s="3"/>
      <c r="D16224" s="3"/>
      <c r="E16224" s="3"/>
      <c r="F16224" s="3"/>
      <c r="G16224" s="3"/>
      <c r="H16224" s="11"/>
      <c r="I16224" s="12"/>
      <c r="J16224" s="3"/>
      <c r="K16224" s="3"/>
      <c r="L16224" s="3"/>
      <c r="M16224" s="3"/>
      <c r="N16224" s="3"/>
      <c r="O16224" s="3"/>
      <c r="P16224" s="3"/>
      <c r="Q16224" s="3"/>
      <c r="R16224" s="3"/>
      <c r="S16224" s="3"/>
      <c r="T16224" s="3"/>
      <c r="U16224" s="3"/>
      <c r="V16224" s="3"/>
      <c r="W16224" s="3"/>
      <c r="X16224" s="3"/>
      <c r="Y16224" s="3"/>
      <c r="Z16224" s="3"/>
      <c r="AA16224" s="3"/>
      <c r="AB16224" s="3"/>
      <c r="AC16224" s="3"/>
      <c r="AD16224" s="3"/>
      <c r="AE16224" s="3"/>
      <c r="AF16224" s="3"/>
      <c r="AG16224" s="3"/>
      <c r="AH16224" s="3"/>
    </row>
    <row r="16225" spans="1:34" ht="15" customHeight="1" x14ac:dyDescent="0.25">
      <c r="A16225" s="3"/>
      <c r="B16225" s="3"/>
      <c r="C16225" s="3"/>
      <c r="D16225" s="3"/>
      <c r="E16225" s="3"/>
      <c r="F16225" s="3"/>
      <c r="G16225" s="3"/>
      <c r="H16225" s="11"/>
      <c r="I16225" s="12"/>
      <c r="J16225" s="3"/>
      <c r="K16225" s="3"/>
      <c r="L16225" s="3"/>
      <c r="M16225" s="3"/>
      <c r="N16225" s="3"/>
      <c r="O16225" s="3"/>
      <c r="P16225" s="3"/>
      <c r="Q16225" s="3"/>
      <c r="R16225" s="3"/>
      <c r="S16225" s="3"/>
      <c r="T16225" s="3"/>
      <c r="U16225" s="3"/>
      <c r="V16225" s="3"/>
      <c r="W16225" s="3"/>
      <c r="X16225" s="3"/>
      <c r="Y16225" s="3"/>
      <c r="Z16225" s="3"/>
      <c r="AA16225" s="3"/>
      <c r="AB16225" s="3"/>
      <c r="AC16225" s="3"/>
      <c r="AD16225" s="3"/>
      <c r="AE16225" s="3"/>
      <c r="AF16225" s="3"/>
      <c r="AG16225" s="3"/>
      <c r="AH16225" s="3"/>
    </row>
    <row r="16226" spans="1:34" ht="15" customHeight="1" x14ac:dyDescent="0.25">
      <c r="A16226" s="3"/>
      <c r="B16226" s="3"/>
      <c r="C16226" s="3"/>
      <c r="D16226" s="3"/>
      <c r="E16226" s="3"/>
      <c r="F16226" s="3"/>
      <c r="G16226" s="3"/>
      <c r="H16226" s="11"/>
      <c r="I16226" s="12"/>
      <c r="J16226" s="3"/>
      <c r="K16226" s="3"/>
      <c r="L16226" s="3"/>
      <c r="M16226" s="3"/>
      <c r="N16226" s="3"/>
      <c r="O16226" s="3"/>
      <c r="P16226" s="3"/>
      <c r="Q16226" s="3"/>
      <c r="R16226" s="3"/>
      <c r="S16226" s="3"/>
      <c r="T16226" s="3"/>
      <c r="U16226" s="3"/>
      <c r="V16226" s="3"/>
      <c r="W16226" s="3"/>
      <c r="X16226" s="3"/>
      <c r="Y16226" s="3"/>
      <c r="Z16226" s="3"/>
      <c r="AA16226" s="3"/>
      <c r="AB16226" s="3"/>
      <c r="AC16226" s="3"/>
      <c r="AD16226" s="3"/>
      <c r="AE16226" s="3"/>
      <c r="AF16226" s="3"/>
      <c r="AG16226" s="3"/>
      <c r="AH16226" s="3"/>
    </row>
    <row r="16227" spans="1:34" ht="15" customHeight="1" x14ac:dyDescent="0.25">
      <c r="A16227" s="3"/>
      <c r="B16227" s="3"/>
      <c r="C16227" s="3"/>
      <c r="D16227" s="3"/>
      <c r="E16227" s="3"/>
      <c r="F16227" s="3"/>
      <c r="G16227" s="3"/>
      <c r="H16227" s="11"/>
      <c r="I16227" s="12"/>
      <c r="J16227" s="3"/>
      <c r="K16227" s="3"/>
      <c r="L16227" s="3"/>
      <c r="M16227" s="3"/>
      <c r="N16227" s="3"/>
      <c r="O16227" s="3"/>
      <c r="P16227" s="3"/>
      <c r="Q16227" s="3"/>
      <c r="R16227" s="3"/>
      <c r="S16227" s="3"/>
      <c r="T16227" s="3"/>
      <c r="U16227" s="3"/>
      <c r="V16227" s="3"/>
      <c r="W16227" s="3"/>
      <c r="X16227" s="3"/>
      <c r="Y16227" s="3"/>
      <c r="Z16227" s="3"/>
      <c r="AA16227" s="3"/>
      <c r="AB16227" s="3"/>
      <c r="AC16227" s="3"/>
      <c r="AD16227" s="3"/>
      <c r="AE16227" s="3"/>
      <c r="AF16227" s="3"/>
      <c r="AG16227" s="3"/>
      <c r="AH16227" s="3"/>
    </row>
    <row r="16228" spans="1:34" ht="15" customHeight="1" x14ac:dyDescent="0.25">
      <c r="A16228" s="3"/>
      <c r="B16228" s="3"/>
      <c r="C16228" s="3"/>
      <c r="D16228" s="3"/>
      <c r="E16228" s="3"/>
      <c r="F16228" s="3"/>
      <c r="G16228" s="3"/>
      <c r="H16228" s="11"/>
      <c r="I16228" s="12"/>
      <c r="J16228" s="3"/>
      <c r="K16228" s="3"/>
      <c r="L16228" s="3"/>
      <c r="M16228" s="3"/>
      <c r="N16228" s="3"/>
      <c r="O16228" s="3"/>
      <c r="P16228" s="3"/>
      <c r="Q16228" s="3"/>
      <c r="R16228" s="3"/>
      <c r="S16228" s="3"/>
      <c r="T16228" s="3"/>
      <c r="U16228" s="3"/>
      <c r="V16228" s="3"/>
      <c r="W16228" s="3"/>
      <c r="X16228" s="3"/>
      <c r="Y16228" s="3"/>
      <c r="Z16228" s="3"/>
      <c r="AA16228" s="3"/>
      <c r="AB16228" s="3"/>
      <c r="AC16228" s="3"/>
      <c r="AD16228" s="3"/>
      <c r="AE16228" s="3"/>
      <c r="AF16228" s="3"/>
      <c r="AG16228" s="3"/>
      <c r="AH16228" s="3"/>
    </row>
    <row r="16229" spans="1:34" ht="15" customHeight="1" x14ac:dyDescent="0.25">
      <c r="A16229" s="3"/>
      <c r="B16229" s="3"/>
      <c r="C16229" s="3"/>
      <c r="D16229" s="3"/>
      <c r="E16229" s="3"/>
      <c r="F16229" s="3"/>
      <c r="G16229" s="3"/>
      <c r="H16229" s="11"/>
      <c r="I16229" s="12"/>
      <c r="J16229" s="3"/>
      <c r="K16229" s="3"/>
      <c r="L16229" s="3"/>
      <c r="M16229" s="3"/>
      <c r="N16229" s="3"/>
      <c r="O16229" s="3"/>
      <c r="P16229" s="3"/>
      <c r="Q16229" s="3"/>
      <c r="R16229" s="3"/>
      <c r="S16229" s="3"/>
      <c r="T16229" s="3"/>
      <c r="U16229" s="3"/>
      <c r="V16229" s="3"/>
      <c r="W16229" s="3"/>
      <c r="X16229" s="3"/>
      <c r="Y16229" s="3"/>
      <c r="Z16229" s="3"/>
      <c r="AA16229" s="3"/>
      <c r="AB16229" s="3"/>
      <c r="AC16229" s="3"/>
      <c r="AD16229" s="3"/>
      <c r="AE16229" s="3"/>
      <c r="AF16229" s="3"/>
      <c r="AG16229" s="3"/>
      <c r="AH16229" s="3"/>
    </row>
    <row r="16230" spans="1:34" ht="15" customHeight="1" x14ac:dyDescent="0.25">
      <c r="A16230" s="3"/>
      <c r="B16230" s="3"/>
      <c r="C16230" s="3"/>
      <c r="D16230" s="3"/>
      <c r="E16230" s="3"/>
      <c r="F16230" s="3"/>
      <c r="G16230" s="3"/>
      <c r="H16230" s="11"/>
      <c r="I16230" s="12"/>
      <c r="J16230" s="3"/>
      <c r="K16230" s="3"/>
      <c r="L16230" s="3"/>
      <c r="M16230" s="3"/>
      <c r="N16230" s="3"/>
      <c r="O16230" s="3"/>
      <c r="P16230" s="3"/>
      <c r="Q16230" s="3"/>
      <c r="R16230" s="3"/>
      <c r="S16230" s="3"/>
      <c r="T16230" s="3"/>
      <c r="U16230" s="3"/>
      <c r="V16230" s="3"/>
      <c r="W16230" s="3"/>
      <c r="X16230" s="3"/>
      <c r="Y16230" s="3"/>
      <c r="Z16230" s="3"/>
      <c r="AA16230" s="3"/>
      <c r="AB16230" s="3"/>
      <c r="AC16230" s="3"/>
      <c r="AD16230" s="3"/>
      <c r="AE16230" s="3"/>
      <c r="AF16230" s="3"/>
      <c r="AG16230" s="3"/>
      <c r="AH16230" s="3"/>
    </row>
    <row r="16231" spans="1:34" ht="15" customHeight="1" x14ac:dyDescent="0.25">
      <c r="A16231" s="3"/>
      <c r="B16231" s="3"/>
      <c r="C16231" s="3"/>
      <c r="D16231" s="3"/>
      <c r="E16231" s="3"/>
      <c r="F16231" s="3"/>
      <c r="G16231" s="3"/>
      <c r="H16231" s="11"/>
      <c r="I16231" s="12"/>
      <c r="J16231" s="3"/>
      <c r="K16231" s="3"/>
      <c r="L16231" s="3"/>
      <c r="M16231" s="3"/>
      <c r="N16231" s="3"/>
      <c r="O16231" s="3"/>
      <c r="P16231" s="3"/>
      <c r="Q16231" s="3"/>
      <c r="R16231" s="3"/>
      <c r="S16231" s="3"/>
      <c r="T16231" s="3"/>
      <c r="U16231" s="3"/>
      <c r="V16231" s="3"/>
      <c r="W16231" s="3"/>
      <c r="X16231" s="3"/>
      <c r="Y16231" s="3"/>
      <c r="Z16231" s="3"/>
      <c r="AA16231" s="3"/>
      <c r="AB16231" s="3"/>
      <c r="AC16231" s="3"/>
      <c r="AD16231" s="3"/>
      <c r="AE16231" s="3"/>
      <c r="AF16231" s="3"/>
      <c r="AG16231" s="3"/>
      <c r="AH16231" s="3"/>
    </row>
    <row r="16232" spans="1:34" ht="15" customHeight="1" x14ac:dyDescent="0.25">
      <c r="A16232" s="3"/>
      <c r="B16232" s="3"/>
      <c r="C16232" s="3"/>
      <c r="D16232" s="3"/>
      <c r="E16232" s="3"/>
      <c r="F16232" s="3"/>
      <c r="G16232" s="3"/>
      <c r="H16232" s="11"/>
      <c r="I16232" s="12"/>
      <c r="J16232" s="3"/>
      <c r="K16232" s="3"/>
      <c r="L16232" s="3"/>
      <c r="M16232" s="3"/>
      <c r="N16232" s="3"/>
      <c r="O16232" s="3"/>
      <c r="P16232" s="3"/>
      <c r="Q16232" s="3"/>
      <c r="R16232" s="3"/>
      <c r="S16232" s="3"/>
      <c r="T16232" s="3"/>
      <c r="U16232" s="3"/>
      <c r="V16232" s="3"/>
      <c r="W16232" s="3"/>
      <c r="X16232" s="3"/>
      <c r="Y16232" s="3"/>
      <c r="Z16232" s="3"/>
      <c r="AA16232" s="3"/>
      <c r="AB16232" s="3"/>
      <c r="AC16232" s="3"/>
      <c r="AD16232" s="3"/>
      <c r="AE16232" s="3"/>
      <c r="AF16232" s="3"/>
      <c r="AG16232" s="3"/>
      <c r="AH16232" s="3"/>
    </row>
    <row r="16233" spans="1:34" ht="15" customHeight="1" x14ac:dyDescent="0.25">
      <c r="A16233" s="3"/>
      <c r="B16233" s="3"/>
      <c r="C16233" s="3"/>
      <c r="D16233" s="3"/>
      <c r="E16233" s="3"/>
      <c r="F16233" s="3"/>
      <c r="G16233" s="3"/>
      <c r="H16233" s="11"/>
      <c r="I16233" s="12"/>
      <c r="J16233" s="3"/>
      <c r="K16233" s="3"/>
      <c r="L16233" s="3"/>
      <c r="M16233" s="3"/>
      <c r="N16233" s="3"/>
      <c r="O16233" s="3"/>
      <c r="P16233" s="3"/>
      <c r="Q16233" s="3"/>
      <c r="R16233" s="3"/>
      <c r="S16233" s="3"/>
      <c r="T16233" s="3"/>
      <c r="U16233" s="3"/>
      <c r="V16233" s="3"/>
      <c r="W16233" s="3"/>
      <c r="X16233" s="3"/>
      <c r="Y16233" s="3"/>
      <c r="Z16233" s="3"/>
      <c r="AA16233" s="3"/>
      <c r="AB16233" s="3"/>
      <c r="AC16233" s="3"/>
      <c r="AD16233" s="3"/>
      <c r="AE16233" s="3"/>
      <c r="AF16233" s="3"/>
      <c r="AG16233" s="3"/>
      <c r="AH16233" s="3"/>
    </row>
    <row r="16234" spans="1:34" ht="15" customHeight="1" x14ac:dyDescent="0.25">
      <c r="A16234" s="3"/>
      <c r="B16234" s="3"/>
      <c r="C16234" s="3"/>
      <c r="D16234" s="3"/>
      <c r="E16234" s="3"/>
      <c r="F16234" s="3"/>
      <c r="G16234" s="3"/>
      <c r="H16234" s="11"/>
      <c r="I16234" s="12"/>
      <c r="J16234" s="3"/>
      <c r="K16234" s="3"/>
      <c r="L16234" s="3"/>
      <c r="M16234" s="3"/>
      <c r="N16234" s="3"/>
      <c r="O16234" s="3"/>
      <c r="P16234" s="3"/>
      <c r="Q16234" s="3"/>
      <c r="R16234" s="3"/>
      <c r="S16234" s="3"/>
      <c r="T16234" s="3"/>
      <c r="U16234" s="3"/>
      <c r="V16234" s="3"/>
      <c r="W16234" s="3"/>
      <c r="X16234" s="3"/>
      <c r="Y16234" s="3"/>
      <c r="Z16234" s="3"/>
      <c r="AA16234" s="3"/>
      <c r="AB16234" s="3"/>
      <c r="AC16234" s="3"/>
      <c r="AD16234" s="3"/>
      <c r="AE16234" s="3"/>
      <c r="AF16234" s="3"/>
      <c r="AG16234" s="3"/>
      <c r="AH16234" s="3"/>
    </row>
    <row r="16235" spans="1:34" ht="15" customHeight="1" x14ac:dyDescent="0.25">
      <c r="A16235" s="3"/>
      <c r="B16235" s="3"/>
      <c r="C16235" s="3"/>
      <c r="D16235" s="3"/>
      <c r="E16235" s="3"/>
      <c r="F16235" s="3"/>
      <c r="G16235" s="3"/>
      <c r="H16235" s="11"/>
      <c r="I16235" s="12"/>
      <c r="J16235" s="3"/>
      <c r="K16235" s="3"/>
      <c r="L16235" s="3"/>
      <c r="M16235" s="3"/>
      <c r="N16235" s="3"/>
      <c r="O16235" s="3"/>
      <c r="P16235" s="3"/>
      <c r="Q16235" s="3"/>
      <c r="R16235" s="3"/>
      <c r="S16235" s="3"/>
      <c r="T16235" s="3"/>
      <c r="U16235" s="3"/>
      <c r="V16235" s="3"/>
      <c r="W16235" s="3"/>
      <c r="X16235" s="3"/>
      <c r="Y16235" s="3"/>
      <c r="Z16235" s="3"/>
      <c r="AA16235" s="3"/>
      <c r="AB16235" s="3"/>
      <c r="AC16235" s="3"/>
      <c r="AD16235" s="3"/>
      <c r="AE16235" s="3"/>
      <c r="AF16235" s="3"/>
      <c r="AG16235" s="3"/>
      <c r="AH16235" s="3"/>
    </row>
    <row r="16236" spans="1:34" ht="15" customHeight="1" x14ac:dyDescent="0.25">
      <c r="A16236" s="3"/>
      <c r="B16236" s="3"/>
      <c r="C16236" s="3"/>
      <c r="D16236" s="3"/>
      <c r="E16236" s="3"/>
      <c r="F16236" s="3"/>
      <c r="G16236" s="3"/>
      <c r="H16236" s="11"/>
      <c r="I16236" s="12"/>
      <c r="J16236" s="3"/>
      <c r="K16236" s="3"/>
      <c r="L16236" s="3"/>
      <c r="M16236" s="3"/>
      <c r="N16236" s="3"/>
      <c r="O16236" s="3"/>
      <c r="P16236" s="3"/>
      <c r="Q16236" s="3"/>
      <c r="R16236" s="3"/>
      <c r="S16236" s="3"/>
      <c r="T16236" s="3"/>
      <c r="U16236" s="3"/>
      <c r="V16236" s="3"/>
      <c r="W16236" s="3"/>
      <c r="X16236" s="3"/>
      <c r="Y16236" s="3"/>
      <c r="Z16236" s="3"/>
      <c r="AA16236" s="3"/>
      <c r="AB16236" s="3"/>
      <c r="AC16236" s="3"/>
      <c r="AD16236" s="3"/>
      <c r="AE16236" s="3"/>
      <c r="AF16236" s="3"/>
      <c r="AG16236" s="3"/>
      <c r="AH16236" s="3"/>
    </row>
    <row r="16237" spans="1:34" ht="15" customHeight="1" x14ac:dyDescent="0.25">
      <c r="A16237" s="3"/>
      <c r="B16237" s="3"/>
      <c r="C16237" s="3"/>
      <c r="D16237" s="3"/>
      <c r="E16237" s="3"/>
      <c r="F16237" s="3"/>
      <c r="G16237" s="3"/>
      <c r="H16237" s="11"/>
      <c r="I16237" s="12"/>
      <c r="J16237" s="3"/>
      <c r="K16237" s="3"/>
      <c r="L16237" s="3"/>
      <c r="M16237" s="3"/>
      <c r="N16237" s="3"/>
      <c r="O16237" s="3"/>
      <c r="P16237" s="3"/>
      <c r="Q16237" s="3"/>
      <c r="R16237" s="3"/>
      <c r="S16237" s="3"/>
      <c r="T16237" s="3"/>
      <c r="U16237" s="3"/>
      <c r="V16237" s="3"/>
      <c r="W16237" s="3"/>
      <c r="X16237" s="3"/>
      <c r="Y16237" s="3"/>
      <c r="Z16237" s="3"/>
      <c r="AA16237" s="3"/>
      <c r="AB16237" s="3"/>
      <c r="AC16237" s="3"/>
      <c r="AD16237" s="3"/>
      <c r="AE16237" s="3"/>
      <c r="AF16237" s="3"/>
      <c r="AG16237" s="3"/>
      <c r="AH16237" s="3"/>
    </row>
    <row r="16238" spans="1:34" ht="15" customHeight="1" x14ac:dyDescent="0.25">
      <c r="A16238" s="3"/>
      <c r="B16238" s="3"/>
      <c r="C16238" s="3"/>
      <c r="D16238" s="3"/>
      <c r="E16238" s="3"/>
      <c r="F16238" s="3"/>
      <c r="G16238" s="3"/>
      <c r="H16238" s="11"/>
      <c r="I16238" s="12"/>
      <c r="J16238" s="3"/>
      <c r="K16238" s="3"/>
      <c r="L16238" s="3"/>
      <c r="M16238" s="3"/>
      <c r="N16238" s="3"/>
      <c r="O16238" s="3"/>
      <c r="P16238" s="3"/>
      <c r="Q16238" s="3"/>
      <c r="R16238" s="3"/>
      <c r="S16238" s="3"/>
      <c r="T16238" s="3"/>
      <c r="U16238" s="3"/>
      <c r="V16238" s="3"/>
      <c r="W16238" s="3"/>
      <c r="X16238" s="3"/>
      <c r="Y16238" s="3"/>
      <c r="Z16238" s="3"/>
      <c r="AA16238" s="3"/>
      <c r="AB16238" s="3"/>
      <c r="AC16238" s="3"/>
      <c r="AD16238" s="3"/>
      <c r="AE16238" s="3"/>
      <c r="AF16238" s="3"/>
      <c r="AG16238" s="3"/>
      <c r="AH16238" s="3"/>
    </row>
    <row r="16239" spans="1:34" ht="15" customHeight="1" x14ac:dyDescent="0.25">
      <c r="A16239" s="3"/>
      <c r="B16239" s="3"/>
      <c r="C16239" s="3"/>
      <c r="D16239" s="3"/>
      <c r="E16239" s="3"/>
      <c r="F16239" s="3"/>
      <c r="G16239" s="3"/>
      <c r="H16239" s="11"/>
      <c r="I16239" s="12"/>
      <c r="J16239" s="3"/>
      <c r="K16239" s="3"/>
      <c r="L16239" s="3"/>
      <c r="M16239" s="3"/>
      <c r="N16239" s="3"/>
      <c r="O16239" s="3"/>
      <c r="P16239" s="3"/>
      <c r="Q16239" s="3"/>
      <c r="R16239" s="3"/>
      <c r="S16239" s="3"/>
      <c r="T16239" s="3"/>
      <c r="U16239" s="3"/>
      <c r="V16239" s="3"/>
      <c r="W16239" s="3"/>
      <c r="X16239" s="3"/>
      <c r="Y16239" s="3"/>
      <c r="Z16239" s="3"/>
      <c r="AA16239" s="3"/>
      <c r="AB16239" s="3"/>
      <c r="AC16239" s="3"/>
      <c r="AD16239" s="3"/>
      <c r="AE16239" s="3"/>
      <c r="AF16239" s="3"/>
      <c r="AG16239" s="3"/>
      <c r="AH16239" s="3"/>
    </row>
    <row r="16240" spans="1:34" ht="15" customHeight="1" x14ac:dyDescent="0.25">
      <c r="A16240" s="3"/>
      <c r="B16240" s="3"/>
      <c r="C16240" s="3"/>
      <c r="D16240" s="3"/>
      <c r="E16240" s="3"/>
      <c r="F16240" s="3"/>
      <c r="G16240" s="3"/>
      <c r="H16240" s="11"/>
      <c r="I16240" s="12"/>
      <c r="J16240" s="3"/>
      <c r="K16240" s="3"/>
      <c r="L16240" s="3"/>
      <c r="M16240" s="3"/>
      <c r="N16240" s="3"/>
      <c r="O16240" s="3"/>
      <c r="P16240" s="3"/>
      <c r="Q16240" s="3"/>
      <c r="R16240" s="3"/>
      <c r="S16240" s="3"/>
      <c r="T16240" s="3"/>
      <c r="U16240" s="3"/>
      <c r="V16240" s="3"/>
      <c r="W16240" s="3"/>
      <c r="X16240" s="3"/>
      <c r="Y16240" s="3"/>
      <c r="Z16240" s="3"/>
      <c r="AA16240" s="3"/>
      <c r="AB16240" s="3"/>
      <c r="AC16240" s="3"/>
      <c r="AD16240" s="3"/>
      <c r="AE16240" s="3"/>
      <c r="AF16240" s="3"/>
      <c r="AG16240" s="3"/>
      <c r="AH16240" s="3"/>
    </row>
    <row r="16241" spans="1:34" ht="15" customHeight="1" x14ac:dyDescent="0.25">
      <c r="A16241" s="3"/>
      <c r="B16241" s="3"/>
      <c r="C16241" s="3"/>
      <c r="D16241" s="3"/>
      <c r="E16241" s="3"/>
      <c r="F16241" s="3"/>
      <c r="G16241" s="3"/>
      <c r="H16241" s="11"/>
      <c r="I16241" s="12"/>
      <c r="J16241" s="3"/>
      <c r="K16241" s="3"/>
      <c r="L16241" s="3"/>
      <c r="M16241" s="3"/>
      <c r="N16241" s="3"/>
      <c r="O16241" s="3"/>
      <c r="P16241" s="3"/>
      <c r="Q16241" s="3"/>
      <c r="R16241" s="3"/>
      <c r="S16241" s="3"/>
      <c r="T16241" s="3"/>
      <c r="U16241" s="3"/>
      <c r="V16241" s="3"/>
      <c r="W16241" s="3"/>
      <c r="X16241" s="3"/>
      <c r="Y16241" s="3"/>
      <c r="Z16241" s="3"/>
      <c r="AA16241" s="3"/>
      <c r="AB16241" s="3"/>
      <c r="AC16241" s="3"/>
      <c r="AD16241" s="3"/>
      <c r="AE16241" s="3"/>
      <c r="AF16241" s="3"/>
      <c r="AG16241" s="3"/>
      <c r="AH16241" s="3"/>
    </row>
    <row r="16242" spans="1:34" ht="15" customHeight="1" x14ac:dyDescent="0.25">
      <c r="A16242" s="3"/>
      <c r="B16242" s="3"/>
      <c r="C16242" s="3"/>
      <c r="D16242" s="3"/>
      <c r="E16242" s="3"/>
      <c r="F16242" s="3"/>
      <c r="G16242" s="3"/>
      <c r="H16242" s="11"/>
      <c r="I16242" s="12"/>
      <c r="J16242" s="3"/>
      <c r="K16242" s="3"/>
      <c r="L16242" s="3"/>
      <c r="M16242" s="3"/>
      <c r="N16242" s="3"/>
      <c r="O16242" s="3"/>
      <c r="P16242" s="3"/>
      <c r="Q16242" s="3"/>
      <c r="R16242" s="3"/>
      <c r="S16242" s="3"/>
      <c r="T16242" s="3"/>
      <c r="U16242" s="3"/>
      <c r="V16242" s="3"/>
      <c r="W16242" s="3"/>
      <c r="X16242" s="3"/>
      <c r="Y16242" s="3"/>
      <c r="Z16242" s="3"/>
      <c r="AA16242" s="3"/>
      <c r="AB16242" s="3"/>
      <c r="AC16242" s="3"/>
      <c r="AD16242" s="3"/>
      <c r="AE16242" s="3"/>
      <c r="AF16242" s="3"/>
      <c r="AG16242" s="3"/>
      <c r="AH16242" s="3"/>
    </row>
    <row r="16243" spans="1:34" ht="15" customHeight="1" x14ac:dyDescent="0.25">
      <c r="A16243" s="3"/>
      <c r="B16243" s="3"/>
      <c r="C16243" s="3"/>
      <c r="D16243" s="3"/>
      <c r="E16243" s="3"/>
      <c r="F16243" s="3"/>
      <c r="G16243" s="3"/>
      <c r="H16243" s="11"/>
      <c r="I16243" s="12"/>
      <c r="J16243" s="3"/>
      <c r="K16243" s="3"/>
      <c r="L16243" s="3"/>
      <c r="M16243" s="3"/>
      <c r="N16243" s="3"/>
      <c r="O16243" s="3"/>
      <c r="P16243" s="3"/>
      <c r="Q16243" s="3"/>
      <c r="R16243" s="3"/>
      <c r="S16243" s="3"/>
      <c r="T16243" s="3"/>
      <c r="U16243" s="3"/>
      <c r="V16243" s="3"/>
      <c r="W16243" s="3"/>
      <c r="X16243" s="3"/>
      <c r="Y16243" s="3"/>
      <c r="Z16243" s="3"/>
      <c r="AA16243" s="3"/>
      <c r="AB16243" s="3"/>
      <c r="AC16243" s="3"/>
      <c r="AD16243" s="3"/>
      <c r="AE16243" s="3"/>
      <c r="AF16243" s="3"/>
      <c r="AG16243" s="3"/>
      <c r="AH16243" s="3"/>
    </row>
    <row r="16244" spans="1:34" ht="15" customHeight="1" x14ac:dyDescent="0.25">
      <c r="A16244" s="3"/>
      <c r="B16244" s="3"/>
      <c r="C16244" s="3"/>
      <c r="D16244" s="3"/>
      <c r="E16244" s="3"/>
      <c r="F16244" s="3"/>
      <c r="G16244" s="3"/>
      <c r="H16244" s="11"/>
      <c r="I16244" s="12"/>
      <c r="J16244" s="3"/>
      <c r="K16244" s="3"/>
      <c r="L16244" s="3"/>
      <c r="M16244" s="3"/>
      <c r="N16244" s="3"/>
      <c r="O16244" s="3"/>
      <c r="P16244" s="3"/>
      <c r="Q16244" s="3"/>
      <c r="R16244" s="3"/>
      <c r="S16244" s="3"/>
      <c r="T16244" s="3"/>
      <c r="U16244" s="3"/>
      <c r="V16244" s="3"/>
      <c r="W16244" s="3"/>
      <c r="X16244" s="3"/>
      <c r="Y16244" s="3"/>
      <c r="Z16244" s="3"/>
      <c r="AA16244" s="3"/>
      <c r="AB16244" s="3"/>
      <c r="AC16244" s="3"/>
      <c r="AD16244" s="3"/>
      <c r="AE16244" s="3"/>
      <c r="AF16244" s="3"/>
      <c r="AG16244" s="3"/>
      <c r="AH16244" s="3"/>
    </row>
    <row r="16245" spans="1:34" ht="15" customHeight="1" x14ac:dyDescent="0.25">
      <c r="A16245" s="3"/>
      <c r="B16245" s="3"/>
      <c r="C16245" s="3"/>
      <c r="D16245" s="3"/>
      <c r="E16245" s="3"/>
      <c r="F16245" s="3"/>
      <c r="G16245" s="3"/>
      <c r="H16245" s="11"/>
      <c r="I16245" s="12"/>
      <c r="J16245" s="3"/>
      <c r="K16245" s="3"/>
      <c r="L16245" s="3"/>
      <c r="M16245" s="3"/>
      <c r="N16245" s="3"/>
      <c r="O16245" s="3"/>
      <c r="P16245" s="3"/>
      <c r="Q16245" s="3"/>
      <c r="R16245" s="3"/>
      <c r="S16245" s="3"/>
      <c r="T16245" s="3"/>
      <c r="U16245" s="3"/>
      <c r="V16245" s="3"/>
      <c r="W16245" s="3"/>
      <c r="X16245" s="3"/>
      <c r="Y16245" s="3"/>
      <c r="Z16245" s="3"/>
      <c r="AA16245" s="3"/>
      <c r="AB16245" s="3"/>
      <c r="AC16245" s="3"/>
      <c r="AD16245" s="3"/>
      <c r="AE16245" s="3"/>
      <c r="AF16245" s="3"/>
      <c r="AG16245" s="3"/>
      <c r="AH16245" s="3"/>
    </row>
    <row r="16246" spans="1:34" ht="15" customHeight="1" x14ac:dyDescent="0.25">
      <c r="A16246" s="3"/>
      <c r="B16246" s="3"/>
      <c r="C16246" s="3"/>
      <c r="D16246" s="3"/>
      <c r="E16246" s="3"/>
      <c r="F16246" s="3"/>
      <c r="G16246" s="3"/>
      <c r="H16246" s="11"/>
      <c r="I16246" s="12"/>
      <c r="J16246" s="3"/>
      <c r="K16246" s="3"/>
      <c r="L16246" s="3"/>
      <c r="M16246" s="3"/>
      <c r="N16246" s="3"/>
      <c r="O16246" s="3"/>
      <c r="P16246" s="3"/>
      <c r="Q16246" s="3"/>
      <c r="R16246" s="3"/>
      <c r="S16246" s="3"/>
      <c r="T16246" s="3"/>
      <c r="U16246" s="3"/>
      <c r="V16246" s="3"/>
      <c r="W16246" s="3"/>
      <c r="X16246" s="3"/>
      <c r="Y16246" s="3"/>
      <c r="Z16246" s="3"/>
      <c r="AA16246" s="3"/>
      <c r="AB16246" s="3"/>
      <c r="AC16246" s="3"/>
      <c r="AD16246" s="3"/>
      <c r="AE16246" s="3"/>
      <c r="AF16246" s="3"/>
      <c r="AG16246" s="3"/>
      <c r="AH16246" s="3"/>
    </row>
    <row r="16247" spans="1:34" ht="15" customHeight="1" x14ac:dyDescent="0.25">
      <c r="A16247" s="3"/>
      <c r="B16247" s="3"/>
      <c r="C16247" s="3"/>
      <c r="D16247" s="3"/>
      <c r="E16247" s="3"/>
      <c r="F16247" s="3"/>
      <c r="G16247" s="3"/>
      <c r="H16247" s="11"/>
      <c r="I16247" s="12"/>
      <c r="J16247" s="3"/>
      <c r="K16247" s="3"/>
      <c r="L16247" s="3"/>
      <c r="M16247" s="3"/>
      <c r="N16247" s="3"/>
      <c r="O16247" s="3"/>
      <c r="P16247" s="3"/>
      <c r="Q16247" s="3"/>
      <c r="R16247" s="3"/>
      <c r="S16247" s="3"/>
      <c r="T16247" s="3"/>
      <c r="U16247" s="3"/>
      <c r="V16247" s="3"/>
      <c r="W16247" s="3"/>
      <c r="X16247" s="3"/>
      <c r="Y16247" s="3"/>
      <c r="Z16247" s="3"/>
      <c r="AA16247" s="3"/>
      <c r="AB16247" s="3"/>
      <c r="AC16247" s="3"/>
      <c r="AD16247" s="3"/>
      <c r="AE16247" s="3"/>
      <c r="AF16247" s="3"/>
      <c r="AG16247" s="3"/>
      <c r="AH16247" s="3"/>
    </row>
    <row r="16248" spans="1:34" ht="15" customHeight="1" x14ac:dyDescent="0.25">
      <c r="A16248" s="3"/>
      <c r="B16248" s="3"/>
      <c r="C16248" s="3"/>
      <c r="D16248" s="3"/>
      <c r="E16248" s="3"/>
      <c r="F16248" s="3"/>
      <c r="G16248" s="3"/>
      <c r="H16248" s="11"/>
      <c r="I16248" s="12"/>
      <c r="J16248" s="3"/>
      <c r="K16248" s="3"/>
      <c r="L16248" s="3"/>
      <c r="M16248" s="3"/>
      <c r="N16248" s="3"/>
      <c r="O16248" s="3"/>
      <c r="P16248" s="3"/>
      <c r="Q16248" s="3"/>
      <c r="R16248" s="3"/>
      <c r="S16248" s="3"/>
      <c r="T16248" s="3"/>
      <c r="U16248" s="3"/>
      <c r="V16248" s="3"/>
      <c r="W16248" s="3"/>
      <c r="X16248" s="3"/>
      <c r="Y16248" s="3"/>
      <c r="Z16248" s="3"/>
      <c r="AA16248" s="3"/>
      <c r="AB16248" s="3"/>
      <c r="AC16248" s="3"/>
      <c r="AD16248" s="3"/>
      <c r="AE16248" s="3"/>
      <c r="AF16248" s="3"/>
      <c r="AG16248" s="3"/>
      <c r="AH16248" s="3"/>
    </row>
    <row r="16249" spans="1:34" ht="15" customHeight="1" x14ac:dyDescent="0.25">
      <c r="A16249" s="3"/>
      <c r="B16249" s="3"/>
      <c r="C16249" s="3"/>
      <c r="D16249" s="3"/>
      <c r="E16249" s="3"/>
      <c r="F16249" s="3"/>
      <c r="G16249" s="3"/>
      <c r="H16249" s="11"/>
      <c r="I16249" s="12"/>
      <c r="J16249" s="3"/>
      <c r="K16249" s="3"/>
      <c r="L16249" s="3"/>
      <c r="M16249" s="3"/>
      <c r="N16249" s="3"/>
      <c r="O16249" s="3"/>
      <c r="P16249" s="3"/>
      <c r="Q16249" s="3"/>
      <c r="R16249" s="3"/>
      <c r="S16249" s="3"/>
      <c r="T16249" s="3"/>
      <c r="U16249" s="3"/>
      <c r="V16249" s="3"/>
      <c r="W16249" s="3"/>
      <c r="X16249" s="3"/>
      <c r="Y16249" s="3"/>
      <c r="Z16249" s="3"/>
      <c r="AA16249" s="3"/>
      <c r="AB16249" s="3"/>
      <c r="AC16249" s="3"/>
      <c r="AD16249" s="3"/>
      <c r="AE16249" s="3"/>
      <c r="AF16249" s="3"/>
      <c r="AG16249" s="3"/>
      <c r="AH16249" s="3"/>
    </row>
    <row r="16250" spans="1:34" ht="15" customHeight="1" x14ac:dyDescent="0.25">
      <c r="A16250" s="3"/>
      <c r="B16250" s="3"/>
      <c r="C16250" s="3"/>
      <c r="D16250" s="3"/>
      <c r="E16250" s="3"/>
      <c r="F16250" s="3"/>
      <c r="G16250" s="3"/>
      <c r="H16250" s="11"/>
      <c r="I16250" s="12"/>
      <c r="J16250" s="3"/>
      <c r="K16250" s="3"/>
      <c r="L16250" s="3"/>
      <c r="M16250" s="3"/>
      <c r="N16250" s="3"/>
      <c r="O16250" s="3"/>
      <c r="P16250" s="3"/>
      <c r="Q16250" s="3"/>
      <c r="R16250" s="3"/>
      <c r="S16250" s="3"/>
      <c r="T16250" s="3"/>
      <c r="U16250" s="3"/>
      <c r="V16250" s="3"/>
      <c r="W16250" s="3"/>
      <c r="X16250" s="3"/>
      <c r="Y16250" s="3"/>
      <c r="Z16250" s="3"/>
      <c r="AA16250" s="3"/>
      <c r="AB16250" s="3"/>
      <c r="AC16250" s="3"/>
      <c r="AD16250" s="3"/>
      <c r="AE16250" s="3"/>
      <c r="AF16250" s="3"/>
      <c r="AG16250" s="3"/>
      <c r="AH16250" s="3"/>
    </row>
    <row r="16251" spans="1:34" ht="15" customHeight="1" x14ac:dyDescent="0.25">
      <c r="A16251" s="3"/>
      <c r="B16251" s="3"/>
      <c r="C16251" s="3"/>
      <c r="D16251" s="3"/>
      <c r="E16251" s="3"/>
      <c r="F16251" s="3"/>
      <c r="G16251" s="3"/>
      <c r="H16251" s="11"/>
      <c r="I16251" s="12"/>
      <c r="J16251" s="3"/>
      <c r="K16251" s="3"/>
      <c r="L16251" s="3"/>
      <c r="M16251" s="3"/>
      <c r="N16251" s="3"/>
      <c r="O16251" s="3"/>
      <c r="P16251" s="3"/>
      <c r="Q16251" s="3"/>
      <c r="R16251" s="3"/>
      <c r="S16251" s="3"/>
      <c r="T16251" s="3"/>
      <c r="U16251" s="3"/>
      <c r="V16251" s="3"/>
      <c r="W16251" s="3"/>
      <c r="X16251" s="3"/>
      <c r="Y16251" s="3"/>
      <c r="Z16251" s="3"/>
      <c r="AA16251" s="3"/>
      <c r="AB16251" s="3"/>
      <c r="AC16251" s="3"/>
      <c r="AD16251" s="3"/>
      <c r="AE16251" s="3"/>
      <c r="AF16251" s="3"/>
      <c r="AG16251" s="3"/>
      <c r="AH16251" s="3"/>
    </row>
    <row r="16252" spans="1:34" ht="15" customHeight="1" x14ac:dyDescent="0.25">
      <c r="A16252" s="3"/>
      <c r="B16252" s="3"/>
      <c r="C16252" s="3"/>
      <c r="D16252" s="3"/>
      <c r="E16252" s="3"/>
      <c r="F16252" s="3"/>
      <c r="G16252" s="3"/>
      <c r="H16252" s="11"/>
      <c r="I16252" s="12"/>
      <c r="J16252" s="3"/>
      <c r="K16252" s="3"/>
      <c r="L16252" s="3"/>
      <c r="M16252" s="3"/>
      <c r="N16252" s="3"/>
      <c r="O16252" s="3"/>
      <c r="P16252" s="3"/>
      <c r="Q16252" s="3"/>
      <c r="R16252" s="3"/>
      <c r="S16252" s="3"/>
      <c r="T16252" s="3"/>
      <c r="U16252" s="3"/>
      <c r="V16252" s="3"/>
      <c r="W16252" s="3"/>
      <c r="X16252" s="3"/>
      <c r="Y16252" s="3"/>
      <c r="Z16252" s="3"/>
      <c r="AA16252" s="3"/>
      <c r="AB16252" s="3"/>
      <c r="AC16252" s="3"/>
      <c r="AD16252" s="3"/>
      <c r="AE16252" s="3"/>
      <c r="AF16252" s="3"/>
      <c r="AG16252" s="3"/>
      <c r="AH16252" s="3"/>
    </row>
    <row r="16253" spans="1:34" ht="15" customHeight="1" x14ac:dyDescent="0.25">
      <c r="A16253" s="3"/>
      <c r="B16253" s="3"/>
      <c r="C16253" s="3"/>
      <c r="D16253" s="3"/>
      <c r="E16253" s="3"/>
      <c r="F16253" s="3"/>
      <c r="G16253" s="3"/>
      <c r="H16253" s="11"/>
      <c r="I16253" s="12"/>
      <c r="J16253" s="3"/>
      <c r="K16253" s="3"/>
      <c r="L16253" s="3"/>
      <c r="M16253" s="3"/>
      <c r="N16253" s="3"/>
      <c r="O16253" s="3"/>
      <c r="P16253" s="3"/>
      <c r="Q16253" s="3"/>
      <c r="R16253" s="3"/>
      <c r="S16253" s="3"/>
      <c r="T16253" s="3"/>
      <c r="U16253" s="3"/>
      <c r="V16253" s="3"/>
      <c r="W16253" s="3"/>
      <c r="X16253" s="3"/>
      <c r="Y16253" s="3"/>
      <c r="Z16253" s="3"/>
      <c r="AA16253" s="3"/>
      <c r="AB16253" s="3"/>
      <c r="AC16253" s="3"/>
      <c r="AD16253" s="3"/>
      <c r="AE16253" s="3"/>
      <c r="AF16253" s="3"/>
      <c r="AG16253" s="3"/>
      <c r="AH16253" s="3"/>
    </row>
    <row r="16254" spans="1:34" ht="15" customHeight="1" x14ac:dyDescent="0.25">
      <c r="A16254" s="3"/>
      <c r="B16254" s="3"/>
      <c r="C16254" s="3"/>
      <c r="D16254" s="3"/>
      <c r="E16254" s="3"/>
      <c r="F16254" s="3"/>
      <c r="G16254" s="3"/>
      <c r="H16254" s="11"/>
      <c r="I16254" s="12"/>
      <c r="J16254" s="3"/>
      <c r="K16254" s="3"/>
      <c r="L16254" s="3"/>
      <c r="M16254" s="3"/>
      <c r="N16254" s="3"/>
      <c r="O16254" s="3"/>
      <c r="P16254" s="3"/>
      <c r="Q16254" s="3"/>
      <c r="R16254" s="3"/>
      <c r="S16254" s="3"/>
      <c r="T16254" s="3"/>
      <c r="U16254" s="3"/>
      <c r="V16254" s="3"/>
      <c r="W16254" s="3"/>
      <c r="X16254" s="3"/>
      <c r="Y16254" s="3"/>
      <c r="Z16254" s="3"/>
      <c r="AA16254" s="3"/>
      <c r="AB16254" s="3"/>
      <c r="AC16254" s="3"/>
      <c r="AD16254" s="3"/>
      <c r="AE16254" s="3"/>
      <c r="AF16254" s="3"/>
      <c r="AG16254" s="3"/>
      <c r="AH16254" s="3"/>
    </row>
    <row r="16255" spans="1:34" ht="15" customHeight="1" x14ac:dyDescent="0.25">
      <c r="A16255" s="3"/>
      <c r="B16255" s="3"/>
      <c r="C16255" s="3"/>
      <c r="D16255" s="3"/>
      <c r="E16255" s="3"/>
      <c r="F16255" s="3"/>
      <c r="G16255" s="3"/>
      <c r="H16255" s="11"/>
      <c r="I16255" s="12"/>
      <c r="J16255" s="3"/>
      <c r="K16255" s="3"/>
      <c r="L16255" s="3"/>
      <c r="M16255" s="3"/>
      <c r="N16255" s="3"/>
      <c r="O16255" s="3"/>
      <c r="P16255" s="3"/>
      <c r="Q16255" s="3"/>
      <c r="R16255" s="3"/>
      <c r="S16255" s="3"/>
      <c r="T16255" s="3"/>
      <c r="U16255" s="3"/>
      <c r="V16255" s="3"/>
      <c r="W16255" s="3"/>
      <c r="X16255" s="3"/>
      <c r="Y16255" s="3"/>
      <c r="Z16255" s="3"/>
      <c r="AA16255" s="3"/>
      <c r="AB16255" s="3"/>
      <c r="AC16255" s="3"/>
      <c r="AD16255" s="3"/>
      <c r="AE16255" s="3"/>
      <c r="AF16255" s="3"/>
      <c r="AG16255" s="3"/>
      <c r="AH16255" s="3"/>
    </row>
    <row r="16256" spans="1:34" ht="15" customHeight="1" x14ac:dyDescent="0.25">
      <c r="A16256" s="3"/>
      <c r="B16256" s="3"/>
      <c r="C16256" s="3"/>
      <c r="D16256" s="3"/>
      <c r="E16256" s="3"/>
      <c r="F16256" s="3"/>
      <c r="G16256" s="3"/>
      <c r="H16256" s="11"/>
      <c r="I16256" s="12"/>
      <c r="J16256" s="3"/>
      <c r="K16256" s="3"/>
      <c r="L16256" s="3"/>
      <c r="M16256" s="3"/>
      <c r="N16256" s="3"/>
      <c r="O16256" s="3"/>
      <c r="P16256" s="3"/>
      <c r="Q16256" s="3"/>
      <c r="R16256" s="3"/>
      <c r="S16256" s="3"/>
      <c r="T16256" s="3"/>
      <c r="U16256" s="3"/>
      <c r="V16256" s="3"/>
      <c r="W16256" s="3"/>
      <c r="X16256" s="3"/>
      <c r="Y16256" s="3"/>
      <c r="Z16256" s="3"/>
      <c r="AA16256" s="3"/>
      <c r="AB16256" s="3"/>
      <c r="AC16256" s="3"/>
      <c r="AD16256" s="3"/>
      <c r="AE16256" s="3"/>
      <c r="AF16256" s="3"/>
      <c r="AG16256" s="3"/>
      <c r="AH16256" s="3"/>
    </row>
    <row r="16257" spans="1:34" ht="15" customHeight="1" x14ac:dyDescent="0.25">
      <c r="A16257" s="3"/>
      <c r="B16257" s="3"/>
      <c r="C16257" s="3"/>
      <c r="D16257" s="3"/>
      <c r="E16257" s="3"/>
      <c r="F16257" s="3"/>
      <c r="G16257" s="3"/>
      <c r="H16257" s="11"/>
      <c r="I16257" s="12"/>
      <c r="J16257" s="3"/>
      <c r="K16257" s="3"/>
      <c r="L16257" s="3"/>
      <c r="M16257" s="3"/>
      <c r="N16257" s="3"/>
      <c r="O16257" s="3"/>
      <c r="P16257" s="3"/>
      <c r="Q16257" s="3"/>
      <c r="R16257" s="3"/>
      <c r="S16257" s="3"/>
      <c r="T16257" s="3"/>
      <c r="U16257" s="3"/>
      <c r="V16257" s="3"/>
      <c r="W16257" s="3"/>
      <c r="X16257" s="3"/>
      <c r="Y16257" s="3"/>
      <c r="Z16257" s="3"/>
      <c r="AA16257" s="3"/>
      <c r="AB16257" s="3"/>
      <c r="AC16257" s="3"/>
      <c r="AD16257" s="3"/>
      <c r="AE16257" s="3"/>
      <c r="AF16257" s="3"/>
      <c r="AG16257" s="3"/>
      <c r="AH16257" s="3"/>
    </row>
    <row r="16258" spans="1:34" ht="15" customHeight="1" x14ac:dyDescent="0.25">
      <c r="A16258" s="3"/>
      <c r="B16258" s="3"/>
      <c r="C16258" s="3"/>
      <c r="D16258" s="3"/>
      <c r="E16258" s="3"/>
      <c r="F16258" s="3"/>
      <c r="G16258" s="3"/>
      <c r="H16258" s="11"/>
      <c r="I16258" s="12"/>
      <c r="J16258" s="3"/>
      <c r="K16258" s="3"/>
      <c r="L16258" s="3"/>
      <c r="M16258" s="3"/>
      <c r="N16258" s="3"/>
      <c r="O16258" s="3"/>
      <c r="P16258" s="3"/>
      <c r="Q16258" s="3"/>
      <c r="R16258" s="3"/>
      <c r="S16258" s="3"/>
      <c r="T16258" s="3"/>
      <c r="U16258" s="3"/>
      <c r="V16258" s="3"/>
      <c r="W16258" s="3"/>
      <c r="X16258" s="3"/>
      <c r="Y16258" s="3"/>
      <c r="Z16258" s="3"/>
      <c r="AA16258" s="3"/>
      <c r="AB16258" s="3"/>
      <c r="AC16258" s="3"/>
      <c r="AD16258" s="3"/>
      <c r="AE16258" s="3"/>
      <c r="AF16258" s="3"/>
      <c r="AG16258" s="3"/>
      <c r="AH16258" s="3"/>
    </row>
    <row r="16259" spans="1:34" ht="15" customHeight="1" x14ac:dyDescent="0.25">
      <c r="A16259" s="3"/>
      <c r="B16259" s="3"/>
      <c r="C16259" s="3"/>
      <c r="D16259" s="3"/>
      <c r="E16259" s="3"/>
      <c r="F16259" s="3"/>
      <c r="G16259" s="3"/>
      <c r="H16259" s="11"/>
      <c r="I16259" s="12"/>
      <c r="J16259" s="3"/>
      <c r="K16259" s="3"/>
      <c r="L16259" s="3"/>
      <c r="M16259" s="3"/>
      <c r="N16259" s="3"/>
      <c r="O16259" s="3"/>
      <c r="P16259" s="3"/>
      <c r="Q16259" s="3"/>
      <c r="R16259" s="3"/>
      <c r="S16259" s="3"/>
      <c r="T16259" s="3"/>
      <c r="U16259" s="3"/>
      <c r="V16259" s="3"/>
      <c r="W16259" s="3"/>
      <c r="X16259" s="3"/>
      <c r="Y16259" s="3"/>
      <c r="Z16259" s="3"/>
      <c r="AA16259" s="3"/>
      <c r="AB16259" s="3"/>
      <c r="AC16259" s="3"/>
      <c r="AD16259" s="3"/>
      <c r="AE16259" s="3"/>
      <c r="AF16259" s="3"/>
      <c r="AG16259" s="3"/>
      <c r="AH16259" s="3"/>
    </row>
    <row r="16260" spans="1:34" ht="15" customHeight="1" x14ac:dyDescent="0.25">
      <c r="A16260" s="3"/>
      <c r="B16260" s="3"/>
      <c r="C16260" s="3"/>
      <c r="D16260" s="3"/>
      <c r="E16260" s="3"/>
      <c r="F16260" s="3"/>
      <c r="G16260" s="3"/>
      <c r="H16260" s="11"/>
      <c r="I16260" s="12"/>
      <c r="J16260" s="3"/>
      <c r="K16260" s="3"/>
      <c r="L16260" s="3"/>
      <c r="M16260" s="3"/>
      <c r="N16260" s="3"/>
      <c r="O16260" s="3"/>
      <c r="P16260" s="3"/>
      <c r="Q16260" s="3"/>
      <c r="R16260" s="3"/>
      <c r="S16260" s="3"/>
      <c r="T16260" s="3"/>
      <c r="U16260" s="3"/>
      <c r="V16260" s="3"/>
      <c r="W16260" s="3"/>
      <c r="X16260" s="3"/>
      <c r="Y16260" s="3"/>
      <c r="Z16260" s="3"/>
      <c r="AA16260" s="3"/>
      <c r="AB16260" s="3"/>
      <c r="AC16260" s="3"/>
      <c r="AD16260" s="3"/>
      <c r="AE16260" s="3"/>
      <c r="AF16260" s="3"/>
      <c r="AG16260" s="3"/>
      <c r="AH16260" s="3"/>
    </row>
    <row r="16261" spans="1:34" ht="15" customHeight="1" x14ac:dyDescent="0.25">
      <c r="A16261" s="3"/>
      <c r="B16261" s="3"/>
      <c r="C16261" s="3"/>
      <c r="D16261" s="3"/>
      <c r="E16261" s="3"/>
      <c r="F16261" s="3"/>
      <c r="G16261" s="3"/>
      <c r="H16261" s="11"/>
      <c r="I16261" s="12"/>
      <c r="J16261" s="3"/>
      <c r="K16261" s="3"/>
      <c r="L16261" s="3"/>
      <c r="M16261" s="3"/>
      <c r="N16261" s="3"/>
      <c r="O16261" s="3"/>
      <c r="P16261" s="3"/>
      <c r="Q16261" s="3"/>
      <c r="R16261" s="3"/>
      <c r="S16261" s="3"/>
      <c r="T16261" s="3"/>
      <c r="U16261" s="3"/>
      <c r="V16261" s="3"/>
      <c r="W16261" s="3"/>
      <c r="X16261" s="3"/>
      <c r="Y16261" s="3"/>
      <c r="Z16261" s="3"/>
      <c r="AA16261" s="3"/>
      <c r="AB16261" s="3"/>
      <c r="AC16261" s="3"/>
      <c r="AD16261" s="3"/>
      <c r="AE16261" s="3"/>
      <c r="AF16261" s="3"/>
      <c r="AG16261" s="3"/>
      <c r="AH16261" s="3"/>
    </row>
    <row r="16262" spans="1:34" ht="15" customHeight="1" x14ac:dyDescent="0.25">
      <c r="A16262" s="3"/>
      <c r="B16262" s="3"/>
      <c r="C16262" s="3"/>
      <c r="D16262" s="3"/>
      <c r="E16262" s="3"/>
      <c r="F16262" s="3"/>
      <c r="G16262" s="3"/>
      <c r="H16262" s="11"/>
      <c r="I16262" s="12"/>
      <c r="J16262" s="3"/>
      <c r="K16262" s="3"/>
      <c r="L16262" s="3"/>
      <c r="M16262" s="3"/>
      <c r="N16262" s="3"/>
      <c r="O16262" s="3"/>
      <c r="P16262" s="3"/>
      <c r="Q16262" s="3"/>
      <c r="R16262" s="3"/>
      <c r="S16262" s="3"/>
      <c r="T16262" s="3"/>
      <c r="U16262" s="3"/>
      <c r="V16262" s="3"/>
      <c r="W16262" s="3"/>
      <c r="X16262" s="3"/>
      <c r="Y16262" s="3"/>
      <c r="Z16262" s="3"/>
      <c r="AA16262" s="3"/>
      <c r="AB16262" s="3"/>
      <c r="AC16262" s="3"/>
      <c r="AD16262" s="3"/>
      <c r="AE16262" s="3"/>
      <c r="AF16262" s="3"/>
      <c r="AG16262" s="3"/>
      <c r="AH16262" s="3"/>
    </row>
    <row r="16263" spans="1:34" ht="15" customHeight="1" x14ac:dyDescent="0.25">
      <c r="A16263" s="3"/>
      <c r="B16263" s="3"/>
      <c r="C16263" s="3"/>
      <c r="D16263" s="3"/>
      <c r="E16263" s="3"/>
      <c r="F16263" s="3"/>
      <c r="G16263" s="3"/>
      <c r="H16263" s="11"/>
      <c r="I16263" s="12"/>
      <c r="J16263" s="3"/>
      <c r="K16263" s="3"/>
      <c r="L16263" s="3"/>
      <c r="M16263" s="3"/>
      <c r="N16263" s="3"/>
      <c r="O16263" s="3"/>
      <c r="P16263" s="3"/>
      <c r="Q16263" s="3"/>
      <c r="R16263" s="3"/>
      <c r="S16263" s="3"/>
      <c r="T16263" s="3"/>
      <c r="U16263" s="3"/>
      <c r="V16263" s="3"/>
      <c r="W16263" s="3"/>
      <c r="X16263" s="3"/>
      <c r="Y16263" s="3"/>
      <c r="Z16263" s="3"/>
      <c r="AA16263" s="3"/>
      <c r="AB16263" s="3"/>
      <c r="AC16263" s="3"/>
      <c r="AD16263" s="3"/>
      <c r="AE16263" s="3"/>
      <c r="AF16263" s="3"/>
      <c r="AG16263" s="3"/>
      <c r="AH16263" s="3"/>
    </row>
    <row r="16264" spans="1:34" ht="15" customHeight="1" x14ac:dyDescent="0.25">
      <c r="A16264" s="3"/>
      <c r="B16264" s="3"/>
      <c r="C16264" s="3"/>
      <c r="D16264" s="3"/>
      <c r="E16264" s="3"/>
      <c r="F16264" s="3"/>
      <c r="G16264" s="3"/>
      <c r="H16264" s="11"/>
      <c r="I16264" s="12"/>
      <c r="J16264" s="3"/>
      <c r="K16264" s="3"/>
      <c r="L16264" s="3"/>
      <c r="M16264" s="3"/>
      <c r="N16264" s="3"/>
      <c r="O16264" s="3"/>
      <c r="P16264" s="3"/>
      <c r="Q16264" s="3"/>
      <c r="R16264" s="3"/>
      <c r="S16264" s="3"/>
      <c r="T16264" s="3"/>
      <c r="U16264" s="3"/>
      <c r="V16264" s="3"/>
      <c r="W16264" s="3"/>
      <c r="X16264" s="3"/>
      <c r="Y16264" s="3"/>
      <c r="Z16264" s="3"/>
      <c r="AA16264" s="3"/>
      <c r="AB16264" s="3"/>
      <c r="AC16264" s="3"/>
      <c r="AD16264" s="3"/>
      <c r="AE16264" s="3"/>
      <c r="AF16264" s="3"/>
      <c r="AG16264" s="3"/>
      <c r="AH16264" s="3"/>
    </row>
    <row r="16265" spans="1:34" ht="15" customHeight="1" x14ac:dyDescent="0.25">
      <c r="A16265" s="3"/>
      <c r="B16265" s="3"/>
      <c r="C16265" s="3"/>
      <c r="D16265" s="3"/>
      <c r="E16265" s="3"/>
      <c r="F16265" s="3"/>
      <c r="G16265" s="3"/>
      <c r="H16265" s="11"/>
      <c r="I16265" s="12"/>
      <c r="J16265" s="3"/>
      <c r="K16265" s="3"/>
      <c r="L16265" s="3"/>
      <c r="M16265" s="3"/>
      <c r="N16265" s="3"/>
      <c r="O16265" s="3"/>
      <c r="P16265" s="3"/>
      <c r="Q16265" s="3"/>
      <c r="R16265" s="3"/>
      <c r="S16265" s="3"/>
      <c r="T16265" s="3"/>
      <c r="U16265" s="3"/>
      <c r="V16265" s="3"/>
      <c r="W16265" s="3"/>
      <c r="X16265" s="3"/>
      <c r="Y16265" s="3"/>
      <c r="Z16265" s="3"/>
      <c r="AA16265" s="3"/>
      <c r="AB16265" s="3"/>
      <c r="AC16265" s="3"/>
      <c r="AD16265" s="3"/>
      <c r="AE16265" s="3"/>
      <c r="AF16265" s="3"/>
      <c r="AG16265" s="3"/>
      <c r="AH16265" s="3"/>
    </row>
    <row r="16266" spans="1:34" ht="15" customHeight="1" x14ac:dyDescent="0.25">
      <c r="A16266" s="3"/>
      <c r="B16266" s="3"/>
      <c r="C16266" s="3"/>
      <c r="D16266" s="3"/>
      <c r="E16266" s="3"/>
      <c r="F16266" s="3"/>
      <c r="G16266" s="3"/>
      <c r="H16266" s="11"/>
      <c r="I16266" s="12"/>
      <c r="J16266" s="3"/>
      <c r="K16266" s="3"/>
      <c r="L16266" s="3"/>
      <c r="M16266" s="3"/>
      <c r="N16266" s="3"/>
      <c r="O16266" s="3"/>
      <c r="P16266" s="3"/>
      <c r="Q16266" s="3"/>
      <c r="R16266" s="3"/>
      <c r="S16266" s="3"/>
      <c r="T16266" s="3"/>
      <c r="U16266" s="3"/>
      <c r="V16266" s="3"/>
      <c r="W16266" s="3"/>
      <c r="X16266" s="3"/>
      <c r="Y16266" s="3"/>
      <c r="Z16266" s="3"/>
      <c r="AA16266" s="3"/>
      <c r="AB16266" s="3"/>
      <c r="AC16266" s="3"/>
      <c r="AD16266" s="3"/>
      <c r="AE16266" s="3"/>
      <c r="AF16266" s="3"/>
      <c r="AG16266" s="3"/>
      <c r="AH16266" s="3"/>
    </row>
    <row r="16267" spans="1:34" ht="15" customHeight="1" x14ac:dyDescent="0.25">
      <c r="A16267" s="3"/>
      <c r="B16267" s="3"/>
      <c r="C16267" s="3"/>
      <c r="D16267" s="3"/>
      <c r="E16267" s="3"/>
      <c r="F16267" s="3"/>
      <c r="G16267" s="3"/>
      <c r="H16267" s="11"/>
      <c r="I16267" s="12"/>
      <c r="J16267" s="3"/>
      <c r="K16267" s="3"/>
      <c r="L16267" s="3"/>
      <c r="M16267" s="3"/>
      <c r="N16267" s="3"/>
      <c r="O16267" s="3"/>
      <c r="P16267" s="3"/>
      <c r="Q16267" s="3"/>
      <c r="R16267" s="3"/>
      <c r="S16267" s="3"/>
      <c r="T16267" s="3"/>
      <c r="U16267" s="3"/>
      <c r="V16267" s="3"/>
      <c r="W16267" s="3"/>
      <c r="X16267" s="3"/>
      <c r="Y16267" s="3"/>
      <c r="Z16267" s="3"/>
      <c r="AA16267" s="3"/>
      <c r="AB16267" s="3"/>
      <c r="AC16267" s="3"/>
      <c r="AD16267" s="3"/>
      <c r="AE16267" s="3"/>
      <c r="AF16267" s="3"/>
      <c r="AG16267" s="3"/>
      <c r="AH16267" s="3"/>
    </row>
    <row r="16268" spans="1:34" ht="15" customHeight="1" x14ac:dyDescent="0.25">
      <c r="A16268" s="3"/>
      <c r="B16268" s="3"/>
      <c r="C16268" s="3"/>
      <c r="D16268" s="3"/>
      <c r="E16268" s="3"/>
      <c r="F16268" s="3"/>
      <c r="G16268" s="3"/>
      <c r="H16268" s="11"/>
      <c r="I16268" s="12"/>
      <c r="J16268" s="3"/>
      <c r="K16268" s="3"/>
      <c r="L16268" s="3"/>
      <c r="M16268" s="3"/>
      <c r="N16268" s="3"/>
      <c r="O16268" s="3"/>
      <c r="P16268" s="3"/>
      <c r="Q16268" s="3"/>
      <c r="R16268" s="3"/>
      <c r="S16268" s="3"/>
      <c r="T16268" s="3"/>
      <c r="U16268" s="3"/>
      <c r="V16268" s="3"/>
      <c r="W16268" s="3"/>
      <c r="X16268" s="3"/>
      <c r="Y16268" s="3"/>
      <c r="Z16268" s="3"/>
      <c r="AA16268" s="3"/>
      <c r="AB16268" s="3"/>
      <c r="AC16268" s="3"/>
      <c r="AD16268" s="3"/>
      <c r="AE16268" s="3"/>
      <c r="AF16268" s="3"/>
      <c r="AG16268" s="3"/>
      <c r="AH16268" s="3"/>
    </row>
    <row r="16269" spans="1:34" ht="15" customHeight="1" x14ac:dyDescent="0.25">
      <c r="A16269" s="3"/>
      <c r="B16269" s="3"/>
      <c r="C16269" s="3"/>
      <c r="D16269" s="3"/>
      <c r="E16269" s="3"/>
      <c r="F16269" s="3"/>
      <c r="G16269" s="3"/>
      <c r="H16269" s="11"/>
      <c r="I16269" s="12"/>
      <c r="J16269" s="3"/>
      <c r="K16269" s="3"/>
      <c r="L16269" s="3"/>
      <c r="M16269" s="3"/>
      <c r="N16269" s="3"/>
      <c r="O16269" s="3"/>
      <c r="P16269" s="3"/>
      <c r="Q16269" s="3"/>
      <c r="R16269" s="3"/>
      <c r="S16269" s="3"/>
      <c r="T16269" s="3"/>
      <c r="U16269" s="3"/>
      <c r="V16269" s="3"/>
      <c r="W16269" s="3"/>
      <c r="X16269" s="3"/>
      <c r="Y16269" s="3"/>
      <c r="Z16269" s="3"/>
      <c r="AA16269" s="3"/>
      <c r="AB16269" s="3"/>
      <c r="AC16269" s="3"/>
      <c r="AD16269" s="3"/>
      <c r="AE16269" s="3"/>
      <c r="AF16269" s="3"/>
      <c r="AG16269" s="3"/>
      <c r="AH16269" s="3"/>
    </row>
    <row r="16270" spans="1:34" ht="15" customHeight="1" x14ac:dyDescent="0.25">
      <c r="A16270" s="3"/>
      <c r="B16270" s="3"/>
      <c r="C16270" s="3"/>
      <c r="D16270" s="3"/>
      <c r="E16270" s="3"/>
      <c r="F16270" s="3"/>
      <c r="G16270" s="3"/>
      <c r="H16270" s="11"/>
      <c r="I16270" s="12"/>
      <c r="J16270" s="3"/>
      <c r="K16270" s="3"/>
      <c r="L16270" s="3"/>
      <c r="M16270" s="3"/>
      <c r="N16270" s="3"/>
      <c r="O16270" s="3"/>
      <c r="P16270" s="3"/>
      <c r="Q16270" s="3"/>
      <c r="R16270" s="3"/>
      <c r="S16270" s="3"/>
      <c r="T16270" s="3"/>
      <c r="U16270" s="3"/>
      <c r="V16270" s="3"/>
      <c r="W16270" s="3"/>
      <c r="X16270" s="3"/>
      <c r="Y16270" s="3"/>
      <c r="Z16270" s="3"/>
      <c r="AA16270" s="3"/>
      <c r="AB16270" s="3"/>
      <c r="AC16270" s="3"/>
      <c r="AD16270" s="3"/>
      <c r="AE16270" s="3"/>
      <c r="AF16270" s="3"/>
      <c r="AG16270" s="3"/>
      <c r="AH16270" s="3"/>
    </row>
    <row r="16271" spans="1:34" ht="15" customHeight="1" x14ac:dyDescent="0.25">
      <c r="A16271" s="3"/>
      <c r="B16271" s="3"/>
      <c r="C16271" s="3"/>
      <c r="D16271" s="3"/>
      <c r="E16271" s="3"/>
      <c r="F16271" s="3"/>
      <c r="G16271" s="3"/>
      <c r="H16271" s="11"/>
      <c r="I16271" s="12"/>
      <c r="J16271" s="3"/>
      <c r="K16271" s="3"/>
      <c r="L16271" s="3"/>
      <c r="M16271" s="3"/>
      <c r="N16271" s="3"/>
      <c r="O16271" s="3"/>
      <c r="P16271" s="3"/>
      <c r="Q16271" s="3"/>
      <c r="R16271" s="3"/>
      <c r="S16271" s="3"/>
      <c r="T16271" s="3"/>
      <c r="U16271" s="3"/>
      <c r="V16271" s="3"/>
      <c r="W16271" s="3"/>
      <c r="X16271" s="3"/>
      <c r="Y16271" s="3"/>
      <c r="Z16271" s="3"/>
      <c r="AA16271" s="3"/>
      <c r="AB16271" s="3"/>
      <c r="AC16271" s="3"/>
      <c r="AD16271" s="3"/>
      <c r="AE16271" s="3"/>
      <c r="AF16271" s="3"/>
      <c r="AG16271" s="3"/>
      <c r="AH16271" s="3"/>
    </row>
    <row r="16272" spans="1:34" ht="15" customHeight="1" x14ac:dyDescent="0.25">
      <c r="A16272" s="3"/>
      <c r="B16272" s="3"/>
      <c r="C16272" s="3"/>
      <c r="D16272" s="3"/>
      <c r="E16272" s="3"/>
      <c r="F16272" s="3"/>
      <c r="G16272" s="3"/>
      <c r="H16272" s="11"/>
      <c r="I16272" s="12"/>
      <c r="J16272" s="3"/>
      <c r="K16272" s="3"/>
      <c r="L16272" s="3"/>
      <c r="M16272" s="3"/>
      <c r="N16272" s="3"/>
      <c r="O16272" s="3"/>
      <c r="P16272" s="3"/>
      <c r="Q16272" s="3"/>
      <c r="R16272" s="3"/>
      <c r="S16272" s="3"/>
      <c r="T16272" s="3"/>
      <c r="U16272" s="3"/>
      <c r="V16272" s="3"/>
      <c r="W16272" s="3"/>
      <c r="X16272" s="3"/>
      <c r="Y16272" s="3"/>
      <c r="Z16272" s="3"/>
      <c r="AA16272" s="3"/>
      <c r="AB16272" s="3"/>
      <c r="AC16272" s="3"/>
      <c r="AD16272" s="3"/>
      <c r="AE16272" s="3"/>
      <c r="AF16272" s="3"/>
      <c r="AG16272" s="3"/>
      <c r="AH16272" s="3"/>
    </row>
    <row r="16273" spans="1:34" ht="15" customHeight="1" x14ac:dyDescent="0.25">
      <c r="A16273" s="3"/>
      <c r="B16273" s="3"/>
      <c r="C16273" s="3"/>
      <c r="D16273" s="3"/>
      <c r="E16273" s="3"/>
      <c r="F16273" s="3"/>
      <c r="G16273" s="3"/>
      <c r="H16273" s="11"/>
      <c r="I16273" s="12"/>
      <c r="J16273" s="3"/>
      <c r="K16273" s="3"/>
      <c r="L16273" s="3"/>
      <c r="M16273" s="3"/>
      <c r="N16273" s="3"/>
      <c r="O16273" s="3"/>
      <c r="P16273" s="3"/>
      <c r="Q16273" s="3"/>
      <c r="R16273" s="3"/>
      <c r="S16273" s="3"/>
      <c r="T16273" s="3"/>
      <c r="U16273" s="3"/>
      <c r="V16273" s="3"/>
      <c r="W16273" s="3"/>
      <c r="X16273" s="3"/>
      <c r="Y16273" s="3"/>
      <c r="Z16273" s="3"/>
      <c r="AA16273" s="3"/>
      <c r="AB16273" s="3"/>
      <c r="AC16273" s="3"/>
      <c r="AD16273" s="3"/>
      <c r="AE16273" s="3"/>
      <c r="AF16273" s="3"/>
      <c r="AG16273" s="3"/>
      <c r="AH16273" s="3"/>
    </row>
    <row r="16274" spans="1:34" ht="15" customHeight="1" x14ac:dyDescent="0.25">
      <c r="A16274" s="3"/>
      <c r="B16274" s="3"/>
      <c r="C16274" s="3"/>
      <c r="D16274" s="3"/>
      <c r="E16274" s="3"/>
      <c r="F16274" s="3"/>
      <c r="G16274" s="3"/>
      <c r="H16274" s="11"/>
      <c r="I16274" s="12"/>
      <c r="J16274" s="3"/>
      <c r="K16274" s="3"/>
      <c r="L16274" s="3"/>
      <c r="M16274" s="3"/>
      <c r="N16274" s="3"/>
      <c r="O16274" s="3"/>
      <c r="P16274" s="3"/>
      <c r="Q16274" s="3"/>
      <c r="R16274" s="3"/>
      <c r="S16274" s="3"/>
      <c r="T16274" s="3"/>
      <c r="U16274" s="3"/>
      <c r="V16274" s="3"/>
      <c r="W16274" s="3"/>
      <c r="X16274" s="3"/>
      <c r="Y16274" s="3"/>
      <c r="Z16274" s="3"/>
      <c r="AA16274" s="3"/>
      <c r="AB16274" s="3"/>
      <c r="AC16274" s="3"/>
      <c r="AD16274" s="3"/>
      <c r="AE16274" s="3"/>
      <c r="AF16274" s="3"/>
      <c r="AG16274" s="3"/>
      <c r="AH16274" s="3"/>
    </row>
    <row r="16275" spans="1:34" ht="15" customHeight="1" x14ac:dyDescent="0.25">
      <c r="A16275" s="3"/>
      <c r="B16275" s="3"/>
      <c r="C16275" s="3"/>
      <c r="D16275" s="3"/>
      <c r="E16275" s="3"/>
      <c r="F16275" s="3"/>
      <c r="G16275" s="3"/>
      <c r="H16275" s="11"/>
      <c r="I16275" s="12"/>
      <c r="J16275" s="3"/>
      <c r="K16275" s="3"/>
      <c r="L16275" s="3"/>
      <c r="M16275" s="3"/>
      <c r="N16275" s="3"/>
      <c r="O16275" s="3"/>
      <c r="P16275" s="3"/>
      <c r="Q16275" s="3"/>
      <c r="R16275" s="3"/>
      <c r="S16275" s="3"/>
      <c r="T16275" s="3"/>
      <c r="U16275" s="3"/>
      <c r="V16275" s="3"/>
      <c r="W16275" s="3"/>
      <c r="X16275" s="3"/>
      <c r="Y16275" s="3"/>
      <c r="Z16275" s="3"/>
      <c r="AA16275" s="3"/>
      <c r="AB16275" s="3"/>
      <c r="AC16275" s="3"/>
      <c r="AD16275" s="3"/>
      <c r="AE16275" s="3"/>
      <c r="AF16275" s="3"/>
      <c r="AG16275" s="3"/>
      <c r="AH16275" s="3"/>
    </row>
    <row r="16276" spans="1:34" ht="15" customHeight="1" x14ac:dyDescent="0.25">
      <c r="A16276" s="3"/>
      <c r="B16276" s="3"/>
      <c r="C16276" s="3"/>
      <c r="D16276" s="3"/>
      <c r="E16276" s="3"/>
      <c r="F16276" s="3"/>
      <c r="G16276" s="3"/>
      <c r="H16276" s="11"/>
      <c r="I16276" s="12"/>
      <c r="J16276" s="3"/>
      <c r="K16276" s="3"/>
      <c r="L16276" s="3"/>
      <c r="M16276" s="3"/>
      <c r="N16276" s="3"/>
      <c r="O16276" s="3"/>
      <c r="P16276" s="3"/>
      <c r="Q16276" s="3"/>
      <c r="R16276" s="3"/>
      <c r="S16276" s="3"/>
      <c r="T16276" s="3"/>
      <c r="U16276" s="3"/>
      <c r="V16276" s="3"/>
      <c r="W16276" s="3"/>
      <c r="X16276" s="3"/>
      <c r="Y16276" s="3"/>
      <c r="Z16276" s="3"/>
      <c r="AA16276" s="3"/>
      <c r="AB16276" s="3"/>
      <c r="AC16276" s="3"/>
      <c r="AD16276" s="3"/>
      <c r="AE16276" s="3"/>
      <c r="AF16276" s="3"/>
      <c r="AG16276" s="3"/>
      <c r="AH16276" s="3"/>
    </row>
    <row r="16277" spans="1:34" ht="15" customHeight="1" x14ac:dyDescent="0.25">
      <c r="A16277" s="3"/>
      <c r="B16277" s="3"/>
      <c r="C16277" s="3"/>
      <c r="D16277" s="3"/>
      <c r="E16277" s="3"/>
      <c r="F16277" s="3"/>
      <c r="G16277" s="3"/>
      <c r="H16277" s="11"/>
      <c r="I16277" s="12"/>
      <c r="J16277" s="3"/>
      <c r="K16277" s="3"/>
      <c r="L16277" s="3"/>
      <c r="M16277" s="3"/>
      <c r="N16277" s="3"/>
      <c r="O16277" s="3"/>
      <c r="P16277" s="3"/>
      <c r="Q16277" s="3"/>
      <c r="R16277" s="3"/>
      <c r="S16277" s="3"/>
      <c r="T16277" s="3"/>
      <c r="U16277" s="3"/>
      <c r="V16277" s="3"/>
      <c r="W16277" s="3"/>
      <c r="X16277" s="3"/>
      <c r="Y16277" s="3"/>
      <c r="Z16277" s="3"/>
      <c r="AA16277" s="3"/>
      <c r="AB16277" s="3"/>
      <c r="AC16277" s="3"/>
      <c r="AD16277" s="3"/>
      <c r="AE16277" s="3"/>
      <c r="AF16277" s="3"/>
      <c r="AG16277" s="3"/>
      <c r="AH16277" s="3"/>
    </row>
    <row r="16278" spans="1:34" ht="15" customHeight="1" x14ac:dyDescent="0.25">
      <c r="A16278" s="3"/>
      <c r="B16278" s="3"/>
      <c r="C16278" s="3"/>
      <c r="D16278" s="3"/>
      <c r="E16278" s="3"/>
      <c r="F16278" s="3"/>
      <c r="G16278" s="3"/>
      <c r="H16278" s="11"/>
      <c r="I16278" s="12"/>
      <c r="J16278" s="3"/>
      <c r="K16278" s="3"/>
      <c r="L16278" s="3"/>
      <c r="M16278" s="3"/>
      <c r="N16278" s="3"/>
      <c r="O16278" s="3"/>
      <c r="P16278" s="3"/>
      <c r="Q16278" s="3"/>
      <c r="R16278" s="3"/>
      <c r="S16278" s="3"/>
      <c r="T16278" s="3"/>
      <c r="U16278" s="3"/>
      <c r="V16278" s="3"/>
      <c r="W16278" s="3"/>
      <c r="X16278" s="3"/>
      <c r="Y16278" s="3"/>
      <c r="Z16278" s="3"/>
      <c r="AA16278" s="3"/>
      <c r="AB16278" s="3"/>
      <c r="AC16278" s="3"/>
      <c r="AD16278" s="3"/>
      <c r="AE16278" s="3"/>
      <c r="AF16278" s="3"/>
      <c r="AG16278" s="3"/>
      <c r="AH16278" s="3"/>
    </row>
    <row r="16279" spans="1:34" ht="15" customHeight="1" x14ac:dyDescent="0.25">
      <c r="A16279" s="3"/>
      <c r="B16279" s="3"/>
      <c r="C16279" s="3"/>
      <c r="D16279" s="3"/>
      <c r="E16279" s="3"/>
      <c r="F16279" s="3"/>
      <c r="G16279" s="3"/>
      <c r="H16279" s="11"/>
      <c r="I16279" s="12"/>
      <c r="J16279" s="3"/>
      <c r="K16279" s="3"/>
      <c r="L16279" s="3"/>
      <c r="M16279" s="3"/>
      <c r="N16279" s="3"/>
      <c r="O16279" s="3"/>
      <c r="P16279" s="3"/>
      <c r="Q16279" s="3"/>
      <c r="R16279" s="3"/>
      <c r="S16279" s="3"/>
      <c r="T16279" s="3"/>
      <c r="U16279" s="3"/>
      <c r="V16279" s="3"/>
      <c r="W16279" s="3"/>
      <c r="X16279" s="3"/>
      <c r="Y16279" s="3"/>
      <c r="Z16279" s="3"/>
      <c r="AA16279" s="3"/>
      <c r="AB16279" s="3"/>
      <c r="AC16279" s="3"/>
      <c r="AD16279" s="3"/>
      <c r="AE16279" s="3"/>
      <c r="AF16279" s="3"/>
      <c r="AG16279" s="3"/>
      <c r="AH16279" s="3"/>
    </row>
    <row r="16280" spans="1:34" ht="15" customHeight="1" x14ac:dyDescent="0.25">
      <c r="A16280" s="3"/>
      <c r="B16280" s="3"/>
      <c r="C16280" s="3"/>
      <c r="D16280" s="3"/>
      <c r="E16280" s="3"/>
      <c r="F16280" s="3"/>
      <c r="G16280" s="3"/>
      <c r="H16280" s="11"/>
      <c r="I16280" s="12"/>
      <c r="J16280" s="3"/>
      <c r="K16280" s="3"/>
      <c r="L16280" s="3"/>
      <c r="M16280" s="3"/>
      <c r="N16280" s="3"/>
      <c r="O16280" s="3"/>
      <c r="P16280" s="3"/>
      <c r="Q16280" s="3"/>
      <c r="R16280" s="3"/>
      <c r="S16280" s="3"/>
      <c r="T16280" s="3"/>
      <c r="U16280" s="3"/>
      <c r="V16280" s="3"/>
      <c r="W16280" s="3"/>
      <c r="X16280" s="3"/>
      <c r="Y16280" s="3"/>
      <c r="Z16280" s="3"/>
      <c r="AA16280" s="3"/>
      <c r="AB16280" s="3"/>
      <c r="AC16280" s="3"/>
      <c r="AD16280" s="3"/>
      <c r="AE16280" s="3"/>
      <c r="AF16280" s="3"/>
      <c r="AG16280" s="3"/>
      <c r="AH16280" s="3"/>
    </row>
    <row r="16281" spans="1:34" ht="15" customHeight="1" x14ac:dyDescent="0.25">
      <c r="A16281" s="3"/>
      <c r="B16281" s="3"/>
      <c r="C16281" s="3"/>
      <c r="D16281" s="3"/>
      <c r="E16281" s="3"/>
      <c r="F16281" s="3"/>
      <c r="G16281" s="3"/>
      <c r="H16281" s="11"/>
      <c r="I16281" s="12"/>
      <c r="J16281" s="3"/>
      <c r="K16281" s="3"/>
      <c r="L16281" s="3"/>
      <c r="M16281" s="3"/>
      <c r="N16281" s="3"/>
      <c r="O16281" s="3"/>
      <c r="P16281" s="3"/>
      <c r="Q16281" s="3"/>
      <c r="R16281" s="3"/>
      <c r="S16281" s="3"/>
      <c r="T16281" s="3"/>
      <c r="U16281" s="3"/>
      <c r="V16281" s="3"/>
      <c r="W16281" s="3"/>
      <c r="X16281" s="3"/>
      <c r="Y16281" s="3"/>
      <c r="Z16281" s="3"/>
      <c r="AA16281" s="3"/>
      <c r="AB16281" s="3"/>
      <c r="AC16281" s="3"/>
      <c r="AD16281" s="3"/>
      <c r="AE16281" s="3"/>
      <c r="AF16281" s="3"/>
      <c r="AG16281" s="3"/>
      <c r="AH16281" s="3"/>
    </row>
    <row r="16282" spans="1:34" ht="15" customHeight="1" x14ac:dyDescent="0.25">
      <c r="A16282" s="3"/>
      <c r="B16282" s="3"/>
      <c r="C16282" s="3"/>
      <c r="D16282" s="3"/>
      <c r="E16282" s="3"/>
      <c r="F16282" s="3"/>
      <c r="G16282" s="3"/>
      <c r="H16282" s="11"/>
      <c r="I16282" s="12"/>
      <c r="J16282" s="3"/>
      <c r="K16282" s="3"/>
      <c r="L16282" s="3"/>
      <c r="M16282" s="3"/>
      <c r="N16282" s="3"/>
      <c r="O16282" s="3"/>
      <c r="P16282" s="3"/>
      <c r="Q16282" s="3"/>
      <c r="R16282" s="3"/>
      <c r="S16282" s="3"/>
      <c r="T16282" s="3"/>
      <c r="U16282" s="3"/>
      <c r="V16282" s="3"/>
      <c r="W16282" s="3"/>
      <c r="X16282" s="3"/>
      <c r="Y16282" s="3"/>
      <c r="Z16282" s="3"/>
      <c r="AA16282" s="3"/>
      <c r="AB16282" s="3"/>
      <c r="AC16282" s="3"/>
      <c r="AD16282" s="3"/>
      <c r="AE16282" s="3"/>
      <c r="AF16282" s="3"/>
      <c r="AG16282" s="3"/>
      <c r="AH16282" s="3"/>
    </row>
    <row r="16283" spans="1:34" ht="15" customHeight="1" x14ac:dyDescent="0.25">
      <c r="A16283" s="3"/>
      <c r="B16283" s="3"/>
      <c r="C16283" s="3"/>
      <c r="D16283" s="3"/>
      <c r="E16283" s="3"/>
      <c r="F16283" s="3"/>
      <c r="G16283" s="3"/>
      <c r="H16283" s="11"/>
      <c r="I16283" s="12"/>
      <c r="J16283" s="3"/>
      <c r="K16283" s="3"/>
      <c r="L16283" s="3"/>
      <c r="M16283" s="3"/>
      <c r="N16283" s="3"/>
      <c r="O16283" s="3"/>
      <c r="P16283" s="3"/>
      <c r="Q16283" s="3"/>
      <c r="R16283" s="3"/>
      <c r="S16283" s="3"/>
      <c r="T16283" s="3"/>
      <c r="U16283" s="3"/>
      <c r="V16283" s="3"/>
      <c r="W16283" s="3"/>
      <c r="X16283" s="3"/>
      <c r="Y16283" s="3"/>
      <c r="Z16283" s="3"/>
      <c r="AA16283" s="3"/>
      <c r="AB16283" s="3"/>
      <c r="AC16283" s="3"/>
      <c r="AD16283" s="3"/>
      <c r="AE16283" s="3"/>
      <c r="AF16283" s="3"/>
      <c r="AG16283" s="3"/>
      <c r="AH16283" s="3"/>
    </row>
    <row r="16284" spans="1:34" ht="15" customHeight="1" x14ac:dyDescent="0.25">
      <c r="A16284" s="3"/>
      <c r="B16284" s="3"/>
      <c r="C16284" s="3"/>
      <c r="D16284" s="3"/>
      <c r="E16284" s="3"/>
      <c r="F16284" s="3"/>
      <c r="G16284" s="3"/>
      <c r="H16284" s="11"/>
      <c r="I16284" s="12"/>
      <c r="J16284" s="3"/>
      <c r="K16284" s="3"/>
      <c r="L16284" s="3"/>
      <c r="M16284" s="3"/>
      <c r="N16284" s="3"/>
      <c r="O16284" s="3"/>
      <c r="P16284" s="3"/>
      <c r="Q16284" s="3"/>
      <c r="R16284" s="3"/>
      <c r="S16284" s="3"/>
      <c r="T16284" s="3"/>
      <c r="U16284" s="3"/>
      <c r="V16284" s="3"/>
      <c r="W16284" s="3"/>
      <c r="X16284" s="3"/>
      <c r="Y16284" s="3"/>
      <c r="Z16284" s="3"/>
      <c r="AA16284" s="3"/>
      <c r="AB16284" s="3"/>
      <c r="AC16284" s="3"/>
      <c r="AD16284" s="3"/>
      <c r="AE16284" s="3"/>
      <c r="AF16284" s="3"/>
      <c r="AG16284" s="3"/>
      <c r="AH16284" s="3"/>
    </row>
    <row r="16285" spans="1:34" ht="15" customHeight="1" x14ac:dyDescent="0.25">
      <c r="A16285" s="3"/>
      <c r="B16285" s="3"/>
      <c r="C16285" s="3"/>
      <c r="D16285" s="3"/>
      <c r="E16285" s="3"/>
      <c r="F16285" s="3"/>
      <c r="G16285" s="3"/>
      <c r="H16285" s="11"/>
      <c r="I16285" s="12"/>
      <c r="J16285" s="3"/>
      <c r="K16285" s="3"/>
      <c r="L16285" s="3"/>
      <c r="M16285" s="3"/>
      <c r="N16285" s="3"/>
      <c r="O16285" s="3"/>
      <c r="P16285" s="3"/>
      <c r="Q16285" s="3"/>
      <c r="R16285" s="3"/>
      <c r="S16285" s="3"/>
      <c r="T16285" s="3"/>
      <c r="U16285" s="3"/>
      <c r="V16285" s="3"/>
      <c r="W16285" s="3"/>
      <c r="X16285" s="3"/>
      <c r="Y16285" s="3"/>
      <c r="Z16285" s="3"/>
      <c r="AA16285" s="3"/>
      <c r="AB16285" s="3"/>
      <c r="AC16285" s="3"/>
      <c r="AD16285" s="3"/>
      <c r="AE16285" s="3"/>
      <c r="AF16285" s="3"/>
      <c r="AG16285" s="3"/>
      <c r="AH16285" s="3"/>
    </row>
    <row r="16286" spans="1:34" ht="15" customHeight="1" x14ac:dyDescent="0.25">
      <c r="A16286" s="3"/>
      <c r="B16286" s="3"/>
      <c r="C16286" s="3"/>
      <c r="D16286" s="3"/>
      <c r="E16286" s="3"/>
      <c r="F16286" s="3"/>
      <c r="G16286" s="3"/>
      <c r="H16286" s="11"/>
      <c r="I16286" s="12"/>
      <c r="J16286" s="3"/>
      <c r="K16286" s="3"/>
      <c r="L16286" s="3"/>
      <c r="M16286" s="3"/>
      <c r="N16286" s="3"/>
      <c r="O16286" s="3"/>
      <c r="P16286" s="3"/>
      <c r="Q16286" s="3"/>
      <c r="R16286" s="3"/>
      <c r="S16286" s="3"/>
      <c r="T16286" s="3"/>
      <c r="U16286" s="3"/>
      <c r="V16286" s="3"/>
      <c r="W16286" s="3"/>
      <c r="X16286" s="3"/>
      <c r="Y16286" s="3"/>
      <c r="Z16286" s="3"/>
      <c r="AA16286" s="3"/>
      <c r="AB16286" s="3"/>
      <c r="AC16286" s="3"/>
      <c r="AD16286" s="3"/>
      <c r="AE16286" s="3"/>
      <c r="AF16286" s="3"/>
      <c r="AG16286" s="3"/>
      <c r="AH16286" s="3"/>
    </row>
    <row r="16287" spans="1:34" ht="15" customHeight="1" x14ac:dyDescent="0.25">
      <c r="A16287" s="3"/>
      <c r="B16287" s="3"/>
      <c r="C16287" s="3"/>
      <c r="D16287" s="3"/>
      <c r="E16287" s="3"/>
      <c r="F16287" s="3"/>
      <c r="G16287" s="3"/>
      <c r="H16287" s="11"/>
      <c r="I16287" s="12"/>
      <c r="J16287" s="3"/>
      <c r="K16287" s="3"/>
      <c r="L16287" s="3"/>
      <c r="M16287" s="3"/>
      <c r="N16287" s="3"/>
      <c r="O16287" s="3"/>
      <c r="P16287" s="3"/>
      <c r="Q16287" s="3"/>
      <c r="R16287" s="3"/>
      <c r="S16287" s="3"/>
      <c r="T16287" s="3"/>
      <c r="U16287" s="3"/>
      <c r="V16287" s="3"/>
      <c r="W16287" s="3"/>
      <c r="X16287" s="3"/>
      <c r="Y16287" s="3"/>
      <c r="Z16287" s="3"/>
      <c r="AA16287" s="3"/>
      <c r="AB16287" s="3"/>
      <c r="AC16287" s="3"/>
      <c r="AD16287" s="3"/>
      <c r="AE16287" s="3"/>
      <c r="AF16287" s="3"/>
      <c r="AG16287" s="3"/>
      <c r="AH16287" s="3"/>
    </row>
    <row r="16288" spans="1:34" ht="15" customHeight="1" x14ac:dyDescent="0.25">
      <c r="A16288" s="3"/>
      <c r="B16288" s="3"/>
      <c r="C16288" s="3"/>
      <c r="D16288" s="3"/>
      <c r="E16288" s="3"/>
      <c r="F16288" s="3"/>
      <c r="G16288" s="3"/>
      <c r="H16288" s="11"/>
      <c r="I16288" s="12"/>
      <c r="J16288" s="3"/>
      <c r="K16288" s="3"/>
      <c r="L16288" s="3"/>
      <c r="M16288" s="3"/>
      <c r="N16288" s="3"/>
      <c r="O16288" s="3"/>
      <c r="P16288" s="3"/>
      <c r="Q16288" s="3"/>
      <c r="R16288" s="3"/>
      <c r="S16288" s="3"/>
      <c r="T16288" s="3"/>
      <c r="U16288" s="3"/>
      <c r="V16288" s="3"/>
      <c r="W16288" s="3"/>
      <c r="X16288" s="3"/>
      <c r="Y16288" s="3"/>
      <c r="Z16288" s="3"/>
      <c r="AA16288" s="3"/>
      <c r="AB16288" s="3"/>
      <c r="AC16288" s="3"/>
      <c r="AD16288" s="3"/>
      <c r="AE16288" s="3"/>
      <c r="AF16288" s="3"/>
      <c r="AG16288" s="3"/>
      <c r="AH16288" s="3"/>
    </row>
    <row r="16289" spans="1:34" ht="15" customHeight="1" x14ac:dyDescent="0.25">
      <c r="A16289" s="3"/>
      <c r="B16289" s="3"/>
      <c r="C16289" s="3"/>
      <c r="D16289" s="3"/>
      <c r="E16289" s="3"/>
      <c r="F16289" s="3"/>
      <c r="G16289" s="3"/>
      <c r="H16289" s="11"/>
      <c r="I16289" s="12"/>
      <c r="J16289" s="3"/>
      <c r="K16289" s="3"/>
      <c r="L16289" s="3"/>
      <c r="M16289" s="3"/>
      <c r="N16289" s="3"/>
      <c r="O16289" s="3"/>
      <c r="P16289" s="3"/>
      <c r="Q16289" s="3"/>
      <c r="R16289" s="3"/>
      <c r="S16289" s="3"/>
      <c r="T16289" s="3"/>
      <c r="U16289" s="3"/>
      <c r="V16289" s="3"/>
      <c r="W16289" s="3"/>
      <c r="X16289" s="3"/>
      <c r="Y16289" s="3"/>
      <c r="Z16289" s="3"/>
      <c r="AA16289" s="3"/>
      <c r="AB16289" s="3"/>
      <c r="AC16289" s="3"/>
      <c r="AD16289" s="3"/>
      <c r="AE16289" s="3"/>
      <c r="AF16289" s="3"/>
      <c r="AG16289" s="3"/>
      <c r="AH16289" s="3"/>
    </row>
    <row r="16290" spans="1:34" ht="15" customHeight="1" x14ac:dyDescent="0.25">
      <c r="A16290" s="3"/>
      <c r="B16290" s="3"/>
      <c r="C16290" s="3"/>
      <c r="D16290" s="3"/>
      <c r="E16290" s="3"/>
      <c r="F16290" s="3"/>
      <c r="G16290" s="3"/>
      <c r="H16290" s="11"/>
      <c r="I16290" s="12"/>
      <c r="J16290" s="3"/>
      <c r="K16290" s="3"/>
      <c r="L16290" s="3"/>
      <c r="M16290" s="3"/>
      <c r="N16290" s="3"/>
      <c r="O16290" s="3"/>
      <c r="P16290" s="3"/>
      <c r="Q16290" s="3"/>
      <c r="R16290" s="3"/>
      <c r="S16290" s="3"/>
      <c r="T16290" s="3"/>
      <c r="U16290" s="3"/>
      <c r="V16290" s="3"/>
      <c r="W16290" s="3"/>
      <c r="X16290" s="3"/>
      <c r="Y16290" s="3"/>
      <c r="Z16290" s="3"/>
      <c r="AA16290" s="3"/>
      <c r="AB16290" s="3"/>
      <c r="AC16290" s="3"/>
      <c r="AD16290" s="3"/>
      <c r="AE16290" s="3"/>
      <c r="AF16290" s="3"/>
      <c r="AG16290" s="3"/>
      <c r="AH16290" s="3"/>
    </row>
    <row r="16291" spans="1:34" ht="15" customHeight="1" x14ac:dyDescent="0.25">
      <c r="A16291" s="3"/>
      <c r="B16291" s="3"/>
      <c r="C16291" s="3"/>
      <c r="D16291" s="3"/>
      <c r="E16291" s="3"/>
      <c r="F16291" s="3"/>
      <c r="G16291" s="3"/>
      <c r="H16291" s="11"/>
      <c r="I16291" s="12"/>
      <c r="J16291" s="3"/>
      <c r="K16291" s="3"/>
      <c r="L16291" s="3"/>
      <c r="M16291" s="3"/>
      <c r="N16291" s="3"/>
      <c r="O16291" s="3"/>
      <c r="P16291" s="3"/>
      <c r="Q16291" s="3"/>
      <c r="R16291" s="3"/>
      <c r="S16291" s="3"/>
      <c r="T16291" s="3"/>
      <c r="U16291" s="3"/>
      <c r="V16291" s="3"/>
      <c r="W16291" s="3"/>
      <c r="X16291" s="3"/>
      <c r="Y16291" s="3"/>
      <c r="Z16291" s="3"/>
      <c r="AA16291" s="3"/>
      <c r="AB16291" s="3"/>
      <c r="AC16291" s="3"/>
      <c r="AD16291" s="3"/>
      <c r="AE16291" s="3"/>
      <c r="AF16291" s="3"/>
      <c r="AG16291" s="3"/>
      <c r="AH16291" s="3"/>
    </row>
    <row r="16292" spans="1:34" ht="15" customHeight="1" x14ac:dyDescent="0.25">
      <c r="A16292" s="3"/>
      <c r="B16292" s="3"/>
      <c r="C16292" s="3"/>
      <c r="D16292" s="3"/>
      <c r="E16292" s="3"/>
      <c r="F16292" s="3"/>
      <c r="G16292" s="3"/>
      <c r="H16292" s="11"/>
      <c r="I16292" s="12"/>
      <c r="J16292" s="3"/>
      <c r="K16292" s="3"/>
      <c r="L16292" s="3"/>
      <c r="M16292" s="3"/>
      <c r="N16292" s="3"/>
      <c r="O16292" s="3"/>
      <c r="P16292" s="3"/>
      <c r="Q16292" s="3"/>
      <c r="R16292" s="3"/>
      <c r="S16292" s="3"/>
      <c r="T16292" s="3"/>
      <c r="U16292" s="3"/>
      <c r="V16292" s="3"/>
      <c r="W16292" s="3"/>
      <c r="X16292" s="3"/>
      <c r="Y16292" s="3"/>
      <c r="Z16292" s="3"/>
      <c r="AA16292" s="3"/>
      <c r="AB16292" s="3"/>
      <c r="AC16292" s="3"/>
      <c r="AD16292" s="3"/>
      <c r="AE16292" s="3"/>
      <c r="AF16292" s="3"/>
      <c r="AG16292" s="3"/>
      <c r="AH16292" s="3"/>
    </row>
    <row r="16293" spans="1:34" ht="15" customHeight="1" x14ac:dyDescent="0.25">
      <c r="A16293" s="3"/>
      <c r="B16293" s="3"/>
      <c r="C16293" s="3"/>
      <c r="D16293" s="3"/>
      <c r="E16293" s="3"/>
      <c r="F16293" s="3"/>
      <c r="G16293" s="3"/>
      <c r="H16293" s="11"/>
      <c r="I16293" s="12"/>
      <c r="J16293" s="3"/>
      <c r="K16293" s="3"/>
      <c r="L16293" s="3"/>
      <c r="M16293" s="3"/>
      <c r="N16293" s="3"/>
      <c r="O16293" s="3"/>
      <c r="P16293" s="3"/>
      <c r="Q16293" s="3"/>
      <c r="R16293" s="3"/>
      <c r="S16293" s="3"/>
      <c r="T16293" s="3"/>
      <c r="U16293" s="3"/>
      <c r="V16293" s="3"/>
      <c r="W16293" s="3"/>
      <c r="X16293" s="3"/>
      <c r="Y16293" s="3"/>
      <c r="Z16293" s="3"/>
      <c r="AA16293" s="3"/>
      <c r="AB16293" s="3"/>
      <c r="AC16293" s="3"/>
      <c r="AD16293" s="3"/>
      <c r="AE16293" s="3"/>
      <c r="AF16293" s="3"/>
      <c r="AG16293" s="3"/>
      <c r="AH16293" s="3"/>
    </row>
    <row r="16294" spans="1:34" ht="15" customHeight="1" x14ac:dyDescent="0.25">
      <c r="A16294" s="3"/>
      <c r="B16294" s="3"/>
      <c r="C16294" s="3"/>
      <c r="D16294" s="3"/>
      <c r="E16294" s="3"/>
      <c r="F16294" s="3"/>
      <c r="G16294" s="3"/>
      <c r="H16294" s="11"/>
      <c r="I16294" s="12"/>
      <c r="J16294" s="3"/>
      <c r="K16294" s="3"/>
      <c r="L16294" s="3"/>
      <c r="M16294" s="3"/>
      <c r="N16294" s="3"/>
      <c r="O16294" s="3"/>
      <c r="P16294" s="3"/>
      <c r="Q16294" s="3"/>
      <c r="R16294" s="3"/>
      <c r="S16294" s="3"/>
      <c r="T16294" s="3"/>
      <c r="U16294" s="3"/>
      <c r="V16294" s="3"/>
      <c r="W16294" s="3"/>
      <c r="X16294" s="3"/>
      <c r="Y16294" s="3"/>
      <c r="Z16294" s="3"/>
      <c r="AA16294" s="3"/>
      <c r="AB16294" s="3"/>
      <c r="AC16294" s="3"/>
      <c r="AD16294" s="3"/>
      <c r="AE16294" s="3"/>
      <c r="AF16294" s="3"/>
      <c r="AG16294" s="3"/>
      <c r="AH16294" s="3"/>
    </row>
    <row r="16295" spans="1:34" ht="15" customHeight="1" x14ac:dyDescent="0.25">
      <c r="A16295" s="3"/>
      <c r="B16295" s="3"/>
      <c r="C16295" s="3"/>
      <c r="D16295" s="3"/>
      <c r="E16295" s="3"/>
      <c r="F16295" s="3"/>
      <c r="G16295" s="3"/>
      <c r="H16295" s="11"/>
      <c r="I16295" s="12"/>
      <c r="J16295" s="3"/>
      <c r="K16295" s="3"/>
      <c r="L16295" s="3"/>
      <c r="M16295" s="3"/>
      <c r="N16295" s="3"/>
      <c r="O16295" s="3"/>
      <c r="P16295" s="3"/>
      <c r="Q16295" s="3"/>
      <c r="R16295" s="3"/>
      <c r="S16295" s="3"/>
      <c r="T16295" s="3"/>
      <c r="U16295" s="3"/>
      <c r="V16295" s="3"/>
      <c r="W16295" s="3"/>
      <c r="X16295" s="3"/>
      <c r="Y16295" s="3"/>
      <c r="Z16295" s="3"/>
      <c r="AA16295" s="3"/>
      <c r="AB16295" s="3"/>
      <c r="AC16295" s="3"/>
      <c r="AD16295" s="3"/>
      <c r="AE16295" s="3"/>
      <c r="AF16295" s="3"/>
      <c r="AG16295" s="3"/>
      <c r="AH16295" s="3"/>
    </row>
    <row r="16296" spans="1:34" ht="15" customHeight="1" x14ac:dyDescent="0.25">
      <c r="A16296" s="3"/>
      <c r="B16296" s="3"/>
      <c r="C16296" s="3"/>
      <c r="D16296" s="3"/>
      <c r="E16296" s="3"/>
      <c r="F16296" s="3"/>
      <c r="G16296" s="3"/>
      <c r="H16296" s="11"/>
      <c r="I16296" s="12"/>
      <c r="J16296" s="3"/>
      <c r="K16296" s="3"/>
      <c r="L16296" s="3"/>
      <c r="M16296" s="3"/>
      <c r="N16296" s="3"/>
      <c r="O16296" s="3"/>
      <c r="P16296" s="3"/>
      <c r="Q16296" s="3"/>
      <c r="R16296" s="3"/>
      <c r="S16296" s="3"/>
      <c r="T16296" s="3"/>
      <c r="U16296" s="3"/>
      <c r="V16296" s="3"/>
      <c r="W16296" s="3"/>
      <c r="X16296" s="3"/>
      <c r="Y16296" s="3"/>
      <c r="Z16296" s="3"/>
      <c r="AA16296" s="3"/>
      <c r="AB16296" s="3"/>
      <c r="AC16296" s="3"/>
      <c r="AD16296" s="3"/>
      <c r="AE16296" s="3"/>
      <c r="AF16296" s="3"/>
      <c r="AG16296" s="3"/>
      <c r="AH16296" s="3"/>
    </row>
    <row r="16297" spans="1:34" ht="15" customHeight="1" x14ac:dyDescent="0.25">
      <c r="A16297" s="3"/>
      <c r="B16297" s="3"/>
      <c r="C16297" s="3"/>
      <c r="D16297" s="3"/>
      <c r="E16297" s="3"/>
      <c r="F16297" s="3"/>
      <c r="G16297" s="3"/>
      <c r="H16297" s="11"/>
      <c r="I16297" s="12"/>
      <c r="J16297" s="3"/>
      <c r="K16297" s="3"/>
      <c r="L16297" s="3"/>
      <c r="M16297" s="3"/>
      <c r="N16297" s="3"/>
      <c r="O16297" s="3"/>
      <c r="P16297" s="3"/>
      <c r="Q16297" s="3"/>
      <c r="R16297" s="3"/>
      <c r="S16297" s="3"/>
      <c r="T16297" s="3"/>
      <c r="U16297" s="3"/>
      <c r="V16297" s="3"/>
      <c r="W16297" s="3"/>
      <c r="X16297" s="3"/>
      <c r="Y16297" s="3"/>
      <c r="Z16297" s="3"/>
      <c r="AA16297" s="3"/>
      <c r="AB16297" s="3"/>
      <c r="AC16297" s="3"/>
      <c r="AD16297" s="3"/>
      <c r="AE16297" s="3"/>
      <c r="AF16297" s="3"/>
      <c r="AG16297" s="3"/>
      <c r="AH16297" s="3"/>
    </row>
    <row r="16298" spans="1:34" ht="15" customHeight="1" x14ac:dyDescent="0.25">
      <c r="A16298" s="3"/>
      <c r="B16298" s="3"/>
      <c r="C16298" s="3"/>
      <c r="D16298" s="3"/>
      <c r="E16298" s="3"/>
      <c r="F16298" s="3"/>
      <c r="G16298" s="3"/>
      <c r="H16298" s="11"/>
      <c r="I16298" s="12"/>
      <c r="J16298" s="3"/>
      <c r="K16298" s="3"/>
      <c r="L16298" s="3"/>
      <c r="M16298" s="3"/>
      <c r="N16298" s="3"/>
      <c r="O16298" s="3"/>
      <c r="P16298" s="3"/>
      <c r="Q16298" s="3"/>
      <c r="R16298" s="3"/>
      <c r="S16298" s="3"/>
      <c r="T16298" s="3"/>
      <c r="U16298" s="3"/>
      <c r="V16298" s="3"/>
      <c r="W16298" s="3"/>
      <c r="X16298" s="3"/>
      <c r="Y16298" s="3"/>
      <c r="Z16298" s="3"/>
      <c r="AA16298" s="3"/>
      <c r="AB16298" s="3"/>
      <c r="AC16298" s="3"/>
      <c r="AD16298" s="3"/>
      <c r="AE16298" s="3"/>
      <c r="AF16298" s="3"/>
      <c r="AG16298" s="3"/>
      <c r="AH16298" s="3"/>
    </row>
    <row r="16299" spans="1:34" ht="15" customHeight="1" x14ac:dyDescent="0.25">
      <c r="A16299" s="3"/>
      <c r="B16299" s="3"/>
      <c r="C16299" s="3"/>
      <c r="D16299" s="3"/>
      <c r="E16299" s="3"/>
      <c r="F16299" s="3"/>
      <c r="G16299" s="3"/>
      <c r="H16299" s="11"/>
      <c r="I16299" s="12"/>
      <c r="J16299" s="3"/>
      <c r="K16299" s="3"/>
      <c r="L16299" s="3"/>
      <c r="M16299" s="3"/>
      <c r="N16299" s="3"/>
      <c r="O16299" s="3"/>
      <c r="P16299" s="3"/>
      <c r="Q16299" s="3"/>
      <c r="R16299" s="3"/>
      <c r="S16299" s="3"/>
      <c r="T16299" s="3"/>
      <c r="U16299" s="3"/>
      <c r="V16299" s="3"/>
      <c r="W16299" s="3"/>
      <c r="X16299" s="3"/>
      <c r="Y16299" s="3"/>
      <c r="Z16299" s="3"/>
      <c r="AA16299" s="3"/>
      <c r="AB16299" s="3"/>
      <c r="AC16299" s="3"/>
      <c r="AD16299" s="3"/>
      <c r="AE16299" s="3"/>
      <c r="AF16299" s="3"/>
      <c r="AG16299" s="3"/>
      <c r="AH16299" s="3"/>
    </row>
    <row r="16300" spans="1:34" ht="15" customHeight="1" x14ac:dyDescent="0.25">
      <c r="A16300" s="3"/>
      <c r="B16300" s="3"/>
      <c r="C16300" s="3"/>
      <c r="D16300" s="3"/>
      <c r="E16300" s="3"/>
      <c r="F16300" s="3"/>
      <c r="G16300" s="3"/>
      <c r="H16300" s="11"/>
      <c r="I16300" s="12"/>
      <c r="J16300" s="3"/>
      <c r="K16300" s="3"/>
      <c r="L16300" s="3"/>
      <c r="M16300" s="3"/>
      <c r="N16300" s="3"/>
      <c r="O16300" s="3"/>
      <c r="P16300" s="3"/>
      <c r="Q16300" s="3"/>
      <c r="R16300" s="3"/>
      <c r="S16300" s="3"/>
      <c r="T16300" s="3"/>
      <c r="U16300" s="3"/>
      <c r="V16300" s="3"/>
      <c r="W16300" s="3"/>
      <c r="X16300" s="3"/>
      <c r="Y16300" s="3"/>
      <c r="Z16300" s="3"/>
      <c r="AA16300" s="3"/>
      <c r="AB16300" s="3"/>
      <c r="AC16300" s="3"/>
      <c r="AD16300" s="3"/>
      <c r="AE16300" s="3"/>
      <c r="AF16300" s="3"/>
      <c r="AG16300" s="3"/>
      <c r="AH16300" s="3"/>
    </row>
    <row r="16301" spans="1:34" ht="15" customHeight="1" x14ac:dyDescent="0.25">
      <c r="A16301" s="3"/>
      <c r="B16301" s="3"/>
      <c r="C16301" s="3"/>
      <c r="D16301" s="3"/>
      <c r="E16301" s="3"/>
      <c r="F16301" s="3"/>
      <c r="G16301" s="3"/>
      <c r="H16301" s="11"/>
      <c r="I16301" s="12"/>
      <c r="J16301" s="3"/>
      <c r="K16301" s="3"/>
      <c r="L16301" s="3"/>
      <c r="M16301" s="3"/>
      <c r="N16301" s="3"/>
      <c r="O16301" s="3"/>
      <c r="P16301" s="3"/>
      <c r="Q16301" s="3"/>
      <c r="R16301" s="3"/>
      <c r="S16301" s="3"/>
      <c r="T16301" s="3"/>
      <c r="U16301" s="3"/>
      <c r="V16301" s="3"/>
      <c r="W16301" s="3"/>
      <c r="X16301" s="3"/>
      <c r="Y16301" s="3"/>
      <c r="Z16301" s="3"/>
      <c r="AA16301" s="3"/>
      <c r="AB16301" s="3"/>
      <c r="AC16301" s="3"/>
      <c r="AD16301" s="3"/>
      <c r="AE16301" s="3"/>
      <c r="AF16301" s="3"/>
      <c r="AG16301" s="3"/>
      <c r="AH16301" s="3"/>
    </row>
    <row r="16302" spans="1:34" ht="15" customHeight="1" x14ac:dyDescent="0.25">
      <c r="A16302" s="3"/>
      <c r="B16302" s="3"/>
      <c r="C16302" s="3"/>
      <c r="D16302" s="3"/>
      <c r="E16302" s="3"/>
      <c r="F16302" s="3"/>
      <c r="G16302" s="3"/>
      <c r="H16302" s="11"/>
      <c r="I16302" s="12"/>
      <c r="J16302" s="3"/>
      <c r="K16302" s="3"/>
      <c r="L16302" s="3"/>
      <c r="M16302" s="3"/>
      <c r="N16302" s="3"/>
      <c r="O16302" s="3"/>
      <c r="P16302" s="3"/>
      <c r="Q16302" s="3"/>
      <c r="R16302" s="3"/>
      <c r="S16302" s="3"/>
      <c r="T16302" s="3"/>
      <c r="U16302" s="3"/>
      <c r="V16302" s="3"/>
      <c r="W16302" s="3"/>
      <c r="X16302" s="3"/>
      <c r="Y16302" s="3"/>
      <c r="Z16302" s="3"/>
      <c r="AA16302" s="3"/>
      <c r="AB16302" s="3"/>
      <c r="AC16302" s="3"/>
      <c r="AD16302" s="3"/>
      <c r="AE16302" s="3"/>
      <c r="AF16302" s="3"/>
      <c r="AG16302" s="3"/>
      <c r="AH16302" s="3"/>
    </row>
    <row r="16303" spans="1:34" ht="15" customHeight="1" x14ac:dyDescent="0.25">
      <c r="A16303" s="3"/>
      <c r="B16303" s="3"/>
      <c r="C16303" s="3"/>
      <c r="D16303" s="3"/>
      <c r="E16303" s="3"/>
      <c r="F16303" s="3"/>
      <c r="G16303" s="3"/>
      <c r="H16303" s="11"/>
      <c r="I16303" s="12"/>
      <c r="J16303" s="3"/>
      <c r="K16303" s="3"/>
      <c r="L16303" s="3"/>
      <c r="M16303" s="3"/>
      <c r="N16303" s="3"/>
      <c r="O16303" s="3"/>
      <c r="P16303" s="3"/>
      <c r="Q16303" s="3"/>
      <c r="R16303" s="3"/>
      <c r="S16303" s="3"/>
      <c r="T16303" s="3"/>
      <c r="U16303" s="3"/>
      <c r="V16303" s="3"/>
      <c r="W16303" s="3"/>
      <c r="X16303" s="3"/>
      <c r="Y16303" s="3"/>
      <c r="Z16303" s="3"/>
      <c r="AA16303" s="3"/>
      <c r="AB16303" s="3"/>
      <c r="AC16303" s="3"/>
      <c r="AD16303" s="3"/>
      <c r="AE16303" s="3"/>
      <c r="AF16303" s="3"/>
      <c r="AG16303" s="3"/>
      <c r="AH16303" s="3"/>
    </row>
    <row r="16304" spans="1:34" ht="15" customHeight="1" x14ac:dyDescent="0.25">
      <c r="A16304" s="3"/>
      <c r="B16304" s="3"/>
      <c r="C16304" s="3"/>
      <c r="D16304" s="3"/>
      <c r="E16304" s="3"/>
      <c r="F16304" s="3"/>
      <c r="G16304" s="3"/>
      <c r="H16304" s="11"/>
      <c r="I16304" s="12"/>
      <c r="J16304" s="3"/>
      <c r="K16304" s="3"/>
      <c r="L16304" s="3"/>
      <c r="M16304" s="3"/>
      <c r="N16304" s="3"/>
      <c r="O16304" s="3"/>
      <c r="P16304" s="3"/>
      <c r="Q16304" s="3"/>
      <c r="R16304" s="3"/>
      <c r="S16304" s="3"/>
      <c r="T16304" s="3"/>
      <c r="U16304" s="3"/>
      <c r="V16304" s="3"/>
      <c r="W16304" s="3"/>
      <c r="X16304" s="3"/>
      <c r="Y16304" s="3"/>
      <c r="Z16304" s="3"/>
      <c r="AA16304" s="3"/>
      <c r="AB16304" s="3"/>
      <c r="AC16304" s="3"/>
      <c r="AD16304" s="3"/>
      <c r="AE16304" s="3"/>
      <c r="AF16304" s="3"/>
      <c r="AG16304" s="3"/>
      <c r="AH16304" s="3"/>
    </row>
    <row r="16305" spans="1:34" ht="15" customHeight="1" x14ac:dyDescent="0.25">
      <c r="A16305" s="3"/>
      <c r="B16305" s="3"/>
      <c r="C16305" s="3"/>
      <c r="D16305" s="3"/>
      <c r="E16305" s="3"/>
      <c r="F16305" s="3"/>
      <c r="G16305" s="3"/>
      <c r="H16305" s="11"/>
      <c r="I16305" s="12"/>
      <c r="J16305" s="3"/>
      <c r="K16305" s="3"/>
      <c r="L16305" s="3"/>
      <c r="M16305" s="3"/>
      <c r="N16305" s="3"/>
      <c r="O16305" s="3"/>
      <c r="P16305" s="3"/>
      <c r="Q16305" s="3"/>
      <c r="R16305" s="3"/>
      <c r="S16305" s="3"/>
      <c r="T16305" s="3"/>
      <c r="U16305" s="3"/>
      <c r="V16305" s="3"/>
      <c r="W16305" s="3"/>
      <c r="X16305" s="3"/>
      <c r="Y16305" s="3"/>
      <c r="Z16305" s="3"/>
      <c r="AA16305" s="3"/>
      <c r="AB16305" s="3"/>
      <c r="AC16305" s="3"/>
      <c r="AD16305" s="3"/>
      <c r="AE16305" s="3"/>
      <c r="AF16305" s="3"/>
      <c r="AG16305" s="3"/>
      <c r="AH16305" s="3"/>
    </row>
    <row r="16306" spans="1:34" ht="15" customHeight="1" x14ac:dyDescent="0.25">
      <c r="A16306" s="3"/>
      <c r="B16306" s="3"/>
      <c r="C16306" s="3"/>
      <c r="D16306" s="3"/>
      <c r="E16306" s="3"/>
      <c r="F16306" s="3"/>
      <c r="G16306" s="3"/>
      <c r="H16306" s="11"/>
      <c r="I16306" s="12"/>
      <c r="J16306" s="3"/>
      <c r="K16306" s="3"/>
      <c r="L16306" s="3"/>
      <c r="M16306" s="3"/>
      <c r="N16306" s="3"/>
      <c r="O16306" s="3"/>
      <c r="P16306" s="3"/>
      <c r="Q16306" s="3"/>
      <c r="R16306" s="3"/>
      <c r="S16306" s="3"/>
      <c r="T16306" s="3"/>
      <c r="U16306" s="3"/>
      <c r="V16306" s="3"/>
      <c r="W16306" s="3"/>
      <c r="X16306" s="3"/>
      <c r="Y16306" s="3"/>
      <c r="Z16306" s="3"/>
      <c r="AA16306" s="3"/>
      <c r="AB16306" s="3"/>
      <c r="AC16306" s="3"/>
      <c r="AD16306" s="3"/>
      <c r="AE16306" s="3"/>
      <c r="AF16306" s="3"/>
      <c r="AG16306" s="3"/>
      <c r="AH16306" s="3"/>
    </row>
    <row r="16307" spans="1:34" ht="15" customHeight="1" x14ac:dyDescent="0.25">
      <c r="A16307" s="3"/>
      <c r="B16307" s="3"/>
      <c r="C16307" s="3"/>
      <c r="D16307" s="3"/>
      <c r="E16307" s="3"/>
      <c r="F16307" s="3"/>
      <c r="G16307" s="3"/>
      <c r="H16307" s="11"/>
      <c r="I16307" s="12"/>
      <c r="J16307" s="3"/>
      <c r="K16307" s="3"/>
      <c r="L16307" s="3"/>
      <c r="M16307" s="3"/>
      <c r="N16307" s="3"/>
      <c r="O16307" s="3"/>
      <c r="P16307" s="3"/>
      <c r="Q16307" s="3"/>
      <c r="R16307" s="3"/>
      <c r="S16307" s="3"/>
      <c r="T16307" s="3"/>
      <c r="U16307" s="3"/>
      <c r="V16307" s="3"/>
      <c r="W16307" s="3"/>
      <c r="X16307" s="3"/>
      <c r="Y16307" s="3"/>
      <c r="Z16307" s="3"/>
      <c r="AA16307" s="3"/>
      <c r="AB16307" s="3"/>
      <c r="AC16307" s="3"/>
      <c r="AD16307" s="3"/>
      <c r="AE16307" s="3"/>
      <c r="AF16307" s="3"/>
      <c r="AG16307" s="3"/>
      <c r="AH16307" s="3"/>
    </row>
    <row r="16308" spans="1:34" ht="15" customHeight="1" x14ac:dyDescent="0.25">
      <c r="A16308" s="3"/>
      <c r="B16308" s="3"/>
      <c r="C16308" s="3"/>
      <c r="D16308" s="3"/>
      <c r="E16308" s="3"/>
      <c r="F16308" s="3"/>
      <c r="G16308" s="3"/>
      <c r="H16308" s="11"/>
      <c r="I16308" s="12"/>
      <c r="J16308" s="3"/>
      <c r="K16308" s="3"/>
      <c r="L16308" s="3"/>
      <c r="M16308" s="3"/>
      <c r="N16308" s="3"/>
      <c r="O16308" s="3"/>
      <c r="P16308" s="3"/>
      <c r="Q16308" s="3"/>
      <c r="R16308" s="3"/>
      <c r="S16308" s="3"/>
      <c r="T16308" s="3"/>
      <c r="U16308" s="3"/>
      <c r="V16308" s="3"/>
      <c r="W16308" s="3"/>
      <c r="X16308" s="3"/>
      <c r="Y16308" s="3"/>
      <c r="Z16308" s="3"/>
      <c r="AA16308" s="3"/>
      <c r="AB16308" s="3"/>
      <c r="AC16308" s="3"/>
      <c r="AD16308" s="3"/>
      <c r="AE16308" s="3"/>
      <c r="AF16308" s="3"/>
      <c r="AG16308" s="3"/>
      <c r="AH16308" s="3"/>
    </row>
    <row r="16309" spans="1:34" ht="15" customHeight="1" x14ac:dyDescent="0.25">
      <c r="A16309" s="3"/>
      <c r="B16309" s="3"/>
      <c r="C16309" s="3"/>
      <c r="D16309" s="3"/>
      <c r="E16309" s="3"/>
      <c r="F16309" s="3"/>
      <c r="G16309" s="3"/>
      <c r="H16309" s="11"/>
      <c r="I16309" s="12"/>
      <c r="J16309" s="3"/>
      <c r="K16309" s="3"/>
      <c r="L16309" s="3"/>
      <c r="M16309" s="3"/>
      <c r="N16309" s="3"/>
      <c r="O16309" s="3"/>
      <c r="P16309" s="3"/>
      <c r="Q16309" s="3"/>
      <c r="R16309" s="3"/>
      <c r="S16309" s="3"/>
      <c r="T16309" s="3"/>
      <c r="U16309" s="3"/>
      <c r="V16309" s="3"/>
      <c r="W16309" s="3"/>
      <c r="X16309" s="3"/>
      <c r="Y16309" s="3"/>
      <c r="Z16309" s="3"/>
      <c r="AA16309" s="3"/>
      <c r="AB16309" s="3"/>
      <c r="AC16309" s="3"/>
      <c r="AD16309" s="3"/>
      <c r="AE16309" s="3"/>
      <c r="AF16309" s="3"/>
      <c r="AG16309" s="3"/>
      <c r="AH16309" s="3"/>
    </row>
    <row r="16310" spans="1:34" ht="15" customHeight="1" x14ac:dyDescent="0.25">
      <c r="A16310" s="3"/>
      <c r="B16310" s="3"/>
      <c r="C16310" s="3"/>
      <c r="D16310" s="3"/>
      <c r="E16310" s="3"/>
      <c r="F16310" s="3"/>
      <c r="G16310" s="3"/>
      <c r="H16310" s="11"/>
      <c r="I16310" s="12"/>
      <c r="J16310" s="3"/>
      <c r="K16310" s="3"/>
      <c r="L16310" s="3"/>
      <c r="M16310" s="3"/>
      <c r="N16310" s="3"/>
      <c r="O16310" s="3"/>
      <c r="P16310" s="3"/>
      <c r="Q16310" s="3"/>
      <c r="R16310" s="3"/>
      <c r="S16310" s="3"/>
      <c r="T16310" s="3"/>
      <c r="U16310" s="3"/>
      <c r="V16310" s="3"/>
      <c r="W16310" s="3"/>
      <c r="X16310" s="3"/>
      <c r="Y16310" s="3"/>
      <c r="Z16310" s="3"/>
      <c r="AA16310" s="3"/>
      <c r="AB16310" s="3"/>
      <c r="AC16310" s="3"/>
      <c r="AD16310" s="3"/>
      <c r="AE16310" s="3"/>
      <c r="AF16310" s="3"/>
      <c r="AG16310" s="3"/>
      <c r="AH16310" s="3"/>
    </row>
    <row r="16311" spans="1:34" ht="15" customHeight="1" x14ac:dyDescent="0.25">
      <c r="A16311" s="3"/>
      <c r="B16311" s="3"/>
      <c r="C16311" s="3"/>
      <c r="D16311" s="3"/>
      <c r="E16311" s="3"/>
      <c r="F16311" s="3"/>
      <c r="G16311" s="3"/>
      <c r="H16311" s="11"/>
      <c r="I16311" s="12"/>
      <c r="J16311" s="3"/>
      <c r="K16311" s="3"/>
      <c r="L16311" s="3"/>
      <c r="M16311" s="3"/>
      <c r="N16311" s="3"/>
      <c r="O16311" s="3"/>
      <c r="P16311" s="3"/>
      <c r="Q16311" s="3"/>
      <c r="R16311" s="3"/>
      <c r="S16311" s="3"/>
      <c r="T16311" s="3"/>
      <c r="U16311" s="3"/>
      <c r="V16311" s="3"/>
      <c r="W16311" s="3"/>
      <c r="X16311" s="3"/>
      <c r="Y16311" s="3"/>
      <c r="Z16311" s="3"/>
      <c r="AA16311" s="3"/>
      <c r="AB16311" s="3"/>
      <c r="AC16311" s="3"/>
      <c r="AD16311" s="3"/>
      <c r="AE16311" s="3"/>
      <c r="AF16311" s="3"/>
      <c r="AG16311" s="3"/>
      <c r="AH16311" s="3"/>
    </row>
    <row r="16312" spans="1:34" ht="15" customHeight="1" x14ac:dyDescent="0.25">
      <c r="A16312" s="3"/>
      <c r="B16312" s="3"/>
      <c r="C16312" s="3"/>
      <c r="D16312" s="3"/>
      <c r="E16312" s="3"/>
      <c r="F16312" s="3"/>
      <c r="G16312" s="3"/>
      <c r="H16312" s="11"/>
      <c r="I16312" s="12"/>
      <c r="J16312" s="3"/>
      <c r="K16312" s="3"/>
      <c r="L16312" s="3"/>
      <c r="M16312" s="3"/>
      <c r="N16312" s="3"/>
      <c r="O16312" s="3"/>
      <c r="P16312" s="3"/>
      <c r="Q16312" s="3"/>
      <c r="R16312" s="3"/>
      <c r="S16312" s="3"/>
      <c r="T16312" s="3"/>
      <c r="U16312" s="3"/>
      <c r="V16312" s="3"/>
      <c r="W16312" s="3"/>
      <c r="X16312" s="3"/>
      <c r="Y16312" s="3"/>
      <c r="Z16312" s="3"/>
      <c r="AA16312" s="3"/>
      <c r="AB16312" s="3"/>
      <c r="AC16312" s="3"/>
      <c r="AD16312" s="3"/>
      <c r="AE16312" s="3"/>
      <c r="AF16312" s="3"/>
      <c r="AG16312" s="3"/>
      <c r="AH16312" s="3"/>
    </row>
    <row r="16313" spans="1:34" ht="15" customHeight="1" x14ac:dyDescent="0.25">
      <c r="A16313" s="3"/>
      <c r="B16313" s="3"/>
      <c r="C16313" s="3"/>
      <c r="D16313" s="3"/>
      <c r="E16313" s="3"/>
      <c r="F16313" s="3"/>
      <c r="G16313" s="3"/>
      <c r="H16313" s="11"/>
      <c r="I16313" s="12"/>
      <c r="J16313" s="3"/>
      <c r="K16313" s="3"/>
      <c r="L16313" s="3"/>
      <c r="M16313" s="3"/>
      <c r="N16313" s="3"/>
      <c r="O16313" s="3"/>
      <c r="P16313" s="3"/>
      <c r="Q16313" s="3"/>
      <c r="R16313" s="3"/>
      <c r="S16313" s="3"/>
      <c r="T16313" s="3"/>
      <c r="U16313" s="3"/>
      <c r="V16313" s="3"/>
      <c r="W16313" s="3"/>
      <c r="X16313" s="3"/>
      <c r="Y16313" s="3"/>
      <c r="Z16313" s="3"/>
      <c r="AA16313" s="3"/>
      <c r="AB16313" s="3"/>
      <c r="AC16313" s="3"/>
      <c r="AD16313" s="3"/>
      <c r="AE16313" s="3"/>
      <c r="AF16313" s="3"/>
      <c r="AG16313" s="3"/>
      <c r="AH16313" s="3"/>
    </row>
    <row r="16314" spans="1:34" ht="15" customHeight="1" x14ac:dyDescent="0.25">
      <c r="A16314" s="3"/>
      <c r="B16314" s="3"/>
      <c r="C16314" s="3"/>
      <c r="D16314" s="3"/>
      <c r="E16314" s="3"/>
      <c r="F16314" s="3"/>
      <c r="G16314" s="3"/>
      <c r="H16314" s="11"/>
      <c r="I16314" s="12"/>
      <c r="J16314" s="3"/>
      <c r="K16314" s="3"/>
      <c r="L16314" s="3"/>
      <c r="M16314" s="3"/>
      <c r="N16314" s="3"/>
      <c r="O16314" s="3"/>
      <c r="P16314" s="3"/>
      <c r="Q16314" s="3"/>
      <c r="R16314" s="3"/>
      <c r="S16314" s="3"/>
      <c r="T16314" s="3"/>
      <c r="U16314" s="3"/>
      <c r="V16314" s="3"/>
      <c r="W16314" s="3"/>
      <c r="X16314" s="3"/>
      <c r="Y16314" s="3"/>
      <c r="Z16314" s="3"/>
      <c r="AA16314" s="3"/>
      <c r="AB16314" s="3"/>
      <c r="AC16314" s="3"/>
      <c r="AD16314" s="3"/>
      <c r="AE16314" s="3"/>
      <c r="AF16314" s="3"/>
      <c r="AG16314" s="3"/>
      <c r="AH16314" s="3"/>
    </row>
    <row r="16315" spans="1:34" ht="15" customHeight="1" x14ac:dyDescent="0.25">
      <c r="A16315" s="3"/>
      <c r="B16315" s="3"/>
      <c r="C16315" s="3"/>
      <c r="D16315" s="3"/>
      <c r="E16315" s="3"/>
      <c r="F16315" s="3"/>
      <c r="G16315" s="3"/>
      <c r="H16315" s="11"/>
      <c r="I16315" s="12"/>
      <c r="J16315" s="3"/>
      <c r="K16315" s="3"/>
      <c r="L16315" s="3"/>
      <c r="M16315" s="3"/>
      <c r="N16315" s="3"/>
      <c r="O16315" s="3"/>
      <c r="P16315" s="3"/>
      <c r="Q16315" s="3"/>
      <c r="R16315" s="3"/>
      <c r="S16315" s="3"/>
      <c r="T16315" s="3"/>
      <c r="U16315" s="3"/>
      <c r="V16315" s="3"/>
      <c r="W16315" s="3"/>
      <c r="X16315" s="3"/>
      <c r="Y16315" s="3"/>
      <c r="Z16315" s="3"/>
      <c r="AA16315" s="3"/>
      <c r="AB16315" s="3"/>
      <c r="AC16315" s="3"/>
      <c r="AD16315" s="3"/>
      <c r="AE16315" s="3"/>
      <c r="AF16315" s="3"/>
      <c r="AG16315" s="3"/>
      <c r="AH16315" s="3"/>
    </row>
    <row r="16316" spans="1:34" ht="15" customHeight="1" x14ac:dyDescent="0.25">
      <c r="A16316" s="3"/>
      <c r="B16316" s="3"/>
      <c r="C16316" s="3"/>
      <c r="D16316" s="3"/>
      <c r="E16316" s="3"/>
      <c r="F16316" s="3"/>
      <c r="G16316" s="3"/>
      <c r="H16316" s="11"/>
      <c r="I16316" s="12"/>
      <c r="J16316" s="3"/>
      <c r="K16316" s="3"/>
      <c r="L16316" s="3"/>
      <c r="M16316" s="3"/>
      <c r="N16316" s="3"/>
      <c r="O16316" s="3"/>
      <c r="P16316" s="3"/>
      <c r="Q16316" s="3"/>
      <c r="R16316" s="3"/>
      <c r="S16316" s="3"/>
      <c r="T16316" s="3"/>
      <c r="U16316" s="3"/>
      <c r="V16316" s="3"/>
      <c r="W16316" s="3"/>
      <c r="X16316" s="3"/>
      <c r="Y16316" s="3"/>
      <c r="Z16316" s="3"/>
      <c r="AA16316" s="3"/>
      <c r="AB16316" s="3"/>
      <c r="AC16316" s="3"/>
      <c r="AD16316" s="3"/>
      <c r="AE16316" s="3"/>
      <c r="AF16316" s="3"/>
      <c r="AG16316" s="3"/>
      <c r="AH16316" s="3"/>
    </row>
    <row r="16317" spans="1:34" ht="15" customHeight="1" x14ac:dyDescent="0.25">
      <c r="A16317" s="3"/>
      <c r="B16317" s="3"/>
      <c r="C16317" s="3"/>
      <c r="D16317" s="3"/>
      <c r="E16317" s="3"/>
      <c r="F16317" s="3"/>
      <c r="G16317" s="3"/>
      <c r="H16317" s="11"/>
      <c r="I16317" s="12"/>
      <c r="J16317" s="3"/>
      <c r="K16317" s="3"/>
      <c r="L16317" s="3"/>
      <c r="M16317" s="3"/>
      <c r="N16317" s="3"/>
      <c r="O16317" s="3"/>
      <c r="P16317" s="3"/>
      <c r="Q16317" s="3"/>
      <c r="R16317" s="3"/>
      <c r="S16317" s="3"/>
      <c r="T16317" s="3"/>
      <c r="U16317" s="3"/>
      <c r="V16317" s="3"/>
      <c r="W16317" s="3"/>
      <c r="X16317" s="3"/>
      <c r="Y16317" s="3"/>
      <c r="Z16317" s="3"/>
      <c r="AA16317" s="3"/>
      <c r="AB16317" s="3"/>
      <c r="AC16317" s="3"/>
      <c r="AD16317" s="3"/>
      <c r="AE16317" s="3"/>
      <c r="AF16317" s="3"/>
      <c r="AG16317" s="3"/>
      <c r="AH16317" s="3"/>
    </row>
    <row r="16318" spans="1:34" ht="15" customHeight="1" x14ac:dyDescent="0.25">
      <c r="A16318" s="3"/>
      <c r="B16318" s="3"/>
      <c r="C16318" s="3"/>
      <c r="D16318" s="3"/>
      <c r="E16318" s="3"/>
      <c r="F16318" s="3"/>
      <c r="G16318" s="3"/>
      <c r="H16318" s="11"/>
      <c r="I16318" s="12"/>
      <c r="J16318" s="3"/>
      <c r="K16318" s="3"/>
      <c r="L16318" s="3"/>
      <c r="M16318" s="3"/>
      <c r="N16318" s="3"/>
      <c r="O16318" s="3"/>
      <c r="P16318" s="3"/>
      <c r="Q16318" s="3"/>
      <c r="R16318" s="3"/>
      <c r="S16318" s="3"/>
      <c r="T16318" s="3"/>
      <c r="U16318" s="3"/>
      <c r="V16318" s="3"/>
      <c r="W16318" s="3"/>
      <c r="X16318" s="3"/>
      <c r="Y16318" s="3"/>
      <c r="Z16318" s="3"/>
      <c r="AA16318" s="3"/>
      <c r="AB16318" s="3"/>
      <c r="AC16318" s="3"/>
      <c r="AD16318" s="3"/>
      <c r="AE16318" s="3"/>
      <c r="AF16318" s="3"/>
      <c r="AG16318" s="3"/>
      <c r="AH16318" s="3"/>
    </row>
    <row r="16319" spans="1:34" ht="15" customHeight="1" x14ac:dyDescent="0.25">
      <c r="A16319" s="3"/>
      <c r="B16319" s="3"/>
      <c r="C16319" s="3"/>
      <c r="D16319" s="3"/>
      <c r="E16319" s="3"/>
      <c r="F16319" s="3"/>
      <c r="G16319" s="3"/>
      <c r="H16319" s="11"/>
      <c r="I16319" s="12"/>
      <c r="J16319" s="3"/>
      <c r="K16319" s="3"/>
      <c r="L16319" s="3"/>
      <c r="M16319" s="3"/>
      <c r="N16319" s="3"/>
      <c r="O16319" s="3"/>
      <c r="P16319" s="3"/>
      <c r="Q16319" s="3"/>
      <c r="R16319" s="3"/>
      <c r="S16319" s="3"/>
      <c r="T16319" s="3"/>
      <c r="U16319" s="3"/>
      <c r="V16319" s="3"/>
      <c r="W16319" s="3"/>
      <c r="X16319" s="3"/>
      <c r="Y16319" s="3"/>
      <c r="Z16319" s="3"/>
      <c r="AA16319" s="3"/>
      <c r="AB16319" s="3"/>
      <c r="AC16319" s="3"/>
      <c r="AD16319" s="3"/>
      <c r="AE16319" s="3"/>
      <c r="AF16319" s="3"/>
      <c r="AG16319" s="3"/>
      <c r="AH16319" s="3"/>
    </row>
    <row r="16320" spans="1:34" ht="15" customHeight="1" x14ac:dyDescent="0.25">
      <c r="A16320" s="3"/>
      <c r="B16320" s="3"/>
      <c r="C16320" s="3"/>
      <c r="D16320" s="3"/>
      <c r="E16320" s="3"/>
      <c r="F16320" s="3"/>
      <c r="G16320" s="3"/>
      <c r="H16320" s="11"/>
      <c r="I16320" s="12"/>
      <c r="J16320" s="3"/>
      <c r="K16320" s="3"/>
      <c r="L16320" s="3"/>
      <c r="M16320" s="3"/>
      <c r="N16320" s="3"/>
      <c r="O16320" s="3"/>
      <c r="P16320" s="3"/>
      <c r="Q16320" s="3"/>
      <c r="R16320" s="3"/>
      <c r="S16320" s="3"/>
      <c r="T16320" s="3"/>
      <c r="U16320" s="3"/>
      <c r="V16320" s="3"/>
      <c r="W16320" s="3"/>
      <c r="X16320" s="3"/>
      <c r="Y16320" s="3"/>
      <c r="Z16320" s="3"/>
      <c r="AA16320" s="3"/>
      <c r="AB16320" s="3"/>
      <c r="AC16320" s="3"/>
      <c r="AD16320" s="3"/>
      <c r="AE16320" s="3"/>
      <c r="AF16320" s="3"/>
      <c r="AG16320" s="3"/>
      <c r="AH16320" s="3"/>
    </row>
    <row r="16321" spans="1:34" ht="15" customHeight="1" x14ac:dyDescent="0.25">
      <c r="A16321" s="3"/>
      <c r="B16321" s="3"/>
      <c r="C16321" s="3"/>
      <c r="D16321" s="3"/>
      <c r="E16321" s="3"/>
      <c r="F16321" s="3"/>
      <c r="G16321" s="3"/>
      <c r="H16321" s="11"/>
      <c r="I16321" s="12"/>
      <c r="J16321" s="3"/>
      <c r="K16321" s="3"/>
      <c r="L16321" s="3"/>
      <c r="M16321" s="3"/>
      <c r="N16321" s="3"/>
      <c r="O16321" s="3"/>
      <c r="P16321" s="3"/>
      <c r="Q16321" s="3"/>
      <c r="R16321" s="3"/>
      <c r="S16321" s="3"/>
      <c r="T16321" s="3"/>
      <c r="U16321" s="3"/>
      <c r="V16321" s="3"/>
      <c r="W16321" s="3"/>
      <c r="X16321" s="3"/>
      <c r="Y16321" s="3"/>
      <c r="Z16321" s="3"/>
      <c r="AA16321" s="3"/>
      <c r="AB16321" s="3"/>
      <c r="AC16321" s="3"/>
      <c r="AD16321" s="3"/>
      <c r="AE16321" s="3"/>
      <c r="AF16321" s="3"/>
      <c r="AG16321" s="3"/>
      <c r="AH16321" s="3"/>
    </row>
    <row r="16322" spans="1:34" ht="15" customHeight="1" x14ac:dyDescent="0.25">
      <c r="A16322" s="3"/>
      <c r="B16322" s="3"/>
      <c r="C16322" s="3"/>
      <c r="D16322" s="3"/>
      <c r="E16322" s="3"/>
      <c r="F16322" s="3"/>
      <c r="G16322" s="3"/>
      <c r="H16322" s="11"/>
      <c r="I16322" s="12"/>
      <c r="J16322" s="3"/>
      <c r="K16322" s="3"/>
      <c r="L16322" s="3"/>
      <c r="M16322" s="3"/>
      <c r="N16322" s="3"/>
      <c r="O16322" s="3"/>
      <c r="P16322" s="3"/>
      <c r="Q16322" s="3"/>
      <c r="R16322" s="3"/>
      <c r="S16322" s="3"/>
      <c r="T16322" s="3"/>
      <c r="U16322" s="3"/>
      <c r="V16322" s="3"/>
      <c r="W16322" s="3"/>
      <c r="X16322" s="3"/>
      <c r="Y16322" s="3"/>
      <c r="Z16322" s="3"/>
      <c r="AA16322" s="3"/>
      <c r="AB16322" s="3"/>
      <c r="AC16322" s="3"/>
      <c r="AD16322" s="3"/>
      <c r="AE16322" s="3"/>
      <c r="AF16322" s="3"/>
      <c r="AG16322" s="3"/>
      <c r="AH16322" s="3"/>
    </row>
    <row r="16323" spans="1:34" ht="15" customHeight="1" x14ac:dyDescent="0.25">
      <c r="A16323" s="3"/>
      <c r="B16323" s="3"/>
      <c r="C16323" s="3"/>
      <c r="D16323" s="3"/>
      <c r="E16323" s="3"/>
      <c r="F16323" s="3"/>
      <c r="G16323" s="3"/>
      <c r="H16323" s="11"/>
      <c r="I16323" s="12"/>
      <c r="J16323" s="3"/>
      <c r="K16323" s="3"/>
      <c r="L16323" s="3"/>
      <c r="M16323" s="3"/>
      <c r="N16323" s="3"/>
      <c r="O16323" s="3"/>
      <c r="P16323" s="3"/>
      <c r="Q16323" s="3"/>
      <c r="R16323" s="3"/>
      <c r="S16323" s="3"/>
      <c r="T16323" s="3"/>
      <c r="U16323" s="3"/>
      <c r="V16323" s="3"/>
      <c r="W16323" s="3"/>
      <c r="X16323" s="3"/>
      <c r="Y16323" s="3"/>
      <c r="Z16323" s="3"/>
      <c r="AA16323" s="3"/>
      <c r="AB16323" s="3"/>
      <c r="AC16323" s="3"/>
      <c r="AD16323" s="3"/>
      <c r="AE16323" s="3"/>
      <c r="AF16323" s="3"/>
      <c r="AG16323" s="3"/>
      <c r="AH16323" s="3"/>
    </row>
    <row r="16324" spans="1:34" ht="15" customHeight="1" x14ac:dyDescent="0.25">
      <c r="A16324" s="3"/>
      <c r="B16324" s="3"/>
      <c r="C16324" s="3"/>
      <c r="D16324" s="3"/>
      <c r="E16324" s="3"/>
      <c r="F16324" s="3"/>
      <c r="G16324" s="3"/>
      <c r="H16324" s="11"/>
      <c r="I16324" s="12"/>
      <c r="J16324" s="3"/>
      <c r="K16324" s="3"/>
      <c r="L16324" s="3"/>
      <c r="M16324" s="3"/>
      <c r="N16324" s="3"/>
      <c r="O16324" s="3"/>
      <c r="P16324" s="3"/>
      <c r="Q16324" s="3"/>
      <c r="R16324" s="3"/>
      <c r="S16324" s="3"/>
      <c r="T16324" s="3"/>
      <c r="U16324" s="3"/>
      <c r="V16324" s="3"/>
      <c r="W16324" s="3"/>
      <c r="X16324" s="3"/>
      <c r="Y16324" s="3"/>
      <c r="Z16324" s="3"/>
      <c r="AA16324" s="3"/>
      <c r="AB16324" s="3"/>
      <c r="AC16324" s="3"/>
      <c r="AD16324" s="3"/>
      <c r="AE16324" s="3"/>
      <c r="AF16324" s="3"/>
      <c r="AG16324" s="3"/>
      <c r="AH16324" s="3"/>
    </row>
    <row r="16325" spans="1:34" ht="15" customHeight="1" x14ac:dyDescent="0.25">
      <c r="A16325" s="3"/>
      <c r="B16325" s="3"/>
      <c r="C16325" s="3"/>
      <c r="D16325" s="3"/>
      <c r="E16325" s="3"/>
      <c r="F16325" s="3"/>
      <c r="G16325" s="3"/>
      <c r="H16325" s="11"/>
      <c r="I16325" s="12"/>
      <c r="J16325" s="3"/>
      <c r="K16325" s="3"/>
      <c r="L16325" s="3"/>
      <c r="M16325" s="3"/>
      <c r="N16325" s="3"/>
      <c r="O16325" s="3"/>
      <c r="P16325" s="3"/>
      <c r="Q16325" s="3"/>
      <c r="R16325" s="3"/>
      <c r="S16325" s="3"/>
      <c r="T16325" s="3"/>
      <c r="U16325" s="3"/>
      <c r="V16325" s="3"/>
      <c r="W16325" s="3"/>
      <c r="X16325" s="3"/>
      <c r="Y16325" s="3"/>
      <c r="Z16325" s="3"/>
      <c r="AA16325" s="3"/>
      <c r="AB16325" s="3"/>
      <c r="AC16325" s="3"/>
      <c r="AD16325" s="3"/>
      <c r="AE16325" s="3"/>
      <c r="AF16325" s="3"/>
      <c r="AG16325" s="3"/>
      <c r="AH16325" s="3"/>
    </row>
    <row r="16326" spans="1:34" ht="15" customHeight="1" x14ac:dyDescent="0.25">
      <c r="A16326" s="3"/>
      <c r="B16326" s="3"/>
      <c r="C16326" s="3"/>
      <c r="D16326" s="3"/>
      <c r="E16326" s="3"/>
      <c r="F16326" s="3"/>
      <c r="G16326" s="3"/>
      <c r="H16326" s="11"/>
      <c r="I16326" s="12"/>
      <c r="J16326" s="3"/>
      <c r="K16326" s="3"/>
      <c r="L16326" s="3"/>
      <c r="M16326" s="3"/>
      <c r="N16326" s="3"/>
      <c r="O16326" s="3"/>
      <c r="P16326" s="3"/>
      <c r="Q16326" s="3"/>
      <c r="R16326" s="3"/>
      <c r="S16326" s="3"/>
      <c r="T16326" s="3"/>
      <c r="U16326" s="3"/>
      <c r="V16326" s="3"/>
      <c r="W16326" s="3"/>
      <c r="X16326" s="3"/>
      <c r="Y16326" s="3"/>
      <c r="Z16326" s="3"/>
      <c r="AA16326" s="3"/>
      <c r="AB16326" s="3"/>
      <c r="AC16326" s="3"/>
      <c r="AD16326" s="3"/>
      <c r="AE16326" s="3"/>
      <c r="AF16326" s="3"/>
      <c r="AG16326" s="3"/>
      <c r="AH16326" s="3"/>
    </row>
    <row r="16327" spans="1:34" ht="15" customHeight="1" x14ac:dyDescent="0.25">
      <c r="A16327" s="3"/>
      <c r="B16327" s="3"/>
      <c r="C16327" s="3"/>
      <c r="D16327" s="3"/>
      <c r="E16327" s="3"/>
      <c r="F16327" s="3"/>
      <c r="G16327" s="3"/>
      <c r="H16327" s="11"/>
      <c r="I16327" s="12"/>
      <c r="J16327" s="3"/>
      <c r="K16327" s="3"/>
      <c r="L16327" s="3"/>
      <c r="M16327" s="3"/>
      <c r="N16327" s="3"/>
      <c r="O16327" s="3"/>
      <c r="P16327" s="3"/>
      <c r="Q16327" s="3"/>
      <c r="R16327" s="3"/>
      <c r="S16327" s="3"/>
      <c r="T16327" s="3"/>
      <c r="U16327" s="3"/>
      <c r="V16327" s="3"/>
      <c r="W16327" s="3"/>
      <c r="X16327" s="3"/>
      <c r="Y16327" s="3"/>
      <c r="Z16327" s="3"/>
      <c r="AA16327" s="3"/>
      <c r="AB16327" s="3"/>
      <c r="AC16327" s="3"/>
      <c r="AD16327" s="3"/>
      <c r="AE16327" s="3"/>
      <c r="AF16327" s="3"/>
      <c r="AG16327" s="3"/>
      <c r="AH16327" s="3"/>
    </row>
    <row r="16328" spans="1:34" ht="15" customHeight="1" x14ac:dyDescent="0.25">
      <c r="A16328" s="3"/>
      <c r="B16328" s="3"/>
      <c r="C16328" s="3"/>
      <c r="D16328" s="3"/>
      <c r="E16328" s="3"/>
      <c r="F16328" s="3"/>
      <c r="G16328" s="3"/>
      <c r="H16328" s="11"/>
      <c r="I16328" s="12"/>
      <c r="J16328" s="3"/>
      <c r="K16328" s="3"/>
      <c r="L16328" s="3"/>
      <c r="M16328" s="3"/>
      <c r="N16328" s="3"/>
      <c r="O16328" s="3"/>
      <c r="P16328" s="3"/>
      <c r="Q16328" s="3"/>
      <c r="R16328" s="3"/>
      <c r="S16328" s="3"/>
      <c r="T16328" s="3"/>
      <c r="U16328" s="3"/>
      <c r="V16328" s="3"/>
      <c r="W16328" s="3"/>
      <c r="X16328" s="3"/>
      <c r="Y16328" s="3"/>
      <c r="Z16328" s="3"/>
      <c r="AA16328" s="3"/>
      <c r="AB16328" s="3"/>
      <c r="AC16328" s="3"/>
      <c r="AD16328" s="3"/>
      <c r="AE16328" s="3"/>
      <c r="AF16328" s="3"/>
      <c r="AG16328" s="3"/>
      <c r="AH16328" s="3"/>
    </row>
    <row r="16329" spans="1:34" ht="15" customHeight="1" x14ac:dyDescent="0.25">
      <c r="A16329" s="3"/>
      <c r="B16329" s="3"/>
      <c r="C16329" s="3"/>
      <c r="D16329" s="3"/>
      <c r="E16329" s="3"/>
      <c r="F16329" s="3"/>
      <c r="G16329" s="3"/>
      <c r="H16329" s="11"/>
      <c r="I16329" s="12"/>
      <c r="J16329" s="3"/>
      <c r="K16329" s="3"/>
      <c r="L16329" s="3"/>
      <c r="M16329" s="3"/>
      <c r="N16329" s="3"/>
      <c r="O16329" s="3"/>
      <c r="P16329" s="3"/>
      <c r="Q16329" s="3"/>
      <c r="R16329" s="3"/>
      <c r="S16329" s="3"/>
      <c r="T16329" s="3"/>
      <c r="U16329" s="3"/>
      <c r="V16329" s="3"/>
      <c r="W16329" s="3"/>
      <c r="X16329" s="3"/>
      <c r="Y16329" s="3"/>
      <c r="Z16329" s="3"/>
      <c r="AA16329" s="3"/>
      <c r="AB16329" s="3"/>
      <c r="AC16329" s="3"/>
      <c r="AD16329" s="3"/>
      <c r="AE16329" s="3"/>
      <c r="AF16329" s="3"/>
      <c r="AG16329" s="3"/>
      <c r="AH16329" s="3"/>
    </row>
    <row r="16330" spans="1:34" ht="15" customHeight="1" x14ac:dyDescent="0.25">
      <c r="A16330" s="3"/>
      <c r="B16330" s="3"/>
      <c r="C16330" s="3"/>
      <c r="D16330" s="3"/>
      <c r="E16330" s="3"/>
      <c r="F16330" s="3"/>
      <c r="G16330" s="3"/>
      <c r="H16330" s="11"/>
      <c r="I16330" s="12"/>
      <c r="J16330" s="3"/>
      <c r="K16330" s="3"/>
      <c r="L16330" s="3"/>
      <c r="M16330" s="3"/>
      <c r="N16330" s="3"/>
      <c r="O16330" s="3"/>
      <c r="P16330" s="3"/>
      <c r="Q16330" s="3"/>
      <c r="R16330" s="3"/>
      <c r="S16330" s="3"/>
      <c r="T16330" s="3"/>
      <c r="U16330" s="3"/>
      <c r="V16330" s="3"/>
      <c r="W16330" s="3"/>
      <c r="X16330" s="3"/>
      <c r="Y16330" s="3"/>
      <c r="Z16330" s="3"/>
      <c r="AA16330" s="3"/>
      <c r="AB16330" s="3"/>
      <c r="AC16330" s="3"/>
      <c r="AD16330" s="3"/>
      <c r="AE16330" s="3"/>
      <c r="AF16330" s="3"/>
      <c r="AG16330" s="3"/>
      <c r="AH16330" s="3"/>
    </row>
    <row r="16331" spans="1:34" ht="15" customHeight="1" x14ac:dyDescent="0.25">
      <c r="A16331" s="3"/>
      <c r="B16331" s="3"/>
      <c r="C16331" s="3"/>
      <c r="D16331" s="3"/>
      <c r="E16331" s="3"/>
      <c r="F16331" s="3"/>
      <c r="G16331" s="3"/>
      <c r="H16331" s="11"/>
      <c r="I16331" s="12"/>
      <c r="J16331" s="3"/>
      <c r="K16331" s="3"/>
      <c r="L16331" s="3"/>
      <c r="M16331" s="3"/>
      <c r="N16331" s="3"/>
      <c r="O16331" s="3"/>
      <c r="P16331" s="3"/>
      <c r="Q16331" s="3"/>
      <c r="R16331" s="3"/>
      <c r="S16331" s="3"/>
      <c r="T16331" s="3"/>
      <c r="U16331" s="3"/>
      <c r="V16331" s="3"/>
      <c r="W16331" s="3"/>
      <c r="X16331" s="3"/>
      <c r="Y16331" s="3"/>
      <c r="Z16331" s="3"/>
      <c r="AA16331" s="3"/>
      <c r="AB16331" s="3"/>
      <c r="AC16331" s="3"/>
      <c r="AD16331" s="3"/>
      <c r="AE16331" s="3"/>
      <c r="AF16331" s="3"/>
      <c r="AG16331" s="3"/>
      <c r="AH16331" s="3"/>
    </row>
    <row r="16332" spans="1:34" ht="15" customHeight="1" x14ac:dyDescent="0.25">
      <c r="A16332" s="3"/>
      <c r="B16332" s="3"/>
      <c r="C16332" s="3"/>
      <c r="D16332" s="3"/>
      <c r="E16332" s="3"/>
      <c r="F16332" s="3"/>
      <c r="G16332" s="3"/>
      <c r="H16332" s="11"/>
      <c r="I16332" s="12"/>
      <c r="J16332" s="3"/>
      <c r="K16332" s="3"/>
      <c r="L16332" s="3"/>
      <c r="M16332" s="3"/>
      <c r="N16332" s="3"/>
      <c r="O16332" s="3"/>
      <c r="P16332" s="3"/>
      <c r="Q16332" s="3"/>
      <c r="R16332" s="3"/>
      <c r="S16332" s="3"/>
      <c r="T16332" s="3"/>
      <c r="U16332" s="3"/>
      <c r="V16332" s="3"/>
      <c r="W16332" s="3"/>
      <c r="X16332" s="3"/>
      <c r="Y16332" s="3"/>
      <c r="Z16332" s="3"/>
      <c r="AA16332" s="3"/>
      <c r="AB16332" s="3"/>
      <c r="AC16332" s="3"/>
      <c r="AD16332" s="3"/>
      <c r="AE16332" s="3"/>
      <c r="AF16332" s="3"/>
      <c r="AG16332" s="3"/>
      <c r="AH16332" s="3"/>
    </row>
    <row r="16333" spans="1:34" ht="15" customHeight="1" x14ac:dyDescent="0.25">
      <c r="A16333" s="3"/>
      <c r="B16333" s="3"/>
      <c r="C16333" s="3"/>
      <c r="D16333" s="3"/>
      <c r="E16333" s="3"/>
      <c r="F16333" s="3"/>
      <c r="G16333" s="3"/>
      <c r="H16333" s="11"/>
      <c r="I16333" s="12"/>
      <c r="J16333" s="3"/>
      <c r="K16333" s="3"/>
      <c r="L16333" s="3"/>
      <c r="M16333" s="3"/>
      <c r="N16333" s="3"/>
      <c r="O16333" s="3"/>
      <c r="P16333" s="3"/>
      <c r="Q16333" s="3"/>
      <c r="R16333" s="3"/>
      <c r="S16333" s="3"/>
      <c r="T16333" s="3"/>
      <c r="U16333" s="3"/>
      <c r="V16333" s="3"/>
      <c r="W16333" s="3"/>
      <c r="X16333" s="3"/>
      <c r="Y16333" s="3"/>
      <c r="Z16333" s="3"/>
      <c r="AA16333" s="3"/>
      <c r="AB16333" s="3"/>
      <c r="AC16333" s="3"/>
      <c r="AD16333" s="3"/>
      <c r="AE16333" s="3"/>
      <c r="AF16333" s="3"/>
      <c r="AG16333" s="3"/>
      <c r="AH16333" s="3"/>
    </row>
    <row r="16334" spans="1:34" ht="15" customHeight="1" x14ac:dyDescent="0.25">
      <c r="A16334" s="3"/>
      <c r="B16334" s="3"/>
      <c r="C16334" s="3"/>
      <c r="D16334" s="3"/>
      <c r="E16334" s="3"/>
      <c r="F16334" s="3"/>
      <c r="G16334" s="3"/>
      <c r="H16334" s="11"/>
      <c r="I16334" s="12"/>
      <c r="J16334" s="3"/>
      <c r="K16334" s="3"/>
      <c r="L16334" s="3"/>
      <c r="M16334" s="3"/>
      <c r="N16334" s="3"/>
      <c r="O16334" s="3"/>
      <c r="P16334" s="3"/>
      <c r="Q16334" s="3"/>
      <c r="R16334" s="3"/>
      <c r="S16334" s="3"/>
      <c r="T16334" s="3"/>
      <c r="U16334" s="3"/>
      <c r="V16334" s="3"/>
      <c r="W16334" s="3"/>
      <c r="X16334" s="3"/>
      <c r="Y16334" s="3"/>
      <c r="Z16334" s="3"/>
      <c r="AA16334" s="3"/>
      <c r="AB16334" s="3"/>
      <c r="AC16334" s="3"/>
      <c r="AD16334" s="3"/>
      <c r="AE16334" s="3"/>
      <c r="AF16334" s="3"/>
      <c r="AG16334" s="3"/>
      <c r="AH16334" s="3"/>
    </row>
    <row r="16335" spans="1:34" ht="15" customHeight="1" x14ac:dyDescent="0.25">
      <c r="A16335" s="3"/>
      <c r="B16335" s="3"/>
      <c r="C16335" s="3"/>
      <c r="D16335" s="3"/>
      <c r="E16335" s="3"/>
      <c r="F16335" s="3"/>
      <c r="G16335" s="3"/>
      <c r="H16335" s="11"/>
      <c r="I16335" s="12"/>
      <c r="J16335" s="3"/>
      <c r="K16335" s="3"/>
      <c r="L16335" s="3"/>
      <c r="M16335" s="3"/>
      <c r="N16335" s="3"/>
      <c r="O16335" s="3"/>
      <c r="P16335" s="3"/>
      <c r="Q16335" s="3"/>
      <c r="R16335" s="3"/>
      <c r="S16335" s="3"/>
      <c r="T16335" s="3"/>
      <c r="U16335" s="3"/>
      <c r="V16335" s="3"/>
      <c r="W16335" s="3"/>
      <c r="X16335" s="3"/>
      <c r="Y16335" s="3"/>
      <c r="Z16335" s="3"/>
      <c r="AA16335" s="3"/>
      <c r="AB16335" s="3"/>
      <c r="AC16335" s="3"/>
      <c r="AD16335" s="3"/>
      <c r="AE16335" s="3"/>
      <c r="AF16335" s="3"/>
      <c r="AG16335" s="3"/>
      <c r="AH16335" s="3"/>
    </row>
    <row r="16336" spans="1:34" ht="15" customHeight="1" x14ac:dyDescent="0.25">
      <c r="A16336" s="3"/>
      <c r="B16336" s="3"/>
      <c r="C16336" s="3"/>
      <c r="D16336" s="3"/>
      <c r="E16336" s="3"/>
      <c r="F16336" s="3"/>
      <c r="G16336" s="3"/>
      <c r="H16336" s="11"/>
      <c r="I16336" s="12"/>
      <c r="J16336" s="3"/>
      <c r="K16336" s="3"/>
      <c r="L16336" s="3"/>
      <c r="M16336" s="3"/>
      <c r="N16336" s="3"/>
      <c r="O16336" s="3"/>
      <c r="P16336" s="3"/>
      <c r="Q16336" s="3"/>
      <c r="R16336" s="3"/>
      <c r="S16336" s="3"/>
      <c r="T16336" s="3"/>
      <c r="U16336" s="3"/>
      <c r="V16336" s="3"/>
      <c r="W16336" s="3"/>
      <c r="X16336" s="3"/>
      <c r="Y16336" s="3"/>
      <c r="Z16336" s="3"/>
      <c r="AA16336" s="3"/>
      <c r="AB16336" s="3"/>
      <c r="AC16336" s="3"/>
      <c r="AD16336" s="3"/>
      <c r="AE16336" s="3"/>
      <c r="AF16336" s="3"/>
      <c r="AG16336" s="3"/>
      <c r="AH16336" s="3"/>
    </row>
    <row r="16337" spans="1:34" ht="15" customHeight="1" x14ac:dyDescent="0.25">
      <c r="A16337" s="3"/>
      <c r="B16337" s="3"/>
      <c r="C16337" s="3"/>
      <c r="D16337" s="3"/>
      <c r="E16337" s="3"/>
      <c r="F16337" s="3"/>
      <c r="G16337" s="3"/>
      <c r="H16337" s="11"/>
      <c r="I16337" s="12"/>
      <c r="J16337" s="3"/>
      <c r="K16337" s="3"/>
      <c r="L16337" s="3"/>
      <c r="M16337" s="3"/>
      <c r="N16337" s="3"/>
      <c r="O16337" s="3"/>
      <c r="P16337" s="3"/>
      <c r="Q16337" s="3"/>
      <c r="R16337" s="3"/>
      <c r="S16337" s="3"/>
      <c r="T16337" s="3"/>
      <c r="U16337" s="3"/>
      <c r="V16337" s="3"/>
      <c r="W16337" s="3"/>
      <c r="X16337" s="3"/>
      <c r="Y16337" s="3"/>
      <c r="Z16337" s="3"/>
      <c r="AA16337" s="3"/>
      <c r="AB16337" s="3"/>
      <c r="AC16337" s="3"/>
      <c r="AD16337" s="3"/>
      <c r="AE16337" s="3"/>
      <c r="AF16337" s="3"/>
      <c r="AG16337" s="3"/>
      <c r="AH16337" s="3"/>
    </row>
    <row r="16338" spans="1:34" ht="15" customHeight="1" x14ac:dyDescent="0.25">
      <c r="A16338" s="3"/>
      <c r="B16338" s="3"/>
      <c r="C16338" s="3"/>
      <c r="D16338" s="3"/>
      <c r="E16338" s="3"/>
      <c r="F16338" s="3"/>
      <c r="G16338" s="3"/>
      <c r="H16338" s="11"/>
      <c r="I16338" s="12"/>
      <c r="J16338" s="3"/>
      <c r="K16338" s="3"/>
      <c r="L16338" s="3"/>
      <c r="M16338" s="3"/>
      <c r="N16338" s="3"/>
      <c r="O16338" s="3"/>
      <c r="P16338" s="3"/>
      <c r="Q16338" s="3"/>
      <c r="R16338" s="3"/>
      <c r="S16338" s="3"/>
      <c r="T16338" s="3"/>
      <c r="U16338" s="3"/>
      <c r="V16338" s="3"/>
      <c r="W16338" s="3"/>
      <c r="X16338" s="3"/>
      <c r="Y16338" s="3"/>
      <c r="Z16338" s="3"/>
      <c r="AA16338" s="3"/>
      <c r="AB16338" s="3"/>
      <c r="AC16338" s="3"/>
      <c r="AD16338" s="3"/>
      <c r="AE16338" s="3"/>
      <c r="AF16338" s="3"/>
      <c r="AG16338" s="3"/>
      <c r="AH16338" s="3"/>
    </row>
    <row r="16339" spans="1:34" ht="15" customHeight="1" x14ac:dyDescent="0.25">
      <c r="A16339" s="3"/>
      <c r="B16339" s="3"/>
      <c r="C16339" s="3"/>
      <c r="D16339" s="3"/>
      <c r="E16339" s="3"/>
      <c r="F16339" s="3"/>
      <c r="G16339" s="3"/>
      <c r="H16339" s="11"/>
      <c r="I16339" s="12"/>
      <c r="J16339" s="3"/>
      <c r="K16339" s="3"/>
      <c r="L16339" s="3"/>
      <c r="M16339" s="3"/>
      <c r="N16339" s="3"/>
      <c r="O16339" s="3"/>
      <c r="P16339" s="3"/>
      <c r="Q16339" s="3"/>
      <c r="R16339" s="3"/>
      <c r="S16339" s="3"/>
      <c r="T16339" s="3"/>
      <c r="U16339" s="3"/>
      <c r="V16339" s="3"/>
      <c r="W16339" s="3"/>
      <c r="X16339" s="3"/>
      <c r="Y16339" s="3"/>
      <c r="Z16339" s="3"/>
      <c r="AA16339" s="3"/>
      <c r="AB16339" s="3"/>
      <c r="AC16339" s="3"/>
      <c r="AD16339" s="3"/>
      <c r="AE16339" s="3"/>
      <c r="AF16339" s="3"/>
      <c r="AG16339" s="3"/>
      <c r="AH16339" s="3"/>
    </row>
    <row r="16340" spans="1:34" ht="15" customHeight="1" x14ac:dyDescent="0.25">
      <c r="A16340" s="3"/>
      <c r="B16340" s="3"/>
      <c r="C16340" s="3"/>
      <c r="D16340" s="3"/>
      <c r="E16340" s="3"/>
      <c r="F16340" s="3"/>
      <c r="G16340" s="3"/>
      <c r="H16340" s="11"/>
      <c r="I16340" s="12"/>
      <c r="J16340" s="3"/>
      <c r="K16340" s="3"/>
      <c r="L16340" s="3"/>
      <c r="M16340" s="3"/>
      <c r="N16340" s="3"/>
      <c r="O16340" s="3"/>
      <c r="P16340" s="3"/>
      <c r="Q16340" s="3"/>
      <c r="R16340" s="3"/>
      <c r="S16340" s="3"/>
      <c r="T16340" s="3"/>
      <c r="U16340" s="3"/>
      <c r="V16340" s="3"/>
      <c r="W16340" s="3"/>
      <c r="X16340" s="3"/>
      <c r="Y16340" s="3"/>
      <c r="Z16340" s="3"/>
      <c r="AA16340" s="3"/>
      <c r="AB16340" s="3"/>
      <c r="AC16340" s="3"/>
      <c r="AD16340" s="3"/>
      <c r="AE16340" s="3"/>
      <c r="AF16340" s="3"/>
      <c r="AG16340" s="3"/>
      <c r="AH16340" s="3"/>
    </row>
    <row r="16341" spans="1:34" ht="15" customHeight="1" x14ac:dyDescent="0.25">
      <c r="A16341" s="3"/>
      <c r="B16341" s="3"/>
      <c r="C16341" s="3"/>
      <c r="D16341" s="3"/>
      <c r="E16341" s="3"/>
      <c r="F16341" s="3"/>
      <c r="G16341" s="3"/>
      <c r="H16341" s="11"/>
      <c r="I16341" s="12"/>
      <c r="J16341" s="3"/>
      <c r="K16341" s="3"/>
      <c r="L16341" s="3"/>
      <c r="M16341" s="3"/>
      <c r="N16341" s="3"/>
      <c r="O16341" s="3"/>
      <c r="P16341" s="3"/>
      <c r="Q16341" s="3"/>
      <c r="R16341" s="3"/>
      <c r="S16341" s="3"/>
      <c r="T16341" s="3"/>
      <c r="U16341" s="3"/>
      <c r="V16341" s="3"/>
      <c r="W16341" s="3"/>
      <c r="X16341" s="3"/>
      <c r="Y16341" s="3"/>
      <c r="Z16341" s="3"/>
      <c r="AA16341" s="3"/>
      <c r="AB16341" s="3"/>
      <c r="AC16341" s="3"/>
      <c r="AD16341" s="3"/>
      <c r="AE16341" s="3"/>
      <c r="AF16341" s="3"/>
      <c r="AG16341" s="3"/>
      <c r="AH16341" s="3"/>
    </row>
    <row r="16342" spans="1:34" ht="15" customHeight="1" x14ac:dyDescent="0.25">
      <c r="A16342" s="3"/>
      <c r="B16342" s="3"/>
      <c r="C16342" s="3"/>
      <c r="D16342" s="3"/>
      <c r="E16342" s="3"/>
      <c r="F16342" s="3"/>
      <c r="G16342" s="3"/>
      <c r="H16342" s="11"/>
      <c r="I16342" s="12"/>
      <c r="J16342" s="3"/>
      <c r="K16342" s="3"/>
      <c r="L16342" s="3"/>
      <c r="M16342" s="3"/>
      <c r="N16342" s="3"/>
      <c r="O16342" s="3"/>
      <c r="P16342" s="3"/>
      <c r="Q16342" s="3"/>
      <c r="R16342" s="3"/>
      <c r="S16342" s="3"/>
      <c r="T16342" s="3"/>
      <c r="U16342" s="3"/>
      <c r="V16342" s="3"/>
      <c r="W16342" s="3"/>
      <c r="X16342" s="3"/>
      <c r="Y16342" s="3"/>
      <c r="Z16342" s="3"/>
      <c r="AA16342" s="3"/>
      <c r="AB16342" s="3"/>
      <c r="AC16342" s="3"/>
      <c r="AD16342" s="3"/>
      <c r="AE16342" s="3"/>
      <c r="AF16342" s="3"/>
      <c r="AG16342" s="3"/>
      <c r="AH16342" s="3"/>
    </row>
    <row r="16343" spans="1:34" ht="15" customHeight="1" x14ac:dyDescent="0.25">
      <c r="A16343" s="3"/>
      <c r="B16343" s="3"/>
      <c r="C16343" s="3"/>
      <c r="D16343" s="3"/>
      <c r="E16343" s="3"/>
      <c r="F16343" s="3"/>
      <c r="G16343" s="3"/>
      <c r="H16343" s="11"/>
      <c r="I16343" s="12"/>
      <c r="J16343" s="3"/>
      <c r="K16343" s="3"/>
      <c r="L16343" s="3"/>
      <c r="M16343" s="3"/>
      <c r="N16343" s="3"/>
      <c r="O16343" s="3"/>
      <c r="P16343" s="3"/>
      <c r="Q16343" s="3"/>
      <c r="R16343" s="3"/>
      <c r="S16343" s="3"/>
      <c r="T16343" s="3"/>
      <c r="U16343" s="3"/>
      <c r="V16343" s="3"/>
      <c r="W16343" s="3"/>
      <c r="X16343" s="3"/>
      <c r="Y16343" s="3"/>
      <c r="Z16343" s="3"/>
      <c r="AA16343" s="3"/>
      <c r="AB16343" s="3"/>
      <c r="AC16343" s="3"/>
      <c r="AD16343" s="3"/>
      <c r="AE16343" s="3"/>
      <c r="AF16343" s="3"/>
      <c r="AG16343" s="3"/>
      <c r="AH16343" s="3"/>
    </row>
    <row r="16344" spans="1:34" ht="15" customHeight="1" x14ac:dyDescent="0.25">
      <c r="A16344" s="3"/>
      <c r="B16344" s="3"/>
      <c r="C16344" s="3"/>
      <c r="D16344" s="3"/>
      <c r="E16344" s="3"/>
      <c r="F16344" s="3"/>
      <c r="G16344" s="3"/>
      <c r="H16344" s="11"/>
      <c r="I16344" s="12"/>
      <c r="J16344" s="3"/>
      <c r="K16344" s="3"/>
      <c r="L16344" s="3"/>
      <c r="M16344" s="3"/>
      <c r="N16344" s="3"/>
      <c r="O16344" s="3"/>
      <c r="P16344" s="3"/>
      <c r="Q16344" s="3"/>
      <c r="R16344" s="3"/>
      <c r="S16344" s="3"/>
      <c r="T16344" s="3"/>
      <c r="U16344" s="3"/>
      <c r="V16344" s="3"/>
      <c r="W16344" s="3"/>
      <c r="X16344" s="3"/>
      <c r="Y16344" s="3"/>
      <c r="Z16344" s="3"/>
      <c r="AA16344" s="3"/>
      <c r="AB16344" s="3"/>
      <c r="AC16344" s="3"/>
      <c r="AD16344" s="3"/>
      <c r="AE16344" s="3"/>
      <c r="AF16344" s="3"/>
      <c r="AG16344" s="3"/>
      <c r="AH16344" s="3"/>
    </row>
    <row r="16345" spans="1:34" ht="15" customHeight="1" x14ac:dyDescent="0.25">
      <c r="A16345" s="3"/>
      <c r="B16345" s="3"/>
      <c r="C16345" s="3"/>
      <c r="D16345" s="3"/>
      <c r="E16345" s="3"/>
      <c r="F16345" s="3"/>
      <c r="G16345" s="3"/>
      <c r="H16345" s="11"/>
      <c r="I16345" s="12"/>
      <c r="J16345" s="3"/>
      <c r="K16345" s="3"/>
      <c r="L16345" s="3"/>
      <c r="M16345" s="3"/>
      <c r="N16345" s="3"/>
      <c r="O16345" s="3"/>
      <c r="P16345" s="3"/>
      <c r="Q16345" s="3"/>
      <c r="R16345" s="3"/>
      <c r="S16345" s="3"/>
      <c r="T16345" s="3"/>
      <c r="U16345" s="3"/>
      <c r="V16345" s="3"/>
      <c r="W16345" s="3"/>
      <c r="X16345" s="3"/>
      <c r="Y16345" s="3"/>
      <c r="Z16345" s="3"/>
      <c r="AA16345" s="3"/>
      <c r="AB16345" s="3"/>
      <c r="AC16345" s="3"/>
      <c r="AD16345" s="3"/>
      <c r="AE16345" s="3"/>
      <c r="AF16345" s="3"/>
      <c r="AG16345" s="3"/>
      <c r="AH16345" s="3"/>
    </row>
    <row r="16346" spans="1:34" ht="15" customHeight="1" x14ac:dyDescent="0.25">
      <c r="A16346" s="3"/>
      <c r="B16346" s="3"/>
      <c r="C16346" s="3"/>
      <c r="D16346" s="3"/>
      <c r="E16346" s="3"/>
      <c r="F16346" s="3"/>
      <c r="G16346" s="3"/>
      <c r="H16346" s="11"/>
      <c r="I16346" s="12"/>
      <c r="J16346" s="3"/>
      <c r="K16346" s="3"/>
      <c r="L16346" s="3"/>
      <c r="M16346" s="3"/>
      <c r="N16346" s="3"/>
      <c r="O16346" s="3"/>
      <c r="P16346" s="3"/>
      <c r="Q16346" s="3"/>
      <c r="R16346" s="3"/>
      <c r="S16346" s="3"/>
      <c r="T16346" s="3"/>
      <c r="U16346" s="3"/>
      <c r="V16346" s="3"/>
      <c r="W16346" s="3"/>
      <c r="X16346" s="3"/>
      <c r="Y16346" s="3"/>
      <c r="Z16346" s="3"/>
      <c r="AA16346" s="3"/>
      <c r="AB16346" s="3"/>
      <c r="AC16346" s="3"/>
      <c r="AD16346" s="3"/>
      <c r="AE16346" s="3"/>
      <c r="AF16346" s="3"/>
      <c r="AG16346" s="3"/>
      <c r="AH16346" s="3"/>
    </row>
    <row r="16347" spans="1:34" ht="15" customHeight="1" x14ac:dyDescent="0.25">
      <c r="A16347" s="3"/>
      <c r="B16347" s="3"/>
      <c r="C16347" s="3"/>
      <c r="D16347" s="3"/>
      <c r="E16347" s="3"/>
      <c r="F16347" s="3"/>
      <c r="G16347" s="3"/>
      <c r="H16347" s="11"/>
      <c r="I16347" s="12"/>
      <c r="J16347" s="3"/>
      <c r="K16347" s="3"/>
      <c r="L16347" s="3"/>
      <c r="M16347" s="3"/>
      <c r="N16347" s="3"/>
      <c r="O16347" s="3"/>
      <c r="P16347" s="3"/>
      <c r="Q16347" s="3"/>
      <c r="R16347" s="3"/>
      <c r="S16347" s="3"/>
      <c r="T16347" s="3"/>
      <c r="U16347" s="3"/>
      <c r="V16347" s="3"/>
      <c r="W16347" s="3"/>
      <c r="X16347" s="3"/>
      <c r="Y16347" s="3"/>
      <c r="Z16347" s="3"/>
      <c r="AA16347" s="3"/>
      <c r="AB16347" s="3"/>
      <c r="AC16347" s="3"/>
      <c r="AD16347" s="3"/>
      <c r="AE16347" s="3"/>
      <c r="AF16347" s="3"/>
      <c r="AG16347" s="3"/>
      <c r="AH16347" s="3"/>
    </row>
    <row r="16348" spans="1:34" ht="15" customHeight="1" x14ac:dyDescent="0.25">
      <c r="A16348" s="3"/>
      <c r="B16348" s="3"/>
      <c r="C16348" s="3"/>
      <c r="D16348" s="3"/>
      <c r="E16348" s="3"/>
      <c r="F16348" s="3"/>
      <c r="G16348" s="3"/>
      <c r="H16348" s="11"/>
      <c r="I16348" s="12"/>
      <c r="J16348" s="3"/>
      <c r="K16348" s="3"/>
      <c r="L16348" s="3"/>
      <c r="M16348" s="3"/>
      <c r="N16348" s="3"/>
      <c r="O16348" s="3"/>
      <c r="P16348" s="3"/>
      <c r="Q16348" s="3"/>
      <c r="R16348" s="3"/>
      <c r="S16348" s="3"/>
      <c r="T16348" s="3"/>
      <c r="U16348" s="3"/>
      <c r="V16348" s="3"/>
      <c r="W16348" s="3"/>
      <c r="X16348" s="3"/>
      <c r="Y16348" s="3"/>
      <c r="Z16348" s="3"/>
      <c r="AA16348" s="3"/>
      <c r="AB16348" s="3"/>
      <c r="AC16348" s="3"/>
      <c r="AD16348" s="3"/>
      <c r="AE16348" s="3"/>
      <c r="AF16348" s="3"/>
      <c r="AG16348" s="3"/>
      <c r="AH16348" s="3"/>
    </row>
    <row r="16349" spans="1:34" ht="15" customHeight="1" x14ac:dyDescent="0.25">
      <c r="A16349" s="3"/>
      <c r="B16349" s="3"/>
      <c r="C16349" s="3"/>
      <c r="D16349" s="3"/>
      <c r="E16349" s="3"/>
      <c r="F16349" s="3"/>
      <c r="G16349" s="3"/>
      <c r="H16349" s="11"/>
      <c r="I16349" s="12"/>
      <c r="J16349" s="3"/>
      <c r="K16349" s="3"/>
      <c r="L16349" s="3"/>
      <c r="M16349" s="3"/>
      <c r="N16349" s="3"/>
      <c r="O16349" s="3"/>
      <c r="P16349" s="3"/>
      <c r="Q16349" s="3"/>
      <c r="R16349" s="3"/>
      <c r="S16349" s="3"/>
      <c r="T16349" s="3"/>
      <c r="U16349" s="3"/>
      <c r="V16349" s="3"/>
      <c r="W16349" s="3"/>
      <c r="X16349" s="3"/>
      <c r="Y16349" s="3"/>
      <c r="Z16349" s="3"/>
      <c r="AA16349" s="3"/>
      <c r="AB16349" s="3"/>
      <c r="AC16349" s="3"/>
      <c r="AD16349" s="3"/>
      <c r="AE16349" s="3"/>
      <c r="AF16349" s="3"/>
      <c r="AG16349" s="3"/>
      <c r="AH16349" s="3"/>
    </row>
    <row r="16350" spans="1:34" ht="15" customHeight="1" x14ac:dyDescent="0.25">
      <c r="A16350" s="3"/>
      <c r="B16350" s="3"/>
      <c r="C16350" s="3"/>
      <c r="D16350" s="3"/>
      <c r="E16350" s="3"/>
      <c r="F16350" s="3"/>
      <c r="G16350" s="3"/>
      <c r="H16350" s="11"/>
      <c r="I16350" s="12"/>
      <c r="J16350" s="3"/>
      <c r="K16350" s="3"/>
      <c r="L16350" s="3"/>
      <c r="M16350" s="3"/>
      <c r="N16350" s="3"/>
      <c r="O16350" s="3"/>
      <c r="P16350" s="3"/>
      <c r="Q16350" s="3"/>
      <c r="R16350" s="3"/>
      <c r="S16350" s="3"/>
      <c r="T16350" s="3"/>
      <c r="U16350" s="3"/>
      <c r="V16350" s="3"/>
      <c r="W16350" s="3"/>
      <c r="X16350" s="3"/>
      <c r="Y16350" s="3"/>
      <c r="Z16350" s="3"/>
      <c r="AA16350" s="3"/>
      <c r="AB16350" s="3"/>
      <c r="AC16350" s="3"/>
      <c r="AD16350" s="3"/>
      <c r="AE16350" s="3"/>
      <c r="AF16350" s="3"/>
      <c r="AG16350" s="3"/>
      <c r="AH16350" s="3"/>
    </row>
    <row r="16351" spans="1:34" ht="15" customHeight="1" x14ac:dyDescent="0.25">
      <c r="A16351" s="3"/>
      <c r="B16351" s="3"/>
      <c r="C16351" s="3"/>
      <c r="D16351" s="3"/>
      <c r="E16351" s="3"/>
      <c r="F16351" s="3"/>
      <c r="G16351" s="3"/>
      <c r="H16351" s="11"/>
      <c r="I16351" s="12"/>
      <c r="J16351" s="3"/>
      <c r="K16351" s="3"/>
      <c r="L16351" s="3"/>
      <c r="M16351" s="3"/>
      <c r="N16351" s="3"/>
      <c r="O16351" s="3"/>
      <c r="P16351" s="3"/>
      <c r="Q16351" s="3"/>
      <c r="R16351" s="3"/>
      <c r="S16351" s="3"/>
      <c r="T16351" s="3"/>
      <c r="U16351" s="3"/>
      <c r="V16351" s="3"/>
      <c r="W16351" s="3"/>
      <c r="X16351" s="3"/>
      <c r="Y16351" s="3"/>
      <c r="Z16351" s="3"/>
      <c r="AA16351" s="3"/>
      <c r="AB16351" s="3"/>
      <c r="AC16351" s="3"/>
      <c r="AD16351" s="3"/>
      <c r="AE16351" s="3"/>
      <c r="AF16351" s="3"/>
      <c r="AG16351" s="3"/>
      <c r="AH16351" s="3"/>
    </row>
    <row r="16352" spans="1:34" ht="15" customHeight="1" x14ac:dyDescent="0.25">
      <c r="A16352" s="3"/>
      <c r="B16352" s="3"/>
      <c r="C16352" s="3"/>
      <c r="D16352" s="3"/>
      <c r="E16352" s="3"/>
      <c r="F16352" s="3"/>
      <c r="G16352" s="3"/>
      <c r="H16352" s="11"/>
      <c r="I16352" s="12"/>
      <c r="J16352" s="3"/>
      <c r="K16352" s="3"/>
      <c r="L16352" s="3"/>
      <c r="M16352" s="3"/>
      <c r="N16352" s="3"/>
      <c r="O16352" s="3"/>
      <c r="P16352" s="3"/>
      <c r="Q16352" s="3"/>
      <c r="R16352" s="3"/>
      <c r="S16352" s="3"/>
      <c r="T16352" s="3"/>
      <c r="U16352" s="3"/>
      <c r="V16352" s="3"/>
      <c r="W16352" s="3"/>
      <c r="X16352" s="3"/>
      <c r="Y16352" s="3"/>
      <c r="Z16352" s="3"/>
      <c r="AA16352" s="3"/>
      <c r="AB16352" s="3"/>
      <c r="AC16352" s="3"/>
      <c r="AD16352" s="3"/>
      <c r="AE16352" s="3"/>
      <c r="AF16352" s="3"/>
      <c r="AG16352" s="3"/>
      <c r="AH16352" s="3"/>
    </row>
    <row r="16353" spans="1:34" ht="15" customHeight="1" x14ac:dyDescent="0.25">
      <c r="A16353" s="3"/>
      <c r="B16353" s="3"/>
      <c r="C16353" s="3"/>
      <c r="D16353" s="3"/>
      <c r="E16353" s="3"/>
      <c r="F16353" s="3"/>
      <c r="G16353" s="3"/>
      <c r="H16353" s="11"/>
      <c r="I16353" s="12"/>
      <c r="J16353" s="3"/>
      <c r="K16353" s="3"/>
      <c r="L16353" s="3"/>
      <c r="M16353" s="3"/>
      <c r="N16353" s="3"/>
      <c r="O16353" s="3"/>
      <c r="P16353" s="3"/>
      <c r="Q16353" s="3"/>
      <c r="R16353" s="3"/>
      <c r="S16353" s="3"/>
      <c r="T16353" s="3"/>
      <c r="U16353" s="3"/>
      <c r="V16353" s="3"/>
      <c r="W16353" s="3"/>
      <c r="X16353" s="3"/>
      <c r="Y16353" s="3"/>
      <c r="Z16353" s="3"/>
      <c r="AA16353" s="3"/>
      <c r="AB16353" s="3"/>
      <c r="AC16353" s="3"/>
      <c r="AD16353" s="3"/>
      <c r="AE16353" s="3"/>
      <c r="AF16353" s="3"/>
      <c r="AG16353" s="3"/>
      <c r="AH16353" s="3"/>
    </row>
    <row r="16354" spans="1:34" ht="15" customHeight="1" x14ac:dyDescent="0.25">
      <c r="A16354" s="3"/>
      <c r="B16354" s="3"/>
      <c r="C16354" s="3"/>
      <c r="D16354" s="3"/>
      <c r="E16354" s="3"/>
      <c r="F16354" s="3"/>
      <c r="G16354" s="3"/>
      <c r="H16354" s="11"/>
      <c r="I16354" s="12"/>
      <c r="J16354" s="3"/>
      <c r="K16354" s="3"/>
      <c r="L16354" s="3"/>
      <c r="M16354" s="3"/>
      <c r="N16354" s="3"/>
      <c r="O16354" s="3"/>
      <c r="P16354" s="3"/>
      <c r="Q16354" s="3"/>
      <c r="R16354" s="3"/>
      <c r="S16354" s="3"/>
      <c r="T16354" s="3"/>
      <c r="U16354" s="3"/>
      <c r="V16354" s="3"/>
      <c r="W16354" s="3"/>
      <c r="X16354" s="3"/>
      <c r="Y16354" s="3"/>
      <c r="Z16354" s="3"/>
      <c r="AA16354" s="3"/>
      <c r="AB16354" s="3"/>
      <c r="AC16354" s="3"/>
      <c r="AD16354" s="3"/>
      <c r="AE16354" s="3"/>
      <c r="AF16354" s="3"/>
      <c r="AG16354" s="3"/>
      <c r="AH16354" s="3"/>
    </row>
    <row r="16355" spans="1:34" ht="15" customHeight="1" x14ac:dyDescent="0.25">
      <c r="A16355" s="3"/>
      <c r="B16355" s="3"/>
      <c r="C16355" s="3"/>
      <c r="D16355" s="3"/>
      <c r="E16355" s="3"/>
      <c r="F16355" s="3"/>
      <c r="G16355" s="3"/>
      <c r="H16355" s="11"/>
      <c r="I16355" s="12"/>
      <c r="J16355" s="3"/>
      <c r="K16355" s="3"/>
      <c r="L16355" s="3"/>
      <c r="M16355" s="3"/>
      <c r="N16355" s="3"/>
      <c r="O16355" s="3"/>
      <c r="P16355" s="3"/>
      <c r="Q16355" s="3"/>
      <c r="R16355" s="3"/>
      <c r="S16355" s="3"/>
      <c r="T16355" s="3"/>
      <c r="U16355" s="3"/>
      <c r="V16355" s="3"/>
      <c r="W16355" s="3"/>
      <c r="X16355" s="3"/>
      <c r="Y16355" s="3"/>
      <c r="Z16355" s="3"/>
      <c r="AA16355" s="3"/>
      <c r="AB16355" s="3"/>
      <c r="AC16355" s="3"/>
      <c r="AD16355" s="3"/>
      <c r="AE16355" s="3"/>
      <c r="AF16355" s="3"/>
      <c r="AG16355" s="3"/>
      <c r="AH16355" s="3"/>
    </row>
    <row r="16356" spans="1:34" ht="15" customHeight="1" x14ac:dyDescent="0.25">
      <c r="A16356" s="3"/>
      <c r="B16356" s="3"/>
      <c r="C16356" s="3"/>
      <c r="D16356" s="3"/>
      <c r="E16356" s="3"/>
      <c r="F16356" s="3"/>
      <c r="G16356" s="3"/>
      <c r="H16356" s="11"/>
      <c r="I16356" s="12"/>
      <c r="J16356" s="3"/>
      <c r="K16356" s="3"/>
      <c r="L16356" s="3"/>
      <c r="M16356" s="3"/>
      <c r="N16356" s="3"/>
      <c r="O16356" s="3"/>
      <c r="P16356" s="3"/>
      <c r="Q16356" s="3"/>
      <c r="R16356" s="3"/>
      <c r="S16356" s="3"/>
      <c r="T16356" s="3"/>
      <c r="U16356" s="3"/>
      <c r="V16356" s="3"/>
      <c r="W16356" s="3"/>
      <c r="X16356" s="3"/>
      <c r="Y16356" s="3"/>
      <c r="Z16356" s="3"/>
      <c r="AA16356" s="3"/>
      <c r="AB16356" s="3"/>
      <c r="AC16356" s="3"/>
      <c r="AD16356" s="3"/>
      <c r="AE16356" s="3"/>
      <c r="AF16356" s="3"/>
      <c r="AG16356" s="3"/>
      <c r="AH16356" s="3"/>
    </row>
    <row r="16357" spans="1:34" ht="15" customHeight="1" x14ac:dyDescent="0.25">
      <c r="A16357" s="3"/>
      <c r="B16357" s="3"/>
      <c r="C16357" s="3"/>
      <c r="D16357" s="3"/>
      <c r="E16357" s="3"/>
      <c r="F16357" s="3"/>
      <c r="G16357" s="3"/>
      <c r="H16357" s="11"/>
      <c r="I16357" s="12"/>
      <c r="J16357" s="3"/>
      <c r="K16357" s="3"/>
      <c r="L16357" s="3"/>
      <c r="M16357" s="3"/>
      <c r="N16357" s="3"/>
      <c r="O16357" s="3"/>
      <c r="P16357" s="3"/>
      <c r="Q16357" s="3"/>
      <c r="R16357" s="3"/>
      <c r="S16357" s="3"/>
      <c r="T16357" s="3"/>
      <c r="U16357" s="3"/>
      <c r="V16357" s="3"/>
      <c r="W16357" s="3"/>
      <c r="X16357" s="3"/>
      <c r="Y16357" s="3"/>
      <c r="Z16357" s="3"/>
      <c r="AA16357" s="3"/>
      <c r="AB16357" s="3"/>
      <c r="AC16357" s="3"/>
      <c r="AD16357" s="3"/>
      <c r="AE16357" s="3"/>
      <c r="AF16357" s="3"/>
      <c r="AG16357" s="3"/>
      <c r="AH16357" s="3"/>
    </row>
    <row r="16358" spans="1:34" ht="15" customHeight="1" x14ac:dyDescent="0.25">
      <c r="A16358" s="3"/>
      <c r="B16358" s="3"/>
      <c r="C16358" s="3"/>
      <c r="D16358" s="3"/>
      <c r="E16358" s="3"/>
      <c r="F16358" s="3"/>
      <c r="G16358" s="3"/>
      <c r="H16358" s="11"/>
      <c r="I16358" s="12"/>
      <c r="J16358" s="3"/>
      <c r="K16358" s="3"/>
      <c r="L16358" s="3"/>
      <c r="M16358" s="3"/>
      <c r="N16358" s="3"/>
      <c r="O16358" s="3"/>
      <c r="P16358" s="3"/>
      <c r="Q16358" s="3"/>
      <c r="R16358" s="3"/>
      <c r="S16358" s="3"/>
      <c r="T16358" s="3"/>
      <c r="U16358" s="3"/>
      <c r="V16358" s="3"/>
      <c r="W16358" s="3"/>
      <c r="X16358" s="3"/>
      <c r="Y16358" s="3"/>
      <c r="Z16358" s="3"/>
      <c r="AA16358" s="3"/>
      <c r="AB16358" s="3"/>
      <c r="AC16358" s="3"/>
      <c r="AD16358" s="3"/>
      <c r="AE16358" s="3"/>
      <c r="AF16358" s="3"/>
      <c r="AG16358" s="3"/>
      <c r="AH16358" s="3"/>
    </row>
    <row r="16359" spans="1:34" ht="15" customHeight="1" x14ac:dyDescent="0.25">
      <c r="A16359" s="3"/>
      <c r="B16359" s="3"/>
      <c r="C16359" s="3"/>
      <c r="D16359" s="3"/>
      <c r="E16359" s="3"/>
      <c r="F16359" s="3"/>
      <c r="G16359" s="3"/>
      <c r="H16359" s="11"/>
      <c r="I16359" s="12"/>
      <c r="J16359" s="3"/>
      <c r="K16359" s="3"/>
      <c r="L16359" s="3"/>
      <c r="M16359" s="3"/>
      <c r="N16359" s="3"/>
      <c r="O16359" s="3"/>
      <c r="P16359" s="3"/>
      <c r="Q16359" s="3"/>
      <c r="R16359" s="3"/>
      <c r="S16359" s="3"/>
      <c r="T16359" s="3"/>
      <c r="U16359" s="3"/>
      <c r="V16359" s="3"/>
      <c r="W16359" s="3"/>
      <c r="X16359" s="3"/>
      <c r="Y16359" s="3"/>
      <c r="Z16359" s="3"/>
      <c r="AA16359" s="3"/>
      <c r="AB16359" s="3"/>
      <c r="AC16359" s="3"/>
      <c r="AD16359" s="3"/>
      <c r="AE16359" s="3"/>
      <c r="AF16359" s="3"/>
      <c r="AG16359" s="3"/>
      <c r="AH16359" s="3"/>
    </row>
    <row r="16360" spans="1:34" ht="15" customHeight="1" x14ac:dyDescent="0.25">
      <c r="A16360" s="3"/>
      <c r="B16360" s="3"/>
      <c r="C16360" s="3"/>
      <c r="D16360" s="3"/>
      <c r="E16360" s="3"/>
      <c r="F16360" s="3"/>
      <c r="G16360" s="3"/>
      <c r="H16360" s="11"/>
      <c r="I16360" s="12"/>
      <c r="J16360" s="3"/>
      <c r="K16360" s="3"/>
      <c r="L16360" s="3"/>
      <c r="M16360" s="3"/>
      <c r="N16360" s="3"/>
      <c r="O16360" s="3"/>
      <c r="P16360" s="3"/>
      <c r="Q16360" s="3"/>
      <c r="R16360" s="3"/>
      <c r="S16360" s="3"/>
      <c r="T16360" s="3"/>
      <c r="U16360" s="3"/>
      <c r="V16360" s="3"/>
      <c r="W16360" s="3"/>
      <c r="X16360" s="3"/>
      <c r="Y16360" s="3"/>
      <c r="Z16360" s="3"/>
      <c r="AA16360" s="3"/>
      <c r="AB16360" s="3"/>
      <c r="AC16360" s="3"/>
      <c r="AD16360" s="3"/>
      <c r="AE16360" s="3"/>
      <c r="AF16360" s="3"/>
      <c r="AG16360" s="3"/>
      <c r="AH16360" s="3"/>
    </row>
    <row r="16361" spans="1:34" ht="15" customHeight="1" x14ac:dyDescent="0.25">
      <c r="A16361" s="3"/>
      <c r="B16361" s="3"/>
      <c r="C16361" s="3"/>
      <c r="D16361" s="3"/>
      <c r="E16361" s="3"/>
      <c r="F16361" s="3"/>
      <c r="G16361" s="3"/>
      <c r="H16361" s="11"/>
      <c r="I16361" s="12"/>
      <c r="J16361" s="3"/>
      <c r="K16361" s="3"/>
      <c r="L16361" s="3"/>
      <c r="M16361" s="3"/>
      <c r="N16361" s="3"/>
      <c r="O16361" s="3"/>
      <c r="P16361" s="3"/>
      <c r="Q16361" s="3"/>
      <c r="R16361" s="3"/>
      <c r="S16361" s="3"/>
      <c r="T16361" s="3"/>
      <c r="U16361" s="3"/>
      <c r="V16361" s="3"/>
      <c r="W16361" s="3"/>
      <c r="X16361" s="3"/>
      <c r="Y16361" s="3"/>
      <c r="Z16361" s="3"/>
      <c r="AA16361" s="3"/>
      <c r="AB16361" s="3"/>
      <c r="AC16361" s="3"/>
      <c r="AD16361" s="3"/>
      <c r="AE16361" s="3"/>
      <c r="AF16361" s="3"/>
      <c r="AG16361" s="3"/>
      <c r="AH16361" s="3"/>
    </row>
    <row r="16362" spans="1:34" ht="15" customHeight="1" x14ac:dyDescent="0.25">
      <c r="A16362" s="3"/>
      <c r="B16362" s="3"/>
      <c r="C16362" s="3"/>
      <c r="D16362" s="3"/>
      <c r="E16362" s="3"/>
      <c r="F16362" s="3"/>
      <c r="G16362" s="3"/>
      <c r="H16362" s="11"/>
      <c r="I16362" s="12"/>
      <c r="J16362" s="3"/>
      <c r="K16362" s="3"/>
      <c r="L16362" s="3"/>
      <c r="M16362" s="3"/>
      <c r="N16362" s="3"/>
      <c r="O16362" s="3"/>
      <c r="P16362" s="3"/>
      <c r="Q16362" s="3"/>
      <c r="R16362" s="3"/>
      <c r="S16362" s="3"/>
      <c r="T16362" s="3"/>
      <c r="U16362" s="3"/>
      <c r="V16362" s="3"/>
      <c r="W16362" s="3"/>
      <c r="X16362" s="3"/>
      <c r="Y16362" s="3"/>
      <c r="Z16362" s="3"/>
      <c r="AA16362" s="3"/>
      <c r="AB16362" s="3"/>
      <c r="AC16362" s="3"/>
      <c r="AD16362" s="3"/>
      <c r="AE16362" s="3"/>
      <c r="AF16362" s="3"/>
      <c r="AG16362" s="3"/>
      <c r="AH16362" s="3"/>
    </row>
    <row r="16363" spans="1:34" ht="15" customHeight="1" x14ac:dyDescent="0.25">
      <c r="A16363" s="3"/>
      <c r="B16363" s="3"/>
      <c r="C16363" s="3"/>
      <c r="D16363" s="3"/>
      <c r="E16363" s="3"/>
      <c r="F16363" s="3"/>
      <c r="G16363" s="3"/>
      <c r="H16363" s="11"/>
      <c r="I16363" s="12"/>
      <c r="J16363" s="3"/>
      <c r="K16363" s="3"/>
      <c r="L16363" s="3"/>
      <c r="M16363" s="3"/>
      <c r="N16363" s="3"/>
      <c r="O16363" s="3"/>
      <c r="P16363" s="3"/>
      <c r="Q16363" s="3"/>
      <c r="R16363" s="3"/>
      <c r="S16363" s="3"/>
      <c r="T16363" s="3"/>
      <c r="U16363" s="3"/>
      <c r="V16363" s="3"/>
      <c r="W16363" s="3"/>
      <c r="X16363" s="3"/>
      <c r="Y16363" s="3"/>
      <c r="Z16363" s="3"/>
      <c r="AA16363" s="3"/>
      <c r="AB16363" s="3"/>
      <c r="AC16363" s="3"/>
      <c r="AD16363" s="3"/>
      <c r="AE16363" s="3"/>
      <c r="AF16363" s="3"/>
      <c r="AG16363" s="3"/>
      <c r="AH16363" s="3"/>
    </row>
    <row r="16364" spans="1:34" ht="15" customHeight="1" x14ac:dyDescent="0.25">
      <c r="A16364" s="3"/>
      <c r="B16364" s="3"/>
      <c r="C16364" s="3"/>
      <c r="D16364" s="3"/>
      <c r="E16364" s="3"/>
      <c r="F16364" s="3"/>
      <c r="G16364" s="3"/>
      <c r="H16364" s="11"/>
      <c r="I16364" s="12"/>
      <c r="J16364" s="3"/>
      <c r="K16364" s="3"/>
      <c r="L16364" s="3"/>
      <c r="M16364" s="3"/>
      <c r="N16364" s="3"/>
      <c r="O16364" s="3"/>
      <c r="P16364" s="3"/>
      <c r="Q16364" s="3"/>
      <c r="R16364" s="3"/>
      <c r="S16364" s="3"/>
      <c r="T16364" s="3"/>
      <c r="U16364" s="3"/>
      <c r="V16364" s="3"/>
      <c r="W16364" s="3"/>
      <c r="X16364" s="3"/>
      <c r="Y16364" s="3"/>
      <c r="Z16364" s="3"/>
      <c r="AA16364" s="3"/>
      <c r="AB16364" s="3"/>
      <c r="AC16364" s="3"/>
      <c r="AD16364" s="3"/>
      <c r="AE16364" s="3"/>
      <c r="AF16364" s="3"/>
      <c r="AG16364" s="3"/>
      <c r="AH16364" s="3"/>
    </row>
    <row r="16365" spans="1:34" ht="15" customHeight="1" x14ac:dyDescent="0.25">
      <c r="A16365" s="3"/>
      <c r="B16365" s="3"/>
      <c r="C16365" s="3"/>
      <c r="D16365" s="3"/>
      <c r="E16365" s="3"/>
      <c r="F16365" s="3"/>
      <c r="G16365" s="3"/>
      <c r="H16365" s="11"/>
      <c r="I16365" s="12"/>
      <c r="J16365" s="3"/>
      <c r="K16365" s="3"/>
      <c r="L16365" s="3"/>
      <c r="M16365" s="3"/>
      <c r="N16365" s="3"/>
      <c r="O16365" s="3"/>
      <c r="P16365" s="3"/>
      <c r="Q16365" s="3"/>
      <c r="R16365" s="3"/>
      <c r="S16365" s="3"/>
      <c r="T16365" s="3"/>
      <c r="U16365" s="3"/>
      <c r="V16365" s="3"/>
      <c r="W16365" s="3"/>
      <c r="X16365" s="3"/>
      <c r="Y16365" s="3"/>
      <c r="Z16365" s="3"/>
      <c r="AA16365" s="3"/>
      <c r="AB16365" s="3"/>
      <c r="AC16365" s="3"/>
      <c r="AD16365" s="3"/>
      <c r="AE16365" s="3"/>
      <c r="AF16365" s="3"/>
      <c r="AG16365" s="3"/>
      <c r="AH16365" s="3"/>
    </row>
    <row r="16366" spans="1:34" ht="15" customHeight="1" x14ac:dyDescent="0.25">
      <c r="A16366" s="3"/>
      <c r="B16366" s="3"/>
      <c r="C16366" s="3"/>
      <c r="D16366" s="3"/>
      <c r="E16366" s="3"/>
      <c r="F16366" s="3"/>
      <c r="G16366" s="3"/>
      <c r="H16366" s="11"/>
      <c r="I16366" s="12"/>
      <c r="J16366" s="3"/>
      <c r="K16366" s="3"/>
      <c r="L16366" s="3"/>
      <c r="M16366" s="3"/>
      <c r="N16366" s="3"/>
      <c r="O16366" s="3"/>
      <c r="P16366" s="3"/>
      <c r="Q16366" s="3"/>
      <c r="R16366" s="3"/>
      <c r="S16366" s="3"/>
      <c r="T16366" s="3"/>
      <c r="U16366" s="3"/>
      <c r="V16366" s="3"/>
      <c r="W16366" s="3"/>
      <c r="X16366" s="3"/>
      <c r="Y16366" s="3"/>
      <c r="Z16366" s="3"/>
      <c r="AA16366" s="3"/>
      <c r="AB16366" s="3"/>
      <c r="AC16366" s="3"/>
      <c r="AD16366" s="3"/>
      <c r="AE16366" s="3"/>
      <c r="AF16366" s="3"/>
      <c r="AG16366" s="3"/>
      <c r="AH16366" s="3"/>
    </row>
    <row r="16367" spans="1:34" ht="15" customHeight="1" x14ac:dyDescent="0.25">
      <c r="A16367" s="3"/>
      <c r="B16367" s="3"/>
      <c r="C16367" s="3"/>
      <c r="D16367" s="3"/>
      <c r="E16367" s="3"/>
      <c r="F16367" s="3"/>
      <c r="G16367" s="3"/>
      <c r="H16367" s="11"/>
      <c r="I16367" s="12"/>
      <c r="J16367" s="3"/>
      <c r="K16367" s="3"/>
      <c r="L16367" s="3"/>
      <c r="M16367" s="3"/>
      <c r="N16367" s="3"/>
      <c r="O16367" s="3"/>
      <c r="P16367" s="3"/>
      <c r="Q16367" s="3"/>
      <c r="R16367" s="3"/>
      <c r="S16367" s="3"/>
      <c r="T16367" s="3"/>
      <c r="U16367" s="3"/>
      <c r="V16367" s="3"/>
      <c r="W16367" s="3"/>
      <c r="X16367" s="3"/>
      <c r="Y16367" s="3"/>
      <c r="Z16367" s="3"/>
      <c r="AA16367" s="3"/>
      <c r="AB16367" s="3"/>
      <c r="AC16367" s="3"/>
      <c r="AD16367" s="3"/>
      <c r="AE16367" s="3"/>
      <c r="AF16367" s="3"/>
      <c r="AG16367" s="3"/>
      <c r="AH16367" s="3"/>
    </row>
    <row r="16368" spans="1:34" ht="15" customHeight="1" x14ac:dyDescent="0.25">
      <c r="A16368" s="3"/>
      <c r="B16368" s="3"/>
      <c r="C16368" s="3"/>
      <c r="D16368" s="3"/>
      <c r="E16368" s="3"/>
      <c r="F16368" s="3"/>
      <c r="G16368" s="3"/>
      <c r="H16368" s="11"/>
      <c r="I16368" s="12"/>
      <c r="J16368" s="3"/>
      <c r="K16368" s="3"/>
      <c r="L16368" s="3"/>
      <c r="M16368" s="3"/>
      <c r="N16368" s="3"/>
      <c r="O16368" s="3"/>
      <c r="P16368" s="3"/>
      <c r="Q16368" s="3"/>
      <c r="R16368" s="3"/>
      <c r="S16368" s="3"/>
      <c r="T16368" s="3"/>
      <c r="U16368" s="3"/>
      <c r="V16368" s="3"/>
      <c r="W16368" s="3"/>
      <c r="X16368" s="3"/>
      <c r="Y16368" s="3"/>
      <c r="Z16368" s="3"/>
      <c r="AA16368" s="3"/>
      <c r="AB16368" s="3"/>
      <c r="AC16368" s="3"/>
      <c r="AD16368" s="3"/>
      <c r="AE16368" s="3"/>
      <c r="AF16368" s="3"/>
      <c r="AG16368" s="3"/>
      <c r="AH16368" s="3"/>
    </row>
    <row r="16369" spans="1:34" ht="15" customHeight="1" x14ac:dyDescent="0.25">
      <c r="A16369" s="3"/>
      <c r="B16369" s="3"/>
      <c r="C16369" s="3"/>
      <c r="D16369" s="3"/>
      <c r="E16369" s="3"/>
      <c r="F16369" s="3"/>
      <c r="G16369" s="3"/>
      <c r="H16369" s="11"/>
      <c r="I16369" s="12"/>
      <c r="J16369" s="3"/>
      <c r="K16369" s="3"/>
      <c r="L16369" s="3"/>
      <c r="M16369" s="3"/>
      <c r="N16369" s="3"/>
      <c r="O16369" s="3"/>
      <c r="P16369" s="3"/>
      <c r="Q16369" s="3"/>
      <c r="R16369" s="3"/>
      <c r="S16369" s="3"/>
      <c r="T16369" s="3"/>
      <c r="U16369" s="3"/>
      <c r="V16369" s="3"/>
      <c r="W16369" s="3"/>
      <c r="X16369" s="3"/>
      <c r="Y16369" s="3"/>
      <c r="Z16369" s="3"/>
      <c r="AA16369" s="3"/>
      <c r="AB16369" s="3"/>
      <c r="AC16369" s="3"/>
      <c r="AD16369" s="3"/>
      <c r="AE16369" s="3"/>
      <c r="AF16369" s="3"/>
      <c r="AG16369" s="3"/>
      <c r="AH16369" s="3"/>
    </row>
    <row r="16370" spans="1:34" ht="15" customHeight="1" x14ac:dyDescent="0.25">
      <c r="A16370" s="3"/>
      <c r="B16370" s="3"/>
      <c r="C16370" s="3"/>
      <c r="D16370" s="3"/>
      <c r="E16370" s="3"/>
      <c r="F16370" s="3"/>
      <c r="G16370" s="3"/>
      <c r="H16370" s="11"/>
      <c r="I16370" s="12"/>
      <c r="J16370" s="3"/>
      <c r="K16370" s="3"/>
      <c r="L16370" s="3"/>
      <c r="M16370" s="3"/>
      <c r="N16370" s="3"/>
      <c r="O16370" s="3"/>
      <c r="P16370" s="3"/>
      <c r="Q16370" s="3"/>
      <c r="R16370" s="3"/>
      <c r="S16370" s="3"/>
      <c r="T16370" s="3"/>
      <c r="U16370" s="3"/>
      <c r="V16370" s="3"/>
      <c r="W16370" s="3"/>
      <c r="X16370" s="3"/>
      <c r="Y16370" s="3"/>
      <c r="Z16370" s="3"/>
      <c r="AA16370" s="3"/>
      <c r="AB16370" s="3"/>
      <c r="AC16370" s="3"/>
      <c r="AD16370" s="3"/>
      <c r="AE16370" s="3"/>
      <c r="AF16370" s="3"/>
      <c r="AG16370" s="3"/>
      <c r="AH16370" s="3"/>
    </row>
    <row r="16371" spans="1:34" ht="15" customHeight="1" x14ac:dyDescent="0.25">
      <c r="A16371" s="3"/>
      <c r="B16371" s="3"/>
      <c r="C16371" s="3"/>
      <c r="D16371" s="3"/>
      <c r="E16371" s="3"/>
      <c r="F16371" s="3"/>
      <c r="G16371" s="3"/>
      <c r="H16371" s="11"/>
      <c r="I16371" s="12"/>
      <c r="J16371" s="3"/>
      <c r="K16371" s="3"/>
      <c r="L16371" s="3"/>
      <c r="M16371" s="3"/>
      <c r="N16371" s="3"/>
      <c r="O16371" s="3"/>
      <c r="P16371" s="3"/>
      <c r="Q16371" s="3"/>
      <c r="R16371" s="3"/>
      <c r="S16371" s="3"/>
      <c r="T16371" s="3"/>
      <c r="U16371" s="3"/>
      <c r="V16371" s="3"/>
      <c r="W16371" s="3"/>
      <c r="X16371" s="3"/>
      <c r="Y16371" s="3"/>
      <c r="Z16371" s="3"/>
      <c r="AA16371" s="3"/>
      <c r="AB16371" s="3"/>
      <c r="AC16371" s="3"/>
      <c r="AD16371" s="3"/>
      <c r="AE16371" s="3"/>
      <c r="AF16371" s="3"/>
      <c r="AG16371" s="3"/>
      <c r="AH16371" s="3"/>
    </row>
    <row r="16372" spans="1:34" ht="15" customHeight="1" x14ac:dyDescent="0.25">
      <c r="A16372" s="3"/>
      <c r="B16372" s="3"/>
      <c r="C16372" s="3"/>
      <c r="D16372" s="3"/>
      <c r="E16372" s="3"/>
      <c r="F16372" s="3"/>
      <c r="G16372" s="3"/>
      <c r="H16372" s="11"/>
      <c r="I16372" s="12"/>
      <c r="J16372" s="3"/>
      <c r="K16372" s="3"/>
      <c r="L16372" s="3"/>
      <c r="M16372" s="3"/>
      <c r="N16372" s="3"/>
      <c r="O16372" s="3"/>
      <c r="P16372" s="3"/>
      <c r="Q16372" s="3"/>
      <c r="R16372" s="3"/>
      <c r="S16372" s="3"/>
      <c r="T16372" s="3"/>
      <c r="U16372" s="3"/>
      <c r="V16372" s="3"/>
      <c r="W16372" s="3"/>
      <c r="X16372" s="3"/>
      <c r="Y16372" s="3"/>
      <c r="Z16372" s="3"/>
      <c r="AA16372" s="3"/>
      <c r="AB16372" s="3"/>
      <c r="AC16372" s="3"/>
      <c r="AD16372" s="3"/>
      <c r="AE16372" s="3"/>
      <c r="AF16372" s="3"/>
      <c r="AG16372" s="3"/>
      <c r="AH16372" s="3"/>
    </row>
    <row r="16373" spans="1:34" ht="15" customHeight="1" x14ac:dyDescent="0.25">
      <c r="A16373" s="3"/>
      <c r="B16373" s="3"/>
      <c r="C16373" s="3"/>
      <c r="D16373" s="3"/>
      <c r="E16373" s="3"/>
      <c r="F16373" s="3"/>
      <c r="G16373" s="3"/>
      <c r="H16373" s="11"/>
      <c r="I16373" s="12"/>
      <c r="J16373" s="3"/>
      <c r="K16373" s="3"/>
      <c r="L16373" s="3"/>
      <c r="M16373" s="3"/>
      <c r="N16373" s="3"/>
      <c r="O16373" s="3"/>
      <c r="P16373" s="3"/>
      <c r="Q16373" s="3"/>
      <c r="R16373" s="3"/>
      <c r="S16373" s="3"/>
      <c r="T16373" s="3"/>
      <c r="U16373" s="3"/>
      <c r="V16373" s="3"/>
      <c r="W16373" s="3"/>
      <c r="X16373" s="3"/>
      <c r="Y16373" s="3"/>
      <c r="Z16373" s="3"/>
      <c r="AA16373" s="3"/>
      <c r="AB16373" s="3"/>
      <c r="AC16373" s="3"/>
      <c r="AD16373" s="3"/>
      <c r="AE16373" s="3"/>
      <c r="AF16373" s="3"/>
      <c r="AG16373" s="3"/>
      <c r="AH16373" s="3"/>
    </row>
    <row r="16374" spans="1:34" ht="15" customHeight="1" x14ac:dyDescent="0.25">
      <c r="A16374" s="3"/>
      <c r="B16374" s="3"/>
      <c r="C16374" s="3"/>
      <c r="D16374" s="3"/>
      <c r="E16374" s="3"/>
      <c r="F16374" s="3"/>
      <c r="G16374" s="3"/>
      <c r="H16374" s="11"/>
      <c r="I16374" s="12"/>
      <c r="J16374" s="3"/>
      <c r="K16374" s="3"/>
      <c r="L16374" s="3"/>
      <c r="M16374" s="3"/>
      <c r="N16374" s="3"/>
      <c r="O16374" s="3"/>
      <c r="P16374" s="3"/>
      <c r="Q16374" s="3"/>
      <c r="R16374" s="3"/>
      <c r="S16374" s="3"/>
      <c r="T16374" s="3"/>
      <c r="U16374" s="3"/>
      <c r="V16374" s="3"/>
      <c r="W16374" s="3"/>
      <c r="X16374" s="3"/>
      <c r="Y16374" s="3"/>
      <c r="Z16374" s="3"/>
      <c r="AA16374" s="3"/>
      <c r="AB16374" s="3"/>
      <c r="AC16374" s="3"/>
      <c r="AD16374" s="3"/>
      <c r="AE16374" s="3"/>
      <c r="AF16374" s="3"/>
      <c r="AG16374" s="3"/>
      <c r="AH16374" s="3"/>
    </row>
    <row r="16375" spans="1:34" ht="15" customHeight="1" x14ac:dyDescent="0.25">
      <c r="A16375" s="3"/>
      <c r="B16375" s="3"/>
      <c r="C16375" s="3"/>
      <c r="D16375" s="3"/>
      <c r="E16375" s="3"/>
      <c r="F16375" s="3"/>
      <c r="G16375" s="3"/>
      <c r="H16375" s="11"/>
      <c r="I16375" s="12"/>
      <c r="J16375" s="3"/>
      <c r="K16375" s="3"/>
      <c r="L16375" s="3"/>
      <c r="M16375" s="3"/>
      <c r="N16375" s="3"/>
      <c r="O16375" s="3"/>
      <c r="P16375" s="3"/>
      <c r="Q16375" s="3"/>
      <c r="R16375" s="3"/>
      <c r="S16375" s="3"/>
      <c r="T16375" s="3"/>
      <c r="U16375" s="3"/>
      <c r="V16375" s="3"/>
      <c r="W16375" s="3"/>
      <c r="X16375" s="3"/>
      <c r="Y16375" s="3"/>
      <c r="Z16375" s="3"/>
      <c r="AA16375" s="3"/>
      <c r="AB16375" s="3"/>
      <c r="AC16375" s="3"/>
      <c r="AD16375" s="3"/>
      <c r="AE16375" s="3"/>
      <c r="AF16375" s="3"/>
      <c r="AG16375" s="3"/>
      <c r="AH16375" s="3"/>
    </row>
    <row r="16376" spans="1:34" ht="15" customHeight="1" x14ac:dyDescent="0.25">
      <c r="A16376" s="3"/>
      <c r="B16376" s="3"/>
      <c r="C16376" s="3"/>
      <c r="D16376" s="3"/>
      <c r="E16376" s="3"/>
      <c r="F16376" s="3"/>
      <c r="G16376" s="3"/>
      <c r="H16376" s="11"/>
      <c r="I16376" s="12"/>
      <c r="J16376" s="3"/>
      <c r="K16376" s="3"/>
      <c r="L16376" s="3"/>
      <c r="M16376" s="3"/>
      <c r="N16376" s="3"/>
      <c r="O16376" s="3"/>
      <c r="P16376" s="3"/>
      <c r="Q16376" s="3"/>
      <c r="R16376" s="3"/>
      <c r="S16376" s="3"/>
      <c r="T16376" s="3"/>
      <c r="U16376" s="3"/>
      <c r="V16376" s="3"/>
      <c r="W16376" s="3"/>
      <c r="X16376" s="3"/>
      <c r="Y16376" s="3"/>
      <c r="Z16376" s="3"/>
      <c r="AA16376" s="3"/>
      <c r="AB16376" s="3"/>
      <c r="AC16376" s="3"/>
      <c r="AD16376" s="3"/>
      <c r="AE16376" s="3"/>
      <c r="AF16376" s="3"/>
      <c r="AG16376" s="3"/>
      <c r="AH16376" s="3"/>
    </row>
    <row r="16377" spans="1:34" ht="15" customHeight="1" x14ac:dyDescent="0.25">
      <c r="A16377" s="3"/>
      <c r="B16377" s="3"/>
      <c r="C16377" s="3"/>
      <c r="D16377" s="3"/>
      <c r="E16377" s="3"/>
      <c r="F16377" s="3"/>
      <c r="G16377" s="3"/>
      <c r="H16377" s="11"/>
      <c r="I16377" s="12"/>
      <c r="J16377" s="3"/>
      <c r="K16377" s="3"/>
      <c r="L16377" s="3"/>
      <c r="M16377" s="3"/>
      <c r="N16377" s="3"/>
      <c r="O16377" s="3"/>
      <c r="P16377" s="3"/>
      <c r="Q16377" s="3"/>
      <c r="R16377" s="3"/>
      <c r="S16377" s="3"/>
      <c r="T16377" s="3"/>
      <c r="U16377" s="3"/>
      <c r="V16377" s="3"/>
      <c r="W16377" s="3"/>
      <c r="X16377" s="3"/>
      <c r="Y16377" s="3"/>
      <c r="Z16377" s="3"/>
      <c r="AA16377" s="3"/>
      <c r="AB16377" s="3"/>
      <c r="AC16377" s="3"/>
      <c r="AD16377" s="3"/>
      <c r="AE16377" s="3"/>
      <c r="AF16377" s="3"/>
      <c r="AG16377" s="3"/>
      <c r="AH16377" s="3"/>
    </row>
    <row r="16378" spans="1:34" ht="15" customHeight="1" x14ac:dyDescent="0.25">
      <c r="A16378" s="3"/>
      <c r="B16378" s="3"/>
      <c r="C16378" s="3"/>
      <c r="D16378" s="3"/>
      <c r="E16378" s="3"/>
      <c r="F16378" s="3"/>
      <c r="G16378" s="3"/>
      <c r="H16378" s="11"/>
      <c r="I16378" s="12"/>
      <c r="J16378" s="3"/>
      <c r="K16378" s="3"/>
      <c r="L16378" s="3"/>
      <c r="M16378" s="3"/>
      <c r="N16378" s="3"/>
      <c r="O16378" s="3"/>
      <c r="P16378" s="3"/>
      <c r="Q16378" s="3"/>
      <c r="R16378" s="3"/>
      <c r="S16378" s="3"/>
      <c r="T16378" s="3"/>
      <c r="U16378" s="3"/>
      <c r="V16378" s="3"/>
      <c r="W16378" s="3"/>
      <c r="X16378" s="3"/>
      <c r="Y16378" s="3"/>
      <c r="Z16378" s="3"/>
      <c r="AA16378" s="3"/>
      <c r="AB16378" s="3"/>
      <c r="AC16378" s="3"/>
      <c r="AD16378" s="3"/>
      <c r="AE16378" s="3"/>
      <c r="AF16378" s="3"/>
      <c r="AG16378" s="3"/>
      <c r="AH16378" s="3"/>
    </row>
    <row r="16379" spans="1:34" ht="15" customHeight="1" x14ac:dyDescent="0.25">
      <c r="A16379" s="3"/>
      <c r="B16379" s="3"/>
      <c r="C16379" s="3"/>
      <c r="D16379" s="3"/>
      <c r="E16379" s="3"/>
      <c r="F16379" s="3"/>
      <c r="G16379" s="3"/>
      <c r="H16379" s="11"/>
      <c r="I16379" s="12"/>
      <c r="J16379" s="3"/>
      <c r="K16379" s="3"/>
      <c r="L16379" s="3"/>
      <c r="M16379" s="3"/>
      <c r="N16379" s="3"/>
      <c r="O16379" s="3"/>
      <c r="P16379" s="3"/>
      <c r="Q16379" s="3"/>
      <c r="R16379" s="3"/>
      <c r="S16379" s="3"/>
      <c r="T16379" s="3"/>
      <c r="U16379" s="3"/>
      <c r="V16379" s="3"/>
      <c r="W16379" s="3"/>
      <c r="X16379" s="3"/>
      <c r="Y16379" s="3"/>
      <c r="Z16379" s="3"/>
      <c r="AA16379" s="3"/>
      <c r="AB16379" s="3"/>
      <c r="AC16379" s="3"/>
      <c r="AD16379" s="3"/>
      <c r="AE16379" s="3"/>
      <c r="AF16379" s="3"/>
      <c r="AG16379" s="3"/>
      <c r="AH16379" s="3"/>
    </row>
    <row r="16380" spans="1:34" ht="15" customHeight="1" x14ac:dyDescent="0.25">
      <c r="A16380" s="3"/>
      <c r="B16380" s="3"/>
      <c r="C16380" s="3"/>
      <c r="D16380" s="3"/>
      <c r="E16380" s="3"/>
      <c r="F16380" s="3"/>
      <c r="G16380" s="3"/>
      <c r="H16380" s="11"/>
      <c r="I16380" s="12"/>
      <c r="J16380" s="3"/>
      <c r="K16380" s="3"/>
      <c r="L16380" s="3"/>
      <c r="M16380" s="3"/>
      <c r="N16380" s="3"/>
      <c r="O16380" s="3"/>
      <c r="P16380" s="3"/>
      <c r="Q16380" s="3"/>
      <c r="R16380" s="3"/>
      <c r="S16380" s="3"/>
      <c r="T16380" s="3"/>
      <c r="U16380" s="3"/>
      <c r="V16380" s="3"/>
      <c r="W16380" s="3"/>
      <c r="X16380" s="3"/>
      <c r="Y16380" s="3"/>
      <c r="Z16380" s="3"/>
      <c r="AA16380" s="3"/>
      <c r="AB16380" s="3"/>
      <c r="AC16380" s="3"/>
      <c r="AD16380" s="3"/>
      <c r="AE16380" s="3"/>
      <c r="AF16380" s="3"/>
      <c r="AG16380" s="3"/>
      <c r="AH16380" s="3"/>
    </row>
    <row r="16381" spans="1:34" ht="15" customHeight="1" x14ac:dyDescent="0.25">
      <c r="A16381" s="3"/>
      <c r="B16381" s="3"/>
      <c r="C16381" s="3"/>
      <c r="D16381" s="3"/>
      <c r="E16381" s="3"/>
      <c r="F16381" s="3"/>
      <c r="G16381" s="3"/>
      <c r="H16381" s="11"/>
      <c r="I16381" s="12"/>
      <c r="J16381" s="3"/>
      <c r="K16381" s="3"/>
      <c r="L16381" s="3"/>
      <c r="M16381" s="3"/>
      <c r="N16381" s="3"/>
      <c r="O16381" s="3"/>
      <c r="P16381" s="3"/>
      <c r="Q16381" s="3"/>
      <c r="R16381" s="3"/>
      <c r="S16381" s="3"/>
      <c r="T16381" s="3"/>
      <c r="U16381" s="3"/>
      <c r="V16381" s="3"/>
      <c r="W16381" s="3"/>
      <c r="X16381" s="3"/>
      <c r="Y16381" s="3"/>
      <c r="Z16381" s="3"/>
      <c r="AA16381" s="3"/>
      <c r="AB16381" s="3"/>
      <c r="AC16381" s="3"/>
      <c r="AD16381" s="3"/>
      <c r="AE16381" s="3"/>
      <c r="AF16381" s="3"/>
      <c r="AG16381" s="3"/>
      <c r="AH16381" s="3"/>
    </row>
    <row r="16382" spans="1:34" ht="15" customHeight="1" x14ac:dyDescent="0.25">
      <c r="A16382" s="3"/>
      <c r="B16382" s="3"/>
      <c r="C16382" s="3"/>
      <c r="D16382" s="3"/>
      <c r="E16382" s="3"/>
      <c r="F16382" s="3"/>
      <c r="G16382" s="3"/>
      <c r="H16382" s="11"/>
      <c r="I16382" s="12"/>
      <c r="J16382" s="3"/>
      <c r="K16382" s="3"/>
      <c r="L16382" s="3"/>
      <c r="M16382" s="3"/>
      <c r="N16382" s="3"/>
      <c r="O16382" s="3"/>
      <c r="P16382" s="3"/>
      <c r="Q16382" s="3"/>
      <c r="R16382" s="3"/>
      <c r="S16382" s="3"/>
      <c r="T16382" s="3"/>
      <c r="U16382" s="3"/>
      <c r="V16382" s="3"/>
      <c r="W16382" s="3"/>
      <c r="X16382" s="3"/>
      <c r="Y16382" s="3"/>
      <c r="Z16382" s="3"/>
      <c r="AA16382" s="3"/>
      <c r="AB16382" s="3"/>
      <c r="AC16382" s="3"/>
      <c r="AD16382" s="3"/>
      <c r="AE16382" s="3"/>
      <c r="AF16382" s="3"/>
      <c r="AG16382" s="3"/>
      <c r="AH16382" s="3"/>
    </row>
    <row r="16383" spans="1:34" ht="15" customHeight="1" x14ac:dyDescent="0.25">
      <c r="A16383" s="3"/>
      <c r="B16383" s="3"/>
      <c r="C16383" s="3"/>
      <c r="D16383" s="3"/>
      <c r="E16383" s="3"/>
      <c r="F16383" s="3"/>
      <c r="G16383" s="3"/>
      <c r="H16383" s="11"/>
      <c r="I16383" s="12"/>
      <c r="J16383" s="3"/>
      <c r="K16383" s="3"/>
      <c r="L16383" s="3"/>
      <c r="M16383" s="3"/>
      <c r="N16383" s="3"/>
      <c r="O16383" s="3"/>
      <c r="P16383" s="3"/>
      <c r="Q16383" s="3"/>
      <c r="R16383" s="3"/>
      <c r="S16383" s="3"/>
      <c r="T16383" s="3"/>
      <c r="U16383" s="3"/>
      <c r="V16383" s="3"/>
      <c r="W16383" s="3"/>
      <c r="X16383" s="3"/>
      <c r="Y16383" s="3"/>
      <c r="Z16383" s="3"/>
      <c r="AA16383" s="3"/>
      <c r="AB16383" s="3"/>
      <c r="AC16383" s="3"/>
      <c r="AD16383" s="3"/>
      <c r="AE16383" s="3"/>
      <c r="AF16383" s="3"/>
      <c r="AG16383" s="3"/>
      <c r="AH16383" s="3"/>
    </row>
    <row r="16384" spans="1:34" ht="15" customHeight="1" x14ac:dyDescent="0.25">
      <c r="A16384" s="3"/>
      <c r="B16384" s="3"/>
      <c r="C16384" s="3"/>
      <c r="D16384" s="3"/>
      <c r="E16384" s="3"/>
      <c r="F16384" s="3"/>
      <c r="G16384" s="3"/>
      <c r="H16384" s="11"/>
      <c r="I16384" s="12"/>
      <c r="J16384" s="3"/>
      <c r="K16384" s="3"/>
      <c r="L16384" s="3"/>
      <c r="M16384" s="3"/>
      <c r="N16384" s="3"/>
      <c r="O16384" s="3"/>
      <c r="P16384" s="3"/>
      <c r="Q16384" s="3"/>
      <c r="R16384" s="3"/>
      <c r="S16384" s="3"/>
      <c r="T16384" s="3"/>
      <c r="U16384" s="3"/>
      <c r="V16384" s="3"/>
      <c r="W16384" s="3"/>
      <c r="X16384" s="3"/>
      <c r="Y16384" s="3"/>
      <c r="Z16384" s="3"/>
      <c r="AA16384" s="3"/>
      <c r="AB16384" s="3"/>
      <c r="AC16384" s="3"/>
      <c r="AD16384" s="3"/>
      <c r="AE16384" s="3"/>
      <c r="AF16384" s="3"/>
      <c r="AG16384" s="3"/>
      <c r="AH16384" s="3"/>
    </row>
    <row r="16385" spans="1:34" ht="15" customHeight="1" x14ac:dyDescent="0.25">
      <c r="A16385" s="3"/>
      <c r="B16385" s="3"/>
      <c r="C16385" s="3"/>
      <c r="D16385" s="3"/>
      <c r="E16385" s="3"/>
      <c r="F16385" s="3"/>
      <c r="G16385" s="3"/>
      <c r="H16385" s="11"/>
      <c r="I16385" s="12"/>
      <c r="J16385" s="3"/>
      <c r="K16385" s="3"/>
      <c r="L16385" s="3"/>
      <c r="M16385" s="3"/>
      <c r="N16385" s="3"/>
      <c r="O16385" s="3"/>
      <c r="P16385" s="3"/>
      <c r="Q16385" s="3"/>
      <c r="R16385" s="3"/>
      <c r="S16385" s="3"/>
      <c r="T16385" s="3"/>
      <c r="U16385" s="3"/>
      <c r="V16385" s="3"/>
      <c r="W16385" s="3"/>
      <c r="X16385" s="3"/>
      <c r="Y16385" s="3"/>
      <c r="Z16385" s="3"/>
      <c r="AA16385" s="3"/>
      <c r="AB16385" s="3"/>
      <c r="AC16385" s="3"/>
      <c r="AD16385" s="3"/>
      <c r="AE16385" s="3"/>
      <c r="AF16385" s="3"/>
      <c r="AG16385" s="3"/>
      <c r="AH16385" s="3"/>
    </row>
    <row r="16386" spans="1:34" ht="15" customHeight="1" x14ac:dyDescent="0.25">
      <c r="A16386" s="3"/>
      <c r="B16386" s="3"/>
      <c r="C16386" s="3"/>
      <c r="D16386" s="3"/>
      <c r="E16386" s="3"/>
      <c r="F16386" s="3"/>
      <c r="G16386" s="3"/>
      <c r="H16386" s="11"/>
      <c r="I16386" s="12"/>
      <c r="J16386" s="3"/>
      <c r="K16386" s="3"/>
      <c r="L16386" s="3"/>
      <c r="M16386" s="3"/>
      <c r="N16386" s="3"/>
      <c r="O16386" s="3"/>
      <c r="P16386" s="3"/>
      <c r="Q16386" s="3"/>
      <c r="R16386" s="3"/>
      <c r="S16386" s="3"/>
      <c r="T16386" s="3"/>
      <c r="U16386" s="3"/>
      <c r="V16386" s="3"/>
      <c r="W16386" s="3"/>
      <c r="X16386" s="3"/>
      <c r="Y16386" s="3"/>
      <c r="Z16386" s="3"/>
      <c r="AA16386" s="3"/>
      <c r="AB16386" s="3"/>
      <c r="AC16386" s="3"/>
      <c r="AD16386" s="3"/>
      <c r="AE16386" s="3"/>
      <c r="AF16386" s="3"/>
      <c r="AG16386" s="3"/>
      <c r="AH16386" s="3"/>
    </row>
    <row r="16387" spans="1:34" ht="15" customHeight="1" x14ac:dyDescent="0.25">
      <c r="A16387" s="3"/>
      <c r="B16387" s="3"/>
      <c r="C16387" s="3"/>
      <c r="D16387" s="3"/>
      <c r="E16387" s="3"/>
      <c r="F16387" s="3"/>
      <c r="G16387" s="3"/>
      <c r="H16387" s="11"/>
      <c r="I16387" s="12"/>
      <c r="J16387" s="3"/>
      <c r="K16387" s="3"/>
      <c r="L16387" s="3"/>
      <c r="M16387" s="3"/>
      <c r="N16387" s="3"/>
      <c r="O16387" s="3"/>
      <c r="P16387" s="3"/>
      <c r="Q16387" s="3"/>
      <c r="R16387" s="3"/>
      <c r="S16387" s="3"/>
      <c r="T16387" s="3"/>
      <c r="U16387" s="3"/>
      <c r="V16387" s="3"/>
      <c r="W16387" s="3"/>
      <c r="X16387" s="3"/>
      <c r="Y16387" s="3"/>
      <c r="Z16387" s="3"/>
      <c r="AA16387" s="3"/>
      <c r="AB16387" s="3"/>
      <c r="AC16387" s="3"/>
      <c r="AD16387" s="3"/>
      <c r="AE16387" s="3"/>
      <c r="AF16387" s="3"/>
      <c r="AG16387" s="3"/>
      <c r="AH16387" s="3"/>
    </row>
    <row r="16388" spans="1:34" ht="15" customHeight="1" x14ac:dyDescent="0.25">
      <c r="A16388" s="3"/>
      <c r="B16388" s="3"/>
      <c r="C16388" s="3"/>
      <c r="D16388" s="3"/>
      <c r="E16388" s="3"/>
      <c r="F16388" s="3"/>
      <c r="G16388" s="3"/>
      <c r="H16388" s="11"/>
      <c r="I16388" s="12"/>
      <c r="J16388" s="3"/>
      <c r="K16388" s="3"/>
      <c r="L16388" s="3"/>
      <c r="M16388" s="3"/>
      <c r="N16388" s="3"/>
      <c r="O16388" s="3"/>
      <c r="P16388" s="3"/>
      <c r="Q16388" s="3"/>
      <c r="R16388" s="3"/>
      <c r="S16388" s="3"/>
      <c r="T16388" s="3"/>
      <c r="U16388" s="3"/>
      <c r="V16388" s="3"/>
      <c r="W16388" s="3"/>
      <c r="X16388" s="3"/>
      <c r="Y16388" s="3"/>
      <c r="Z16388" s="3"/>
      <c r="AA16388" s="3"/>
      <c r="AB16388" s="3"/>
      <c r="AC16388" s="3"/>
      <c r="AD16388" s="3"/>
      <c r="AE16388" s="3"/>
      <c r="AF16388" s="3"/>
      <c r="AG16388" s="3"/>
      <c r="AH16388" s="3"/>
    </row>
    <row r="16389" spans="1:34" ht="15" customHeight="1" x14ac:dyDescent="0.25">
      <c r="A16389" s="3"/>
      <c r="B16389" s="3"/>
      <c r="C16389" s="3"/>
      <c r="D16389" s="3"/>
      <c r="E16389" s="3"/>
      <c r="F16389" s="3"/>
      <c r="G16389" s="3"/>
      <c r="H16389" s="11"/>
      <c r="I16389" s="12"/>
      <c r="J16389" s="3"/>
      <c r="K16389" s="3"/>
      <c r="L16389" s="3"/>
      <c r="M16389" s="3"/>
      <c r="N16389" s="3"/>
      <c r="O16389" s="3"/>
      <c r="P16389" s="3"/>
      <c r="Q16389" s="3"/>
      <c r="R16389" s="3"/>
      <c r="S16389" s="3"/>
      <c r="T16389" s="3"/>
      <c r="U16389" s="3"/>
      <c r="V16389" s="3"/>
      <c r="W16389" s="3"/>
      <c r="X16389" s="3"/>
      <c r="Y16389" s="3"/>
      <c r="Z16389" s="3"/>
      <c r="AA16389" s="3"/>
      <c r="AB16389" s="3"/>
      <c r="AC16389" s="3"/>
      <c r="AD16389" s="3"/>
      <c r="AE16389" s="3"/>
      <c r="AF16389" s="3"/>
      <c r="AG16389" s="3"/>
      <c r="AH16389" s="3"/>
    </row>
    <row r="16390" spans="1:34" ht="15" customHeight="1" x14ac:dyDescent="0.25">
      <c r="A16390" s="3"/>
      <c r="B16390" s="3"/>
      <c r="C16390" s="3"/>
      <c r="D16390" s="3"/>
      <c r="E16390" s="3"/>
      <c r="F16390" s="3"/>
      <c r="G16390" s="3"/>
      <c r="H16390" s="11"/>
      <c r="I16390" s="12"/>
      <c r="J16390" s="3"/>
      <c r="K16390" s="3"/>
      <c r="L16390" s="3"/>
      <c r="M16390" s="3"/>
      <c r="N16390" s="3"/>
      <c r="O16390" s="3"/>
      <c r="P16390" s="3"/>
      <c r="Q16390" s="3"/>
      <c r="R16390" s="3"/>
      <c r="S16390" s="3"/>
      <c r="T16390" s="3"/>
      <c r="U16390" s="3"/>
      <c r="V16390" s="3"/>
      <c r="W16390" s="3"/>
      <c r="X16390" s="3"/>
      <c r="Y16390" s="3"/>
      <c r="Z16390" s="3"/>
      <c r="AA16390" s="3"/>
      <c r="AB16390" s="3"/>
      <c r="AC16390" s="3"/>
      <c r="AD16390" s="3"/>
      <c r="AE16390" s="3"/>
      <c r="AF16390" s="3"/>
      <c r="AG16390" s="3"/>
      <c r="AH16390" s="3"/>
    </row>
    <row r="16391" spans="1:34" ht="15" customHeight="1" x14ac:dyDescent="0.25">
      <c r="A16391" s="3"/>
      <c r="B16391" s="3"/>
      <c r="C16391" s="3"/>
      <c r="D16391" s="3"/>
      <c r="E16391" s="3"/>
      <c r="F16391" s="3"/>
      <c r="G16391" s="3"/>
      <c r="H16391" s="11"/>
      <c r="I16391" s="12"/>
      <c r="J16391" s="3"/>
      <c r="K16391" s="3"/>
      <c r="L16391" s="3"/>
      <c r="M16391" s="3"/>
      <c r="N16391" s="3"/>
      <c r="O16391" s="3"/>
      <c r="P16391" s="3"/>
      <c r="Q16391" s="3"/>
      <c r="R16391" s="3"/>
      <c r="S16391" s="3"/>
      <c r="T16391" s="3"/>
      <c r="U16391" s="3"/>
      <c r="V16391" s="3"/>
      <c r="W16391" s="3"/>
      <c r="X16391" s="3"/>
      <c r="Y16391" s="3"/>
      <c r="Z16391" s="3"/>
      <c r="AA16391" s="3"/>
      <c r="AB16391" s="3"/>
      <c r="AC16391" s="3"/>
      <c r="AD16391" s="3"/>
      <c r="AE16391" s="3"/>
      <c r="AF16391" s="3"/>
      <c r="AG16391" s="3"/>
      <c r="AH16391" s="3"/>
    </row>
    <row r="16392" spans="1:34" ht="15" customHeight="1" x14ac:dyDescent="0.25">
      <c r="A16392" s="3"/>
      <c r="B16392" s="3"/>
      <c r="C16392" s="3"/>
      <c r="D16392" s="3"/>
      <c r="E16392" s="3"/>
      <c r="F16392" s="3"/>
      <c r="G16392" s="3"/>
      <c r="H16392" s="11"/>
      <c r="I16392" s="12"/>
      <c r="J16392" s="3"/>
      <c r="K16392" s="3"/>
      <c r="L16392" s="3"/>
      <c r="M16392" s="3"/>
      <c r="N16392" s="3"/>
      <c r="O16392" s="3"/>
      <c r="P16392" s="3"/>
      <c r="Q16392" s="3"/>
      <c r="R16392" s="3"/>
      <c r="S16392" s="3"/>
      <c r="T16392" s="3"/>
      <c r="U16392" s="3"/>
      <c r="V16392" s="3"/>
      <c r="W16392" s="3"/>
      <c r="X16392" s="3"/>
      <c r="Y16392" s="3"/>
      <c r="Z16392" s="3"/>
      <c r="AA16392" s="3"/>
      <c r="AB16392" s="3"/>
      <c r="AC16392" s="3"/>
      <c r="AD16392" s="3"/>
      <c r="AE16392" s="3"/>
      <c r="AF16392" s="3"/>
      <c r="AG16392" s="3"/>
      <c r="AH16392" s="3"/>
    </row>
    <row r="16393" spans="1:34" ht="15" customHeight="1" x14ac:dyDescent="0.25">
      <c r="A16393" s="3"/>
      <c r="B16393" s="3"/>
      <c r="C16393" s="3"/>
      <c r="D16393" s="3"/>
      <c r="E16393" s="3"/>
      <c r="F16393" s="3"/>
      <c r="G16393" s="3"/>
      <c r="H16393" s="11"/>
      <c r="I16393" s="12"/>
      <c r="J16393" s="3"/>
      <c r="K16393" s="3"/>
      <c r="L16393" s="3"/>
      <c r="M16393" s="3"/>
      <c r="N16393" s="3"/>
      <c r="O16393" s="3"/>
      <c r="P16393" s="3"/>
      <c r="Q16393" s="3"/>
      <c r="R16393" s="3"/>
      <c r="S16393" s="3"/>
      <c r="T16393" s="3"/>
      <c r="U16393" s="3"/>
      <c r="V16393" s="3"/>
      <c r="W16393" s="3"/>
      <c r="X16393" s="3"/>
      <c r="Y16393" s="3"/>
      <c r="Z16393" s="3"/>
      <c r="AA16393" s="3"/>
      <c r="AB16393" s="3"/>
      <c r="AC16393" s="3"/>
      <c r="AD16393" s="3"/>
      <c r="AE16393" s="3"/>
      <c r="AF16393" s="3"/>
      <c r="AG16393" s="3"/>
      <c r="AH16393" s="3"/>
    </row>
    <row r="16394" spans="1:34" ht="15" customHeight="1" x14ac:dyDescent="0.25">
      <c r="A16394" s="3"/>
      <c r="B16394" s="3"/>
      <c r="C16394" s="3"/>
      <c r="D16394" s="3"/>
      <c r="E16394" s="3"/>
      <c r="F16394" s="3"/>
      <c r="G16394" s="3"/>
      <c r="H16394" s="11"/>
      <c r="I16394" s="12"/>
      <c r="J16394" s="3"/>
      <c r="K16394" s="3"/>
      <c r="L16394" s="3"/>
      <c r="M16394" s="3"/>
      <c r="N16394" s="3"/>
      <c r="O16394" s="3"/>
      <c r="P16394" s="3"/>
      <c r="Q16394" s="3"/>
      <c r="R16394" s="3"/>
      <c r="S16394" s="3"/>
      <c r="T16394" s="3"/>
      <c r="U16394" s="3"/>
      <c r="V16394" s="3"/>
      <c r="W16394" s="3"/>
      <c r="X16394" s="3"/>
      <c r="Y16394" s="3"/>
      <c r="Z16394" s="3"/>
      <c r="AA16394" s="3"/>
      <c r="AB16394" s="3"/>
      <c r="AC16394" s="3"/>
      <c r="AD16394" s="3"/>
      <c r="AE16394" s="3"/>
      <c r="AF16394" s="3"/>
      <c r="AG16394" s="3"/>
      <c r="AH16394" s="3"/>
    </row>
    <row r="16395" spans="1:34" ht="15" customHeight="1" x14ac:dyDescent="0.25">
      <c r="A16395" s="3"/>
      <c r="B16395" s="3"/>
      <c r="C16395" s="3"/>
      <c r="D16395" s="3"/>
      <c r="E16395" s="3"/>
      <c r="F16395" s="3"/>
      <c r="G16395" s="3"/>
      <c r="H16395" s="11"/>
      <c r="I16395" s="12"/>
      <c r="J16395" s="3"/>
      <c r="K16395" s="3"/>
      <c r="L16395" s="3"/>
      <c r="M16395" s="3"/>
      <c r="N16395" s="3"/>
      <c r="O16395" s="3"/>
      <c r="P16395" s="3"/>
      <c r="Q16395" s="3"/>
      <c r="R16395" s="3"/>
      <c r="S16395" s="3"/>
      <c r="T16395" s="3"/>
      <c r="U16395" s="3"/>
      <c r="V16395" s="3"/>
      <c r="W16395" s="3"/>
      <c r="X16395" s="3"/>
      <c r="Y16395" s="3"/>
      <c r="Z16395" s="3"/>
      <c r="AA16395" s="3"/>
      <c r="AB16395" s="3"/>
      <c r="AC16395" s="3"/>
      <c r="AD16395" s="3"/>
      <c r="AE16395" s="3"/>
      <c r="AF16395" s="3"/>
      <c r="AG16395" s="3"/>
      <c r="AH16395" s="3"/>
    </row>
    <row r="16396" spans="1:34" ht="15.75" customHeight="1" x14ac:dyDescent="0.25">
      <c r="A16396" s="3"/>
      <c r="B16396" s="3"/>
      <c r="C16396" s="3"/>
      <c r="D16396" s="3"/>
      <c r="E16396" s="3"/>
      <c r="F16396" s="3"/>
      <c r="G16396" s="3"/>
      <c r="H16396" s="11"/>
      <c r="I16396" s="12"/>
      <c r="J16396" s="3"/>
      <c r="K16396" s="3"/>
      <c r="L16396" s="3"/>
      <c r="M16396" s="3"/>
      <c r="N16396" s="3"/>
      <c r="O16396" s="3"/>
      <c r="P16396" s="3"/>
      <c r="Q16396" s="3"/>
      <c r="R16396" s="3"/>
      <c r="S16396" s="3"/>
      <c r="T16396" s="3"/>
      <c r="U16396" s="3"/>
      <c r="V16396" s="3"/>
      <c r="W16396" s="3"/>
      <c r="X16396" s="3"/>
      <c r="Y16396" s="3"/>
      <c r="Z16396" s="3"/>
      <c r="AA16396" s="3"/>
      <c r="AB16396" s="3"/>
      <c r="AC16396" s="3"/>
      <c r="AD16396" s="3"/>
      <c r="AE16396" s="3"/>
      <c r="AF16396" s="3"/>
      <c r="AG16396" s="3"/>
      <c r="AH16396" s="3"/>
    </row>
    <row r="16397" spans="1:34" ht="15.75" customHeight="1" x14ac:dyDescent="0.25">
      <c r="A16397" s="3"/>
      <c r="B16397" s="3"/>
      <c r="C16397" s="3"/>
      <c r="D16397" s="3"/>
      <c r="E16397" s="3"/>
      <c r="F16397" s="3"/>
      <c r="G16397" s="3"/>
      <c r="H16397" s="11"/>
      <c r="I16397" s="12"/>
      <c r="J16397" s="3"/>
      <c r="K16397" s="3"/>
      <c r="L16397" s="3"/>
      <c r="M16397" s="3"/>
      <c r="N16397" s="3"/>
      <c r="O16397" s="3"/>
      <c r="P16397" s="3"/>
      <c r="Q16397" s="3"/>
      <c r="R16397" s="3"/>
      <c r="S16397" s="3"/>
      <c r="T16397" s="3"/>
      <c r="U16397" s="3"/>
      <c r="V16397" s="3"/>
      <c r="W16397" s="3"/>
      <c r="X16397" s="3"/>
      <c r="Y16397" s="3"/>
      <c r="Z16397" s="3"/>
      <c r="AA16397" s="3"/>
      <c r="AB16397" s="3"/>
      <c r="AC16397" s="3"/>
      <c r="AD16397" s="3"/>
      <c r="AE16397" s="3"/>
      <c r="AF16397" s="3"/>
      <c r="AG16397" s="3"/>
      <c r="AH16397" s="3"/>
    </row>
    <row r="16398" spans="1:34" ht="15.75" customHeight="1" x14ac:dyDescent="0.25">
      <c r="A16398" s="3"/>
      <c r="B16398" s="3"/>
      <c r="C16398" s="3"/>
      <c r="D16398" s="3"/>
      <c r="E16398" s="3"/>
      <c r="F16398" s="3"/>
      <c r="G16398" s="3"/>
      <c r="H16398" s="11"/>
      <c r="I16398" s="12"/>
      <c r="J16398" s="3"/>
      <c r="K16398" s="3"/>
      <c r="L16398" s="3"/>
      <c r="M16398" s="3"/>
      <c r="N16398" s="3"/>
      <c r="O16398" s="3"/>
      <c r="P16398" s="3"/>
      <c r="Q16398" s="3"/>
      <c r="R16398" s="3"/>
      <c r="S16398" s="3"/>
      <c r="T16398" s="3"/>
      <c r="U16398" s="3"/>
      <c r="V16398" s="3"/>
      <c r="W16398" s="3"/>
      <c r="X16398" s="3"/>
      <c r="Y16398" s="3"/>
      <c r="Z16398" s="3"/>
      <c r="AA16398" s="3"/>
      <c r="AB16398" s="3"/>
      <c r="AC16398" s="3"/>
      <c r="AD16398" s="3"/>
      <c r="AE16398" s="3"/>
      <c r="AF16398" s="3"/>
      <c r="AG16398" s="3"/>
      <c r="AH16398" s="3"/>
    </row>
    <row r="16399" spans="1:34" ht="15" customHeight="1" x14ac:dyDescent="0.25">
      <c r="A16399" s="3"/>
      <c r="B16399" s="3"/>
      <c r="C16399" s="3"/>
      <c r="D16399" s="3"/>
      <c r="E16399" s="3"/>
      <c r="F16399" s="3"/>
      <c r="G16399" s="3"/>
      <c r="H16399" s="11"/>
      <c r="I16399" s="12"/>
      <c r="J16399" s="3"/>
      <c r="K16399" s="3"/>
      <c r="L16399" s="3"/>
      <c r="M16399" s="3" t="s">
        <v>103</v>
      </c>
      <c r="N16399" s="3"/>
      <c r="O16399" s="3"/>
      <c r="P16399" s="3"/>
      <c r="Q16399" s="3"/>
      <c r="R16399" s="3"/>
      <c r="S16399" s="3"/>
      <c r="T16399" s="3"/>
      <c r="U16399" s="3"/>
      <c r="V16399" s="3"/>
      <c r="W16399" s="3"/>
      <c r="X16399" s="3"/>
      <c r="Y16399" s="3"/>
      <c r="Z16399" s="3"/>
      <c r="AA16399" s="3"/>
      <c r="AB16399" s="3"/>
      <c r="AC16399" s="3"/>
      <c r="AD16399" s="3"/>
      <c r="AE16399" s="3"/>
      <c r="AF16399" s="3"/>
      <c r="AG16399" s="3"/>
      <c r="AH16399" s="3"/>
    </row>
  </sheetData>
  <autoFilter ref="A1:AG16395" xr:uid="{00000000-0001-0000-0200-000000000000}"/>
  <phoneticPr fontId="12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2578125" defaultRowHeight="15" customHeight="1" x14ac:dyDescent="0.25"/>
  <cols>
    <col min="1" max="6" width="8" customWidth="1"/>
  </cols>
  <sheetData>
    <row r="1" spans="1:1" ht="14.25" customHeight="1" x14ac:dyDescent="0.25">
      <c r="A1" s="18" t="s">
        <v>139</v>
      </c>
    </row>
    <row r="2" spans="1:1" ht="14.25" customHeight="1" x14ac:dyDescent="0.25">
      <c r="A2" s="18" t="s">
        <v>140</v>
      </c>
    </row>
    <row r="3" spans="1:1" ht="14.25" customHeight="1" x14ac:dyDescent="0.25">
      <c r="A3" s="18" t="s">
        <v>141</v>
      </c>
    </row>
    <row r="4" spans="1:1" ht="14.25" customHeight="1" x14ac:dyDescent="0.25"/>
    <row r="5" spans="1:1" ht="14.25" customHeight="1" x14ac:dyDescent="0.25"/>
    <row r="6" spans="1:1" ht="14.25" customHeight="1" x14ac:dyDescent="0.25"/>
    <row r="7" spans="1:1" ht="14.25" customHeight="1" x14ac:dyDescent="0.25"/>
    <row r="8" spans="1:1" ht="14.25" customHeight="1" x14ac:dyDescent="0.25"/>
    <row r="9" spans="1:1" ht="14.25" customHeight="1" x14ac:dyDescent="0.25"/>
    <row r="10" spans="1:1" ht="14.25" customHeight="1" x14ac:dyDescent="0.25"/>
    <row r="11" spans="1:1" ht="14.25" customHeight="1" x14ac:dyDescent="0.25"/>
    <row r="12" spans="1:1" ht="14.25" customHeight="1" x14ac:dyDescent="0.25"/>
    <row r="13" spans="1:1" ht="14.25" customHeight="1" x14ac:dyDescent="0.25"/>
    <row r="14" spans="1:1" ht="14.25" customHeight="1" x14ac:dyDescent="0.25"/>
    <row r="15" spans="1:1" ht="14.25" customHeight="1" x14ac:dyDescent="0.25"/>
    <row r="16" spans="1:1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Nomes</vt:lpstr>
      <vt:lpstr>Colônias e Associações</vt:lpstr>
      <vt:lpstr>Banco de dados</vt:lpstr>
      <vt:lpstr>_56F9DC9755BA473782653E2940F9</vt:lpstr>
      <vt:lpstr>Lista</vt:lpstr>
      <vt:lpstr>listsp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 Morales Gomez</dc:creator>
  <cp:lastModifiedBy>Luiz Guilherme dos Santos Ribas</cp:lastModifiedBy>
  <dcterms:created xsi:type="dcterms:W3CDTF">2017-12-08T18:35:14Z</dcterms:created>
  <dcterms:modified xsi:type="dcterms:W3CDTF">2026-02-06T18:24:46Z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0x0101007E6823CC88C7AC468B20C768D784BAA3</vt:lpwstr>
  </property>
  <property fmtid="{D5CDD505-2E9C-101B-9397-08002B2CF9AE}" pid="3" name="MediaServiceImageTags">
    <vt:lpwstr/>
  </property>
  <property fmtid="{D5CDD505-2E9C-101B-9397-08002B2CF9AE}" pid="4" name="lcf76f155ced4ddcb4097134ff3c332f">
    <vt:lpwstr/>
  </property>
  <property fmtid="{D5CDD505-2E9C-101B-9397-08002B2CF9AE}" pid="5" name="TaxCatchAll">
    <vt:lpwstr/>
  </property>
</Properties>
</file>